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4- #EducaçãoFinanceira\"/>
    </mc:Choice>
  </mc:AlternateContent>
  <xr:revisionPtr revIDLastSave="0" documentId="8_{50D9307A-703B-4A4A-92D0-25788A0AFCC4}"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BH3" i="3"/>
  <c r="BH4" i="3"/>
  <c r="BH5" i="3"/>
  <c r="BH6" i="3"/>
  <c r="BH7" i="3"/>
  <c r="BH9" i="3"/>
  <c r="BH10" i="3"/>
  <c r="BH11" i="3"/>
  <c r="BH12" i="3"/>
  <c r="BH13" i="3"/>
  <c r="BH14" i="3"/>
  <c r="BH15" i="3"/>
  <c r="BH16" i="3"/>
  <c r="BH17" i="3"/>
  <c r="BH18" i="3"/>
  <c r="BH19" i="3"/>
  <c r="BH20" i="3"/>
  <c r="BH21" i="3"/>
  <c r="BH23" i="3"/>
  <c r="BH24" i="3"/>
  <c r="BH25" i="3"/>
  <c r="BH26" i="3"/>
  <c r="BH27" i="3"/>
  <c r="BH28" i="3"/>
  <c r="BH29" i="3"/>
  <c r="BH30" i="3"/>
  <c r="BH31" i="3"/>
  <c r="BH32" i="3"/>
  <c r="BH33" i="3"/>
  <c r="BH34" i="3"/>
  <c r="BH35" i="3"/>
  <c r="BH36" i="3"/>
  <c r="BH38" i="3"/>
  <c r="BH39" i="3"/>
  <c r="BH40" i="3"/>
  <c r="BH41" i="3"/>
  <c r="BH43" i="3"/>
  <c r="BH44" i="3"/>
  <c r="BH45" i="3"/>
  <c r="BH46" i="3"/>
  <c r="BH49" i="3"/>
  <c r="BH50" i="3"/>
  <c r="BH51" i="3"/>
  <c r="BH52" i="3"/>
  <c r="BH53" i="3"/>
  <c r="BH54" i="3"/>
  <c r="BH55" i="3"/>
  <c r="BH57" i="3"/>
  <c r="BH58" i="3"/>
  <c r="BH59" i="3"/>
  <c r="BH60" i="3"/>
  <c r="BH61" i="3"/>
  <c r="BH62" i="3"/>
  <c r="BH63" i="3"/>
  <c r="BH64" i="3"/>
  <c r="BH65" i="3"/>
  <c r="BH67" i="3"/>
  <c r="BH68" i="3"/>
  <c r="BH70" i="3"/>
  <c r="BH71" i="3"/>
  <c r="BH72" i="3"/>
  <c r="BH73" i="3"/>
  <c r="BH74" i="3"/>
  <c r="BH75" i="3"/>
  <c r="BH76" i="3"/>
  <c r="BH78" i="3"/>
  <c r="BH79" i="3"/>
  <c r="BH80" i="3"/>
  <c r="BH81" i="3"/>
  <c r="BH82" i="3"/>
  <c r="BH83" i="3"/>
  <c r="BH84" i="3"/>
  <c r="BH85" i="3"/>
  <c r="BH86" i="3"/>
  <c r="BH87" i="3"/>
  <c r="BH88" i="3"/>
  <c r="BH89" i="3"/>
  <c r="BH90" i="3"/>
  <c r="BH91" i="3"/>
  <c r="BH92" i="3"/>
  <c r="BH94" i="3"/>
  <c r="BH96" i="3"/>
  <c r="BH97" i="3"/>
  <c r="BH98" i="3"/>
  <c r="BH99" i="3"/>
  <c r="BH100" i="3"/>
  <c r="BH102" i="3"/>
  <c r="BH103" i="3"/>
  <c r="BH104" i="3"/>
  <c r="BH106" i="3"/>
  <c r="BH107" i="3"/>
  <c r="BH108" i="3"/>
  <c r="BH109" i="3"/>
  <c r="BH110" i="3"/>
  <c r="BH112" i="3"/>
  <c r="BH114" i="3"/>
  <c r="BH115" i="3"/>
  <c r="BH116" i="3"/>
  <c r="BH117" i="3"/>
  <c r="BH118" i="3"/>
  <c r="BH119" i="3"/>
  <c r="BH121" i="3"/>
  <c r="BH122" i="3"/>
  <c r="BH124" i="3"/>
  <c r="BH125" i="3"/>
  <c r="BH126" i="3"/>
  <c r="BH127" i="3"/>
  <c r="BH128" i="3"/>
  <c r="BH129" i="3"/>
  <c r="BH130" i="3"/>
  <c r="BH132" i="3"/>
  <c r="BH134" i="3"/>
  <c r="BH135" i="3"/>
  <c r="BH136" i="3"/>
  <c r="BH137" i="3"/>
  <c r="BH138" i="3"/>
  <c r="BH139" i="3"/>
  <c r="BH140" i="3"/>
  <c r="BH141" i="3"/>
  <c r="BH142" i="3"/>
  <c r="BH144" i="3"/>
  <c r="BH145" i="3"/>
  <c r="BH146" i="3"/>
  <c r="BH147" i="3"/>
  <c r="BH148" i="3"/>
  <c r="BH149" i="3"/>
  <c r="BH150" i="3"/>
  <c r="BH151" i="3"/>
  <c r="BH152" i="3"/>
  <c r="BH153" i="3"/>
  <c r="BH154" i="3"/>
  <c r="BH156" i="3"/>
  <c r="BH158" i="3"/>
  <c r="BH159" i="3"/>
  <c r="BH160" i="3"/>
  <c r="BH161" i="3"/>
  <c r="BH162" i="3"/>
  <c r="BH163" i="3"/>
  <c r="BH164" i="3"/>
  <c r="BH165" i="3"/>
  <c r="BH166" i="3"/>
  <c r="BH167" i="3"/>
  <c r="BH168" i="3"/>
  <c r="BH169" i="3"/>
  <c r="BH170" i="3"/>
  <c r="BH171" i="3"/>
  <c r="BH172" i="3"/>
  <c r="BH173" i="3"/>
  <c r="BH175" i="3"/>
  <c r="BH176" i="3"/>
  <c r="BH177" i="3"/>
  <c r="BH178" i="3"/>
  <c r="BH179" i="3"/>
  <c r="BH180" i="3"/>
  <c r="BH181" i="3"/>
  <c r="BH182" i="3"/>
  <c r="BH183" i="3"/>
  <c r="BH184" i="3"/>
  <c r="BH185" i="3"/>
  <c r="BH186" i="3"/>
  <c r="BH187" i="3"/>
  <c r="BH188" i="3"/>
  <c r="BH189" i="3"/>
  <c r="BH190" i="3"/>
  <c r="BH191" i="3"/>
  <c r="BH192" i="3"/>
  <c r="BH193" i="3"/>
  <c r="BH194" i="3"/>
  <c r="BH195" i="3"/>
  <c r="BH196" i="3"/>
  <c r="BH197" i="3"/>
  <c r="BH198" i="3"/>
  <c r="BH199" i="3"/>
  <c r="BH200" i="3"/>
  <c r="BH201" i="3"/>
  <c r="BH202" i="3"/>
  <c r="BH203" i="3"/>
  <c r="BH204" i="3"/>
  <c r="BH205" i="3"/>
  <c r="BH207" i="3"/>
  <c r="BH208" i="3"/>
  <c r="BH210" i="3"/>
  <c r="BH211" i="3"/>
  <c r="BH212" i="3"/>
  <c r="BH213" i="3"/>
  <c r="BH216" i="3"/>
  <c r="BH217" i="3"/>
  <c r="BH219" i="3"/>
  <c r="BH220" i="3"/>
  <c r="BH221" i="3"/>
  <c r="BH223" i="3"/>
  <c r="BH225" i="3"/>
  <c r="BH227" i="3"/>
  <c r="BH228" i="3"/>
  <c r="BH229" i="3"/>
  <c r="BH230" i="3"/>
  <c r="BH231" i="3"/>
  <c r="BH232" i="3"/>
  <c r="BH233" i="3"/>
  <c r="BH234" i="3"/>
  <c r="BH235" i="3"/>
  <c r="BH236" i="3"/>
  <c r="BH237" i="3"/>
  <c r="BH238" i="3"/>
  <c r="BH239" i="3"/>
  <c r="BH240" i="3"/>
  <c r="BH241" i="3"/>
  <c r="BH242" i="3"/>
  <c r="BH243" i="3"/>
  <c r="BH245" i="3"/>
  <c r="BH246" i="3"/>
  <c r="BH247" i="3"/>
  <c r="BH248" i="3"/>
  <c r="BH249" i="3"/>
  <c r="BH250" i="3"/>
  <c r="BH251" i="3"/>
  <c r="BH252" i="3"/>
  <c r="BH253" i="3"/>
  <c r="BH254" i="3"/>
  <c r="BH255" i="3"/>
  <c r="BH256" i="3"/>
  <c r="BH258" i="3"/>
  <c r="BH259" i="3"/>
  <c r="BH260" i="3"/>
  <c r="BH261" i="3"/>
  <c r="BH262" i="3"/>
  <c r="BH263" i="3"/>
  <c r="BH264" i="3"/>
  <c r="BH265" i="3"/>
  <c r="BH266" i="3"/>
  <c r="BH267" i="3"/>
  <c r="BH268" i="3"/>
  <c r="BH270" i="3"/>
  <c r="BH271" i="3"/>
  <c r="BH272" i="3"/>
  <c r="BH273" i="3"/>
  <c r="BH274" i="3"/>
  <c r="BH276" i="3"/>
  <c r="BH279" i="3"/>
  <c r="BH280" i="3"/>
  <c r="BH281" i="3"/>
  <c r="BH283" i="3"/>
  <c r="BH284" i="3"/>
  <c r="BH285" i="3"/>
  <c r="BH286" i="3"/>
  <c r="BH287" i="3"/>
  <c r="BH288" i="3"/>
  <c r="BH289" i="3"/>
  <c r="BH290" i="3"/>
  <c r="BH291" i="3"/>
  <c r="BH292" i="3"/>
  <c r="BH293" i="3"/>
  <c r="BH294" i="3"/>
  <c r="BH295" i="3"/>
  <c r="BH296" i="3"/>
  <c r="BH297" i="3"/>
  <c r="BH298" i="3"/>
  <c r="BH301" i="3"/>
  <c r="BH302" i="3"/>
  <c r="BH303" i="3"/>
  <c r="BH305" i="3"/>
  <c r="BH306" i="3"/>
  <c r="BH307" i="3"/>
  <c r="BH308" i="3"/>
  <c r="BH309" i="3"/>
  <c r="BH310" i="3"/>
  <c r="BH311" i="3"/>
  <c r="BH312" i="3"/>
  <c r="BH313" i="3"/>
  <c r="BH314" i="3"/>
  <c r="BH315" i="3"/>
  <c r="BH316" i="3"/>
  <c r="BH317" i="3"/>
  <c r="BH318" i="3"/>
  <c r="BH319" i="3"/>
  <c r="BH320" i="3"/>
  <c r="BH321" i="3"/>
  <c r="BH322" i="3"/>
  <c r="BH323" i="3"/>
  <c r="BH324" i="3"/>
  <c r="BH325" i="3"/>
  <c r="BH326" i="3"/>
  <c r="BH327" i="3"/>
  <c r="BH329" i="3"/>
  <c r="BH331" i="3"/>
  <c r="BH332" i="3"/>
  <c r="BH333" i="3"/>
  <c r="BH335" i="3"/>
  <c r="BH336" i="3"/>
  <c r="BH337" i="3"/>
  <c r="BH339" i="3"/>
  <c r="BH340" i="3"/>
  <c r="BH341" i="3"/>
  <c r="BH344" i="3"/>
  <c r="BH345" i="3"/>
  <c r="BH346" i="3"/>
  <c r="BH347" i="3"/>
  <c r="BH348" i="3"/>
  <c r="BH349" i="3"/>
  <c r="BH351" i="3"/>
  <c r="BH352" i="3"/>
  <c r="BH353" i="3"/>
  <c r="BH354" i="3"/>
  <c r="BH355" i="3"/>
  <c r="BH356" i="3"/>
  <c r="BH357" i="3"/>
  <c r="BH358" i="3"/>
  <c r="BH361" i="3"/>
  <c r="BH362" i="3"/>
  <c r="BH363" i="3"/>
  <c r="BH364" i="3"/>
  <c r="BH365" i="3"/>
  <c r="BH367" i="3"/>
  <c r="BH368" i="3"/>
  <c r="BH369" i="3"/>
  <c r="BH370" i="3"/>
  <c r="BH371" i="3"/>
  <c r="BH372" i="3"/>
  <c r="BH373" i="3"/>
  <c r="BH374" i="3"/>
  <c r="BH375" i="3"/>
  <c r="BH378" i="3"/>
  <c r="BH379" i="3"/>
  <c r="BH380" i="3"/>
  <c r="BH381" i="3"/>
  <c r="BH382" i="3"/>
  <c r="BH383" i="3"/>
  <c r="BH384" i="3"/>
  <c r="BH385" i="3"/>
  <c r="BH386" i="3"/>
  <c r="BH388" i="3"/>
  <c r="BH389" i="3"/>
  <c r="BH390" i="3"/>
  <c r="BH391" i="3"/>
  <c r="BH392" i="3"/>
  <c r="BH393" i="3"/>
  <c r="BH394" i="3"/>
  <c r="BH395" i="3"/>
  <c r="BH396" i="3"/>
  <c r="BH397" i="3"/>
  <c r="BH398" i="3"/>
  <c r="BH400" i="3"/>
  <c r="BH401" i="3"/>
  <c r="BH402" i="3"/>
  <c r="BH405" i="3"/>
  <c r="BH406" i="3"/>
  <c r="BH407" i="3"/>
  <c r="BH408" i="3"/>
  <c r="BH409" i="3"/>
  <c r="BH410" i="3"/>
  <c r="BH411" i="3"/>
  <c r="BH412" i="3"/>
  <c r="BH413" i="3"/>
  <c r="BH414" i="3"/>
  <c r="BH415" i="3"/>
  <c r="BH416" i="3"/>
  <c r="BH417" i="3"/>
  <c r="BH418" i="3"/>
  <c r="BH420" i="3"/>
  <c r="BH421" i="3"/>
  <c r="BH422" i="3"/>
  <c r="BH423" i="3"/>
  <c r="BH424" i="3"/>
  <c r="BH425" i="3"/>
  <c r="BH426" i="3"/>
  <c r="BH427" i="3"/>
  <c r="BH428" i="3"/>
  <c r="BH429" i="3"/>
  <c r="BH431" i="3"/>
  <c r="BH432" i="3"/>
  <c r="BH435" i="3"/>
  <c r="BH436" i="3"/>
  <c r="BH437" i="3"/>
  <c r="BH438" i="3"/>
  <c r="BH439" i="3"/>
  <c r="BH440" i="3"/>
  <c r="BH441" i="3"/>
  <c r="BH442" i="3"/>
  <c r="BH443" i="3"/>
  <c r="BH444" i="3"/>
  <c r="BH445" i="3"/>
  <c r="BH446" i="3"/>
  <c r="BH447" i="3"/>
  <c r="BH448" i="3"/>
  <c r="BH449" i="3"/>
  <c r="BH450" i="3"/>
  <c r="BH451" i="3"/>
  <c r="BH452" i="3"/>
  <c r="BH454" i="3"/>
  <c r="BH455" i="3"/>
  <c r="BH456" i="3"/>
  <c r="BH457" i="3"/>
  <c r="BH458" i="3"/>
  <c r="BH459" i="3"/>
  <c r="BH460" i="3"/>
  <c r="BH461" i="3"/>
  <c r="BH462" i="3"/>
  <c r="BH463" i="3"/>
  <c r="BH465" i="3"/>
  <c r="BH466" i="3"/>
  <c r="BH468" i="3"/>
  <c r="BH469" i="3"/>
  <c r="BH471" i="3"/>
  <c r="BH472" i="3"/>
  <c r="BH474" i="3"/>
  <c r="BH475" i="3"/>
  <c r="BH476" i="3"/>
  <c r="BH477" i="3"/>
  <c r="BH478" i="3"/>
  <c r="BH480" i="3"/>
  <c r="BH481" i="3"/>
  <c r="BH482" i="3"/>
  <c r="BH483" i="3"/>
  <c r="BH484" i="3"/>
  <c r="BH487" i="3"/>
  <c r="BH489" i="3"/>
  <c r="BH491" i="3"/>
  <c r="BH494" i="3"/>
  <c r="BH495" i="3"/>
  <c r="BH497" i="3"/>
  <c r="BH498" i="3"/>
  <c r="BH499" i="3"/>
  <c r="BH500" i="3"/>
  <c r="BH502" i="3"/>
  <c r="BH504" i="3"/>
  <c r="BH506" i="3"/>
  <c r="BH507" i="3"/>
  <c r="BH508" i="3"/>
  <c r="BH509" i="3"/>
  <c r="BH510" i="3"/>
  <c r="BH511" i="3"/>
  <c r="BH512" i="3"/>
  <c r="BH513" i="3"/>
  <c r="BH514" i="3"/>
  <c r="BH516" i="3"/>
  <c r="BH517" i="3"/>
  <c r="BH518" i="3"/>
  <c r="BH519" i="3"/>
  <c r="BH520" i="3"/>
  <c r="BH521" i="3"/>
  <c r="BH522" i="3"/>
  <c r="BH523" i="3"/>
  <c r="BH524" i="3"/>
  <c r="BH526" i="3"/>
  <c r="BH527" i="3"/>
  <c r="BH528" i="3"/>
  <c r="BH529" i="3"/>
  <c r="BH530" i="3"/>
  <c r="BH531" i="3"/>
  <c r="BH532" i="3"/>
  <c r="BH533" i="3"/>
  <c r="BH535" i="3"/>
  <c r="BH537" i="3"/>
  <c r="BH538" i="3"/>
  <c r="BH539" i="3"/>
  <c r="BH540" i="3"/>
  <c r="BH541" i="3"/>
  <c r="BH542" i="3"/>
  <c r="BH543" i="3"/>
  <c r="BH544" i="3"/>
  <c r="BH546" i="3"/>
  <c r="BH547" i="3"/>
  <c r="BH548" i="3"/>
  <c r="BH550" i="3"/>
  <c r="BH551" i="3"/>
  <c r="BH553" i="3"/>
  <c r="BH554" i="3"/>
  <c r="BH555" i="3"/>
  <c r="BH556" i="3"/>
  <c r="BH559" i="3"/>
  <c r="BH560" i="3"/>
  <c r="BH561" i="3"/>
  <c r="BH562" i="3"/>
  <c r="BH563" i="3"/>
  <c r="BH564" i="3"/>
  <c r="BH565" i="3"/>
  <c r="BH566" i="3"/>
  <c r="BH567" i="3"/>
  <c r="BH568" i="3"/>
  <c r="BH569" i="3"/>
  <c r="BH570" i="3"/>
  <c r="BH571" i="3"/>
  <c r="BH572" i="3"/>
  <c r="BH573" i="3"/>
  <c r="BH574" i="3"/>
  <c r="BH575" i="3"/>
  <c r="BH576" i="3"/>
  <c r="BH577" i="3"/>
  <c r="BH578" i="3"/>
  <c r="BH579" i="3"/>
  <c r="BH580" i="3"/>
  <c r="BH581" i="3"/>
  <c r="BH582" i="3"/>
  <c r="BH583" i="3"/>
  <c r="BH585" i="3"/>
  <c r="BH586" i="3"/>
  <c r="BH587" i="3"/>
  <c r="BH588" i="3"/>
  <c r="BH589" i="3"/>
  <c r="BH590" i="3"/>
  <c r="BH591" i="3"/>
  <c r="BH592" i="3"/>
  <c r="BH593" i="3"/>
  <c r="BH594" i="3"/>
  <c r="BH595" i="3"/>
  <c r="BH597" i="3"/>
  <c r="BH598" i="3"/>
  <c r="BH599" i="3"/>
  <c r="BH600" i="3"/>
  <c r="BH601" i="3"/>
  <c r="BH602" i="3"/>
  <c r="BH603" i="3"/>
  <c r="BH604" i="3"/>
  <c r="BH605" i="3"/>
  <c r="BH606" i="3"/>
  <c r="BH607" i="3"/>
  <c r="BH609" i="3"/>
  <c r="BH610" i="3"/>
  <c r="BH611" i="3"/>
  <c r="BH612" i="3"/>
  <c r="BH613" i="3"/>
  <c r="BH614" i="3"/>
  <c r="BH615" i="3"/>
  <c r="BH616" i="3"/>
  <c r="BH617" i="3"/>
  <c r="BH618" i="3"/>
  <c r="BH619" i="3"/>
  <c r="BH620" i="3"/>
  <c r="BH621" i="3"/>
  <c r="BH623" i="3"/>
  <c r="BH624" i="3"/>
  <c r="BH625" i="3"/>
  <c r="BH626" i="3"/>
  <c r="BH627" i="3"/>
  <c r="BH628" i="3"/>
  <c r="BH629" i="3"/>
  <c r="BH630" i="3"/>
  <c r="BH631" i="3"/>
  <c r="BH633" i="3"/>
  <c r="BH634" i="3"/>
  <c r="BH637" i="3"/>
  <c r="BH638" i="3"/>
  <c r="BH640" i="3"/>
  <c r="BH641" i="3"/>
  <c r="BH642" i="3"/>
  <c r="BH643" i="3"/>
  <c r="BH644" i="3"/>
  <c r="BH645" i="3"/>
  <c r="BH647" i="3"/>
  <c r="BH649" i="3"/>
  <c r="BH650" i="3"/>
  <c r="BH652" i="3"/>
  <c r="BH653" i="3"/>
  <c r="BH654" i="3"/>
  <c r="BH655" i="3"/>
  <c r="BH656" i="3"/>
  <c r="BH658" i="3"/>
  <c r="BH659" i="3"/>
  <c r="BH662" i="3"/>
  <c r="BH663" i="3"/>
  <c r="BH664" i="3"/>
  <c r="BH665" i="3"/>
  <c r="BH666" i="3"/>
  <c r="BH667" i="3"/>
  <c r="BH669" i="3"/>
  <c r="BH670" i="3"/>
  <c r="BH672" i="3"/>
  <c r="BH673" i="3"/>
  <c r="BH674" i="3"/>
  <c r="BH675" i="3"/>
  <c r="BH676" i="3"/>
  <c r="BH677" i="3"/>
  <c r="BH678" i="3"/>
  <c r="BH679" i="3"/>
  <c r="BH680" i="3"/>
  <c r="BH681" i="3"/>
  <c r="BH682" i="3"/>
  <c r="BH684" i="3"/>
  <c r="BH685" i="3"/>
  <c r="BH686" i="3"/>
  <c r="BH687" i="3"/>
  <c r="BH688" i="3"/>
  <c r="BH689" i="3"/>
  <c r="BH690" i="3"/>
  <c r="BH691" i="3"/>
  <c r="BH692" i="3"/>
  <c r="BH693" i="3"/>
  <c r="BH694" i="3"/>
  <c r="BH695" i="3"/>
  <c r="BH696" i="3"/>
  <c r="BH697" i="3"/>
  <c r="BH698" i="3"/>
  <c r="BH699" i="3"/>
  <c r="BH700" i="3"/>
  <c r="BH702" i="3"/>
  <c r="BH703" i="3"/>
  <c r="BH704" i="3"/>
  <c r="BH706" i="3"/>
  <c r="BH707" i="3"/>
  <c r="BH708" i="3"/>
  <c r="BH709" i="3"/>
  <c r="BH710" i="3"/>
  <c r="BH711" i="3"/>
  <c r="BH712" i="3"/>
  <c r="BH714" i="3"/>
  <c r="BH715" i="3"/>
  <c r="BH716" i="3"/>
  <c r="BH718" i="3"/>
  <c r="BH719" i="3"/>
  <c r="BH720" i="3"/>
  <c r="BH721" i="3"/>
  <c r="BH722" i="3"/>
  <c r="BH723" i="3"/>
  <c r="BH724" i="3"/>
  <c r="BH725" i="3"/>
  <c r="BH726" i="3"/>
  <c r="BH727" i="3"/>
  <c r="BH728" i="3"/>
  <c r="BH729" i="3"/>
  <c r="BH730" i="3"/>
  <c r="BH731" i="3"/>
  <c r="BH732" i="3"/>
  <c r="BH733" i="3"/>
  <c r="BH734" i="3"/>
  <c r="BH735" i="3"/>
  <c r="BH736" i="3"/>
  <c r="BH737" i="3"/>
  <c r="BH738" i="3"/>
  <c r="BH739" i="3"/>
  <c r="BH740" i="3"/>
  <c r="BH741" i="3"/>
  <c r="BH742" i="3"/>
  <c r="BH743" i="3"/>
  <c r="BH744" i="3"/>
  <c r="BH745" i="3"/>
  <c r="BH747" i="3"/>
  <c r="BH748" i="3"/>
  <c r="BH749" i="3"/>
  <c r="BH750" i="3"/>
  <c r="BH751" i="3"/>
  <c r="BH752" i="3"/>
  <c r="BH753" i="3"/>
  <c r="BH754" i="3"/>
  <c r="BH755" i="3"/>
  <c r="BH756" i="3"/>
  <c r="BH757" i="3"/>
  <c r="BH758" i="3"/>
  <c r="BH759" i="3"/>
  <c r="BH760" i="3"/>
  <c r="BH761" i="3"/>
  <c r="BH762" i="3"/>
  <c r="BH763" i="3"/>
  <c r="BH764" i="3"/>
  <c r="BH765" i="3"/>
  <c r="BH766" i="3"/>
  <c r="BH767" i="3"/>
  <c r="BH769" i="3"/>
  <c r="BH772" i="3"/>
  <c r="BH773" i="3"/>
  <c r="BH774" i="3"/>
  <c r="BH775" i="3"/>
  <c r="BH777" i="3"/>
  <c r="BH778" i="3"/>
  <c r="BH779" i="3"/>
  <c r="BH781" i="3"/>
  <c r="BH782" i="3"/>
  <c r="BH783" i="3"/>
  <c r="BH784" i="3"/>
  <c r="BH785" i="3"/>
  <c r="BH786" i="3"/>
  <c r="BH787" i="3"/>
  <c r="BH788" i="3"/>
  <c r="BH790" i="3"/>
  <c r="BH792" i="3"/>
  <c r="BH794" i="3"/>
  <c r="BH795" i="3"/>
  <c r="BH796" i="3"/>
  <c r="BH797" i="3"/>
  <c r="BH798" i="3"/>
  <c r="BH799" i="3"/>
  <c r="BH800" i="3"/>
  <c r="BH801" i="3"/>
  <c r="BH802" i="3"/>
  <c r="BH804" i="3"/>
  <c r="BH805" i="3"/>
  <c r="BH806" i="3"/>
  <c r="BH807" i="3"/>
  <c r="BH808" i="3"/>
  <c r="BH809" i="3"/>
  <c r="BH810" i="3"/>
  <c r="BH812" i="3"/>
  <c r="BH813" i="3"/>
  <c r="BH814" i="3"/>
  <c r="BH815" i="3"/>
  <c r="BH816" i="3"/>
  <c r="BH817" i="3"/>
  <c r="BH819" i="3"/>
  <c r="BH820" i="3"/>
  <c r="BH821" i="3"/>
  <c r="BH823" i="3"/>
  <c r="BH824" i="3"/>
  <c r="BH825" i="3"/>
  <c r="BH826" i="3"/>
  <c r="BH827" i="3"/>
  <c r="BH828" i="3"/>
  <c r="BH829" i="3"/>
  <c r="BH831" i="3"/>
  <c r="BH832" i="3"/>
  <c r="BH833" i="3"/>
  <c r="BH835" i="3"/>
  <c r="BH836" i="3"/>
  <c r="BH837" i="3"/>
  <c r="BH838" i="3"/>
  <c r="BH839" i="3"/>
  <c r="BH840" i="3"/>
  <c r="BH841" i="3"/>
  <c r="BH843" i="3"/>
  <c r="BH844" i="3"/>
  <c r="BH845" i="3"/>
  <c r="BH846" i="3"/>
  <c r="BH847" i="3"/>
  <c r="BH848" i="3"/>
  <c r="BH849" i="3"/>
  <c r="BH850" i="3"/>
  <c r="BH851" i="3"/>
  <c r="BH852" i="3"/>
  <c r="BH853" i="3"/>
  <c r="BH854" i="3"/>
  <c r="BH856" i="3"/>
  <c r="BH857" i="3"/>
  <c r="BH858" i="3"/>
  <c r="BH860" i="3"/>
  <c r="BH861" i="3"/>
  <c r="BH862" i="3"/>
  <c r="BH863" i="3"/>
  <c r="BH864" i="3"/>
  <c r="BH865" i="3"/>
  <c r="BH866" i="3"/>
  <c r="BH867" i="3"/>
  <c r="BH868" i="3"/>
  <c r="BH869" i="3"/>
  <c r="BH870" i="3"/>
  <c r="BH871" i="3"/>
  <c r="BH872" i="3"/>
  <c r="BH873" i="3"/>
  <c r="BH874" i="3"/>
  <c r="BH875" i="3"/>
  <c r="BH876" i="3"/>
  <c r="BH877" i="3"/>
  <c r="BH878" i="3"/>
  <c r="BH880" i="3"/>
  <c r="BH881" i="3"/>
  <c r="BH882" i="3"/>
  <c r="BH884" i="3"/>
  <c r="BH885" i="3"/>
  <c r="BH887" i="3"/>
  <c r="BH888" i="3"/>
  <c r="BH889" i="3"/>
  <c r="BH890" i="3"/>
  <c r="BH891" i="3"/>
  <c r="BH893" i="3"/>
  <c r="BH894" i="3"/>
  <c r="BH895" i="3"/>
  <c r="BH896" i="3"/>
  <c r="BH898" i="3"/>
  <c r="BH899" i="3"/>
  <c r="BH900" i="3"/>
  <c r="BH901" i="3"/>
  <c r="BH902" i="3"/>
  <c r="BH903" i="3"/>
  <c r="BH904" i="3"/>
  <c r="BH905" i="3"/>
  <c r="BH906" i="3"/>
  <c r="BH907" i="3"/>
  <c r="BH908" i="3"/>
  <c r="BH909" i="3"/>
  <c r="BH910" i="3"/>
  <c r="BH911" i="3"/>
  <c r="BH912" i="3"/>
  <c r="BH913" i="3"/>
  <c r="BH914" i="3"/>
  <c r="AW3" i="3"/>
  <c r="AW4" i="3"/>
  <c r="AW5" i="3"/>
  <c r="AW6" i="3"/>
  <c r="AW11" i="3"/>
  <c r="AW12" i="3"/>
  <c r="AW13" i="3"/>
  <c r="AW14" i="3"/>
  <c r="AW15" i="3"/>
  <c r="AW16" i="3"/>
  <c r="AW18" i="3"/>
  <c r="AW19" i="3"/>
  <c r="AW20" i="3"/>
  <c r="AW22" i="3"/>
  <c r="AW23" i="3"/>
  <c r="AW24" i="3"/>
  <c r="AW27" i="3"/>
  <c r="AW28" i="3"/>
  <c r="AW29" i="3"/>
  <c r="AW30" i="3"/>
  <c r="AW31" i="3"/>
  <c r="AW33" i="3"/>
  <c r="AW34" i="3"/>
  <c r="AW35" i="3"/>
  <c r="AW36" i="3"/>
  <c r="AW38" i="3"/>
  <c r="AW39" i="3"/>
  <c r="AW40" i="3"/>
  <c r="AW42" i="3"/>
  <c r="AW45" i="3"/>
  <c r="AW46" i="3"/>
  <c r="AW49" i="3"/>
  <c r="AW50" i="3"/>
  <c r="AW51" i="3"/>
  <c r="AW52" i="3"/>
  <c r="AW54" i="3"/>
  <c r="AW55" i="3"/>
  <c r="AW57" i="3"/>
  <c r="AW58" i="3"/>
  <c r="AW59" i="3"/>
  <c r="AW61" i="3"/>
  <c r="AW62" i="3"/>
  <c r="AW63" i="3"/>
  <c r="AW65" i="3"/>
  <c r="AW66" i="3"/>
  <c r="AW68" i="3"/>
  <c r="AW70" i="3"/>
  <c r="AW71" i="3"/>
  <c r="AW73" i="3"/>
  <c r="AW74" i="3"/>
  <c r="AW75" i="3"/>
  <c r="AW77" i="3"/>
  <c r="AW78" i="3"/>
  <c r="AW80" i="3"/>
  <c r="AW81" i="3"/>
  <c r="AW84" i="3"/>
  <c r="AW85" i="3"/>
  <c r="AW87" i="3"/>
  <c r="AW89" i="3"/>
  <c r="AW94" i="3"/>
  <c r="AW96" i="3"/>
  <c r="AW97" i="3"/>
  <c r="AW98" i="3"/>
  <c r="AW99" i="3"/>
  <c r="AW100" i="3"/>
  <c r="AW103" i="3"/>
  <c r="AW104" i="3"/>
  <c r="AW107" i="3"/>
  <c r="AW108" i="3"/>
  <c r="AW109" i="3"/>
  <c r="AW112" i="3"/>
  <c r="AW113" i="3"/>
  <c r="AW114" i="3"/>
  <c r="AW115" i="3"/>
  <c r="AW116" i="3"/>
  <c r="AW117" i="3"/>
  <c r="AW119" i="3"/>
  <c r="AW123" i="3"/>
  <c r="AW124" i="3"/>
  <c r="AW125" i="3"/>
  <c r="AW126" i="3"/>
  <c r="AW127" i="3"/>
  <c r="AW128" i="3"/>
  <c r="AW129" i="3"/>
  <c r="AW130" i="3"/>
  <c r="AW132" i="3"/>
  <c r="AW134" i="3"/>
  <c r="AW135" i="3"/>
  <c r="AW136" i="3"/>
  <c r="AW138" i="3"/>
  <c r="AW139" i="3"/>
  <c r="AW145" i="3"/>
  <c r="AW147" i="3"/>
  <c r="AW148" i="3"/>
  <c r="AW149" i="3"/>
  <c r="AW150" i="3"/>
  <c r="AW152" i="3"/>
  <c r="AW153" i="3"/>
  <c r="AW154" i="3"/>
  <c r="AW156" i="3"/>
  <c r="AW158" i="3"/>
  <c r="AW159" i="3"/>
  <c r="AW160" i="3"/>
  <c r="AW161" i="3"/>
  <c r="AW162" i="3"/>
  <c r="AW163" i="3"/>
  <c r="AW164" i="3"/>
  <c r="AW166" i="3"/>
  <c r="AW167" i="3"/>
  <c r="AW168" i="3"/>
  <c r="AW170" i="3"/>
  <c r="AW172" i="3"/>
  <c r="AW173" i="3"/>
  <c r="AW175" i="3"/>
  <c r="AW178" i="3"/>
  <c r="AW180" i="3"/>
  <c r="AW181" i="3"/>
  <c r="AW182" i="3"/>
  <c r="AW183" i="3"/>
  <c r="AW184" i="3"/>
  <c r="AW185" i="3"/>
  <c r="AW186" i="3"/>
  <c r="AW187" i="3"/>
  <c r="AW188" i="3"/>
  <c r="AW189" i="3"/>
  <c r="AW194" i="3"/>
  <c r="AW195" i="3"/>
  <c r="AW196" i="3"/>
  <c r="AW197" i="3"/>
  <c r="AW198" i="3"/>
  <c r="AW200" i="3"/>
  <c r="AW202" i="3"/>
  <c r="AW203" i="3"/>
  <c r="AW204" i="3"/>
  <c r="AW205" i="3"/>
  <c r="AW208" i="3"/>
  <c r="AW209" i="3"/>
  <c r="AW210" i="3"/>
  <c r="AW212" i="3"/>
  <c r="AW213" i="3"/>
  <c r="AW215" i="3"/>
  <c r="AW217" i="3"/>
  <c r="AW218" i="3"/>
  <c r="AW219" i="3"/>
  <c r="AW220" i="3"/>
  <c r="AW221" i="3"/>
  <c r="AW223" i="3"/>
  <c r="AW224" i="3"/>
  <c r="AW225" i="3"/>
  <c r="AW227" i="3"/>
  <c r="AW228" i="3"/>
  <c r="AW229" i="3"/>
  <c r="AW230" i="3"/>
  <c r="AW231" i="3"/>
  <c r="AW232" i="3"/>
  <c r="AW233" i="3"/>
  <c r="AW234" i="3"/>
  <c r="AW235" i="3"/>
  <c r="AW236" i="3"/>
  <c r="AW237" i="3"/>
  <c r="AW238" i="3"/>
  <c r="AW239" i="3"/>
  <c r="AW240" i="3"/>
  <c r="AW242" i="3"/>
  <c r="AW243" i="3"/>
  <c r="AW245" i="3"/>
  <c r="AW246" i="3"/>
  <c r="AW247" i="3"/>
  <c r="AW249" i="3"/>
  <c r="AW253" i="3"/>
  <c r="AW254" i="3"/>
  <c r="AW256" i="3"/>
  <c r="AW258" i="3"/>
  <c r="AW259" i="3"/>
  <c r="AW260" i="3"/>
  <c r="AW262" i="3"/>
  <c r="AW264" i="3"/>
  <c r="AW265" i="3"/>
  <c r="AW266" i="3"/>
  <c r="AW267" i="3"/>
  <c r="AW268" i="3"/>
  <c r="AW270" i="3"/>
  <c r="AW271" i="3"/>
  <c r="AW273" i="3"/>
  <c r="AW274" i="3"/>
  <c r="AW276" i="3"/>
  <c r="AW278" i="3"/>
  <c r="AW281" i="3"/>
  <c r="AW282" i="3"/>
  <c r="AW283" i="3"/>
  <c r="AW285" i="3"/>
  <c r="AW286" i="3"/>
  <c r="AW287" i="3"/>
  <c r="AW288" i="3"/>
  <c r="AW289" i="3"/>
  <c r="AW290" i="3"/>
  <c r="AW293" i="3"/>
  <c r="AW294" i="3"/>
  <c r="AW295" i="3"/>
  <c r="AW298" i="3"/>
  <c r="AW299" i="3"/>
  <c r="AW300" i="3"/>
  <c r="AW301" i="3"/>
  <c r="AW302" i="3"/>
  <c r="AW305" i="3"/>
  <c r="AW308" i="3"/>
  <c r="AW309" i="3"/>
  <c r="AW310" i="3"/>
  <c r="AW313" i="3"/>
  <c r="AW314" i="3"/>
  <c r="AW315" i="3"/>
  <c r="AW317" i="3"/>
  <c r="AW318" i="3"/>
  <c r="AW319" i="3"/>
  <c r="AW320" i="3"/>
  <c r="AW321" i="3"/>
  <c r="AW323" i="3"/>
  <c r="AW324" i="3"/>
  <c r="AW325" i="3"/>
  <c r="AW327" i="3"/>
  <c r="AW331" i="3"/>
  <c r="AW332" i="3"/>
  <c r="AW335" i="3"/>
  <c r="AW338" i="3"/>
  <c r="AW340" i="3"/>
  <c r="AW341" i="3"/>
  <c r="AW343" i="3"/>
  <c r="AW344" i="3"/>
  <c r="AW345" i="3"/>
  <c r="AW347" i="3"/>
  <c r="AW348" i="3"/>
  <c r="AW349" i="3"/>
  <c r="AW351" i="3"/>
  <c r="AW352" i="3"/>
  <c r="AW353" i="3"/>
  <c r="AW356" i="3"/>
  <c r="AW357" i="3"/>
  <c r="AW360" i="3"/>
  <c r="AW361" i="3"/>
  <c r="AW362" i="3"/>
  <c r="AW363" i="3"/>
  <c r="AW364" i="3"/>
  <c r="AW365" i="3"/>
  <c r="AW367" i="3"/>
  <c r="AW368" i="3"/>
  <c r="AW369" i="3"/>
  <c r="AW370" i="3"/>
  <c r="AW371" i="3"/>
  <c r="AW372" i="3"/>
  <c r="AW373" i="3"/>
  <c r="AW375" i="3"/>
  <c r="AW376" i="3"/>
  <c r="AW378" i="3"/>
  <c r="AW379" i="3"/>
  <c r="AW384" i="3"/>
  <c r="AW388" i="3"/>
  <c r="AW389" i="3"/>
  <c r="AW391" i="3"/>
  <c r="AW392" i="3"/>
  <c r="AW394" i="3"/>
  <c r="AW396" i="3"/>
  <c r="AW398" i="3"/>
  <c r="AW400" i="3"/>
  <c r="AW402" i="3"/>
  <c r="AW405" i="3"/>
  <c r="AW406" i="3"/>
  <c r="AW407" i="3"/>
  <c r="AW408" i="3"/>
  <c r="AW409" i="3"/>
  <c r="AW410" i="3"/>
  <c r="AW411" i="3"/>
  <c r="AW415" i="3"/>
  <c r="AW416" i="3"/>
  <c r="AW419" i="3"/>
  <c r="AW420" i="3"/>
  <c r="AW421" i="3"/>
  <c r="AW423" i="3"/>
  <c r="AW428" i="3"/>
  <c r="AW429" i="3"/>
  <c r="AW431" i="3"/>
  <c r="AW435" i="3"/>
  <c r="AW436" i="3"/>
  <c r="AW438" i="3"/>
  <c r="AW439" i="3"/>
  <c r="AW440" i="3"/>
  <c r="AW444" i="3"/>
  <c r="AW445" i="3"/>
  <c r="AW446" i="3"/>
  <c r="AW447" i="3"/>
  <c r="AW448" i="3"/>
  <c r="AW449" i="3"/>
  <c r="AW450" i="3"/>
  <c r="AW452" i="3"/>
  <c r="AW454" i="3"/>
  <c r="AW457" i="3"/>
  <c r="AW459" i="3"/>
  <c r="AW460" i="3"/>
  <c r="AW461" i="3"/>
  <c r="AW462" i="3"/>
  <c r="AW463" i="3"/>
  <c r="AW466" i="3"/>
  <c r="AW469" i="3"/>
  <c r="AW472" i="3"/>
  <c r="AW474" i="3"/>
  <c r="AW475" i="3"/>
  <c r="AW476" i="3"/>
  <c r="AW477" i="3"/>
  <c r="AW478" i="3"/>
  <c r="AW480" i="3"/>
  <c r="AW481" i="3"/>
  <c r="AW482" i="3"/>
  <c r="AW483" i="3"/>
  <c r="AW484" i="3"/>
  <c r="AW487" i="3"/>
  <c r="AW489" i="3"/>
  <c r="AW491" i="3"/>
  <c r="AW494" i="3"/>
  <c r="AW495" i="3"/>
  <c r="AW498" i="3"/>
  <c r="AW499" i="3"/>
  <c r="AW500" i="3"/>
  <c r="AW501" i="3"/>
  <c r="AW502" i="3"/>
  <c r="AW504" i="3"/>
  <c r="AW505" i="3"/>
  <c r="AW506" i="3"/>
  <c r="AW507" i="3"/>
  <c r="AW510" i="3"/>
  <c r="AW512" i="3"/>
  <c r="AW513" i="3"/>
  <c r="AW514" i="3"/>
  <c r="AW516" i="3"/>
  <c r="AW520" i="3"/>
  <c r="AW521" i="3"/>
  <c r="AW523" i="3"/>
  <c r="AW524" i="3"/>
  <c r="AW526" i="3"/>
  <c r="AW528" i="3"/>
  <c r="AW529" i="3"/>
  <c r="AW530" i="3"/>
  <c r="AW531" i="3"/>
  <c r="AW532" i="3"/>
  <c r="AW535" i="3"/>
  <c r="AW539" i="3"/>
  <c r="AW540" i="3"/>
  <c r="AW543" i="3"/>
  <c r="AW544" i="3"/>
  <c r="AW546" i="3"/>
  <c r="AW550" i="3"/>
  <c r="AW551" i="3"/>
  <c r="AW552" i="3"/>
  <c r="AW553" i="3"/>
  <c r="AW554" i="3"/>
  <c r="AW555" i="3"/>
  <c r="AW556" i="3"/>
  <c r="AW557" i="3"/>
  <c r="AW559" i="3"/>
  <c r="AW561" i="3"/>
  <c r="AW562" i="3"/>
  <c r="AW563" i="3"/>
  <c r="AW564" i="3"/>
  <c r="AW567" i="3"/>
  <c r="AW569" i="3"/>
  <c r="AW570" i="3"/>
  <c r="AW571" i="3"/>
  <c r="AW572" i="3"/>
  <c r="AW573" i="3"/>
  <c r="AW574" i="3"/>
  <c r="AW576" i="3"/>
  <c r="AW577" i="3"/>
  <c r="AW579" i="3"/>
  <c r="AW580" i="3"/>
  <c r="AW581" i="3"/>
  <c r="AW582" i="3"/>
  <c r="AW583" i="3"/>
  <c r="AW584" i="3"/>
  <c r="AW585" i="3"/>
  <c r="AW586" i="3"/>
  <c r="AW587" i="3"/>
  <c r="AW589" i="3"/>
  <c r="AW590" i="3"/>
  <c r="AW592" i="3"/>
  <c r="AW594" i="3"/>
  <c r="AW597" i="3"/>
  <c r="AW598" i="3"/>
  <c r="AW599" i="3"/>
  <c r="AW600" i="3"/>
  <c r="AW601" i="3"/>
  <c r="AW602" i="3"/>
  <c r="AW603" i="3"/>
  <c r="AW604" i="3"/>
  <c r="AW606" i="3"/>
  <c r="AW609" i="3"/>
  <c r="AW610" i="3"/>
  <c r="AW611" i="3"/>
  <c r="AW612" i="3"/>
  <c r="AW614" i="3"/>
  <c r="AW615" i="3"/>
  <c r="AW616" i="3"/>
  <c r="AW618" i="3"/>
  <c r="AW620" i="3"/>
  <c r="AW621" i="3"/>
  <c r="AW625" i="3"/>
  <c r="AW627" i="3"/>
  <c r="AW630" i="3"/>
  <c r="AW634" i="3"/>
  <c r="AW637" i="3"/>
  <c r="AW640" i="3"/>
  <c r="AW641" i="3"/>
  <c r="AW643" i="3"/>
  <c r="AW644" i="3"/>
  <c r="AW645" i="3"/>
  <c r="AW646" i="3"/>
  <c r="AW649" i="3"/>
  <c r="AW651" i="3"/>
  <c r="AW652" i="3"/>
  <c r="AW653" i="3"/>
  <c r="AW654" i="3"/>
  <c r="AW658" i="3"/>
  <c r="AW659" i="3"/>
  <c r="AW662" i="3"/>
  <c r="AW664" i="3"/>
  <c r="AW665" i="3"/>
  <c r="AW666" i="3"/>
  <c r="AW667" i="3"/>
  <c r="AW669" i="3"/>
  <c r="AW672" i="3"/>
  <c r="AW673" i="3"/>
  <c r="AW674" i="3"/>
  <c r="AW675" i="3"/>
  <c r="AW676" i="3"/>
  <c r="AW677" i="3"/>
  <c r="AW680" i="3"/>
  <c r="AW681" i="3"/>
  <c r="AW682" i="3"/>
  <c r="AW684" i="3"/>
  <c r="AW685" i="3"/>
  <c r="AW686" i="3"/>
  <c r="AW687" i="3"/>
  <c r="AW688" i="3"/>
  <c r="AW689" i="3"/>
  <c r="AW690" i="3"/>
  <c r="AW691" i="3"/>
  <c r="AW692" i="3"/>
  <c r="AW693" i="3"/>
  <c r="AW694" i="3"/>
  <c r="AW696" i="3"/>
  <c r="AW697" i="3"/>
  <c r="AW698" i="3"/>
  <c r="AW699" i="3"/>
  <c r="AW702" i="3"/>
  <c r="AW704" i="3"/>
  <c r="AW705" i="3"/>
  <c r="AW706" i="3"/>
  <c r="AW707" i="3"/>
  <c r="AW708" i="3"/>
  <c r="AW709" i="3"/>
  <c r="AW712" i="3"/>
  <c r="AW713" i="3"/>
  <c r="AW714" i="3"/>
  <c r="AW715" i="3"/>
  <c r="AW716" i="3"/>
  <c r="AW718" i="3"/>
  <c r="AW719" i="3"/>
  <c r="AW720" i="3"/>
  <c r="AW721" i="3"/>
  <c r="AW722" i="3"/>
  <c r="AW724" i="3"/>
  <c r="AW725" i="3"/>
  <c r="AW726" i="3"/>
  <c r="AW727" i="3"/>
  <c r="AW728" i="3"/>
  <c r="AW729" i="3"/>
  <c r="AW731" i="3"/>
  <c r="AW732" i="3"/>
  <c r="AW733" i="3"/>
  <c r="AW734" i="3"/>
  <c r="AW736" i="3"/>
  <c r="AW737" i="3"/>
  <c r="AW738" i="3"/>
  <c r="AW739" i="3"/>
  <c r="AW740" i="3"/>
  <c r="AW741" i="3"/>
  <c r="AW742" i="3"/>
  <c r="AW743" i="3"/>
  <c r="AW744" i="3"/>
  <c r="AW745" i="3"/>
  <c r="AW746" i="3"/>
  <c r="AW748" i="3"/>
  <c r="AW749" i="3"/>
  <c r="AW750" i="3"/>
  <c r="AW753" i="3"/>
  <c r="AW754" i="3"/>
  <c r="AW755" i="3"/>
  <c r="AW756" i="3"/>
  <c r="AW757" i="3"/>
  <c r="AW758" i="3"/>
  <c r="AW759" i="3"/>
  <c r="AW760" i="3"/>
  <c r="AW761" i="3"/>
  <c r="AW763" i="3"/>
  <c r="AW764" i="3"/>
  <c r="AW765" i="3"/>
  <c r="AW766" i="3"/>
  <c r="AW767" i="3"/>
  <c r="AW768" i="3"/>
  <c r="AW769" i="3"/>
  <c r="AW772" i="3"/>
  <c r="AW773" i="3"/>
  <c r="AW774" i="3"/>
  <c r="AW775" i="3"/>
  <c r="AW778" i="3"/>
  <c r="AW779" i="3"/>
  <c r="AW780" i="3"/>
  <c r="AW783" i="3"/>
  <c r="AW787" i="3"/>
  <c r="AW790" i="3"/>
  <c r="AW793" i="3"/>
  <c r="AW794" i="3"/>
  <c r="AW795" i="3"/>
  <c r="AW796" i="3"/>
  <c r="AW798" i="3"/>
  <c r="AW799" i="3"/>
  <c r="AW800" i="3"/>
  <c r="AW802" i="3"/>
  <c r="AW804" i="3"/>
  <c r="AW805" i="3"/>
  <c r="AW807" i="3"/>
  <c r="AW809" i="3"/>
  <c r="AW812" i="3"/>
  <c r="AW813" i="3"/>
  <c r="AW814" i="3"/>
  <c r="AW815" i="3"/>
  <c r="AW816" i="3"/>
  <c r="AW817" i="3"/>
  <c r="AW819" i="3"/>
  <c r="AW820" i="3"/>
  <c r="AW823" i="3"/>
  <c r="AW824" i="3"/>
  <c r="AW825" i="3"/>
  <c r="AW826" i="3"/>
  <c r="AW827" i="3"/>
  <c r="AW828" i="3"/>
  <c r="AW829" i="3"/>
  <c r="AW831" i="3"/>
  <c r="AW832" i="3"/>
  <c r="AW834" i="3"/>
  <c r="AW835" i="3"/>
  <c r="AW836" i="3"/>
  <c r="AW837" i="3"/>
  <c r="AW839" i="3"/>
  <c r="AW843" i="3"/>
  <c r="AW844" i="3"/>
  <c r="AW846" i="3"/>
  <c r="AW847" i="3"/>
  <c r="AW848" i="3"/>
  <c r="AW849" i="3"/>
  <c r="AW850" i="3"/>
  <c r="AW851" i="3"/>
  <c r="AW855" i="3"/>
  <c r="AW856" i="3"/>
  <c r="AW858" i="3"/>
  <c r="AW860" i="3"/>
  <c r="AW861" i="3"/>
  <c r="AW862" i="3"/>
  <c r="AW863" i="3"/>
  <c r="AW865" i="3"/>
  <c r="AW866" i="3"/>
  <c r="AW867" i="3"/>
  <c r="AW868" i="3"/>
  <c r="AW869" i="3"/>
  <c r="AW870" i="3"/>
  <c r="AW872" i="3"/>
  <c r="AW873" i="3"/>
  <c r="AW874" i="3"/>
  <c r="AW875" i="3"/>
  <c r="AW877" i="3"/>
  <c r="AW878" i="3"/>
  <c r="AW879" i="3"/>
  <c r="AW880" i="3"/>
  <c r="AW882" i="3"/>
  <c r="AW884" i="3"/>
  <c r="AW885" i="3"/>
  <c r="AW887" i="3"/>
  <c r="AW888" i="3"/>
  <c r="AW889" i="3"/>
  <c r="AW890" i="3"/>
  <c r="AW894" i="3"/>
  <c r="AW895" i="3"/>
  <c r="AW898" i="3"/>
  <c r="AW899" i="3"/>
  <c r="AW900" i="3"/>
  <c r="AW901" i="3"/>
  <c r="AW902" i="3"/>
  <c r="AW903" i="3"/>
  <c r="AW904" i="3"/>
  <c r="AW906" i="3"/>
  <c r="AW908" i="3"/>
  <c r="AW910" i="3"/>
  <c r="AW911" i="3"/>
  <c r="AW912" i="3"/>
  <c r="AW913" i="3"/>
  <c r="AW914" i="3"/>
  <c r="AT11" i="3"/>
  <c r="AT12" i="3"/>
  <c r="AT18" i="3"/>
  <c r="AT26" i="3"/>
  <c r="AT28" i="3"/>
  <c r="AT38" i="3"/>
  <c r="AT42" i="3"/>
  <c r="AT54" i="3"/>
  <c r="AT55" i="3"/>
  <c r="AT70" i="3"/>
  <c r="AT72" i="3"/>
  <c r="AT75" i="3"/>
  <c r="AT81" i="3"/>
  <c r="AT84" i="3"/>
  <c r="AT111" i="3"/>
  <c r="AT117" i="3"/>
  <c r="AT125" i="3"/>
  <c r="AT138" i="3"/>
  <c r="AT152" i="3"/>
  <c r="AT159" i="3"/>
  <c r="AT207" i="3"/>
  <c r="AT235" i="3"/>
  <c r="AT246" i="3"/>
  <c r="AT255" i="3"/>
  <c r="AT267" i="3"/>
  <c r="AT270" i="3"/>
  <c r="AT288" i="3"/>
  <c r="AT289" i="3"/>
  <c r="AT307" i="3"/>
  <c r="AT309" i="3"/>
  <c r="AT323" i="3"/>
  <c r="AT327" i="3"/>
  <c r="AT333" i="3"/>
  <c r="AT366" i="3"/>
  <c r="AT367" i="3"/>
  <c r="AT368" i="3"/>
  <c r="AT395" i="3"/>
  <c r="AT407" i="3"/>
  <c r="AT414" i="3"/>
  <c r="AT424" i="3"/>
  <c r="AT431" i="3"/>
  <c r="AT434" i="3"/>
  <c r="AT476" i="3"/>
  <c r="AT494" i="3"/>
  <c r="AT524" i="3"/>
  <c r="AT527" i="3"/>
  <c r="AT535" i="3"/>
  <c r="AT563" i="3"/>
  <c r="AT569" i="3"/>
  <c r="AT581" i="3"/>
  <c r="AT606" i="3"/>
  <c r="AT609" i="3"/>
  <c r="AT616" i="3"/>
  <c r="AT626" i="3"/>
  <c r="AT634" i="3"/>
  <c r="AT706" i="3"/>
  <c r="AT749" i="3"/>
  <c r="AT753" i="3"/>
  <c r="AT755" i="3"/>
  <c r="AT787" i="3"/>
  <c r="AT831" i="3"/>
  <c r="AT838" i="3"/>
  <c r="AT850" i="3"/>
  <c r="AT870" i="3"/>
  <c r="AT873" i="3"/>
  <c r="AT885" i="3"/>
  <c r="AT887" i="3"/>
  <c r="AT907" i="3"/>
  <c r="AS11" i="3"/>
  <c r="AS12" i="3"/>
  <c r="AS18" i="3"/>
  <c r="AS26" i="3"/>
  <c r="AS28" i="3"/>
  <c r="AS38" i="3"/>
  <c r="AS42" i="3"/>
  <c r="AS54" i="3"/>
  <c r="AS55" i="3"/>
  <c r="AS70" i="3"/>
  <c r="AS72" i="3"/>
  <c r="AS75" i="3"/>
  <c r="AS81" i="3"/>
  <c r="AS84" i="3"/>
  <c r="AS111" i="3"/>
  <c r="AS117" i="3"/>
  <c r="AS125" i="3"/>
  <c r="AS138" i="3"/>
  <c r="AS152" i="3"/>
  <c r="AS159" i="3"/>
  <c r="AS207" i="3"/>
  <c r="AS235" i="3"/>
  <c r="AS246" i="3"/>
  <c r="AS255" i="3"/>
  <c r="AS267" i="3"/>
  <c r="AS270" i="3"/>
  <c r="AS288" i="3"/>
  <c r="AS289" i="3"/>
  <c r="AS307" i="3"/>
  <c r="AS309" i="3"/>
  <c r="AS323" i="3"/>
  <c r="AS327" i="3"/>
  <c r="AS333" i="3"/>
  <c r="AS366" i="3"/>
  <c r="AS367" i="3"/>
  <c r="AS368" i="3"/>
  <c r="AS395" i="3"/>
  <c r="AS407" i="3"/>
  <c r="AS414" i="3"/>
  <c r="AS424" i="3"/>
  <c r="AS431" i="3"/>
  <c r="AS434" i="3"/>
  <c r="AS476" i="3"/>
  <c r="AS494" i="3"/>
  <c r="AS524" i="3"/>
  <c r="AS527" i="3"/>
  <c r="AS535" i="3"/>
  <c r="AS563" i="3"/>
  <c r="AS569" i="3"/>
  <c r="AS581" i="3"/>
  <c r="AS606" i="3"/>
  <c r="AS609" i="3"/>
  <c r="AS616" i="3"/>
  <c r="AS626" i="3"/>
  <c r="AS634" i="3"/>
  <c r="AS706" i="3"/>
  <c r="AS749" i="3"/>
  <c r="AS753" i="3"/>
  <c r="AS755" i="3"/>
  <c r="AS787" i="3"/>
  <c r="AS831" i="3"/>
  <c r="AS838" i="3"/>
  <c r="AS850" i="3"/>
  <c r="AS870" i="3"/>
  <c r="AS873" i="3"/>
  <c r="AS885" i="3"/>
  <c r="AS887" i="3"/>
  <c r="AS907" i="3"/>
  <c r="AQ3" i="3"/>
  <c r="AQ4" i="3"/>
  <c r="AQ5" i="3"/>
  <c r="AQ6" i="3"/>
  <c r="AQ11" i="3"/>
  <c r="AQ12" i="3"/>
  <c r="AQ13" i="3"/>
  <c r="AQ14" i="3"/>
  <c r="AQ15" i="3"/>
  <c r="AQ16" i="3"/>
  <c r="AQ18" i="3"/>
  <c r="AQ19" i="3"/>
  <c r="AQ20" i="3"/>
  <c r="AQ22" i="3"/>
  <c r="AQ23" i="3"/>
  <c r="AQ24" i="3"/>
  <c r="AQ27" i="3"/>
  <c r="AQ28" i="3"/>
  <c r="AQ29" i="3"/>
  <c r="AQ30" i="3"/>
  <c r="AQ31" i="3"/>
  <c r="AQ33" i="3"/>
  <c r="AQ34" i="3"/>
  <c r="AQ35" i="3"/>
  <c r="AQ36" i="3"/>
  <c r="AQ38" i="3"/>
  <c r="AQ39" i="3"/>
  <c r="AQ40" i="3"/>
  <c r="AQ42" i="3"/>
  <c r="AQ45" i="3"/>
  <c r="AQ46" i="3"/>
  <c r="AQ49" i="3"/>
  <c r="AQ50" i="3"/>
  <c r="AQ51" i="3"/>
  <c r="AQ52" i="3"/>
  <c r="AQ54" i="3"/>
  <c r="AQ55" i="3"/>
  <c r="AQ57" i="3"/>
  <c r="AQ58" i="3"/>
  <c r="AQ59" i="3"/>
  <c r="AQ61" i="3"/>
  <c r="AQ62" i="3"/>
  <c r="AQ63" i="3"/>
  <c r="AQ65" i="3"/>
  <c r="AQ66" i="3"/>
  <c r="AQ68" i="3"/>
  <c r="AQ70" i="3"/>
  <c r="AQ71" i="3"/>
  <c r="AQ73" i="3"/>
  <c r="AQ74" i="3"/>
  <c r="AQ75" i="3"/>
  <c r="AQ77" i="3"/>
  <c r="AQ78" i="3"/>
  <c r="AQ80" i="3"/>
  <c r="AQ81" i="3"/>
  <c r="AQ84" i="3"/>
  <c r="AQ85" i="3"/>
  <c r="AQ87" i="3"/>
  <c r="AQ89" i="3"/>
  <c r="AQ94" i="3"/>
  <c r="AQ96" i="3"/>
  <c r="AQ97" i="3"/>
  <c r="AQ98" i="3"/>
  <c r="AQ99" i="3"/>
  <c r="AQ100" i="3"/>
  <c r="AQ103" i="3"/>
  <c r="AQ104" i="3"/>
  <c r="AQ107" i="3"/>
  <c r="AQ108" i="3"/>
  <c r="AQ109" i="3"/>
  <c r="AQ112" i="3"/>
  <c r="AQ113" i="3"/>
  <c r="AQ114" i="3"/>
  <c r="AQ115" i="3"/>
  <c r="AQ116" i="3"/>
  <c r="AQ117" i="3"/>
  <c r="AQ119" i="3"/>
  <c r="AQ123" i="3"/>
  <c r="AQ124" i="3"/>
  <c r="AQ125" i="3"/>
  <c r="AQ126" i="3"/>
  <c r="AQ127" i="3"/>
  <c r="AQ128" i="3"/>
  <c r="AQ129" i="3"/>
  <c r="AQ130" i="3"/>
  <c r="AQ132" i="3"/>
  <c r="AQ134" i="3"/>
  <c r="AQ135" i="3"/>
  <c r="AQ136" i="3"/>
  <c r="AQ138" i="3"/>
  <c r="AQ139" i="3"/>
  <c r="AQ145" i="3"/>
  <c r="AQ147" i="3"/>
  <c r="AQ148" i="3"/>
  <c r="AQ149" i="3"/>
  <c r="AQ150" i="3"/>
  <c r="AQ152" i="3"/>
  <c r="AQ153" i="3"/>
  <c r="AQ154" i="3"/>
  <c r="AQ156" i="3"/>
  <c r="AQ158" i="3"/>
  <c r="AQ159" i="3"/>
  <c r="AQ160" i="3"/>
  <c r="AQ161" i="3"/>
  <c r="AQ162" i="3"/>
  <c r="AQ163" i="3"/>
  <c r="AQ164" i="3"/>
  <c r="AQ166" i="3"/>
  <c r="AQ167" i="3"/>
  <c r="AQ168" i="3"/>
  <c r="AQ170" i="3"/>
  <c r="AQ172" i="3"/>
  <c r="AQ173" i="3"/>
  <c r="AQ175" i="3"/>
  <c r="AQ178" i="3"/>
  <c r="AQ180" i="3"/>
  <c r="AQ181" i="3"/>
  <c r="AQ182" i="3"/>
  <c r="AQ183" i="3"/>
  <c r="AQ184" i="3"/>
  <c r="AQ185" i="3"/>
  <c r="AQ186" i="3"/>
  <c r="AQ187" i="3"/>
  <c r="AQ188" i="3"/>
  <c r="AQ189" i="3"/>
  <c r="AQ194" i="3"/>
  <c r="AQ195" i="3"/>
  <c r="AQ196" i="3"/>
  <c r="AQ197" i="3"/>
  <c r="AQ198" i="3"/>
  <c r="AQ200" i="3"/>
  <c r="AQ203" i="3"/>
  <c r="AQ204" i="3"/>
  <c r="AQ205" i="3"/>
  <c r="AQ208" i="3"/>
  <c r="AQ209" i="3"/>
  <c r="AQ210" i="3"/>
  <c r="AQ212" i="3"/>
  <c r="AQ213" i="3"/>
  <c r="AQ215" i="3"/>
  <c r="AQ217" i="3"/>
  <c r="AQ218" i="3"/>
  <c r="AQ219" i="3"/>
  <c r="AQ220" i="3"/>
  <c r="AQ221" i="3"/>
  <c r="AQ223" i="3"/>
  <c r="AQ224" i="3"/>
  <c r="AQ225" i="3"/>
  <c r="AQ227" i="3"/>
  <c r="AQ228" i="3"/>
  <c r="AQ229" i="3"/>
  <c r="AQ230" i="3"/>
  <c r="AQ231" i="3"/>
  <c r="AQ232" i="3"/>
  <c r="AQ233" i="3"/>
  <c r="AQ234" i="3"/>
  <c r="AQ235" i="3"/>
  <c r="AQ236" i="3"/>
  <c r="AQ237" i="3"/>
  <c r="AQ238" i="3"/>
  <c r="AQ239" i="3"/>
  <c r="AQ240" i="3"/>
  <c r="AQ242" i="3"/>
  <c r="AQ243" i="3"/>
  <c r="AQ245" i="3"/>
  <c r="AQ246" i="3"/>
  <c r="AQ247" i="3"/>
  <c r="AQ249" i="3"/>
  <c r="AQ253" i="3"/>
  <c r="AQ254" i="3"/>
  <c r="AQ256" i="3"/>
  <c r="AQ258" i="3"/>
  <c r="AQ259" i="3"/>
  <c r="AQ260" i="3"/>
  <c r="AQ262" i="3"/>
  <c r="AQ264" i="3"/>
  <c r="AQ265" i="3"/>
  <c r="AQ266" i="3"/>
  <c r="AQ267" i="3"/>
  <c r="AQ268" i="3"/>
  <c r="AQ270" i="3"/>
  <c r="AQ271" i="3"/>
  <c r="AQ273" i="3"/>
  <c r="AQ274" i="3"/>
  <c r="AQ276" i="3"/>
  <c r="AQ278" i="3"/>
  <c r="AQ281" i="3"/>
  <c r="AQ282" i="3"/>
  <c r="AQ283" i="3"/>
  <c r="AQ285" i="3"/>
  <c r="AQ286" i="3"/>
  <c r="AQ287" i="3"/>
  <c r="AQ288" i="3"/>
  <c r="AQ289" i="3"/>
  <c r="AQ290" i="3"/>
  <c r="AQ293" i="3"/>
  <c r="AQ294" i="3"/>
  <c r="AQ295" i="3"/>
  <c r="AQ298" i="3"/>
  <c r="AQ299" i="3"/>
  <c r="AQ300" i="3"/>
  <c r="AQ301" i="3"/>
  <c r="AQ302" i="3"/>
  <c r="AQ305" i="3"/>
  <c r="AQ308" i="3"/>
  <c r="AQ309" i="3"/>
  <c r="AQ310" i="3"/>
  <c r="AQ313" i="3"/>
  <c r="AQ314" i="3"/>
  <c r="AQ315" i="3"/>
  <c r="AQ317" i="3"/>
  <c r="AQ318" i="3"/>
  <c r="AQ319" i="3"/>
  <c r="AQ320" i="3"/>
  <c r="AQ321" i="3"/>
  <c r="AQ323" i="3"/>
  <c r="AQ324" i="3"/>
  <c r="AQ325" i="3"/>
  <c r="AQ327" i="3"/>
  <c r="AQ331" i="3"/>
  <c r="AQ332" i="3"/>
  <c r="AQ335" i="3"/>
  <c r="AQ338" i="3"/>
  <c r="AQ340" i="3"/>
  <c r="AQ341" i="3"/>
  <c r="AQ343" i="3"/>
  <c r="AQ344" i="3"/>
  <c r="AQ345" i="3"/>
  <c r="AQ347" i="3"/>
  <c r="AQ348" i="3"/>
  <c r="AQ349" i="3"/>
  <c r="AQ351" i="3"/>
  <c r="AQ352" i="3"/>
  <c r="AQ353" i="3"/>
  <c r="AQ356" i="3"/>
  <c r="AQ357" i="3"/>
  <c r="AQ360" i="3"/>
  <c r="AQ361" i="3"/>
  <c r="AQ362" i="3"/>
  <c r="AQ363" i="3"/>
  <c r="AQ364" i="3"/>
  <c r="AQ365" i="3"/>
  <c r="AQ367" i="3"/>
  <c r="AQ368" i="3"/>
  <c r="AQ369" i="3"/>
  <c r="AQ370" i="3"/>
  <c r="AQ371" i="3"/>
  <c r="AQ372" i="3"/>
  <c r="AQ373" i="3"/>
  <c r="AQ375" i="3"/>
  <c r="AQ376" i="3"/>
  <c r="AQ378" i="3"/>
  <c r="AQ379" i="3"/>
  <c r="AQ384" i="3"/>
  <c r="AQ388" i="3"/>
  <c r="AQ389" i="3"/>
  <c r="AQ391" i="3"/>
  <c r="AQ392" i="3"/>
  <c r="AQ394" i="3"/>
  <c r="AQ396" i="3"/>
  <c r="AQ398" i="3"/>
  <c r="AQ400" i="3"/>
  <c r="AQ402" i="3"/>
  <c r="AQ405" i="3"/>
  <c r="AQ406" i="3"/>
  <c r="AQ407" i="3"/>
  <c r="AQ408" i="3"/>
  <c r="AQ409" i="3"/>
  <c r="AQ410" i="3"/>
  <c r="AQ411" i="3"/>
  <c r="AQ415" i="3"/>
  <c r="AQ416" i="3"/>
  <c r="AQ419" i="3"/>
  <c r="AQ420" i="3"/>
  <c r="AQ421" i="3"/>
  <c r="AQ423" i="3"/>
  <c r="AQ428" i="3"/>
  <c r="AQ429" i="3"/>
  <c r="AQ431" i="3"/>
  <c r="AQ435" i="3"/>
  <c r="AQ436" i="3"/>
  <c r="AQ438" i="3"/>
  <c r="AQ439" i="3"/>
  <c r="AQ440" i="3"/>
  <c r="AQ444" i="3"/>
  <c r="AQ445" i="3"/>
  <c r="AQ446" i="3"/>
  <c r="AQ447" i="3"/>
  <c r="AQ448" i="3"/>
  <c r="AQ449" i="3"/>
  <c r="AQ450" i="3"/>
  <c r="AQ452" i="3"/>
  <c r="AQ454" i="3"/>
  <c r="AQ457" i="3"/>
  <c r="AQ459" i="3"/>
  <c r="AQ460" i="3"/>
  <c r="AQ461" i="3"/>
  <c r="AQ462" i="3"/>
  <c r="AQ463" i="3"/>
  <c r="AQ466" i="3"/>
  <c r="AQ469" i="3"/>
  <c r="AQ472" i="3"/>
  <c r="AQ474" i="3"/>
  <c r="AQ475" i="3"/>
  <c r="AQ476" i="3"/>
  <c r="AQ477" i="3"/>
  <c r="AQ478" i="3"/>
  <c r="AQ480" i="3"/>
  <c r="AQ481" i="3"/>
  <c r="AQ482" i="3"/>
  <c r="AQ483" i="3"/>
  <c r="AQ484" i="3"/>
  <c r="AQ487" i="3"/>
  <c r="AQ489" i="3"/>
  <c r="AQ491" i="3"/>
  <c r="AQ494" i="3"/>
  <c r="AQ495" i="3"/>
  <c r="AQ498" i="3"/>
  <c r="AQ499" i="3"/>
  <c r="AQ500" i="3"/>
  <c r="AQ501" i="3"/>
  <c r="AQ502" i="3"/>
  <c r="AQ504" i="3"/>
  <c r="AQ505" i="3"/>
  <c r="AQ506" i="3"/>
  <c r="AQ507" i="3"/>
  <c r="AQ510" i="3"/>
  <c r="AQ512" i="3"/>
  <c r="AQ513" i="3"/>
  <c r="AQ514" i="3"/>
  <c r="AQ516" i="3"/>
  <c r="AQ520" i="3"/>
  <c r="AQ521" i="3"/>
  <c r="AQ523" i="3"/>
  <c r="AQ524" i="3"/>
  <c r="AQ526" i="3"/>
  <c r="AQ528" i="3"/>
  <c r="AQ529" i="3"/>
  <c r="AQ530" i="3"/>
  <c r="AQ531" i="3"/>
  <c r="AQ532" i="3"/>
  <c r="AQ535" i="3"/>
  <c r="AQ539" i="3"/>
  <c r="AQ540" i="3"/>
  <c r="AQ543" i="3"/>
  <c r="AQ544" i="3"/>
  <c r="AQ546" i="3"/>
  <c r="AQ550" i="3"/>
  <c r="AQ551" i="3"/>
  <c r="AQ552" i="3"/>
  <c r="AQ553" i="3"/>
  <c r="AQ554" i="3"/>
  <c r="AQ555" i="3"/>
  <c r="AQ556" i="3"/>
  <c r="AQ557" i="3"/>
  <c r="AQ559" i="3"/>
  <c r="AQ561" i="3"/>
  <c r="AQ562" i="3"/>
  <c r="AQ563" i="3"/>
  <c r="AQ564" i="3"/>
  <c r="AQ567" i="3"/>
  <c r="AQ569" i="3"/>
  <c r="AQ570" i="3"/>
  <c r="AQ571" i="3"/>
  <c r="AQ572" i="3"/>
  <c r="AQ573" i="3"/>
  <c r="AQ574" i="3"/>
  <c r="AQ576" i="3"/>
  <c r="AQ577" i="3"/>
  <c r="AQ579" i="3"/>
  <c r="AQ580" i="3"/>
  <c r="AQ581" i="3"/>
  <c r="AQ582" i="3"/>
  <c r="AQ583" i="3"/>
  <c r="AQ584" i="3"/>
  <c r="AQ585" i="3"/>
  <c r="AQ586" i="3"/>
  <c r="AQ587" i="3"/>
  <c r="AQ589" i="3"/>
  <c r="AQ590" i="3"/>
  <c r="AQ592" i="3"/>
  <c r="AQ594" i="3"/>
  <c r="AQ597" i="3"/>
  <c r="AQ598" i="3"/>
  <c r="AQ599" i="3"/>
  <c r="AQ600" i="3"/>
  <c r="AQ601" i="3"/>
  <c r="AQ602" i="3"/>
  <c r="AQ603" i="3"/>
  <c r="AQ604" i="3"/>
  <c r="AQ606" i="3"/>
  <c r="AQ609" i="3"/>
  <c r="AQ610" i="3"/>
  <c r="AQ611" i="3"/>
  <c r="AQ612" i="3"/>
  <c r="AQ614" i="3"/>
  <c r="AQ615" i="3"/>
  <c r="AQ616" i="3"/>
  <c r="AQ618" i="3"/>
  <c r="AQ620" i="3"/>
  <c r="AQ621" i="3"/>
  <c r="AQ625" i="3"/>
  <c r="AQ627" i="3"/>
  <c r="AQ630" i="3"/>
  <c r="AQ634" i="3"/>
  <c r="AQ637" i="3"/>
  <c r="AQ640" i="3"/>
  <c r="AQ641" i="3"/>
  <c r="AQ643" i="3"/>
  <c r="AQ644" i="3"/>
  <c r="AQ645" i="3"/>
  <c r="AQ646" i="3"/>
  <c r="AQ649" i="3"/>
  <c r="AQ651" i="3"/>
  <c r="AQ652" i="3"/>
  <c r="AQ653" i="3"/>
  <c r="AQ654" i="3"/>
  <c r="AQ658" i="3"/>
  <c r="AQ659" i="3"/>
  <c r="AQ662" i="3"/>
  <c r="AQ664" i="3"/>
  <c r="AQ665" i="3"/>
  <c r="AQ666" i="3"/>
  <c r="AQ667" i="3"/>
  <c r="AQ669" i="3"/>
  <c r="AQ672" i="3"/>
  <c r="AQ673" i="3"/>
  <c r="AQ674" i="3"/>
  <c r="AQ675" i="3"/>
  <c r="AQ676" i="3"/>
  <c r="AQ677" i="3"/>
  <c r="AQ680" i="3"/>
  <c r="AQ681" i="3"/>
  <c r="AQ682" i="3"/>
  <c r="AQ684" i="3"/>
  <c r="AQ685" i="3"/>
  <c r="AQ686" i="3"/>
  <c r="AQ687" i="3"/>
  <c r="AQ688" i="3"/>
  <c r="AQ689" i="3"/>
  <c r="AQ690" i="3"/>
  <c r="AQ691" i="3"/>
  <c r="AQ692" i="3"/>
  <c r="AQ693" i="3"/>
  <c r="AQ694" i="3"/>
  <c r="AQ696" i="3"/>
  <c r="AQ697" i="3"/>
  <c r="AQ698" i="3"/>
  <c r="AQ699" i="3"/>
  <c r="AQ702" i="3"/>
  <c r="AQ704" i="3"/>
  <c r="AQ705" i="3"/>
  <c r="AQ706" i="3"/>
  <c r="AQ707" i="3"/>
  <c r="AQ708" i="3"/>
  <c r="AQ709" i="3"/>
  <c r="AQ712" i="3"/>
  <c r="AQ713" i="3"/>
  <c r="AQ714" i="3"/>
  <c r="AQ715" i="3"/>
  <c r="AQ716" i="3"/>
  <c r="AQ718" i="3"/>
  <c r="AQ719" i="3"/>
  <c r="AQ720" i="3"/>
  <c r="AQ721" i="3"/>
  <c r="AQ722" i="3"/>
  <c r="AQ724" i="3"/>
  <c r="AQ725" i="3"/>
  <c r="AQ726" i="3"/>
  <c r="AQ727" i="3"/>
  <c r="AQ728" i="3"/>
  <c r="AQ729" i="3"/>
  <c r="AQ731" i="3"/>
  <c r="AQ732" i="3"/>
  <c r="AQ733" i="3"/>
  <c r="AQ734" i="3"/>
  <c r="AQ736" i="3"/>
  <c r="AQ737" i="3"/>
  <c r="AQ738" i="3"/>
  <c r="AQ739" i="3"/>
  <c r="AQ740" i="3"/>
  <c r="AQ741" i="3"/>
  <c r="AQ742" i="3"/>
  <c r="AQ743" i="3"/>
  <c r="AQ744" i="3"/>
  <c r="AQ745" i="3"/>
  <c r="AQ746" i="3"/>
  <c r="AQ748" i="3"/>
  <c r="AQ749" i="3"/>
  <c r="AQ750" i="3"/>
  <c r="AQ753" i="3"/>
  <c r="AQ754" i="3"/>
  <c r="AQ755" i="3"/>
  <c r="AQ756" i="3"/>
  <c r="AQ757" i="3"/>
  <c r="AQ758" i="3"/>
  <c r="AQ759" i="3"/>
  <c r="AQ760" i="3"/>
  <c r="AQ761" i="3"/>
  <c r="AQ763" i="3"/>
  <c r="AQ764" i="3"/>
  <c r="AQ765" i="3"/>
  <c r="AQ766" i="3"/>
  <c r="AQ767" i="3"/>
  <c r="AQ768" i="3"/>
  <c r="AQ769" i="3"/>
  <c r="AQ772" i="3"/>
  <c r="AQ773" i="3"/>
  <c r="AQ774" i="3"/>
  <c r="AQ775" i="3"/>
  <c r="AQ778" i="3"/>
  <c r="AQ779" i="3"/>
  <c r="AQ780" i="3"/>
  <c r="AQ783" i="3"/>
  <c r="AQ787" i="3"/>
  <c r="AQ790" i="3"/>
  <c r="AQ793" i="3"/>
  <c r="AQ794" i="3"/>
  <c r="AQ795" i="3"/>
  <c r="AQ796" i="3"/>
  <c r="AQ798" i="3"/>
  <c r="AQ799" i="3"/>
  <c r="AQ800" i="3"/>
  <c r="AQ802" i="3"/>
  <c r="AQ804" i="3"/>
  <c r="AQ805" i="3"/>
  <c r="AQ807" i="3"/>
  <c r="AQ809" i="3"/>
  <c r="AQ812" i="3"/>
  <c r="AQ813" i="3"/>
  <c r="AQ814" i="3"/>
  <c r="AQ815" i="3"/>
  <c r="AQ816" i="3"/>
  <c r="AQ817" i="3"/>
  <c r="AQ819" i="3"/>
  <c r="AQ820" i="3"/>
  <c r="AQ823" i="3"/>
  <c r="AQ824" i="3"/>
  <c r="AQ825" i="3"/>
  <c r="AQ826" i="3"/>
  <c r="AQ827" i="3"/>
  <c r="AQ828" i="3"/>
  <c r="AQ829" i="3"/>
  <c r="AQ831" i="3"/>
  <c r="AQ832" i="3"/>
  <c r="AQ834" i="3"/>
  <c r="AQ835" i="3"/>
  <c r="AQ836" i="3"/>
  <c r="AQ837" i="3"/>
  <c r="AQ839" i="3"/>
  <c r="AQ843" i="3"/>
  <c r="AQ844" i="3"/>
  <c r="AQ846" i="3"/>
  <c r="AQ847" i="3"/>
  <c r="AQ848" i="3"/>
  <c r="AQ849" i="3"/>
  <c r="AQ850" i="3"/>
  <c r="AQ851" i="3"/>
  <c r="AQ855" i="3"/>
  <c r="AQ856" i="3"/>
  <c r="AQ858" i="3"/>
  <c r="AQ860" i="3"/>
  <c r="AQ861" i="3"/>
  <c r="AQ862" i="3"/>
  <c r="AQ863" i="3"/>
  <c r="AQ865" i="3"/>
  <c r="AQ866" i="3"/>
  <c r="AQ867" i="3"/>
  <c r="AQ868" i="3"/>
  <c r="AQ869" i="3"/>
  <c r="AQ870" i="3"/>
  <c r="AQ872" i="3"/>
  <c r="AQ873" i="3"/>
  <c r="AQ874" i="3"/>
  <c r="AQ875" i="3"/>
  <c r="AQ877" i="3"/>
  <c r="AQ878" i="3"/>
  <c r="AQ879" i="3"/>
  <c r="AQ880" i="3"/>
  <c r="AQ882" i="3"/>
  <c r="AQ884" i="3"/>
  <c r="AQ885" i="3"/>
  <c r="AQ887" i="3"/>
  <c r="AQ888" i="3"/>
  <c r="AQ889" i="3"/>
  <c r="AQ890" i="3"/>
  <c r="AQ894" i="3"/>
  <c r="AQ895" i="3"/>
  <c r="AQ898" i="3"/>
  <c r="AQ899" i="3"/>
  <c r="AQ900" i="3"/>
  <c r="AQ901" i="3"/>
  <c r="AQ902" i="3"/>
  <c r="AQ903" i="3"/>
  <c r="AQ904" i="3"/>
  <c r="AQ906" i="3"/>
  <c r="AQ908" i="3"/>
  <c r="AQ910" i="3"/>
  <c r="AQ911" i="3"/>
  <c r="AQ912" i="3"/>
  <c r="AQ913" i="3"/>
  <c r="AQ914" i="3"/>
  <c r="AP3" i="3"/>
  <c r="AP4" i="3"/>
  <c r="AP5" i="3"/>
  <c r="AP6" i="3"/>
  <c r="AP11" i="3"/>
  <c r="AP12" i="3"/>
  <c r="AP13" i="3"/>
  <c r="AP14" i="3"/>
  <c r="AP15" i="3"/>
  <c r="AP16" i="3"/>
  <c r="AP18" i="3"/>
  <c r="AP19" i="3"/>
  <c r="AP20" i="3"/>
  <c r="AP22" i="3"/>
  <c r="AP23" i="3"/>
  <c r="AP24" i="3"/>
  <c r="AP27" i="3"/>
  <c r="AP28" i="3"/>
  <c r="AP29" i="3"/>
  <c r="AP30" i="3"/>
  <c r="AP31" i="3"/>
  <c r="AP33" i="3"/>
  <c r="AP34" i="3"/>
  <c r="AP35" i="3"/>
  <c r="AP36" i="3"/>
  <c r="AP38" i="3"/>
  <c r="AP39" i="3"/>
  <c r="AP40" i="3"/>
  <c r="AP42" i="3"/>
  <c r="AP45" i="3"/>
  <c r="AP46" i="3"/>
  <c r="AP49" i="3"/>
  <c r="AP50" i="3"/>
  <c r="AP51" i="3"/>
  <c r="AP52" i="3"/>
  <c r="AP54" i="3"/>
  <c r="AP55" i="3"/>
  <c r="AP57" i="3"/>
  <c r="AP58" i="3"/>
  <c r="AP59" i="3"/>
  <c r="AP61" i="3"/>
  <c r="AP62" i="3"/>
  <c r="AP63" i="3"/>
  <c r="AP65" i="3"/>
  <c r="AP66" i="3"/>
  <c r="AP68" i="3"/>
  <c r="AP70" i="3"/>
  <c r="AP71" i="3"/>
  <c r="AP73" i="3"/>
  <c r="AP74" i="3"/>
  <c r="AP75" i="3"/>
  <c r="AP77" i="3"/>
  <c r="AP78" i="3"/>
  <c r="AP80" i="3"/>
  <c r="AP81" i="3"/>
  <c r="AP84" i="3"/>
  <c r="AP85" i="3"/>
  <c r="AP87" i="3"/>
  <c r="AP89" i="3"/>
  <c r="AP94" i="3"/>
  <c r="AP96" i="3"/>
  <c r="AP97" i="3"/>
  <c r="AP98" i="3"/>
  <c r="AP99" i="3"/>
  <c r="AP100" i="3"/>
  <c r="AP103" i="3"/>
  <c r="AP104" i="3"/>
  <c r="AP107" i="3"/>
  <c r="AP108" i="3"/>
  <c r="AP109" i="3"/>
  <c r="AP112" i="3"/>
  <c r="AP113" i="3"/>
  <c r="AP114" i="3"/>
  <c r="AP115" i="3"/>
  <c r="AP116" i="3"/>
  <c r="AP117" i="3"/>
  <c r="AP119" i="3"/>
  <c r="AP123" i="3"/>
  <c r="AP124" i="3"/>
  <c r="AP125" i="3"/>
  <c r="AP126" i="3"/>
  <c r="AP127" i="3"/>
  <c r="AP128" i="3"/>
  <c r="AP129" i="3"/>
  <c r="AP130" i="3"/>
  <c r="AP132" i="3"/>
  <c r="AP134" i="3"/>
  <c r="AP135" i="3"/>
  <c r="AP136" i="3"/>
  <c r="AP138" i="3"/>
  <c r="AP139" i="3"/>
  <c r="AP145" i="3"/>
  <c r="AP147" i="3"/>
  <c r="AP148" i="3"/>
  <c r="AP149" i="3"/>
  <c r="AP150" i="3"/>
  <c r="AP152" i="3"/>
  <c r="AP153" i="3"/>
  <c r="AP154" i="3"/>
  <c r="AP156" i="3"/>
  <c r="AP158" i="3"/>
  <c r="AP159" i="3"/>
  <c r="AP160" i="3"/>
  <c r="AP161" i="3"/>
  <c r="AP162" i="3"/>
  <c r="AP163" i="3"/>
  <c r="AP164" i="3"/>
  <c r="AP166" i="3"/>
  <c r="AP167" i="3"/>
  <c r="AP168" i="3"/>
  <c r="AP170" i="3"/>
  <c r="AP172" i="3"/>
  <c r="AP173" i="3"/>
  <c r="AP175" i="3"/>
  <c r="AP178" i="3"/>
  <c r="AP180" i="3"/>
  <c r="AP181" i="3"/>
  <c r="AP182" i="3"/>
  <c r="AP183" i="3"/>
  <c r="AP184" i="3"/>
  <c r="AP185" i="3"/>
  <c r="AP186" i="3"/>
  <c r="AP187" i="3"/>
  <c r="AP188" i="3"/>
  <c r="AP189" i="3"/>
  <c r="AP194" i="3"/>
  <c r="AP195" i="3"/>
  <c r="AP196" i="3"/>
  <c r="AP197" i="3"/>
  <c r="AP198" i="3"/>
  <c r="AP200" i="3"/>
  <c r="AP202" i="3"/>
  <c r="AP203" i="3"/>
  <c r="AP204" i="3"/>
  <c r="AP205" i="3"/>
  <c r="AP208" i="3"/>
  <c r="AP209" i="3"/>
  <c r="AP210" i="3"/>
  <c r="AP212" i="3"/>
  <c r="AP213" i="3"/>
  <c r="AP215" i="3"/>
  <c r="AP217" i="3"/>
  <c r="AP218" i="3"/>
  <c r="AP219" i="3"/>
  <c r="AP220" i="3"/>
  <c r="AP221" i="3"/>
  <c r="AP223" i="3"/>
  <c r="AP224" i="3"/>
  <c r="AP225" i="3"/>
  <c r="AP227" i="3"/>
  <c r="AP228" i="3"/>
  <c r="AP229" i="3"/>
  <c r="AP230" i="3"/>
  <c r="AP231" i="3"/>
  <c r="AP232" i="3"/>
  <c r="AP233" i="3"/>
  <c r="AP234" i="3"/>
  <c r="AP235" i="3"/>
  <c r="AP236" i="3"/>
  <c r="AP237" i="3"/>
  <c r="AP238" i="3"/>
  <c r="AP239" i="3"/>
  <c r="AP240" i="3"/>
  <c r="AP242" i="3"/>
  <c r="AP243" i="3"/>
  <c r="AP245" i="3"/>
  <c r="AP246" i="3"/>
  <c r="AP247" i="3"/>
  <c r="AP249" i="3"/>
  <c r="AP253" i="3"/>
  <c r="AP254" i="3"/>
  <c r="AP256" i="3"/>
  <c r="AP258" i="3"/>
  <c r="AP259" i="3"/>
  <c r="AP260" i="3"/>
  <c r="AP262" i="3"/>
  <c r="AP264" i="3"/>
  <c r="AP265" i="3"/>
  <c r="AP266" i="3"/>
  <c r="AP267" i="3"/>
  <c r="AP268" i="3"/>
  <c r="AP270" i="3"/>
  <c r="AP271" i="3"/>
  <c r="AP273" i="3"/>
  <c r="AP274" i="3"/>
  <c r="AP276" i="3"/>
  <c r="AP278" i="3"/>
  <c r="AP281" i="3"/>
  <c r="AP282" i="3"/>
  <c r="AP283" i="3"/>
  <c r="AP285" i="3"/>
  <c r="AP286" i="3"/>
  <c r="AP287" i="3"/>
  <c r="AP288" i="3"/>
  <c r="AP289" i="3"/>
  <c r="AP290" i="3"/>
  <c r="AP293" i="3"/>
  <c r="AP294" i="3"/>
  <c r="AP295" i="3"/>
  <c r="AP298" i="3"/>
  <c r="AP299" i="3"/>
  <c r="AP300" i="3"/>
  <c r="AP301" i="3"/>
  <c r="AP302" i="3"/>
  <c r="AP305" i="3"/>
  <c r="AP308" i="3"/>
  <c r="AP309" i="3"/>
  <c r="AP310" i="3"/>
  <c r="AP313" i="3"/>
  <c r="AP314" i="3"/>
  <c r="AP315" i="3"/>
  <c r="AP317" i="3"/>
  <c r="AP318" i="3"/>
  <c r="AP319" i="3"/>
  <c r="AP320" i="3"/>
  <c r="AP321" i="3"/>
  <c r="AP323" i="3"/>
  <c r="AP324" i="3"/>
  <c r="AP325" i="3"/>
  <c r="AP327" i="3"/>
  <c r="AP331" i="3"/>
  <c r="AP332" i="3"/>
  <c r="AP335" i="3"/>
  <c r="AP338" i="3"/>
  <c r="AP340" i="3"/>
  <c r="AP341" i="3"/>
  <c r="AP343" i="3"/>
  <c r="AP344" i="3"/>
  <c r="AP345" i="3"/>
  <c r="AP347" i="3"/>
  <c r="AP348" i="3"/>
  <c r="AP349" i="3"/>
  <c r="AP351" i="3"/>
  <c r="AP352" i="3"/>
  <c r="AP353" i="3"/>
  <c r="AP356" i="3"/>
  <c r="AP357" i="3"/>
  <c r="AP360" i="3"/>
  <c r="AP361" i="3"/>
  <c r="AP362" i="3"/>
  <c r="AP363" i="3"/>
  <c r="AP364" i="3"/>
  <c r="AP365" i="3"/>
  <c r="AP367" i="3"/>
  <c r="AP368" i="3"/>
  <c r="AP369" i="3"/>
  <c r="AP370" i="3"/>
  <c r="AP371" i="3"/>
  <c r="AP372" i="3"/>
  <c r="AP373" i="3"/>
  <c r="AP375" i="3"/>
  <c r="AP376" i="3"/>
  <c r="AP378" i="3"/>
  <c r="AP379" i="3"/>
  <c r="AP384" i="3"/>
  <c r="AP388" i="3"/>
  <c r="AP389" i="3"/>
  <c r="AP391" i="3"/>
  <c r="AP392" i="3"/>
  <c r="AP394" i="3"/>
  <c r="AP396" i="3"/>
  <c r="AP398" i="3"/>
  <c r="AP400" i="3"/>
  <c r="AP402" i="3"/>
  <c r="AP405" i="3"/>
  <c r="AP406" i="3"/>
  <c r="AP407" i="3"/>
  <c r="AP408" i="3"/>
  <c r="AP409" i="3"/>
  <c r="AP410" i="3"/>
  <c r="AP411" i="3"/>
  <c r="AP415" i="3"/>
  <c r="AP416" i="3"/>
  <c r="AP419" i="3"/>
  <c r="AP420" i="3"/>
  <c r="AP421" i="3"/>
  <c r="AP423" i="3"/>
  <c r="AP428" i="3"/>
  <c r="AP429" i="3"/>
  <c r="AP431" i="3"/>
  <c r="AP435" i="3"/>
  <c r="AP436" i="3"/>
  <c r="AP438" i="3"/>
  <c r="AP439" i="3"/>
  <c r="AP440" i="3"/>
  <c r="AP444" i="3"/>
  <c r="AP445" i="3"/>
  <c r="AP446" i="3"/>
  <c r="AP447" i="3"/>
  <c r="AP448" i="3"/>
  <c r="AP449" i="3"/>
  <c r="AP450" i="3"/>
  <c r="AP452" i="3"/>
  <c r="AP454" i="3"/>
  <c r="AP457" i="3"/>
  <c r="AP459" i="3"/>
  <c r="AP460" i="3"/>
  <c r="AP461" i="3"/>
  <c r="AP462" i="3"/>
  <c r="AP463" i="3"/>
  <c r="AP466" i="3"/>
  <c r="AP469" i="3"/>
  <c r="AP472" i="3"/>
  <c r="AP474" i="3"/>
  <c r="AP475" i="3"/>
  <c r="AP476" i="3"/>
  <c r="AP477" i="3"/>
  <c r="AP478" i="3"/>
  <c r="AP480" i="3"/>
  <c r="AP481" i="3"/>
  <c r="AP482" i="3"/>
  <c r="AP483" i="3"/>
  <c r="AP484" i="3"/>
  <c r="AP487" i="3"/>
  <c r="AP489" i="3"/>
  <c r="AP491" i="3"/>
  <c r="AP494" i="3"/>
  <c r="AP495" i="3"/>
  <c r="AP498" i="3"/>
  <c r="AP499" i="3"/>
  <c r="AP500" i="3"/>
  <c r="AP501" i="3"/>
  <c r="AP502" i="3"/>
  <c r="AP504" i="3"/>
  <c r="AP505" i="3"/>
  <c r="AP506" i="3"/>
  <c r="AP507" i="3"/>
  <c r="AP510" i="3"/>
  <c r="AP512" i="3"/>
  <c r="AP513" i="3"/>
  <c r="AP514" i="3"/>
  <c r="AP516" i="3"/>
  <c r="AP520" i="3"/>
  <c r="AP521" i="3"/>
  <c r="AP523" i="3"/>
  <c r="AP524" i="3"/>
  <c r="AP526" i="3"/>
  <c r="AP528" i="3"/>
  <c r="AP529" i="3"/>
  <c r="AP530" i="3"/>
  <c r="AP531" i="3"/>
  <c r="AP532" i="3"/>
  <c r="AP535" i="3"/>
  <c r="AP539" i="3"/>
  <c r="AP540" i="3"/>
  <c r="AP543" i="3"/>
  <c r="AP544" i="3"/>
  <c r="AP546" i="3"/>
  <c r="AP550" i="3"/>
  <c r="AP551" i="3"/>
  <c r="AP552" i="3"/>
  <c r="AP553" i="3"/>
  <c r="AP554" i="3"/>
  <c r="AP555" i="3"/>
  <c r="AP556" i="3"/>
  <c r="AP557" i="3"/>
  <c r="AP559" i="3"/>
  <c r="AP561" i="3"/>
  <c r="AP562" i="3"/>
  <c r="AP563" i="3"/>
  <c r="AP564" i="3"/>
  <c r="AP567" i="3"/>
  <c r="AP569" i="3"/>
  <c r="AP570" i="3"/>
  <c r="AP571" i="3"/>
  <c r="AP572" i="3"/>
  <c r="AP573" i="3"/>
  <c r="AP574" i="3"/>
  <c r="AP576" i="3"/>
  <c r="AP577" i="3"/>
  <c r="AP579" i="3"/>
  <c r="AP580" i="3"/>
  <c r="AP581" i="3"/>
  <c r="AP582" i="3"/>
  <c r="AP583" i="3"/>
  <c r="AP584" i="3"/>
  <c r="AP585" i="3"/>
  <c r="AP586" i="3"/>
  <c r="AP587" i="3"/>
  <c r="AP589" i="3"/>
  <c r="AP590" i="3"/>
  <c r="AP592" i="3"/>
  <c r="AP594" i="3"/>
  <c r="AP597" i="3"/>
  <c r="AP598" i="3"/>
  <c r="AP599" i="3"/>
  <c r="AP600" i="3"/>
  <c r="AP601" i="3"/>
  <c r="AP602" i="3"/>
  <c r="AP603" i="3"/>
  <c r="AP604" i="3"/>
  <c r="AP606" i="3"/>
  <c r="AP609" i="3"/>
  <c r="AP610" i="3"/>
  <c r="AP611" i="3"/>
  <c r="AP612" i="3"/>
  <c r="AP614" i="3"/>
  <c r="AP615" i="3"/>
  <c r="AP616" i="3"/>
  <c r="AP618" i="3"/>
  <c r="AP620" i="3"/>
  <c r="AP621" i="3"/>
  <c r="AP625" i="3"/>
  <c r="AP627" i="3"/>
  <c r="AP630" i="3"/>
  <c r="AP634" i="3"/>
  <c r="AP637" i="3"/>
  <c r="AP640" i="3"/>
  <c r="AP641" i="3"/>
  <c r="AP643" i="3"/>
  <c r="AP644" i="3"/>
  <c r="AP645" i="3"/>
  <c r="AP646" i="3"/>
  <c r="AP649" i="3"/>
  <c r="AP651" i="3"/>
  <c r="AP652" i="3"/>
  <c r="AP653" i="3"/>
  <c r="AP654" i="3"/>
  <c r="AP658" i="3"/>
  <c r="AP659" i="3"/>
  <c r="AP662" i="3"/>
  <c r="AP664" i="3"/>
  <c r="AP665" i="3"/>
  <c r="AP666" i="3"/>
  <c r="AP667" i="3"/>
  <c r="AP669" i="3"/>
  <c r="AP672" i="3"/>
  <c r="AP673" i="3"/>
  <c r="AP674" i="3"/>
  <c r="AP675" i="3"/>
  <c r="AP676" i="3"/>
  <c r="AP677" i="3"/>
  <c r="AP680" i="3"/>
  <c r="AP681" i="3"/>
  <c r="AP682" i="3"/>
  <c r="AP684" i="3"/>
  <c r="AP685" i="3"/>
  <c r="AP686" i="3"/>
  <c r="AP687" i="3"/>
  <c r="AP688" i="3"/>
  <c r="AP689" i="3"/>
  <c r="AP690" i="3"/>
  <c r="AP691" i="3"/>
  <c r="AP692" i="3"/>
  <c r="AP693" i="3"/>
  <c r="AP694" i="3"/>
  <c r="AP696" i="3"/>
  <c r="AP697" i="3"/>
  <c r="AP698" i="3"/>
  <c r="AP699" i="3"/>
  <c r="AP702" i="3"/>
  <c r="AP704" i="3"/>
  <c r="AP705" i="3"/>
  <c r="AP706" i="3"/>
  <c r="AP707" i="3"/>
  <c r="AP708" i="3"/>
  <c r="AP709" i="3"/>
  <c r="AP712" i="3"/>
  <c r="AP713" i="3"/>
  <c r="AP714" i="3"/>
  <c r="AP715" i="3"/>
  <c r="AP716" i="3"/>
  <c r="AP718" i="3"/>
  <c r="AP719" i="3"/>
  <c r="AP720" i="3"/>
  <c r="AP721" i="3"/>
  <c r="AP722" i="3"/>
  <c r="AP724" i="3"/>
  <c r="AP725" i="3"/>
  <c r="AP726" i="3"/>
  <c r="AP727" i="3"/>
  <c r="AP728" i="3"/>
  <c r="AP729" i="3"/>
  <c r="AP731" i="3"/>
  <c r="AP732" i="3"/>
  <c r="AP733" i="3"/>
  <c r="AP734" i="3"/>
  <c r="AP736" i="3"/>
  <c r="AP737" i="3"/>
  <c r="AP738" i="3"/>
  <c r="AP739" i="3"/>
  <c r="AP740" i="3"/>
  <c r="AP741" i="3"/>
  <c r="AP742" i="3"/>
  <c r="AP743" i="3"/>
  <c r="AP744" i="3"/>
  <c r="AP745" i="3"/>
  <c r="AP746" i="3"/>
  <c r="AP748" i="3"/>
  <c r="AP749" i="3"/>
  <c r="AP750" i="3"/>
  <c r="AP753" i="3"/>
  <c r="AP754" i="3"/>
  <c r="AP755" i="3"/>
  <c r="AP756" i="3"/>
  <c r="AP757" i="3"/>
  <c r="AP758" i="3"/>
  <c r="AP759" i="3"/>
  <c r="AP760" i="3"/>
  <c r="AP761" i="3"/>
  <c r="AP763" i="3"/>
  <c r="AP764" i="3"/>
  <c r="AP765" i="3"/>
  <c r="AP766" i="3"/>
  <c r="AP767" i="3"/>
  <c r="AP768" i="3"/>
  <c r="AP769" i="3"/>
  <c r="AP772" i="3"/>
  <c r="AP773" i="3"/>
  <c r="AP774" i="3"/>
  <c r="AP775" i="3"/>
  <c r="AP778" i="3"/>
  <c r="AP779" i="3"/>
  <c r="AP780" i="3"/>
  <c r="AP783" i="3"/>
  <c r="AP787" i="3"/>
  <c r="AP790" i="3"/>
  <c r="AP793" i="3"/>
  <c r="AP794" i="3"/>
  <c r="AP795" i="3"/>
  <c r="AP796" i="3"/>
  <c r="AP798" i="3"/>
  <c r="AP799" i="3"/>
  <c r="AP800" i="3"/>
  <c r="AP802" i="3"/>
  <c r="AP804" i="3"/>
  <c r="AP805" i="3"/>
  <c r="AP807" i="3"/>
  <c r="AP809" i="3"/>
  <c r="AP812" i="3"/>
  <c r="AP813" i="3"/>
  <c r="AP814" i="3"/>
  <c r="AP815" i="3"/>
  <c r="AP816" i="3"/>
  <c r="AP817" i="3"/>
  <c r="AP819" i="3"/>
  <c r="AP820" i="3"/>
  <c r="AP823" i="3"/>
  <c r="AP824" i="3"/>
  <c r="AP825" i="3"/>
  <c r="AP826" i="3"/>
  <c r="AP827" i="3"/>
  <c r="AP828" i="3"/>
  <c r="AP829" i="3"/>
  <c r="AP831" i="3"/>
  <c r="AP832" i="3"/>
  <c r="AP834" i="3"/>
  <c r="AP835" i="3"/>
  <c r="AP836" i="3"/>
  <c r="AP837" i="3"/>
  <c r="AP839" i="3"/>
  <c r="AP843" i="3"/>
  <c r="AP844" i="3"/>
  <c r="AP846" i="3"/>
  <c r="AP847" i="3"/>
  <c r="AP848" i="3"/>
  <c r="AP849" i="3"/>
  <c r="AP850" i="3"/>
  <c r="AP851" i="3"/>
  <c r="AP855" i="3"/>
  <c r="AP856" i="3"/>
  <c r="AP858" i="3"/>
  <c r="AP860" i="3"/>
  <c r="AP861" i="3"/>
  <c r="AP862" i="3"/>
  <c r="AP863" i="3"/>
  <c r="AP865" i="3"/>
  <c r="AP866" i="3"/>
  <c r="AP867" i="3"/>
  <c r="AP868" i="3"/>
  <c r="AP869" i="3"/>
  <c r="AP870" i="3"/>
  <c r="AP872" i="3"/>
  <c r="AP873" i="3"/>
  <c r="AP874" i="3"/>
  <c r="AP875" i="3"/>
  <c r="AP877" i="3"/>
  <c r="AP878" i="3"/>
  <c r="AP879" i="3"/>
  <c r="AP880" i="3"/>
  <c r="AP882" i="3"/>
  <c r="AP884" i="3"/>
  <c r="AP885" i="3"/>
  <c r="AP887" i="3"/>
  <c r="AP888" i="3"/>
  <c r="AP889" i="3"/>
  <c r="AP890" i="3"/>
  <c r="AP894" i="3"/>
  <c r="AP895" i="3"/>
  <c r="AP898" i="3"/>
  <c r="AP899" i="3"/>
  <c r="AP900" i="3"/>
  <c r="AP901" i="3"/>
  <c r="AP902" i="3"/>
  <c r="AP903" i="3"/>
  <c r="AP904" i="3"/>
  <c r="AP906" i="3"/>
  <c r="AP908" i="3"/>
  <c r="AP910" i="3"/>
  <c r="AP911" i="3"/>
  <c r="AP912" i="3"/>
  <c r="AP913" i="3"/>
  <c r="AP914" i="3"/>
  <c r="AO26" i="3"/>
  <c r="AO42" i="3"/>
  <c r="AO207" i="3"/>
  <c r="AO307" i="3"/>
  <c r="AO424" i="3"/>
  <c r="AO563" i="3"/>
  <c r="AO753" i="3"/>
  <c r="AO838"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X3" i="1"/>
  <c r="X5" i="1"/>
  <c r="X7" i="1"/>
  <c r="X12" i="1"/>
  <c r="X13" i="1"/>
  <c r="X17" i="1"/>
  <c r="X18" i="1"/>
  <c r="X19" i="1"/>
  <c r="X21" i="1"/>
  <c r="X22" i="1"/>
  <c r="X23" i="1"/>
  <c r="X24" i="1"/>
  <c r="X25" i="1"/>
  <c r="X26" i="1"/>
  <c r="X29" i="1"/>
  <c r="X30" i="1"/>
  <c r="X39" i="1"/>
  <c r="X45" i="1"/>
  <c r="X55" i="1"/>
  <c r="X126" i="1"/>
  <c r="X127" i="1"/>
  <c r="X128" i="1"/>
  <c r="X130" i="1"/>
  <c r="X135" i="1"/>
  <c r="X138" i="1"/>
  <c r="X139" i="1"/>
  <c r="X142" i="1"/>
  <c r="X150" i="1"/>
  <c r="X151" i="1"/>
  <c r="X152" i="1"/>
  <c r="X153" i="1"/>
  <c r="X206" i="1"/>
  <c r="X224" i="1"/>
  <c r="X229" i="1"/>
  <c r="X235" i="1"/>
  <c r="X238" i="1"/>
  <c r="X247" i="1"/>
  <c r="X249" i="1"/>
  <c r="X250" i="1"/>
  <c r="X268" i="1"/>
  <c r="X269" i="1"/>
  <c r="X271" i="1"/>
  <c r="X272" i="1"/>
  <c r="X273" i="1"/>
  <c r="X274" i="1"/>
  <c r="X275" i="1"/>
  <c r="X277" i="1"/>
  <c r="X280" i="1"/>
  <c r="X283" i="1"/>
  <c r="X284" i="1"/>
  <c r="X286" i="1"/>
  <c r="X288" i="1"/>
  <c r="X289" i="1"/>
  <c r="X290" i="1"/>
  <c r="X291" i="1"/>
  <c r="X292" i="1"/>
  <c r="X293" i="1"/>
  <c r="X294" i="1"/>
  <c r="X295" i="1"/>
  <c r="X298" i="1"/>
  <c r="X299" i="1"/>
  <c r="X300" i="1"/>
  <c r="X302" i="1"/>
  <c r="X304" i="1"/>
  <c r="X305" i="1"/>
  <c r="X309" i="1"/>
  <c r="X310" i="1"/>
  <c r="X311" i="1"/>
  <c r="X312" i="1"/>
  <c r="X313" i="1"/>
  <c r="X314" i="1"/>
  <c r="X318" i="1"/>
  <c r="X325" i="1"/>
  <c r="X327" i="1"/>
  <c r="X328" i="1"/>
  <c r="X329" i="1"/>
  <c r="X330" i="1"/>
  <c r="X339" i="1"/>
  <c r="X340" i="1"/>
  <c r="X341" i="1"/>
  <c r="X342" i="1"/>
  <c r="X343" i="1"/>
  <c r="X344" i="1"/>
  <c r="X345" i="1"/>
  <c r="X352" i="1"/>
  <c r="X353" i="1"/>
  <c r="X356" i="1"/>
  <c r="X357" i="1"/>
  <c r="X362" i="1"/>
  <c r="X366" i="1"/>
  <c r="X368" i="1"/>
  <c r="X369" i="1"/>
  <c r="X371" i="1"/>
  <c r="X372" i="1"/>
  <c r="X379" i="1"/>
  <c r="X382" i="1"/>
  <c r="X383" i="1"/>
  <c r="X384" i="1"/>
  <c r="X386" i="1"/>
  <c r="X387" i="1"/>
  <c r="X388" i="1"/>
  <c r="X389" i="1"/>
  <c r="X390" i="1"/>
  <c r="X391" i="1"/>
  <c r="X392" i="1"/>
  <c r="X393" i="1"/>
  <c r="X394" i="1"/>
  <c r="X398" i="1"/>
  <c r="X400" i="1"/>
  <c r="X401" i="1"/>
  <c r="X402" i="1"/>
  <c r="X403" i="1"/>
  <c r="X404" i="1"/>
  <c r="X405" i="1"/>
  <c r="X406" i="1"/>
  <c r="X408" i="1"/>
  <c r="X409" i="1"/>
  <c r="X410" i="1"/>
  <c r="X411" i="1"/>
  <c r="X412" i="1"/>
  <c r="X413" i="1"/>
  <c r="X414" i="1"/>
  <c r="X415" i="1"/>
  <c r="X416" i="1"/>
  <c r="X417" i="1"/>
  <c r="X418" i="1"/>
  <c r="X419" i="1"/>
  <c r="X420" i="1"/>
  <c r="X421" i="1"/>
  <c r="X422" i="1"/>
  <c r="X424" i="1"/>
  <c r="X425" i="1"/>
  <c r="X426" i="1"/>
  <c r="X427" i="1"/>
  <c r="X428" i="1"/>
  <c r="X429" i="1"/>
  <c r="X430" i="1"/>
  <c r="X431" i="1"/>
  <c r="X433" i="1"/>
  <c r="X434" i="1"/>
  <c r="X435" i="1"/>
  <c r="X436" i="1"/>
  <c r="X437" i="1"/>
  <c r="X438" i="1"/>
  <c r="X439" i="1"/>
  <c r="X440" i="1"/>
  <c r="X441" i="1"/>
  <c r="X444" i="1"/>
  <c r="X445" i="1"/>
  <c r="X446" i="1"/>
  <c r="X447" i="1"/>
  <c r="X448" i="1"/>
  <c r="X449" i="1"/>
  <c r="X450" i="1"/>
  <c r="X451" i="1"/>
  <c r="X452" i="1"/>
  <c r="X453" i="1"/>
  <c r="X454" i="1"/>
  <c r="X455" i="1"/>
  <c r="X456" i="1"/>
  <c r="X457" i="1"/>
  <c r="X458" i="1"/>
  <c r="X459" i="1"/>
  <c r="X460" i="1"/>
  <c r="X463" i="1"/>
  <c r="X464" i="1"/>
  <c r="X465" i="1"/>
  <c r="X466" i="1"/>
  <c r="X467" i="1"/>
  <c r="X468" i="1"/>
  <c r="X469" i="1"/>
  <c r="X470" i="1"/>
  <c r="X471" i="1"/>
  <c r="X472" i="1"/>
  <c r="X473" i="1"/>
  <c r="X476" i="1"/>
  <c r="X482" i="1"/>
  <c r="X484" i="1"/>
  <c r="X492" i="1"/>
  <c r="X493" i="1"/>
  <c r="X494" i="1"/>
  <c r="X500" i="1"/>
  <c r="X501" i="1"/>
  <c r="X502" i="1"/>
  <c r="X511" i="1"/>
  <c r="X519" i="1"/>
  <c r="X520" i="1"/>
  <c r="X521" i="1"/>
  <c r="X522" i="1"/>
  <c r="X523" i="1"/>
  <c r="X525" i="1"/>
  <c r="X526" i="1"/>
  <c r="X528" i="1"/>
  <c r="X542"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4" i="1"/>
  <c r="X575" i="1"/>
  <c r="X576" i="1"/>
  <c r="X577" i="1"/>
  <c r="X578" i="1"/>
  <c r="X585" i="1"/>
  <c r="X591" i="1"/>
  <c r="X593" i="1"/>
  <c r="X603" i="1"/>
  <c r="X604" i="1"/>
  <c r="X605" i="1"/>
  <c r="X607" i="1"/>
  <c r="X608" i="1"/>
  <c r="X609" i="1"/>
  <c r="X611" i="1"/>
  <c r="X612" i="1"/>
  <c r="X617" i="1"/>
  <c r="X626" i="1"/>
  <c r="X631" i="1"/>
  <c r="X632" i="1"/>
  <c r="X637" i="1"/>
  <c r="X638" i="1"/>
  <c r="X639" i="1"/>
  <c r="X640" i="1"/>
  <c r="X641" i="1"/>
  <c r="X642" i="1"/>
  <c r="X643" i="1"/>
  <c r="X644" i="1"/>
  <c r="X645" i="1"/>
  <c r="X646" i="1"/>
  <c r="X647" i="1"/>
  <c r="X654" i="1"/>
  <c r="X656" i="1"/>
  <c r="X657" i="1"/>
  <c r="X658" i="1"/>
  <c r="X659" i="1"/>
  <c r="X660" i="1"/>
  <c r="X661" i="1"/>
  <c r="X662" i="1"/>
  <c r="X663" i="1"/>
  <c r="X664" i="1"/>
  <c r="X665" i="1"/>
  <c r="X666" i="1"/>
  <c r="X667" i="1"/>
  <c r="X668" i="1"/>
  <c r="X671" i="1"/>
  <c r="X672" i="1"/>
  <c r="X677" i="1"/>
  <c r="X681" i="1"/>
  <c r="X682" i="1"/>
  <c r="X683" i="1"/>
  <c r="X685" i="1"/>
  <c r="X687" i="1"/>
  <c r="X688" i="1"/>
  <c r="X694" i="1"/>
  <c r="X695" i="1"/>
  <c r="X696" i="1"/>
  <c r="X697" i="1"/>
  <c r="X701" i="1"/>
  <c r="X707" i="1"/>
  <c r="X708" i="1"/>
  <c r="X722" i="1"/>
  <c r="X727" i="1"/>
  <c r="X729" i="1"/>
  <c r="X730" i="1"/>
  <c r="X732" i="1"/>
  <c r="X734" i="1"/>
  <c r="X735" i="1"/>
  <c r="X743" i="1"/>
  <c r="X744" i="1"/>
  <c r="X745" i="1"/>
  <c r="X746" i="1"/>
  <c r="X747" i="1"/>
  <c r="X748" i="1"/>
  <c r="X750" i="1"/>
  <c r="X752" i="1"/>
  <c r="X767" i="1"/>
  <c r="X768" i="1"/>
  <c r="X769" i="1"/>
  <c r="X772" i="1"/>
  <c r="X779" i="1"/>
  <c r="X780" i="1"/>
  <c r="X781" i="1"/>
  <c r="X782" i="1"/>
  <c r="X783" i="1"/>
  <c r="X785" i="1"/>
  <c r="X786" i="1"/>
  <c r="X790" i="1"/>
  <c r="X793" i="1"/>
  <c r="X794" i="1"/>
  <c r="X795" i="1"/>
  <c r="X796" i="1"/>
  <c r="X797" i="1"/>
  <c r="X808" i="1"/>
  <c r="X809" i="1"/>
  <c r="X810" i="1"/>
  <c r="X811" i="1"/>
  <c r="X812" i="1"/>
  <c r="X815" i="1"/>
  <c r="X816" i="1"/>
  <c r="X817" i="1"/>
  <c r="X819" i="1"/>
  <c r="X822" i="1"/>
  <c r="X825" i="1"/>
  <c r="X826" i="1"/>
  <c r="X829" i="1"/>
  <c r="X831" i="1"/>
  <c r="X837" i="1"/>
  <c r="X840" i="1"/>
  <c r="X841" i="1"/>
  <c r="X842" i="1"/>
  <c r="X843" i="1"/>
  <c r="X845" i="1"/>
  <c r="X849" i="1"/>
  <c r="X851" i="1"/>
  <c r="X852" i="1"/>
  <c r="X856" i="1"/>
  <c r="X857" i="1"/>
  <c r="X864" i="1"/>
  <c r="X869" i="1"/>
  <c r="X870" i="1"/>
  <c r="X871" i="1"/>
  <c r="X872" i="1"/>
  <c r="X878" i="1"/>
  <c r="X879" i="1"/>
  <c r="X883" i="1"/>
  <c r="X890" i="1"/>
  <c r="X895" i="1"/>
  <c r="X896"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6"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4" i="1"/>
  <c r="X975" i="1"/>
  <c r="X976" i="1"/>
  <c r="X977" i="1"/>
  <c r="X978" i="1"/>
  <c r="X979" i="1"/>
  <c r="X980" i="1"/>
  <c r="X981" i="1"/>
  <c r="X982" i="1"/>
  <c r="X983" i="1"/>
  <c r="X984" i="1"/>
  <c r="X985" i="1"/>
  <c r="X1036" i="1"/>
  <c r="X1038" i="1"/>
  <c r="X1051" i="1"/>
  <c r="X1052" i="1"/>
  <c r="X1053" i="1"/>
  <c r="X1054" i="1"/>
  <c r="X1059" i="1"/>
  <c r="X1069" i="1"/>
  <c r="X1071" i="1"/>
  <c r="X1073" i="1"/>
  <c r="X1074" i="1"/>
  <c r="X1077" i="1"/>
  <c r="X1088" i="1"/>
  <c r="X1089"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72" i="1"/>
  <c r="X1186" i="1"/>
  <c r="X1187" i="1"/>
  <c r="X1188" i="1"/>
  <c r="X1192" i="1"/>
  <c r="X1193" i="1"/>
  <c r="X1194" i="1"/>
  <c r="X1196" i="1"/>
  <c r="X1198" i="1"/>
  <c r="X1203" i="1"/>
  <c r="X1204" i="1"/>
  <c r="X1216" i="1"/>
  <c r="X1219" i="1"/>
  <c r="X1224" i="1"/>
  <c r="X1233" i="1"/>
  <c r="X1234" i="1"/>
  <c r="X1243" i="1"/>
  <c r="X1245" i="1"/>
  <c r="X1260" i="1"/>
  <c r="X1261" i="1"/>
  <c r="X1265" i="1"/>
  <c r="X1269" i="1"/>
  <c r="X1278" i="1"/>
  <c r="X1279" i="1"/>
  <c r="X1280" i="1"/>
  <c r="X1281" i="1"/>
  <c r="X1282" i="1"/>
  <c r="X1283" i="1"/>
  <c r="X1284" i="1"/>
  <c r="X1285" i="1"/>
  <c r="X1286" i="1"/>
  <c r="X1287" i="1"/>
  <c r="X1288" i="1"/>
  <c r="X1289" i="1"/>
  <c r="X1301" i="1"/>
  <c r="X1307" i="1"/>
  <c r="X1309" i="1"/>
  <c r="X1315" i="1"/>
  <c r="X1319" i="1"/>
  <c r="X1320" i="1"/>
  <c r="X1322" i="1"/>
  <c r="X1323" i="1"/>
  <c r="X1324" i="1"/>
  <c r="X1330" i="1"/>
  <c r="X1331" i="1"/>
  <c r="X1332" i="1"/>
  <c r="X1333" i="1"/>
  <c r="X1334" i="1"/>
  <c r="X1353" i="1"/>
  <c r="X1357" i="1"/>
  <c r="X1358" i="1"/>
  <c r="X1359" i="1"/>
  <c r="X1368" i="1"/>
  <c r="X1370" i="1"/>
  <c r="X1371" i="1"/>
  <c r="X1375" i="1"/>
  <c r="X1383" i="1"/>
  <c r="X1388" i="1"/>
  <c r="X1389" i="1"/>
  <c r="X1403" i="1"/>
  <c r="X1404" i="1"/>
  <c r="X1405" i="1"/>
  <c r="X1406" i="1"/>
  <c r="X1408" i="1"/>
  <c r="X1409" i="1"/>
  <c r="X1413" i="1"/>
  <c r="X1418" i="1"/>
  <c r="X1419" i="1"/>
  <c r="X1420" i="1"/>
  <c r="X1424" i="1"/>
  <c r="X1426" i="1"/>
  <c r="X1429" i="1"/>
  <c r="X1433" i="1"/>
  <c r="X1434" i="1"/>
  <c r="X1435" i="1"/>
  <c r="X1436" i="1"/>
  <c r="X1437" i="1"/>
  <c r="X1438" i="1"/>
  <c r="X1439" i="1"/>
  <c r="X1441" i="1"/>
  <c r="X1442" i="1"/>
  <c r="X1444" i="1"/>
  <c r="X1445" i="1"/>
  <c r="X1446" i="1"/>
  <c r="X1447" i="1"/>
  <c r="X1448" i="1"/>
  <c r="X1450" i="1"/>
  <c r="X1451" i="1"/>
  <c r="X1452" i="1"/>
  <c r="X1453" i="1"/>
  <c r="X1454" i="1"/>
  <c r="X1455" i="1"/>
  <c r="X1482" i="1"/>
  <c r="X1487" i="1"/>
  <c r="X1491" i="1"/>
  <c r="X1492" i="1"/>
  <c r="X1502" i="1"/>
  <c r="X1503" i="1"/>
  <c r="X1514" i="1"/>
  <c r="X1518" i="1"/>
  <c r="X1519" i="1"/>
  <c r="X1522" i="1"/>
  <c r="X1525" i="1"/>
  <c r="X1526" i="1"/>
  <c r="X1527" i="1"/>
  <c r="X1528" i="1"/>
  <c r="X1529" i="1"/>
  <c r="X1532" i="1"/>
  <c r="X1534" i="1"/>
  <c r="X1536" i="1"/>
  <c r="X1537" i="1"/>
  <c r="X1538" i="1"/>
  <c r="X1539" i="1"/>
  <c r="X1540" i="1"/>
  <c r="X1541" i="1"/>
  <c r="X1542" i="1"/>
  <c r="X1543" i="1"/>
  <c r="X1544" i="1"/>
  <c r="X1545" i="1"/>
  <c r="X1546" i="1"/>
  <c r="X1547" i="1"/>
  <c r="X1557" i="1"/>
  <c r="X1570" i="1"/>
  <c r="X1577" i="1"/>
  <c r="X1582" i="1"/>
  <c r="X1583" i="1"/>
  <c r="X1584" i="1"/>
  <c r="X1588" i="1"/>
  <c r="X1589" i="1"/>
  <c r="X1590" i="1"/>
  <c r="X1592" i="1"/>
  <c r="X1593" i="1"/>
  <c r="X1595" i="1"/>
  <c r="X1596" i="1"/>
  <c r="X1597" i="1"/>
  <c r="X1605" i="1"/>
  <c r="X1606" i="1"/>
  <c r="X1607" i="1"/>
  <c r="X1608" i="1"/>
  <c r="X1611"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70" i="1"/>
  <c r="X1673" i="1"/>
  <c r="X1683" i="1"/>
  <c r="X1684" i="1"/>
  <c r="X1687" i="1"/>
  <c r="X1688" i="1"/>
  <c r="X1689" i="1"/>
  <c r="X1695" i="1"/>
  <c r="X1696" i="1"/>
  <c r="X1697" i="1"/>
  <c r="X1699" i="1"/>
  <c r="X1700" i="1"/>
  <c r="X1704" i="1"/>
  <c r="X1706" i="1"/>
  <c r="X1707" i="1"/>
  <c r="X1708" i="1"/>
  <c r="X1709" i="1"/>
  <c r="X1710" i="1"/>
  <c r="X1712" i="1"/>
  <c r="X1714" i="1"/>
  <c r="X1716" i="1"/>
  <c r="X1718" i="1"/>
  <c r="X1724" i="1"/>
  <c r="X1725" i="1"/>
  <c r="X1726" i="1"/>
  <c r="X1729" i="1"/>
  <c r="X1730" i="1"/>
  <c r="X1731" i="1"/>
  <c r="X1733" i="1"/>
  <c r="X1734" i="1"/>
  <c r="X1735" i="1"/>
  <c r="X1736" i="1"/>
  <c r="X1737" i="1"/>
  <c r="X1738" i="1"/>
  <c r="X1739" i="1"/>
  <c r="X1744" i="1"/>
  <c r="X1745" i="1"/>
  <c r="X1746" i="1"/>
  <c r="X1749" i="1"/>
  <c r="X1750" i="1"/>
  <c r="X1751" i="1"/>
  <c r="X1752" i="1"/>
  <c r="X1753" i="1"/>
  <c r="X1754" i="1"/>
  <c r="X1755" i="1"/>
  <c r="X1760" i="1"/>
  <c r="X1765" i="1"/>
  <c r="X1766" i="1"/>
  <c r="X1767" i="1"/>
  <c r="X1788" i="1"/>
  <c r="X1791" i="1"/>
  <c r="X1794" i="1"/>
  <c r="X1795" i="1"/>
  <c r="X1799" i="1"/>
  <c r="X1961" i="1"/>
  <c r="X1964" i="1"/>
  <c r="X1967" i="1"/>
  <c r="X1968" i="1"/>
  <c r="X1969" i="1"/>
  <c r="X1971" i="1"/>
  <c r="X1979" i="1"/>
  <c r="X1980" i="1"/>
  <c r="X1982" i="1"/>
  <c r="X1984" i="1"/>
  <c r="X1994" i="1"/>
  <c r="X2005" i="1"/>
  <c r="X2016" i="1"/>
  <c r="X2018" i="1"/>
  <c r="X2019" i="1"/>
  <c r="X2025" i="1"/>
  <c r="X2026" i="1"/>
  <c r="X2027" i="1"/>
  <c r="X2028" i="1"/>
  <c r="X2111" i="1"/>
  <c r="X2115" i="1"/>
  <c r="X2117" i="1"/>
  <c r="X2119" i="1"/>
  <c r="X2121" i="1"/>
  <c r="X2124" i="1"/>
  <c r="X2128" i="1"/>
  <c r="X2135" i="1"/>
  <c r="X2139" i="1"/>
  <c r="X2150" i="1"/>
  <c r="X2151" i="1"/>
  <c r="X2159" i="1"/>
  <c r="X2160" i="1"/>
  <c r="X2161" i="1"/>
  <c r="X2162" i="1"/>
  <c r="X2163" i="1"/>
  <c r="X2164" i="1"/>
  <c r="X2165" i="1"/>
  <c r="X2173" i="1"/>
  <c r="X2174" i="1"/>
  <c r="X2175" i="1"/>
  <c r="X2176" i="1"/>
  <c r="X2177" i="1"/>
  <c r="X2178" i="1"/>
  <c r="X2179" i="1"/>
  <c r="X2185" i="1"/>
  <c r="X2186" i="1"/>
  <c r="X2187" i="1"/>
  <c r="X2189" i="1"/>
  <c r="X2190" i="1"/>
  <c r="X2191" i="1"/>
  <c r="X2192" i="1"/>
  <c r="X2193" i="1"/>
  <c r="X2200" i="1"/>
  <c r="X2201" i="1"/>
  <c r="X2202" i="1"/>
  <c r="X2203" i="1"/>
  <c r="X2208" i="1"/>
  <c r="X2212" i="1"/>
  <c r="X2214" i="1"/>
  <c r="X2217" i="1"/>
  <c r="X2226" i="1"/>
  <c r="X2230" i="1"/>
  <c r="X2255" i="1"/>
  <c r="X2280" i="1"/>
  <c r="X2281" i="1"/>
  <c r="X2282" i="1"/>
  <c r="X2283" i="1"/>
  <c r="X2284" i="1"/>
  <c r="X2285" i="1"/>
  <c r="X2287" i="1"/>
  <c r="X2291" i="1"/>
  <c r="X2294" i="1"/>
  <c r="X2298" i="1"/>
  <c r="X2300" i="1"/>
  <c r="X2301" i="1"/>
  <c r="X2307" i="1"/>
  <c r="X2308" i="1"/>
  <c r="X2310" i="1"/>
  <c r="X2311" i="1"/>
  <c r="X2315" i="1"/>
  <c r="X2316" i="1"/>
  <c r="X2317" i="1"/>
  <c r="X2318" i="1"/>
  <c r="X2319" i="1"/>
  <c r="X2320" i="1"/>
  <c r="X2321" i="1"/>
  <c r="X2322" i="1"/>
  <c r="X2323" i="1"/>
  <c r="X2324" i="1"/>
  <c r="X2325" i="1"/>
  <c r="X2326" i="1"/>
  <c r="X2327" i="1"/>
  <c r="X2328" i="1"/>
  <c r="X2329" i="1"/>
  <c r="X2330" i="1"/>
  <c r="X2331" i="1"/>
  <c r="X2332" i="1"/>
  <c r="X2337" i="1"/>
  <c r="X2338" i="1"/>
  <c r="X2339" i="1"/>
  <c r="X2342" i="1"/>
  <c r="X2343" i="1"/>
  <c r="X2347" i="1"/>
  <c r="X2348" i="1"/>
  <c r="X2349" i="1"/>
  <c r="X2350" i="1"/>
  <c r="X2352" i="1"/>
  <c r="X2354" i="1"/>
  <c r="X2355" i="1"/>
  <c r="X2359" i="1"/>
  <c r="X2360" i="1"/>
  <c r="X2363" i="1"/>
  <c r="X2365" i="1"/>
  <c r="X2368" i="1"/>
  <c r="X2370" i="1"/>
  <c r="X2372" i="1"/>
  <c r="X2378" i="1"/>
  <c r="X2379" i="1"/>
  <c r="X2381" i="1"/>
  <c r="X2382" i="1"/>
  <c r="X2383" i="1"/>
  <c r="X2392" i="1"/>
  <c r="X2394" i="1"/>
  <c r="X2395" i="1"/>
  <c r="X2396" i="1"/>
  <c r="X2397" i="1"/>
  <c r="X2399" i="1"/>
  <c r="X2407" i="1"/>
  <c r="X2408" i="1"/>
  <c r="X2412" i="1"/>
  <c r="X2413" i="1"/>
  <c r="X2421" i="1"/>
  <c r="X2422" i="1"/>
  <c r="X2423" i="1"/>
  <c r="X2425" i="1"/>
  <c r="X2426" i="1"/>
  <c r="X2427" i="1"/>
  <c r="X2428" i="1"/>
  <c r="X2430" i="1"/>
  <c r="X2435" i="1"/>
  <c r="X2436" i="1"/>
  <c r="X2438" i="1"/>
  <c r="X2442" i="1"/>
  <c r="X2443" i="1"/>
  <c r="X2444" i="1"/>
  <c r="X2451" i="1"/>
  <c r="X2452" i="1"/>
  <c r="X2457" i="1"/>
  <c r="X2458" i="1"/>
  <c r="X2459" i="1"/>
  <c r="X2460" i="1"/>
  <c r="X2462" i="1"/>
  <c r="X2463" i="1"/>
  <c r="X2464" i="1"/>
  <c r="X2465" i="1"/>
  <c r="X2466" i="1"/>
  <c r="X2467" i="1"/>
  <c r="X2468" i="1"/>
  <c r="X2469" i="1"/>
  <c r="X2470" i="1"/>
  <c r="X2471" i="1"/>
  <c r="X2472" i="1"/>
  <c r="X2473" i="1"/>
  <c r="X2474" i="1"/>
  <c r="X2476" i="1"/>
  <c r="X2477" i="1"/>
  <c r="X2478" i="1"/>
  <c r="X2479" i="1"/>
  <c r="X2480" i="1"/>
  <c r="X2481" i="1"/>
  <c r="X2482" i="1"/>
  <c r="X2483" i="1"/>
  <c r="X2484" i="1"/>
  <c r="X2485" i="1"/>
  <c r="X2486" i="1"/>
  <c r="X2487" i="1"/>
  <c r="X2488" i="1"/>
  <c r="X2489" i="1"/>
  <c r="X2492" i="1"/>
  <c r="X2493" i="1"/>
  <c r="X2494" i="1"/>
  <c r="X2495" i="1"/>
  <c r="X2496" i="1"/>
  <c r="X2498" i="1"/>
  <c r="X2499" i="1"/>
  <c r="X2503" i="1"/>
  <c r="X2504" i="1"/>
  <c r="X2505" i="1"/>
  <c r="X2506" i="1"/>
  <c r="X2507" i="1"/>
  <c r="X2510" i="1"/>
  <c r="X2512" i="1"/>
  <c r="X2556" i="1"/>
  <c r="X2557" i="1"/>
  <c r="X2559" i="1"/>
  <c r="X2560" i="1"/>
  <c r="X2562" i="1"/>
  <c r="X2563" i="1"/>
  <c r="X2568" i="1"/>
  <c r="X2569" i="1"/>
  <c r="X2571" i="1"/>
  <c r="X2572" i="1"/>
  <c r="X2573" i="1"/>
  <c r="X2577" i="1"/>
  <c r="X2629" i="1"/>
  <c r="X2630" i="1"/>
  <c r="X2631" i="1"/>
  <c r="X2632" i="1"/>
  <c r="X2633" i="1"/>
  <c r="X2713" i="1"/>
  <c r="X2714" i="1"/>
  <c r="X2715" i="1"/>
  <c r="X2716" i="1"/>
  <c r="X2719" i="1"/>
  <c r="X2722" i="1"/>
  <c r="X2728" i="1"/>
  <c r="X2732" i="1"/>
  <c r="X2734" i="1"/>
  <c r="X2738" i="1"/>
  <c r="X2745" i="1"/>
  <c r="X2746" i="1"/>
  <c r="X2747" i="1"/>
  <c r="X2749" i="1"/>
  <c r="X2751" i="1"/>
  <c r="X2752" i="1"/>
  <c r="X2753" i="1"/>
  <c r="X2754" i="1"/>
  <c r="X2755" i="1"/>
  <c r="X2758" i="1"/>
  <c r="X2760" i="1"/>
  <c r="X2769" i="1"/>
  <c r="X2770" i="1"/>
  <c r="X2774" i="1"/>
  <c r="X2778" i="1"/>
  <c r="X2780" i="1"/>
  <c r="X2781" i="1"/>
  <c r="X2784" i="1"/>
  <c r="X2785" i="1"/>
  <c r="X2789" i="1"/>
  <c r="X2790" i="1"/>
  <c r="X2791" i="1"/>
  <c r="X2794" i="1"/>
  <c r="X2795" i="1"/>
  <c r="X2796" i="1"/>
  <c r="X2797"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32" i="1"/>
  <c r="X3034" i="1"/>
  <c r="X3036" i="1"/>
  <c r="X3037" i="1"/>
  <c r="X3041" i="1"/>
  <c r="X3042" i="1"/>
  <c r="X3044" i="1"/>
  <c r="X3057" i="1"/>
  <c r="X3061" i="1"/>
  <c r="X3063" i="1"/>
  <c r="Q1753" i="1"/>
  <c r="Q1800" i="1"/>
  <c r="B161" i="7" l="1"/>
  <c r="B160" i="7"/>
  <c r="P36" i="7"/>
  <c r="Q36" i="7" s="1"/>
  <c r="P2" i="7"/>
  <c r="B158" i="7" s="1"/>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B159" i="7" l="1"/>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S34" i="7"/>
  <c r="S35" i="7"/>
  <c r="I34" i="7"/>
  <c r="I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<sst xmlns="http://schemas.openxmlformats.org/spreadsheetml/2006/main" count="60892" uniqueCount="20579">
  <si>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</si>
  <si>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</si>
  <si>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</si>
  <si>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</si>
  <si>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</si>
  <si>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</si>
  <si>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</si>
  <si>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</si>
  <si>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</si>
  <si>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</si>
  <si>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</si>
  <si>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</si>
  <si>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</si>
  <si>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</si>
  <si>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</si>
  <si>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</si>
  <si>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</si>
  <si>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</si>
  <si>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</si>
  <si>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</si>
  <si>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</si>
  <si>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</si>
  <si>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</si>
  <si>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</si>
  <si>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</si>
  <si>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</si>
  <si>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</si>
  <si>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</si>
  <si>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</si>
  <si>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</si>
  <si>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</si>
  <si>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</si>
  <si>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</si>
  <si>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</si>
  <si>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</si>
  <si>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</si>
  <si>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</si>
  <si>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</si>
  <si>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</si>
  <si>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</si>
  <si>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</si>
  <si>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</si>
  <si>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</si>
  <si>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</si>
  <si>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</si>
  <si>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</si>
  <si>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</si>
  <si>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</si>
  <si>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</si>
  <si>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</si>
  <si>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</si>
  <si>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</si>
  <si>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</si>
  <si>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</si>
  <si>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</si>
  <si>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</si>
  <si>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</si>
  <si>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</si>
  <si>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</si>
  <si>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</si>
  <si>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</si>
  <si>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</si>
  <si>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</si>
  <si>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</si>
  <si>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</si>
  <si>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</si>
  <si>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</si>
  <si>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</si>
  <si>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</si>
  <si>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</si>
  <si>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</si>
  <si>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</si>
  <si>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</si>
  <si>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</si>
  <si>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</si>
  <si>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</si>
  <si>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</si>
  <si>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</si>
  <si>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</si>
  <si>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</si>
  <si>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</si>
  <si>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</si>
  <si>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</si>
  <si>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</si>
  <si>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</si>
  <si>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</si>
  <si>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</si>
  <si>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</si>
  <si>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</si>
  <si>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</si>
  <si>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</si>
  <si>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</si>
  <si>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</si>
  <si>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</si>
  <si>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</si>
  <si>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</si>
  <si>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</si>
  <si>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</si>
  <si>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</si>
  <si>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</si>
  <si>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</si>
  <si>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</si>
  <si>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</si>
  <si>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</si>
  <si>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</si>
  <si>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</si>
  <si>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</si>
  <si>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</si>
  <si>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</si>
  <si>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</si>
  <si>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</si>
  <si>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</si>
  <si>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</si>
  <si>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</si>
  <si>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</si>
  <si>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</si>
  <si>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</si>
  <si>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</si>
  <si>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</si>
  <si>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</si>
  <si>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</si>
  <si>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</si>
  <si>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</si>
  <si>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</si>
  <si>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</si>
  <si>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</si>
  <si>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</si>
  <si>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</si>
  <si>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</si>
  <si>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</si>
  <si>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</si>
  <si>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</si>
  <si>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</si>
  <si>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</si>
  <si>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</si>
  <si>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</si>
  <si>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</si>
  <si>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</si>
  <si>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</si>
  <si>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</si>
  <si>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</si>
  <si>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</si>
  <si>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</si>
  <si>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</si>
  <si>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</si>
  <si>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</si>
  <si>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</si>
  <si>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</si>
  <si>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</si>
  <si>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</si>
  <si>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</si>
  <si>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</si>
  <si>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</si>
  <si>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</si>
  <si>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</si>
  <si>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</si>
  <si>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</si>
  <si>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</si>
  <si>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</si>
  <si>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</si>
  <si>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</si>
  <si>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</si>
  <si>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</si>
  <si>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</si>
  <si>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</si>
  <si>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</si>
  <si>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</si>
  <si>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</si>
  <si>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</si>
  <si>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</si>
  <si>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</si>
  <si>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</si>
  <si>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</si>
  <si>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</si>
  <si>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</si>
  <si>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</si>
  <si>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</si>
  <si>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</si>
  <si>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</si>
  <si>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</si>
  <si>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</si>
  <si>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</si>
  <si>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</si>
  <si>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</si>
  <si>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</si>
  <si>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</si>
  <si>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</si>
  <si>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</si>
  <si>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</si>
  <si>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</si>
  <si>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</si>
  <si>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</si>
  <si>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</si>
  <si>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</si>
  <si>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</si>
  <si>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</si>
  <si>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</si>
  <si>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</si>
  <si>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</si>
  <si>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</si>
  <si>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</si>
  <si>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</si>
  <si>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</si>
  <si>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</si>
  <si>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</si>
  <si>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</si>
  <si>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</si>
  <si>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</si>
  <si>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</si>
  <si>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</si>
  <si>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</si>
  <si>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</si>
  <si>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</si>
  <si>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</si>
  <si>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</si>
  <si>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</si>
  <si>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</si>
  <si>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</si>
  <si>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</si>
  <si>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</si>
  <si>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</si>
  <si>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</si>
  <si>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</si>
  <si>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</si>
  <si>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discipulosmidas</t>
  </si>
  <si>
    <t>oliveiraedison3</t>
  </si>
  <si>
    <t>nerycred</t>
  </si>
  <si>
    <t>sandrocmattos</t>
  </si>
  <si>
    <t>cryptonoide_</t>
  </si>
  <si>
    <t>ederlorenzobr</t>
  </si>
  <si>
    <t>atlantickapital</t>
  </si>
  <si>
    <t>polidistrital</t>
  </si>
  <si>
    <t>thetryum</t>
  </si>
  <si>
    <t>poli_corretora</t>
  </si>
  <si>
    <t>crisinveste</t>
  </si>
  <si>
    <t>investthetagang</t>
  </si>
  <si>
    <t>mzambianco</t>
  </si>
  <si>
    <t>_brasilpopular</t>
  </si>
  <si>
    <t>3l0y4n</t>
  </si>
  <si>
    <t>guarulhosonline</t>
  </si>
  <si>
    <t>amanumanoela</t>
  </si>
  <si>
    <t>roberto_unger_</t>
  </si>
  <si>
    <t>stockcollector_</t>
  </si>
  <si>
    <t>hilvieira</t>
  </si>
  <si>
    <t>iecamarabahia</t>
  </si>
  <si>
    <t>marianasmkt</t>
  </si>
  <si>
    <t>defensoria_rj</t>
  </si>
  <si>
    <t>comoreinventar</t>
  </si>
  <si>
    <t>bancooriginal</t>
  </si>
  <si>
    <t>angeluscrane</t>
  </si>
  <si>
    <t>blumenauagora</t>
  </si>
  <si>
    <t>aju_manganelli</t>
  </si>
  <si>
    <t>euedinheiro</t>
  </si>
  <si>
    <t>crediembrapa</t>
  </si>
  <si>
    <t>uchoavf</t>
  </si>
  <si>
    <t>ivana_p_almeida</t>
  </si>
  <si>
    <t>analistainvest</t>
  </si>
  <si>
    <t>econandreiaferr</t>
  </si>
  <si>
    <t>marcos_b_39</t>
  </si>
  <si>
    <t>informacaoief</t>
  </si>
  <si>
    <t>wellersonferr13</t>
  </si>
  <si>
    <t>flaviosouza2810</t>
  </si>
  <si>
    <t>ocesarkato</t>
  </si>
  <si>
    <t>ocapitaldigital</t>
  </si>
  <si>
    <t>albert_taka</t>
  </si>
  <si>
    <t>desenvolve_sp</t>
  </si>
  <si>
    <t>financialstream</t>
  </si>
  <si>
    <t>vagasdesalvador</t>
  </si>
  <si>
    <t>linsdoceara</t>
  </si>
  <si>
    <t>gersonantunesc1</t>
  </si>
  <si>
    <t>focanoimposto</t>
  </si>
  <si>
    <t>chaleira__</t>
  </si>
  <si>
    <t>eacoes</t>
  </si>
  <si>
    <t>diogojorn</t>
  </si>
  <si>
    <t>explibertario</t>
  </si>
  <si>
    <t>inovacao_lean</t>
  </si>
  <si>
    <t>roggia</t>
  </si>
  <si>
    <t>jornaldealagoas</t>
  </si>
  <si>
    <t>j_caio_r</t>
  </si>
  <si>
    <t>_meunomelimpo</t>
  </si>
  <si>
    <t>manframing</t>
  </si>
  <si>
    <t>gustavoipadilla</t>
  </si>
  <si>
    <t>acqua_vero</t>
  </si>
  <si>
    <t>juliocrrf</t>
  </si>
  <si>
    <t>michellefuly</t>
  </si>
  <si>
    <t>jeelimajorge</t>
  </si>
  <si>
    <t>barbainveste</t>
  </si>
  <si>
    <t>salumc</t>
  </si>
  <si>
    <t>sestarileticia</t>
  </si>
  <si>
    <t>atlanticpay</t>
  </si>
  <si>
    <t>loopipay</t>
  </si>
  <si>
    <t>diario_comercio</t>
  </si>
  <si>
    <t>santiagolmoraes</t>
  </si>
  <si>
    <t>paraminvest</t>
  </si>
  <si>
    <t>sandroveiga_</t>
  </si>
  <si>
    <t>deduzsolucoes</t>
  </si>
  <si>
    <t>origin22_22</t>
  </si>
  <si>
    <t>maismillionario</t>
  </si>
  <si>
    <t>druzi11</t>
  </si>
  <si>
    <t>diogorugeroni</t>
  </si>
  <si>
    <t>valdecirrondel1</t>
  </si>
  <si>
    <t>jorgeag51888144</t>
  </si>
  <si>
    <t>asc_alancoelho</t>
  </si>
  <si>
    <t>planosassess</t>
  </si>
  <si>
    <t>seumentor</t>
  </si>
  <si>
    <t>bruvelloso</t>
  </si>
  <si>
    <t>correiopopular_</t>
  </si>
  <si>
    <t>gustavo25867079</t>
  </si>
  <si>
    <t>dillan__alves</t>
  </si>
  <si>
    <t>rio_bravo</t>
  </si>
  <si>
    <t>sdbadvocacia</t>
  </si>
  <si>
    <t>finvestmentor</t>
  </si>
  <si>
    <t>deharruda94</t>
  </si>
  <si>
    <t>saudeeprosperi_</t>
  </si>
  <si>
    <t>bancodonordeste</t>
  </si>
  <si>
    <t>gustavober_59</t>
  </si>
  <si>
    <t>mamaeeconomica</t>
  </si>
  <si>
    <t>cnpjotas</t>
  </si>
  <si>
    <t>guidottisilva</t>
  </si>
  <si>
    <t>antenado_gip</t>
  </si>
  <si>
    <t>greboucas</t>
  </si>
  <si>
    <t>wagnergeremia</t>
  </si>
  <si>
    <t>cayocesar89</t>
  </si>
  <si>
    <t>irineubere</t>
  </si>
  <si>
    <t>villasboasvi</t>
  </si>
  <si>
    <t>eu_resma</t>
  </si>
  <si>
    <t>ig</t>
  </si>
  <si>
    <t>brennerdelfino</t>
  </si>
  <si>
    <t>jacoagirafa</t>
  </si>
  <si>
    <t>jornalistavitor</t>
  </si>
  <si>
    <t>cwbfinance</t>
  </si>
  <si>
    <t>juliomauriciojm</t>
  </si>
  <si>
    <t>leiacryptotimes</t>
  </si>
  <si>
    <t>_wmbmarketing</t>
  </si>
  <si>
    <t>edils_eddie</t>
  </si>
  <si>
    <t>entertainusnob</t>
  </si>
  <si>
    <t>ejlazzaretti</t>
  </si>
  <si>
    <t>2krydex</t>
  </si>
  <si>
    <t>vi_ruscito</t>
  </si>
  <si>
    <t>financasecia</t>
  </si>
  <si>
    <t>cllaudioleite</t>
  </si>
  <si>
    <t>tayliszatti</t>
  </si>
  <si>
    <t>cassebbsb</t>
  </si>
  <si>
    <t>anastaciopbjpa</t>
  </si>
  <si>
    <t>invest_geracao</t>
  </si>
  <si>
    <t>financer_ibraim</t>
  </si>
  <si>
    <t>rabaioliadvs</t>
  </si>
  <si>
    <t>anderson77i</t>
  </si>
  <si>
    <t>tiago_roberto_</t>
  </si>
  <si>
    <t>pdentroassunto</t>
  </si>
  <si>
    <t>oluizbaur</t>
  </si>
  <si>
    <t>gosto_disto</t>
  </si>
  <si>
    <t>fabi_b_amador</t>
  </si>
  <si>
    <t>williamhuntbr</t>
  </si>
  <si>
    <t>emykey05</t>
  </si>
  <si>
    <t>cacdazevedo</t>
  </si>
  <si>
    <t>mblparana</t>
  </si>
  <si>
    <t>casal_trader</t>
  </si>
  <si>
    <t>netorebello1</t>
  </si>
  <si>
    <t>islamicsummit</t>
  </si>
  <si>
    <t>fgv_eaesp</t>
  </si>
  <si>
    <t>evertondesg</t>
  </si>
  <si>
    <t>camarajp</t>
  </si>
  <si>
    <t>paulonodigital</t>
  </si>
  <si>
    <t>dielison_</t>
  </si>
  <si>
    <t>pinchapila</t>
  </si>
  <si>
    <t>bizucash</t>
  </si>
  <si>
    <t>twetthiago</t>
  </si>
  <si>
    <t>tlcardoso</t>
  </si>
  <si>
    <t>gabrielaprocpi9</t>
  </si>
  <si>
    <t>grdotrader</t>
  </si>
  <si>
    <t>narfortsac</t>
  </si>
  <si>
    <t>edisilva64</t>
  </si>
  <si>
    <t>fenaconfed</t>
  </si>
  <si>
    <t>agenciaestado</t>
  </si>
  <si>
    <t>ggianni</t>
  </si>
  <si>
    <t>varginha_online</t>
  </si>
  <si>
    <t>lidialuciara</t>
  </si>
  <si>
    <t>mesquitarj</t>
  </si>
  <si>
    <t>majesegseguros</t>
  </si>
  <si>
    <t>fabiooliveira18</t>
  </si>
  <si>
    <t>dnavegacao</t>
  </si>
  <si>
    <t>francisinvicto</t>
  </si>
  <si>
    <t>descentralizapt</t>
  </si>
  <si>
    <t>duduhrosa13</t>
  </si>
  <si>
    <t>seakopt</t>
  </si>
  <si>
    <t>brunomelop3</t>
  </si>
  <si>
    <t>wrodriguesbr</t>
  </si>
  <si>
    <t>imperiosolar</t>
  </si>
  <si>
    <t>luxcapital_</t>
  </si>
  <si>
    <t>mongeinvestidor</t>
  </si>
  <si>
    <t>blogconvidado</t>
  </si>
  <si>
    <t>luizmarjr</t>
  </si>
  <si>
    <t>ngelaca69067770</t>
  </si>
  <si>
    <t>thiagorogel</t>
  </si>
  <si>
    <t>mundorhonline</t>
  </si>
  <si>
    <t>vsuzzio</t>
  </si>
  <si>
    <t>123passei</t>
  </si>
  <si>
    <t>tcinvestimentos</t>
  </si>
  <si>
    <t>mariaap28183165</t>
  </si>
  <si>
    <t>gabriel98091764</t>
  </si>
  <si>
    <t>infodiaemfoco</t>
  </si>
  <si>
    <t>kritikepodcast</t>
  </si>
  <si>
    <t>osvaldocapaca</t>
  </si>
  <si>
    <t>cryptoherobr</t>
  </si>
  <si>
    <t>jjnoar</t>
  </si>
  <si>
    <t>faria_alcantara</t>
  </si>
  <si>
    <t>blogdojuares</t>
  </si>
  <si>
    <t>avidamaisrica</t>
  </si>
  <si>
    <t>joaoricardosil</t>
  </si>
  <si>
    <t>mondinthalles</t>
  </si>
  <si>
    <t>dinheiro_vivo</t>
  </si>
  <si>
    <t>sonartrade</t>
  </si>
  <si>
    <t>blogdobetoveiga</t>
  </si>
  <si>
    <t>centralcursoss</t>
  </si>
  <si>
    <t>econovisao</t>
  </si>
  <si>
    <t>tradervlog</t>
  </si>
  <si>
    <t>claudiohabibe</t>
  </si>
  <si>
    <t>businessjrvc</t>
  </si>
  <si>
    <t>velosotrade</t>
  </si>
  <si>
    <t>einvestidor</t>
  </si>
  <si>
    <t>paisefilhos</t>
  </si>
  <si>
    <t>editoraviseu</t>
  </si>
  <si>
    <t>danielg_s6</t>
  </si>
  <si>
    <t>ammamagistrados</t>
  </si>
  <si>
    <t>cbnoficial</t>
  </si>
  <si>
    <t>paulocbastos</t>
  </si>
  <si>
    <t>revistavocerh</t>
  </si>
  <si>
    <t>portomario</t>
  </si>
  <si>
    <t>marcosacyprest1</t>
  </si>
  <si>
    <t>canalcomlucro</t>
  </si>
  <si>
    <t>arrcanjjo</t>
  </si>
  <si>
    <t>nilsonmarques22</t>
  </si>
  <si>
    <t>psuvazamentos</t>
  </si>
  <si>
    <t>gutgot</t>
  </si>
  <si>
    <t>eduardomrfilho</t>
  </si>
  <si>
    <t>mktdigital2023</t>
  </si>
  <si>
    <t>gilsonanselmo</t>
  </si>
  <si>
    <t>sousadavi</t>
  </si>
  <si>
    <t>indigoinstituto</t>
  </si>
  <si>
    <t>igorhonorioo</t>
  </si>
  <si>
    <t>terra__brasilis</t>
  </si>
  <si>
    <t>eloanportugal</t>
  </si>
  <si>
    <t>grupoayonel</t>
  </si>
  <si>
    <t>mallonsoigcombr</t>
  </si>
  <si>
    <t>settitiago</t>
  </si>
  <si>
    <t>guiademicon</t>
  </si>
  <si>
    <t>admgestpublica</t>
  </si>
  <si>
    <t>blogparaopovo</t>
  </si>
  <si>
    <t>minteredu</t>
  </si>
  <si>
    <t>emprestimopravc</t>
  </si>
  <si>
    <t>ricamconsult</t>
  </si>
  <si>
    <t>pedrofagundes</t>
  </si>
  <si>
    <t>oficial_ens</t>
  </si>
  <si>
    <t>andreamenezesi</t>
  </si>
  <si>
    <t>unicredbrasil</t>
  </si>
  <si>
    <t>opengrowth_</t>
  </si>
  <si>
    <t>flavioluis_fing</t>
  </si>
  <si>
    <t>appirflash</t>
  </si>
  <si>
    <t>bynessantos</t>
  </si>
  <si>
    <t>fernandaportov</t>
  </si>
  <si>
    <t>bidubike</t>
  </si>
  <si>
    <t>jornalodia</t>
  </si>
  <si>
    <t>modelodevida_</t>
  </si>
  <si>
    <t>sabidinis</t>
  </si>
  <si>
    <t>meubolsoemdia</t>
  </si>
  <si>
    <t>cryptonita_ta</t>
  </si>
  <si>
    <t>flyvagner</t>
  </si>
  <si>
    <t>tdmaoinvisivel</t>
  </si>
  <si>
    <t>newsdigital360</t>
  </si>
  <si>
    <t>simonramosbr</t>
  </si>
  <si>
    <t>mpaulaorganizer</t>
  </si>
  <si>
    <t>blogpdnoticia</t>
  </si>
  <si>
    <t>twivitoriaregia</t>
  </si>
  <si>
    <t>theholderinvest</t>
  </si>
  <si>
    <t>gutemberggjaa</t>
  </si>
  <si>
    <t>andredesofia</t>
  </si>
  <si>
    <t>originalsantt</t>
  </si>
  <si>
    <t>edsonderiv</t>
  </si>
  <si>
    <t>jornadacapital</t>
  </si>
  <si>
    <t>tocadoslivrosbr</t>
  </si>
  <si>
    <t>editmaisamigos</t>
  </si>
  <si>
    <t>devairrocha</t>
  </si>
  <si>
    <t>ttorres_oficial</t>
  </si>
  <si>
    <t>maikonweber1</t>
  </si>
  <si>
    <t>admucdb2k23</t>
  </si>
  <si>
    <t>realpauloborba</t>
  </si>
  <si>
    <t>rh_garrett</t>
  </si>
  <si>
    <t>portal_viva</t>
  </si>
  <si>
    <t>urbanitae_pt</t>
  </si>
  <si>
    <t>contabeisvida</t>
  </si>
  <si>
    <t>ebitdaf</t>
  </si>
  <si>
    <t>mvcosta22</t>
  </si>
  <si>
    <t>finscool_br</t>
  </si>
  <si>
    <t>_abrates</t>
  </si>
  <si>
    <t>abnerluciano</t>
  </si>
  <si>
    <t>dawisonbarbosa</t>
  </si>
  <si>
    <t>ricardoschramm</t>
  </si>
  <si>
    <t>ellosuneng</t>
  </si>
  <si>
    <t>bytresloucado</t>
  </si>
  <si>
    <t>mano_investidor</t>
  </si>
  <si>
    <t>academiadebolsa</t>
  </si>
  <si>
    <t>grm88765974grm</t>
  </si>
  <si>
    <t>technewsbr90131</t>
  </si>
  <si>
    <t>mauriciomoega</t>
  </si>
  <si>
    <t>drancelmoramos</t>
  </si>
  <si>
    <t>mrcia770732731</t>
  </si>
  <si>
    <t>muriloabacherli</t>
  </si>
  <si>
    <t>willkushman</t>
  </si>
  <si>
    <t>openideas_net</t>
  </si>
  <si>
    <t>financas100tabu</t>
  </si>
  <si>
    <t>beieducacao</t>
  </si>
  <si>
    <t>academiaalphapt</t>
  </si>
  <si>
    <t>_divesvitae_</t>
  </si>
  <si>
    <t>clubeacaobr</t>
  </si>
  <si>
    <t>pimpthirteen</t>
  </si>
  <si>
    <t>alexfinancas</t>
  </si>
  <si>
    <t>jjempreendedor</t>
  </si>
  <si>
    <t>cajao021</t>
  </si>
  <si>
    <t>projaposent</t>
  </si>
  <si>
    <t>brazen_capital</t>
  </si>
  <si>
    <t>sebraeto</t>
  </si>
  <si>
    <t>serieapalpiteir</t>
  </si>
  <si>
    <t>azizbasry</t>
  </si>
  <si>
    <t>sicoobcj</t>
  </si>
  <si>
    <t>mutualcapital3</t>
  </si>
  <si>
    <t>edgarfmabreu</t>
  </si>
  <si>
    <t>sigaif</t>
  </si>
  <si>
    <t>bancomoc</t>
  </si>
  <si>
    <t>dinheiro_viva</t>
  </si>
  <si>
    <t>pobrepoupa</t>
  </si>
  <si>
    <t>osdadosmostram</t>
  </si>
  <si>
    <t>malelo2711</t>
  </si>
  <si>
    <t>recuperabrasil_</t>
  </si>
  <si>
    <t>rosaangelahenr2</t>
  </si>
  <si>
    <t>sbellomo1995</t>
  </si>
  <si>
    <t>lucianfreirepro</t>
  </si>
  <si>
    <t>spainvestor</t>
  </si>
  <si>
    <t>portalunico</t>
  </si>
  <si>
    <t>meiahora</t>
  </si>
  <si>
    <t>marceloproducao</t>
  </si>
  <si>
    <t>rafaelgouveiarg</t>
  </si>
  <si>
    <t>pqquest</t>
  </si>
  <si>
    <t>multimidiainfo</t>
  </si>
  <si>
    <t>financad</t>
  </si>
  <si>
    <t>astanapay</t>
  </si>
  <si>
    <t>themage</t>
  </si>
  <si>
    <t>jeandearaujol</t>
  </si>
  <si>
    <t>fatecferraz</t>
  </si>
  <si>
    <t>alexsan16137953</t>
  </si>
  <si>
    <t>leokuba</t>
  </si>
  <si>
    <t>b18editora</t>
  </si>
  <si>
    <t>soutaniacris</t>
  </si>
  <si>
    <t>invistafinancas</t>
  </si>
  <si>
    <t>judiasdemim</t>
  </si>
  <si>
    <t>focuscontabili2</t>
  </si>
  <si>
    <t>facolommoney</t>
  </si>
  <si>
    <t>cra_es</t>
  </si>
  <si>
    <t>ronysampaioadm</t>
  </si>
  <si>
    <t>messiasdahora</t>
  </si>
  <si>
    <t>pauloro83534636</t>
  </si>
  <si>
    <t>nossomeio</t>
  </si>
  <si>
    <t>_defensoriars</t>
  </si>
  <si>
    <t>umempreendedor</t>
  </si>
  <si>
    <t>isaaceducacao</t>
  </si>
  <si>
    <t>ottofinancas</t>
  </si>
  <si>
    <t>fabiolo14426262</t>
  </si>
  <si>
    <t>gpsdosnegocios</t>
  </si>
  <si>
    <t>dtirado1</t>
  </si>
  <si>
    <t>financasup</t>
  </si>
  <si>
    <t>mmartinsandrade</t>
  </si>
  <si>
    <t>senacminas</t>
  </si>
  <si>
    <t>_lehteixeira</t>
  </si>
  <si>
    <t>cleitonfinancas</t>
  </si>
  <si>
    <t>galaoda13</t>
  </si>
  <si>
    <t>marciocardial</t>
  </si>
  <si>
    <t>valdemar_hoque</t>
  </si>
  <si>
    <t>financasportal</t>
  </si>
  <si>
    <t>gynbanco</t>
  </si>
  <si>
    <t>mostbillion</t>
  </si>
  <si>
    <t>teddyvicker</t>
  </si>
  <si>
    <t>bnbcryptobonus</t>
  </si>
  <si>
    <t>stimperapp</t>
  </si>
  <si>
    <t>alfainvestidor1</t>
  </si>
  <si>
    <t>carlos_domini</t>
  </si>
  <si>
    <t>eabs86</t>
  </si>
  <si>
    <t>beltrameotavio</t>
  </si>
  <si>
    <t>igor_vieiraa</t>
  </si>
  <si>
    <t>futureproof_wma</t>
  </si>
  <si>
    <t>inflamando</t>
  </si>
  <si>
    <t>jc_rs</t>
  </si>
  <si>
    <t>agathac79501121</t>
  </si>
  <si>
    <t>anderson_crc</t>
  </si>
  <si>
    <t>iberezanski</t>
  </si>
  <si>
    <t>robertaleitao11</t>
  </si>
  <si>
    <t>maniam_podcast</t>
  </si>
  <si>
    <t>fluir_ibg</t>
  </si>
  <si>
    <t>dav49057david</t>
  </si>
  <si>
    <t>leomorban</t>
  </si>
  <si>
    <t>tretacripto</t>
  </si>
  <si>
    <t>gabriels_gouvea</t>
  </si>
  <si>
    <t>andrealmeidasou</t>
  </si>
  <si>
    <t>jornaldooeste</t>
  </si>
  <si>
    <t>almepoupa</t>
  </si>
  <si>
    <t>escolafinance</t>
  </si>
  <si>
    <t>febraban</t>
  </si>
  <si>
    <t>borafalardguito</t>
  </si>
  <si>
    <t>hd1pod</t>
  </si>
  <si>
    <t>dicadehoje7</t>
  </si>
  <si>
    <t>ismaelguerreir6</t>
  </si>
  <si>
    <t>redetvt</t>
  </si>
  <si>
    <t>mb_galvao</t>
  </si>
  <si>
    <t>onilgroup</t>
  </si>
  <si>
    <t>rankiabrasil</t>
  </si>
  <si>
    <t>sicoobfluminen</t>
  </si>
  <si>
    <t>edufinanceiramz</t>
  </si>
  <si>
    <t>portalestacao</t>
  </si>
  <si>
    <t>missao_renda</t>
  </si>
  <si>
    <t>majordagrana</t>
  </si>
  <si>
    <t>moprify</t>
  </si>
  <si>
    <t>marccos_pessoa</t>
  </si>
  <si>
    <t>thiagosouzaeng</t>
  </si>
  <si>
    <t>consultoramadii</t>
  </si>
  <si>
    <t>assessoremanuel</t>
  </si>
  <si>
    <t>odouglasalex</t>
  </si>
  <si>
    <t>hmotivationmz</t>
  </si>
  <si>
    <t>dyjardan</t>
  </si>
  <si>
    <t>dautinhooficial</t>
  </si>
  <si>
    <t>maniohs</t>
  </si>
  <si>
    <t>adcamenhe</t>
  </si>
  <si>
    <t>rafaelr36886877</t>
  </si>
  <si>
    <t>rickebsantiago</t>
  </si>
  <si>
    <t>ocleydsontrader</t>
  </si>
  <si>
    <t>sicoobcrediara</t>
  </si>
  <si>
    <t>anonimus7700</t>
  </si>
  <si>
    <t>zoomdinheiro</t>
  </si>
  <si>
    <t>ajsantos2021</t>
  </si>
  <si>
    <t>santannareal_</t>
  </si>
  <si>
    <t>henriquemg</t>
  </si>
  <si>
    <t>marcelmenegheti</t>
  </si>
  <si>
    <t>expofavela</t>
  </si>
  <si>
    <t>agrocapitais</t>
  </si>
  <si>
    <t>setor_saude</t>
  </si>
  <si>
    <t>noticiasredetv</t>
  </si>
  <si>
    <t>colband</t>
  </si>
  <si>
    <t>infogainbrazil</t>
  </si>
  <si>
    <t>francelmc</t>
  </si>
  <si>
    <t>universidaderat</t>
  </si>
  <si>
    <t>umpapoqualquer</t>
  </si>
  <si>
    <t>geracao_lider</t>
  </si>
  <si>
    <t>fellipelli</t>
  </si>
  <si>
    <t>josuesilva</t>
  </si>
  <si>
    <t>radunz_carlos</t>
  </si>
  <si>
    <t>niiwopendata</t>
  </si>
  <si>
    <t>lp4planejamento</t>
  </si>
  <si>
    <t>bancosemear</t>
  </si>
  <si>
    <t>pabloehtos</t>
  </si>
  <si>
    <t>ferreiranews2</t>
  </si>
  <si>
    <t>spbancarios</t>
  </si>
  <si>
    <t>7kaylas</t>
  </si>
  <si>
    <t>ndjizassabino</t>
  </si>
  <si>
    <t>teofilomartinst</t>
  </si>
  <si>
    <t>noveensite</t>
  </si>
  <si>
    <t>marcesemasch</t>
  </si>
  <si>
    <t>ourbooksbr</t>
  </si>
  <si>
    <t>cgta_carlos</t>
  </si>
  <si>
    <t>m2msaber</t>
  </si>
  <si>
    <t>investireviver8</t>
  </si>
  <si>
    <t>orcose</t>
  </si>
  <si>
    <t>flaertes27</t>
  </si>
  <si>
    <t>rmcnoticias1</t>
  </si>
  <si>
    <t>plocplay</t>
  </si>
  <si>
    <t>fabianemathes</t>
  </si>
  <si>
    <t>marioeudes</t>
  </si>
  <si>
    <t>portalcdljovem</t>
  </si>
  <si>
    <t>kveira4ever</t>
  </si>
  <si>
    <t>alexandrecs79</t>
  </si>
  <si>
    <t>flavia_pribeiro</t>
  </si>
  <si>
    <t>correa899</t>
  </si>
  <si>
    <t>sergioteatro</t>
  </si>
  <si>
    <t>haramiresearch</t>
  </si>
  <si>
    <t>tipomdistraido</t>
  </si>
  <si>
    <t>pinto_matamba</t>
  </si>
  <si>
    <t>_rschweitzer</t>
  </si>
  <si>
    <t>agoracorretora</t>
  </si>
  <si>
    <t>xzibank</t>
  </si>
  <si>
    <t>girofinanceiro</t>
  </si>
  <si>
    <t>cvmeducacional</t>
  </si>
  <si>
    <t>hermilton5</t>
  </si>
  <si>
    <t>milan_prosper</t>
  </si>
  <si>
    <t>conciergebtc</t>
  </si>
  <si>
    <t>esmaelmorais</t>
  </si>
  <si>
    <t>rosiellepegado</t>
  </si>
  <si>
    <t>organizze</t>
  </si>
  <si>
    <t>diogocavalcante</t>
  </si>
  <si>
    <t>micpodcastmedia</t>
  </si>
  <si>
    <t>revistacoletiva</t>
  </si>
  <si>
    <t>nomenascimento</t>
  </si>
  <si>
    <t>profandersonmat</t>
  </si>
  <si>
    <t>saosonegocios</t>
  </si>
  <si>
    <t>econcompleta</t>
  </si>
  <si>
    <t>paivapiovesan</t>
  </si>
  <si>
    <t>viscondesd</t>
  </si>
  <si>
    <t>denisectoledo8</t>
  </si>
  <si>
    <t>jornaldagazeta</t>
  </si>
  <si>
    <t>rafael__costa__</t>
  </si>
  <si>
    <t>luizpersechini</t>
  </si>
  <si>
    <t>mariade80544716</t>
  </si>
  <si>
    <t>oalissonpatrick</t>
  </si>
  <si>
    <t>tiagokeilerr</t>
  </si>
  <si>
    <t>sistemacndl</t>
  </si>
  <si>
    <t>receitafederal</t>
  </si>
  <si>
    <t>investoom_com</t>
  </si>
  <si>
    <t>teiadigital</t>
  </si>
  <si>
    <t>cgdcursos</t>
  </si>
  <si>
    <t>diegohenrique_i</t>
  </si>
  <si>
    <t>unifesp</t>
  </si>
  <si>
    <t>rodtogneri</t>
  </si>
  <si>
    <t>mcovesa</t>
  </si>
  <si>
    <t>aline_tarot</t>
  </si>
  <si>
    <t>soutosistina</t>
  </si>
  <si>
    <t>cnneconomia</t>
  </si>
  <si>
    <t>pedromestr</t>
  </si>
  <si>
    <t>jornalcontabil_</t>
  </si>
  <si>
    <t>livrosextraordi</t>
  </si>
  <si>
    <t>amazonprev_</t>
  </si>
  <si>
    <t>gaby_nunes142</t>
  </si>
  <si>
    <t>adilson900</t>
  </si>
  <si>
    <t>proffarinhas</t>
  </si>
  <si>
    <t>manoeldelpiero</t>
  </si>
  <si>
    <t>belem_com_br</t>
  </si>
  <si>
    <t>forbesbr</t>
  </si>
  <si>
    <t>economesteter</t>
  </si>
  <si>
    <t>cvmgovbr</t>
  </si>
  <si>
    <t>b3_oficial</t>
  </si>
  <si>
    <t>devinformado</t>
  </si>
  <si>
    <t>doutor_financas</t>
  </si>
  <si>
    <t>geckocripto</t>
  </si>
  <si>
    <t>hydrainveste</t>
  </si>
  <si>
    <t>possasmarcelo</t>
  </si>
  <si>
    <t>vozdavan</t>
  </si>
  <si>
    <t>momentoverdade</t>
  </si>
  <si>
    <t>luizamrl</t>
  </si>
  <si>
    <t>algarveiberica</t>
  </si>
  <si>
    <t>7c631721bedd411</t>
  </si>
  <si>
    <t>jnegocios</t>
  </si>
  <si>
    <t>caminhodoinves1</t>
  </si>
  <si>
    <t>_active_money</t>
  </si>
  <si>
    <t>leormoraess</t>
  </si>
  <si>
    <t>adv_wesleycesar</t>
  </si>
  <si>
    <t>danielcoriolano</t>
  </si>
  <si>
    <t>santoscancio</t>
  </si>
  <si>
    <t>bragaeconomics</t>
  </si>
  <si>
    <t>lipe100dedos</t>
  </si>
  <si>
    <t>03oativ</t>
  </si>
  <si>
    <t>natanfernandop1</t>
  </si>
  <si>
    <t>invistamonett</t>
  </si>
  <si>
    <t>blogdohiel</t>
  </si>
  <si>
    <t>investedigitall</t>
  </si>
  <si>
    <t>credito_jose</t>
  </si>
  <si>
    <t>globo_cancer_br</t>
  </si>
  <si>
    <t>ravenort_links</t>
  </si>
  <si>
    <t>nascimentomma</t>
  </si>
  <si>
    <t>fgvibre</t>
  </si>
  <si>
    <t>charlesrduarte</t>
  </si>
  <si>
    <t>emoneybrasil</t>
  </si>
  <si>
    <t>valentim01julho</t>
  </si>
  <si>
    <t>economicnewsbr</t>
  </si>
  <si>
    <t>pravaler</t>
  </si>
  <si>
    <t>folha</t>
  </si>
  <si>
    <t>investidorcltt</t>
  </si>
  <si>
    <t>ssfilhorp</t>
  </si>
  <si>
    <t>criptoislife</t>
  </si>
  <si>
    <t>vidasimples</t>
  </si>
  <si>
    <t>keepboredbr</t>
  </si>
  <si>
    <t>luamedeiross</t>
  </si>
  <si>
    <t>jeffao_brabo</t>
  </si>
  <si>
    <t>aureliova813892</t>
  </si>
  <si>
    <t>dj_elmar_</t>
  </si>
  <si>
    <t>livrosemresumo</t>
  </si>
  <si>
    <t>economistamay</t>
  </si>
  <si>
    <t>djandriooficial</t>
  </si>
  <si>
    <t>atilalemos10</t>
  </si>
  <si>
    <t>empresasjornal</t>
  </si>
  <si>
    <t>lenick2008</t>
  </si>
  <si>
    <t>robsonantenor</t>
  </si>
  <si>
    <t>financaslucra</t>
  </si>
  <si>
    <t>thiagofm88</t>
  </si>
  <si>
    <t>leiaflj</t>
  </si>
  <si>
    <t>robertopantojax</t>
  </si>
  <si>
    <t>ye__exe</t>
  </si>
  <si>
    <t>britzztheking</t>
  </si>
  <si>
    <t>kakoramos</t>
  </si>
  <si>
    <t>produtiveme</t>
  </si>
  <si>
    <t>guiftmottin7</t>
  </si>
  <si>
    <t>nostranska</t>
  </si>
  <si>
    <t>vteixeira19</t>
  </si>
  <si>
    <t>tvcultura</t>
  </si>
  <si>
    <t>agoraplanos</t>
  </si>
  <si>
    <t>o_lucastrader</t>
  </si>
  <si>
    <t>axcrestfall</t>
  </si>
  <si>
    <t>ivipcoin</t>
  </si>
  <si>
    <t>meutudoapp</t>
  </si>
  <si>
    <t>fefe_ofcw</t>
  </si>
  <si>
    <t>georgestmattos</t>
  </si>
  <si>
    <t>robson63416430</t>
  </si>
  <si>
    <t>mundocoop</t>
  </si>
  <si>
    <t>leo_emp</t>
  </si>
  <si>
    <t>realvictorhugog</t>
  </si>
  <si>
    <t>cintiamenegazzo</t>
  </si>
  <si>
    <t>nuno_baio</t>
  </si>
  <si>
    <t>the_new_finance</t>
  </si>
  <si>
    <t>karlfranca</t>
  </si>
  <si>
    <t>instcivitasbr</t>
  </si>
  <si>
    <t>vincopontovc</t>
  </si>
  <si>
    <t>descomplicaft</t>
  </si>
  <si>
    <t>puneetkohli1979</t>
  </si>
  <si>
    <t>calilecalil</t>
  </si>
  <si>
    <t>lipfiori</t>
  </si>
  <si>
    <t>economedicos</t>
  </si>
  <si>
    <t>tidomundo</t>
  </si>
  <si>
    <t>resultadossus</t>
  </si>
  <si>
    <t>byebnk</t>
  </si>
  <si>
    <t>romerofinancas</t>
  </si>
  <si>
    <t>jornaljogoserio</t>
  </si>
  <si>
    <t>sicnoticias</t>
  </si>
  <si>
    <t>josealv42755397</t>
  </si>
  <si>
    <t>midimashup</t>
  </si>
  <si>
    <t>brindamospips</t>
  </si>
  <si>
    <t>islenoaraujo</t>
  </si>
  <si>
    <t>danielsouzafp</t>
  </si>
  <si>
    <t>cidadaniapoa</t>
  </si>
  <si>
    <t>t2id_</t>
  </si>
  <si>
    <t>investoetf</t>
  </si>
  <si>
    <t>vempragruppi</t>
  </si>
  <si>
    <t>trogloditaao</t>
  </si>
  <si>
    <t>capemisa</t>
  </si>
  <si>
    <t>euluisconsultor</t>
  </si>
  <si>
    <t>richpoorapp</t>
  </si>
  <si>
    <t>caiovilella</t>
  </si>
  <si>
    <t>lordtraderb3</t>
  </si>
  <si>
    <t>alereiscontador</t>
  </si>
  <si>
    <t>kontabio</t>
  </si>
  <si>
    <t>powerhashia</t>
  </si>
  <si>
    <t>lanistarbrasil</t>
  </si>
  <si>
    <t>hablandogrego</t>
  </si>
  <si>
    <t>sei_services</t>
  </si>
  <si>
    <t>ojoaoulisses</t>
  </si>
  <si>
    <t>arrascaweta</t>
  </si>
  <si>
    <t>dividazero</t>
  </si>
  <si>
    <t>redevida</t>
  </si>
  <si>
    <t>proatitudeeduca</t>
  </si>
  <si>
    <t>fnsfinancas</t>
  </si>
  <si>
    <t>arkaonline_</t>
  </si>
  <si>
    <t>beatrizdiascc</t>
  </si>
  <si>
    <t>arthurbahia_</t>
  </si>
  <si>
    <t>penedagerestv</t>
  </si>
  <si>
    <t>certificacaobr</t>
  </si>
  <si>
    <t>leiaagrotimes</t>
  </si>
  <si>
    <t>andrewerneck_</t>
  </si>
  <si>
    <t>workshopdantas</t>
  </si>
  <si>
    <t>betteroluciana</t>
  </si>
  <si>
    <t>sitemundonegro</t>
  </si>
  <si>
    <t>arnaldosantttos</t>
  </si>
  <si>
    <t>chocolatefabiu</t>
  </si>
  <si>
    <t>forkthebank</t>
  </si>
  <si>
    <t>consorciodecarr</t>
  </si>
  <si>
    <t>capacita_ec</t>
  </si>
  <si>
    <t>revistaoeste</t>
  </si>
  <si>
    <t>marcoscleberc</t>
  </si>
  <si>
    <t>joaokepler</t>
  </si>
  <si>
    <t>felipeinvestiu</t>
  </si>
  <si>
    <t>econofin_</t>
  </si>
  <si>
    <t>bomconsorcio</t>
  </si>
  <si>
    <t>thiagobudni</t>
  </si>
  <si>
    <t>tradersaed</t>
  </si>
  <si>
    <t>miriammariabjj</t>
  </si>
  <si>
    <t>investimentoob1</t>
  </si>
  <si>
    <t>educandoseubols</t>
  </si>
  <si>
    <t>sigler_marcia</t>
  </si>
  <si>
    <t>investoom</t>
  </si>
  <si>
    <t>simolinfernanda</t>
  </si>
  <si>
    <t>carlos_fagundes</t>
  </si>
  <si>
    <t>tai_follmann</t>
  </si>
  <si>
    <t>plataformacda</t>
  </si>
  <si>
    <t>cmc_ao</t>
  </si>
  <si>
    <t>moneyraio</t>
  </si>
  <si>
    <t>pammalpari</t>
  </si>
  <si>
    <t>_oiisaias</t>
  </si>
  <si>
    <t>superrico_br</t>
  </si>
  <si>
    <t>keepgrowing_</t>
  </si>
  <si>
    <t>mat_financeira</t>
  </si>
  <si>
    <t>arib85</t>
  </si>
  <si>
    <t>aleatoriando_o</t>
  </si>
  <si>
    <t>paladinrood</t>
  </si>
  <si>
    <t>siqueirainvesti</t>
  </si>
  <si>
    <t>claudiaonline</t>
  </si>
  <si>
    <t>lukkkkhadd</t>
  </si>
  <si>
    <t>otaciotrader</t>
  </si>
  <si>
    <t>holistic_invest</t>
  </si>
  <si>
    <t>osmarangelin</t>
  </si>
  <si>
    <t>marceloamartino</t>
  </si>
  <si>
    <t>bbank_oficial</t>
  </si>
  <si>
    <t>apencapital</t>
  </si>
  <si>
    <t>admdagripsocks</t>
  </si>
  <si>
    <t>marciac42792937</t>
  </si>
  <si>
    <t>kamba_rico</t>
  </si>
  <si>
    <t>coopmil</t>
  </si>
  <si>
    <t>delongevidade</t>
  </si>
  <si>
    <t>confebras</t>
  </si>
  <si>
    <t>futurarenda2</t>
  </si>
  <si>
    <t>cdlsaocaetano</t>
  </si>
  <si>
    <t>oficialbna</t>
  </si>
  <si>
    <t>synerhgon</t>
  </si>
  <si>
    <t>partiuinvestir_</t>
  </si>
  <si>
    <t>xymenezb</t>
  </si>
  <si>
    <t>info_smarty</t>
  </si>
  <si>
    <t>newsgames</t>
  </si>
  <si>
    <t>sicoob</t>
  </si>
  <si>
    <t>investspace3</t>
  </si>
  <si>
    <t>pablodesanctis</t>
  </si>
  <si>
    <t>dompotiguaroct</t>
  </si>
  <si>
    <t>bancocentralbr</t>
  </si>
  <si>
    <t>napoleaoadv</t>
  </si>
  <si>
    <t>robertojb22</t>
  </si>
  <si>
    <t>adrianadelucca</t>
  </si>
  <si>
    <t>domingosvascon</t>
  </si>
  <si>
    <t>against_state</t>
  </si>
  <si>
    <t>rodrigo_sivieri</t>
  </si>
  <si>
    <t>achadosdomark</t>
  </si>
  <si>
    <t>infobolsainvest</t>
  </si>
  <si>
    <t>jeo1oficial</t>
  </si>
  <si>
    <t>giovaniaandre</t>
  </si>
  <si>
    <t>webtcoficial</t>
  </si>
  <si>
    <t>leveappbr</t>
  </si>
  <si>
    <t>estadao</t>
  </si>
  <si>
    <t>etopsaber</t>
  </si>
  <si>
    <t>ubamoz</t>
  </si>
  <si>
    <t>alvdlima</t>
  </si>
  <si>
    <t>ludinharosa</t>
  </si>
  <si>
    <t>lucialmeida17</t>
  </si>
  <si>
    <t>iconeeditora</t>
  </si>
  <si>
    <t>econefinancas</t>
  </si>
  <si>
    <t>wanderdossant11</t>
  </si>
  <si>
    <t>andreynousi</t>
  </si>
  <si>
    <t>sageousthoughts</t>
  </si>
  <si>
    <t>shnakatani</t>
  </si>
  <si>
    <t>nitiele_finance</t>
  </si>
  <si>
    <t>manderlinyde</t>
  </si>
  <si>
    <t>rodrigo_asena</t>
  </si>
  <si>
    <t>paschefrederico</t>
  </si>
  <si>
    <t>fidocomvc</t>
  </si>
  <si>
    <t>vokininvest</t>
  </si>
  <si>
    <t>oabprevrs</t>
  </si>
  <si>
    <t>wiboocria_</t>
  </si>
  <si>
    <t>previdencianeos</t>
  </si>
  <si>
    <t>jotaoliver_</t>
  </si>
  <si>
    <t>streladomar</t>
  </si>
  <si>
    <t>lucaspereira_ef</t>
  </si>
  <si>
    <t>assembleia_al</t>
  </si>
  <si>
    <t>fernandokobuti</t>
  </si>
  <si>
    <t>taniamariaces</t>
  </si>
  <si>
    <t>tiagoam80</t>
  </si>
  <si>
    <t>_joseamaral</t>
  </si>
  <si>
    <t>melhorrh</t>
  </si>
  <si>
    <t>israelpinveste</t>
  </si>
  <si>
    <t>rsm_mz</t>
  </si>
  <si>
    <t>finsiders2</t>
  </si>
  <si>
    <t>ataorienta</t>
  </si>
  <si>
    <t>guerreirasgrena</t>
  </si>
  <si>
    <t>oproprioailton</t>
  </si>
  <si>
    <t>fiinewspaper</t>
  </si>
  <si>
    <t>mosaico_ed_corp</t>
  </si>
  <si>
    <t>tedxlisboa</t>
  </si>
  <si>
    <t>guiccfarias</t>
  </si>
  <si>
    <t>cultivarofuturo</t>
  </si>
  <si>
    <t>iigorheenrique</t>
  </si>
  <si>
    <t>pixtvhd</t>
  </si>
  <si>
    <t>brunno_brss</t>
  </si>
  <si>
    <t>joanadarcdocar1</t>
  </si>
  <si>
    <t>brunoberanko</t>
  </si>
  <si>
    <t>felippe_analyst</t>
  </si>
  <si>
    <t>jeffers54624993</t>
  </si>
  <si>
    <t>teixeiracosta19</t>
  </si>
  <si>
    <t>mqsoulja</t>
  </si>
  <si>
    <t>boqnews</t>
  </si>
  <si>
    <t>papoincerto</t>
  </si>
  <si>
    <t>capanema2009</t>
  </si>
  <si>
    <t>padraojuridico</t>
  </si>
  <si>
    <t>ecomportamental</t>
  </si>
  <si>
    <t>mrochagestor</t>
  </si>
  <si>
    <t>cryptosight_</t>
  </si>
  <si>
    <t>gvncorretores</t>
  </si>
  <si>
    <t>financas</t>
  </si>
  <si>
    <t>lafbraga</t>
  </si>
  <si>
    <t>sjpf_pt</t>
  </si>
  <si>
    <t>cidtff</t>
  </si>
  <si>
    <t>sergiotriathlet</t>
  </si>
  <si>
    <t>fumep</t>
  </si>
  <si>
    <t>fgveaespesquisa</t>
  </si>
  <si>
    <t>anapaulahornos</t>
  </si>
  <si>
    <t>anqep</t>
  </si>
  <si>
    <t>lam0gabriel</t>
  </si>
  <si>
    <t>investfrugal</t>
  </si>
  <si>
    <t>aulaplusbr</t>
  </si>
  <si>
    <t>waupalma</t>
  </si>
  <si>
    <t>marcia23403</t>
  </si>
  <si>
    <t>noticiasagora23</t>
  </si>
  <si>
    <t>redacontf</t>
  </si>
  <si>
    <t>leogaspar002</t>
  </si>
  <si>
    <t>nathfinancas</t>
  </si>
  <si>
    <t>jessiviesil</t>
  </si>
  <si>
    <t>bruno_kleinlein</t>
  </si>
  <si>
    <t>rafaelaon</t>
  </si>
  <si>
    <t>carlosunrise74</t>
  </si>
  <si>
    <t>lopeseconomista</t>
  </si>
  <si>
    <t>aposentandonovo</t>
  </si>
  <si>
    <t>spprevcom</t>
  </si>
  <si>
    <t>viniciusantosa</t>
  </si>
  <si>
    <t>rnainvest</t>
  </si>
  <si>
    <t>helder_pereirah</t>
  </si>
  <si>
    <t>assunitel</t>
  </si>
  <si>
    <t>m_milionarios</t>
  </si>
  <si>
    <t>newscolina</t>
  </si>
  <si>
    <t>rafaelporcari</t>
  </si>
  <si>
    <t>canalbussola</t>
  </si>
  <si>
    <t>made_hits</t>
  </si>
  <si>
    <t>leiamoneytimes</t>
  </si>
  <si>
    <t>edimosip</t>
  </si>
  <si>
    <t>romulobuniziol</t>
  </si>
  <si>
    <t>robsondionisio1</t>
  </si>
  <si>
    <t>thembaniafrica</t>
  </si>
  <si>
    <t>andrenegociosbr</t>
  </si>
  <si>
    <t>allan_arthuur</t>
  </si>
  <si>
    <t>edgartolara</t>
  </si>
  <si>
    <t>aprenderapoupar</t>
  </si>
  <si>
    <t>gabinetedarma</t>
  </si>
  <si>
    <t>casadeinvest</t>
  </si>
  <si>
    <t>egsinvestiment2</t>
  </si>
  <si>
    <t>alyson_davalle</t>
  </si>
  <si>
    <t>contas_online</t>
  </si>
  <si>
    <t>reidopendrive</t>
  </si>
  <si>
    <t>poupex_oficial</t>
  </si>
  <si>
    <t>caixettanayara</t>
  </si>
  <si>
    <t>hdiasboss</t>
  </si>
  <si>
    <t>marcosefmarinho</t>
  </si>
  <si>
    <t>centralnath</t>
  </si>
  <si>
    <t>fee_sa</t>
  </si>
  <si>
    <t>grafistasclub</t>
  </si>
  <si>
    <t>chicosabetudo</t>
  </si>
  <si>
    <t>arezzo</t>
  </si>
  <si>
    <t>jcorreiodopovo</t>
  </si>
  <si>
    <t>obeconomia</t>
  </si>
  <si>
    <t>gcerbasi</t>
  </si>
  <si>
    <t>brunodabrantes</t>
  </si>
  <si>
    <t>machotoxico_</t>
  </si>
  <si>
    <t>thiagonigro</t>
  </si>
  <si>
    <t>mattpontes</t>
  </si>
  <si>
    <t>youtube</t>
  </si>
  <si>
    <t>consedbr</t>
  </si>
  <si>
    <t>edsontsjr</t>
  </si>
  <si>
    <t>let</t>
  </si>
  <si>
    <t>mblivre</t>
  </si>
  <si>
    <t>wboutlook</t>
  </si>
  <si>
    <t>odonbezerraadv</t>
  </si>
  <si>
    <t>bancodobrasil</t>
  </si>
  <si>
    <t>tarcisiogdf</t>
  </si>
  <si>
    <t>cz_binance</t>
  </si>
  <si>
    <t>polkadot</t>
  </si>
  <si>
    <t>realpolkabridge</t>
  </si>
  <si>
    <t>garotacrypto</t>
  </si>
  <si>
    <t>luciana__seabra</t>
  </si>
  <si>
    <t>mepoupenaweb</t>
  </si>
  <si>
    <t>1bilhao_</t>
  </si>
  <si>
    <t>fernandatorreso</t>
  </si>
  <si>
    <t>tiagogreis</t>
  </si>
  <si>
    <t>tavicosta</t>
  </si>
  <si>
    <t>crescat_capital</t>
  </si>
  <si>
    <t>cesartralli</t>
  </si>
  <si>
    <t>globonews</t>
  </si>
  <si>
    <t>paulonbjr</t>
  </si>
  <si>
    <t>grupomundoms</t>
  </si>
  <si>
    <t>petayres</t>
  </si>
  <si>
    <t>miltonneves</t>
  </si>
  <si>
    <t>nonoinvestidor</t>
  </si>
  <si>
    <t>haddad_fernando</t>
  </si>
  <si>
    <t>lulaoficial</t>
  </si>
  <si>
    <t>rankia</t>
  </si>
  <si>
    <t>ls_lenz</t>
  </si>
  <si>
    <t>vivo</t>
  </si>
  <si>
    <t>serpro</t>
  </si>
  <si>
    <t>mendlowicz</t>
  </si>
  <si>
    <t>linaseiche_dm</t>
  </si>
  <si>
    <t>linaseiche</t>
  </si>
  <si>
    <t>editoraflyve</t>
  </si>
  <si>
    <t>tvgazetaoficial</t>
  </si>
  <si>
    <t>darlantd</t>
  </si>
  <si>
    <t>choquei</t>
  </si>
  <si>
    <t>ceciliaflesch</t>
  </si>
  <si>
    <t>pfnery</t>
  </si>
  <si>
    <t>aod_cunha</t>
  </si>
  <si>
    <t>ibgecomunica</t>
  </si>
  <si>
    <t>valoreconomico</t>
  </si>
  <si>
    <t>sunoasset</t>
  </si>
  <si>
    <t>amagalhaesana</t>
  </si>
  <si>
    <t>stealthelook</t>
  </si>
  <si>
    <t>professormira1</t>
  </si>
  <si>
    <t>governosp</t>
  </si>
  <si>
    <t>ortizany</t>
  </si>
  <si>
    <t>justiciafiscal</t>
  </si>
  <si>
    <t>ijfiscal</t>
  </si>
  <si>
    <t>afocefe</t>
  </si>
  <si>
    <t>inescoficial</t>
  </si>
  <si>
    <t>wheelercrf</t>
  </si>
  <si>
    <t>disney</t>
  </si>
  <si>
    <t>disneyplusbr</t>
  </si>
  <si>
    <t>roxmo</t>
  </si>
  <si>
    <t>rmotta2</t>
  </si>
  <si>
    <t>paolacarvalho</t>
  </si>
  <si>
    <t>duudaismo</t>
  </si>
  <si>
    <t>ericometzner</t>
  </si>
  <si>
    <t>crypticweb3</t>
  </si>
  <si>
    <t>bscnews</t>
  </si>
  <si>
    <t>estadaoeconomia</t>
  </si>
  <si>
    <t>mozper_br</t>
  </si>
  <si>
    <t>vascodagama</t>
  </si>
  <si>
    <t>cassius</t>
  </si>
  <si>
    <t>eucli_francisco</t>
  </si>
  <si>
    <t>bixarica_</t>
  </si>
  <si>
    <t>seeducrj</t>
  </si>
  <si>
    <t>degiro</t>
  </si>
  <si>
    <t>pedrosa</t>
  </si>
  <si>
    <t>Replies to</t>
  </si>
  <si>
    <t>Mentions</t>
  </si>
  <si>
    <t>Retweet</t>
  </si>
  <si>
    <t>Quote</t>
  </si>
  <si>
    <t>MentionsInReplyTo</t>
  </si>
  <si>
    <t>MentionsInQuote</t>
  </si>
  <si>
    <t>MentionsInRetweet</t>
  </si>
  <si>
    <t>A educação financeira é a base para escolhas informadas. Invista tempo em aprender sobre apostas, criptomoedas e mercados para tomar decisões embasadas. 📚💡 #EducaçãoFinanceira #DecisõesInformadas</t>
  </si>
  <si>
    <t>Lembre-se:
Todo erro pode nos levar a um novo aprendizado. 
#bomdia #boraviver #financas #educaçãofinanceira https://t.co/uLCSggiubs</t>
  </si>
  <si>
    <t>⚠️CUIDADO: Não deixe suas dívidas se acumularem! 
Limpar seu nome pode ser mais fácil do que você imagina. Conheça suas opções de renegociação e comece a construir um futuro financeiro mais sólido com a Nery Cred!
#limparnome #renegociar #dívidas #educaçãofinanceira https://t.co/QtLJY8toN7</t>
  </si>
  <si>
    <t>Cansou de ter dívidas por falta de educação financeira. Conheça nosso blog https://t.co/zEsMoX1dfk 
Educação financeira comportamental.
#educacaofinanceira https://t.co/C8WWX1ahBD</t>
  </si>
  <si>
    <t>Preparados para explorar e aprender tudo sobre o universo de criptomoedas de uma forma descomplicada? Então já segue para não perder nada!! #bitcoin #crypto #blockchain #educacaofinanceira #criptomoedas #cryptolife #futurofinanceiro #moedadigital #liberdadefinanceira #cryptonoide</t>
  </si>
  <si>
    <t>6️⃣ Leitura do ano! 👊📚
.
👉 Alta performance em investimentos de Jefferson Holtz
.
Este livro traz de forma abragente e prática o funcionamento do universo dos investimentos.
.
#investimentos #finanças #investir #financaspessoais #bolsadevalores https://t.co/Fcno8y58at</t>
  </si>
  <si>
    <t>📡💼 Hoje é o Dia Nacional das Comunicações e lembramos do legado de Rondon, que nos ensinou a importância da conexão para o desenvolvimento, inclusive no mundo das finanças! 💡🌍
#DiaNacionalDasComunicações #Rondon #ConexãoFinanceira #EducaçãoFinanceira #PlanejamentoFinanceiro https://t.co/FWCY2NEnSE</t>
  </si>
  <si>
    <t>📈💼 Investir é para todos! Não precisa ser complicado. 💡💰 Nossa missão é desmistificar o mundo dos investimentos, tornando-o acessível e compreensível para todos.
 #Investimentos #FinançasPessoais #ConstruindoRiqueza #DescomplicandoOsInvestimentos https://t.co/n6LW00kbUU</t>
  </si>
  <si>
    <t>Iniciativa leva educação financeira para alunos da rede pública de ensino
https://t.co/Dtpb4R8kjx
#EducaçãoFinanceira #Finanças #Escola #Educação #Crianças #EscolaPública https://t.co/z7dvnm0glV</t>
  </si>
  <si>
    <t>Envelhecimento da população requer cada vez mais educação financeira
https://t.co/GFrYwEB9T5
#Envelhecimento #EducaçãoFinanceira #Finanças #Dinheiro https://t.co/3ymYecsPn6</t>
  </si>
  <si>
    <t>É isto mesmo!
Chegou a hora do lançamento! 😀😀
Um projeto inovador acaba de estar começando e agradecemos o apoios de todos até aqui. 🤝
Nosso canal do Telegram tem todos os detalhes que você precisa!
#thetryum #educacaofinanceira #python #web3 #chegouahora https://t.co/LQGb5pviQC</t>
  </si>
  <si>
    <t>Depois de curtir os feriados, você está preparado para este lançamento?
Contagem regressiva! 😮
Se está chegando agora ainda tem chances de conhecer o projeto e tirar suas dúvidas e aproveitar essa oportunidade desde o começo!
#thetryum #lançamentos  #educaçaofinanceira https://t.co/yKetaVU79F</t>
  </si>
  <si>
    <t>É uma forma de você garantir uma renda complementar durante a sua aposentadoria. Isso ajudará a suplementar a renda que você receberá dos benefícios do governo ou do regime de previdência social. 
#kids #familia #investimento #carro #modainfantil #amor #financaspessoais https://t.co/1crHKWdX0f</t>
  </si>
  <si>
    <t>AREZZO @arezzo ficando mais chiquérrima com a compra da auropeia Paris Texas @paristexas_it  #arzz3 Código da ação ARZZ3 na B3. 
#investimentos #bolsadevalores #acões #ações #acoes #smallcaps #b3 #mercadofinanceiro #educacaofinanceira #dividendos #fiis
https://t.co/7Un1qoN7Z5</t>
  </si>
  <si>
    <t>Entendendo a crise do SVB e seus impactos !
Quem pode ganhar e quem pode perder com ela no mundo dos investimentos! 
#investimentos #bolsadevalores #acões #ações #acoes #smallcaps #b3 #mercadofinanceiro #educacaofinanceira #dividendos #fiis
https://t.co/srujgqYN77</t>
  </si>
  <si>
    <t>Entendendo a crise do SVB e seus impactos !
Quem pode ganhar e quem pode perder com ela no mundo dos investimentos! 
#investimentos #bolsadevalores #acões #ações #acoes #smallcaps #b3 #mercadofinanceiro #educacaofinanceira #dividendos #fiis
https://t.co/7sABHZhXb0</t>
  </si>
  <si>
    <t>"Se você acha que investir é apenas para os ricos, é porque ainda não descobriu o poder do planejamento financeiro e da disciplina." #investimentos #finançaspessoais #riqueza</t>
  </si>
  <si>
    <t>Quando você pensa que tem o controle das suas contas no cartão de crédito 😏, mas a fatura chega e... 😱😱😱
.
#finançaspessoais #finanças #cartaodecredito https://t.co/ycKM0SRdTV</t>
  </si>
  <si>
    <t>Vídeo novo no canal: https://t.co/Ua9Y0k97Jc
#socialismo #comunismo #comunista #filosofo #marxismo #brasil #brasilia #kpop #lula #rap  #financaspessoais #investimentos https://t.co/9hB5KaORqu</t>
  </si>
  <si>
    <t>Legenda por vossa conta. Mas lembro-vos que o mês começou agora e hoje e dia 03. 
.
.
.
#raciocínio #gerir #financaspessoais #naiolesilva #naiolesilva #nscomunicologa #janeiro2023 em Luanda, Angola https://t.co/9jXfcZSM8W</t>
  </si>
  <si>
    <t>Sesc SP lança curso gratuito EAD sobre educação financeira. #cursogratuito #ead #educaçãofinanceira #MentalidadeFinanceira #SescDigital #SescSP
https://t.co/6HW9m6GDSD</t>
  </si>
  <si>
    <t>A @obeconomia teve início neste domingo (12/03), com o apoio do banco BTG Pactual e do Instituto de Tecnologia e Liderança (André Esteves). A competição tem o objetivo de promover a #EducaçãoFinanceira entre estudantes de todo o País. Via @Jcorreiodopovo  https://t.co/pXwgPmFqys</t>
  </si>
  <si>
    <t>Refletindo sobre um problema profundo: a 'Dívida Eterna' que afeta tantos brasileiros. É hora de repensar nossas prioridades e buscar a verdadeira liberdade financeira. 🇧🇷💰 
#DívidaEterna #EducaçãoFinanceira #MudançaReal https://t.co/QVElKhtz53</t>
  </si>
  <si>
    <t>Um conselho que sempre deve ser lembrando! Melhor a cautela (e dinheiro no bolso), do que um remorso (e não ter dinheiro). #ficaadica #educacaofinanceira 
🏔️❄️ https://t.co/Okpio186uR</t>
  </si>
  <si>
    <t>“Como Sobreviver A Uma Recessão Em 5 Passos!” by Hilton Vieira
https://t.co/KhtnnkRHmQ
#planejamentofinanceiro #investimento #poupanca #gestaodedinheiro #economiapessoal #educacaofinanceira #liberdadefinanceira #segurancafinanceira #independenciafinanceira #rendapassiva https://t.co/w78jEsZapP</t>
  </si>
  <si>
    <t>RT @redeTVT: 💰 Educação Financeira: Como driblar a crise e planejar o futuro? | Transição
Acompanhe!
https://t.co/lxla1vN8sy
#Transição
#…</t>
  </si>
  <si>
    <t>TUUUUUDO!! 😍😍😍
#NathFinanças #Finanças #EducaçaoFinanceira</t>
  </si>
  <si>
    <t>Essa lei fala sobre o crédito responsável e #EducaçãoFinanceira do usuário. Vale a pena conferir para não fazer das suas despesas uma bola de neve e não correr risco de ser um superendividado.</t>
  </si>
  <si>
    <t>🚨🤑 Você sabia que o @gcerbasi, autor de diversos livros de finanças pessoais e investimentos, já ajudou mais de 100 mil pessoas a alcançarem a independência financeira? Quer saber como? Então cola na gente @ComoReinventar e segue o fio! 💰💡 #finançaspessoais #investimentos</t>
  </si>
  <si>
    <t>4️⃣/ O Primo Rico acredita que todos podem ter sucesso financeiro, desde que estejam dispostos a estudar e se dedicar. Por isso, ele é um defensor da educação financeira e do planejamento financeiro. #EducaçãoFinanceira #Planejamento</t>
  </si>
  <si>
    <t>4️⃣ Outro ponto importante que Cerbasi destaca é a necessidade de investir em educação financeira. 
Segundo ele, é preciso conhecer os mecanismos do mercado financeiro para poder investir de forma consciente e segura. 
#educaçãofinanceira #investimentos</t>
  </si>
  <si>
    <t>1️⃣ Gustavo Cerbasi é um dos maiores nomes do Brasil quando o assunto é finanças pessoais e investimentos. 
Com mais de 20 anos de experiência, ele já publicou diversos livros sobre o tema e é referência no mercado financeiro. 
#educaçãofinanceira #gestãodefinanças</t>
  </si>
  <si>
    <t>1️⃣ Começando com o clássico de Robert Kiyosaki, "Pai Rico, Pai Pobre" , que ensina como ter uma mentalidade milionária e mudar sua forma de pensar sobre dinheiro! 💸
 #mentalidademilionária #educaçãofinanceira #pairicopaipobre</t>
  </si>
  <si>
    <t>#EducaçãoFinanceira tem sido um assunto cada vez mais abordado por criadores de conteúdo e influenciadores que, com abordagens didáticas, ajudam a transformar o setor positivamente através da #Internet. Conheça alguns💚📱 https://t.co/KucfkBsD3r</t>
  </si>
  <si>
    <t>Primeira coisa para se aprender quando o assunto é EDUCAÇÃO FINANCEIRA !
Antes da reserva de emergência não é aconselhado a fazer investimentos, segurança para suas finanças em primeiro lugar.
#educaçãofinanceira
#reservadeemergencia https://t.co/0DrxseJvZY</t>
  </si>
  <si>
    <t>Podcast O Assunto é Dinheiro com Jana Arízio,  Planejadora e Educadora Financeira.
Entrevista completa no canal do Youtube da Clube FM Blumenau.
 #clubefmblumenau #videocast #blumenau #educacaofinanceira #planejamentofinanceiro https://t.co/c3mMBPcRB7</t>
  </si>
  <si>
    <t>Planejamento financeiro é a chave para uma vida financeira saudável. 
Comece hoje!
#EducaçãoFinanceira #FinançasPessoais
#Dinheiro</t>
  </si>
  <si>
    <t>A lagarta não precisa de um milagre para virar borboleta, ela precisa de um processo.
Aprecie o seu processo!
#EducaçãoFinanceira #FinançasPessoais
#Dinheiro #empreendedorismo #investimentos</t>
  </si>
  <si>
    <t>Gostou do nosso conteúdo? Aproveita e segue a gente ⬇️🤑
✅ @EueDinheiro 
#dinheiro #money #financeiro #contabilidade #discovery #explore #explorer #explorar #finanças #educaçãofinanceira #sucesso #investimento #dívidas #economizar #poupar #focoemfinanças #livrandosededívidas https://t.co/uZUoFPdAlp</t>
  </si>
  <si>
    <t>Com a #educaçãofinanceira é possível garantir o equilíbrio nas suas escolhas e uma melhor relação com o dinheiro. 
Bora começar agora mesmo a cuidar das suas #finanças? Acesse a plataforma https://t.co/kdRbKIbybB e saiba como! 💰🚀
 #SemanaENEF</t>
  </si>
  <si>
    <t>Uma vida financeira saudável não é sobre acumular riquezas, mas sim sobre tomar decisões conscientes e equilibradas. Seja o protagonista da sua história financeira e construa um futuro próspero. 🌟💰 #EducaçãoFinanceira #ControleFinanceiro</t>
  </si>
  <si>
    <t>A melhor forma de garantir sua independência financeira é investir em você mesmo. Busque conhecimento, desenvolva habilidades e esteja sempre preparado para os desafios financeiros da vida. 📚💡 #EducaçãoFinanceira #AutoInvestimento</t>
  </si>
  <si>
    <t>Você já parou para pensar que pequenas mudanças podem fazer uma grande diferença no seu bolso? Corte gastos desnecessários, economize e veja seu dinheiro render mais. 💸✂️ #EducaçãoFinanceira #HábitosFinanceiros</t>
  </si>
  <si>
    <t>Não importa quanto você ganhe, mas como você administra o que possui. Aprenda a gerenciar suas finanças, estabeleça metas realistas e crie um futuro financeiro estável. 💪💼 #EducaçãoFinanceira #Planejamento</t>
  </si>
  <si>
    <t>Dinheiro não nasce em árvores, mas seu potencial de crescimento pode florescer com uma educação financeira sólida. Invista no seu conhecimento e colha os frutos de uma vida financeiramente saudável! 💰🌱 #EducaçãoFinanceira #InvestimentoPessoal</t>
  </si>
  <si>
    <t>Sobre fazer cara de paisagem pra certas dívidas com grandes empresas e negócios... E também sobre PRIORIDADES... 
Explicações nada necessárias mas... Com precisão cirúrgica!
#Economia
#Finanças
#EducaçãoFinanceira
#EducaçãoDoméstica
#OSegredoDosBons
#PesqueMasPague https://t.co/nPtD8RldzQ</t>
  </si>
  <si>
    <t>🚨 Não perca mais tempo, somente  educação financeira salva!!
#investimentos #Dinheiro #dividendosmensais #bolsadevalores  #fundosimobiliarios #fiis #finanças #ações #acoes #fundosimobiliarios #fiis #educaçãofinanceira https://t.co/ZLRUH2AVXP</t>
  </si>
  <si>
    <t>Olha a oportunidade, passando na sua tl 🥰🥰🥰
#EducaçãoFiscal #FinançasPúblicas #FinançasPessoais #Curso #Gratuito</t>
  </si>
  <si>
    <t>📊 Consultoria Financeira Especializada para Micros e Pequenas Empresas e Pessoa Física!
🔍 Diagnóstico Gratuito por Vídeo Conferência!
So manda mensagem que eu retorno
#liberdadefinanceira #educacaofinanceira #educaçãofinanceira #consultoriafinanceira #financeira https://t.co/47UxrMGQiK</t>
  </si>
  <si>
    <t>10 dicas de #educaçãofinanceira – Dê conforto ao seu futuro! https://t.co/gmBZsdk6Li https://t.co/7PbvRBqTmb</t>
  </si>
  <si>
    <t>#educacaofinanceira eu aprovo!!!!</t>
  </si>
  <si>
    <t>#Atrio #AtrioInvestimentos #Ações #Criptomoedas #EducaçãoFinanceira #FinançasPessoais #Investimentos https://t.co/er5KQBhF0q</t>
  </si>
  <si>
    <t>#Atrio #AtrioInvestimentos #Ações #Criptomoedas #EducaçãoFinanceira #FinançasPessoais #Investimentos https://t.co/ytUJ5VFsx9</t>
  </si>
  <si>
    <t>#Atrio #AtrioInvestimentos #Ações #Criptomoedas #EducaçãoFinanceira #FinançasPessoais #Investimentos https://t.co/fg5Bg5eIzc</t>
  </si>
  <si>
    <t>#Atrio #AtrioInvestimentos #Ações #Criptomoedas #EducaçãoFinanceira #FinançasPessoais #investimentoglobal https://t.co/nt4T6RdvCo</t>
  </si>
  <si>
    <t>#Atrio #AtrioInvestimentos #Ações #Criptomoedas #EducaçãoFinanceira #FinançasPessoais #investimentoglobal https://t.co/y9Dub6Nbcs</t>
  </si>
  <si>
    <t>#Atrio #AtrioInvestimentos #Ações #Criptomoedas #EducaçãoFinanceira #FinançasPessoais #investimentoglobal https://t.co/rtWYTlf3Pg</t>
  </si>
  <si>
    <t>#Atrio #AtrioInvestimentos #Ações #Criptomoedas #EducaçãoFinanceira #FinançasPessoais #investimentoglobal https://t.co/jBLqxfaKoZ</t>
  </si>
  <si>
    <t>#Atrio #AtrioInvestimentos #Ações #Criptomoedas #EducaçãoFinanceira #FinançasPessoais #Investimentos https://t.co/3WSeJ8D1zn</t>
  </si>
  <si>
    <t>#Atrio #AtrioInvestimentos #Ações #Criptomoedas #EducaçãoFinanceira #FinançasPessoais #investimentoglobal https://t.co/eujYJY0t93</t>
  </si>
  <si>
    <t>#Atrio #AtrioInvestimentos #Ações #Criptomoedas #EducaçãoFinanceira #FinançasPessoais #investimentoglobal https://t.co/DQttnibT9p</t>
  </si>
  <si>
    <t>#Atrio #AtrioInvestimentos #Ações #Criptomoedas #EducaçãoFinanceira #FinançasPessoais #investimentoglobal https://t.co/5DVy6MtVhN</t>
  </si>
  <si>
    <t>#Atrio #AtrioInvestimentos #GrupoAtrio #AtrioGestão #AtrioCorporate #AtrioEmpresas #Investimentos #FinançasPessoais #MercadoFinanceiro https://t.co/t1ah6Sr42S</t>
  </si>
  <si>
    <t>#Atrio #AtrioInvestimentos #Ações #Criptomoedas #EducaçãoFinanceira #FinançasPessoais #Investimentos https://t.co/HuMryW3c51</t>
  </si>
  <si>
    <t>#Atrio #AtrioInvestimentos #Ações #Criptomoedas #EducaçãoFinanceira #FinançasPessoais #Investimentos https://t.co/zuzmiocNmi</t>
  </si>
  <si>
    <t>#Atrio #AtrioInvestimentos #Ações #Criptomoedas #EducaçãoFinanceira #FinançasPessoais #investimentoglobal https://t.co/ufJiNQxbiC</t>
  </si>
  <si>
    <t>#Atrio #AtrioInvestimentos #Ações #Criptomoedas #EducaçãoFinanceira #FinançasPessoais #investimentoglobal https://t.co/N1knwtR6p1</t>
  </si>
  <si>
    <t>#Atrio #AtrioInvestimentos #Ações #Criptomoedas #EducaçãoFinanceira #FinançasPessoais #investimentoglobal https://t.co/jm3JyKRhzs</t>
  </si>
  <si>
    <t>#Atrio #AtrioInvestimentos #Ações #Criptomoedas #EducaçãoFinanceira #FinançasPessoais #investimentoglobal https://t.co/Xvv0GWZN9u</t>
  </si>
  <si>
    <t>#Atrio #AtrioInvestimentos #Ações #Criptomoedas #EducaçãoFinanceira #FinançasPessoais #Investimentos https://t.co/sW5fYVI7jT</t>
  </si>
  <si>
    <t>#Atrio #AtrioInvestimentos #Ações #Criptomoedas #EducaçãoFinanceira #FinançasPessoais #Investimentos https://t.co/CYeoE4yldf</t>
  </si>
  <si>
    <t>#Atrio #AtrioInvestimentos #Ações #Criptomoedas #EducaçãoFinanceira #FinançasPessoais #Investimentos https://t.co/OwCxUISoqS</t>
  </si>
  <si>
    <t>#Atrio #AtrioInvestimentos #Ações #Criptomoedas #EducaçãoFinanceira #FinançasPessoais #Investimentos https://t.co/OlGiOh3Mt6</t>
  </si>
  <si>
    <t>#Atrio #AtrioInvestimentos #Ações #Criptomoedas #EducaçãoFinanceira #FinançasPessoais #Investimentos https://t.co/lNvwkKMgW9</t>
  </si>
  <si>
    <t>#Atrio #AtrioInvestimentos #Ações #Criptomoedas #EducaçãoFinanceira #FinançasPessoais #Investimentos https://t.co/M8epzi0HAj</t>
  </si>
  <si>
    <t>#Atrio #AtrioInvestimentos #Ações #Criptomoedas #EducaçãoFinanceira #FinançasPessoais #investimentoglobal https://t.co/qwdcuAmXYK</t>
  </si>
  <si>
    <t>#Atrio #AtrioInvestimentos #Ações #Criptomoedas #EducaçãoFinanceira #FinançasPessoais #Investimentos https://t.co/zNleLzMzsW</t>
  </si>
  <si>
    <t>#Atrio #AtrioInvestimentos #Ações #Criptomoedas #EducaçãoFinanceira #FinançasPessoais #Investimentos https://t.co/3629AUMvXz</t>
  </si>
  <si>
    <t>#Atrio #AtrioInvestimentos #Ações #Criptomoedas #EducaçãoFinanceira #FinançasPessoais #Investimentos https://t.co/Fweenpp9B2</t>
  </si>
  <si>
    <t>#Atrio #AtrioInvestimentos #Ações #Criptomoedas #EducaçãoFinanceira #FinançasPessoais #investimentoglobal https://t.co/7rVgcZ6xCY</t>
  </si>
  <si>
    <t>#Atrio #AtrioInvestimentos #Ações #Criptomoedas #EducaçãoFinanceira #FinançasPessoais #Investimentos https://t.co/9ASR4eILOc</t>
  </si>
  <si>
    <t>#Atrio #AtrioInvestimentos #Ações #Criptomoedas #EducaçãoFinanceira #FinançasPessoais #investimentoglobal https://t.co/XljYc6DLq1</t>
  </si>
  <si>
    <t>#Atrio #AtrioInvestimentos #Ações #Criptomoedas #EducaçãoFinanceira #FinançasPessoais #Investimentos https://t.co/MNeDVWPW65</t>
  </si>
  <si>
    <t>#Atrio #AtrioInvestimentos #Ações #Criptomoedas #EducaçãoFinanceira #FinançasPessoais #Investimentos https://t.co/ceZgbM3FLZ</t>
  </si>
  <si>
    <t>#Atrio #AtrioInvestimentos #Ações #Criptomoedas #EducaçãoFinanceira #FinançasPessoais #Investimentos https://t.co/TIF3kRVDtC</t>
  </si>
  <si>
    <t>#Atrio #AtrioInvestimentos #Ações #Criptomoedas #EducaçãoFinanceira #FinançasPessoais #Investimentos https://t.co/rUjRMD0R7h</t>
  </si>
  <si>
    <t>#Atrio #AtrioInvestimentos #Ações #Criptomoedas #EducaçãoFinanceira #FinançasPessoais #investimentoglobal https://t.co/UkMxtmo0GQ</t>
  </si>
  <si>
    <t>#Atrio #AtrioInvestimentos #Ações #Criptomoedas #EducaçãoFinanceira #FinançasPessoais #Investimentos https://t.co/dIMDcKWksX</t>
  </si>
  <si>
    <t>#Atrio #AtrioInvestimentos #Ações #Criptomoedas #EducaçãoFinanceira #FinançasPessoais #Investimentos https://t.co/SCKv8skUPp</t>
  </si>
  <si>
    <t>#Atrio #AtrioInvestimentos #Ações #Criptomoedas #EducaçãoFinanceira #FinançasPessoais #Investimentos https://t.co/l3O9RvAyej</t>
  </si>
  <si>
    <t>#Atrio #AtrioInvestimentos #Ações #Criptomoedas #EducaçãoFinanceira #FinançasPessoais #Investimentos https://t.co/pVKvJlquoY</t>
  </si>
  <si>
    <t>#Atrio #AtrioInvestimentos #Ações #Criptomoedas #EducaçãoFinanceira #FinançasPessoais #Investimentos https://t.co/ufUCHBEh0o</t>
  </si>
  <si>
    <t>#Atrio #AtrioInvestimentos #Ações #Criptomoedas #EducaçãoFinanceira #FinançasPessoais #Investimentos https://t.co/68L1ChqnZb</t>
  </si>
  <si>
    <t>#Atrio #AtrioInvestimentos #Ações #Criptomoedas #EducaçãoFinanceira #FinançasPessoais #investimentoglobal https://t.co/apqGfeeYyC</t>
  </si>
  <si>
    <t>#Atrio #AtrioInvestimentos #Ações #Criptomoedas #EducaçãoFinanceira #FinançasPessoais #investimentoglobal https://t.co/hGpuuHz2hc</t>
  </si>
  <si>
    <t>#Atrio #AtrioInvestimentos #Ações #Criptomoedas #EducaçãoFinanceira #FinançasPessoais #investimentoglobal https://t.co/jGRpvHwr1y</t>
  </si>
  <si>
    <t>#Atrio #AtrioInvestimentos #Ações #Criptomoedas #EducaçãoFinanceira #FinançasPessoais #Investimentos https://t.co/9sGqAQzwMa</t>
  </si>
  <si>
    <t>#Atrio #AtrioInvestimentos #Ações #Criptomoedas #EducaçãoFinanceira #FinançasPessoais #Investimentos https://t.co/RFx4gAQ0GI</t>
  </si>
  <si>
    <t>#Atrio #AtrioInvestimentos #Ações #Criptomoedas #EducaçãoFinanceira #FinançasPessoais #investimentoglobal https://t.co/DeQwnuOuvO</t>
  </si>
  <si>
    <t>#Atrio #AtrioInvestimentos #Ações #Criptomoedas #EducaçãoFinanceira #FinançasPessoais #investimentoglobal https://t.co/NlBIcah3L5</t>
  </si>
  <si>
    <t>#Atrio #AtrioInvestimentos #Ações #Criptomoedas #EducaçãoFinanceira #FinançasPessoais #Investimentos https://t.co/L7v6t9Nh0I</t>
  </si>
  <si>
    <t>#Atrio #AtrioInvestimentos #Ações #Criptomoedas #EducaçãoFinanceira #FinançasPessoais #Investimentos https://t.co/wgJdV5syyV</t>
  </si>
  <si>
    <t>#Atrio #AtrioInvestimentos #Ações #Criptomoedas #EducaçãoFinanceira #FinançasPessoais #Investimentos https://t.co/Ce74biMv8F</t>
  </si>
  <si>
    <t>#Atrio #AtrioInvestimentos #Ações #Criptomoedas #EducaçãoFinanceira #FinançasPessoais #Investimentos https://t.co/KEna3KS2jH</t>
  </si>
  <si>
    <t>#Atrio #AtrioInvestimentos #Ações #Criptomoedas #EducaçãoFinanceira #FinançasPessoais #Investimentos https://t.co/P4PwkCcP52</t>
  </si>
  <si>
    <t>#Atrio #AtrioInvestimentos #Ações #Criptomoedas #EducaçãoFinanceira #FinançasPessoais #investimentoglobal https://t.co/RKL5vBS9xq</t>
  </si>
  <si>
    <t>#Atrio #AtrioInvestimentos #Ações #Criptomoedas #EducaçãoFinanceira #FinançasPessoais #investimentoglobal https://t.co/FBnqkA4QZS</t>
  </si>
  <si>
    <t>#Atrio #AtrioInvestimentos #Ações #Criptomoedas #EducaçãoFinanceira #FinançasPessoais #investimentoglobal https://t.co/FXWk2uzd8c</t>
  </si>
  <si>
    <t>#Atrio #AtrioInvestimentos #Ações #Criptomoedas #EducaçãoFinanceira #FinançasPessoais #investimentoglobal https://t.co/PjqFHjeLDK</t>
  </si>
  <si>
    <t>#Atrio #AtrioInvestimentos #Ações #Criptomoedas #EducaçãoFinanceira #FinançasPessoais #investimentoglobal https://t.co/qOpXuaeSN6</t>
  </si>
  <si>
    <t>#Atrio #AtrioInvestimentos #Ações #Criptomoedas #EducaçãoFinanceira #FinançasPessoais #investimentoglobal https://t.co/mWoQnQS3rn</t>
  </si>
  <si>
    <t>#Atrio #AtrioInvestimentos #Ações #Criptomoedas #EducaçãoFinanceira #FinançasPessoais #investimentoglobal https://t.co/v5JYo7WGma</t>
  </si>
  <si>
    <t>#Atrio #AtrioInvestimentos #Ações #Criptomoedas #EducaçãoFinanceira #FinançasPessoais #Investimentos https://t.co/TJU0Z64Anh</t>
  </si>
  <si>
    <t>#Atrio #AtrioInvestimentos #Ações #Criptomoedas #EducaçãoFinanceira #FinançasPessoais #Investimentos https://t.co/RnzqMYnK1V</t>
  </si>
  <si>
    <t>#Atrio #AtrioInvestimentos #Ações #Criptomoedas #EducaçãoFinanceira #FinançasPessoais #Investimentos https://t.co/4mjgthDGDh</t>
  </si>
  <si>
    <t>#Atrio #AtrioInvestimentos #Ações #Criptomoedas #EducaçãoFinanceira #FinançasPessoais #Investimentos https://t.co/jjXTtVcoEJ</t>
  </si>
  <si>
    <t>#Atrio #AtrioInvestimentos #Ações #Criptomoedas #EducaçãoFinanceira #FinançasPessoais #Investimentos https://t.co/dd8QBSv1Tj</t>
  </si>
  <si>
    <t>#Atrio #AtrioInvestimentos #GrupoAtrio #AtrioGestão #AtrioCorporate #AtrioEmpresas #Investimentos #FinançasPessoais #MercadoFinanceiro #PrevidênciaPrivada https://t.co/ikrTucnFYE</t>
  </si>
  <si>
    <t>#investimentos #bolsadevalores #finanças #ações #rendafixa #educaçãofinanceira #trader #mercadofinanceiro #longoprazo #dividendos #atrio #atrioinvestimentos #xpinvestimentos https://t.co/MjKA7oYV4A</t>
  </si>
  <si>
    <t>Poupança: perde mais R$ 11,515 bilhões com saques em fevereiro
https://t.co/1u0aiGRHQK
#poupança
#finançaspessoais
#educaçãofinanceira
Me siga nas outras redes sociais:
https://t.co/20UWjkgLkh https://t.co/DdnDqz4uO7</t>
  </si>
  <si>
    <t>A educação financeira é uma das bases para a saúde contínua do indivíduo e da sociedade.
#educacaofinanceira #ocapitaldigital #ocapital #investimento #dividas #rendaextra #Investimentos 
https://t.co/xZGso5Au0I</t>
  </si>
  <si>
    <t>#tbt participar do maior evento de mercado financeiro do mundo é pra ser lembrado e relembrado muitas vezes.
#assessoriadeinvestimentos #educacaofinanceira #investimentos #economia #xpinvestimentos #expert2018 https://t.co/oYu2s2ESPy</t>
  </si>
  <si>
    <t>Número de milionários quase dobra no Brasil. Qual a importância da #educaçãofinanceira neste cenário? Confira: https://t.co/rzHEejcSmF | #desenvolvimento #economia #negócios #govsp</t>
  </si>
  <si>
    <t>Não se prenda mais apenas ao mercado local, diversifique de maneira simples e barata no mercado internacional 
#Investimentos #ETFs #Finanças #Diversificação #EducaçãoFinanceira #PlanejamentoFinanceiro</t>
  </si>
  <si>
    <t>#Repost @brunodabrantes
Como quitar um financiamento de 30 anos em 3. #educacaofinanceira #financiamentoimobiliario #imoveis #dívidas #brunodabrantes https://t.co/1YymPD3bdF</t>
  </si>
  <si>
    <t>@machotoxico_ #educaçãofinanceira</t>
  </si>
  <si>
    <t>2/8 🧐 Você sabia que os impostos são a grana que o governo arrecada? É com eles que pagam a infraestrutura, educação, saúde e outras coisas importantes. Mas como funcionam? Quais impostos existem por aí? Vamos dar uma espiada! #EducaçãoFinanceira</t>
  </si>
  <si>
    <t>todo mês eu esqueço q passei o celular no cartão de pai e sempre gasto a fortuna do meu salario inteiro no meu cartão, ai qnd vou pagar pai eu tenho q tirar da poupança 
#EducaçaoFinanceira</t>
  </si>
  <si>
    <t>Novo artigo no blog sobre a origem do capitalismo. Acesse a bio para ler o artigo completo.
#capitalismo #investimento #investimentos #liberdadefinanceira #independenciafinanceira #educacaofinanceira https://t.co/iq3OyoHr9z</t>
  </si>
  <si>
    <t>PREVIDÊNCIA PRIVADA: Como ela surgiu e para que serve?
Você sabia que ela surgiu em 1835 com um decreto real? Saiba mais no Aprenda em 1 Minuto, meu quadro na @sigaif!
#financas #investimentos #financaspessoais #historia https://t.co/EL6Zlg7Xb7</t>
  </si>
  <si>
    <t>5/ E é por isso que é tão importante estudar sobre #bitcoin, para entender como elas funcionam e como podemos usá-las de forma segura e consciente. #educaçãofinanceira #futurofinanceiro</t>
  </si>
  <si>
    <t>https://t.co/SufwsxXk9K
#GestãoFinanceira #EducaçãoFinanceira #EstabilidadeFinanceira</t>
  </si>
  <si>
    <t>Mais uma vez o Luladrão está prejudicando os pobres e pessoas sem crédito. Parabéns!!! O pior é que tem gente que pensa que ele está ajudando com essas atitudes. Educação financeira neles!!!
#EducacaoFinanceira #Lulaladrao #luladrao #INSS #Caixa #BB 
https://t.co/Vn4gbXdphg</t>
  </si>
  <si>
    <t>Parece que o problema do submarino que foi procurar o Titanic é culpa do Bolsonaro. (Ironic mode on)
#Titanic #Bolsonaro #LulaLadraoSeuLugarENaPrisao #liberdade #EducacaoFinanceira</t>
  </si>
  <si>
    <t>Aqui a razão da esquerdalha ser contra educação financeira mas escolas. Olha o nível!!!
#EducacaoFinanceira #lulabloqueado #LuLADRAO #LulaMentiroso #BNDES</t>
  </si>
  <si>
    <t>Prefeitura de Penedo e Sebrae levam educação financeira e empreendedorismo para sala de aula
https://t.co/kcHivxtUfw
#penedo  #empreender #educaçaofinanceira</t>
  </si>
  <si>
    <t>RT @LeveAppBR: Building a Brazil of the future is in our hands.
🇧🇷 Happy September 7th!
#leve #levetoken #leveinvest #sejaleve #token #bi…</t>
  </si>
  <si>
    <t>O Brasil possui uma das legislações mais confusas e extensas do Mundo e, por lei, uma pessoa Física ou Jurídica só pode ser negativada após ser julgada pelas dívidas apontadas pelos Órgãos de Proteção ao Crédito.
#meunomelimpo #educaçãofinanceira #nomesujo #dívidas #SPC #serasa https://t.co/dN7zHSkcCw</t>
  </si>
  <si>
    <t>🚨 ATENÇÃO! 🚨 Empresários de todo o Brasil! Está na hora de recuperar seus direitos! CNPJ limpo. blindado 100% dentro da Lei!
Keywords: #meunomelimpo #cpfsujo #educaçãofinanceira #planejamentofinanceiro #nomesujo #dívidas #SPC #serasa https://t.co/TA2FEoM5yQ</t>
  </si>
  <si>
    <t>🚨 ATENÇÃO! 🚨  Além de limparmos seu nome ou CPNJ, ele ficará blindado contra negativações por 6 meses!  100% dentro da LEI!
#meunomelimpo #cpfsujo #educaçãofinanceira #planejamentofinanceiro #nomesujo #dívidas #SPC #serasa https://t.co/WN7gjLQ9Ow</t>
  </si>
  <si>
    <t>Meunomelimpo® tem mais de 10 anos de experiência no mercado, temos os mais qualificados profissionais da área! 🙌
#meunomelimpo #cpfsujo #educaçãofinanceira #planejamentofinanceiro #nomesujo #dívidas #SPC #serasa https://t.co/D8VwE5BZaN</t>
  </si>
  <si>
    <t>🚨 ATENÇÃO! 🚨 Seu nome limpo é a chave para um novo recomeço e nós podemos te ajudar!
Deixe suas dívidas e preocupações no passado. Está na hora de viver um futuro com Meunomelimpo®.
#meunomelimpo #cpfsujo #educaçãofinanceira #planejamentofinanceiro #nomesujo #dívidas #SPC https://t.co/rxL89cZKuQ</t>
  </si>
  <si>
    <t>Se tiveres pouco dinheiro,
Investe em cursos, não em ações ou criptomoedas.
#EducaçãoFinanceira #Dinheiro</t>
  </si>
  <si>
    <t>#EducaçãoFinanceira nada mais é do que uma mudança de comportamento a fim de organizar, valorizar e multiplicar os recursos conquistados durante a vida.  
https://t.co/ELZBg1f1dV  https://t.co/Fq9d4Dhg56</t>
  </si>
  <si>
    <t>A inflação pode mexer mais com o seu bolso do que você imagina...
Clica no link  e descubra como! 💸📈
https://t.co/VW2Wu82Oqb 
#acquavero #planosfinanceiros #educaçãofinanceira #Inflação #CustoDeVida https://t.co/iHDcn3vwA8</t>
  </si>
  <si>
    <t>Você já possui uma reserva de emergência?
Clique no link para saber quais características uma boa reserva de emergência precisa ter e descubra onde investir a sua. https://t.co/3SIpn5YrLV
#acquavero #planosfinanceiros #educaçãofinanceira #Inflação #CustoDeVida</t>
  </si>
  <si>
    <t>VEM VER: 10ESTRATÉGIAS PARA ECONOMIZAR SEU DINHEIRO
Se você quer aprender a economizar seu dinheiro e conquistar a estabilidade financeira, esse vídeo é para você!
Link para o vídeo https://t.co/qsWq2xboaO
#finançaspessoais #controlefinanceiro #organizaçãofinanceira #orçamento https://t.co/rKZj7Mz5TJ</t>
  </si>
  <si>
    <t>Saia do ciclo das dívidas e comece a construir um novo capítulo financeiro
Crie um plano de ação, comprometa-se, colha os frutos da sua dedicação
8 passos são suficientes!
#SaídaDasDívidas #Dívidas #Finanças #FinançasPessoais #ControleFinanceiro #LiberdadeFinanceira #Orçamento</t>
  </si>
  <si>
    <t>Dê vida ao seu dinheiro com um orçamento bem estruturado.
Aproveite ao máximo seus recursos e alcance a liberdade financeira que tanto deseja.
Dê um passo por vez: comece agora
Faça boas escolhas!
#Orçamento #Finanças #FinançasPessoais #ControleFinanceiro #LiberdadeFinanceira</t>
  </si>
  <si>
    <t>Transforme o caos financeiro em organização e tranquilidade.
Controle suas finanças e desfrute da liberdade que o controle financeiro traz
Um passo por vez: comece do controle!
Faça boas escolhas!
#ControleFinanceiro #Finanças #FinançasPessoais #Orçamento #LiberdadeFinanceira</t>
  </si>
  <si>
    <t>A sabedoria dos investimentos está em diversificar suas aplicações.
Construa um portfólio sólido e proteja-se das incertezas do mercado financeiro
Dê um passo por vez!
Faça boas escolhas!
#Investimentos #Investidores #Finanças #FinançasPessoais #LiberdadeFinanceira</t>
  </si>
  <si>
    <t>Eduque-se financeiramente e transforme sua relação com o dinheiro.
Não há limites para o que você pode alcançar quando domina os princípios financeiros! 📚💰
Faça boas escolhas!
#EducaçãoFinanceira #Finanças #FinançasPessoais #LiberdadeFinanceira #ControleFinanceiro #Orçamento</t>
  </si>
  <si>
    <t>Viva a vida sem preocupações financeiras!
Aprenda a equilibrar suas receitas e despesas, e desfrute de uma vida financeiramente tranquila
Dê um passo por vez!
Faça boas escolhas!
#FinançasPessoais #Finanças #ControleFinanceiro #Orçamento #LiberdadeFinanceira #Dívidas</t>
  </si>
  <si>
    <t>A liberdade financeira é conquistada com disciplina, planejamento e persistência.
Controle suas finanças e caminhe em direção à sua liberdade🚀💸
Dê um passo por vez!
Faça boas escolhas!
#LiberdadeFinanceira #Finanças #FinançasPessoais #ControleFinanceiro #LiberdadeFinanceira</t>
  </si>
  <si>
    <t>Faça do orçamento seu melhor amigo financeiro.
Planeje, controle seus gastos e encontre o equilíbrio para uma vida financeira saudável. 💰💼 
Faça boas escolhas!
#Orçamento #FinançasPessoais #ControleFinanceiro #LiberdadeFinanceira</t>
  </si>
  <si>
    <t>Organização é a chave para um controle financeiro eficiente
Mantenha registros, acompanhe seus gastos e tome o controle da sua vida financeira📊
Isso é essencial! Faça boas escolhas!
#ControleFinanceiro #Orçamento #FinançasPessoais #OrganizaçãoFinanceira #LiberdaedeFinanceira</t>
  </si>
  <si>
    <t>Invista na sua educação financeira e abra portas para um futuro próspero. 
Aprender sobre dinheiro é o primeiro passo para o sucesso financeiro! 🎓💰 
Faça boas escolhas!
#EducaçãoFinanceira #ControleFinanceiro #FinançasPessoais #Orçamento</t>
  </si>
  <si>
    <t>Descubra o poder de controlar suas finanças e transformar sua vida. 
A melhor forma de fazer isso é sendo você o/a protagonista da sua história financeira! 💪💰 
Faça boas escolhas!
#FinançasPessoais</t>
  </si>
  <si>
    <t>Domine suas finanças com disciplina e determinação.
Crie um planejamento financeiro sólido e garanta sua tranquilidade financeira💪💸
Você consegue!
Faça boas escolhas!
#ControleFinanceiro #FinançasPessoais #OrganizaçãoFinanceira #LiberdadeFinanceira #Orçamento</t>
  </si>
  <si>
    <t>Investir é plantar sementes financeiras para colher frutos no futuro.
Comece hoje mesmo a construir seu caminho para a independência financeira! 🌱💸
Faça boas escolhas!
#Investimentos #Investidores #FinançasPessoais #LiberdadeFinanceira #Orçamento #ControleFinanceiro</t>
  </si>
  <si>
    <t>Conhecimento é poder!
Desenvolva suas habilidades financeiras e tome decisões inteligentes que impulsionem sua vida financeira📚💡
Só você pode tomar decisões por você
Faça boas escolhas!
#EducaçãoFinanceira #FinançasPessoais #LiberdadeFinanceira #Orçamento #ControleFinanceiro</t>
  </si>
  <si>
    <t>Pequenas atitudes financeiras podem trazer grandes resultados.
Comece hoje mesmo a construir um futuro financeiramente saudável! 
Comece com essa boa escolha!
#FinançasPessoais #ControleFinanceiro #LiberdadeFinanceira #Orçamento</t>
  </si>
  <si>
    <t>A liberdade financeira é mais do que ter dinheiro, é ter controle sobre ele. Nada melhor do que você escolher o que quer fazer!
Trabalhe para alcançá-la e viva a vida que você sempre sonhou!💰
Faça boas escolhas!
#LiberdadeFinanceira #ControleFinanceiro #FinançasPessoais</t>
  </si>
  <si>
    <t>Dê o primeiro passo rumo à liberdade financeira: livre-se das dívidas.
Assuma o controle e construa um futuro financeiro mais estável e próspero. 💪
As dívidas correm seu patrimônio SEMPRE!
Faça boas escolhas!
#SaídaDasDívidas #Orçamento #FinançasPessoais #LiberdadeFinanceira</t>
  </si>
  <si>
    <t>A liberdade financeira é a liberdade de ser quem você realmente é.
Não deixe que as amarras do dinheiro te prendam, busque a verdadeira realização!
Faça boas escolhas!
#LiberdadeFinanceira #Finanças #FinançasPessoais #ControleFinanceiro #Orçamento #EducaçãoFinanceira</t>
  </si>
  <si>
    <t>O caminho para a saída das dívidas começa com a determinação de mudar.
Acredite em si e dê passos firmes em direção à liberdade financeira🌟💰
Um passo por vez!
Faça boas escolhas!
#SaídaDasDívidas #Dívidas #Finanças #FinançasPessoais #ControleFinanceiro #LiberdadeFinanceira</t>
  </si>
  <si>
    <t>Descubra o poder do orçamento na transformação da sua vida financeira.
Saiba para onde vai cada centavo e faça escolhas conscientes com seu dinheiro💪💸
Isso realmente ajuda!
Faça boas escolhas!
#Orçamento #FinançasPessoais #Finanças #LiberdadeFinanceira #ControleFinanceiro</t>
  </si>
  <si>
    <t>Não deixe que suas finanças escapem por entre os dedos.
Acompanhe seus gastos, corte excessos e veja seu dinheiro render cada vez mais💼💰
Um passo por vez!
Faça boas escolhas!
#ControleFinanceiro #Finanças #FinançasPessoais #Orçamento #LiberdadeFinanceira #ControleFinanceiro</t>
  </si>
  <si>
    <t>Conheça as diferentes modalidades de investimento e encontre aquela que se alinha aos seus objetivos.
Transforme seu dinheiro em uma fonte de renda💰💡 
Comece com conhecimento!
Faça boas escolhas!
#Investimentos #Investidores #Finanças #FinançasPessoais #LiberdadeFinanceira</t>
  </si>
  <si>
    <t>Aprender a cuidar do seu $$$ é um investimento valioso para toda a vida.
Prepare-se para enfrentar os desafios financeiros com sabedoria💪💰
Ninguém pode fazer isso por você!
#EducaçãoFinanceira #FinançasPessoais #Finanças #Orçamento #ControleFinanceiro #LiberdadeFinanceira</t>
  </si>
  <si>
    <t>Aprenda a fazer escolhas conscientes com o seu dinheiro.
O poder está em SUAS MÃOS para alcançar a estabilidade financeira que deseja💼💰
Faça boas escolhas!
#FinançasPessoais #Orçamento #ControleFinanceiro #LiberdadeFinanceira #Finanças</t>
  </si>
  <si>
    <t>A Pirâmide de Maslow também se aplica às finanças! Priorize as necessidades fisiológicas e de segurança antes de pensar em gastos supérfluos. Estabilidade financeira é a base para uma vida mais tranquila. 💰💡
#EducaçãoFinanceira #FinançasPessoais #PlanejamentoFinanceiro https://t.co/lg0I5UZCli</t>
  </si>
  <si>
    <t>Descubra o segredo do sucesso financeiro: a educação financeira.
Aprenda sempre e colha os frutos de uma mente financeiramente instruída
Faça boas escolhas!
#EducaçãoFinanceira #Finanças #FinançasPessoais #ControleFinanceiro #LiberdadeFinanceira #Orçamento</t>
  </si>
  <si>
    <t>Planejamento financeiro é a chave para conquistar seus objetivos.
Trace metas claras e siga em frente rumo ao sucesso financeiro!
Saia das dívidas com controle e alcance sonhos planejando!
#FinançasPessoais #LiberdadeFinanceira #Finanças #Orçamento #PlanejamentoFinanceiro</t>
  </si>
  <si>
    <t>Livre-se do peso das dívidas e construa um futuro financeiro mais próspero.
Acredite no seu potencial para superar os desafios e alcançar o sucesso💪💸
Dê um passo por vez!
Faça boas escolhas!
#SaídaDasDívidas #Dívidas #Finanças #FinançasPessoais #LiberdadeFinanceira</t>
  </si>
  <si>
    <t>O orçamento é a chave para a realização dos seus sonhos.
Trace metas financeiras claras e acompanhe seu progresso rumo ao sucesso financeiro💰
Faça boas escolhas!
#Orçamento #Finanças #FinançasPessoais #ControleFinanceiro #LiberdadeFinanceira #EducaçãoFinanceira</t>
  </si>
  <si>
    <t>Aprenda a dizer "não" para gastos impulsivos e tenha um futuro financeiro mais seguro.
O controle financeiro é a base do sucesso💰
Dê um passo por vez!
Faça boas escolhas!
#ControleFinanceiro #Orçamento #FinançasPessoais #Finanças #LiberdadeFinanceira #EducaçãoFinanceira</t>
  </si>
  <si>
    <t>Seu futuro financeiro está nas suas mãos.
Aproveite as oportunidades de investimento e dê passos firmes em direção à liberdade financeira!💰
Faça boas escolhas!
#Investimentos #Investidores #Finanças #FinançasPessoais #LiberdadeFinanceira #ControleFinanceiro #Orçamento</t>
  </si>
  <si>
    <t>Liberdade financeira é ter a tranquilidade de fazer escolhas alinhadas aos seus valores e objetivos.
Trace seu caminho e conquiste sua independência!🗺️💸
Faça boas escolhas!
#LiberdadeFinanceira #Orçamento #ControleFinanceiro #FinançasPessoais #IndependênciaFinanceira</t>
  </si>
  <si>
    <t>Você não está sozinho na jornada de saída das dívidas.
Busque orientação, crie um plano e veja as amarras financeiras se desfazendo💼💸
Faça boas escolhas!
#SaídaDasDívidas #Dívidas #FinançasPessoais #Orçamento #LiberdadeFinanceira #ControleFinanceiro</t>
  </si>
  <si>
    <t>O orçamento é a bússola que guia suas finanças.
Estabeleça prioridades, defina limites e construa uma base sólida para alcançar seus objetivos. 📊💡
Parece clichê? E é mesmo, mas alguns são bons!
#Orçamento #ControleFinanceiro #FinançasPessoais #LiberdadeFinanceira</t>
  </si>
  <si>
    <t>VEM VER: 5 PASSOS PARA ORGANIZAR SUAS FINANÇAS PESSOAIS
Se você quer aprender a cuidar melhor do seu dinheiro e conquistar a estabilidade financeira, esse vídeo é para você!
Link para o vídeo na bio!
#finançaspessoais #controlefinanceiro #organizaçãofinanceira #orçamento https://t.co/Pfsy9HQu85</t>
  </si>
  <si>
    <t>Planejamento financeiro pessoal, quem aqui começou o seu para o ano de 2023? #economia #orçamentofinanceiropessoal #finançaspessoais</t>
  </si>
  <si>
    <t>Se até o @ThiagoNigro tá fazendo investimento de risco, por que você não investe em mim? Kkk… #investimento #educacaofinanceira #Flames #LoveinTheAir</t>
  </si>
  <si>
    <t>Lembre-se de que melhorar sua saúde financeira requer tempo e disciplina. Pequenas mudanças em seus hábitos financeiros podem levar a grandes resultados no futuro. Comece hoje a trabalhar em direção a uma vida financeira mais sólida e tranquila! 💰📈 #FinançasPessoais  #dinheiro</t>
  </si>
  <si>
    <t>Dar mesada aos filhos pode ensinar a depender do dinheiro sem esforço. Que tal trocar por tarefas remuneradas simbolicamente?Ensine às crianças que trabalho gera pagamento e que nada vem de graça na vida.
#EducaçãoFinanceira 
#SmartDad
#CriarFilhosResponsáveis
#DinheiroGeracional</t>
  </si>
  <si>
    <t>Espero que este thread tenha sido útil! Não te esqueças de compartilhá-lo com quem pode precisar destas dicas. Juntos, podemos ser mais inteligentes com o nosso dinheiro! 🤗💸💰🚀 #EducaçãoFinanceira</t>
  </si>
  <si>
    <t>Lembra-te, estas são regras gerais e podem precisar de ser ajustadas com base na tua situação financeira pessoal e objetivos. Considera sempre consultar um consultor financeiro para conselhos personalizados. 🤔💭💡 #EducaçãoFinanceira</t>
  </si>
  <si>
    <t>🌈 Diversifica os teus Investimentos: Distribui os teus investimentos por vários tipos de ativos (ações, títulos, obrigações, imóveis, etc.) para gerir o risco. 📊🏦🏢💹 #EducaçãoFinanceira</t>
  </si>
  <si>
    <t>🚫 Evita Dívidas de Juros Altos: Tenta pagar as dívidas de juros altos o mais rápido possível. O juro poupado pode ultrapassar os retornos que terias ao investir o mesmo dinheiro. 💳💸💰 #EducaçãoFinanceira</t>
  </si>
  <si>
    <t>🌴 Regra da Poupança para a Reforma: Uma regra comum sugere que se poupe 15% do rendimento para a reforma. Isso inclui qualquer contribuição do empregador num plano de reforma. 📅💰🏖️ #EducaçãoFinanceira</t>
  </si>
  <si>
    <t>🆘 Regra do Fundo de Emergência: Idealmente, deverás ter um fundo de emergência igual a pelo menos 3-6 meses de despesas. Isto pode ser um salva-vidas em caso de despesas imprevistas ou perda de rendimentos. 💔💸🏥🚑 #EducaçãoFinanceira</t>
  </si>
  <si>
    <t>🛡️ Paga-te Primeiro: Antes de gastares, poupa e investe. Assim que recebes o teu salário, guarda uma quantia específica para poupanças e investimentos. 💸💰 #EducaçãoFinanceira</t>
  </si>
  <si>
    <t>🚀 Regra dos 10% para Investimento: Guarda e investe pelo menos 10% do teu salário todos os meses. Se puderes aumentar esta proporção, ainda melhor! 💹📈💰 #EducaçãoFinanceira</t>
  </si>
  <si>
    <t>🎯 Regra 50/30/20: Divide o teu rendimento líquido da seguinte forma - 50% para necessidades, 30% para desejos, e 20% para poupanças e investimentos. 🏡🍔👠💼💵🏦 #EducaçãoFinanceira</t>
  </si>
  <si>
    <t>👋🏾 Tread 🧵 sobre as melhores regras para gerir o teu salário. Pronto? Siga o fio 🧶 ! 💸💰👛 #EducaçãoFinanceira</t>
  </si>
  <si>
    <t>Só pra lembrar como estão seus investimentos atrelados à Selic!
.
.
.
.
.
.
#investimentos #selic #cdb #cdi #negocios #brasil #educacaofinanceira https://t.co/WD67faE7eb</t>
  </si>
  <si>
    <t>📈💼 Investir é para todos! Não precisa ser complicado. 💡💰 Nossa missão é desmistificar o mundo dos investimentos, tornando-o acessível e compreensível para todos.
 #Investimentos #FinançasPessoais #ConstruindoRiqueza #DescomplicandoOsInvestimentos https://t.co/HNJLbOBllH</t>
  </si>
  <si>
    <t>🎓 Aprenda sempre: O mercado de NFTs está em constante evolução. Continue estudando e se atualizando sobre as tendências e inovações no espaço. Seja curioso e aberto a novas informações, isso o ajudará a tomar decisões de investimento mais informadas. #EducaçãoFinanceira</t>
  </si>
  <si>
    <t>Economia para todos📊
Na estreia da coluna do especialista em educação financeira, Guilherme Almeida, você vai entender mais sobre um dos assuntos do momento: o patamar dos juros no Brasil.
https://t.co/GKHL0DxEam
#economia #economiaparatodos #educaçãofinanceira #juros</t>
  </si>
  <si>
    <t>Investir é a chave para alcançar a independência financeira e construir um futuro mais seguro. Não importa o quanto você começa, o importante é começar agora e ser consistente #investimentos #finançaspessoais</t>
  </si>
  <si>
    <t>#personalfinance #mercadofinanceiro #finances #educacaofinanceira #independenciafinanceira #planejamentofinanceiro #refinance #sucessofinanceiro #financeiro #financetips #inteligenciafinanceira #gestaofinanceira #carfinance</t>
  </si>
  <si>
    <t>#liberdadefinanceira 
#rendavariavel #rendapassiva 
#educacaofinanceira #investimento
#independênnciafinanceira #economia #criptomoedas #motivação #atualidades  #desenvolvimentopessoal
#desenvolvimentoprofissional
#empreendedorismo 
#utilidadepública #curiosidades #reels #viral https://t.co/W252zk4SeX</t>
  </si>
  <si>
    <t>DEDUZ CARD, o cartão mesada ideal para você pai acompanhar os gastos do seu filho. 
Dê um crédito de confiança ao seu filho.
#cartãomesada #educaçãofinanceira #paisefilhos https://t.co/GuKfqWKmd9</t>
  </si>
  <si>
    <t>#EducaçãoFinanceira
A poupança é dos pontos mais importantes do seu  plano financeiro. Devemos definir a poupança como prioridade, sem esquecer claro, de regularizar os créditos, principalmente os cartões de crédito. Crie o habito de TODOS OS MESES PAGAR A SI EM PRIMEIRO!</t>
  </si>
  <si>
    <t>#EducaçãoFinanceira 
Reserva financeira de emergência:
Por mais disciplinados que sejamos, temos a certeza de que imprevistos sempre acontecem.
Para estarmos preparados para despesas imprevistas, o melhor a se fazer é manter uma reserva financeira que lhe dê alguma margem.</t>
  </si>
  <si>
    <t>#EducaçãoFinanceira 
O que é Educação Financeira?
De acordo com a OCDE, pessoas educadas em relação ao dinheiro têm uma melhor compreensão em relação aos conceitos e produtos financeiros.</t>
  </si>
  <si>
    <t>#EducaçãoFinanceira 
Um bom hábito que poderá adoptar é o controlo de gastos.
A educação financeira envolve ter total conhecimento sobre as despesas. Para isso, não deve confiar na memória, e sim criar um registo de tudo.
Esse é o ponto para começar a tomar melhores decisões. https://t.co/8s1xd4WD3G</t>
  </si>
  <si>
    <t>#EducaçãoFinanceira 
Defina objetivos concretizáveis:
Tente definir objetivos, como depositar alguns € por mês em determinada aplicação.
Para se motivar, poderá usar uma calculadora de juros compostos e veja quanto isso vai render em dez anos.</t>
  </si>
  <si>
    <t>#EducaçãoFinanceira 
Use a tecnologia como forma de o auxiliar.
Hoje em dia existem inúmeros aplicativos para smartphones feitos para facilitar o controlo das despesas diárias. Utilize um destes aplicativos no seu dia a dia e veja a diferença que fazem nas suas contas.</t>
  </si>
  <si>
    <t>#EducaçãoFinanceira 
Mas o que é a #inflação ?
A inflação é o aumento generalizado dos preços de uma economia, e consequentemente, perda do poder de compra do dinheiro.</t>
  </si>
  <si>
    <t>Você sabia que pequenas mudanças nos hábitos financeiros podem fazer uma grande diferença a longo prazo? Compartilhe conosco uma dica que você implementou para economizar dinheiro no seu dia a dia! 💡💰 #FinançasPessoais #EconomiaDoméstica</t>
  </si>
  <si>
    <t>Chegou a hora de refletir: qual foi a maior lição financeira que você aprendeu até agora? Compartilhe nos comentários e inspire outras pessoas a tomarem melhores decisões financeiras! 💭💰 #EducaçãoFinanceira #LiçõesAprendidas #Milionário</t>
  </si>
  <si>
    <t>Para ganhar o jogo do dinheiro, precisamos ser disciplinados e praticar a gratificação adiada. Economizar e investir conscientemente nos levará ao sucesso financeiro. Vamos construir um futuro seguro e próspero juntos! 💰🚀 #FinançasPessoais #SucessoFinanceiro #Binance #Bitcoin</t>
  </si>
  <si>
    <t>🔍Pesquisa é essencial! Antes de investir no S&amp;amp;P 500, realize pesquisas detalhadas, entenda seus objetivos financeiros e considere os prós e contras. #EducaçãoFinanceira #InvestirComSabedoria</t>
  </si>
  <si>
    <t>Pix parcelado. Não caia nessa. Assista análise completa- acesse link na bio. #política #economia #haddad #lula #financaspessoais #educacaofinanceira #caloteiros https://t.co/Ctycse0la0</t>
  </si>
  <si>
    <t>É Profissional Autônomo? Veja como planejar sua aposentadoria.
#futuro #aposentadoria #educacaofinanceira #fy #fyp #ceo #investment #education #short #YouTube
https://t.co/VPcwGKPA84</t>
  </si>
  <si>
    <t>Leia matéria completa em nosso site, link na bio. 
#contabilidade #Mei #direito #direitodotrabalho #direitotrabalhista #direitotributario #passofundo #direitoempresarial #passofundors #financas #finanças #financaspessoais #impostoderenda #irpf #brasil #vidadecontador https://t.co/ldInzvLCDP</t>
  </si>
  <si>
    <t>Leia matéria completa em nosso site, link na bio. 
#contabilidade #Mei #direito #direitodotrabalho #direitotrabalhista #direitotributario #passofundo #direitoempresarial #compliancetrabalhista #passofundors #financaspessoais #impostoderenda #irpf #brasil #vidadecontador https://t.co/jpNNmLSgoM</t>
  </si>
  <si>
    <t>📚 Investidores iniciantes, busquem conhecimento! Conhecimento é poder em potencial, pois se você não colocar em prática de nada adianta! #EducaçãoFinanceira #investidor #investidores https://t.co/FGZ5lLcLac</t>
  </si>
  <si>
    <t>🌟
Entender os "Real World Assets" é como desbravar destinos desconhecidos. Quanto mais você aprende, mais ricas e recompensadoras são suas viagens financeiras. Pronto para a próxima aventura? #EducaçãoFinanceira</t>
  </si>
  <si>
    <t>RO é destaque em programa de educação financeira em 2023
#Rondonia #EducaçaoFinanceira #Destaque #JornalCP #CorreioPopular 
https://t.co/e9Hzf25Zv1 https://t.co/aI2iOEpMhH</t>
  </si>
  <si>
    <t>Quer entender a economia de um jeito diferente? Vem com a gente nesse passeio pelo 'trem fantasma' do parque de diversões! 🎢🤔 #economia #metáfora #educaçãofinanceira</t>
  </si>
  <si>
    <t>Nome do Instagram: @gustavocamposguize Nome do canal no YouTube: O Almanaque Financeiro
 #trabalhovsnegócio #empreendedorismo #gestãodenegócios #finanças #planejamentofinanceiro #investimentos #educaçãofinanceira #negócios https://t.co/7h9jaT9G3h</t>
  </si>
  <si>
    <t>@MattPontes #terapia 
#educacaofinanceira</t>
  </si>
  <si>
    <t>#RioBravoInvestimentos #MulheresnaLiderança #MercadoFinanceiro #LiderançaFeminina #MulhernaLiderança #Liderança #CEO #EducaçãoFinanceira</t>
  </si>
  <si>
    <t>Confira o episódio completo.
https://t.co/AMVpsUSyXd
#RioBravoInvetimentos #MulheresnaLiderança #MercadoFinanceiro #LiderançaFeminina #MulhernaLiderança #Liderança #CEO #EducaçãoFinanceira</t>
  </si>
  <si>
    <t>#InvestimentoESG #EducaçãoFinanceira #SeuInvestimentoTemPoder</t>
  </si>
  <si>
    <t>Confira o episódio completo.
https://t.co/Vr3x3Yaq6p
#RioBravoInvestimentos #MulheresnaLiderança #VideocastRioBravo #MercadoFinanceiro #LiderançaFeminina #MulhernaLiderança #Liderança #CEO #EducaçãoFinanceira</t>
  </si>
  <si>
    <t>#RioBravoInvestimentos #AsInstituiçõesEstãoFuncionando? #FuncionamentoDasInstituições #MercadoFinanceiro #Liderança #GustavoFranco #EducaçãoFinanceira #BancoCentral #Economia</t>
  </si>
  <si>
    <t>#MulheresnaLiderança #MercadoFinanceiro #LiderançaFeminina #MulhernaLiderança #Liderança #CEO #EducaçãoFinanceira</t>
  </si>
  <si>
    <t>“Uma coisa é tirar um sabático quando a sua única responsabilidade é você. Agora, ter de se reinventar quando duas vidas dependem de você é muito difícil”
#MulheresnaLiderança #MercadoFinanceiro #LiderançaFeminina #MulhernaLiderança #Liderança #CEO #EducaçãoFinanceira</t>
  </si>
  <si>
    <t>#RioBravoInvestimentos #MulheresnaLiderança #VideocastRioBravo #MercadoFinanceiro #LiderançaFeminina #MulhernaLiderança #Liderança #CEO #EducaçãoFinanceira</t>
  </si>
  <si>
    <t>#RioBravoInvestimentos #AsInstituiçõesEstãoFuncionando? #MercadoFinanceiro #Liderança #GustavoFranco #EducaçãoFinanceira #Economia #BancoCentral</t>
  </si>
  <si>
    <t>Confira o episódio completo.
https://t.co/5Yp4yv44yr
#MulheresnaLiderança #MercadoFinanceiro #LiderançaFeminina #MulhernaLiderança #Liderança #CEO #EducaçãoFinanceira</t>
  </si>
  <si>
    <t>Confira o vídeo completo.
https://t.co/x94NuGnxfD
#RioBravoInvestimentos #FundodeInvestimento #CarteiradeInvestimentos #Investidor #CréditoPrivado #EducaçãoFinanceira #SeuInvestimentoTemPoder</t>
  </si>
  <si>
    <t>#RioBravoInvestimentos #AsInstituiçõesEstãoFuncionando? #MercadoFinanceiro #Liderança #MaurícioZanoide #EducaçãoFinanceira</t>
  </si>
  <si>
    <t>Planejamento previdenciário do INSS: saiba como garantir uma aposentadoria tranquila!
#inss
#planejamentoprevidenciário
#aposentadoria
#previdência
#seguridade
#previdênciasocial
#educaçãofinanceira
#vidafinanceira
#contribuição
#aposentadoriainss https://t.co/cZ5HXwC351</t>
  </si>
  <si>
    <t>Finvestmentor will help you create investments apt for financing your dreams.  To know more about DBFS Finvestmentor Advisory Services, please visit your nearest DBFS branch.
#finance #liberdadefinanceira #personalfinance #mercadofinanceiro #finances #educacaofinanceira https://t.co/5PPurVJWCd</t>
  </si>
  <si>
    <t>Controlar os gastos é fundamental para ter saúde financeira. Saber para onde seu dinheiro está indo ajuda a identificar onde é possível economizar e investir para alcançar seus objetivos. #educaçãofinanceira #controlegastos</t>
  </si>
  <si>
    <t>Investir em suas finanças hoje é o primeiro passo para alcançar a independência financeira amanhã. Planeje suas despesas, poupe e invista de forma inteligente! #FinançasPessoais #Investimentos</t>
  </si>
  <si>
    <t>Seja consistente em seus hábitos financeiros e colha os frutos a longo prazo. 
#finanças #educaçãofinanceira</t>
  </si>
  <si>
    <t>Dublê de rico não é aquele que tem e gasta com o que quer. Gerenciar bem o dinheiro é fundamental para evitar dívidas desnecessárias e garantir uma vida financeira saudável .Não adianta andar como se nada tá acontecendo e devendo a praça #finanças #dinheiro #educaçãofinanceira</t>
  </si>
  <si>
    <t>(+) que compartilharão informações valiosas sobre o tema. Não perca essa oportunidade de melhorar a gestão das suas finanças pessoais. Participe!
🗓 16 de maio, às 16h.
▶️ No canal do Youtube do Banco do Nordeste.
#BancoDoNordeste #BNB #EducaçãoFinanceira</t>
  </si>
  <si>
    <t>📖 'O Homem Mais Rico da Babilônia' é uma leitura atemporal sobre finanças e investimento. As parábolas babilônicas ensinam princípios valiosos de economia e riqueza que permanecem relevantes até hoje. Recomendo fortemente! 💰🌟 #LeituraObrigatória #FinançasPessoais</t>
  </si>
  <si>
    <t>🔥LINK DO PRODUTO: https://t.co/Loj46dK32b
#acheinashopee  #maternidade #cofreinfantil #educacaofinanceira https://t.co/IOjzVhLXVZ</t>
  </si>
  <si>
    <t>#ArtigoNovoNoAr
🤔 A organização das finanças pessoais é essencial para alcançar a estabilidade financeira e garantir um futuro tranquilo.
Quer saber mais? Acesse o link abaixo e leia nossa matéria completa 😄
Leia agora 👇:
https://t.co/JGgXsZ2kSc
 #finançaspessoais</t>
  </si>
  <si>
    <t>Qual é o seu negócio ?!? https://t.co/F7gyObOjju via @YouTube 
me siga nas redes sociais: - https://t.co/daVCzQUZMp...  https://t.co/lWLW1FKUnN... 
#bolsadevalores #ações #b3 #rendaextra #rendavariavel #dinheiro #educaçãofinanceira</t>
  </si>
  <si>
    <t>Descubra como em ¹https://t.co/b9deAE6BI9. Os Investimentos indicados são Tão Seguros quanto a Poupança. 
- ¹ = Indicado a qualquer pessoa. 
#investimentos #poupardinheiro #economizardinheiro #educacaofinanceira #comoinvestir #ondeinvestir #comoinvestirembitcoin #guardardinheiro https://t.co/GjASyJaFs2</t>
  </si>
  <si>
    <t>Descubra como em ¹https://t.co/b9deAE6BI9. Os Investimentos indicados são Tão Seguros quanto a Poupança. 
- ¹ = Indicado a qualquer pessoa. 
#investimentos #poupardinheiro #economizardinheiro #educacaofinanceira #comoinvestir #ondeinvestir #comoinvestirembitcoin #guardardinheiro https://t.co/5UqIbwNLLM</t>
  </si>
  <si>
    <t>Descubra como em ¹https://t.co/b9deAE79xH. Os Investimentos indicados são Tão Seguros quanto a Poupança. 
- ¹ = Indicado a qualquer pessoa. 
#investimentos #poupardinheiro #economizardinheiro #educacaofinanceira #comoinvestir #ondeinvestir #comoinvestirembitcoin #guardardinheiro https://t.co/v5z63hQhq2</t>
  </si>
  <si>
    <t>Descubra como em ¹https://t.co/b9deAE6BI9. Os Investimentos indicados são Tão Seguros quanto a Poupança. 
- ¹ = Indicado a qualquer pessoa. 
#investimentos #poupardinheiro #economizardinheiro #educacaofinanceira #comoinvestir #ondeinvestir #comoinvestirembitcoin #guardardinheiro https://t.co/6ysy49z66m</t>
  </si>
  <si>
    <t>Descubra como em ¹https://t.co/b9deAE6BI9. Os Investimentos indicados são Tão Seguros quanto a Poupança. 
- ¹ = Indicado a qualquer pessoa. 
#investimentos #poupardinheiro #economizardinheiro #educacaofinanceira #comoinvestir #ondeinvestir #comoinvestirembitcoin #guardardinheiro https://t.co/icYO4L3oeP</t>
  </si>
  <si>
    <t>Precisa economizar e não sabe por onde começar?
5 passos para organizar suas finanças e encontrar oportunidades de economia.
#finançaspessoais</t>
  </si>
  <si>
    <t>O Varejo acordou?
.
.
.
.
.
.
.
#investimentos
#prosperidade
#educacaofinanceira
#rikei
#financaspessoais#consultoriafinanceirapessoal
#mentemilionaria
#ibov#ibovespa https://t.co/DpKPLUChQ0</t>
  </si>
  <si>
    <t>E você, também está trabalhando menos e ganhando mais?
Fonte: https://t.co/sKokEuXPoc
#investimentos
#prosperidade
#educacaofinanceira
#rikei
#financaspessoais#consultoriafinanceirapessoal
#mentemilionaria https://t.co/XJIGbhR62L</t>
  </si>
  <si>
    <t>⏰5 CONSELHOS PARA QUEM NÃO TEM TEMPO PARA CUIDAR DOS INVESTIMENTOS 💰💰💰
#investimentos #prosperidade #financaspessoais</t>
  </si>
  <si>
    <t>E aí, concordam?
.
.
.
.
.
.
.
#investimentos
#prosperidade
#educacaofinanceira
#rikei
#financaspessoais#consultoriafinanceirapessoal
#mentemilionaria
#ibov#ibovespa
#amer3
#bolsadevalores https://t.co/nmTEVJp0m3</t>
  </si>
  <si>
    <t>5 CONSELHOS PARA JOVENS INICIANDO A VIDA FINANCEIRA. 🧙‍♂️
Segue o fio 👉
#educacaofinanceira #independenciafinanceira #mentemilionaria</t>
  </si>
  <si>
    <t>🚨Investimentos rendendo pouco? 🚨Perdendo dinheiro? 👉Investir pode ser fácil, rentável e seguro👇
Fale com especialista
Wagner Geremia - Analista de investimentos CNPI 3774
#wagnergeremia #ondeinvestir #comoinvestir #investimento #educaçãofinanceira https://t.co/IdMtA6ac8K</t>
  </si>
  <si>
    <t>➡ Assista a este vídeo no Youtube.
➡ Link na bio.
👉 Veja mais artigos, dicas e informações em meu site. Lá sempre posto conteúdo atualizado. 👉 https://t.co/FQSUHggTgx [link na bio]
#wagnergeremia #ondeinvestir #comoinvestir #investimento #educaçãofinanceira #investimentos https://t.co/Qv56YES6WB</t>
  </si>
  <si>
    <t>➡ Veja esta notícia no Youtube.
➡ Link na bio.
👉 Veja mais artigos, dicas e informações em meu site. Lá sempre posto conteúdo atualizado. 👉 https://t.co/FQSUHgglqZ
#wagnergeremia #ondeinvestir #comoinvestir #investimento #educaçãofinanceira #investimentos #investir https://t.co/jufjzy2bOS</t>
  </si>
  <si>
    <t>👉 Veja mais artigos, dicas e informações em meu site. 
👉Acesse também meu Youtube que lá tem conteúdo atualizado semanalmente com várias dicas de investimentos.
➡ Links na bio
#wagnergeremia #ondeinvestir #comoinvestir #investimento #educaçãofinanceira #investimentos https://t.co/cNZPCnSnPw</t>
  </si>
  <si>
    <t>💰 Onde investir seu dinheiro em 2023?  Fique com algumas dicas principais. 👇
👉 Veja mais artigos, dicas e informações em meu site. Lá sempre posto conteúdo atualizado. 👉 https://t.co/FQSUHgglqZ
#wagnergeremia #ondeinvestir #comoinvestir #investimento #educaçãofinanceira https://t.co/0rJ1Pl6fm1</t>
  </si>
  <si>
    <t>✨ Conheça um pouco mais sobre minha trajetória.👇
👉Acesse também meu Youtube que lá tem conteúdo atualizado semanalmente com várias dicas de investimentos. ➡ Link na bio
#wagnergeremia #ondeinvestir #comoinvestir #investimento #educaçãofinanceira #investimentos #investir https://t.co/d2u1OzCE31</t>
  </si>
  <si>
    <t>É POSSÍVEL VIVER DE AÇÕES?👇
👉 Veja mais artigos, dicas e informações em meu site. Lá sempre posto conteúdo atualizado. 👉 https://t.co/FQSUHgglqZ  [link na bio]
#acoes #wagnergeremia #ondeinvestir #comoinvestir #investimento #educaçãofinanceira #investimentos https://t.co/zLeFLZTqVe</t>
  </si>
  <si>
    <t>LEVEI RUIM NA OIBR3. O QUE FAZER?👇
👉 Veja mais artigos, dicas e informações em meu site. Lá sempre posto conteúdo atualizado. 👉 https://t.co/FQSUHgglqZ  [link na bio]
#OIBR3 #wagnergeremia #ondeinvestir #comoinvestir #investimento #educaçãofinanceira #investimentos https://t.co/1FU4IwDKm0</t>
  </si>
  <si>
    <t>👉 Como multiplicar o dinheiro?
👉 Veja mais artigos, dicas e informações em meu site. Lá sempre posto conteúdo atualizado. 👉 https://t.co/FQSUHgglqZ ➡ Link na bio
#wagnergeremia #ondeinvestir #comoinvestir #investimento #educaçãofinanceira #investimentos #investir https://t.co/mVClkI8kFn</t>
  </si>
  <si>
    <t>A ARMADILHA DOS DIVIDENDOS👇
👉 Veja mais artigos, dicas e informações em meu site. Lá sempre posto conteúdo atualizado. 👉 https://t.co/FQSUHgglqZ  [link na bio]
#acoes #wagnergeremia #ondeinvestir #comoinvestir #investimento #educaçãofinanceira #investimentos #DIVIDENDOS https://t.co/ymV4R4lEio</t>
  </si>
  <si>
    <t>QUAL O RISCO DO TESOURO DIRETO?👇
👉 Veja mais artigos, dicas e informações em meu site. Lá sempre posto conteúdo atualizado. 👉 https://t.co/FQSUHgglqZ  [link na bio]
#acoes #wagnergeremia #ondeinvestir #comoinvestir #educaçãofinanceira #investimentos #TESOURODIRETO https://t.co/OHkfI68NJ3</t>
  </si>
  <si>
    <t>👉 Veja mais artigos, dicas e informações em meu site. Lá sempre posto conteúdo atualizado.
👉 https://t.co/FQSUHgglqZ
👉Acesse também meu Youtube
➡ Links na bio
#wagnergeremia #ondeinvestir #educaçãofinanceira #investimentos #investir #aposentadoria #aposentados https://t.co/b2i47Cj1Y2</t>
  </si>
  <si>
    <t>QUANTO RENDE R$ 1.000 NO TESOURO DIRETO?👇
👉 Veja mais artigos, dicas e informações em meu site. Lá sempre posto conteúdo atualizado. 👉 https://t.co/FQSUHgglqZ  [link na bio]
#ACOES #wagnergeremia #ondeinvestir #comoinvestir #investimento #educaçãofinanceira #investimentos https://t.co/GNN3zHtSpx</t>
  </si>
  <si>
    <t>É POSSÍVEL INVESTIR COM POUCO DINHEIRO?👇
👉 Veja mais artigos, dicas e informações em meu site. Lá sempre posto conteúdo atualizado. 👉 https://t.co/FQSUHgglqZ  [link na bio]
#acoes #wagnergeremia #ondeinvestir #comoinvestir #investimento #educaçãofinanceira #investimentos https://t.co/1AXqOzfm3V</t>
  </si>
  <si>
    <t>COMO EU ESCOLHO AÇÕES?👇
#wagnergeremia #ondeinvestir #comoinvestir #investimento #educaçãofinanceira #investimentos https://t.co/RE2TGI5Dpg</t>
  </si>
  <si>
    <t>QUANTO RENDE $1000 NA BOLSA? 👇
#wagnergeremia #ondeinvestir #comoinvestir #investimento #educaçãofinanceira #investimentos #investir #aposentadoria #aposentados #rendafixa #rendavariavel #rendimento #renda #dividendos #educaçãofinanceira #debentures https://t.co/Q047no7NxE</t>
  </si>
  <si>
    <t>O QUE EU ACHO DO TESOURO DIRETO?👇
👉 Veja mais artigos, dicas e informações em meu site. Lá sempre posto conteúdo atualizado. 👉 https://t.co/FQSUHgglqZ  [link na bio]
#FUNDOS #wagnergeremia #ondeinvestir #educaçãofinanceira #investimentos #FUNDOSIMOBILIARIOS https://t.co/VISaS8xWbK</t>
  </si>
  <si>
    <t>QUAL O PASSO A PASSO ESCOLHER AÇÕES?👇
👉 Veja mais artigos, dicas e informações em meu site. Lá sempre posto conteúdo atualizado. 👉 https://t.co/FQSUHgglqZ  [link na bio]
#acoes #wagnergeremia #ondeinvestir #comoinvestir #investimento #educaçãofinanceira #investimentos https://t.co/JMEYvMRL4k</t>
  </si>
  <si>
    <t>QUAIS AÇÕES RECOMENDADAS INICIANTES?👇
👉 Veja mais artigos, dicas e informações em meu site. Lá sempre posto conteúdo atualizado. 👉 https://t.co/FQSUHgglqZ  [link na bio]
#acoes #wagnergeremia #ondeinvestir #comoinvestir #investimento #educaçãofinanceira #investimentos https://t.co/2FMkHTTNyD</t>
  </si>
  <si>
    <t>Diferença entre renda fixa e variável.
👉Acesse também meu Youtube que lá tem conteúdo atualizado semanalmente com várias dicas de investimentos. ➡ Link na bio
#wagnergeremia #ondeinvestir #comoinvestir #investimento #educaçãofinanceira #investimentos #investir #aposentadoria https://t.co/FmbEOUgfD9</t>
  </si>
  <si>
    <t>Como o juros afeta seu banco digital? E sua vida?
https://t.co/5vOAeTWBVM
#wagnergeremia #ondeinvestir #educaçãofinanceira #debentures #bolsadevalores #tesourodireto #patrimonio #liberdadefinanceira #copom #selic #bacen #inflation #inflacao #juros #dinheiro</t>
  </si>
  <si>
    <t>Valuation!✨Você deseja fazer a avaliação da sua empresa? 👉 Entre em contato e saiba mais.
#valuation #wagnergeremia #ondeinvestir #comoinvestir #investimento #rendavariavel #rendimento #renda #dividendos #educaçãofinanceira #debentures #bolsadevalores https://t.co/JRSqletqE0</t>
  </si>
  <si>
    <t>COMO COMEÇAR A INVESTIR EM AÇÕES?👇
👉 Veja mais artigos, dicas e informações em meu site. Lá sempre posto conteúdo atualizado. 👉 https://t.co/FQSUHgglqZ  [link na bio]
#ACOES #wagnergeremia #ondeinvestir #comoinvestir #investimento #educaçãofinanceira #investimentos https://t.co/gRrGhaHx3e</t>
  </si>
  <si>
    <t>O QUE EU ACHO DE FUNDOS IMOBILIÁRIOS?👇
👉 Veja mais artigos, dicas e informações em meu site. Lá sempre posto conteúdo atualizado. 👉 https://t.co/FQSUHgglqZ  [link na bio]
#FUNDOS #wagnergeremia #investimento #educaçãofinanceira #investimentos #FUNDOSIMOBILIARIOS https://t.co/PGKVPn3uxM</t>
  </si>
  <si>
    <t>MGLU3. O QUE PENSO DE MAGAZINE LUIZA? 👇
#wagnergeremia #ondeinvestir #comoinvestir #investimento #educaçãofinanceira #investimentos #mglu3 #magazineluiza https://t.co/UEue72P6Nd</t>
  </si>
  <si>
    <t>✨Receber heranças é comum, porém junto a isso surge uma grande dúvida. O que fazer com este dinheiro? Investir?💵 Guardar? 👉 Se você deseja investir com segurança entre em contato.
#wagnergeremia #ondeinvestir #comoinvestir #investimento #educaçãofinanceira #investimentos https://t.co/e6JQY6ak4Q</t>
  </si>
  <si>
    <t>Sozinhos vamos mais rápido. Juntos vamos mais longe.
#financaspessoais #independenciafinanceira #negocios #ibovespa #dividendos   #empreendedor #financas  #rendapassiva #dolar  #investidores #money #bovespa #business  #marketing #poupar #acoes #investimentosinteligentes https://t.co/fDOmbZU9BN</t>
  </si>
  <si>
    <t>🤔 Qual o motivo de seu planejamento financeiro não estar pronto?
#planejamentofinanceiro #financaspessoais #finanças
https://t.co/2pSrU5kkbk</t>
  </si>
  <si>
    <t>🤔 Já se perguntou por que demora para tomar decisões?
#decisões #metas2023 #planejamentofinanceiro #financaspessoais #dicasfinanceiras
https://t.co/rOrb3TnOc1</t>
  </si>
  <si>
    <t>👣 Você já definiu o caminho que te leva à liberdade financeira?
#liberdadefinanceira #caminhos #financaspessoais
https://t.co/XHTnLS2fRP</t>
  </si>
  <si>
    <t>🤯 Tomar decisões nem sempre é fácil, necessita de estudo e racionalidade.
#decisões #atitude #empreendedorismo #financaspessoais #dicasfinanceiras
https://t.co/7h8QqvUTli</t>
  </si>
  <si>
    <t>🤑 Ter reserva de emergência financeira dá segurança e você opera melhor emocionalmente.
#reservadeemergencia #emergencia #financeira #educacaofinanceira #educaçãofinanceira
https://t.co/nCtwFkY019</t>
  </si>
  <si>
    <t>💰O que você faria se ganhasse 10 mil reais?
#ganhardinheiroonline #dinheiro #finanças #mercadofinanceiro #financaspessoais
https://t.co/5ihyj2YDCw</t>
  </si>
  <si>
    <t>A diferença entre guardar e investir 
#investimentos #dinheiro #finançaspessoais #investidorinteligente https://t.co/6rLCL3eeNY</t>
  </si>
  <si>
    <t>#ivipcoin #educaçãofinanceira #crypto #lua #prévenda https://t.co/oJbXsaqSAH</t>
  </si>
  <si>
    <t>Estamos chegando na Coinsbit!
#coinsbit #ivipcoin #ivipcointothemoon
#novalistagem #criptomoedas #educaçãofinanceira #Bullish https://t.co/iZ8MQfw1MV</t>
  </si>
  <si>
    <t>Especialista aconselha pais e dá dicas sobre quando abordar o tema com crianças. #PortaliG #EducaçãoFinanceira
https://t.co/yzmdkyKwOQ</t>
  </si>
  <si>
    <t>#Serasa #scoredecrédito #inadimplência #covid19 #pagamentodedívidas #finançaspessoais #créditopessoal</t>
  </si>
  <si>
    <t>Ponha sua casa em ordem e pare de gastar dinheiro com coisa que já tem em casa.
#educaçãofinanceira #finançaspessoais</t>
  </si>
  <si>
    <t>#educaçãoFinanceira</t>
  </si>
  <si>
    <t>O sonho é um grande motivador e por isso ele deve existir antes mesmo do recurso. 
Assim você vai buscar as condições para torná-lo realidade.
Qual o seu sonho que você gostaria de realizar?
#finançaspessoais</t>
  </si>
  <si>
    <t>Nessa iniciativa, o Banco Central conta com a parceria do #FDD, do #Caed / UFJF, do #FGC, da 
@undime e do @ConsedBR #aprendervalor #educaçãofinanceira #bancocentral #aprendervalor #educacaofinanceira #cidadaniafinanceira
#bancocentraldobrasil #educacaobasica
#educacaofinanceira</t>
  </si>
  <si>
    <t>Confira a íntegra da live no nosso canal de Youtube: https://t.co/Ks47Wo89eO #economia #bancocentral #educaçãofinanceira #LiveBC</t>
  </si>
  <si>
    <t>Desenrola Brasil - um passo à frente ou um salto no escuro? A #EducaçãoFinanceira é a chave para evitar o #EndividamentoIrresponsável. Entender gestão de dinheiro é vital. Mas será que o programa resolve ou só mascara o problema? 💡💰 #FinançasResponsáveis https://t.co/y6MOphElkS</t>
  </si>
  <si>
    <t>O primeiro passo para melhorar uma fraqueza é reconhecer que tem uma fraqueza. 
#juliomauricio #juventudemilionaria #educacaofinanceira #mentalidadefinanceira #financaspessoais #sucesso https://t.co/8z2HGsIm3q</t>
  </si>
  <si>
    <t>Eduque, capacite e confie na sua equipe. 
Se não o fizeres, o teu negócio vai permanecer pequeno.
#juliomauricio #juventudemilionaria #mentalidadedesucesso #inteligenciaemocional #educacaofinanceira #geracaodevalor https://t.co/kL1XO3XLMx</t>
  </si>
  <si>
    <t>Eduque, capacite e confie na sua equipe. 
Se não o fizeres, o teu negócio vai permanecer pequeno.
#juliomauricio #juventudemilionaria #mentalidadedesucesso #inteligenciaemocional #educacaofinanceira #geracaodevalor https://t.co/xsKQ5lfeXX</t>
  </si>
  <si>
    <t>Cidade do Futuro: startup leva ao festival de SP temática de blockchain
#Blockchain #CryptoTimes #EducaçãoFinanceira
https://t.co/A1HDphLjqW</t>
  </si>
  <si>
    <t>Você sabe por que é importante incentivar o gosto pelo empreendedorismo ainda na infância? 
Confira post completo em:https://t.co/TOe0of09c8
Você já conhece o Geração Líder? Acesse: https://t.co/iAHgGJjyPV e saiba mais.
#GeraçãoLíder #EducaçãoFinanceira https://t.co/UL4eGhVIIc</t>
  </si>
  <si>
    <t>Está disponível o curso Start Digital, onde você aprende a fazer muito dinheiro 💶, na internet com Marketing Digital, a qualquer hora e lugar
Saiba mais em 👇:
https://t.co/aZgC2W1t3Y
#educacaofinanceira  
#dinheiroonline 
#marketingdigital
https://t.co/zYBXFvJI0q</t>
  </si>
  <si>
    <t>@edsontsjr Hmmm, parece um bom orçamento. Mas por que gastar tanto em roupas e outras coisas? Diria que $NOB faria esse ajuste e guardaria mais dinheiro para investir. #SorryNotSorry #FinançasPessoais</t>
  </si>
  <si>
    <t>RT @vokininvest: 🚨 Volatilidade NÃO mede risco. - Warren Buffett.
Siga 👉 @vokininvestimentos 
#ibovespa #açoes #acoes #educaçãofinanceira…</t>
  </si>
  <si>
    <t>2. Aprenda a aproveitar as oportunidades de investimentos e cresça seus ativos! Ganhe acesso a algumas das melhores estratégias de investimento através do nosso app #FinançasPessoais #Investimento</t>
  </si>
  <si>
    <t>1. Investimentos inteligentes são a chave para o sucesso financeiro! Descubra como você pode desenvolver seus conhecimentos e se tornar um investidor de sucesso. #FinançasPessoais #Investimento</t>
  </si>
  <si>
    <t>Comece fazendo pequenas mudanças nos seus hábitos financeiros, como cortar gastos desnecessários, estabelecer metas financeiras realistas e investir em si mesmo. Pequenas ações podem ter um grande impacto no seu futuro financeiro! #financaspessoais #habitosfinanceiros</t>
  </si>
  <si>
    <t>Não espere ficar rico da noite para o dia. A construção de riqueza começa com pequenas mudanças nos hábitos financeiros. Comece hoje mesmo a economizar, investir e planejar seu futuro financeiro! #financaspessoais #riqueza #investimentos</t>
  </si>
  <si>
    <t>8 ideias para renda extra em 2023
https://t.co/1b4VOW2j8J
A renda extra é uma forma de complementar o seu salário ou aposentadoria e pode ajudá-lo a atingir seus objetivos financeiros. 
#rendaextra #finanças #investimento #dinheiro #dinheiroonline #finançaspessoais #economia https://t.co/VNe5PIPABu</t>
  </si>
  <si>
    <t>Chat GPT:  Tudo que você precisa saber
link: https://t.co/pRV0yFP9IP
O GPT (Generative Pretrained Transformer) é uma rede neural de linguagem natural treinada por meio de deep learning, desenvolvida pela OpenAI.
#gpt #chatgpt #finanças #empreendedor #finançaspessoais #dinheiro https://t.co/lE2FqgKEtU</t>
  </si>
  <si>
    <t>O Homem Mais Rico da Babilônia: 
Ensinamentos Valiosos Para a Vida Financeira
Link &amp;gt;&amp;gt;&amp;gt; https://t.co/5AQalU7uxl
Leia a matéria completa no site Finanças e Cia.
#mercadofinanceiro #financaspessoais #dinheiro #investimento #rendaextra #finanças https://t.co/t2tihJHhml</t>
  </si>
  <si>
    <t>O que são finanças descentralizadas (DeFi)?
link: https://t.co/Utv9RAaLUZ
Leia a matéria completa no site Finanças e Cia.
#finanças #finançaspessoais #investimento #mercadofinanceiro #renda #dinheiro https://t.co/KM837eTZJP</t>
  </si>
  <si>
    <t>O mercado de ações é onde os investidores se conectam para comprar e vender investimentos - mais comumente, ações. 
Leia mais &amp;gt;&amp;gt;&amp;gt;
https://t.co/dIaYN216y8
#finanças #mercadofinanceiro #mercadodeações #financaspessoais #dinheiro #investimento #gestaofinanceira https://t.co/axXwOmMecZ</t>
  </si>
  <si>
    <t>O que é Bitcoin e como funciona?
Leia mais &amp;gt;&amp;gt;&amp;gt; 
https://t.co/IkMtj9MjbT
#criptomoedas #Bitcoin #mercadofinanceiro #cripto #criptoativos #finanças #financas #finançaspessoais https://t.co/2jAVTmQ7w6</t>
  </si>
  <si>
    <t>Fundos imobiliários (FIIs): Tudo que você precisa saber
Leia mais &amp;gt;&amp;gt;&amp;gt;
https://t.co/8S0I6C54vP
#finanças #fundosimobiliarios #financas #dinheiro #investimento #gestãofinanceira #bolsadevalores #finançaspessoais https://t.co/1gg6CWSZe5</t>
  </si>
  <si>
    <t>O mercado financeiro é como um quebra-cabeça em constante mudança. Decisões informadas são as peças que o compõem. Investir em conhecimento é o primeiro passo para tomar as melhores decisões financeiras. 📈💡 #MercadoFinanceiro #EducaçãoFinanceira</t>
  </si>
  <si>
    <t>Você sabia que existem alguns investimentos que são isentos de pagamento de IR? É possível encontrar ativos desse tipo tanto em renda fixa, como em renda variável. O  #MinutoB3 te conta quais são e como declarar.
#educacaofinanceira #impostoderenda</t>
  </si>
  <si>
    <t>Sobre PLANOS e PLANEJAMENTO.
"Nunca confunda ajuste de rota de um plano com mudança de plano, pois quando os planos mudam os objetivos (desejos) também mudam."
#planejamentofinanceiro
#financaspessoais</t>
  </si>
  <si>
    <t>-
-
-
ASSIM TAMBÉM É NAS FINANÇAS!!
-
-
-
-
 #financaspessoais
#aprendaserrico 
#aprendaserprospero</t>
  </si>
  <si>
    <t>#financaspessoais</t>
  </si>
  <si>
    <t>VÍRUS DO PIX
#Repost @patricialagesoficial with @let.repost 
• • • • • •
ALERTA 🚨 Novo golpe no pix! Ligue o som, informe-se e compartilhe com seus contatos. 🤯
.
#patricialages #golpe #pix #educacaofinanceira https://t.co/zSN4NTAGHR</t>
  </si>
  <si>
    <t>Não é o quanto você ganha e sim o quanto você gasta. 
.
.
Deixe seu comentário e compartilhe com seus amigos 
#renda #dividendos #financaspessoais #gastos #dinheiro #valor #consultor em Curitiba, Paraná https://t.co/VjbglpzK23</t>
  </si>
  <si>
    <t>E você, em quanto tempo deseja conquistar seu primeiro milhão ? 
#milhão #dinheiro #fortuna #multiplicação #prosperidade #finanças #planejamento #planner #cultura #educaçãofinanceira #consultor #escritorio https://t.co/WeE5Djora6</t>
  </si>
  <si>
    <t>Social media manger expert❤️
#manger #socialmedia
#finance #liberdadefinanceira #personalfinance #mercadofinanceiro #finances #educacaofinanceira #independenciafinanceira  #refinance #sucessofinanceiro #financeiro #financetips #CanadasBestEmployers #Italy #UnitedStates https://t.co/r8U6z0CJpr</t>
  </si>
  <si>
    <t>#rabaioliadvogados
#BarradoGarças
#DiaDoConsumidor
#RenegociaçãoDeDívidas
#SaúdeFinanceira
#ControleFinanceiro
#FinançasPessoais https://t.co/1F7mPIndJF</t>
  </si>
  <si>
    <t>#organizze #financaspessoais Carnaval 2023: como superar a ressaca financeira https://t.co/fKGz3PkXzZ</t>
  </si>
  <si>
    <t>#organizze #financaspessoais Especialista ensina como organizar as finanças em 2023 https://t.co/dQ6nklq8PA</t>
  </si>
  <si>
    <t>#organizze #financaspessoais</t>
  </si>
  <si>
    <t>#organizzados #planejamentofinanceiro #financaspessoais #organizze</t>
  </si>
  <si>
    <t>#educacaofinanceira #dinheiro #consciencia #organizze</t>
  </si>
  <si>
    <t>#organizze #app #financaspessoais https://t.co/Csaeh0QszP</t>
  </si>
  <si>
    <t>#organizze #financaspessoais 18 livros de investimentos que você precisa conhecer! https://t.co/at2It1HRld</t>
  </si>
  <si>
    <t>#organizze #financaspessoais #branding https://t.co/LlRoMeQGVS</t>
  </si>
  <si>
    <t>#organizze #financaspessoais 5 aplicativos que vão revolucionar a forma como você controla sua vida financeira https://t.co/4IgGlltNgN</t>
  </si>
  <si>
    <t>#cvm #investidor #financaspessoais #organizze #educacaofinanceira Quem é o investidor brasileiro? Pesquisa da CVM vai traçar perfil https://t.co/KJBU1K063m</t>
  </si>
  <si>
    <t>#organizze #newsletter #financaspessoais #bemestarfinanceiro #educacaofinanceira #app #web</t>
  </si>
  <si>
    <t>#organizze #gympass #financaspessoais Organizze e Gympass: bem-estar financeiro e físico juntos https://t.co/ACQEMmOa93</t>
  </si>
  <si>
    <t>#organizze #financaspessoais #carnaval
Quando é o Carnaval 2023? Veja dicas para economizar! https://t.co/PGLYPw0czO</t>
  </si>
  <si>
    <t>#organizze #financaspessoais #app #web #planejamentofinanceiro #gestaofinanceira</t>
  </si>
  <si>
    <t>#organizze #financaspessoais #app #web</t>
  </si>
  <si>
    <t>#educacaofinanceira #aprendervalor #bc #organizze</t>
  </si>
  <si>
    <t>#educacaofinanceira #organizze</t>
  </si>
  <si>
    <t>Fico me perguntando porque a maioria das pessoas não fazem isso nas suas vidas.
Você poderia me dizer o porquê nos comentários?
#educaçãofinanceira #Investimento #Dinheiro https://t.co/dAdNRr7shM</t>
  </si>
  <si>
    <t>✅ Qual a RELAÇÃO das FINANÇAS com a SAÚDE MENTAL? #saúdemental #finançaspessoais #saúdefinanceira https://t.co/Rc5gXzK7bb</t>
  </si>
  <si>
    <t>4️⃣ Invista em Educação Financeira: Conhecimento é poder! Estude sobre finanças pessoais, investimentos e planejamento para tomar decisões mais acertadas. A educação financeira é uma habilidade valiosa para toda a vida. #EducaçãoFinanceira #Investimentos</t>
  </si>
  <si>
    <t>Thread: Dicas Práticas de Finanças Pessoais 💰📈
🧵 Olá pessoal! Hoje trago algumas dicas valiosas para melhorar suas finanças pessoais e construir um futuro financeiro sólido. Vamos lá! #FinançasPessoais #EducaçãoFinanceira</t>
  </si>
  <si>
    <t>Não preciso de ajuda externa, dou conta sozinha 
.
.
.
#golpe #golpesvirtuais #financaspessoais #financasfemininas #autosuficiencia #autosuficiente #sarcasmo #sarcasmofeminino https://t.co/Ly5nFcQYD5 https://t.co/6kmMt38R5g</t>
  </si>
  <si>
    <t>Não preciso de ajuda externa, dou conta sozinha 
.
.
.
#golpe #golpesvirtuais #financaspessoais #financasfemininas #autosuficiencia #autosuficiente #sarcasmo #sarcasmofeminino https://t.co/AWmiIMk4vP</t>
  </si>
  <si>
    <t>Síndrome do merecimento faz muito mal para a saúde financeira 
.
.
.
#sindromedaimpostora #impostora #eumeamo #eumeamoeumecuido #eumereço #financaspessoais #economiadomestica #autoestimaelevada #sarcasmofeminino #sarcasmo https://t.co/u5D2c54TKg https://t.co/n740ME4pwH</t>
  </si>
  <si>
    <t>#FinançasPessoais, #Dívidas, #EducaçãoFinanceira, #Investimento</t>
  </si>
  <si>
    <t>"O vermelho é uma cor linda, mas na sua conta bancária, não! 😅 Com o ebook 'Saia do Vermelho', você vai aprender a mudar essa situação! 🤑 Adquira agora na Hotmart e fique no azul de uma vez por todas! 💰 #FiqueNoAzul #EducaçãoFinanceira 
https://t.co/dAL0xUgGzZ</t>
  </si>
  <si>
    <t>Descubra como desbloquear sua Liberdade Financeira de uma vez por todas: https://t.co/i8OqlzIZmx
#saudefinanceira #economizar #dinheiro #poupar #investir #renda #finançaspessoais #finanças #planejamentofinanceiro #inteligenciafinanceira #educacaofinanceira https://t.co/UWAbfrjpiU</t>
  </si>
  <si>
    <t>Descubra como desbloquear sua Liberdade Financeira de uma vez por todas:
https://t.co/i8OqlzIrwZ
#corretora #investimento #comoinvestir #educaçãofinanceira #bolsadevalores #poupança #inteligenciafinanceira #investir #dicasfinanceiras #finançaspessoais #riqueza https://t.co/IGBFkpsyg1</t>
  </si>
  <si>
    <t>💰 Descubra como desbloquear sua Liberdade Financeira de uma vez por todas!
Clique no Link: https://t.co/oLSZrd3qK1
#finanças #educaçãofinanceira #investimento #comoinvestir #tesourodireto #poupança #renda #economizar #liberdadefinanceira https://t.co/DjzN8PWGJz</t>
  </si>
  <si>
    <t>Aprenda Passo a Passo como Investir p/ Conquistar sua Liberdade Financeira: https://t.co/AxO1p6RT24 
#investimentos #trade #trading #daytrade #investir #bolsadevalores #comoinvestir #financas #educaçãofinanceira #finanças #inteligenciafinanceira https://t.co/owl8ie6beY</t>
  </si>
  <si>
    <t>Descubra como desbloquear sua Liberdade Financeira de uma vez por todas:
https://t.co/i8OqlzIZmx
#finanças #comoinvestir #educaçãofinanceira #investimento #poupança #tesourodireto #inteligenciafinanceira #investir https://t.co/PLqfIM8Fi4</t>
  </si>
  <si>
    <t>Descubra como desbloquear sua Liberdade Financeira de uma vez por todas:
https://t.co/i8OqlzIZmx
#billgates #conhecimento #sucesso #empreendedorismo #riqueza #mentalidadedesucesso #educacaofinanceira https://t.co/eDN5GtBvAi</t>
  </si>
  <si>
    <t>Descubra como desbloquear sua Liberdade Financeira de uma vez por todas: 
https://t.co/i8OqlzIZmx
#educaçãofinanceira #financas #planejamentofinanceiro #dinheiro #finançaspessoais #educacaofinanceira https://t.co/liCCdhF1v8</t>
  </si>
  <si>
    <t>Descubra como desbloquear sua Liberdade Financeira de uma vez por todas: https://t.co/i8OqlzIZmx
#dicadeleitura #educaçãofinanceira #riqueza #finanças #finançaspessoais #investimento #prosperidade #mentemilionaria https://t.co/jIOAaMGHvF</t>
  </si>
  <si>
    <t>6 Lições do Livro: Pai Rico, Pai Pobre
#pairicopaipobre #dicadeleitura #finançaspessoais #educaçãofinanceira #investimentos #finanças #economizar #dinheiro #planejamentofinanceiro #liberdadefinanceira #inteligenciafinanceira #empreendedorismo #ganhardinheiro #sucessofinanceiro https://t.co/zwi1VxUpLC</t>
  </si>
  <si>
    <t>3 Habilidades pra você ter com o dinheiro!
#educacaofinanceira #finançaspessoais #planejamentofinanceiro #dinheiro #controlefinanceiro #renda #sucessofinanceiro https://t.co/JHS5t33x6N</t>
  </si>
  <si>
    <t>Alguns fatores que impactam na Rentabilidade dos seus Investimentos!
#rentabilidade #investimentos #dicasfinanceiras #educaçãofinanceira #financas #comoinvestir https://t.co/9ohYlbS8tv</t>
  </si>
  <si>
    <t>Masterclass GRATUITA e ONLINE: 🔥 Descubra como ficar rico ainda este ano e desbloquear sua Liberdade Financeira de uma vez por todas!
👉 Clique neste link para se inscrever: https://t.co/BsTAWc3OMZ
#finançaspessoais #liberdadefinanceira #dicasfinanceiras #educaçãofinanceira https://t.co/o4RRZt2JCu</t>
  </si>
  <si>
    <t>Atitudes que prejudicam suas finanças e que você deve evitar!
#educaçãofinanceira #financaspessoais #planejamentofinanceiro #financas #liberdadefinanceira #habitos #mentemilionaria #independenciafinanceira https://t.co/TFIWMflrLI</t>
  </si>
  <si>
    <t>Descubra como desbloquear sua Liberdade Financeira de uma vez por todas:
https://t.co/i8OqlzIrwZ
#finançaspessoais #economizar #dinheiro #poupar #renda #finanças #planejamentofinanceiro #inteligenciafinanceira #educacaofinanceira https://t.co/9iBtpSUPyP</t>
  </si>
  <si>
    <t>Descubra como desbloquear sua Liberdade Financeira de uma vez por todas:
https://t.co/i8OqlzIZmx
#finanças #economizar #dinheiro #finançaspessoais #investir #planejamentofinanceiro #educacaofinanceira https://t.co/PJ61jCR6zI</t>
  </si>
  <si>
    <t>Descubra como desbloquear sua Liberdade Financeira de uma vez por todas:
https://t.co/i8OqlzIrwZ
#financas #economizar #dinheiro #finançaspessoais #planejamentofinanceiro #educaçãofinanceira https://t.co/GDPmFbopGp</t>
  </si>
  <si>
    <t>Descubra como desbloquear sua Liberdade Financeira de uma vez por todas:
https://t.co/i8OqlzIrwZ
#finanças #economizar #dinheiro #finançaspessoais #planejamentofinanceiro #educacaofinanceira https://t.co/SmhJhejSOA</t>
  </si>
  <si>
    <t>Descubra como desbloquear sua Liberdade Financeira de uma vez por todas: https://t.co/SpzFKRwovx
#dividas #finançaspessoais #dívidas #controlefinanceiro #planejamentofinanceiro #inteligenciafinanceira #finanças #empreendedorismo #economizar #poupar #educaçãofinanceira https://t.co/fDS4QD7GjH</t>
  </si>
  <si>
    <t>🔥 PROMOÇÃO EXCLUSIVA 🔥
Clique neste Link  e aproveite para Garantir o Curso com um SUPER DESCONTO: https://t.co/Bi0RwAaIzQ
#financas #planejamentofinanceiro #independenciafinanceira #financaspessoais #investimento #liberdadefinanceira #educacaofinanceira https://t.co/pzWldZGeqB</t>
  </si>
  <si>
    <t>Descubra como desbloquear sua Liberdade Financeira de uma vez por todas: https://t.co/i8OqlzIrwZ
#dicas #financas #serie #filmes #mercadofinanceiro #dinheiro #financaspessoais #educaçãofinanceira #dicasfinanceiras #WilliamHuntBrasil https://t.co/QjL1i7Mk5A</t>
  </si>
  <si>
    <t>6 Motivos para Sair da Poupança
#poupança #poupar #economizar #finançaspessoais #educaçãofinanceira #investimentos #finanças #planejamentofinanceiro #liberdadefinanceira https://t.co/5ZlWFIgLO5</t>
  </si>
  <si>
    <t>Aprenda Passo a Passo como Investir p/ Conquistar sua Liberdade Financeira: https://t.co/AxO1p6Rlcw 
#investir #bolsadevalores #investimento #estrategiadeinvestimentos #comoinvestir #financas #educacaofinanceira #inteligenciafinanceira https://t.co/w8lndJN4wJ</t>
  </si>
  <si>
    <t>Aprenda Passo a Passo como Investir p/ Conquistar sua Liberdade Financeira: https://t.co/AxO1p6Rlcw 
#economizar #poupar #finanças #educacaofinanceira #inteligenciafinanceira #dinheironobolso #planejamentofinanceiro #economizardinheiro #finançaspessoais https://t.co/mz4NRbkK37</t>
  </si>
  <si>
    <t>Aprenda Passo a Passo como Investir p/ Conquistar sua Liberdade Financeira: https://t.co/AxO1p6Rlcw 
#finanças #mercadofinanceiro #bolsadevalores #investimentos #investir #comoinvestir #educaçãofinanceira #financas #ações https://t.co/BqHelhj4ww</t>
  </si>
  <si>
    <t>Aprenda Passo a Passo como Investir p/ Conquistar sua Liberdade Financeira: https://t.co/AxO1p6Rlcw 
#mercadofinanceiro #finanças #investimentos #investir #comoinvestir #educaçãofinanceira #financas #liberdadefinanceira https://t.co/FkCiVbIxN1</t>
  </si>
  <si>
    <t>🔥PROMOÇÃO: Descubra como desbloquear sua Liberdade Financeira de uma vez por todas:
https://t.co/Bi0RwAbgpo
#inteligenciaartificial #bdr #etf #bolsadevalores #ações #tecnologia #ai #investimentos #comoinvestir #financas #educaçãofinanceira https://t.co/zM0gNlsQpx</t>
  </si>
  <si>
    <t>Descubra como desbloquear sua Liberdade Financeira de uma vez por todas:
https://t.co/i8OqlzIrwZ
#investimentos #comoinvestir #financas #economizar #dinheiro #finançaspessoais #planejamentofinanceiro #educaçãofinanceira #investir https://t.co/gj3PlDPjBo</t>
  </si>
  <si>
    <t>Descubra como desbloquear sua Liberdade Financeira de uma vez por todas:
https://t.co/i8OqlzIrwZ
#financas #orçamentofamiliar #planejamentofinanceiro #economizar #dinheiro #finançaspessoais #educaçãofinanceira https://t.co/UkcNjyqkuA</t>
  </si>
  <si>
    <t>Descubra como desbloquear sua Liberdade Financeira de uma vez por todas:
https://t.co/i8OqlzIZmx
#investimentos #comoinvestir #financas #economizar #dinheiro #finançaspessoais #planejamentofinanceiro #educaçãofinanceira https://t.co/5na7jwjVof</t>
  </si>
  <si>
    <t>Descubra como desbloquear sua Liberdade Financeira de uma vez por todas:
https://t.co/i8OqlzIrwZ
#zonadeconforto #financas #educacaofinanceira #sucesso https://t.co/PKlrSIvf26</t>
  </si>
  <si>
    <t>Descubra como desbloquear sua Liberdade Financeira de uma vez por todas:
https://t.co/i8OqlzIrwZ
#finanças #economizar #dinheiro #finançaspessoais #planejamentofinanceiro #educacaofinanceira https://t.co/Jc3XEF1ZcF</t>
  </si>
  <si>
    <t>Descubra como desbloquear sua Liberdade Financeira de uma vez por todas:
https://t.co/i8OqlzIrwZ
#finançaspessoais #educacaofinanceira #finanças #planejamentofinanceiro #inteligenciafinanceira #organizacaofinanceira https://t.co/BbeZGrlrVX</t>
  </si>
  <si>
    <t>Descubra como desbloquear sua Liberdade Financeira de uma vez por todas:
https://t.co/i8OqlzIZmx
#investimento #comoinvestir #educaçãofinanceira #poupança #inteligenciafinanceira #dividendos #investir #dicasfinanceiras #finançaspessoais #riqueza #ações https://t.co/UB4hF5C64D</t>
  </si>
  <si>
    <t>Descubra como desbloquear sua Liberdade Financeira de uma vez por todas: 
https://t.co/oLSZrd3Yzz 
#cartaodecredito #finançaspessoais #planejamentofinanceiro #economizar #dinheiro #financas #poupar #educaçãofinanceira #finanças #vidafinanceira https://t.co/c9vX65ALYO</t>
  </si>
  <si>
    <t>Descubra como desbloquear sua Liberdade Financeira de uma vez por todas: 
https://t.co/i8OqlzIrwZ
#pascoa #economizar #poupar #finançaspessoais #planejamentofinanceiro #financas #educaçãofinanceira https://t.co/e5L4MH70Ls</t>
  </si>
  <si>
    <t>Descubra como desbloquear sua Liberdade Financeira de uma vez por todas:  https://t.co/i8OqlzIrwZ
#finançaspessoais #educaçãofinanceira #finanças #economizar #planejamentofinanceiro #dividas #controlefinanceiro #organizacaofinanceira https://t.co/ge3yfNjdDg</t>
  </si>
  <si>
    <t>Dicas para quem vai curtir o 🎭 Carnaval e quer economizar!
#carnaval #economizar #poupar #finançaspessoais #planejamentofinanceiro #financas #educaçãofinanceira https://t.co/U4iQ8HYGEw</t>
  </si>
  <si>
    <t>🔥PROMOÇÃO: Descubra como desbloquear sua Liberdade Financeira de uma vez por todas:
https://t.co/Bi0RwAaIzQ
#liquidez #investir #investimentos #comoinvestir #financas #economizar #poupar #dinheiro #educaçãofinanceira https://t.co/mVDX7z0BQ1</t>
  </si>
  <si>
    <t>🔥PROMOÇÃO: Descubra como desbloquear sua Liberdade Financeira de uma vez por todas:
https://t.co/Bi0RwAbgpo
#investimento #agronegocio #bolsadevalores #finanças #educaçãofinanceira #comoinvestir #renda #investir #liberdadefinanceira https://t.co/K22T2HH3xR</t>
  </si>
  <si>
    <t>Descubra como desbloquear sua Liberdade Financeira de uma vez por todas:
https://t.co/i8OqlzIrwZ
#financas #planejamentofinanceiro #economizar #dinheiro #finançaspessoais #educaçãofinanceira https://t.co/yfMEmR8IKx</t>
  </si>
  <si>
    <t>Descubra como desbloquear sua Liberdade Financeira de uma vez por todas:
https://t.co/i8OqlzIrwZ
#comoinvestir #fundosimobiliarios #fii #fundoimobiliario #investimentoimobiliario #investimentos #imoveis #finançaspessoais #educaçãofinanceira #investir #finanças #ganhardinheiro https://t.co/e1IOa5kSMb</t>
  </si>
  <si>
    <t>Descubra como desbloquear sua Liberdade Financeira de uma vez por todas:
https://t.co/i8OqlzIZmx
#finanças #economizar #dinheiro #finançaspessoais #planejamentofinanceiro #educacaofinanceira https://t.co/9aBnM6csdl</t>
  </si>
  <si>
    <t>Descubra como desbloquear sua Liberdade Financeira de uma vez por todas:
https://t.co/i8OqlzIZmx
#finançaspessoais #finanças #inteligenciafinanceira #educacaofinanceira #economizar #dinheiro #poupar #comoinvestir https://t.co/Sb50Gm0DZw</t>
  </si>
  <si>
    <t>Descubra como desbloquear sua Liberdade Financeira de uma vez por todas: 
https://t.co/i8OqlzIrwZ
#cashback #economizar #dinheiro #educaçãofinanceira #inteligenciafinanceira #dicasfinanceiras #finançaspessoais #dinheironobolso https://t.co/v3NoSj91xX</t>
  </si>
  <si>
    <t>💰 Descubra como desbloquear sua Liberdade Financeira de uma vez por todas: https://t.co/AxO1p6Rlcw
#poupar #economizar #investir #educaçãofinanceira #finançaspessoais #liberdadefinanceira https://t.co/k8jkbULCnM</t>
  </si>
  <si>
    <t>📘 3 Lições do livro A Ciência de Ficar Rico
#prosperidade #gratidão #dicadeleitura #livros #leitura #ficarrico #riqueza #ganhardinheiro #WilliamHuntBrasil #dinheiro #financaspessoais #educaçãofinanceira #planejamentofinanceiro https://t.co/JK7PnW7nfi</t>
  </si>
  <si>
    <t>🔥PROMOÇÃO: Descubra como desbloquear sua Liberdade Financeira de uma vez por todas:
https://t.co/Bi0RwAaIzQ
#investir #investimentos #comoinvestir #educação #financas #economizar #poupar #dinheiro #educaçãofinanceira #tesourodireto https://t.co/OCnouV8m4C</t>
  </si>
  <si>
    <t>🔥PROMOÇÃO: Descubra como desbloquear sua Liberdade Financeira de uma vez por todas:
https://t.co/Bi0RwAaIzQ
#economizar #dinheiro #poupar #finanças #planejamentofinanceiro #finançaspessoais #educaçãofinanceira https://t.co/9S7YlsYdwG</t>
  </si>
  <si>
    <t>Descubra como desbloquear sua Liberdade Financeira de uma vez por todas:
https://t.co/i8OqlzIrwZ
#investir #dolar #mercadofinanceiro #bolsadevalores #investimentos #comoinvestir #financas #finanças #educaçãofinanceira https://t.co/yZoWwLAnuU</t>
  </si>
  <si>
    <t>Descubra como desbloquear sua Liberdade Financeira de uma vez por todas:
https://t.co/i8OqlzIrwZ
#planejamentofinanceiro #investimento #comoinvestir #financas #economizar #poupar #investir #finançaspessoais #educaçãofinanceira https://t.co/V83S5Hr9yo</t>
  </si>
  <si>
    <t>Descubra como desbloquear sua Liberdade Financeira de uma vez por todas:
https://t.co/i8OqlzIZmx
#financas #planejamentofinanceiro #economizar #dinheiro #finançaspessoais #educaçãofinanceira https://t.co/FSP9Bzvjz4</t>
  </si>
  <si>
    <t>Descubra como desbloquear sua Liberdade Financeira de uma vez por todas:
https://t.co/i8OqlzIrwZ
#planejamentofinanceiro #educacaofinanceira #finanças #economizar #poupar #dinheiro #finançaspessoais https://t.co/tmOm217hb1</t>
  </si>
  <si>
    <t>Descubra como desbloquear sua Liberdade Financeira de uma vez por todas:
https://t.co/i8OqlzIZmx
#habitos #mudança #mudançadevida #dicasfinanceiras #WilliamHuntBrasil #investimentos #dinheiro #finançaspessoais #educacaofinanceira #inteligenciafinanceira https://t.co/CpMwY7iMgk</t>
  </si>
  <si>
    <t>Descubra como desbloquear sua Liberdade Financeira de uma vez por todas: https://t.co/i8OqlzIrwZ
#investimentos #cdb #comoinvestir #finançaspessoais #educaçãofinanceira #poupar #economizar #renda #finanças #poupança https://t.co/5r568lEF01</t>
  </si>
  <si>
    <t>Descubra como desbloquear sua Liberdade Financeira de uma vez por todas:
https://t.co/i8OqlzIrwZ
#economizar #investir #finançaspessoais #investimentos #finanças #planejamentofinanceiro #inteligenciafinanceira #sucessofinanceiro #organizacaofinanceira #educacaofinanceira https://t.co/KaXWjVFbK7</t>
  </si>
  <si>
    <t>Ações para lucrar com o ChatGPT!
#investimentos #chatgpt #investir #comoinvestir #finanças #educacaofinanceira #inteligenciafinanceira https://t.co/ZbIW43yXIh</t>
  </si>
  <si>
    <t>3 livros muito bons que vão te ajudar a melhorar seu mindset sobre finanças e investimentos!
#educacaofinanceira #financas #investimentos #mentemilionaria #dicadeleitura #livros https://t.co/476rDxtB8r</t>
  </si>
  <si>
    <t>🔥 Masterclass GRATUITA e ONLINE: Descubra como desbloquear sua Liberdade Financeira de uma vez por todas!
👉 Clique aqui: https://t.co/AoD5uNcHZl
#prosperidadefinanceira #finanças #sucessofinanceiro #dinheiro #educacaofinanceira https://t.co/aHKboa5Nw0</t>
  </si>
  <si>
    <t>🔥 Masterclass GRATUITA e ONLINE: Descubra como desbloquear sua Liberdade Financeira de uma vez por todas!
👉 Clique aqui: https://t.co/BsTAWc4mCx
#independenciafinanceira #financaspessoais #investimento #liberdadefinanceira #educacaofinanceira #financas https://t.co/wjlLNTZiu7</t>
  </si>
  <si>
    <t>Comece hoje a jornada pra sua Liberdade Financeira: https://t.co/AxO1p6Rlcw 
#finançaspessoais #planejamentofinanceiro #organizacaofinanceira #inteligenciafinanceira #educacaofinanceira #gestaofinanceira #orçamentofamiliar #sucessofinanceiro #vidadecasal https://t.co/FXhKYZxxpo</t>
  </si>
  <si>
    <t>Masterclass GRATUITA e ONLINE:🔥 Descubra como ficar rico ainda este ano!
👉 Clique neste link para se inscrever: https://t.co/AoD5uNcHZl
#finançaspessoais #financas #liberdadefinanceira #educacaofinanceira #independenciafinanceira https://t.co/JejgIlqvlF</t>
  </si>
  <si>
    <t>Confira todas as informações no Blog: 
https://t.co/FxUSrnZI7S
#realdigital #moedadigitalbrasileira #moedadigital #financaspessoais #financas #educacaofinanceira #mercadofinanceiro https://t.co/hoQELwttl8</t>
  </si>
  <si>
    <t>🔥PROMOÇÃO: Descubra como desbloquear sua Liberdade Financeira de uma vez por todas:
https://t.co/Bi0RwAaIzQ
#finançaspessoais #planejamentofinanceiro #financas #controlefinanceiro #educacaofinanceira #inteligenciafinanceira https://t.co/QXqXOau39M</t>
  </si>
  <si>
    <t>🔥PROMOÇÃO: Descubra como desbloquear sua Liberdade Financeira de uma vez por todas:
https://t.co/Bi0RwAbgpo
#ouro #riqueza #dinheiro #investimentos #comoinvestir #financas #bolsadevalores #educaçãofinanceira https://t.co/mg7IQMrWEw</t>
  </si>
  <si>
    <t>🔥PROMOÇÃO: Descubra como desbloquear sua Liberdade Financeira de uma vez por todas:
https://t.co/Bi0RwAaIzQ
#comoinvestir #investimento #financas #planejamentofinanceiro #ganhardinheiro #independenciafinanceira #liberdadefinanceira #educaçãofinanceira https://t.co/qQOiGt62hf</t>
  </si>
  <si>
    <t>🔥PROMOÇÃO: Descubra como desbloquear sua Liberdade Financeira de uma vez por todas:
https://t.co/Bi0RwAbgpo
#dividendos #proventos #lucro #investir #bolsadevalores #investimentos #comoinvestir #finanças #ações #educaçãofinanceira https://t.co/GgVFUSt9UN</t>
  </si>
  <si>
    <t>🔥PROMOÇÃO: Descubra como desbloquear sua Liberdade Financeira de uma vez por todas:
https://t.co/Bi0RwAaIzQ
#dicasfinanceiras #investidor #PeterLynch #riqueza #mentemilionaria #finanças #inteligenciafinanceira #educacaofinanceira #comoinvestir https://t.co/b2ax2nYFUa</t>
  </si>
  <si>
    <t>🔥PROMOÇÃO: Descubra como desbloquear sua Liberdade Financeira de uma vez por todas:
https://t.co/Bi0RwAaIzQ
#planejamentofinanceiro #finançaspessoais #controlefinanceiro #finanças #educaçãofinanceira https://t.co/gkSeFG5SPr</t>
  </si>
  <si>
    <t>🔥 PROMOÇÃO CURSO SEGREDOS DOS INVESTIMENTOS PARA INICIANTES🔥 https://t.co/Bi0RwAbgpo 
#investimentos #educacaofinanceira #independenciafinanceira #finançaspessoais #finanças #liberdadefinanceira #riqueza #mentemilionaria #renda #dicasfinanceiras #ganhardinheiro  #economizar https://t.co/A0bMzDtxgf</t>
  </si>
  <si>
    <t>Descubra como desbloquear sua Liberdade Financeira de uma vez por todas:
https://t.co/i8OqlzIrwZ
#aprendaainvestir #investir #finanças #dicasdeinvestimentos #investimentos #comoinvestir #educaçãofinanceira #economizar #poupar #financeiro #dicasfinanceiras #poupança https://t.co/nUNNYzp4za</t>
  </si>
  <si>
    <t>Descubra como desbloquear sua Liberdade Financeira de uma vez por todas:
https://t.co/i8OqlzIrwZ
#finanças #economizar #dinheiro #finançaspessoais #planejamentofinanceiro #educacaofinanceira https://t.co/nEA2FZNjNP</t>
  </si>
  <si>
    <t>Descubra como desbloquear sua Liberdade Financeira de uma vez por todas:
https://t.co/i8OqlzIrwZ
#dicasfinanceiras #finanças #economizar #educaçãofinanceira #finançaspessoais #educacaofinanceira https://t.co/7MpLAVw8ZX</t>
  </si>
  <si>
    <t>Descubra como desbloquear sua Liberdade Financeira de uma vez por todas: https://t.co/AxO1p6Rlcw
#tesourodireto #poupança #rendafixa #investimento #economizar #financas #educacaofinanceira #liberdadefinanceira #independenciafinanceira https://t.co/KJzdM82oFU</t>
  </si>
  <si>
    <t>Descubra como desbloquear sua Liberdade Financeira de uma vez por todas:
https://t.co/i8OqlzIZmx
#finanças #educaçãofinanceira #investimento #comoinvestir #tesourodireto #poupança #renda #investir #liberdadefinanceira https://t.co/PN34SYeqJY</t>
  </si>
  <si>
    <t>Erros comuns ao montar um Planejamento Financeiro!
#planejamentofinanceiro #educacaofinanceira #financaspessoais #controlefinanceiro #finanças #sucessofinanceiro https://t.co/YXYqLBO441</t>
  </si>
  <si>
    <t>Jogo Cashflow, do Robert T. Kiyosaki, autor do famoso livro do Pai Rico, Pai Pobre.
Jogo criado para ensinar sobre educação financeira e te ajudar a fugir da corrida dos ratos!
#finançaspessoais #educaçãofinanceira #pairicopaipobre #corridadosratos #mentemilionaria #finanças https://t.co/9AzxPljqwY</t>
  </si>
  <si>
    <t>Comece hoje a jornada pra sua Liberdade Financeira: https://t.co/AxO1p6RT24 
#investir #etf #dividendos #bolsadevalores #investimento #financas #educacaofinanceira #inteligenciafinanceira #rendavariavel #viverderenda https://t.co/1hvMbRKV5B</t>
  </si>
  <si>
    <t>Aprenda Passo a Passo como Investir p/ Conquistar sua Liberdade Financeira: https://t.co/AxO1p6RT24 
#investir #bolsadevalores #investimento #estrategiadeinvestimentos #comoinvestir #financas #educacaofinanceira #inteligenciafinanceira #investirmelhor https://t.co/eso2R2Udpb</t>
  </si>
  <si>
    <t>Aprenda Passo a Passo como Investir p/ Conquistar sua Liberdade Financeira: https://t.co/AxO1p6RT24 
#dividendkings #dividendos #ações #rendavariavel #investimentos #bolsadevalores #investir #ganhardinheiro #finanças #educacaofinanceira #viverderenda #mentemilionaria https://t.co/FcNFCDP3bv</t>
  </si>
  <si>
    <t>🔥PROMOÇÃO: Descubra como desbloquear sua Liberdade Financeira de uma vez por todas:
https://t.co/Bi0RwAaIzQ
#dividendos #proventos #lucro #bonificação #investir #bolsadevalores #investimentos #comoinvestir #finanças #ações #educaçãofinanceira https://t.co/tgfUOynwB8</t>
  </si>
  <si>
    <t>🔥PROMOÇÃO: Descubra como desbloquear sua Liberdade Financeira de uma vez por todas:
https://t.co/Bi0RwAaIzQ
#reflexao #sucesso #motivação #finanças #financas #riqueza #finançaspessoais #mentalidadedesucesso #empreendedorismo https://t.co/FhVOtufwr8</t>
  </si>
  <si>
    <t>🔥PROMOÇÃO: Descubra como desbloquear sua Liberdade Financeira de uma vez por todas:
https://t.co/Bi0RwAbgpo
#meta #objetivo #coachingfinanceiro #investimentos #dinheiro #finanças #planejamentofinanceiro #finançaspessoais #educaçãofinanceira #WilliamHuntBrasil https://t.co/Q7Md3TIk2p</t>
  </si>
  <si>
    <t>Descubra como desbloquear sua Liberdade Financeira de uma vez por todas:
https://t.co/i8OqlzIrwZ
#investimentos #dinheiro #finançaspessoais #educacaofinanceira #poupar #investir #economizar #comoinvestir #finanças #inteligenciafinanceira #ganhardinheiro #sucessofinanceiro https://t.co/Q1VMmjGBYN</t>
  </si>
  <si>
    <t>Descubra como desbloquear sua Liberdade Financeira de uma vez por todas:
https://t.co/i8OqlzIrwZ
#economizar #planejamentofinanceiro #finançaspessoais #dicasfinanceiras #educaçãofinanceira #financas #reservadeemergencia https://t.co/74O6SAe4nl</t>
  </si>
  <si>
    <t>Descubra como desbloquear sua Liberdade Financeira de uma vez por todas:
https://t.co/i8OqlzIrwZ
#finanças #economizar #dinheiro #finançaspessoais #planejamentofinanceiro #educacaofinanceira https://t.co/TBCim3axNP</t>
  </si>
  <si>
    <t>Descubra como desbloquear sua Liberdade Financeira de uma vez por todas:
https://t.co/i8OqlzIZmx
#hábitos #habitos #comportamento #rotina #mudança #dicadeleitura #livros #dicas #leitura #fiqueemcasa #ficaemcasa #quarentena #WilliamHuntBrasil #financaspessoais https://t.co/LASLxYe9wA</t>
  </si>
  <si>
    <t>💰 Descubra como desbloquear sua Liberdade Financeira de uma vez por todas: https://t.co/oLSZrd3qK1
#mentemilionaria #dicadeleitura #educaçãofinanceira #finanças #inteligenciafinanceira #sucessofinanceiro #prosperidadefinanceira https://t.co/OgjhsJRcpN</t>
  </si>
  <si>
    <t>Dicas para evitar estresse com dinheiro!
#educaçãofinanceira #planejamentofinanceiro #economizar #poupar #financas #dicasfinanceiras #controlefinanceiro #finançaspessoais #inteligenciafinanceira #poupança #organizacaofinanceira https://t.co/g6rIVNyqWY</t>
  </si>
  <si>
    <t>RT @mat_financeira: Quando compreendemos o poder do uso consciente do dinheiro - como ganhá-lo, economizá-lo e investi-lo com sabedoria - e…</t>
  </si>
  <si>
    <t>Com as nossas proteções de rendimento, podes concentrar-te em viver a tua vida sem te preocupares com a segurança financeira. 
🤜https://t.co/fOsE1ceciE
📞253120878 / 962521250
📩apoiocliente@segon.pt 
#ProtecaoFinanceira #ProtecaoFamiliar #FinancasPessoais #ProtecaoRendimento https://t.co/xIC6JJzcEr</t>
  </si>
  <si>
    <t>3️⃣ BENEFÍCIOS DO SEGURO DE VIDA
✅ A tua Família.
✅ O teu negócio
✅ As tuas responsabilidades
Fala connosco para entenderes como podes obter um seguro de vida para ti, para a tua família ou para o teu negócio hoje! 😉
#FinancasPessoais #ProtecaoRendimento #SegurodeVida https://t.co/sDfr8P2nRF</t>
  </si>
  <si>
    <t>⚠️Estás a cometer um grande erro se estás em busca da LIBERDADE FINANCEIRA e não tens um Seguro de Vida‼️
#PlaneamentoFinanceiro #ProtecaoFinanceira #ProtecaoFamiliar #FinancasPessoais #ProtecaoRendimento #SegurodeVida https://t.co/wQ8fNJgq2j</t>
  </si>
  <si>
    <t>Aqui estão alguns erros comuns no planeamento financeiro que muitos Millennials cometem.
Se você se revê em alguns desses erros, não é tarde para corrigir. Comece hoje a garantir um futuro melhor. Quanto mais cedo começar, melhores resultados obterá.
#FinancasPessoais https://t.co/4mVtVBEvgn</t>
  </si>
  <si>
    <t>Existem 3 fatores que determinam o custo do seguro de vida. A boa notícia é que custa menos do que você imagina. 
#PlaneamentoFinanceiro #ProtecaoFinanceira #ProtecaoFamiliar #FinancasPessoais #ProtecaoRendimento #SegurodeVida https://t.co/xVcHb7zpAq</t>
  </si>
  <si>
    <t>A REFORMA não é um número ou idade mas sim um ESTILO DE VIDA
Fala connosco para saberes mais porque a reforma antecipada pode ser possível se a planeares bem e cedo.
#PlaneamentoFinanceiro #ProtecaoFinanceira #ProtecaoFamiliar #FinancasPessoais #Reforma #PoupançaReforma https://t.co/vsRqS3O68w</t>
  </si>
  <si>
    <t>Protege o teu rendimento em caso de doença ou acidente com um seguro de incapacidade temporária. Não deixes a tua saúde financeira em risco! Acede agora https://t.co/ZTDJDYeYbE e contrata já o teu seguro. #SeguroDeRenda #DoençaIncapacitante #ProteçãoFinanceira #finançaspessoais https://t.co/Zvb3k6lMVi</t>
  </si>
  <si>
    <t>‼Se és empresário e tens uma empresa, sabe como podes tirar proveito do seguro de vida como instrumento financeiro no teu negócio. 
 #PlaneamentoFinanceiro #ProtecaoFinanceira #ProtecaoFamiliar #FinancasPessoais #ProtecaoRendimento #SegurodeVida #empresas #segurovidaempresa https://t.co/DitXy7n3Sd</t>
  </si>
  <si>
    <t>Se estás no processo de comprar casa🏡 pela primeira vez, sabes que terás de contratar um seguro de vida Crédito Habitação.
💡Fica a conhecer o que é o Seguro de Vida Crédito Habitação https://t.co/xmbSddsexo 
#segurodevida #créditohabitação #financaspessoais https://t.co/TXztSGUoaz</t>
  </si>
  <si>
    <t>Protege-te e vive sem preocupações com os nossos seguros de vida 🛡️💚 Imagina a tranquilidade de saberes que a tua família estará segura financeiramente, mesmo se algo acontecer contigo. Entra em contacto agora e sabe mais! 📲 #segurodevida  #ProtecaoFamiliar #FinancasPessoais https://t.co/XHOQBno6D1</t>
  </si>
  <si>
    <t>A sua família vai aumentar? Fala connosco para analisarmos a melhor solução para ti e para a tua família.
📞931445517/253120878
📩apoiocliente@segon.pt
#PlaneamentoFinanceiro #ProtecaoFinanceira #ProtecaoFamiliar #FinancasPessoais #ProtecaoRendimento #SegurodeVida https://t.co/yZR0kKTQRP</t>
  </si>
  <si>
    <t>A vida é cheia de eventos e imprevistos. Se quando precisares não tiveres um seguro de vida, muito dificilmente terás outra oportunidade para garantires outro.
#PlaneamentoFinanceiro #ProtecaoFinanceira #ProtecaoFamiliar #FinancasPessoais #ProtecaoRendimento #SegurodeVida https://t.co/A9pg21K41E</t>
  </si>
  <si>
    <t>Educação financeira eles não querem, mas sexual....gastam milhões para ter🤬
@MBLivre #mbl #lula #Educação #Educaçãofinanceira #Educaçãosexual https://t.co/ZgaBsNG38h</t>
  </si>
  <si>
    <t>Dívida dos EUA e Arcabouço fiscal
#daytrade #mercadofinanceiro #bolsadevalores #educacaofinanceira #daytradeaovivo #miniindice #dolar #b3 #bovespa #trader https://t.co/AEN0evNit9</t>
  </si>
  <si>
    <t>Ata do FOMC, Aprovação do texto base do arcabouço e Minério de Ferro devem agitar a sessão
#daytrade #mercadofinanceiro #bolsadevalores #educacaofinanceira #daytradeaovivo #miniindice #dolar #b3 #bovespa #trader https://t.co/o6EyTHSNaB</t>
  </si>
  <si>
    <t>Por fim, o planejamento financeiro pessoal é um processo contínuo de aprendizado e crescimento. À medida que você se envolve com suas finanças, adquire conhecimento e habilidades que são valiosas ao longo da vida. É um investimento em si mesmo! #EducaçãoFinanceira #Crescimento</t>
  </si>
  <si>
    <t>We are delighted to announce @wboutlook Group as our Media Partner for the Islamic Finance and Banking Summit in KSA.
Register now to join us - https://t.co/qolYXTZp7Z
#finance #fintech #banking #educaçãofinanceira #financeiro #refinance #sucessofinanceiro #financegoals https://t.co/ylqZm55lN0</t>
  </si>
  <si>
    <t>A #educação financeira recebida dos pais tem impacto positivo nas atitudes dos #jovens que utilizam cartões de crédito, estimulando a autoconfiança financeira. Saiba mais: https://t.co/fjIeKBBji0
#finanças #educaçãofinanceira #DicadeLeituraFGV #BlogImpacto https://t.co/wVkDavFlZM</t>
  </si>
  <si>
    <t>Diversos estudos mostram que as dificuldades #financeiras aumentam o #estresse, a #ansiedade e, em alguns casos, leva até à #depressão, afetando também o desempenho profissional. Leia: https://t.co/xBsf4rSgfK
#educacaofinanceira #coluna #BlogImpacto #DicadeLeituraFGV https://t.co/EN3dz3DAFV</t>
  </si>
  <si>
    <t>O que dizer de ontem e hoje pois tudo desce, sobe ❤️📚📊📈📉🔥🚀🌎🏆
Estude até entender essa lógica dos fractais 😉
Thank you 🙏#btc #eth #binance #mercadofinanceiro #cryptocurrency #crypto #daytrader #educacaofinanceira #gratidão https://t.co/h5M5CH3l3l</t>
  </si>
  <si>
    <t>Consumidor usando sua renda de forma consciente e munido de informações sobre seus direitos... @odonbezerraadv tá falando disso e muito mais, a partir da #educacaofinanceira e do #cdc. 💰 https://t.co/1EQ6r9O2lo</t>
  </si>
  <si>
    <t>6/6 Em resumo, o planejamento financeiro é uma parte fundamental de uma vida financeira saudável e bem-sucedida. Comece hoje mesmo a estabelecer suas metas financeiras e planejar como alcançá-las.
#financaspessoais #b3 #Investimentos #bolsadevalores</t>
  </si>
  <si>
    <t>Uma das razões pelas quais os ricos ficam mais ricos, os pobres, mais pobres e a classe média luta com as dívidas é que o assunto dinheiro não é ensinado nem em casa nem na escola.
Robert Kiyosaki.
#finanças #educacaofinanceira #dinheirointeligente</t>
  </si>
  <si>
    <t>🎓 Eduque-se: Aprenda o máximo que puder sobre investimentos. Existem muitos recursos gratuitos online que podem ajudá-lo a entender melhor o mundo dos investimentos. #EducaçãoFinanceira</t>
  </si>
  <si>
    <t>O que é #Bitcoin, a criptomoeda que aterroriza os governos mundo afora?
https://t.co/7mJ0XwchI3
#Descentralização #Investimento #Finanças #Blockchain #EducaçãoFinanceira #ComoComprarCriptomoeda #ComoComprarBitcoin #Blockchain #Trade #MoedasVirtuais #Economia #FinançasPessoais https://t.co/Gc23NGl4Lx</t>
  </si>
  <si>
    <t>O que é #geopolitica e como ela afeta os seus #investimentos? Te explico neste video que acaba de ser postado em meu canal do YouTube @ DielisonDemixBR! 
https://t.co/pKrkk5ySJ7
#EducaçãoFinanceira #MercadoFinanceiro #Criptomoedas #Economia #investimento #globalização https://t.co/9O1wDt0WtY</t>
  </si>
  <si>
    <t>O que é #criptomoeda? Entenda de uma vez o que são #criptomoedas!
https://t.co/3iDrfDdCxw
#Finanças #EducaçãoFinanceira #RevoluçãoFinanceira #ComoComprarCriptomoeda #ComoComprarBitcoin #Blockchain #Trading #Trade #DayTrade #MoedasVirtuais #Altcoins #Economia #FinançasPessoais https://t.co/sxvHaoZwg7</t>
  </si>
  <si>
    <t>O #investidor institucional vai pegar o seu dinheiro!
#Investimentos #Criptomoedas #Ações #B3 #BolsaDeValores #Bitcoin #EducaçãoFinanceira #sp500 #crisefinanceira #guerramundial https://t.co/eXueennieX</t>
  </si>
  <si>
    <t>Será que faz sentido investir em Bitcoin nesse momento?
O grande #investidor está fugindo dos #investimentos de alto risco, cuidado.
#Investimentos #Criptomoedas #Ações #B3 #BolsaDeValores #Bitcoin #EducaçãoFinanceira #sp500 #crisefinanceira #guerramundial https://t.co/JHNOthzHWi</t>
  </si>
  <si>
    <t>Quando o #investidor segue a boiada se torna o prato principal das #baleias!
Cuidado com essa alta artificial do mercado!
#Investimentos #Criptomoedas #Ações #B3 #BolsaDeValores #Bitcoin #EducaçãoFinanceira #sp500 #crisefinanceira #guerramundial https://t.co/EMWXuqYciO</t>
  </si>
  <si>
    <t>O grande #investidor está fugindo dos #investimentos de alto risco, cuidado com essa alta artificial do mercado!
#Investimentos #Criptomoedas #Ações #B3 #BolsaDeValores #Bitcoin #EducaçãoFinanceira #sp500 #crisefinanceira #guerramundial https://t.co/Hi7dBFDJUk</t>
  </si>
  <si>
    <t>A alta nos mercados em geral não faz sentido, cuidado pra não seguir a onda e acabar perdendo dinheiro!
#Investimentos #Criptomoedas #Ações #B3 #BolsaDeValores #Bitcoin #EducaçãoFinanceira #sp500 #crisefinanceira #guerramundial https://t.co/xIgWlqEExK</t>
  </si>
  <si>
    <t>O momento é complicado para os mercados, agora é tudo ou nada, cuidado!
#Investimentos #Criptomoedas #Ações #B3 #BolsaDeValores #Bitcoin #EducaçãoFinanceira #sp500 #crisefinanceira #guerramundial https://t.co/KrB2QotxIt</t>
  </si>
  <si>
    <t>A mega correção do S&amp;amp;P 500 pode estar chegando!
#Investimentos #Criptomoedas #Ações #B3 #BolsaDeValores #Bitcoin #EducaçãoFinanceira #sp500 #crisefinanceira #guerramundial https://t.co/30HKmC0B2F</t>
  </si>
  <si>
    <t>Evitar gastos supérfluos e maximizar suas #economias. Além disso, abordaremos técnicas para equilibrar sua #vidafinanceira e alcançar seus #objetivosfinanceiros.
Se você está cansado de se preocupar com #dívidas e quer ter mais controle sobre suas #finançaspessoais, então este +</t>
  </si>
  <si>
    <t>A educação financeira é o processo de aprender a gerenciar as finanças pessoais, incluindo orçamento, poupança, investimento e gestão de dívidas. #educaçãofinanceira #finançaspessoais
Compre Bitcoin na Binance:
https://t.co/LKMgkWrrKN</t>
  </si>
  <si>
    <t>Não há liberdade financeira sem educação financeira. Aprender a gerenciar dinheiro é essencial para alcançar objetivos e viver tranquilo. Comece agora a estudar finanças pessoais e tome as rédeas da sua vida financeira. #educacaofinanceira #investimentos #dinheiro. https://t.co/zQJbvrWMfZ</t>
  </si>
  <si>
    <t>#educaçãofinanceira 
#finanças https://t.co/ChK00V8S0o</t>
  </si>
  <si>
    <t>Nos últimos dias nós participamos do Encontro Pedagógico em Natividade (RJ), onde tivemos a oportunidade de apresentar nosso novo projeto com foco na educação financeira .
#bizucash #Natividade #cashback #educacaofinanceira https://t.co/Su0TR1Q9wU</t>
  </si>
  <si>
    <t>Ontem foi organizar as finanças do mês no @organizze. Não sosseguei até descobrir onde estava um valor de R$ 5,50 de alguma despesa que não foi lançada. Pois sou desses. Nem  5 centavos passa fora do planejado. https://t.co/8gChdFJ5KM</t>
  </si>
  <si>
    <t>O custo estimado mensal individual de vida no Brasil: R$ 5.528
A média salarial individual dos brasileiros: R$1800,00
Não há #Educacaofinanceira que opere milagre!
🤡</t>
  </si>
  <si>
    <t>RT @EInvestidor: 💸Cai quem quer? Golpe do SMS é ardiloso; fique alerta e se proteja.
#golpefinanceiro #educaçãofinanceira
https://t.co/HdeM…</t>
  </si>
  <si>
    <t>RT @EInvestidor: 📊 COLUNA Ana Paula Hornos | Há uma nova tendência viralizando, chamada de “recados sincerões” no ambiente de trabalho. Vej…</t>
  </si>
  <si>
    <t>A INFLAÇÃO É IGUAL AO ALC00LISMO! #mercadofinanceiro #educaçãofinanceira... https://t.co/yhMUS52v8A via @YouTube</t>
  </si>
  <si>
    <t>Você já parou para avaliar o seu desempenho financeiro pessoal? 
Leia mais em: https://t.co/Vhk2K1K8LQ
#análisedesempenhofinanceiro #finançaspessoais #planejamentofinanceiro #dinheiro #investimentos #educacaofinanceira #sabadou #like</t>
  </si>
  <si>
    <t>Você já parou para avaliar o seu desempenho financeiro pessoal? 
Leia mais em: https://t.co/Vhk2K1K8LQ
#análisedesempenhofinanceiro #finançaspessoais #planejamentofinanceiro #dinheiro #investimentos #educacaofinanceira #sabadou #like</t>
  </si>
  <si>
    <t>Renegociação de Dívidas: Mutirão Nacional para Sair do Superendividamento! 
#RenegociaçãoDeDívidas #MutirãoDeNegociação #Superendividamento #RegularizaçãoFinanceira #DívidasEmAtraso #ConsumoConsciente #MinistérioDaJustiça #Senacon #EducaçãoFinanceira 
https://t.co/uLiucGPvR3</t>
  </si>
  <si>
    <t>Confira dicas e alertas do diretor da FENACON sobre como usar o valor de restituição do imposto de renda para quitar dívidas.
Assista na íntegra: https://t.co/gUCxrVLp64 
#fenacon #impostoderenda #negociacao #divida #economia #dinheiro #educacaofinanceira https://t.co/yciCTp10Th</t>
  </si>
  <si>
    <t>@BancodoBrasil lançou uma nova versão de seu aplicativo e uma plataforma de investimentos para seus clientes, que inclui análise e #educaçãofinanceira através do portal #InvesTalk (https://t.co/eJUYN9aeex). https://t.co/axAbPp2OQf https://t.co/L4vV3v2hYR</t>
  </si>
  <si>
    <t>Colégio no Rio de Janeiro desenvolve criptomoeda para incentivar educação financeira
https://t.co/P2IEXRGKBy #educaçãofinanceira #criptomoeda</t>
  </si>
  <si>
    <t>Negociando dívidas em atraso | por: Lídia Luciara Silva Aleixo https://t.co/YVcVOgc0lr #Varginha via @Varginha_online</t>
  </si>
  <si>
    <t>Nesse artigo dou dicas importantes para #negociação de #dívidas. 
Manter as #finançaspessoais em dia também faz bem para #saúde.</t>
  </si>
  <si>
    <t>Na próxima sexta, dia 19 de maio, a nossa conversa será com mesquitenses que querem aprender a administrar as próprias finanças.
Link para inscrição: https://t.co/N1Lm1JibZ8
#prefeiturademesquita #mesquitarj #baixadafluminense #educaçãofinanceira #empreendedorismo #sebrae https://t.co/cwLn3aMWUN</t>
  </si>
  <si>
    <t>Seguro previdência privada é um tipo de investimento de longo prazo que tem como objetivo principal garantir uma renda complementar ao benefício pago pelo INSS no momento da aposentadoria.
 #financaspessoais #seguroauto #maternidade #pouparmais #empreender #motivação #brasil https://t.co/NXl7HgdvyP</t>
  </si>
  <si>
    <t>Melhor saúde financeira!
#finançaspessoais</t>
  </si>
  <si>
    <t>Não critico o @tarcisiogdf, a ideia parece boa, pode funcionar, mas acho que #EducaçãoFinanceira deveria ficar fora da grade curricular. Um assunto que já é visto com uma coisa chata pode ficar mais chato ainda.
Penso que a internet funciona melhor para fazer isso.</t>
  </si>
  <si>
    <t>#FinançasPessoais
2. #Investimentos
3. #EducaçãoFinanceira
4. #DicasFinanceiras
5. #PlanejamentoFinanceiro
6. #Dinheiro
7. #Economia
8. #MercadoFinanceiro
9. #Criptomoedas
10. #Negócios
@realpolkabridge @polkadot @cz_binance https://t.co/V2izjsYINM</t>
  </si>
  <si>
    <t>1. #FinançasPessoais
2. #Investimentos
3. #EducaçãoFinanceira
4. #DicasFinanceiras
5. #PlanejamentoFinanceiro
6. #Dinheiro
7. #Economia
8. #MercadoFinanceiro
9. #Criptomoedas
10. #Negócios https://t.co/stwidY8dNi</t>
  </si>
  <si>
    <t>1. #FinançasPessoais
2. #Investimentos
3. #EducaçãoFinanceira
4. #DicasFinanceiras
5. #PlanejamentoFinanceiro
6. #Dinheiro
7. #Economia
8. #MercadoFinanceiro
9. #Criptomoedas
10. #Negócios https://t.co/tqE3hAkjT7</t>
  </si>
  <si>
    <t>#Bitcoin - O ARTISTA 🤡 
Quanto valerá o Bilhete do Artista Bitcoin em 10 anos ?
Compra já antes que esgote!
.
.
.
.
.
.
.
.
.
.
.
.
#sharkattacks #economyrecession #bitcoinnews #bitcoinportugal #bitcoinbrasil #bitcoinangola #dinheiro #financaspessoais #descentralizaclub https://t.co/hb2gvNgwxl</t>
  </si>
  <si>
    <t>Negociar dívidas pode ser uma tarefa difícil, mas é essencial para evitar a inadimplência. Primeiramente, faça um levantamento de todas as suas dívidas e identifique aquelas que possuem as maiores taxas de juros.
#negociaçãodedívidas #inadimplência #educaçãofinanceira https://t.co/mxCoVJNauR</t>
  </si>
  <si>
    <t>3 coisas que você não deve cortar do seu orçamento 
Moradia
Alimentação
Saúde
#economizeagua #sustentabilidade #dicas #finanças #dinheiro #planejamentofinanceiro #economia #emergência #poupança #FinançasPessoais #Orçamento #controlefinanceiro https://t.co/IbbrWDFixT</t>
  </si>
  <si>
    <t>Conheça 3 hábitos financeiros saudáveis
#finanças #planejamentofinanceiro #sucesso #metasfinanceiras #liberdadefinanceira #planejamentofinanceiro #FinançasPessoais #Orçamento #ControleFinanceiro https://t.co/BC2miUkCly</t>
  </si>
  <si>
    <t>Como começar a investir mesmo ganhando pouco
Clique no link para saber.
#finanças
#finançaspessoais #dinheiro
#rendafixa #investimentos
https://t.co/QEB2R274cy</t>
  </si>
  <si>
    <t>RT @InvestFrugal: Portfólios Modelo Investidor Frugal atualizados com dados a 31 de Agosto de 2023. Bons investimentos     #PortfoliosModel…</t>
  </si>
  <si>
    <t>A mensagem no ZAP já diz tudo!!
#Amazon #educacaofinanceira #planejamentofinanceiro #orcamentofinanceiro #Investimentos https://t.co/ur7vlZ3Sfp</t>
  </si>
  <si>
    <t>"Investir em conhecimento rende sempre os melhores juros" - Benjamin Franklin
#educação #educaçãofinanceira #finanças #finançasbiblicas #financaspessoais #investimentos #investimentosinteligentes https://t.co/FEdyiztbMu</t>
  </si>
  <si>
    <t>Descubra os benefícios de produzir sua própria energia elétrica.
Não perca mais tempo e comece agora mesmo a cuidar do seu dinheiro de forma inteligente! 💥
#financaspessoais #investimentos #imperiosolarbrasil #energiasolar #energiarenovavel #susten… https://t.co/TOfGgNVZ3E https://t.co/LWoDKj7nHd</t>
  </si>
  <si>
    <t>Que o dia seja belo e perfeito como o Sol.
Não perca mais tempo e comece agora mesmo a cuidar do seu dinheiro de forma inteligente! 💥
#financaspessoais #investimentos #imperiosolarbrasil #energiasolar #energiarenovavel #sustentabilidade #economiaen… https://t.co/wnCT1tTHhf https://t.co/MauajAeUNo</t>
  </si>
  <si>
    <t>Contrate sua energia solar ☀️ . Vem para o SOL, a sua Energia Solar mais perto de você!
#financaspessoais #energialimpa #imperiosolarbrasil https://t.co/qOaPyMG1UF https://t.co/KTMmpUUIWq</t>
  </si>
  <si>
    <t>Com a Energia Solar você consegue reduzir seus gastos com energia drasticamente.
Não perca mais tempo e comece agora mesmo a cuidar do seu dinheiro de forma inteligente! 💥
#financaspessoais #investimentos #imperiosolarbrasil #energiasolar #energiar… https://t.co/X3SOQ8FC5R https://t.co/x2bevTyyBR</t>
  </si>
  <si>
    <t>Contrate sua energia solar ☀️ . Vem para o SOL, a sua Energia Solar mais perto de você!
#financaspessoais #energialimpa #imperiosolarbrasil https://t.co/v44Lb7Kv6e https://t.co/6hQORcjQDZ</t>
  </si>
  <si>
    <t>Com a Energia Solar você consegue reduzir seus gastos com energia drasticamente.
Não perca mais tempo e comece agora mesmo a cuidar do seu dinheiro de forma inteligente! 💥
#financaspessoais #investimentos #imperiosolarbrasil #energiasolar #energiar… https://t.co/HYqHm6bIs2 https://t.co/vg4yMxrOKg</t>
  </si>
  <si>
    <t>Com a Energia Solar você consegue reduzir seus gastos com energia drasticamente.
Não perca mais tempo e comece agora mesmo a cuidar do seu dinheiro de forma inteligente! 💥
#financaspessoais #investimentos #imperiosolarbrasil #energiasolar #energiar… https://t.co/axwkPeYdYT https://t.co/0U3DArZPNS</t>
  </si>
  <si>
    <t>Com a Energia Solar você consegue reduzir seus gastos com energia drasticamente.
Não perca mais tempo e comece agora mesmo a cuidar do seu dinheiro de forma inteligente! 💥
#financaspessoais #investimentos #imperiosolarbrasil #energiasolar #energiar… https://t.co/Hsmysas826 https://t.co/32T3wsDYoE</t>
  </si>
  <si>
    <t>Descubra como economizar dinheiro e cuidar das suas finanças pessoais, nos siga e acesse a Bio.
Não perca mais tempo e comece agora mesmo a cuidar do seu dinheiro de forma inteligente!
#financaspessoais #investimentos #imperiosolarbrasil #energiasolar … https://t.co/5kpQXaZ2Hz https://t.co/YnvGplSHT0</t>
  </si>
  <si>
    <t>Descubra como economizar dinheiro e cuidar das suas finanças pessoais, nos siga e acesse a Bio.
Não perca mais tempo e comece agora mesmo a cuidar do seu dinheiro de forma inteligente!
#financaspessoais #investimentos #imperiosolarbrasil #energiasolar … https://t.co/3gud1HdO9X https://t.co/ODLTGQUi3N</t>
  </si>
  <si>
    <t>Descubra como economizar dinheiro e cuidar das suas finanças pessoais, nos siga e acesse a Bio.
Não perca mais tempo e comece agora mesmo a cuidar do seu dinheiro de forma inteligente!
#financaspessoais #investimentos #imperiosolarbrasil #energiasolar … https://t.co/KKDtjsB6Xi https://t.co/YuGJbEC7Ee</t>
  </si>
  <si>
    <t>Descubra como economizar dinheiro e cuidar das suas finanças pessoais, nos siga e acesse a Bio.
Não perca mais tempo e comece agora mesmo a cuidar do seu dinheiro de forma inteligente!
#financaspessoais #investimentos #imperiosolarbrasil #energiasolar … https://t.co/XqDyvVTb4H https://t.co/TA47UO1HTs</t>
  </si>
  <si>
    <t>Descubra como economizar dinheiro e cuidar das suas finanças pessoais, nos siga e acesse a Bio.
Não perca mais tempo e comece agora mesmo a cuidar do seu dinheiro de forma inteligente!
#financaspessoais #investimentos #imperiosolarbrasil #energiasolar … https://t.co/m1UW5G7sZE https://t.co/1bYbzja06d</t>
  </si>
  <si>
    <t>Contrate sua energia solar ☀️ . Vem para o SOL, a sua Energia Solar mais perto de você!
#financaspessoais #energialimpa #imperiosolarbrasil https://t.co/DkZPU7TK42 https://t.co/xPDjAs4xL3</t>
  </si>
  <si>
    <t>Contrate sua energia solar ☀️ . Vem para o SOL, a sua Energia Solar mais perto de você!
#financaspessoais #energialimpa #imperiosolarbrasil https://t.co/3mvSVh6xtd https://t.co/pk5I4yIALR</t>
  </si>
  <si>
    <t>Contrate sua energia solar ☀️ . Vem para o SOL, a sua Energia Solar mais perto de você!
#financaspessoais #energialimpa #imperiosolarbrasil https://t.co/UDnFFl5TBE https://t.co/anOFtrTPVE</t>
  </si>
  <si>
    <t>Descubra como economizar dinheiro e cuidar das suas finanças pessoais, nos siga e acesse a Bio.
Não perca mais tempo e comece agora mesmo a cuidar do seu dinheiro de forma inteligente!
#financaspessoais #investimentos #imperiosolarbrasil #energiasolar … https://t.co/lsXJ8raKQj https://t.co/cVVG3sB9nf</t>
  </si>
  <si>
    <t>Descubra como economizar dinheiro e cuidar das suas finanças pessoais, nos siga e acesse a Bio.
Não perca mais tempo e comece agora mesmo a cuidar do seu dinheiro de forma inteligente!
#financaspessoais #investimentos #imperiosolarbrasil #energiasolar … https://t.co/ttRZU6Y3Vo https://t.co/v0FNaMc3CT</t>
  </si>
  <si>
    <t>Contrate sua energia solar ☀️ . Vem para o SOL, a sua Energia Solar mais perto de você!
#financaspessoais #energialimpa #imperiosolarbrasil https://t.co/QL7MSsXgd9 https://t.co/D2JHscXrHT</t>
  </si>
  <si>
    <t>Contrate sua energia solar ☀️ . Vem para o SOL, a sua Energia Solar mais perto de você!
#financaspessoais #energialimpa #imperiosolarbrasil https://t.co/AawU03kaVN https://t.co/sT2nwN4DlV</t>
  </si>
  <si>
    <t>Contrate sua energia solar. Vem para o SOL, a sua Energia Solar mais perto de você!
#financaspessoais #energialimpa #imperiosolarbrasil https://t.co/bRL4Yl3dty https://t.co/Fu9QqpSoHb</t>
  </si>
  <si>
    <t>Com a Energia Solar você consegue reduzir seus gastos com energia drasticamente.
Não perca mais tempo e comece agora mesmo a cuidar do seu dinheiro de forma inteligente! 💥
#financaspessoais #investimentos #imperiosolarbrasil #energiasolar #energiar… https://t.co/dO2yRPUTtG https://t.co/KqZtnVfYz9</t>
  </si>
  <si>
    <t>Descubra como economizar dinheiro e cuidar das suas finanças pessoais, nos siga e acesse a Bio.
Não perca mais tempo e comece agora mesmo a cuidar do seu dinheiro de forma inteligente!
#financaspessoais #investimentos #imperiosolarbrasil #energiasolar … https://t.co/PeeKj21TJs https://t.co/c1QaTmE8nc</t>
  </si>
  <si>
    <t>Descubra como economizar dinheiro e cuidar das suas finanças pessoais, nos siga e acesse a Bio.
Não perca mais tempo e comece agora mesmo a cuidar do seu dinheiro de forma inteligente!
#financaspessoais #investimentos #imperiosolarbrasil #energiasolar … https://t.co/mfoi7JcAHU https://t.co/w01vKTH6Xw</t>
  </si>
  <si>
    <t>Descubra como economizar dinheiro e cuidar das suas finanças pessoais, nos siga e acesse a Bio.
Não perca mais tempo e comece agora mesmo a cuidar do seu dinheiro de forma inteligente!
#financaspessoais #investimentos #imperiosolarbrasil #energiasolar … https://t.co/lZ7UmRIFPN https://t.co/owduGPEixW</t>
  </si>
  <si>
    <t>Descubra como economizar dinheiro e cuidar das suas finanças pessoais, nos siga e acesse a Bio.
Não perca mais tempo e comece agora mesmo a cuidar do seu dinheiro de forma inteligente!
#financaspessoais #investimentos #imperiosolarbrasil #energiasolar … https://t.co/NklV0BHdhR https://t.co/dL2tR7O6QL</t>
  </si>
  <si>
    <t>🌍 Estabelecer objetivos claros
🌍 Automatizar seus investimentos
🌍 Diversificar sua carteira
🌍 Utilizar fundos de investimento
#InvestimentosInteligentes #DiversificaçãoFinanceira #EducaçãoFinanceira #InvestirComSabedoria #ConsultoriaFinanceira #LuxCapial https://t.co/2jcOorc106</t>
  </si>
  <si>
    <t>“Estou duro. Mal consigo pagar as contas do mês. #EducaçãoFinanceira não é pra mim… Ou é?😕”
👨‍🏫O Monge responde! Quais as vantagens de aprender sobre dinheiro pra quem está sem grana?  Siga o fio… 🧵 https://t.co/roJk2SQQMG</t>
  </si>
  <si>
    <t>Primeiros passos para alcançar a independência financeira
👉https://t.co/1Q2ZFjTRUZ #dicasdefinanças #dicasfinanceiras #finanças #finançaspessoais #independênciafinanceira #investir #economizar #poupar #dinheiro https://t.co/dIrZs5m5aM</t>
  </si>
  <si>
    <t>Confira algumas dicas de finanças pessoais que vão ajudar nômades digitais a sustentarem suas incríveis viagens pelo mundo.👉https://t.co/TBqDjtJaES #dicasfinanceiras #finanças #finançasparanômadesdigitais #nômadedigital #finançaspessoais https://t.co/mQTMe9JD1L</t>
  </si>
  <si>
    <t>Não deixe suas finanças pessoais atrapalharem sua vida. Confira 17 maneiras rápidas e fáceis de poupar dinheiro que você pode aplicar hoje!👇https://t.co/AQIUQAxw91 #dicasfinanceiras #economizardinheiro finanças #finançaspessoais #poupardinheiro #economizardinheiro #dinheiro https://t.co/1hGf7uorXq</t>
  </si>
  <si>
    <t>Por que não investir em IPOs? 🚫
Em resumo são muitos os riscos atrelados: como a incerteza sobre o desempenho futuro da empresa, a manipulação de preços, a falta de informações detalhadas e o planejamento que pode não se concretizar...
https://t.co/xQoJXe1T9e
#finançaspessoais https://t.co/5W5vcqgDsd</t>
  </si>
  <si>
    <t>Como planejar suas #finançaspessoais? 
👉 https://t.co/q1BKiQQGiR
#planejamentofinanceiro
#investimentos
#rendafixa
#orçamentodoméstico
#updateyourfinances
#updateconsultoria</t>
  </si>
  <si>
    <t>Oba!!! Vamos ter palestra na @acefsassociacao Será muito interessante entender e aprender a utilizar seu dinheiro de forma que além de pagar suas contas em dia, conseguir guardar um dinheiro para situações de emergência você possa também realizar sonhos. 
#educaçãofinanceira https://t.co/VkHs3D7ce9</t>
  </si>
  <si>
    <t>Hoje é o dia do consumidor não se deixe atrair pela primeira oferta. Faça pesquisa de preços e busque o melhor custo benefício. 
Há! So compre algo se realmente você estiver precisando. 
#diadoconsumidor 
#educaçãofinanceira 
#AngelaMaraCarvalhoEducadoraFinanceira https://t.co/8ABylUWSqV</t>
  </si>
  <si>
    <t>Você só faz bem ao economizar água!
Bem para o planeta.
Bem para a humanidade. 
Bem para sua consciência.
Bem para o seu bolso. 
#diadaagua #economize 
#educaçãofinanceira 
#educacaoambiental 
#AngelaMaraCarvalhoEducadoraFinanceira https://t.co/e6VJ6BojnK</t>
  </si>
  <si>
    <t>É HOJE !!!
Vamos falar sobre prosperidade?
Vamos falar sobre prosperidade?  
18/05 às 18:00h estarei participando desse belíssimo evento como convidada especial.
#seunutricionista 
#AngelaMaraCarvalhoEducadoraFinanceira
#palestra
#emagreser
#educacaofinanceira https://t.co/CpOSeQZniw</t>
  </si>
  <si>
    <t>Excelente, tomara que aconteça !#Apoio #EducacaoFinanceira #NasEscolas</t>
  </si>
  <si>
    <t>#EducaçãoFinanceira, #GestãoDePessoas, #RH, #FinançasPessoais, #Endividamento, #SaúdeFinanceira, #BenefíciosCorporativos, #BemEstarFinanceiro, #InvestimentoEmPessoas, #EstratégiaCorporativa, #CulturaOrganizacional, #EmpresasConscie…https://t.co/dATNRcIKVr https://t.co/otid9qfS6g</t>
  </si>
  <si>
    <t>O dinheiro em nossas vidas.
https://t.co/zm7lwKUuIi
#dinheiro #investimentos #finançaspessoais #frasesinspiradoras</t>
  </si>
  <si>
    <t>#GerenciamentoFinanceiro #ConcursosPúblicos #PlanejamentoFinanceiro #FinançasPessoais #Estudos #Disciplina</t>
  </si>
  <si>
    <t>“Não existe almoço grátis”. Você concorda com essa alusão? #capital #rentabilidade #educaçãofinanceira #dinheiro
Opinião por: Marina Teixeira https://t.co/Nc9ylvKXs4</t>
  </si>
  <si>
    <t>“Eu não sei quem eu sou se eu não tiver dívidas”. Você já tinha visto algo parecido? #educaçãofinanceira #renda #dívidas
Opinião por: Márcio Loréga https://t.co/KrywuFKW3z</t>
  </si>
  <si>
    <t>Na sua opinião, o suitability é um problema? 
#perfil #conhecimento #educaçãofinanceira
Opinião por Carol Rosa https://t.co/9BkPSzJA2s</t>
  </si>
  <si>
    <t>Na sua opinião, o suitability é um problema? #perfil #conhecimento #educaçãofinanceira
Opinião por: Carol rosa https://t.co/iljk510XL6</t>
  </si>
  <si>
    <t>#dicas de #educaçãofinanceira  #finançaspessoais  #shortvideo https://t.co/U2QQuy2Dcz via @YouTube</t>
  </si>
  <si>
    <t>Você sabia que isso pode ACABAR
           com seu Casamento ❌ 
#casamento #separacao #divorcio #financas #financaspessoais https://t.co/7Xd6RgqpP1</t>
  </si>
  <si>
    <t>📌BUSINESS: Como criar negócios adaptáveis e resilientes?💰
#educacaofinanceira #finanças #economia #dinheiro #empreendedorismo #investimento #planejamento #bomdia.
https://t.co/SLDiovtY7s</t>
  </si>
  <si>
    <t>📌BUSINESS: Empreender é uma das melhores formas para romper esse ciclo vicioso!💰
#educacaofinanceira #finanças #economia #dinheiro #empreendedorismo #investimento #planejamento #bomdia.
#business 
#financa https://t.co/amb6zY6PNY</t>
  </si>
  <si>
    <t>Kritikê Podcast recebe Thiago Godoy, Head de Educação Financeira na XP Inc e Izabella Camargo, jornalista e especialista em produtividade sustentável para falar sobre "Dinheiro: cura ou doença".
#financeiro #educacaofinanceira #dinheiro #carreira #produtividadesustentavel https://t.co/GqHLOvU8sv</t>
  </si>
  <si>
    <t>Squeezey - Visão 🎧🙏🔥
#Squeezey #visão #Educaçãofinanceira #cash #juízo #ViralVideos #fypシ #music #art #artist #trap #song #iam #free #typebeat #drilling https://t.co/6jvckWC1IP</t>
  </si>
  <si>
    <t>Anota na agenda: nessa 5a (12/01), a partir das 19h, Live de Lançamento da @garotacrypto na #CryptoHero ao vivo no nosso TikTok! #criptomoedas #investimentos #educaçãofinanceira https://t.co/PqruhQ2ZL6</t>
  </si>
  <si>
    <t>#payroll EUA criaram menos vagas de emprego do que o esperado, exatamente o que o Fed queria ver! #investimentos #educaçãofinanceira #finanças https://t.co/5uDOv3o0ax</t>
  </si>
  <si>
    <t>Mais uma #live de lançamento imperdível na Crypto Hero 👉 o Hero da vez é o legendário Victor Lorenção 👏 #criptomoedas #educaçãofinanceira https://t.co/SVG2uZiUbt</t>
  </si>
  <si>
    <t>💣🍩 #NotíciaBomba 👉 CPI no EUA subiu 0,2% em julho, dentro do esperado, com a #inflação ficando em 3,2% no acumulado de 12 meses, abaixo do esperado. Estamos observando os indicadores que o Fed queria ver para começar a pensar em um pivô 🙌. #educaçãofinanceira #investimentos https://t.co/h1kaFs7qhT</t>
  </si>
  <si>
    <t>Acontecimento à vista! #criptomoedas #BTC #IA #educaçãofinanceira https://t.co/QsapAu7eoF</t>
  </si>
  <si>
    <t>Semana importante para análise dos nossos investimentos.
Ações, FII, Fiagro e LCI.
Como falo sempre: invista R$ 50, R$ 100 ou R$ 500
O importante é começa a investir. No futuro ter começado mais cedo, fará toda a diferença em sua vida!
#educaçãofinanceira #Investimentos #Ações https://t.co/7qiu0yOPv5</t>
  </si>
  <si>
    <t>Uma das mais (se não A mais) formas de diminuir a pobreza é através da #educacaofinanceira https://t.co/LSoORFg4HO</t>
  </si>
  <si>
    <t>Saiba se é possível e quais são as alternativas: _x000D__x000D_ #PIX #CartaodeCredito #EducacaoFinanceira_x000D__x000D_https://t.co/CM7mSmj2m2</t>
  </si>
  <si>
    <t>O desenvolvimento de uma criança é o resultado que ela se aprende na escola e principalmente no ambiente familiar: _x000D__x000D_ #educacaofinanceira #criancas #dinheiro #mesada #planejamentofinanceiro #empatia #poupanca_x000D__x000D_https://t.co/XNkAgju6xG</t>
  </si>
  <si>
    <t>O processo de quitação de dívidas não é tão fácil mas é possível. Algumas atitudes te ajudam a passar por essa dificuldade temporária e a viver uma vida sem dividas no futuro.
.
.
.
.
#finanças #educaçãofinanceira #savings #economia #financaspessoais #financasdescomplicadas https://t.co/9DQU6Zgkqu</t>
  </si>
  <si>
    <t>Um orçamento elaborado te da tranquilidade e liberdade para focar em outros ramos de sua vida.
Saiba mais no site: https://t.co/R2JOHQgHAO
.
.
.
#economia #finanças #educacaofinanceira #xpinvestimentos https://t.co/AzCuLhMr60</t>
  </si>
  <si>
    <t>Viver uma vida minimalista significa dar valor àquilo que te traz um benefício real, evitando o consumo desenfreado e inconsciente. 
Saiba mais no site: https://t.co/R2JOHQgHAO
.
.
.
#economia #finanças #educacaofinanceira #xpinvestimentos https://t.co/X3cZ1ygJnP</t>
  </si>
  <si>
    <t>"Os #seguros são todos iguais e não servem para nada". Será mesmo assim?
No 2º episódio do #PoderDosSeguros abordo esta velha questão. #podcast #financas #financaspessoais #portugal #ajudafinanceira #banca 
https://t.co/jTg81sCKta</t>
  </si>
  <si>
    <t>O que é o prémio do seguro? #seguros #seguroautomovel #segurovida #segurocasa #financas #financaspessoais #PoderDosSeguros</t>
  </si>
  <si>
    <t>Tens seguro casa ligado ao crédito habitação e ainda pagas o seguro do condomínio? NÃO PRECISAS! Vê como podes poupar bastante dinheiro ao final do ano.
#poupança #financas #poupar #dinheiro #financaspessoais #dicaspessoais #seguros #poderdosseguros 
https://t.co/mTf9Xva9q9</t>
  </si>
  <si>
    <t>Dicas de #poupanca para por exemplo #viajar . #financas #financaspessoais #viagens #dicas #viajar #Seguros 
https://t.co/pLHx1Tdgnt</t>
  </si>
  <si>
    <t>Como costumas poupar para um viagem? #poupar #dinheiro #viagem #viajar #seguros #financaspessoais</t>
  </si>
  <si>
    <t>📲💸Concorda? Discorda? Oque você pensa sobre isso? #pobre #iphone #educacaofinanceira #dinheiro https://t.co/imi1osH2wn</t>
  </si>
  <si>
    <t>👩‍🏫😭"Golpe cruel: professora perde R$255 mil em instante! Descubra como tudo aconteceu e proteja-se!"
#AlertaGolpe #FraudeFinanceira #ProteçãoFinanceira #SegurançaOnline #EducaçãoFinanceira #PrevençãoDeGolpes
#nomesujo #nomelimpo 
#dividas #serasa #CuidadoComGolpes #FiqueAtento https://t.co/amyiQ2xUUa</t>
  </si>
  <si>
    <t>💳 Valeu a pena amigos e amigas? #dividas #carnaval #fatura #educacaofinanceira https://t.co/EaalDsAfRj</t>
  </si>
  <si>
    <t>São várias as deduções que pode fazer, entre elas as despesas com imóveis, para diminuir o imposto a pagar ou aumentar o reembolso no IRS, se houver lugar a receber. Veja quais.
#dinheirovivopt #IRS #finançaspessoais 
https://t.co/bn0VGPcdXM</t>
  </si>
  <si>
    <t>Essas são algumas das carteiras mensais recomendadas na plataforma SonarTrade.
É sério que você ainda não usa a nossa plataforma? #ficadica
#SonarTrade #carteirasrecomendadas #carteirasmensais #investimento #investing #finançaspessoais #finanças #ibov #gain #mercadofinanceiro https://t.co/VeWeQkM39e</t>
  </si>
  <si>
    <t>Esses foram os melhores trades da semana aqui na plataforma SonarTrade. Você já usa o App? Talvez seja exatamente o que está faltando para alavancar os seus investimentos.
#SonarTrade #Investimentos #FinançasPessoais #EducaçãoFinanceira #Diversificação #MercadoFinanceiro https://t.co/uJttH82Lic</t>
  </si>
  <si>
    <t>Por aqui fechamos a semana com ótimos resultados. E você?
Já usa o SonarTrade?
#SonarTrade #Investimentos #FinançasPessoais #EducaçãoFinanceira #Diversificação #MercadoFinanceiro #SucessoFinanceiro #trading #trader #swingtrade #fintwit https://t.co/vrhNWuiCgP</t>
  </si>
  <si>
    <t>Esses são os melhores trades da semana. Seguiu algum desses? Comenta aqui.
#SonarTrade #Investimentos #FinançasPessoais #EducaçãoFinanceira   #Diversificação #MercadoFinanceiro #SucessoFinanceiro #trading #trader #swingtrade https://t.co/pIHzjuoOlL</t>
  </si>
  <si>
    <t>Já usa o SonarTrade?
#SonarTrade #Investimentos #FinançasPessoais #EducaçãoFinanceira #Diversificação #MercadoFinanceiro #SucessoFinanceiro #trading #trader #swingtrade
6 d https://t.co/3srNRV208N</t>
  </si>
  <si>
    <t>Esses são os melhores trades da semana. Seguiu algum desses? Comenta aqui.⁠
⁠
#SonarTrade #Investimentos #FinançasPessoais #EducaçãoFinanceira #Diversificação #MercadoFinanceiro #SucessoFinanceiro #trading #trader #swingtrade https://t.co/iEYF5kboBW</t>
  </si>
  <si>
    <t>6/ 📚 O crescente foco em investimentos ESG também afeta o aspecto educacional. Corretoras e instituições financeiras estão começando a incorporar princípios ESG em seus recursos educacionais, ajudando investidores a tomar decisões mais informadas. #EducaçãoFinanceira</t>
  </si>
  <si>
    <t>Bom dia! Pelo Focus, só mudou o PIB, cuja previsão subiu para 2,24%, isto é, a renda da economia ficará 2,24% maior em 2023 do que em 2022.
E você? Sabe o que fazer nesse cenário?
#focus
#relatóriofocus
#bc
#pib
#selic
#câmbio
#dólar
#comoinvestir
#betoveiga
#finançaspessoais</t>
  </si>
  <si>
    <t>#NetworkingFinanceiro #Investimentos #FinançasPessoais #ConexõesValiosas #MentoriaFinanceira #GruposDeInvestimento #RedeDeContatos #DecisõesInformadas #CompartilharConhecimento #PesquisasFinanceiras</t>
  </si>
  <si>
    <t>É importante estudar e analisar bem antes de investir. #ações #fundosimobiliários #investimentos #educaçãofinanceira
#economia
#econovisão</t>
  </si>
  <si>
    <t>#Investimentos #FinançasPessoais #DicasDeInvestimentos #SucessoFinanceiro #RendaPassiva #IndependênciaFinanceira</t>
  </si>
  <si>
    <t>📚 1ª Dica: Estude! Conhecimento é poder. Aprenda sobre análise técnica, fundamentalista e psicologia do mercado. Participe de cursos, leia livros e siga traders experientes. Quanto mais você souber, melhores serão suas decisões! 🧠💪 #EducaçãoFinanceira</t>
  </si>
  <si>
    <t>https://t.co/CI7GdrbEkP  
🚨 Riscos do Mercado Forex: Conheça os principais desafios e armadilhas que você precisa estar ciente antes de mergulhar no emocionante mundo do investimento em moedas estrangeiras. 📉💱🔍 #ForexRisks #InvestimentoConsciente #EducaçãoFinanceira #Forex…</t>
  </si>
  <si>
    <t>Quer saber como lucrar na B3 assim que o pregão abrir? Ouça as dicas valiosas de Cláudio Habibe neste podcast.
-&amp;gt; https://t.co/Xe5P4mKGjC
#B3
#BolsaDeValores
#Investimentos
#EducaçãoFinanceira
#DicasDeInvestimento
#Pregão
#MercadoFinanceiro
#DayTrade
#Trader
#AnáliseTécnica https://t.co/crFGDZab2g</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</si>
  <si>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https://t.co/4jNvebuq6O</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</si>
  <si>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https://t.co/rTJQHGZLkT</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</si>
  <si>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https://t.co/opnB7Et1sF</t>
  </si>
  <si>
    <t>Mais um padrão que mostra os ciclos do mercado cripto
Se expor ao tempo é uma das principais regras dos investimentos 
#viverderenda 
#bitcoin
#investimento 
#educaçãofinanceira https://t.co/hxbFioBXB6</t>
  </si>
  <si>
    <t>📊🤔COLUNA Luciana Seabra | Vale a pena ou não? Oito verdades que você precisa saber sobre os COEs, os Certificados de Operações Estruturadas.
#educacaofinanceira #investimentos #coe
@luciana__seabra
https://t.co/42Buj3pkuZ</t>
  </si>
  <si>
    <t>🎙📊ENTREVISTA  | Nathália Arcuri fala sobre demissão de metade de equipe da Me Poupe!, nega crise, fala de novo papel na empresa e crava: "Não somos uma ONG”.
#educacaofinanceira @mepoupenaweb
https://t.co/rZ6aRZdE1U</t>
  </si>
  <si>
    <t>💰🤑Meu primeiro R$ 1 milhão: a história de Fabrizio Gueratto. O empresário nasceu em uma família simples e enriqueceu seguindo dois conceitos.
@1Bilhao_ #educacaofinanceira
https://t.co/wmMC3iqdBY</t>
  </si>
  <si>
    <t>📊COLUNA Fabrizio Gueratto | Três formas de investir na B3 sem pagar Imposto de Renda.
#ir2023 @1Bilhao_ #educacaofinanceira
https://t.co/r7ZWkUCiKU</t>
  </si>
  <si>
    <t>🤔🤑COLUNA Fabrizio Gueratto | O que realmente importa nos investimentos e no cuidado com o dinheiro?
#educacaofinanceira @1Bilhao_
https://t.co/1OB1udXTwV</t>
  </si>
  <si>
    <t>Entenda #parcimonia #educacaofinanceira #criança 
https://t.co/v8A7JsFRUb</t>
  </si>
  <si>
    <t>Até onde vai o consumismo? #educacaofinanceira #crianca #consumo
https://t.co/MSKYBzv1lV</t>
  </si>
  <si>
    <t>As crianças estão on #educacaofinanceira #Crianças #Educacao
https://t.co/LuhgsvOkcO</t>
  </si>
  <si>
    <t>Faça o teste #educaçãofinanceira #teste #dinheiro
https://t.co/VcdQ9EBmA4</t>
  </si>
  <si>
    <t>Se você busca #EducaçãoFinanceira, chegou no lugar certo. Ao ler este #livro, o leitor entenderá de uma forma simples que o mercado #financeiro e os #investimentos em geral estão abertos a todos, e não somente aos ricos.
https://t.co/A6ZRQEWEZW
#EditoraViseu https://t.co/wLCELYSqZu</t>
  </si>
  <si>
    <t>#EducaçãoFinanceira #MercadoFinanceiro #DólarReal #Investimentos #EconomiaDosEUA #BolsaDeValores #Consumo #DadosEconômicos</t>
  </si>
  <si>
    <t>Lembre-se sempre de investir com responsabilidade. Avalie seu perfil de investidor, estabeleça metas claras e esteja preparado para lidar com possíveis oscilações do mercado.
#EducaçãoFinanceira #Investimentos #GestãoDePortfólio #Diversificação</t>
  </si>
  <si>
    <t>📊 #EducaçãoFinanceira: Indicadores Econômicos Simplificados! 📊
Nesta thread, vamos explicar de forma acessível alguns indicadores (divulgados agora a pouco 9h30) econômicos importantes que podem influenciar a economia e o mercado de trabalho. Vamos lá! 👇</t>
  </si>
  <si>
    <t>8/8 🧶 Fique atento aos dados e suas implicações para tomar decisões informadas em seus investimentos. 
💰💡🚀 #EducaçãoFinanceira #MercadoFinanceiro</t>
  </si>
  <si>
    <t>💪💰A educação financeira é poderosa! Ao compreender a economia e como ela afeta a vida das pessoas, você estará mais capacitado para tomar decisões conscientes sobre suas finanças, investimentos e planejamento futuro.
#EducaçãoFinanceira #IndicadoresEconômicos #Economia</t>
  </si>
  <si>
    <t>Magistrados associados, aposentados e servidores participam de palestra, promovida pela AMMA, sobre Educação Financeira em Investimentos. #curso #educaçãofinanceira https://t.co/Gl2xJKxTva</t>
  </si>
  <si>
    <t>Marcelo d'Agosto tira dúvida de ouvinte e explica por que é melhor pagar antecipadamente as parcelas, especialmente no caso em que envolve automóveis. Saiba mais! #FinançasPessoais #NoArNaCBN 
https://t.co/n1LBy8srgJ</t>
  </si>
  <si>
    <t>@Ricamconsult Educação financeira deveria fazer parte da grade educacional brasileira. País que conta é aquele em que seu povo sabe fazer conta. Vamos acordar, brava gente, para o progresso inteligente. 
#educação #educaçãofinanceira
#matemática #progresso #Brasil</t>
  </si>
  <si>
    <t>Problemas financeiros afetam a saúde e a produtividade dos profissionais, exigindo das empresas ações mais consistentes de educação e apoio 
#recursoshumanos #economia #educacaofinanceira #dividas
https://t.co/tLu4WmMdbT</t>
  </si>
  <si>
    <t>Inflação com Tio Patinhas #educaçãofinanceira #educaçãofinanceiraparacri... https://t.co/9KPlhEjJpy via @YouTube</t>
  </si>
  <si>
    <t>Inflação com Tio Patinhas #educaçãofinanceira #educaçãofinanceiraparacri... https://t.co/DAnyY59a7x via @YouTube</t>
  </si>
  <si>
    <t>https://t.co/oZWzLZQerS
#comprarimóvel #alugarimóvel #finançaspessoais #independênciafinanceira #investimentoimobiliário https://t.co/rk6w0WjosT</t>
  </si>
  <si>
    <t>https://t.co/YaSbphXlvX
#ProfitdaNelogica #Trading #AnáliseTécnica #MercadoFinanceiro #CorretoraDeValores #EducaçãoFinanceira #Investimentos #BolsaDeValores #Trader #ComLucro https://t.co/Rky7wzNImL</t>
  </si>
  <si>
    <t>https://t.co/eBNJPDJArx
#PeterLynch #Investimentos #MercadoFinanceiro #FidelityMagellan #EstratégiasdeInvestimento #LongoPrazo #Filantropia #EducaçãoFinanceira #LivrosdeInvestimentos #ComLucro https://t.co/MqEk98sVlp</t>
  </si>
  <si>
    <t>https://t.co/uJyekVZiXA
#Commodities #Investimentos #WarrenBuffett #MercadoFinanceiro #PaciênciaNoInvestimento #VantagensCompetitivas #CiclosDeAlta #ComLucro #EducaçãoFinanceira https://t.co/BNppKyYr2c</t>
  </si>
  <si>
    <t>https://t.co/IhMOZ1iNvy
#VolatilidadeImplícita #BlackScholes #Opções #Precificação #Trader #MercadoFinanceiro #ComLucro #Investimentos #EducaçãoFinanceira #Trading #Petrobras #Itaú https://t.co/g4lZqBYoet</t>
  </si>
  <si>
    <t>https://t.co/MiJyQHhaNV
#Volatilidade #Trading #GARCH #Opções #Risco #Correlação #ComLucro #MercadoFinanceiro #EducaçãoFinanceira #Investimentos https://t.co/ZZhWKWsQta</t>
  </si>
  <si>
    <t>https://t.co/n7DFFaBAIN
#ViésDeConfirmação #Trading #Investimento #EducaçãoFinanceira #MercadoFinanceiro #GerenciamentoDeRisco #PsicologiaDeNegociação https://t.co/EaGlNjDV13</t>
  </si>
  <si>
    <t>https://t.co/rDkrqs1vlq
#InNeck #ComLucro #Trader #Trading #Investimentos #Fintwit #EducaçãoFinanceira #AnáliseGráfica #Mercados #BolsaDeValores https://t.co/rOOgAUs2kz</t>
  </si>
  <si>
    <t>https://t.co/xBFAQ43l1I
#JanelaDeBaixa #Candlestick #AnáliseTécnica #Trading #MercadoFinanceiro #ComLucro #EducaçãoFinanceira #Trader #investimentos #Petrobras #Itaú https://t.co/I60B8VX9Wx</t>
  </si>
  <si>
    <t>https://t.co/XvhsHDGcgS
#GapDeBaixaDeTasuki #AnáliseTécnica #Trading #MercadoFinanceiro #ComLucro #EducaçãoFinanceira #PadrãoCandlestick #Itaú #fintwit #Trader #investimentos https://t.co/ybtsHLw6dJ</t>
  </si>
  <si>
    <t>Basta reduzir a carga tributária das empresas nacionais que elas vão voar seu 'ĵênio'.
#liberdadefinanceira 
#rendavariavel 
#rendapassiva 
#educacaofinanceira 
#investimento
#independênnciafinanceira
#economia
#criptomoedas
#motivação
#atualidades 
#desenvolvimentopessoal https://t.co/X9w0CQO5iz</t>
  </si>
  <si>
    <t>"O medo o empurra para fora da porta e o desejo o atrai. Esta é a armadilha."
"A armadilha criada por essas duas emoções, o medo e o desejo. Usem a seu favor, não contra."
PRPP
Reflita!
#armadilha #pairicopaipobre #medo #desejo #educaçãofinanceira</t>
  </si>
  <si>
    <t>📚💰 Quer começar a investir? Meu novo eBook, 'Investindo: Guia para Iniciantes', é a sua entrada para o mundo dos investimentos!
https://t.co/45QHV5idfw
 Aprenda estratégias vencedoras e tome as rédeas do seu futuro financeiro. 💪🏾💰 #Investimento #Ebook #FinançasPessoais</t>
  </si>
  <si>
    <t>https://t.co/1fLwP7nuUf
Aplicativo de finanças. Gerir seus gastos e salário. Confere aí. #financas #financaspessoais https://t.co/8kzhjCuyMu</t>
  </si>
  <si>
    <t>05, 06 e 19/03/23
Rua Parambu, 82 Pq. Vitória - SP
Sabedoria Financeira - 3 domingos 09h
Min. Família Imw Tucuruvi
#sabedoria #sabedoriafinanceira #sabedoriabíblica #educacaofinanceira #educaçãofinanceira #investimentos #economia #imw #imwtucuruvi #silmarcoelho #eduardomrfilho https://t.co/bdwn3rsYSd</t>
  </si>
  <si>
    <t>Segurança, provisão e prosperidade. 😌
#segurança #prosperidade #provisão #educaçãofinanceira #educacaofinanceira #aprendizadocontínuo #eduardomrfilho https://t.co/YeVDFNXM8g</t>
  </si>
  <si>
    <t>Comece agora! E vá até o fim!
“Terminar algo é melhor que começar; a paciência é melhor que o orgulho.” Eclesiastes 7.8
#siga #emfrente #start #início #recomeço #fim #atitude #fé #educação #educaçaofinanceira #aprendizadocontínuo #sabedoria #sabedoriafinanceira #eduardomrfilho https://t.co/UFpOzIEd6P</t>
  </si>
  <si>
    <t>CONHECE A ÁGORA ACADEMY?
A plataforma de Ed. Financeira com cursos de gestão e investimento em parceria com as melhores escolas de negócio do país
#aposentadoria #investimentos #corretora #ágora #educaçãofinanceira #negócios #conteúdos #cursos #eduardomrfilho https://t.co/FjdMhtoMn0</t>
  </si>
  <si>
    <t>Débito ou Pix? 🤔
Leia a matéria do e-investidor. 
https://t.co/FzRzfAqA3B
#pix #débito #matéria #finanças #educaçãofinanceira #comportamento #eduardomrfilho https://t.co/EREvYEQILe</t>
  </si>
  <si>
    <t>Ágora Academy na Semana ENEF - Público Universitário 🎓
#semanaenef2023 #enef2023 #universitário #educaçãofinanceira #investimentos #futuro https://t.co/GtfmFLlkO3</t>
  </si>
  <si>
    <t>Quer saber como prosperar em Deus?
Leia Josué 1.8-9
#sabedoriafinanceira #sabedoria #educação #educaçãofinanceira #prosperidade #investimentos #fé #aprendizadocontínuo #eduardomrfilho https://t.co/kqnuK71ySu</t>
  </si>
  <si>
    <t>Você já assistiu o programa “Ágora Academy”? 
Corre lá no canal da @agorainvestimentos que tem bastante conteúdo pra você aprender. 
#educacional #educaçãofinanceira #investimentos #ágora #academy #corretora #b3 #eduardomrfilho https://t.co/EDL4DEynWq</t>
  </si>
  <si>
    <t>Sejam bem-vindos ao Ágora Academy 
Comprando ações a prazo por meio do Mercado a Termo. 
#educaçãofinanceira #investimentos #b3 #bolsa #mercado #termo #ágora #academy #eduardomrfilho
https://t.co/jEAw4EJhwD https://t.co/kRI1lGfnLw</t>
  </si>
  <si>
    <t>Cuidando do dinheiro desde cedo – Global Money Week 2023. 
21/03/2023 - 19h Canal da Ágora Investimentos. 
Link:
https://t.co/8WTTuekqAM
#globalmoneyweek #gmw #ágoraacademy #educaçãofinanceira #investimentos #money #ágora #eduardomrfilho https://t.co/RSWvpxbv2x</t>
  </si>
  <si>
    <t>Alugar ou comprar um imóvel?
https://t.co/21MUboR9cj
Comente ou deixe sua pergunta. 
#aluguel #compra #imovel #plano #vida #educação #educaçãofinanceira #investimentos #financas #sabedoria #financeira #ágora #academy #educacional #eduardomrfilho https://t.co/1GEKBXPVKj</t>
  </si>
  <si>
    <t>Ágora Academy - Em quais classes de fundos imobiliários investir em 2023?
Em qual setor ficar de olho? Tire todas as suas dúvidas. 
#fundos #fundosimobiliários #investimentos #mercado #finanças #educação #educaçãofinanceira #eduardomrfilho #ágora #academy #educacional https://t.co/49bcKq1hw3</t>
  </si>
  <si>
    <t>O segundo dia do nosso seminário é hoje!
Participe! 
Rua Parambu, 82 - Pq. Vitória SP.  
Link da primeira aula está aí: 
https://t.co/OnP96K1v5R
#sabedoria #sabedoriafinanceira #sabedoriafinanceirabíblica #educação #educaçãofinanceira #imw #imw3 #eduardomrfilho #silmarcoelho https://t.co/Cenvex5CMG</t>
  </si>
  <si>
    <t>Associe-se a pessoas com a mesma visão! 
#sabedoria #fé #educação #educacaofinanceira #educaçãofinanceira #sabedoriafinanceira https://t.co/IfZPczpioV</t>
  </si>
  <si>
    <t>Saiba mais em https://t.co/W2FzIxYzbs 💸🚀🚀💸💸
#MarketingDigital
#RendaExtra 
#tralhadecasa
#DolarBlue 
#Trafegopago 
#Mercadofinanceiro
#Trabalhoonline
#Educação
#Educaçãofinanceira
#Sucesso
#Empreendorismo https://t.co/zuxfQPa8m8</t>
  </si>
  <si>
    <t>📈 Investimentos 🔍
 #investimentos #bancosafra #safrainvest #azioninvest #educaçãofinanceira #assessoria360 https://t.co/xlnzG4Q9AQ</t>
  </si>
  <si>
    <t>Lembre-se sempre: o sucesso financeiro não acontece da noite para o dia. É construído com paciência, disciplina e decisões inteligentes. 💪💼 #Finanças #educacaofinanceira #financeiro #Financial #planejamentofinanceiro</t>
  </si>
  <si>
    <t>Qual é a diferença entre ativos e passivos? Ativos colocam dinheiro no seu bolso; passivos tiram dinheiro do seu bolso. 💡💸 #EducaçãoFinanceira #AtivosEPassivos"</t>
  </si>
  <si>
    <t>Já assistiu? Conta pra gente nos comentários: ao seu ver, qual a importância da educação financeira para os indivíduos e para as consequências sociais e econômicas futuras?
#economia #educacaofinanceira</t>
  </si>
  <si>
    <t>“Um produto bom se vende sozinho!” 
Isso é um grande mito… É transferir uma responsabilidade que é sua para o seu produto.
#empreendedorismo #vendas #educacaofinanceira</t>
  </si>
  <si>
    <t>PQP.... tem como "desver" isso? https://t.co/rLxhuCNAuJ</t>
  </si>
  <si>
    <t>Não perca mais tempo. Simule já o seu crédito consolidado numa análise gratuita e sem compromissos » https://t.co/nU2ubRwgkQ
#creditoconsolidado #consolidacaodecreditos #juntarcreditos #juncaodecreditos #eloanpt #solucoesfinanceiras #financaspessoais https://t.co/VkrIN80D4Z</t>
  </si>
  <si>
    <t>Conheça os principais critérios que deverá cumprir para aderir ao crédito consolidado » https://t.co/8kupOMr8Zz
#creditoconsolidado #consolidacaodecreditos #juntarcreditos #juncaodecreditos #eloanpt #solucoesfinanceiras #financaspessoais https://t.co/jS5Ft7ncLM</t>
  </si>
  <si>
    <t>Consolide os seus créditos, melhore a gestão das suas finanças e obtenha liquidez extra para realizar novos sonhos ou projetos » https://t.co/SFGYMA1OMq
#creditoconsolidado #consolidacaodecreditos #juntarcreditos #juncaodecreditos #eloanpt #solucoesfinanceiras #financaspessoais https://t.co/OpzZFb7LHr</t>
  </si>
  <si>
    <t>Descubra em que situações o crédito consolidado poderá ser a solução mais benéfica para o ajudar a reorganizar as suas finanças » https://t.co/XReElThL9R
#creditoconsolidado #consolidacaodecreditos #juntarcreditos #juncaodecreditos #eloanpt #solucoesfinanceiras #financaspessoais https://t.co/4uaY15sYwu</t>
  </si>
  <si>
    <t>💰 Faça parte da mudança. Invista na reciclagem e ajude a construir um mundo mais limpo e lucrativo. 
#InvestirParaUmFuturoMelhor #RendaPassiva
#EducaçãoFinanceira #InvestirFuturo https://t.co/EYADRa8KMj</t>
  </si>
  <si>
    <t>Saiba como funciona o investimento sustentável no #GrupoAyonel #Lucroverde! 
#B3 #investimento #reciclagem #empredimento #meioambiente #empresas #oportunidadesfinanceira #investir #financeiro #BTC
#dinheiro #Rendapassiva #mercadofinanceiro #finançaspessoais #investirfuturo https://t.co/aYYwQ8Rnjt</t>
  </si>
  <si>
    <t>💡 Você sabia que a reciclagem cria empregos e estimula a economia local? Invista onde faz a diferença. 
#EmpregoSustentável #MercadoFinanceiro #RendaPassiva #EducaçãoFinanceira #InvestirFuturo https://t.co/OAyBPzZpoj</t>
  </si>
  <si>
    <t>Confira o vídeo de Marcelo Alonso II! #TikTok https://t.co/wyYyJH5kt7.  Essa é para os investidores 
#investimentofinanceiro 
#vendadeimoveis 
#vendadireta 
#caixaeconomicafederal 
#bancodigital 
#finançaspessoais 
#financia</t>
  </si>
  <si>
    <t>Em breve. 
#investimentos #poupança #finançaspessoais #dinheiro #finanças #patrimônio #brasil #EUA #ativos #valor https://t.co/GrRjecIFjW</t>
  </si>
  <si>
    <t>Pode-se levar anos para recuperar uma grande perda em uma carteira.
#investments #gold #Bitcoin #patrimônio #brasil #eua #finançaspessoais https://t.co/RaMzWkKoOB</t>
  </si>
  <si>
    <t>O setor de energia é o setor que tem mais oportunidade no momento, com múltiplos preço/lucro mais baixos que outros setores.
#finanças #finançaspessoais #dinheiro #Investimentos https://t.co/4RfNiEvP2L</t>
  </si>
  <si>
    <t>Na nossa vida quase nada é imediato… Gestação 9 meses, aprender a andar mais de 1 ano, faculdade pelo menos 4 anos
Aí quando se fala em investir, adquirir um bem, aumentar patrimônio… Para ter um prazer imediato aceitam pagar 3x mais do que realmente vale
#educaçãofinanceira</t>
  </si>
  <si>
    <t>A dificuldade de muitos é ter disciplina financeira pra poupar todo mês.
Porém, com o consórcio você se obriga a guardar um valor mensal e ainda acaba tendo o montante antes do tempo, pra usar isso como investimento ou adiantar seu plano de comprar um bem.
#educacaofinanceira</t>
  </si>
  <si>
    <t>Uma história pra você mudar a sua realidade de vida e ser capaz de mudar, a realidade de muito mais pessoas.
https://t.co/vUcYieX6Tt
#educaçãofinanceira #atitude #Governo #gastospessoais #finanças #estabilidadefinanceira #independênciafinanceira https://t.co/nFOYHdZWkh</t>
  </si>
  <si>
    <t>Você sabe como gerenciar o seu dinheiro? Em nosso post vamos te mostrar como se livrar das dívidas e como administrar o seu dinheiro!  
#finanças 
#educaçãofinanceira 
#paraopovo
https://t.co/gLAv3GHe13</t>
  </si>
  <si>
    <t>Descubra como a poupança pode mudar sua vida financeira.
O que você acha de dar os primeiros passos com a gente e, por etapas, melhorar sua saúde financeira?
Siga nossa página e aprenda mais!
➡️ @minteredu 
#finanças #educaçãofinanceira #sucesso #finançaspessoais https://t.co/hH2j0TyIK1</t>
  </si>
  <si>
    <t>"Uma meta sem um plano é só um sonho."
Tem dias que são difíceis e outros que são mais difíceis. Mantenha seus objetivos em mente e as coisas que te fazem feliz.
➡ @minteredu
#explore #explorer #explorar #educaçãofinanceira #finançaspessoais #sonhos #sucesso #felicidade https://t.co/4BUqN8omyr</t>
  </si>
  <si>
    <t>NÃO existe investimento sem risco
É essencial aprender 1º sobre investimentos e riscos para saber se você quer arriscar seu $$$
➡️ @minteredu
#dinheiro #explore #explorer #explorar #finanças #educaçãofinanceira #finançaspessoais #investimento #planejamentofinanceiro #svb #risco https://t.co/J2t344NBWV</t>
  </si>
  <si>
    <t>Dinheiro não compra felicidade, mas a forma como você gasta pode fazer toda a diferença
Você não precisa ganhar uma fortuna para se sentir financeiramente satisfeito. A chave para a felicidade financeira está em como você gasta seu dinheiro
#educaçãofinanceira #finançaspessoais https://t.co/kjbdjMOagF</t>
  </si>
  <si>
    <t>INFLAÇÃO: Você já sabe como esse índice impacta as suas finanças pessoais?
Vem aprender com a gente
➡️ @minteredu 
#dinheiro #financeiro #explore #explorer #explorar #finanças #educaçãofinanceira #finançaspessoais #investimento #planejamentofinanceiro #inflação #ipca #juros https://t.co/eWr3TyLLui</t>
  </si>
  <si>
    <t>Aprenda a planejar suas finanças para alcançar seus objetivos.
Ter metas financeiras claras e alcançáveis é fundamental para uma vida financeira saudável e bem-sucedida.
➡ @minteredu
#educaçãofinanceira #finançaspessoais #investimentos #planejamentofinanceiro #vidafinanceira https://t.co/oIyVAYsM1d</t>
  </si>
  <si>
    <t>5 conhecimentos básicos que fundamentais na Educação Financeira!
Aproveita para ajudar alguém a organizar a vida financeira
➡ @minteredu 
#discovery #explore #explorer #explorar #finanças #educaçãofinanceira #finançaspessoais #investimento #planejamentofinanceiro https://t.co/SawaDaqzeR</t>
  </si>
  <si>
    <t>Vamos juntos em busca da independência financeira!
➡ @minteredu
#finanças #educaçãofinanceira #finançaspessoais #investidores #metas #objetivos https://t.co/WF7gYowo30</t>
  </si>
  <si>
    <t>Um guia prático para colocar suas finanças em ordem e alcançar seus objetivos.
Aproveita para seguir a gente e ajudar alguém encaminhando esse conteúdo.
➡ @minteredu 
#finanças #educaçãofinanceira #finançaspessoais #planejamentofinanceiro #vidafinanceira #liberdadefinanceira https://t.co/GfanUUHdHF</t>
  </si>
  <si>
    <t>O que o Super Bowl LVII tem a ver com educação financeira e finanças pessoais?
➡️ @minteredu 
#dinheiro #money #financeiro #contabilidade #discovery #explore #explorer #explorar #finanças #marketingdigital #educaçãofinanceira #sucesso #minter #superbowl #nfl #finançaspessoais https://t.co/eHhmvLDLD1</t>
  </si>
  <si>
    <t>Onde aprender educação financeira?
Se quer aprender como cuidar bem do seu dinheiro para realizar seus sonhos siga @minteredu
#dinheiro #money #financeiro #contabilidade #discovery #explore #explorer #explorar #finanças #marketingdigital #educaçãofinanceira #sucesso #minter https://t.co/vZKScJpnjY</t>
  </si>
  <si>
    <t>Organizar-se financeiramente pode parecer difícil, mas com as estratégias certas, é possível ter uma vida financeira melhor
➡ @minteredu 
#finanças #educaçãofinanceira #finançaspessoais #investimentos #planejamentofinanceiro #vidafinanceira #dinheiro #liberdadefinanceira https://t.co/nstiMyHpxg</t>
  </si>
  <si>
    <t>Aprender educação financeira pode ser a mudança que vai permitir que você saia das dívidas e alcance seus objetivos
Nós ensinamos o que você precisa de forma completa
#dinheiro #money #financeiro #discovery #explore #explorer #explorar #finanças #educaçãofinanceira #sucesso https://t.co/tg6YX1WGmF</t>
  </si>
  <si>
    <t>Quem precisa de um Empréstimo Pessoal mas está Negativado? Bora lá no site https://t.co/OITdfkJGun #educaçãofinanceira https://t.co/EMkv9JOUfv</t>
  </si>
  <si>
    <t>Estratégias para reabilitação financeira: Encontre as melhores estratégias e oportunidades para recuperar sua estabilidade financeira. (Link na Bio) #educaçãofinanceira #emprestimoparanegativados https://t.co/mUSkBVapoV</t>
  </si>
  <si>
    <t>O conhecimento é poder! Acesse nosso site e descubra as melhores estratégias para obter empréstimos mesmo com restrições. (Link na Bio). #Negativado #EmpréstimoComRestrição #EducaçãoFinanceira https://t.co/ZLrC0BuJPG</t>
  </si>
  <si>
    <t>Não deixe que o nome negativado te impeça de conquistar seus objetivos financeiros. Descubra em nosso site as melhores alternativas de Empréstimo para Negativado e dê um passo rumo à estabilidade financeira. (Link na Bio) #EmpréstimoOnline #Educacaofinanceira https://t.co/Md6OBZsfzE</t>
  </si>
  <si>
    <t>Invista em si mesmo, visite o nosso site e veja como contratar um empréstimo online para negativados, lembramos que, Não Cobramos Taxas Antecipadas, (Link na Bio) #liberdadefinanceira #emprestimoseguro #emprestimoonline #dicasfinanceiras #educaçãofinanceira https://t.co/FImDSs0xHv</t>
  </si>
  <si>
    <t>Estamos aqui para ajudar você Negativado (NUNCA PAGUE TAXAS ANTECIPADAS) #educacaofinanceira #creditoparanegativados  https://t.co/OITdfkJGun https://t.co/3OGJoYzjuR</t>
  </si>
  <si>
    <t>Descubra como obter um empréstimo pessoal mesmo com o nome sujo. Acesse nosso site e confira as dicas especiais para limpar seu nome e conseguir o crédito que você precisa. (Link na Bio) #dicasfinanceiras #emprestimosseguros #educaçãofinanceira #créditopessoal #dicasfinanceiras https://t.co/OIQzqcAKjs</t>
  </si>
  <si>
    <t>Visite o site https://t.co/OITdfkJGun e não perca mais essa chance de contratar um empréstimo online 100% seguro e sem Taxas Antecipadas. #emprestimoseguro #educacaofinanceira</t>
  </si>
  <si>
    <t>Queremos que sua busca em contratar um empréstimo online seja segura e livre de taxas antecipadas. Acesse (https://t.co/OITdfkJGun) e descubra dicas práticas e importante lembrar que não realizamos empréstimos. #dicasfinanceiras #educacaofinanceira</t>
  </si>
  <si>
    <t>Na sua opinião, crianças deveriam receber mesadas fixas ou serem “pagas” por executarem tarefas?
#mesada #educação #finançaspessoais #ricardoamorim
Vídeo: @fernandatorreso https://t.co/Jvq4C3VRJz</t>
  </si>
  <si>
    <t>Originalmente, publiquei esse artigo em 2018, destacando a importância da educação financeira, que infelizmente é deixada de lado no ensino do Brasil. Será que nesses últimos 5 anos muita coisa mudou? Confira e deixe seu comentário. https://t.co/xH6QOCbLVA
#educaçãofinanceira…</t>
  </si>
  <si>
    <t>Antes de investir em renda fixa, estude, pesquise e procure o auxílio de um profissional especializado. Ele poderá ajudá-lo a escolher os melhores títulos e planejar seus investimentos de acordo com suas metas e necessidades. 📚👨‍💼 #EducaçãoFinanceira</t>
  </si>
  <si>
    <t>Se você quer dicas sobre finanças pessoais, acompanhe a próxima edição do Circuito de Lives ENS - Educação Financeira, com Carlos Heitor Campani, pesquisador da ENS, e Marcelo Desterro, CFO do Grupo Mantiqueira Brasil.
🔗Cadastre-se: https://t.co/gEDWVesf9w
#educaçãofinanceira https://t.co/GLN6lcvu0B</t>
  </si>
  <si>
    <t>O 2° episódio do circuito de lives sobre Educação Financeira teve como convidado especial o Chief Financial Officer (CFO) do grupo Mantiqueira e Fundador do FNP (Finanças e Práticas), Marcelo de Paula do Desterro. Confira! https://t.co/0eiwEySK9M
#AconteceENS #EducaçãoFinanceira</t>
  </si>
  <si>
    <t>O que não te contaram na faculdade.
1- Que o diploma não iria te garantir um bom emprego.
2- Que você precisaria ter diversas fontes de renda.
3- Que você precisaria investir para a aposentadoria.
#investimentos #financaspessoais #aposentadoria</t>
  </si>
  <si>
    <t>Quer assistir a bons filmes e ainda por cima aprender mais sobre educação financeira? Passe para o lado e confira nossas dicas de filmes. 🎬
#Unicred #SomosCoop #EscolhaDiferente #EscolhaUnicred #EducaçãoFinanceira https://t.co/IdGVwNwouF</t>
  </si>
  <si>
    <t>Se você ainda não usa uma planilha de controle financeiro, esse é um sinal para fazer a sua.
Preparamos um modelo de exemplo para você personalizar e utilizar. 😉
#Unicred #EducaçãoFinanceira #PlanilhaDeGastos #GestãoFinanceira https://t.co/wFZoF6X5R3</t>
  </si>
  <si>
    <t>Over 50k startups in the US supported by venture capital are in search of funding in the near future. A multitude of startups secured funding in early 2022, with an average fundraising interval of 1.5 years
#finance #financetip #financaspessoais #startup #capital #fundraising https://t.co/r1yECR6Omb</t>
  </si>
  <si>
    <t>#finanças #educação #educaçãofinanceira https://t.co/OYb5O2HDsb</t>
  </si>
  <si>
    <t>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</si>
  <si>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#liberdadefinanceira #educaçãofinanceira</t>
  </si>
  <si>
    <t>Os segredos da mente milionária: aprenda como os ricos pensam sobre dinheiro e como você pode aplicar essas ideias para enriquecer sua própria vida. #ossegredosdamentemilionária #tharveker #autoajuda #finançaspessoais #dinheiro #riqueza https://t.co/iupZuAYHgN</t>
  </si>
  <si>
    <t>O homem mais rico da Babilônia é um clássico sobre finanças pessoais. Aprenda os segredos da riqueza com os antigos babilônicos! #ohomemmaisricodababilonia #classico #financaspessoais #riqueza #aprendizagem #autodesenvolvimento https://t.co/W80jcChF9a</t>
  </si>
  <si>
    <t>Falando de incoerência...
luladrão, o corrupto e que defende o aumento das despesas públicas e consequentemente do déficit público, lançou o programa desenrola que inclui ensinamentos de educação financeira.
https://t.co/kQVtE6X2Un
#lulaladrão #educaçãofinanceira #desenrola</t>
  </si>
  <si>
    <t>85% dos pais afirmam que orientam seus filhos sobre o tema.
#ODia #Educaçãofinanceira 
https://t.co/XOstbbAQST</t>
  </si>
  <si>
    <t>ᴠᴏᴄê ᴊá ᴘᴀʀᴏᴜ ᴘᴀʀᴀ ᴘᴇɴsᴀʀ ǫᴜᴇ ᴛᴏᴅᴏs ɴós ᴘʀᴇᴄɪsᴀᴍᴏs ᴛᴇʀ ᴇᴅᴜᴄᴀçãᴏ ғɪɴᴀɴᴄᴇɪʀa?
Leia o artigo completo clicando no link
#modelodevida
#educacaofinanceira #finançaspessoais #finançasparaleigos  #investimentosfinanceiros
https://t.co/V8yuWHMUER</t>
  </si>
  <si>
    <t>Um Caminho para o Bem-Estar Esta abordagem tem se tornado mais popular nos últimos anos e tem sido utilizada em terapia para ajudar a aliviar o sofrimento emocional e aumentar a saúde mental.
https://t.co/Z4ZJwN8nwS
#bemestar #estilodevida #financaspessoais #Mindfulness #Relaxed https://t.co/j4P7TiN5KW</t>
  </si>
  <si>
    <t>Confira as duas notícias desta semana que separei para você:
🔥 Previsão de preços das passagens aéreas para 2023
🔥 Como preparar as contas do começo do ano
#consultoria #assessoria #noticas #financas #financaspessoais #contas2023 #passagensaereas #gastos https://t.co/mwrC0WKxA8</t>
  </si>
  <si>
    <t>Marque seus irmãos e sua mãe por aqui. E lembre-se de que quando assunto é evitar desperdícios, o https://t.co/K8P3blmZKU também é um prato cheio.
#Educaçaofinanceira</t>
  </si>
  <si>
    <t>🇧🇷  Gráfico Diário $IBOV com áreas de oferta e demanda e retração de Fibonacci.
#Investimentos #BolsadeValores #MercadoFinanceiro
#AnáliseTécnica #Ações #RendaVariável #FinançasPessoais #Economia #Trading https://t.co/kDECEQM0dB</t>
  </si>
  <si>
    <t>Palestra Sicoob Credimata - Juiz de Fora - MG https://t.co/Lko5Tj80f3 via @YouTube 
#palestra #educaçãofinanceira #credimata #sicoob #juizdefora #flyvagner</t>
  </si>
  <si>
    <t>Novo podcast no ar! 
No episódio de hoje, Paulo e Julio entrevistam @Tiagogreis, Presidente do Conselho do Grupo Suno, sobre:
- A importância de investir
- Por que investir no Brasil?
- Comparando tipos de investimentos
- Americanas; bitcoin e muito mais!
#educacaofinanceira https://t.co/AnsoMJ7Uox</t>
  </si>
  <si>
    <t>EUA EM ESTAGINFLAÇÃO?
No EP. 232, Paulo e Julio entrevistam o sócio e Gestor de Portfólio da @Crescat_Capital, @TaviCosta, sobre a atual economia global, inflação, ouro, bitcoin e mais!
#economia #investimentos #educacaofinanceira #ouro #bitcoin #finanças #bancos #SVB https://t.co/e8oogMXTyM</t>
  </si>
  <si>
    <t>2008 ESTÁ SE REPETINDO?
No EP. 232, Paulo e Julio entrevistam o sócio e Gestor de Portfólio da @Crescat_Capital, @TaviCosta, sobre a atual economia global, inflação, ouro, bitcoin e mais!
#economia #investimentos #educacaofinanceira #ouro #bitcoin #finanças #bancos #SVB https://t.co/fhDpGBykTu</t>
  </si>
  <si>
    <t>O PIOR ESTÁ POR VIR?
No EP. 232, Paulo e Julio entrevistam o sócio e Gestor de Portfólio da @Crescat_Capital, @TaviCosta, sobre a atual economia global, inflação, ouro, bitcoin e mais!
#economia #investimentos #educacaofinanceira #ouro #bitcoin #finanças #bancos #SVB https://t.co/8yKaTzvOQg</t>
  </si>
  <si>
    <t>O OURO ESTÁ RETOMANDO SUA RELEVÂNCIA GLOBAL?
No EP. 232, Paulo e Julio entrevistam o sócio e Gestor de Portfólio da @Crescat_Capital, @TaviCosta, sobre a atual economia global, inflação, ouro, bitcoin e mais!
#economia #investimentos #educacaofinanceira #ouro #bitcoin #finanças https://t.co/GObdiNMk5g</t>
  </si>
  <si>
    <t>COMMODITIES OU BITCOIN?
No EP. 232, Paulo e Julio entrevistam o sócio e Gestor de Portfólio da @Crescat_Capital, @TaviCosta, sobre a atual economia global, inflação, ouro, bitcoin e mais!
#economia #investimentos #educacaofinanceira #ouro #bitcoin #finanças #bancos #SVB https://t.co/XMnYrjgCn0</t>
  </si>
  <si>
    <t>RESGATE DO SILICON VALLEY BANK
No EP. 232, Paulo e Julio entrevistam o sócio e Gestor de Portfólio da @Crescat_Capital, @TaviCosta, sobre a atual economia global, inflação, ouro, bitcoin e mais!
#economia #investimentos #educacaofinanceira #ouro #bitcoin #finanças #bancos #SVB https://t.co/G4Jbe2x2cm</t>
  </si>
  <si>
    <t>Agora qual é a verdadeira inflação? O IPCA, o IGPM, ou o M1 (base monetária, soma de todo o papel moeda da economia mais os depósitos bancários à vista)? 
Acompanhe o episódio no sábado e aprenda mais sobre investimentos! 
#inflação #economia #educacaofinanceira #finanças</t>
  </si>
  <si>
    <t>A importância da educação financeira para a vida adulta https://t.co/9KQuG9ScfG 
#educaçãofinanceira #vidafinanceira #finançaspessoais #decisõesfinanceiras #investimentos #crescimentofinanceiro #estratégiasfinanceiras #planejamentofinanceiro #educaçãofinanceiraparavida https://t.co/mgB1GvFDce</t>
  </si>
  <si>
    <t>Como economizar dinheiro: dicas práticas para alcançar seus objetivos financeiros https://t.co/tF44nxsJZo
#economizardinheiro #financaspessoais #planejamentofinanceiro #dinheiroextra #poupança #vidaeconomica #metasfinanceiras #gastarcomsabedoria #investimentos #educaçãofinanceira https://t.co/iwLeOiWLXU</t>
  </si>
  <si>
    <t>10 Estratégias Para Alcançar a Independência Financeira https://t.co/SqFLRK4Zt0 
#independenciafinanceira #financaspessoais #investimentos #rendapassiva #gerenciamentodedividas #educacaofinanceira #aposentadoria #consultoriafinanceira #liberdadefinanceira #planejamentofinanceiro https://t.co/mZZ0UGoH8b</t>
  </si>
  <si>
    <t>#empreendedorismo #negócios #startup #sucesso #liderança #motivação #finanças #investimento #dinheiro #educaçãofinanceira</t>
  </si>
  <si>
    <t>Ser organizado economiza tempo e dinheiro. 
.
.
.
#mariapaulaorganizer #economiadomestica #menosémais #mininalismo #educacaofinanceira https://t.co/11nKeCIdTC</t>
  </si>
  <si>
    <t>Empreenda Salvador oferece 300 vagas em curso de educação financeira para MEIs... https://t.co/oCpTMKsZKD
#empreendasalvador #cursodeeducacaofinanceira #educacaofinanceira #meis https://t.co/D19J9OGTup</t>
  </si>
  <si>
    <t>As aulas de Educação Financeira estimulam, na infância, o consumo consciente. 💰🪙 
#educaçãofinanceira #consumoconsciente #soumaisvr #sempreaoseulado #osseussonhossãoosnossos #colégiovitóriarégia #cabula #salvador https://t.co/WFt2Nrps60</t>
  </si>
  <si>
    <t>- Lembre-se: “Pensamentos limitantes levam a ações e resultados limitados”
#livro #termostatofinanceiro #finanças #dinheiro #educacaofinanceira #investimentos #theholderinvest</t>
  </si>
  <si>
    <t>O que nunca entendi é como uma pessoa acha possível uma empresa garantir uma rentabilidade extremamente alta e fixa em um negócio de grande volatilidade. Pois bem, a resposta é #educacaofinanceira ..</t>
  </si>
  <si>
    <t>Educação financeira é importante para o seu futuro! Aprenda a gerenciar seu dinheiro e faça escolhas inteligentes para alcançar seus objetivos. #EducaçãoFinanceira #FinançasPessoais</t>
  </si>
  <si>
    <t>A meta de agora tá habilitado é que uma qualificação ajuda muito a entra no jogo trabalhos temporários e com boa remuneração. Vou subir os investimentos e continua trabalhando pra mim mesmo... 
🧠📈💸 #educaçãofinanceira #negócios #empreendedor #imvestimestos</t>
  </si>
  <si>
    <t>Não perca tempo! Abra agora mesmo uma conta grátis na corretora Deriv e ganhe um Robô Dbot exclusivo que pode ajudá-lo a maximizar seus lucros. https://t.co/Qm29DLtiFQ #EducaçãoFinanceira
#InvestirParaCrescer
#RendaPassiva
#PlanejamentoFinanceiro
#InvestimentosSeguros</t>
  </si>
  <si>
    <t>Não perca tempo! Abra agora mesmo uma conta grátis na corretora Deriv e ganhe um Robô Dbot exclusivo que pode ajudá-lo a maximizar seus lucros. https://t.co/J5thblrXEP #EducaçãoFinanceira
#InvestirParaCrescer
#RendaPassiva
#PlanejamentoFinanceiro
#InvestimentosSeguros https://t.co/T95LLuMCBt</t>
  </si>
  <si>
    <t>Ganhe dinheiro com programas de Afiliados no mercado financeiro!  https://t.co/Yl3YEs0Cgn
 #AfiliadosFinanceiros #MercadoFinanceiro #GanharDinheiroOnline #SucessoFinanceiro #OportunidadesFinanceiras #EducaçãoFinanceira https://t.co/1oEj0FDkJ9</t>
  </si>
  <si>
    <t>Seja bem-vindo ao Jornada Capital. Mais informações:
https://t.co/RXuuuv87rp
#Finanças #Investimentos #Política #Economia #EconomiaBrasileira #MercadoFinanceiro #TaxaSelic #podcast #Brasil #BolsadeValores #MoneyTimes #InfoMoney #ValorEconômico #BolsaB3 #EducaçãoFinanceira https://t.co/7QaTtFcbKm</t>
  </si>
  <si>
    <t>✅ Planejamento Financeiro: Você no controle
📚 Oferta Amazon: https://t.co/7N3VZ5JPW5
#Amazon #EducaçãoFinanceira #Economia #finanças #dinheiro #Oferta #livros</t>
  </si>
  <si>
    <t>O que não tem preço para você? #jonasribeiro #maisativos#educacaofinanceira https://t.co/oxpqkWkCMX</t>
  </si>
  <si>
    <t>Boa tarde!!!
#rumoaotopo #rumoaosucesso #mundocorporativo #finançaspessoais https://t.co/ZzC5wZZwAT</t>
  </si>
  <si>
    <t>Bom dia!!!
#rumoaosucesso #rumoaotopo #financaspessoais #sucessoprofissional https://t.co/0dyaVYvwyK</t>
  </si>
  <si>
    <t>Já cansou de pagar aluguel?
A hora é agora para acessar um consórcio de forma bem simples.
40% de redução no valor de parcela até a data de contemplação.
#consórcio
#planejamentofinanceiro
#thistorres
#educaçãofinanceira https://t.co/qnYeE90TC8</t>
  </si>
  <si>
    <t>"O mercado de investimento não é místico, é apenas outro produto. Com educação financeira e conselhos de profissionais, é possível compreendê-lo e usá-lo como ferramenta para alcançar seus objetivos financeiros futuros. #MercadoDeInvestimento #EducaçãoFinanceira"</t>
  </si>
  <si>
    <t>O planejamento financeiro é uma habilidade importante para todos, especialmente para estudantes que estão enfrentando muitos desafios financeiros. Então aqui estão 9 dicas que podem ajudar a desenvolver um planejamento financeiro sólido:
#BORACOMOADM 🚀 #FinançasPessoais https://t.co/MOYXaDr8BJ</t>
  </si>
  <si>
    <t>🌟 Espero que esta thread tenha ajudado a desvendar o mundo do suprimento de dinheiro na economia! Se tiver mais perguntas ou quiser aprender sobre outros tópicos, estou aqui para ajudar.  Também sugiro a leitura do livro abaixo 👩‍💻🧠 #EducaçãoFinanceira
https://t.co/be9S5IalBY</t>
  </si>
  <si>
    <t>Lembre-se, cada pessoa tem uma situação financeira única. Adaptar essas dicas à sua realidade é fundamental. Com paciência, prática e educação financeira, você pode conquistar o controle total do seu orçamento! 💪📊
 #FinançasPessoais #OrçamentoDoméstico #PlanejadorFinanceiro</t>
  </si>
  <si>
    <t>🏦💡 Taxas excepcionais de CD podem atrair, mas geralmente têm termos e condições que exigem análise cuidadosa. Embora CDs ofereçam segurança no curto prazo, as ações ainda oferecem melhor potencial de crescimento a longo prazo. 📈💰 #EducaçãoFinanceira #Escolhas
Fonte: Market…</t>
  </si>
  <si>
    <t>https://t.co/mQhvjSPRrv 
#CONARH2023 #CreditasBenefícios #EducaçãoFinanceira #GestãoDePessoas #DesenvolvimentoProfissional #BemEstarFinanceiro #Eventos #Inovação #Empresas #Sucesso #PortalDoGarrett</t>
  </si>
  <si>
    <t>Cotia fecha o mês da mulher com palestra sobre Educação Financeira. Saiba mais em https://t.co/uhXIFcUNhS #educaçãofinanceira #mulheres #PortalViva #Cotia #palestra https://t.co/6gLlg6INGf</t>
  </si>
  <si>
    <t>Não é novidade dizer que o setor imobiliário 🏠 é um dos setores mais estáveis que existem, mas quais são os próximos passos desse setor?
➡️Ler o artigo completo aqui: https://t.co/oy5JYtlCxA
#MercadoImobiliário #InvestirComSabedoria #EducaçãoFinanceira</t>
  </si>
  <si>
    <t>O setor imobiliário historicamente tem sido um refúgio seguro em meio a flutuações econômicas 🏠, mas e se lhe dissermos que atualmente ele é mais lucrativo do que era há 10 anos?
https://t.co/E1Y8ufzpcn
#InvestimentoNaEspanha #SetorImobiliário #EducaçãoFinanceira https://t.co/jkncAmrT1c</t>
  </si>
  <si>
    <t>Os proprietários de casas perguntam-se frequentemente: devo pagar a hipoteca ou investir? 🤔 Sabemos que não é uma decisão fácil. É por isso que hoje lhe trazemos os factores que deve ter em conta.
https://t.co/yZUOZ7WHld
#EducaçãoFinanceira #InvestimentoImobiliário</t>
  </si>
  <si>
    <t>O segredo para uma vida financeira saudável é simples: gastar menos do que se ganha, poupar regularmente e investir com sabedoria. Não existe fórmula mágica, mas sim disciplina, planejamento e perseverança. Quem mais concorda? #finanças #educaçãofinanceira #investimentos</t>
  </si>
  <si>
    <t>💲A sigla pode até assustar e causar um difícil entendimento para alguns, mas é bem mais simples do que parece. 👊🏼 
➡️Arrasta para o lado que vou te explicar mais sobre o assunto!📈
#EducacaoFinanceira #ReeducacaoFinanceira #SabedoriaFinanceira #Financas #Rentabilidade #EBITDA https://t.co/thlm8iMz61</t>
  </si>
  <si>
    <t>🤑ANTECIPE O SEU 1º MILHÃO!
😍Existe um excêntrico fenômeno brasileiro que ocorre de tempos em tempos.
🫵🏽Se você aproveitá-lo, vai ter a possibilidade de alcançar o seu 1º milhão muito antes da aposentadoria.
#EducacaoFinanceira #ReeducacaoFinanceira #SabedoriaFinanceira #EBITDA https://t.co/Eslkf00cvl</t>
  </si>
  <si>
    <t>🚨Salve para consultar depois!
‼️Seja disciplinado com os 20% dos investimentos e veja a mágica acontecer. 🤑🤑🤑
#EducacaoFinanceira #ReeducacaoFinanceira #SabedoriaFinanceira #Financas #Rentabilidade #MercadoFinanceiro #Investimentos #EBITDA #Dinheiro #BolsaDeValores #B3 https://t.co/bab8SRWhMX</t>
  </si>
  <si>
    <t>🤫O segredo para a independência financeira! 🤑💰💵
📊Invista com Disciplina.
#educaçãofinanceira #sabedoriafinanceira #finanças #rentabilidade #investimentos #ebitda #dinheiro #bolsadevalores #consultoriafinanceira #dividendos #juroscompostos #aposentadoria #independencia https://t.co/yHZMJ2PcsV</t>
  </si>
  <si>
    <t>Construção e venda de imóveis. Aberto para investidores brasileiros que desejam investir no mercado imobiliario americano visando ganho de capital.
Conheça os projetos disponível.
#imoveis #imóveis #construção #Investimentos #educaçaofinanceira
#empreendedorismo https://t.co/9S6IhXqtQf</t>
  </si>
  <si>
    <t>Identifique e atenda suas prioridades.
#empreendedorismo #empreender 
#aprendizado #educaçaofinanceira https://t.co/EAnjs5Do6L</t>
  </si>
  <si>
    <t>A felicidade não é riqueza, mas o modo como você vive! Concorda?👇
#finscool #finanças #financaspessoais #educacaofinanceira #bemestar #startup #edtechs https://t.co/znGjKwT20d</t>
  </si>
  <si>
    <t>Escreva abaixo.
Em breve, divulgaremos mais informações.
#Tradução #Interpretação #Tradutor #Intérprete #DiadoTradutor #Palestra #ABRATES #ConsultoriaFinanceira #DiaDoIntérprete #Finanças #FinançasPessoais #MêsDoTradutor #MêsDoIntérprete</t>
  </si>
  <si>
    <t>RT @leiamoneytimes: Não conseguiu ir no The Town? Veja como se preparar para os próximos festivais
#Entretenimento #FinançasPessoais #Geral…</t>
  </si>
  <si>
    <t>Você também foi FISGADO para essa ARMADILHA sem fim?
Então te convido para sair dessa prisão participando da maratona da virada financeira. 
#investidoriniciante  #mentemilionaria #liberdadefinanceira #PréRico #meta #economia #finançaspessoais 
https://t.co/MKggfYquus</t>
  </si>
  <si>
    <t>As AÇÕES da MARCA de Relógio Japonês Casio fecharam na última segunda-feira em queda de 0,46 %
Será que foi por causa do efeito Shakira?
Clique e saiba mais! 
#PréRico #minutodariqueza #boracontrolar #investir  #finançaspessoais #sucessofinanceiro #rico
https://t.co/PJ7ggAm7Cd</t>
  </si>
  <si>
    <t>Qual desses Pilares você ainda falta construí
Compartilhe esse post e divulgue a educação financeira. É o melhor presente que você pode dar a alguém! 
#prerico #PréRico #minutodariqueza #investir  #investimentos #educaçãofinanceira #investimentocerto 
https://t.co/pvCYy7bfdI</t>
  </si>
  <si>
    <t>Qual o próximo passo após a reserva de emergência? 
Clique e saiba mais! 
#investidoriniciante  #mentemilionaria #liberdadefinanceira #PréRico #minutodariqueza #viverderenda #skininthegame #empreender #midset  #cartaodecredito #finançaspessoais
https://t.co/F3GniaAwYz</t>
  </si>
  <si>
    <t>As oportunidades de investimento são inúmeras, mas você realmente sabe qual a forma mais segura e eficaz de investir?
Clique no link aqui e saiba mais! 
#PréRico #minutodariqueza #investir #investimentos #educaçãofinanceira #investimentocerto 
https://t.co/0NYycgDZ0V</t>
  </si>
  <si>
    <t>@GloboNews @CesarTralli A sociedade precisa de #educaçãofinanceira. Não adianta levar a debate um assunto que 90% da população não entende.
Quem divulga essa ideia é pq tem interesses obscuros e sabe que o populismo age sob sua vontade.</t>
  </si>
  <si>
    <t>Atingindo 22,3 gigawatts o Brasil bate recorde e marca o setor de energia solar. 
#energiasolar #sustentabilidade #educacaofinanceira #empreendedorismo
WhatsApp: (73) 3215-6742
@ellosunoficial
https://t.co/AeOw9GRZ1w https://t.co/HR0LsUWpxy</t>
  </si>
  <si>
    <t>Dica de renda extra. #dinheiro #investimentos #educaçãofinanceira #shorts https://t.co/rc39mtBGLv</t>
  </si>
  <si>
    <t>COMO FAZER UMA RENDA EXTRA NA ESCOLA?  #rendaextra #educaçãofinanceira #paçoca https://t.co/WVBMt4UjuM</t>
  </si>
  <si>
    <t>ENTENDA a DIFERENÇA ENTRE AS AÇÕES 3, 4, 5, 6 e 11 🤑📈🚀
#ações #bolsadevalores #mercadofinanceiro #investidoriniciante #educacaofinanceira #dinheiro #rendavariavel #rendapassiva #dinheiroonline https://t.co/tConM8axZR</t>
  </si>
  <si>
    <t>Podes começar a investir no teu conhecimento hoje! https://t.co/sBQo9LYlLg
#academiabolsa #literaciafinanceira #saudefinanceira #vidafinanceira #educaçãofinanceira #culturafinanceira #investimento https://t.co/BU24SlFMGb</t>
  </si>
  <si>
    <t>3/📚 Educação financeira
Invista em sua educação financeira. Aprenda o básico sobre gerenciamento de dinheiro, investimentos, impostos e crédito. Quanto mais você souber, mais preparado estará para tomar decisões informadas. #educaçãofinanceira</t>
  </si>
  <si>
    <t>#formação #finanças #motivacao  #sucesso 
#educaçãofinanceira #liderança
#desenvolvimentopessoal #MarketingDigital 
#mentesmilionárias #investimentos 
#liberdadefinanceira</t>
  </si>
  <si>
    <t>💰💡Brasil bate recorde de endividados! 😱 Aprender sobre educação financeira é essencial para investir em Bitcoin. 📈 Leia mais: https://t.co/3G1QaekRmI #Bitcoin #EducaçãoFinanceira 📰 https://t.co/mgeSttbe0a</t>
  </si>
  <si>
    <t>Veja no vídeo a seguir cinco razões para fazer um curso de educação financeira. Aprenda a gerenciar o dinheiro que entra na sua conta, de forma a reduzir gastos e manter seu orçamento sempre positivo.    #RalBank #educaçãofinanceira #investimentos #planejamentofinanceiro https://t.co/oDZdT6uMxZ</t>
  </si>
  <si>
    <t>#educacaofinanceira.   https://t.co/gAzsutOUB0 o melhor curso para educação financeira e planilha entre outros</t>
  </si>
  <si>
    <t>Essa matéria é ótima, https://t.co/oTbjrCly7k.
NÃO ACEITEM ISSO! ❌
#vendacasada #financiamentoimobiliário #banco #bancocentral #caixa #sistemabancário #finanças #educaçãofinanceira #gestãofinanceira</t>
  </si>
  <si>
    <t>Venha fazer parte da maior plataforma de educação financeira do Brasil #ivipcoin #Binance #p2b #houbi #MEXCGobal #kucoin #CryptoTwitter #gems #elon_musk #educacaofinanceira 
Link para cadastrado na minha bio ☑️ https://t.co/D9gcxTuvam</t>
  </si>
  <si>
    <t>Se você é um freelancer e tem dúvidas de como se organizar financeiramente, veja:
🎯Regra 50 - 30 - 20
💵50% dos ganhos para contas fixas
💵30% contas variáveis
💵20% poupança
Ex: R$2000 = R$1000 para fixo, R$600 variáveis e R$400 poupança
#Freelancer #FinançasPessoais #MEI https://t.co/Z3rSVYRa5G</t>
  </si>
  <si>
    <t>Alcance a independência financeira e realize seus sonhos!  Nosso e-book exclusivo vai te ensinar a trilhar o caminho para uma vida financeira equilibrada. Clique no link https://t.co/9WtIty4Aka e dê o primeiro passo rumo ao sucesso!
#finanças #financaspessoais   #financas100tabu https://t.co/vVs0hjOw65</t>
  </si>
  <si>
    <t>A  BEĨ Educação vai participar do GEduc 2023, principal congresso de gestão educacional do país. Teremos um stand no evento mostrando nosso trabalho! 
Venha nos visitar! 
#beieducação #educaçãofinanceira #economia #cidade #cidadania #arteindígena #geduc2023 https://t.co/rTXK6ndsfe</t>
  </si>
  <si>
    <t>Sabia que os juros também podem estar a seu favor? Exemplos disso são as aplicações financeiras e descontos em compras!  
Leia mais em nosso blog!  
https://t.co/illqb32XEJ    
#beieducação #educaçãofinanceira #juros #aplicaçãofinanceira https://t.co/w0Vdp2vje9</t>
  </si>
  <si>
    <t>Faltam duas semanas para a Bett Brasil 2023! E a BEĨ Educação estará no maior evento de educação e tecnologia da América Latina! Venha nos visitar!
#beieducacao #educacao #educacaofinanceira #cidadania #economia #BeinaBett https://t.co/oV3KJfHwkZ</t>
  </si>
  <si>
    <t>A proposta contempla estudantes do 6º ao 9º Ano do Ensino Fundamental, além das turmas do Ensino Médio.   
#beieducação #educacaofinanceira #premiobeideeducacaofinanceira #aprendizagemsignificativa #premiacao</t>
  </si>
  <si>
    <t>Dados da Serasa de fevereiro de 2023 indicam que o Brasil tem mais de 70,5 milhões de inadimplentes. Incluindo educação financeira no currículo das escolas agora, podemos mudar esse número de inadimplentes nas próximas gerações. 
#beieducacao #educacaofinanceira #inadimplencia https://t.co/xfpTUN5ZIx</t>
  </si>
  <si>
    <t>O projeto terá início em todas as escolas estaduais do 6º ao 9º anos do Ensino Fundamental na próxima semana.  #beieducacao #seducMT #educacaofinanceira #aprendizagemsignificativa #matematica</t>
  </si>
  <si>
    <t>Começa hoje e vai até a próxima sexta-feira, dia 31, o GEduc 2023, principal evento de gestão educacional do país. 
O congresso acontece no Centro de Convenções Rebouças, em São Paulo. 
Venha nos visitar! 💙
#beieducacao #GEduc2023 #BeiNoGEduc #educaçãofinanceira #educação https://t.co/7wrQTW2RJA</t>
  </si>
  <si>
    <t>Reduzir desperdício é bom para seu bolso e para o planeta todo! Veja como a educação financeira pode contribuir com essa atitude no blog da BEĨ Educação!
https://t.co/vf654qPioy
#beieducacao #educacao #educacaofinanceira #desperdício https://t.co/8fnqV5D07A</t>
  </si>
  <si>
    <t>Falta menos de um mês para a Bett Brasil 2023! 
E a BEĨ Educação estará lá! Venha nos visitar e conhecer as novidades que preparamos!
#beieducacao #educacaofinanceira #cidadania #BeinaBett https://t.co/vlyTzvBAU0</t>
  </si>
  <si>
    <t>8/9 🏆 Quer seja homem ou mulher, o importante no trading é a educação, a estratégia e a disciplina. O mercado não se importa com o teu género, só se importa com o teu desempenho. #EducaçãoFinanceira</t>
  </si>
  <si>
    <t>Novo episódio do podcast no ar. Link na bio.
#podcast #educaçãofinanceira #custodeoportunidade em Piracicaba, São Paulo https://t.co/dZVIJktyJR</t>
  </si>
  <si>
    <t>Novo episódio do podcast no ar. Link na bio.
#podcast #educaçãofinanceira em Piracicaba, Brazil https://t.co/7esk5D1ptn</t>
  </si>
  <si>
    <t>𝘿𝙚𝙨𝙫𝙚𝙣𝙙𝙖𝙣𝙙𝙤 𝙤 𝙢𝙞𝙨𝙩é𝙧𝙞𝙤 : 𝘼𝙥𝙧𝙚𝙣𝙙𝙖 𝙘𝙤𝙢𝙤 𝙛𝙪𝙣𝙘𝙞𝙤𝙣𝙖 𝙤 𝙢𝙚𝙧𝙘𝙖𝙙𝙤 𝙙𝙚 𝙖çõ𝙚𝙨  📉📊📈
▶️ https://t.co/czkd2Qoh21 
#investimentos #bolsadevalores #mercadodeacoes #educaçãofinanceira #investirparaganhar #finançaspessoais #rendavariavel https://t.co/ZClb5pfddV</t>
  </si>
  <si>
    <t>Foque energia naquilo que você pode controlar, nem tudo está sob o seu controle ♾️
.
#terapia #autoconhecimento #educacaofinanceira #negocios #empreender #finanças #investir #motivacao #marketingdigital #israelmelo https://t.co/f0U4WVNN9b</t>
  </si>
  <si>
    <t>#AlexFinanças #Finanças #Campinas #ConsultoriaFinanceira #EducaçãoFinanceira #GestãoFinanceira https://t.co/WeoW8hF3gD</t>
  </si>
  <si>
    <t>#AlexFinanças 👉 https://t.co/zGrHvlcMVM #ConsultoriaFinanceira #Finanças #Campinas #EducaçãoFinanceira #GestãoFinanceira https://t.co/IE8Oke4bhL</t>
  </si>
  <si>
    <t>O empreendedor que não entende sobre o dinheiro, vira um escravo do trabalho e leva sua família junto para prisão. #educacaofinanceira #jfinance #bottelegram #liberdade</t>
  </si>
  <si>
    <t>"O dinheiro não traz felicidade, mas a estabilidade financeira é fundamental para alcançar a tranquilidade e a segurança emocional. Investir em si mesmo e em suas habilidades é tão importante quanto investir em suas finanças. Planeja-se. #finançaspessoais #investimento"</t>
  </si>
  <si>
    <t>Você sabia que a educação financeira pode mudar a sua vida? Aprender a gerenciar o seu dinheiro e investir pode ajudá-lo a alcançar seus objetivos financeiros e ter uma vida mais tranquila. Comece a investir em você hoje mesmo! #finanças #educaçãofinanceira #investimentos</t>
  </si>
  <si>
    <t>Investir é uma jornada, portanto comece pelo básico para garantir que você vai chegar longe...
Entenda sobre o básico de finanças pessoais em nossa series de artigos relacionados a #bzcWM360.
.
.
#FinancasPessoais #InvestidorPrudente
https://t.co/ar9UuqcWSq</t>
  </si>
  <si>
    <t>Se você tem um negócio, sabe que a gestão financeira é um aspecto crucial pra saúde e pro sucesso da empresa. 🤑🥲Pensando nisso, separamos algumas dicas fundamentais pra te ajudar nesse processo. Confira! 😉#OrganizaçãoFinanceira #Empreendedorismo #EducaçãoFinanceira https://t.co/NAzwT0LlTz</t>
  </si>
  <si>
    <t>Presidente da FPF afirma que sites de apostas precisam pagar por educação financeira dos clientes! Saiba mais sobre essa notícia no blog @SerieApalpiteiro. #apostas #educaçãofinanceira #futebolbrasileiro https://t.co/AtaRhKPCbi</t>
  </si>
  <si>
    <t>Brain Evolution System!
https://t.co/jiYvvsKR5E
#mercadofinanceiro #personalfinance #financetips #educacaofinanceira #independenciafinanceira #planejamentofinanceiro #educaçãofinanceira</t>
  </si>
  <si>
    <t>Você sabia que investir na sua #educaçãofinanceira hoje traz muitos benefícios para sua vida a curto, médio e longo prazo? 💰
É por isso que o #Sicoob participa da #SemanaENEF, que neste ano irá acontecer de 15 a 21 de maio. 🗓
#SemanaENEF2023 https://t.co/jtQfiUQJVc</t>
  </si>
  <si>
    <t>Conheça o passo a passo para negociar suas dívidas com os principais bancos e recuperar sua estabilidade financeira. Confira agora mesmo!
 #NegociaçãoDeDívidas #Bancos #EducaçãoFinanceira
#emprestimocomgaratia #homeequity #creditoimobiliario #cgi #imoveis #credito https://t.co/X9jgaVZo4T</t>
  </si>
  <si>
    <t>O que achas sobre isto? #investir #investimentos #finanças #finançaspessoais https://t.co/0mF0D3half</t>
  </si>
  <si>
    <t>Os três maiores bancos privados do Brasil confirmaram que pretendem aderir ao Desenrola, o programa de renegociação de dívidas do governo federal.
#sigaIF #InteligênciaFinanceira #Desenrola #EducaçãoFinanceira
https://t.co/jNsw7qBEsg</t>
  </si>
  <si>
    <t>A influencer Virgínia Fonseca disse aos seguidores que, hoje em dia, “parcelar é chique”. Segundo ela, isso mostra que o limite de crédito do cartão é alto e segura o tranco. Será que é chique mesmo? #finanças #finançaspessoais https://t.co/dh6gRMDpfg</t>
  </si>
  <si>
    <t>Dicas de Poupança.
Esteja atento aos nossos próximos tweets, deixe o seu like/comentário e retweet.
#bancodemocambique #educacaofinanceira #poupanca #dicadepoupanca https://t.co/2nVC5JfbsK</t>
  </si>
  <si>
    <t>Dica de Poupança
Começamos a semana com mais uma dica de educação financeira.
Esteja atento aos nossos próximos tweets, deixe o seu like/comentário e retweet.
#bancodemocambique #educacaofinanceira #poupanca #dicadepoupanca https://t.co/GgaZ6zJjOE</t>
  </si>
  <si>
    <t>Esteja atento aos nossos próximos tweets, deixe o seu like/comentário e retweet.
#bancodemocambique #educacaofinanceira #poupanca #dicadepoupanca https://t.co/K8NXWAEKu6</t>
  </si>
  <si>
    <t>Dicas de Poupança
Esteja atento aos nossos próximos tweets, deixe o seu like/comentário e retweet.
#bancodemocambique #bancocentral #educacaofinanceira #poupanca #dicadepoupanca https://t.co/gWFCIQoNmm</t>
  </si>
  <si>
    <t>Vale a pena entrar com a ação judicial do superendividado?
#dividas #financaspessoais #divida https://t.co/ANgEU9IWEO</t>
  </si>
  <si>
    <t>Siga o Pobre Poupa nas redes sociais e saiba que aprender a investir é um passo importante na jornada financeira de qualquer pessoa. 😉
#Poupe #PobrePoupe #Finanças #Economia #Economize #Investimentos #EducaçãoFinanceira #Poupar #Poupança https://t.co/dbTIujl2dJ</t>
  </si>
  <si>
    <t>As finanças pessoais e o planejamento financeiro são aspectos essenciais da vida moderna. É importante que todos nós entendamos como gerenciar nosso dinheiro.
Mais: https://t.co/qcRJa7owvK 😉
#PobrePoupe #Finanças #EducaçãoFinanceira #FinançasPessoais #PlanejamentoFinanceiro https://t.co/tYxD5GJa0I</t>
  </si>
  <si>
    <t>A educação financeira é fundamental na vida de qualquer pessoa, e no caso dos brasileiros, ela é ainda mais importante devido aos desafios econômicos que o país enfrenta. 
#Poupe #PobrePoupe #Finanças #Economia #Economize #Investimentos #EducaçãoFinanceira #Poupar #Poupança https://t.co/PynxCn3uon</t>
  </si>
  <si>
    <t>se achar erros pode comentar também!
#educacaofinanceira #selic #poupanca</t>
  </si>
  <si>
    <t>@paulonbjr #UtilidadePublica
#EducaçãoFinanceira
#Tributação</t>
  </si>
  <si>
    <t>Não deixe que os juros abusivos se tornem um fardo em sua vida financeira! Aprenda a lidar com essa questão de forma inteligente e eficiente com o Grupo Recupera Brasil.
#JurosAbusivo #VidaFinanceira #EducacaoFinanceira #LimpaNome #ForYou https://t.co/oZoaiyhwX9</t>
  </si>
  <si>
    <t>Não sabe por onde começar a organizar suas finanças? Consulte suas dívidas com a gente!
https://t.co/BkkKpPpbUC
#consultadedívidas #organizaçãofinanceira #educaçãofinanceira #planejamentofinanceiro #vidafinanceira #nomelimpo #dívidas https://t.co/iqu9SiZoTn</t>
  </si>
  <si>
    <t>Finalmente se livrou das dívidas? Saiba o que significa quando sua dívida caduca e quais são os próximos passos.
https://t.co/BkkKpPpJKa
#dívidacaducou #liberdedefinanceira #educacaofinanceira #sucesso #dinheiro https://t.co/btIjhtDl72</t>
  </si>
  <si>
    <t>Se você está com dívidas e não sabe como lidar com elas, este vídeo é para você!
https://t.co/BkkKpPpJKa
#dívidas #finanças #educaçãofinanceira #renegociação #limpanome https://t.co/3DoJh3zvYT</t>
  </si>
  <si>
    <t>Você sabia que as empresas de proteção ao crédito podem impactar diretamente sua vida financeira?
https://t.co/BkkKpPpbUC
#inadimplência #vidafinanceira #educaçãofinanceira #planejamentofinanceiro #nomelimpo #dívidas https://t.co/0VfB019G44</t>
  </si>
  <si>
    <t>Se você está endividado e não sabe o que fazer, é importante entender quais são as consequências legais dessa situação.
#endividado #dívidas #direitosdoconsumidor #educacaofinanceira https://t.co/EmIXGqiMP8</t>
  </si>
  <si>
    <t>Transparência é a chave para uma relação saudável e justa entre empresas e consumidores. Saiba por que é importante que as empresas sejam transparentes na condução de suas ações e como isso pode beneficiar a todos.
#transparência #relaçãodeconsumo #educaçãofinanceira https://t.co/ZmOPtXuQU6</t>
  </si>
  <si>
    <t>Entenda como as ações coletivas podem impactar positivamente a vida financeira de muitas pessoas e garantir direitos que, sozinhos, seriam mais difíceis de alcançar.
#açõescoletivas #direitosdoconsumidor #educaçãofinanceira #justiçasocial https://t.co/g5FZBaG809</t>
  </si>
  <si>
    <t>Saber como lidar com empresas de cobrança pode fazer toda a diferença na hora de negociar suas dívidas e evitar problemas futuros. Confira algumas dicas importantes para não cair em armadilhas!
#empresasdecobrança #negociaçãodedívidas #educacaofinanceira #direitosdoconsumidor https://t.co/htZnPrz6Tj</t>
  </si>
  <si>
    <t>Qual figurinha representa mais sua vida financeira?
Alcance a estabilidade financeira com nossos serviços personalizados! 🚀
💰 Entre em contato conosco para obter mais informações!
📲 (19) 99923-1909
#Dinheiro #VidaFinanceira #EducaçãoFinanceira #Economia #Fy https://t.co/1TgYJkWKQM</t>
  </si>
  <si>
    <t>Será que seu nome está limpo? A gente te ajuda a descobrir.
https://t.co/BkkKpPpbUC
#limpanome #dívidas #educaçãofinanceira https://t.co/YY08OdeWnr</t>
  </si>
  <si>
    <t>Não quer cair em cobranças indevidas? A gente te ensina a como evitar dores de cabeça.
https://t.co/BkkKpPpbUC
#protecaodoconsumidor #dicasfinanceiras #limpanome #nomelimpo #dívidas #consultadedívidas #educaçãofinanceira https://t.co/NeX7aFdFxM</t>
  </si>
  <si>
    <t>Não podemos deixar de agir com coerência maturidade ética moral respeito coersao moral andar pra frente mete marcha 
O que a história de Prometeu te faz pensar?
#administração 
#financaspessoais 
#mitologia</t>
  </si>
  <si>
    <t>🧵 Se você gostou dessas dicas, deixe seu like! Meu nome é Samuel e estou aqui para inspirar e orientar você a conquistar uma vida financeira mais saudável e inteligente. Clique no link da bio para saber mais!
#FinançasPessoais #VidaFinanceiraSaudável #DicasFinanceiras</t>
  </si>
  <si>
    <t>A forma como você pensa sobre o dinheiro pode ser um obstáculo para alcançar a riqueza que deseja. Mude sua mentalidade em relação ao dinheiro e se tornará uma pessoa próspera e bem-sucedida. 🔥🚀
#educacaofinanceira  #liberdadefinanceira  #mentepositiva #mentalidadederiqueza</t>
  </si>
  <si>
    <t>Seguimos para nossa 2ª parte dos Melhores Investimentos para 2023.
Hoje vamos de Fundos de Investimentos Imobiliários ou apenas FIIs.
Veja em https://t.co/gOxBkeP1gr para mais dicas.
#fundoimobiliario #investimentosinteligentes #educaçãofinanceira https://t.co/dRl8syXrI6</t>
  </si>
  <si>
    <t>Seguimos com os conceitos, características e vantagens dos títulos públicos.
Hoje falaremos do Tesouro Selic, título que acompanha a taxa de juros do país e tem liquidez diária.
Vamos para os detalhes.
#investimentosinteligentes #tesourodireto #rendafixa #educaçãofinanceira https://t.co/GMydwaPsdm</t>
  </si>
  <si>
    <t>Começaremos uma nova série  sobre ativos de investimentos.
Falamos sobre Ações, Fundos Imobiliários, Investimentos no Exterior e outros.
Agora vamos de Renda Fixa e para começar, Tesouro Direto. 
Sigam-me os bons!
#educaçãofinanceira #investimentosinteligentes #tesourodireto https://t.co/lrz3H5cqCU</t>
  </si>
  <si>
    <t>Post extra hoje, para falar de uma notícia antiga de 2021 mas que vale a pena ser mostrado, pois achei positivo para os dois lados.
Vale a pena ler!
#educaçãofinanceira #Mst #creditoprivado #mercadodecapitais #ESG https://t.co/6avkNQAqfS</t>
  </si>
  <si>
    <t>Na quarta parte da nossa jornada no universo dos Títulos Públicos falaremos do Tesouro IPCA.
Esse título tem a rentabilidade atrelada à inflação e isso contribui  para proteção do seu poder de compra.
Bom feriado a todos!
 #rendafixa #educaçãofinanceira #tesourodireto https://t.co/FEMcBrKFrV</t>
  </si>
  <si>
    <t>O dia hoje promete muita volatilidade, com os mercados preocupados com uma possível crise de confiança no sistema bancário.
O VIX sobe nesse momento mais de 17%.
#educaçãofinanceira #investimentosinteligentes https://t.co/o2cwbCaiZE</t>
  </si>
  <si>
    <t>Hoje daremos o próximo passo para aprender um pouco mais sobre o mercado de bolsa de valores.
Vou tratar aqui sobre os métodos de análise de uma empresa/ação.
 #rendavariável #bolsadevalores #educaçãofinanceira #investimentosinteligentes https://t.co/fRzsvgY3Mu</t>
  </si>
  <si>
    <t>2ª Part. - Investindo em Ações.
Antes de começar, alguns conceitos iniciais precisam ser bem entendidos.
Vamos a eles.
 #educaçãofinanceira #investimentosinteligentes #rendavariável #bolsadevalores 
Para o material completo visite: https://t.co/UC5LMP5yz8 https://t.co/TWFTm87jM3</t>
  </si>
  <si>
    <t>Na 4ª parte da nossa série vamos falar sobre duas características de negócios que os investidores de longo prazo precisam diferenciar.
Empresas em crescimento e empresas de dividendos.
 #rendavariável #investimentosinteligentes #educaçãofinanceira #bolsadevalores https://t.co/3BNCJkSsYJ</t>
  </si>
  <si>
    <t>O post de hoje é um pouco mais técnico, mas precisa ser destacado devido a importância.
Volatilidade: É a magnitude do movimento de preço de uma determinada ação, num período.
Dúvidas, enviar DM.
 #investimentointernacional #educaçãofinanceira #investimentosinteligentes https://t.co/sa3myJUrL5</t>
  </si>
  <si>
    <t>Chegamos na 5ª e última parte e espero que tenham aproveitado o feriado e aprendido um pouco mais sobre títulos públicos.
O caçula do Tesouro Direto (lançado em Jan/23) chega com conceito de previdência privada para os títulos públicos. 
#tesourodireto #educaçãofinanceira https://t.co/3ESEmQkL7M</t>
  </si>
  <si>
    <t>Você sabia que pode trocar todas as dívidas
que têm tirado o seu sono por uma única parcela do
tamanho do seu bolso?
Você coloca seu imóvel como
garantia e consegue um empréstimo mais barato, com
até 20 anos para pagar. 
#creditofacil #bancobari #future #educaçãofinanceira https://t.co/IKkFUWLb1w</t>
  </si>
  <si>
    <t>📌 Educação Financeira nas Escolas
🖥️ Por Michele Lins Aracaty e Silva
📰 Leia mais no Portal Único
https://t.co/SPkL7g4SSW
#artigo #opinião #educaçãofinanceira https://t.co/i88c1x1lis</t>
  </si>
  <si>
    <t>85% dos pais afirmam que orientam seus filhos sobre o tema.
#MeiaHora #Educaçãofinanceira 
https://t.co/xqn1EZUqPC</t>
  </si>
  <si>
    <t>Start na formação de mais uma turma de Day Trader 📈📊
#educacaofinanceira #Daytrade #assessoriadeinvestimentos https://t.co/jA9400a20C</t>
  </si>
  <si>
    <t>Guia de Educação Financeira para Empreendedores: Alcance o https://t.co/oJYlNpLxJa #análisefinanceiraparanegócios #planejamentosucessório #gestãodefluxodecaixa #gerenciamentodedinheiro #estratégiasdeinvestimentoempresarial #empreendedorismo #finanças #educaçãofinanceira</t>
  </si>
  <si>
    <t>Inscreva-se hoje mesmo!!!
Ganhe prémios respondendo a inquéritos online. Inscreva-se em https://t.co/FMGmO6v62p
#estudosdemercado #questionario #inquerito
#painel #dinheiroextra #rendimentoextra
#orçamentopessoal #orcamento #orcamentodomestico #opinião #finançaspessoais
#finanças https://t.co/TTUcdYh0iz</t>
  </si>
  <si>
    <t>Lembrar: Responder aos inquéritos Qquest
Ganhe prémios respondendo a inquéritos online. Inscreva-se em https://t.co/FMGmO6v62p
#estudosdemercado #questionario #inquerito
#painel #dinheiroextra #rendimentoextra
#orçamentopessoal #orcamento #opinião
#finançaspessoais #finanças https://t.co/PYBr9LjCBI</t>
  </si>
  <si>
    <t>Bom fim-de-semana
Ganhe prémios respondendo a inquéritos online. Inscreva-se em https://t.co/FMGmO6vDRX
#estudosdemercado #questionario #inquerito   #painel #dinheiroextra #rendimentoextra #orçamentopessoal #orcamento   #orcamentodomestico #opinião #finançaspessoais   #finanças https://t.co/o5D9WvIupF</t>
  </si>
  <si>
    <t>Boa semana :)
Ganhe prémios respondendo a inquéritos online. Inscreva-se em https://t.co/FMGmO6vDRX
#estudosdemercado #questionario #inquerito
#painel #dinheiroonline #dinheiroextra 
#rendimentoextra #orçamentopessoal #orcamento
#orcamentodomestico #opinião #finançaspessoais https://t.co/JgUUrAjEvS</t>
  </si>
  <si>
    <t>No fim-de-semana pode Ganhar!!!
Ganhe prémios respondendo a inquéritos online. Inscreva-se em https://t.co/FMGmO6vDRX
#estudosdemercado #questionario #inquerito
#painel #dinheiroextra #rendimentoextra #orçamentopessoal #orcamento #opinião #finançaspessoais #finanças https://t.co/Qt5JTXojsN</t>
  </si>
  <si>
    <t>Já respondeu aos nossos inquéritos?
Ganhe prémios respondendo a inquéritos online. Inscreva-se em https://t.co/FMGmO6v62p
#estudosdemercado #questionario #inquerito
#painel #dinheiroextra #rendimentoextra
#orçamentopessoal #orcamento #opinião
#finançaspessoais #finanças https://t.co/Fw9WL5z130</t>
  </si>
  <si>
    <t>Olá maio!!!
Ganhe prémios respondendo a inquéritos online. Inscreva-se em https://t.co/FMGmO6v62p
#estudosdemercado #questionario #inquerito   #painel #dinheiroextra #rendimentoextra #orçamentopessoal #orcamento #orcamentodomestico #opinião #finançaspessoais   #finanças https://t.co/d1Onr4v6F0</t>
  </si>
  <si>
    <t>Dê a sua opinião hoje ⚠️
Ganhe prémios respondendo a inquéritos online. Inscreva-se em https://t.co/FMGmO6vDRX
#estudosdemercado #questionario #inquerito #painel #dinheiroextra #opinião #rendimentoextra #orçamentopessoal  #orcamentodomestico #finançaspessoais #finanças https://t.co/vzt2jGbXF0</t>
  </si>
  <si>
    <t>No fim-de-semana pode Ganhar!!!
Ganhe prémios respondendo a inquéritos online. Inscreva-se em https://t.co/FMGmO6vDRX
#estudosdemercado #questionario #inquerito
#painel #dinheiroextra #rendimentoextra
#orçamentopessoal #orcamento #opinião
#finançaspessoais #finanças https://t.co/qP1SGBDQ7q</t>
  </si>
  <si>
    <t>Com Qquest o fim-de-semana é a Ganhar!!!
Ganhe prémios respondendo a inquéritos online. Inscreva-se em https://t.co/FMGmO6v62p
#estudosdemercado #inquerito #painel  #dinheiroextra #rendimentoextra #orçamentopessoal 
#orcamento #orcamentodomestico #opinião
#finançaspessoais https://t.co/elshKCESEG</t>
  </si>
  <si>
    <t>Boa semana🙃
Ganhe prémios respondendo a inquéritos online. Inscreva-se em https://t.co/FMGmO6v62p
#estudosdemercado #questionario #inquerito
#painel #dinheiroextra #rendimentoextra
#orçamentopessoal #orcamento #orcamentodomestico
#opinião #finançaspessoais #finanças https://t.co/v6VUEaHNLe</t>
  </si>
  <si>
    <t>Inscreva-se!!!
Ganhe prémios respondendo a inquéritos online. Inscreva-se em https://t.co/FMGmO6v62p
#estudosdemercado #questionario #inquerito
#painel #dinheiroonline #dinheiroextra
#rendimentoextra #orçamentopessoal #orcamento
#orcamentodomestico #opinião #finançaspessoais https://t.co/ZD3bDPYQoh</t>
  </si>
  <si>
    <t>Vamos aproveitar o dia!!!
Ganhe prémios respondendo a inquéritos online. Inscreva-se em https://t.co/FMGmO6vDRX
#estudosdemercado #questionario #inquerito #painel #dinheiroextra #rendimentoextra   #orcamento #orcamentodomestico #opinião   #finançaspessoais #finanças https://t.co/KhLny1cVtP</t>
  </si>
  <si>
    <t>Inscreva-se no Qquest, a sua opinião é recompensada.
Ganhe prémios respondendo a inquéritos online. Inscreva-se em https://t.co/FMGmO6v62p
#estudosdemercado #questionario #inquerito #painel #dinheiroextra #rendimentoextra #orçamentopessoal #orcamento #opinião #finançaspessoais https://t.co/xKYvJ1Fp3F</t>
  </si>
  <si>
    <t>Olá junho!!
Ganhe prémios respondendo a inquéritos online. Inscreva-se em https://t.co/FMGmO6v62p
#estudosdemercado #questionario #inquerito #painel #dinheiroextra #rendimentoextra #orçamentopessoal  #orcamento #orcamentodomestico #opinião #finançaspessoais   #finanças https://t.co/aF0hZyrNtA</t>
  </si>
  <si>
    <t>Não esquecer de responder aos inquéritos Qquest
Ganhe prémios respondendo a inquéritos online. Inscreva-se em https://t.co/FMGmO6v62p
#estudosdemercado #questionario #inquerito
#painel #dinheiroextra #orçamentopessoal 
#orcamento #opinião #finançaspessoais #finanças https://t.co/Pu1zUApKkR</t>
  </si>
  <si>
    <t>Bem-vindo Abril 🌸🌼
Ganhe prémios respondendo a inquéritos online. Inscreva-se em https://t.co/FMGmO6vDRX
#estudosdemercado #questionario #inquerito
#painel #dinheiroextra #rendimentoextra
#orçamentopessoal #orcamento #orcamentodomestico #opinião #finançaspessoais
#finanças https://t.co/F9I2v0e0oh</t>
  </si>
  <si>
    <t>Responda aos nossos inquéritos online e comece a Ganhar 😊
Ganhe prémios respondendo a inquéritos online. Inscreva-se em https://t.co/FMGmO6v62p️
#estudosdemercado #questionario #inquerito
#painel #dinheiroextra #orçamentopessoal 
#orcamento #finançaspessoais #finanças https://t.co/yBkIG8Ab5O</t>
  </si>
  <si>
    <t>É Carnaval!!!
Ganhe prémios respondendo a inquéritos online. Inscreva-se em https://t.co/FMGmO6v62p
#estudosdemercado #questionario #inquerito
#painel #dinheiroextra #rendimentoextra
#orçamentopessoal #orcamento #orcamentodomestico #opinião #finançaspessoais
#finanças https://t.co/a6vkEggVPe</t>
  </si>
  <si>
    <t>Aproveite o fim-de-semana para Ganhar!!!
Ganhe prémios respondendo a inquéritos online. Inscreva-se em https://t.co/FMGmO6vDRX
#estudosdemercado #questionario #inquerito
#painel #dinheiroextra  #rendimentoextra
#orçamentopessoal #orcamento #opinião
#finançaspessoais #finanças https://t.co/To3Ign0iao</t>
  </si>
  <si>
    <t>Responda aos nossos inquéritos online!!!
Ganhe prémios respondendo a inquéritos online. Inscreva-se em https://t.co/FMGmO6v62p
#estudosdemercado #questionario #inquerito
#painel #dinheiroextra #rendimentoextra
#orçamentopessoal #orcamento #opinião
#finançaspessoais #finanças https://t.co/KJXroDGDuW</t>
  </si>
  <si>
    <t>Veja bem como pode ganhar!!!
Ganhe prémios respondendo a inquéritos online. Inscreva-se em https://t.co/FMGmO6v62p
#estudosdemercado #questionario #inquerito #painel #dinheiroextra #rendimentoextra #orçamentopessoal #orcamento #orcamentodomestico #opinião #finançaspessoais https://t.co/s1kKnLeqXW</t>
  </si>
  <si>
    <t>Partilhe a sua opinião!
Ganhe prémios respondendo a inquéritos online. Inscreva-se em https://t.co/FMGmO6vDRX
#estudosdemercado #questionario #inquerito #painel #dinheiroonline #dinheiroextra #orçamentopessoal #orcamento #orcamentodomestico #opinião #finançaspessoais #finanças https://t.co/8HFIsFJpq6</t>
  </si>
  <si>
    <t>Aviso! ⚠️
Ganhe prémios respondendo a inquéritos online. Inscreva-se em https://t.co/FMGmO6vDRX
#estudosdemercado #questionario #inquerito
#painel #dinheiroextra 
#rendimentoextra #orçamentopessoal 
#orcamento #orcamentodomestico
#opinião #finançaspessoais #finanças https://t.co/lygB7ve2ON</t>
  </si>
  <si>
    <t>No fim-de-semana pode Ganhar!!!
Ganhe prémios respondendo a inquéritos online. Inscreva-se em https://t.co/FMGmO6vDRX
#estudosdemercado #questionario #inquerito
#painel #dinheiroextra #orçamentopessoal 
#orcamento #orcamentodomestico
#opinião #finançaspessoais #finanças https://t.co/MoZp0scIzm</t>
  </si>
  <si>
    <t>Descontraia com o painel Qquest
Ganhe prémios respondendo a inquéritos online. Inscreva-se em https://t.co/FMGmO6v62p
#estudosdemercado #questionario #inquerito #painel    #dinheiroextra #rendimentoextra #orçamentopessoal    #orcamento #opinião #finançaspessoais #finanças https://t.co/6d00LIf2aD</t>
  </si>
  <si>
    <t>Com o Qquest, a sua opinião vale recompensas
Ganhe prémios respondendo a inquéritos online. Inscreva-se em https://t.co/FMGmO6v62p
#estudosdemercado #questionario #inquerito #painel    #dinheiroextra #rendimentoextra #orcamento #opinião #finançaspessoais #finanças https://t.co/QOWNIEepVQ</t>
  </si>
  <si>
    <t>Faça parte do Qqquest!
Ganhe prémios respondendo a inquéritos online. Inscreva-se em https://t.co/FMGmO6v62p
#estudosdemercado #questionario #inquerito #painel #dinheiroextra  #rendimentoextra #orçamentopessoal #orcamento  #orcamentodomestico #opinião #finançaspessoais https://t.co/XoB7o1vKEf</t>
  </si>
  <si>
    <t>Comece a poupar com o Qquest!!
Ganhe prémios respondendo a inquéritos online. Inscreva-se em https://t.co/FMGmO6v62p
#estudosdemercado #questionario #inquerito #painel #dinheiroextra #rendimentoextra #orcamento #orcamentodomestico #opinião #finançaspessoais   #finanças https://t.co/YwICIPLNbX</t>
  </si>
  <si>
    <t>Responda aos nossos inquéritos online e ganhe recompensas!!!
Ganhe prémios respondendo a inquéritos online. Inscreva-se em https://t.co/FMGmO6vDRX
#questionario #inquerito #painel #dinheiroonline 
#dinheiroextra #rendimentoextra #orcamento
#opinião #finançaspessoais #finanças https://t.co/lh0ERwUrVw</t>
  </si>
  <si>
    <t>Bom fim-de-semana 🙂
Ganhe prémios respondendo a inquéritos online. Inscreva-se em https://t.co/FMGmO6v62p
#questionario #inquerito #painel #dinheiroonline 
#dinheiroextra #rendimentoextra #orçamentopessoal 
#orcamento #orcamentodomestico #opinião
#finançaspessoais #finanças https://t.co/0imlsb1Zgs</t>
  </si>
  <si>
    <t>Comece hoje a responder aos nossos inquéritos online!!!
Ganhe prémios respondendo a inquéritos online. Inscreva-se em https://t.co/FMGmO6v62p
#estudosdemercado #questionario #inquerito
#painel #dinheiroextra #rendimentoextra
#orçamentopessoal #orcamento #opinião
#finançaspessoais https://t.co/EcuEWaQGlX</t>
  </si>
  <si>
    <t>Boa semana 😊
Ganhe prémios respondendo a inquéritos online. Inscreva-se em https://t.co/FMGmO6v62p
#estudosdemercado #questionario #inquerito #painel    #dinheiroonline #dinheiroextra #rendimentoextra #orçamentopessoal #orcamento #opinião #finançaspessoais #finanças https://t.co/hZjzbWxYVT</t>
  </si>
  <si>
    <t>Bom fim-de-semana
Ganhe prémios respondendo a inquéritos online. Inscreva-se em https://t.co/FMGmO6vDRX
#estudosdemercado #questionario #inquerito
#painel #dinheiroextra #rendimentoextra
#orçamentopessoal #orcamento #orcamentodomestico #opinião #finançaspessoais
#finanças https://t.co/FglA8R0Rsu</t>
  </si>
  <si>
    <t>Faça uma Pausa!
Ganhe prémios respondendo a inquéritos online.
Inscreva-se em https://t.co/FMGmO6v62p
#questionario #inquerito #painel #dinheiroonline 
#dinheiroextra #rendimentoextra #orçamentopessoal 
#orcamento #orcamentodomestico #opinião
#finançaspessoais #finanças https://t.co/usIZf7eUxT</t>
  </si>
  <si>
    <t>Ganhe prémios respondendo a inquéritos online.
Inscreva-se em https://t.co/FMGmO6vDRX
#estudosdemercado #questionario #inquerito
#painel #dinheiroonline #dinheiroextra 
#rendimentoextra #orçamentopessoal #orcamento
#orcamentodomestico #opinião #finançaspessoais
#finanças https://t.co/n98Lx76Da9</t>
  </si>
  <si>
    <t>Olá Setembro!!!
Ganhe prémios respondendo a inquéritos online. Inscreva-se em https://t.co/FMGmO6v62p
#estudosdemercado #questionario #inquerito #painel    #dinheiroextra #rendimentoextra   #orçamentopessoal #orcamento #orcamentodomestico #opinião #finançaspessoais   #finanças https://t.co/THExZWhKZs</t>
  </si>
  <si>
    <t>Aproveite o fim de semana
Ganhe prémios respondendo a inquéritos online. Inscreva-se em https://t.co/FMGmO6vDRX
#estudosdemercado #questionario #inquerito #painel   #dinheiroextra #rendimentoextra #orçamentopessoal    #orcamento #orcamentodomestico #opinião #finançaspessoais https://t.co/PVoRkFSRIh</t>
  </si>
  <si>
    <t>Junte-se ao Qqquest!!
Ganhe prémios respondendo a inquéritos online. Inscreva-se em https://t.co/FMGmO6vDRX
#estudosdemercado #questionario #inquerito #painel #dinheiroextra #rendimentoextra #orçamentopessoal #orcamento #orcamentodomestico #opinião #finançaspessoais #finanças https://t.co/V9UJwJ6AVs</t>
  </si>
  <si>
    <t>Inscreva-se hoje 🙂
Ganhe prémios respondendo a inquéritos online. Inscreva-se em https://t.co/FMGmO6v62p
#estudosdemercado #questionario #inquerito
#painel #dinheiroextra #rendimentoextra
#orçamentopessoal #orcamento
#orcamentodomestico #opinião #finançaspessoais
#finanças https://t.co/BaCGVfX77O</t>
  </si>
  <si>
    <t>Olá Primavera 🌺🌸🌼
Ganhe prémios respondendo a inquéritos online. Inscreva-se em https://t.co/FMGmO6vDRX
#estudosdemercado #questionario #inquerito
#painel #dinheiroextra #rendimentoextra
#orçamentopessoal #orcamento #orcamentodomestico #opinião #finançaspessoais
#finanças https://t.co/XxzqZWvVpl</t>
  </si>
  <si>
    <t>Ganhe prémios em fevereiro respondendo a inquéritos online!!!
Inscreva-se em https://t.co/FMGmO6v62p
#estudosdemercado #questionario #inquerito
#painel #dinheiroextra #rendimentoextra
#orçamentopessoal #orcamento #orcamentodomestico
#opinião #finançaspessoais #finanças https://t.co/za4JZTmXxD</t>
  </si>
  <si>
    <t>Ganhe prémios respondendo a inquéritos online.
Inscreva-se em https://t.co/FMGmO6v62p
#estudosdemercado #questionario #inquerito
#painel #dinheiroonline #dinheiroextra 
#rendimentoextra #orçamentopessoal #orcamento
#orcamentodomestico #opinião #finançaspessoais
#finanças https://t.co/RlMWMR8XF2</t>
  </si>
  <si>
    <t>Marque na sua agenda: Responder aos inquéritos Qquest
Ganhe prémios respondendo a inquéritos online. Inscreva-se em https://t.co/FMGmO6v62p
#questionario #inquerito #painel #dinheiroextra 
#rendimentoextra #orçamentopessoal #orcamento
#opinião #finançaspessoais #finanças https://t.co/ESd9J7jxhK</t>
  </si>
  <si>
    <t>#EducaçãoFinanceira: as #ferramentas usadas pelas #fintechs que fazem a ponte entre #cliente e #conhecimento https://t.co/cPBSb4Dgcd #MultiMidiaEcommerce via @GrupoMundoMS</t>
  </si>
  <si>
    <t>Você possui um fundo para emergências? 
Muitas vezes começamos a juntar dinheiro em vários tipos de investimentos esquecendo-se do primeiro, e mais básico, questionamento: e se eu precisar do dinheiro?
#investir #dinheiro #investidor #tesouro #fundos #finanças #financaspessoais https://t.co/cLOMgQyBce</t>
  </si>
  <si>
    <t>#QUIZ: Há fundos imobiliarios que nos últimos 30 dias caíram 30%. Os dividendos são pagos em relação ao valor da cota. Quanto tempo o investidor irá levar para que seu valor patrimonial inicial supere o CDI? #FII #Investimento #Credito #Planejamento #Dinheiro #EducacaoFinanceira</t>
  </si>
  <si>
    <t>Em dezembro publiquei o livro na lulu e no smashwords. Ontem à noite coloquei o site online. Finalmente. Isto do self-publish dá muito trabalho - https://t.co/NarAnta3V4 #livro #finançaspessoais</t>
  </si>
  <si>
    <t>Declaração do Imposto de Renda está chegando! Reúna seus documentos e evite erros na hora de declarar. Se tiver dúvidas, me mande uma mensagem no direct. #ImpostoDeRenda #DeclaracaoDeIR #Contabilidade #FinançasPessoais. https://t.co/vnRcAYaqVp</t>
  </si>
  <si>
    <t>💰 ATENÇÃO: ÚLTIMO DIA DE INSCRIÇÃO! ⏰ #BORA #ultimodia 
CURSO DE ORIENTAÇÃO EM FINANÇAS PESSOAIS COM FOCO EM ORGANIZAÇÃO FINANCEIRA E ENDIVIDAMENTO
https://t.co/VxzPUk0Trq
#financaspessoais #financas #endividamento #endividados #fatecferrazdevasconcelos #fatecferraz https://t.co/IPQS0Mp9kg</t>
  </si>
  <si>
    <t>“filosofia” Luiz Barsi investindo com estratégia “filosofia” Luiz Barsi investindo com estratégia liberdadefinanceira #finançaspessoais #finanças #viverderenda #louisebarsi #investimentos #bolsadevalores #dividendos … via YouTube... https://t.co/r8ZJXXfqgc</t>
  </si>
  <si>
    <t>Qual a responsabilidade dos influenciadores na produção de seus conteúdos? Ana Laura Magalhães, co-fundadora da https://t.co/803pivizkO e da EVE.NFT, ex-sócia do Grupo XP e criadora da marca Explica Ana, fala sobre o tema. #podcast #investimentos #educaçãofinanceira https://t.co/ev3aBfjVIO</t>
  </si>
  <si>
    <t>Vivian Marques fala sobre as diferenças entre agente autônomo (assessor de #investimentos) e consultor de valores mobiliários e os limites dos serviços desses profissionais. Boa leitura!
https://t.co/rSo9bbHWW0
#investimentofinanceiro #finançaspessoais #mercadofinanceiro https://t.co/Mz6lpx1ofu</t>
  </si>
  <si>
    <t>Será que vai acabar o diferimento da #tributação dos rendimentos de #offshore detida por pessoa física? Leia os comentários do nosso autor David Silva. Boa leitura!
https://t.co/bF2hlPekYY
#finançaspessoais #investimentofinanceiro #contabilidade https://t.co/pNpHg9IlOs</t>
  </si>
  <si>
    <t>Falando sobre #finançaspessoais e #comportamento, Walter Moreira Neto, CFP® explica como a síndrome do FOMO (Fear of Missing Out) pode afetar a sua vida e os seus #investimentos.
https://t.co/cmTIjDePUG
#investimentofinanceiro #cfp #vida #investimentos #planejamentofinanceiro https://t.co/Vhge5v2W4g</t>
  </si>
  <si>
    <t>No artigo de hoje, Vanessa Chincoli comenta sobre terem os enteados #direito à herança do padrasto ou madrasta. Boa leitura.
Acesse: https://t.co/WNvkm3trar
#direitodefamilia #finançaspessoais #advocacia #planejamentosucessorio #familia #família #filhos https://t.co/157Xyvs4QB</t>
  </si>
  <si>
    <t>Neste feriado, destacamos um artigo de Ana Bárbara Zillo que ressoa com o período da Páscoa: doação.
Para ler, acesse https://t.co/Kjonekem3D
Bom feriado!
#EditoraB18 #ConhecimentoQuePreserva #EducaçãoFinanceira #Artigos #PlanejamentoPatrimonial #Herança #WealthPlanning https://t.co/MKPWo6y9x7</t>
  </si>
  <si>
    <t>Novo evento da Editora B18: Planejamento pré e pós imigração para quem quer se mudar aos EUA. Inscrições em: https://t.co/jJBoGRE471 Tema quente 🔥 🔥 🔥 
#finançaspessoais #tributação #recursoshumanos #eua #mudançaparaeua #estadosunidos https://t.co/blOQxW63v3</t>
  </si>
  <si>
    <t>O fisco paulista se posicionou sobre o tratamento de ITCMD com relação a trusts estrangeiros. Artigo do nosso autor David Silva.
https://t.co/IZwYmNjTBl
#finançaspessoais #tributação #tributario #tributos #wealthplanning #trust #planejamentosucessorio #direitotributario #offshore https://t.co/8zDaVre76g</t>
  </si>
  <si>
    <t>Será que o seu sonho de virar herdeiro pode virar realidade? 🤑 Esse é o tema do artigo da #advogada Ivone Zeger. Confira: (https://t.co/oNtuw4hLg7)
#planejamentosucessorio #direito #finançaspessoais https://t.co/I99fqlroAc</t>
  </si>
  <si>
    <t>David Silva comenta projeto de lei que propõe regular a #tributação de trusts estrangeiros no Brasil. Acesse: https://t.co/G1e8WgKm4r
#finançaspessoais #investimentofinanceiro #advocacia #direitotributario #offshore #trusts #wealthplanning https://t.co/PjqDgAicDY</t>
  </si>
  <si>
    <t>O artigo de Beno Marcio Karlik comenta sobre o procedimento a ser adotado para hipoteca antiga sobre #imoveis quando não se conhece o paradeiro do credor ou não se tem a prova da quitação.
https://t.co/IuDWGdaeAp
#direitocivil #finançaspessoais #advocacia #direitoimobiliario https://t.co/JfG84oaBzY</t>
  </si>
  <si>
    <t>Começamos a semana falando de #finançaspessoais e #investimentos, com o ótimo artigo de Nohad Harati: https://t.co/VUM34mYHJR
#investimentofinanceiro #mercadofinanceiro #familyoffice #gestaofinanceira https://t.co/d35Ixa0ZVI</t>
  </si>
  <si>
    <t>Começamos a semana com artigo de David Silva sobre #investimentofinanceiro por meio de #empresas #offshore e os impactos na #tributação trazidos pela MP 1171/2023.
https://t.co/zaKzBRkidP
#mercadofinanceiro #contabilidade #finançaspessoais #direito #direitotributario https://t.co/rt416ASdF4</t>
  </si>
  <si>
    <t>Para quem não compareceu ao nosso evento de 23.05 sobre questões práticas e polêmicas de planejamento patrimonial e sucessório, criamos um #ebook com o conteúdo das palestras.
https://t.co/nlbtcvDiE9
#direito #advocacia #planejamentosucessorio #finançaspessoais https://t.co/ATIDtM4S3Y</t>
  </si>
  <si>
    <t>URGENTE: Vetado o PL que reduzia o ITCMD em São Paulo.
https://t.co/A21cOTQzhW
#tributação #finançaspessoais #contabilidade #planejamentosucessorio https://t.co/DVDYQVZeIZ</t>
  </si>
  <si>
    <t>Veja a primeira análise sobre a MP 1184/2023 que institui o come-cotas sobre os #fundos de #investimento fechados. 
https://t.co/P33Sm41ecH
#finançaspessoais #mercadofinanceiro #investimentofinanceiro #contabilidade #tributação #direitotributário #fundosdeinvestimento #bancos https://t.co/6bZqAs7FNs</t>
  </si>
  <si>
    <t>O artigo do nosso autor David Silva fala sobre o regime da separação de bens e como ele, nem sempre, evita a solidariedade de dívidas do casal. Vale a leitura.
https://t.co/B1EgNBxNqO
#finançaspessoais #recursoshumanos #direito #advocacia #divorcio #casamento https://t.co/y5QdE5xWnv</t>
  </si>
  <si>
    <t>Para quem não veio ao nosso evento sobre #holding, criamos um e-book com todos os slides apresentados durante aquela ótima sessão de troca de conhecimentos. Saiba mais em: https://t.co/zgWRD7Se44
#finançaspessoais #empresas #planejamentopatrimonial #contabilidade https://t.co/H6b4QVdnn9</t>
  </si>
  <si>
    <t>Para quem não veio do nosso evento sobre a MP 1171, sobre #tributação do #investimentofinanceiro, #empresas #offshore e trusts no #exterior, preparamos um e-book com todos os slides. Acesse:
https://t.co/QE1uieGAdm
#direitotributario #finançaspessoais #contabilidade #contadores https://t.co/r6Sc1BdCaE</t>
  </si>
  <si>
    <t>"Os regimes de casamento e a herança”, de Roberto Campos, é o artigo selecionado do dia. Para continuar a leitura, acesse https://t.co/IweHhKk49P
#EditoraB18 #ConhecimentoQuePreserva #EducaçãoFinanceira #Artigos #DireitoSucessório #RegimeDeBens #HoldingPatrimonial https://t.co/lBSBJeF4MJ</t>
  </si>
  <si>
    <t>O artigo "Comissão da Câmara aprova tributação de Offshore para pessoa física", de David Roberto R. Soares da Silva, está disponível gratuitamente em https://t.co/mSrPGDuydo
#EditoraB18 #EducacaoFinanceira #Artigos #PlanejamentoPatrimonial #Offshore #IR #TributacaoOffshore https://t.co/j1dz8BDuOE</t>
  </si>
  <si>
    <t>Nosso autor David Silva faz uma análise sobre a MP 1184/2023 que institui o come-cotas sobre os #fundos de investimento fechados. 
https://t.co/P33Sm41M2f
#finançaspessoais #mercadofinanceiro #investimentofinanceiro #contabilidade #tributação #direitotributário https://t.co/6lmD0F0KMr</t>
  </si>
  <si>
    <t>Começamos a semana, com o artigo do nosso autor David Silva que trata dos #seguros internacionais na MP 1171 e sua possível #tributação automática se a MP for convertida em lei.
https://t.co/HMq9d4yx09
#investimentofinanceiro #finançaspessoais #offshore #insurance #lifeinsurance https://t.co/IVwqVYYttL</t>
  </si>
  <si>
    <t>Acordei e peguei o jornal. O que encontrei ? Uma matéria de meia página com a @nathfinancas, sobre "O Plano Perfeito", com direito a uma das ilustrações do livro.   #nathfinancas  #planoperfeito  #educacaofinanceira</t>
  </si>
  <si>
    <t>Criptomoeda x Investimento tradicional: qual escolher? Saiba mais: https://t.co/tDKzsbF4SB
 #CriptomoedaVsInvestimentoTradicional #DecisãoDeInvestimento #EducaçãoFinanceira</t>
  </si>
  <si>
    <t>Análise de balanço explicada: um guia para iniciantes. Saiba mais: https://t.co/mNPCrEIInA
 #EducaçãoFinanceira #ContabilidadeInteligente</t>
  </si>
  <si>
    <t>Pagar impostos com criptomoedas: é possível? Saiba mais. Saiba mais: https://t.co/3wBKwik2fx
 #ImpostosCripto #CriptoLegalidade #FinançasPessoais</t>
  </si>
  <si>
    <t>Diferença entre poupança e Selic: desmistifique as diferenças. Saiba mais: https://t.co/qdDdOzyFg4
 #PoupançaVSelic #Investimentos #FinançasPessoais</t>
  </si>
  <si>
    <t>Tesouro direto: aprenda a investir com segurança. Saiba mais: https://t.co/AHZ9v2mKby
 #TesouroDireto #InvestimentoSeguro #FinançasPessoais</t>
  </si>
  <si>
    <t>A falência do SVB Silicon Valley Bank: entenda o caso. Saiba mais: https://t.co/HJNjAXmIus
 #FalenciaSVB #RiscosBancários #EducaçãoFinanceira</t>
  </si>
  <si>
    <t>Domine sua declaração de imposto de renda com nossas recomendações. Saiba mais: https://t.co/91Sr1hvPCR
#ImpostodeRenda #FinançasPessoais #DeclaraçãodeImpostos</t>
  </si>
  <si>
    <t>Monte um planejamento financeiro pessoal robusto e seguro. Saiba mais: https://t.co/squ1rUluZ9
 #PlanejamentoFinanceiroPessoal #FinançasPessoais #ControleFinanceiro</t>
  </si>
  <si>
    <t>Ação ordinária: descubra o que é e como comprar. Saiba mais: https://t.co/KDD2TNr9QX
 #AçãoOrdinária #InvestimentoEmAções #EducaçãoFinanceira</t>
  </si>
  <si>
    <t>Como lidar com dívidas: dicas práticas. Saiba mais: https://t.co/ia5jCzQH45
 #LidandoComDívida #EstratégiasDePagamento #FinançasPessoais</t>
  </si>
  <si>
    <t>Ações de alto risco: saiba mais sobre essa opção de investimento. Saiba mais: https://t.co/Uyw5XYPnB4
 #AçõesDeAltoRisco #InvestimentoArriscado #EducaçãoFinanceira</t>
  </si>
  <si>
    <t>5 livros para iniciantes em investimentos e finanças pessoais. Saiba mais: https://t.co/Aast4wQWYG
#ComoInvestir #educaçãofinanceira #FinançasBásicas #Investimento #livros</t>
  </si>
  <si>
    <t>@petayres Não me leve junto nessa
#EducaçãoFinanceira https://t.co/JQcqpLSJ9U</t>
  </si>
  <si>
    <t>⏰⚠ Último dia para entrega da Declaração de Imposto de Renda Pessoa Física (IRPF) 2023: 31/05 ⚠⏰
#Leão #ImpostoDeRenda #IRPF2023 #PrazoFinal #FinançasPessoais #contabilidade #atendimento #online #jf https://t.co/AJT4VzT8CX</t>
  </si>
  <si>
    <t>"SE VOCÊ NÃO ASSUMIR RISCOS, NADA IRÁ MUDAR."
Wise Chimp 
#ibovespa #bovespa #dinheiro #fundodi #ações #economia #finanças #consultoria #assessoriafinanceira #finançaspessoais #educaçãofinanceira #fdi #poupança #fundoimobiliario #fundomultimercado https://t.co/AVtNliXIHk</t>
  </si>
  <si>
    <t>FECHAMENTO MERCADO 
29/05/23
DAX   -0,20%
SP500   feriado 
IBOVESPA  -0,52% 
DÓLAR   5,01
#Ibovespa #bovespa #dinheiro #rendafixa #rendavariavel #finanças #consultoria #assessoria #ações #economia #finançaspessoais #educaçãofinanceira #fdi #poupança #fundoimobiliario https://t.co/z5XJiVrV0u</t>
  </si>
  <si>
    <t>QUEDA DOS JUROS FUTUROS 
#ibovespa #bovespa #ações #SP500 #dinheiro #economia #rendafixa #rendavariavel #finanças #consultoria #assessoriafinanceira #finançaspessoais #educaçãofinanceira https://t.co/CPyg6Gb7bP</t>
  </si>
  <si>
    <t>"IMPACIÊNCIA COM AÇÕES, PACIÊNCIA COM RESULTADOS."
Naval Ravikant 
#ibovespa #bovespa #dinheiro #fundodi #aplicações #rendafixa #rendavariavel #finanças #consultoria #assessoriafinanceira #educaçãofinanceira #economia #poupança #fundoimobiliario #imóvel https://t.co/NyDnvPSDyQ</t>
  </si>
  <si>
    <t>FALA DO PRESIDENTE EM FAVOR DA VENEZUELA 
#ibovespa #bovespa #dinheiro #fundodi #aplicações #rendafixa #rendavariavel #economia #educaçãofinanceira #poupança #fundoimobiliario #consultoriafinanceira #fundomultimercado #finançaspessoais https://t.co/oko1Lxl5a5</t>
  </si>
  <si>
    <t>FECHAMENTO MERCADO 
30/05/23
DAX   -0,27%
SP500   0,00%
IBOVESPA  -1,24% 
DÓLAR   5,04
#Ibovespa #bovespa #dinheiro #rendafixa #rendavariavel #finanças #consultoria #assessoria #ações #economia #finançaspessoais #educaçãofinanceira #fdi #poupança #fundoimobiliario https://t.co/BfcTHDTLRJ</t>
  </si>
  <si>
    <t>FORÇA DO CENTRÃO 
#ibovespa #bovespa #dinheiro #fundodi #aplicações #rendafixa #rendavariavel #finanças #consultoria #assessoriafinanceira #finançaspessoais  #educaçãofinanceira https://t.co/KG5RfFuLNk</t>
  </si>
  <si>
    <t>IPCA-15 MAIO 2023
#ibovespa #bovespa #dinheiro #fundodi #aplicaçõesfinanceiras #ações #economia #finanças #educaçãofinanceira #rendafixa #rendavariavel #finanças #consultoria #assessoriafinanceira #finançaspessoais https://t.co/nujEPytUto</t>
  </si>
  <si>
    <t>"NÃO USE SUA ENERGIA PARA SE PREOCUPAR. 
USE SUA ENERGIA PARA ACREDITAR."
Moral Philosophy 
#ibovespa #bovespa #ações #SP500 #dinheiro #economia #rendafixa #rendavariavel #finanças #consultoria #assessoriafinanceira #investimento #educaçãofinanceira https://t.co/n3miMpzFxf</t>
  </si>
  <si>
    <t>"AS CINCO PALAVRAS MAIS PERIGOSAS EM NEGÓCIOS SÃO:
TODO MUNDO ESTÁ FAZENDO ISSO."
Warren Buffett
#ibovespa #bovespa #ações #SP500 #dinheiro #economia #rendafixa #rendavariavel #finanças #consultoria #assessoriafinanceira #finanças #educaçãofinanceira https://t.co/m5wkDcLtHl</t>
  </si>
  <si>
    <t>FECHAMENTO MERCADO 
23/06/23
DAX   -0,99%
SP500  -0,77%
IBOVESPA   +0,04% 
DÓLAR   4,77
#Ibovespa #bovespa #dinheiro #rendafixa #rendavariavel #finanças #economia #fundoimobiliario #fundomultimercado #finançaspessoais #dolar #bitcoin    #imóvel #poupança https://t.co/zYdaVT4Pgq</t>
  </si>
  <si>
    <t>FECHAMENTO MERCADO 
22/06/23
DAX   -0,22%
SP500  +0,37%
IBOVESPA   -1,23% 
DÓLAR   4,77
#Ibovespa #bovespa #dinheiro #rendafixa #rendavariavel #finanças #economia #fundoimobiliario #fundomultimercado #finançaspessoais #dolar #bitcoin #imóvel #poupança https://t.co/jW7zoWZTPG</t>
  </si>
  <si>
    <t>FECHAMENTO MERCADO 
21/06/23
DAX   -0,55%
SP500   -0,52
IBOVESPA   +0,67% 
DÓLAR   4,77
#Ibovespa #bovespa #dinheiro #rendafixa #rendavariavel #finanças #economia #fundoimobiliario #fundomultimercado #finançaspessoais #dolar #bitcoin       #imóvel #poupança https://t.co/uJN0YWSbha</t>
  </si>
  <si>
    <t>FECHAMENTO MERCADO 
20/06/23
DAX   -0,55%
SP500   -0,47
IBOVESPA   -0,20% 
DÓLAR   4,80
#Ibovespa #bovespa #dinheiro #rendafixa #rendavariavel #finanças #economia #fundoimobiliario #fundomultimercado #finançaspessoais #dolar #bitcoin    #imóvel #poupança https://t.co/vxZnZKlidu</t>
  </si>
  <si>
    <t>"UM FALSO AMIGO É PIOR QUE UM INIMIGO."
Moral Philosophy 
#ibovespa #bovespa #dinheiro #rendafixa #rendavariavel #fundomultimercado #fundoimobiliario #dolar #poupança #economia #bitcoin #imóvel #educaçãofinanceira #finançaspessoais https://t.co/fIbQRV0M2J</t>
  </si>
  <si>
    <t>PIORES INVESTIMENTOS 
ANO 2023 ATÉ MAIO 
#ibovespa #bovespa #dinheiro #ações #rendafixa #consultoria #assessoriafinanceira #rendavariavel #finanças #educaçãofinanceira #fundoimobiliario #imóvel #fundodi #fundomultimercado #economia #dolar #bitcoin https://t.co/mnaQmWKPgA</t>
  </si>
  <si>
    <t>PIORES INVESTIMENTOS 
MAIO  2023
#ibovespa #bovespa #dinheiro #fundodi #aplicaçõesfinanceiras #rendafixa #rendavariavel #finanças #consultoria #assessoriafinanceira #finanças #educaçãofinanceira #economia #finançaspessoais #fundoimobiliario #imóvel #fundomultimercado #poupança https://t.co/p1FnnP6mqM</t>
  </si>
  <si>
    <t>FECHAMENTO MERCADO 
27/06/23
DAX   +0,21%
SP500  +1,15%
IBOVESPA   -0,61% 
DÓLAR   4,80
#Ibovespa #bovespa #dinheiro #rendafixa #rendavariavel #finanças #economia #fundoimobiliario #fundomultimercado #finançaspessoais #dolar #bitcoin          #imóvel #poupança https://t.co/f9uQdujUv4</t>
  </si>
  <si>
    <t>"UMA DAS CAUSAS MAIS COMUNS DE FRACASSO É O HÁBITO DE DESISTIR QUANDO A PESSOA É SURPREENDIDA POR UMA DERROTA TEMPORÁRIA."
Napoleon Hill
#ibovespa #bovespa #fundoimobiliario #fundomultimercado #finançaspessoais #dolar #bitcoin #imóvel #rendafixa #rendavariavel #finanças https://t.co/Gs3CZYc9jp</t>
  </si>
  <si>
    <t>FECHAMENTO MERCADO 
26/06/23
DAX   -0,11%
SP500  -0,45%
IBOVESPA   -0,62% 
DÓLAR   4,77
#Ibovespa #bovespa #dinheiro #rendafixa #rendavariavel #finanças #economia #fundoimobiliario #fundomultimercado #finançaspessoais #dolar #bitcoin       #imóvel #poupança https://t.co/mFrcHK3tVd</t>
  </si>
  <si>
    <t>"AMOR INCONDICIONAL, NÃO SIGNIFICA TOLERÂNCIA INCONDICIONAL."
Wiseconnector
#ibovespa #bovespa #dinheiro #rendafixa #rendavariavel #finanças #consultoria #assessoriafinanceira #educaçãofinanceira #fundoimobiliario #fundomultimercado #finançaspessoais #educação #bitcoin #dolar https://t.co/9Qr1YjuDrw</t>
  </si>
  <si>
    <t>"TODO TEMPO E ESFORÇO QUE AS PESSOAS SE DEDICAM A ENCONTRAR O FUNDO CERTO, A DICA QUENTE E O GRANDE GESTOR, NA MAIORIA DAS VEZES NÃO LEVAM A VANTAGEM ALGUMA."
Peter Lynch 
#ibovespa #bovespa #dinheiro #fundoimobiliario #fundomultimercado #finançaspessoais #dolar #imovel https://t.co/BGVlTYPLNw</t>
  </si>
  <si>
    <t>"NUNCA SE CANSE DE PEDIR A DEUS PARA GUIA-LO."
Inspirational Quotes
#ibovespa #bovespa #dinheiro #rendafixa #rendavariavel #finanças #consultoria #assessoriafinanceira #educaçãofinanceira https://t.co/JAcagEwrFT</t>
  </si>
  <si>
    <t>O MERCADO DE AÇÕES VIVE NA MAIORIA DO TEMPO ENTRE O OTIMISMO E PESSIMISMO EXAGERADOS. 
MUITO POUCO TEMPO NA REALIDADE DOS FATOS.
#ibovespa #bovespa #dinheiro #rendafixa #rendavariavel #finanças #consultoria #assessoriafinanceira #economia #educaçãofinanceira https://t.co/DGJcRAuA0t</t>
  </si>
  <si>
    <t>"BASICAMENTE POSSO COMPRAR QUALQUER COISA QUE EU QUISER, MAS EU NÃO POSSO COMPRAR TEMPO." 
Warren Buffett
#ibovespa #bovespa #dinheiro #ações #rendafixa #consultoria #assessoriafinanceira #rendavariavel #finanças #educaçãofinanceira #economia https://t.co/FSCEufEwvs</t>
  </si>
  <si>
    <t>"AS PESSOAS NÃO DECIDEM SEUS  FUTUROS. 
ELAS DECIDEM SEUS HÁBITOS, E SEUS HÁBITOS DECIDEM SEUS FUTUROS."
F.M. Alexander
#ibovespa #bovespa #ações #SP500 #dinheiro #economia #rendafixa #rendavariavel #finanças #consultoria #assessoriafinanceira #finanças #educaçãofinanceira https://t.co/iAhsjzZ8is</t>
  </si>
  <si>
    <t>REDUÇÃO DOS PREÇOS DOS COMBUSTÍVEIS 
#ibovespa #bovespa #dinheiro #finanças #economia #dolar #bitcoin #imóvel #educaçãofinanceira #finançaspessoais #consultoria # https://t.co/sfcKh4GOGA</t>
  </si>
  <si>
    <t>QUEDA DOS JUROS 
#ibovespa #bovespa #ações #SP500 #dinheiro #economia #rendafixa #rendavariavel #finanças #consultoria #assessoriafinanceira #educaçãofinanceira #fundoimobiliario #fundomultimercado #finançaspessoais #dolar #bitcoin #poupança https://t.co/mjjlKjlmbB</t>
  </si>
  <si>
    <t>FECHAMENTO MERCADO 
07/06/23
DAX   -0,20%
SP500   -0,38%
IBOVESPA  +0,77% 
DÓLAR   4,95
#Ibovespa #bovespa #dinheiro #rendafixa #rendavariavel #finanças #economia #poupança #fundoimobiliario #fundomultimercado #finançaspessoais #dolar #bitcoin    #imóvel #poupança https://t.co/DjJYLCWHRj</t>
  </si>
  <si>
    <t>IPCA MAIO 2023
Mês  +0,23%
Ano   2,95%
12 meses   3,94%
#ibovespa #bovespa #dinheiro #fundoimobiliario #fundomultimercado #finançaspessoais #dolar #bitcoin #imóvel #educaçãofinanceira #economia #poupança https://t.co/28W2tn3POt</t>
  </si>
  <si>
    <t>"EMBORA EXISTAM BOAS E MÁS COMPANHIAS, NÃO HÁ A BOA AÇÃO. 
O QUE EXISTEM SÃO APENAS BONS PREÇOS DE AÇÕES, QUE VÊM E VÃO."
Benjamin Graham
#ibovespa #bovespa #dinheiro #ações #rendafixa #rendavariavel #finanças #consultoria #assessoriafinanceira #educaçãofinanceira https://t.co/CiaByhFzZO</t>
  </si>
  <si>
    <t>"SIMPLICIDADE CONDUZ A CLAREZA."
Flow State 
#ibovespa #bovespa #dinheiro #rendafixa #rendavariavel #finanças #consultoria #assessoriafinanceira #educaçãofinanceira #economia https://t.co/qqTrjeCkOg</t>
  </si>
  <si>
    <t>"CONHEÇA O QUE VOCÊ POSSUI E PORQUE VOCÊ O POSSUI."
Peter Lynch
#ibovespa #bovespa #dinheiro #ações #rendafixa #consultoria #assessoria #rendavariavel #finanças #educaçãofinanceira https://t.co/tcpDqu0bD1</t>
  </si>
  <si>
    <t>PETROBRÁS ABANDONA A PARIDADE INTERNACIONAL DE PREÇOS 
#ibovespa #bovespa #dinheiro #ações #rendafixa #consultoria #assessoriafinanceira #rendavariavel #finanças #educaçãofinanceira https://t.co/tB0Q36KaLH</t>
  </si>
  <si>
    <t>"INVESTIR NÃO É ARRISCADO. 
ARRISCADO  É  COMPRAR SEM FAZER QUALQUER PESQUISA.
Brian Feroldi 
#ibovespa #bovespa #dinheiro #rendafixa #consultoria #rendavariavel #fundomultimercado #fundoimobiliario #finanças #economia #ações #finançaspessoais #economia https://t.co/1ofETxFFMA</t>
  </si>
  <si>
    <t>ALTA DO IBOVESPA 
#ibovespa #bovespa #dinheiro #fundodi #aplicaçõesfinanceiras #rendafixa #rendavariavel #fundomultimercado #fundoimobiliario #dolar #poupança #bitcoin       #imóvel #educaçãofinanceira #finançaspessoais #consultoria #assessoriafinanceira https://t.co/rB6aX4ULEI</t>
  </si>
  <si>
    <t>FECHAMENTO MERCADO 
13/06/23
DAX   +0,83%
SP500   +0,69%
IBOVESPA  -0,51% 
DÓLAR   4,86
#Ibovespa #bovespa #dinheiro #rendafixa #rendavariavel #finanças #economia #fundoimobiliario #fundomultimercado #finançaspessoais https://t.co/60Fomi2udT</t>
  </si>
  <si>
    <t>INFLAÇÃO NOS EUA
#ibovespa #bovespa #dinheiro #rendafixa #rendavariavel #finanças #consultoria #assessoriafinanceira #fundoimobiliario #fundomultimercado #poupança #economia #dolar #bitcoin #imóvel #educaçãofinanceira https://t.co/BvjYPC0PGu</t>
  </si>
  <si>
    <t>MELHORES INVESTIMENTOS
MAIO 2023
#ibovespa #bovespa #dinheiro #fundodi #aplicaçõesfinanceiras #dolar #economia #rendafixa #rendavariavel #finanças #consultoria #assessoriafinanceira #ações #fundodi #fundoimobiliario #fundomultimercado #finançaspessoais #educaçãofinanceira https://t.co/9gRKfFz5BC</t>
  </si>
  <si>
    <t>FECHAMENTO MERCADO 
31/05/23
DAX   -1,54%
SP500   -0,61%
IBOVESPA  -0,58% 
DÓLAR   5,07
HUMOR PIORA COM DADOS DA ECONOMIA CHINESA
#Ibovespa #bovespa #dinheiro #rendafixa #rendavariavel #finanças #consultoria #assessoria #ações #economia #finançaspessoais #educaçãofinanceira https://t.co/ugaNO8eMTZ</t>
  </si>
  <si>
    <t>"EM TEMPOS DE RÁPIDAS MUDANÇAS, EXPERIÊNCIA PODE SER SEU PIOR INIMIGO."
J. Paul Getty
#ibovespa #bovespa #dinheiro #rendafixa #rendavariavel #fundomultimercado #fundoimobiliario #poupança #dolar #bitcoin #imóvel #educaçãofinanceira #finançaspessoais #investimentos https://t.co/ulwFzRW1J0</t>
  </si>
  <si>
    <t>FECHAMENTO MERCADO 
14/06/23
DAX   +0,49%
SP500   +0,08%
IBOVESPA   +1,99% 
DÓLAR   4,81
#Ibovespa #bovespa #dinheiro #rendafixa #rendavariavel #finanças #economia #fundoimobiliario #fundomultimercado #finançaspessoais https://t.co/mfLBrbdeWf</t>
  </si>
  <si>
    <t>JUROS NOS EUA
HOJE O FED, DECIDE SOBRE A TAXA DE JUROS.
ATUALMENTE ESTÁ NA FAIXA 5,00 A 5,25% AO ANO.
A MAIORIA DO MERCADO ESPERA MANUTENÇÃO. 
#ibovespa #bovespa #dinheiro #fundoimobiliario #fundomultimercado #finançaspessoais #dolar #poupança #imóvel #finanças #economia https://t.co/tyPBymcfMJ</t>
  </si>
  <si>
    <t>FECHAMENTO MERCADO 
12/06/23
DAX   +0,93%
SP500   +0,93%
IBOVESPA  +0,27% 
DÓLAR   4,87
#Ibovespa #bovespa #dinheiro #rendafixa #rendavariavel #finanças #economia #fundoimobiliario #fundomultimercado #finançaspessoais https://t.co/lXp6bRM9pv</t>
  </si>
  <si>
    <t>"VOCÊ DEVE SER BOM SOB PRESSÃO.
A VIDA É VIVIDA SOB PRESSÃO. 
SE VOCÊ SÓ CONSEGUE PERFORMAR EM CONDIÇÕES IDEAIS...VOCÊ NÃO VAI CONSEGUIR TER ÊXITO."
The Stoic Emperor 
#ibovespa #bovespa #fundoimobiliario #fundomultimercado #finançaspessoais #dolar #bitcoin #imóvel #poupança https://t.co/JzszS4gx6A</t>
  </si>
  <si>
    <t>FECHAMENTO MERCADO 
09/06/23
DAX   -0,25%
SP500   +0,11%
IBOVESPA  +1,33% 
DÓLAR   4,88
MERCADO SEGUE OTIMISTA COM DADOS DO PIB E IPCA.
#Ibovespa #bovespa #dinheiro #rendafixa #rendavariavel #finanças #economia #fundoimobiliario #fundomultimercado #finançaspessoais https://t.co/VYhm0Mieo9</t>
  </si>
  <si>
    <t>A vida é uma jornada única, e as experiências que fazemos ao longo do caminho são as que dão significado à nossa existência. 💛✨
Essa é a publicação de hoje. Tenha uma boa semana! 😉
#motivação #sucesso #sonhos #esforço 
 #gestaofinanceira #financaspessoais  #investimentos https://t.co/BxIazxxP1i</t>
  </si>
  <si>
    <t>Taesa sua linda 🙅🏻‍♂️🙌🏼
Quem estava esperando dividendos em Janeiro?  😂
#taesa #b3 #investir
#educaçãofinanceira #liberdadefinanceira #baixadasantista
#finanças
#dinheiro
#economia
#dividendos
#viverderenda
#ações
#Investimentos
#mulheresnabolsa
#praiagrandesp https://t.co/98UfxvsNsY</t>
  </si>
  <si>
    <t>Leia este artigo com seus amigos para ajudá-los a aprender mais sobre finanças pessoais e alcançar seus objetivos financeiros! 
https://t.co/U6NP6u35xD
 #Poupança #MetasFinanceiras
#EducaçãoFinanceira #FinançasPessoais #Dinheiro #Orçamento #Investimento #ControleFinanceiro</t>
  </si>
  <si>
    <t>"Invista em você mesmo, sua educação é o ativo mais valioso que você possui." -O investimento na sua própria educação é crucial para construir um futuro financeiramente sólido.
#educacaofinanceira
#investment 
#investments 
#education</t>
  </si>
  <si>
    <t>O site foca em trazer informações sobre a área, facilitar o acesso a formas de investimento e trazer dicas sobre gestão financeira.
#Inovacao #Lancamento #NordesteInvesting #Portal #EducacaoFinanceira #Investimentos
https://t.co/5V1jqTItRg</t>
  </si>
  <si>
    <t>Você sabe como funciona pagar uma compra com o cartão de crédito? Apesar de ser um tipo de empréstimo a curto prazo, é preciso prestar muita atenção à data do vencimento da fatura em função da taxa de juros.
#direito #EducaçãoFinanceira #superendividamento https://t.co/730IU9ugDj</t>
  </si>
  <si>
    <t>A Lei 14.871/2021, conhecida como Lei do Superendividamento, permite que se faça a repactuação das dívidas, um processo simplificado que reúne todos os credores em uma negociação única.
#direito #EducaçãoFinanceira #superendividamento https://t.co/PvERNKFN1F</t>
  </si>
  <si>
    <t>Você sabia que, ao contratar um serviço, receber uma cópia integral do contrato de forma gratuita é seu direito? 
Ter esse documento em mãos é a garantia do cumprimento do que foi acordado!
#direito #EducaçãoFinanceira #superendividamento #DefensoriaPública https://t.co/5MogcRURlu</t>
  </si>
  <si>
    <t>Você sabia que ao utilizar cartão de crédito também está fazendo um tipo de empréstimo? A diferença é que ele te dá um prazo menor para pagar o valor sem a incidência de juros. 
Entenda mais sobre o assunto no vídeo de hoje.
#direito #EducaçãoFinanceira #superendividamento https://t.co/VmqIyKo5E8</t>
  </si>
  <si>
    <t>Quando se trata de juros do cheque especial, é preciso ter bastante atenção, pois eles costumam ser bastante superiores às outras modalidades de empréstimo. 
Entenda um pouco mais como eles funcionam na simulação que fizemos. 
#EducaçãoFinanceira #superendividamento #dpers https://t.co/4SCFAiiOqq</t>
  </si>
  <si>
    <t>A conciliação é uma forma mais prática e rápida de resolver problemas, como a negociação de dívidas. O acordo, feito com o auxílio de um conciliador, possibilita que ambas as partes construam juntas uma solução. 
#direito #EducaçãoFinanceira #superendividamento https://t.co/n6XtdODFRq</t>
  </si>
  <si>
    <t>Você sabe quais são as armadilhas que o uso do cartão de crédito tem? A facilidade da utilização faz com que ele seja uma das maiores causas endividamento, por isso é preciso estar atento e usar essa forma de pagamento com cuidado!
#EducaçãoFinanceira #superendividamento https://t.co/WbzFXfXL6R</t>
  </si>
  <si>
    <t>Gastos, custos e despesas.
Sr presidente @LulaOficial esclarecendo a palavra GASTOS.
#presidente
#auditoria
#coreconsp
#finançaspessoais 
#economia
#Lula
@Haddad_Fernando 
@Miltonneves https://t.co/MyRmXLu7qa</t>
  </si>
  <si>
    <t>#educaçãofinanceira 
#Finançaspessoais 
#economiadomestica 
#universidade 
#economia
Fica a Dica! 
@nonoinvestidor @Miltonneves https://t.co/da2wfHhUk0</t>
  </si>
  <si>
    <t>O importante não é quanto ganhamos e sim quanto gastamos. 
#Finançapessoais 
#educaçãofinanceira 
#Economia https://t.co/QumAI8SRDE</t>
  </si>
  <si>
    <t>📰: #EducaçãoFinanceira: O tema é de grande interesse, e já possui exemplos como o do Rio Grande do Sul, que aprovou um projeto de lei em 2022 sobre o tema.
Leia a matéria completa:
https://t.co/xASNa2ymaB 
#Educação #Escolas #GestãoEscolar</t>
  </si>
  <si>
    <t>📰 À CNN Rádio, a professora Veridiane Fornari de Paula Castelli, da Escola Municipal Visão do Futuro, afirmou que programa prepara estudantes para o futuro.
Leia a matéria na íntegra:
https://t.co/B9YFU0Kvtc 
#notícias #educação #escolas #educaçãofinanceira</t>
  </si>
  <si>
    <t>Depois de algum tempo temos novidades, evoluímos nos últimos anos para entregar uma nova experiência em planejamento financeiro e Finanças. Nosso app e site estão de cara nova.
https://t.co/AadlLfiN8q
#finanças #FinançasPessoais #dinheiro</t>
  </si>
  <si>
    <t>Aumentar sua capacidade de poupança para alcançar suas metas financeiras de longo prazo.
#EducaçãoFinanceira
#OrçamentoFamiliar
#MetasFinanceiras
#ControleDeGastos
#FinançasPessoais
#GestãoFinanceira
#DisciplinaFinanceira
#EconomiaDoméstica https://t.co/bnnxHgh5Mh</t>
  </si>
  <si>
    <t>👉💰💸 Como organizar suas finanças pessoais? Não é preciso fazer algo complexo para começar. Uma planilha simples já ajuda a evitar esquecer de pagar contas ou deixar boletos vencidos.
#finançaspessoais
#educaçãofinanceira
#investimentos
#planejamentofinanceiro
#economia</t>
  </si>
  <si>
    <t>Sono sereno 😴 🫣 
#financas #Finanças 
#financaspessoais 
#Finançaspessoais 
#Memes https://t.co/vUHSfpXaOM</t>
  </si>
  <si>
    <t>Tá sobrando mês no salário?🥺 Veja essas dicas!
#financas #finanças #finançaspessoais 
#financaspessoais
#salario #salário #divida #dívida #dicadehoje #dicas #dica https://t.co/MFAHmCmYFu</t>
  </si>
  <si>
    <t>Palestra "Educação Financeira".
Iniciando o ciclo 2023 de palestras em Empresas e Escolas.
Saiba mais e agende a sua palestra:
📲   41 9999 14 605
#educaçãofinanceira
#f2ainvestimentos
#consórcio https://t.co/qxMQBoslgC</t>
  </si>
  <si>
    <t>Engana-se quem acha que apenas ter um salário alto irá levar a independência financeira.
Quem não souber fazer a gestão dos próprios recursos, maiores as chances do fracasso financeiro 
#investidor #investidores #investimento #educacaofinanceira #investimentos #invest</t>
  </si>
  <si>
    <t>O objetivo agora é ser rica sem ninguém saber que sou rica...
O que acha disso?
#investidor #investidores #investimento #educacaofinanceira #investimentos #invest</t>
  </si>
  <si>
    <t>A verdadeira riqueza começa dentro de você, cultive um mindset próspero e alcance o sucesso financeiro.
#financaspessoais #organizacaofinanceira #investimentos #prosperidade #mepoupe</t>
  </si>
  <si>
    <t>#educacaofinanceira ajuda e muito as pessoas a controlar as finança pessoa e familiar.</t>
  </si>
  <si>
    <t>Ei, você de #Araxá! Temos uma dica que vai mexer com o seu bolso! 💰
No próximo sábado, 25/03, o Senac Araxá promoverá a palestra “Educação Financeira: precisamos dialogar sobre ela”, com o professor Wilton Rezende de Freitas.
Participe! 
#SenacMinas #EducaçãoFinanceira https://t.co/RB53r7gKCy</t>
  </si>
  <si>
    <t>Defina metas financeiras
Se você quer ter dinheiro no fim do mês pra, você deve estabelecer metas financeiras, nem que seja guardar um valor que não seja tão alto, Ex. R$30
3/3
#educacaofinanceira</t>
  </si>
  <si>
    <t>Viva um degrau abaixo
Gaste menos do que você ganha, não vai comprando tudo que vê pela frente e parcelando pra pagar depois
2/3
#educacaofinanceira</t>
  </si>
  <si>
    <t>Como chegar no fim do mês com dinheiro na conta?
Monitore seus gastos
Sabendo pra onde tá indo o seu dinheiro, você vai saber exatamente onde consegue reduzir os gastos pra fazer sobrar dinheiro no fim do mês
1/3
#educacaofinanceira</t>
  </si>
  <si>
    <t>Faça o que deve ser feito!
#educacaofinanceira #financas #economia #planejamento #investimento #dinheiro #sucesso #carreira #felicidade https://t.co/mpMn1L0BDc</t>
  </si>
  <si>
    <t>Como economizar na compra do material escolar?
Link: https://t.co/kyIpDHxPvE
#educacaofinanceira #financas #financaspessoais #economia #planejamento #dinheiro #prosperidade #compras #materialescolar</t>
  </si>
  <si>
    <t>Urgente: Americanas vai falir?
#educacaofinanceira #finanças #economia #investimento #planejamento #dinheiro #prosperidade #ações #bolsadevalores https://t.co/YVrCxqufM3</t>
  </si>
  <si>
    <t>6 livros que recomendo a leitura!
#educacaofinanceira #finanças #economia #planejamento #investimento #dinheiro #prosperidade #livros
https://t.co/xHGPH9kgEI</t>
  </si>
  <si>
    <t>Quem simplifica, prospera!
#educacaofinanceira #finanças #economia #planejamento #investimento #dinheiro #prosperidade #rico #pobre https://t.co/vgVuKH1Xhx</t>
  </si>
  <si>
    <t>Uma covardia com quem recebe esse Benefício do governo.
#educacaofinanceira #financas #economia #planejamento #investimentos #dinheiro #governo
Clique no link 👇 https://t.co/MgrvOSVSIc</t>
  </si>
  <si>
    <t>Acesse o link na minha BIO e baixe gratuitamente o E-book! 🚀🔥
#dividas #dívidas #divida #dívida #educacaofinanceira #educaçãofinanceira #dinheiro #economia #money #financas #finanças #financaspessoais #finançaspessoais #economiafinanceira
https://t.co/n2Ox7Sy20r</t>
  </si>
  <si>
    <t>Simples assim #educacaofinanceira #finanças #economia #planejamento #investimento #desconto #compras #dinheiro https://t.co/5aVaCsS5ko</t>
  </si>
  <si>
    <t>Dívidas com mais de 5 anos podem caducar. Descubra como isso acontece!
#educacaofinanceira #finanças #economia #planejamento #investimento #dinheiro #prosperidade https://t.co/P2ccj3fYFU</t>
  </si>
  <si>
    <t>Não caia nessa! Companhias de viagem passam a parcelar pacotes em até 24 vezes.
https://t.co/jOo4TCLwyb
#educacaofinanceira #financas #economia #investimentos #planejamento #viagem #dinheiro</t>
  </si>
  <si>
    <t>Não caia nessa! Parcelamento em até 24 vezes para viajar
#educacaofinanceira #planejamento #finanças #viajar #prosperidade #dinheiro #economia https://t.co/WTaniqN731</t>
  </si>
  <si>
    <t>Conhece alguém que vive assim?
Empreender é uma das melhores formas para romper esse ciclo vicioso!
#educacaofinanceira #finanças #economia #dinheiro #empreendedorismo #investimento #planejamento #bomdia https://t.co/NBCZlQX0FO</t>
  </si>
  <si>
    <t>Tudo começa pelo desejo ardente... Que se transforma em objetivo... E que com dedicação, foco e trabalho o sucesso é conquistado!
#educacaofinanceira #financas #economia #planejamento #dinheiro #prosperidade #objetivos #sonhos #conquista #investimento #bomdia https://t.co/fvi4xOBlAg</t>
  </si>
  <si>
    <t>Se liga nessa! Quanto antes começar a investir, mais cedo conquistará sua independência financeira!
#educacaofinanceira #financas #economia #planejamento #dinheiro #prosperidade #objetivos #sonhos #conquista #investimento #jovens https://t.co/FNQ1kXOrsF</t>
  </si>
  <si>
    <t>Gastar tudo o que ganha ou o que é pior, gastar mais do que ganha, são princípios da dificuldade e escassez financeira.
#educacaofinanceira #financas #economia #planejamento #dinheiro #prosperidade #objetivos #sonhos #conquista #investimento https://t.co/vv2IiCassp</t>
  </si>
  <si>
    <t>Projeto para transformar o PIX em opção de Crédito com taxa de juros bem menores as cobradas atualmente pelas instituições financeiras.
#educacaofinanceira #financas #economia #planejamento #dinheiro #prosperidade #investimento #empreendedorismo #pix #credito #governofederal https://t.co/AtST8XN7vt</t>
  </si>
  <si>
    <t>Bom dia! 🙏
#educacaofinanceira #finanças #economia #prosperidade #planejamento #investimento #sucesso #dinheiro #empreendedorismo #bomdia https://t.co/7R0FqIGg2Z</t>
  </si>
  <si>
    <t>Bom dia! 🙏
#educacaofinanceira #finanças #economia #prosperidade #planejamento #investimento #sucesso #dinheiro #empreendedorismo #bomdia https://t.co/YvlQt4x9Jx</t>
  </si>
  <si>
    <t>Empreender! Essa é uma possibilidade real para alcançar grandes resultados financeiros!
#educacaofinanceira #financas #economia #planejamento #dinheiro #prosperidade #rendaextra #empreendedorismo https://t.co/ZUWwzCfwWM</t>
  </si>
  <si>
    <t>O que vc pensa sobre essas afirmações? Para mim resume tudo! 
#educacaofinanceira #financaspessoais #financas #planejamento #investimento #dinheiro #empreendedorismo #sucesso #habitos #dividas #sonhos #objetivos #metas #prosperidade #brasil #cultura https://t.co/AQOzSSSv8l</t>
  </si>
  <si>
    <t>O que vc está esperando para transformar a sua vida financeira para sempre?
Adquira imediatamente o meu livro (versão digital) e veja sua vida financeira prosperar.
https://t.co/vcEVndaSRZ
#educacaofinanceira #financas #planejamento #investimento #dinheiro #empreendedorismo</t>
  </si>
  <si>
    <t>Adquira já o livro que transformará para sempre a sua vida financeira! (Versão Digital)
https://t.co/c1UImNtYXb
#sucesso #organização #administração #orçamento #financas #investimento #prosperidade #dinheiro #planejamento #dívidas #educacaofinanceira #empreendedorismo #livros</t>
  </si>
  <si>
    <t>Como vc administra e controla as suas finanças?
#empreendedorismo  #educacaofinanceira #economia #planejamento #dinheiro #prosperidade #investimento #financas #orçamento #administração #organização #sucesso https://t.co/8MWH0YkpOu</t>
  </si>
  <si>
    <t>Meta de gastos... Você tem?
#empreendedorismo  #educacaofinanceira #economia #planejamento #dinheiro #prosperidade #investimento #financas #metas https://t.co/WgUOUD4Ujs</t>
  </si>
  <si>
    <t>Dinheiro e o Amor
#meme #empreendedorismo  #educacaofinanceira #economia #planejamento #dinheiro #prosperidade #investimento #amor #financas https://t.co/FRYdNR3lUU</t>
  </si>
  <si>
    <t>Finanças é como dieta... 
#meme #empreendedorismo  #educacaofinanceira #economia #planejamento #dinheiro #prosperidade #investimento #dieta #financas https://t.co/hpu4Hc491F</t>
  </si>
  <si>
    <t>Não basta trabalhar duro, é preciso, na medida do possível, poupar e investir se quiser Prosperar Financeiramente!
PS: onde aparece "que", lê-se: "quer".
#educacaofinanceira #finanças #economia #planejamento #investimento #empreendedorismo #dinheiro #sucesso #prosperidade https://t.co/BpCYgBSZ2E</t>
  </si>
  <si>
    <t>Não desistir, mas se fracassar mudar a forma de fazer! Essa é uma das grandes lições para o sucesso!
#educacaofinanceira #finanças #economia #planejamento #investimento #empreendedorismo #dinheiro #sucesso #prosperidade https://t.co/3373j15Pe4</t>
  </si>
  <si>
    <t>Terapia do Cartão 
#meme #empreendedorismo  #educacaofinanceira #economia #planejamento #dinheiro #prosperidade #investimento #cartaodecredito #financas https://t.co/3WZMHaUV6m</t>
  </si>
  <si>
    <t>#meme #educacaofinanceira #financas #economia #planejamento #investimento #dinheiro #prosperidade #empreendedorismo https://t.co/J1kRbkxqmv</t>
  </si>
  <si>
    <t>Uma excelente e abençoada semana 🙏
Bom diaaa!!!
#educacaofinanceira #finanças #economia #investimento #planejamento #prosperidade #empreendedorismo #dinheiro #bomdia #boasemana #segundafeira https://t.co/RaM1iivTkR</t>
  </si>
  <si>
    <t>Um excelente e abençoado domingo 🙏
#educacaofinanceira #finanças #economia #investimento #planejamento #prosperidade #empreendedorismo #dinheiro #bomdia https://t.co/MJbATXixli</t>
  </si>
  <si>
    <t>Bom dia! 
#educacaofinanceira #finanças #economia #planejamento #investimento #dinheiro #prosperidade #empreendedorismo #bomdia #gratidão https://t.co/W5Pr1ph1Jv</t>
  </si>
  <si>
    <t>Dinheiro não é problema, a falta dele sim!
#educacaofinanceira #financas #economia #planejamento #dinheiro #prosperidade #investimento #empreendedorismo https://t.co/FI0THmX9ip</t>
  </si>
  <si>
    <t>Bom dia! 
#educacaofinanceira #finanças #economia #planejamento #investimento #prosperidade #empreendedorismo #bomdia https://t.co/rPyATKaXCM</t>
  </si>
  <si>
    <t>Velório amanhã a partir das 7h... 😂😂🤣
#educacaofinanceira #humor #meme #financas #dinheiro #economia https://t.co/4TuXNzN9eL</t>
  </si>
  <si>
    <t>Método que considero o ideal. Onde as dívidas, se possuir, devem estar enquadradas junto às despesas essenciais e não-essenciais, restando 50% dos rendimentos líquidos para alavancar a vida financeira!
#educacaofinanceira #economia #planejamento #investimento #orçamento https://t.co/zdapx3kwyB</t>
  </si>
  <si>
    <t>A favela venceu?#liberdadefinanceira 
#rendavariavel 
#rendapassiva 
#educacaofinanceira 
#investimento
#independênnciafinanceira
#economia
#criptomoedas
#motivação
#atualidades 
#desenvolvimentopessoal
#desenvolvimentoprofissional
#empreendedorismo 
#utilidadepública https://t.co/zH0X9TVSyp</t>
  </si>
  <si>
    <t>RT @MelhorRH: Arranjo aberto e conformidade com PAT permitiram o surgimento de novas soluções e operadoras, a desoneração da rede credencia…</t>
  </si>
  <si>
    <t>RT @MarciaC42792937: Organização financeira deve começar pelo básico. 😉💰 Este é o passo Nº 1 para o teu sucesso financeiro.
https://t.co/q…</t>
  </si>
  <si>
    <t>Este artigo apresenta uma lista de termos financeiros comuns para iniciantes em investimentos, incluindo dividendos, renda fixa, carteira
[...] Leia mais no Blog!
#FinançasPessoais #EducaçãoFinanceira #Investimentos #Poupança #OrçamentoFamiliar
https://t.co/frd2dYVpA5 https://t.co/AE1LFgkDPI</t>
  </si>
  <si>
    <t>Este artigo apresentou sete dicas essenciais para iniciantes em investimentos, incluindo definir objetivos financeiros, conhecer o perfil
[...] Leia mais no Blog!
#FinançasPessoais #EducaçãoFinanceira #Investimentos #Poupança #OrçamentoFamiliar
https://t.co/rHN8sbFlnH https://t.co/S0Y6GV7pf6</t>
  </si>
  <si>
    <t>A poupança é o investimento mais popular do Brasil e tem um papel fundamental na economia do país, sendo uma das principais fontes de
[...] Leia mais no Blog!
#FinançasPessoais #EducaçãoFinanceira #Investimentos #Poupança #OrçamentoFamiliar
https://t.co/JwIVuGD5ag https://t.co/e6oeBEHbj8</t>
  </si>
  <si>
    <t>Para construir riqueza pessoal e alcançar sucesso financeiro, é preciso definir objetivos financeiros, criar um orçamento, economizar
[...] Leia mais no Blog!
#FinançasPessoais #EducaçãoFinanceira #Investimentos #Poupança #OrçamentoFamiliar
https://t.co/aIB16IGf4Y https://t.co/XYf1pYCsfG</t>
  </si>
  <si>
    <t>O planejamento financeiro pessoal é crucial para garantir estabilidade e alcançar objetivos.
[...] Leia mais no Blog!
#FinançasPessoais #EducaçãoFinanceira #Investimentos #Poupança #OrçamentoFamiliar #GestãoDoDinheiro #PlanejamentoFinanceiro
https://t.co/Sn5Ityvyom https://t.co/bSsn77dzVv</t>
  </si>
  <si>
    <t>As soft skills são qualidades intangíveis que têm a ver com a forma como nos relacionamos e interagimos com os outros.
[...] Leia mais no Blog!
#FinançasPessoais #EducaçãoFinanceira #Investimentos #Poupança #OrçamentoFamiliar #GestãoDoDinheiro
https://t.co/OwQLniV7fu https://t.co/AcPi0IfshT</t>
  </si>
  <si>
    <t>Evitar armadilhas financeiras comuns, como dívidas de cartão de crédito, gastos impulsivos, falta de planejamento financeiro, ausência de
[...] Leia mais no Blog!
#FinançasPessoais #EducaçãoFinanceira #Investimentos #Poupança #OrçamentoFamiliar
https://t.co/Kf1hZmAOBt https://t.co/kit6owGc5Y</t>
  </si>
  <si>
    <t>Investimentos inteligentes envolvem estabelecer metas, conhecer seu perfil de investidor, diversificar a carteira, fazer pesquisas, buscar
[...] Leia mais no Blog!
#FinançasPessoais #EducaçãoFinanceira #Investimentos #Poupança #OrçamentoFamiliar
https://t.co/FdZB8gS198 https://t.co/Tj0lHUdYYz</t>
  </si>
  <si>
    <t>Investimentos inteligentes envolvem estabelecer metas, conhecer seu perfil de investidor, diversificar a carteira, fazer pesquisas, buscar
[...] Leia mais no Blog!
#FinançasPessoais #EducaçãoFinanceira #Investimentos #Poupança #OrçamentoFamiliar
https://t.co/AHOgV3Amhg https://t.co/nyHVtKUqag</t>
  </si>
  <si>
    <t>Para aumentar seu patrimônio, é essencial adotar um mindset financeiro adequado.
[...] Leia mais no Blog!
#FinançasPessoais #EducaçãoFinanceira #Investimentos #Poupança #OrçamentoFamiliar #GestãoDoDinheiro #PlanejamentoFinanceiro #Endividamento
https://t.co/knsmwHzTZU https://t.co/7XB4SG0yAP</t>
  </si>
  <si>
    <t>Manter um orçamento é crucial para conhecer sua situação financeira, evitar surpresas desagradáveis, aumentar sua capacidade de poupança,
[...] Leia mais no Blog!
#FinançasPessoais #EducaçãoFinanceira #Investimentos #Poupança #OrçamentoFamiliar
https://t.co/c7cbPLaGQU https://t.co/faf0pLvnXJ</t>
  </si>
  <si>
    <t>A poupança é popular entre brasileiros por sua segurança, praticidade,isenção de imposto, baixo valor de entrada, custo zero e histórico
[...] Leia mais no Blog!
#FinançasPessoais #EducaçãoFinanceira #Investimentos #Poupança #OrçamentoFamiliar
https://t.co/TUSAvySzUx https://t.co/wRIF26K8Tl</t>
  </si>
  <si>
    <t>A reserva de emergência é crucial para enfrentar imprevistos, reduzir estresse financeiro, evitar endividamento, proteger investimentos,
[...] Leia mais no Blog!
#FinançasPessoais #EducaçãoFinanceira #Investimentos #Poupança #OrçamentoFamiliar
https://t.co/XZPMCP70v8 https://t.co/j5TeRmE2So</t>
  </si>
  <si>
    <t>Proteja suas finanças seguindo 10 estratégias: orçamento, reserva de emergência, evitar dívidas caras, educação financeira, diversificação
[...] Leia mais no Blog!
#FinançasPessoais #EducaçãoFinanceira #Investimentos #Poupança #OrçamentoFamiliar
https://t.co/AzXNvrRm6G https://t.co/KUoxD9rzDp</t>
  </si>
  <si>
    <t>Aprenda a se organizar financeiramente em 3 passos básicos: conheça seus gastos, estabeleça um orçamento e acompanhe regularmente suas
[...] Leia mais no Blog!
#FinançasPessoais #EducaçãoFinanceira #Investimentos #Poupança #OrçamentoFamiliar
https://t.co/QHOw2yjpLV https://t.co/2b0xJDvpd3</t>
  </si>
  <si>
    <t>Descubra por que a segurança financeira deve ser sua principal prioridade.
[...] Leia mais no Blog!
#FinançasPessoais #EducaçãoFinanceira #Investimentos #Poupança #OrçamentoFamiliar #GestãoDoDinheiro #PlanejamentoFinanceiro #Endividamento #Aposentadori
https://t.co/o490JP39Y7 https://t.co/vPtlDBF5dI</t>
  </si>
  <si>
    <t>O conceito de Finanças pessoais envolvem a gestão inteligente do dinheiro, incluindo orçamento, controle de gastos, gerenciamento de
[...] Leia mais no Blog!
#FinançasPessoais #EducaçãoFinanceira #Investimentos #Poupança #OrçamentoFamiliar
https://t.co/ESKtB1ZqcI https://t.co/cJOMTosWSD</t>
  </si>
  <si>
    <t>Para iniciantes, o melhor tipo de investimento é aquele que oferece baixo risco e facilidade de entendimento.
[...] Leia mais no Blog!
#FinançasPessoais #EducaçãoFinanceira #Investimentos #Poupança #OrçamentoFamiliar #GestãoDoDinheiro
https://t.co/UoVul6mx2G https://t.co/PNMDUZzS1F</t>
  </si>
  <si>
    <t>Existem vários tipos de investimentos para iniciantes, incluindo ações, fundos de investimento, títulos públicos, fundos imobiliários e
[...] Leia mais no Blog!
#FinançasPessoais #EducaçãoFinanceira #Investimentos #Poupança #OrçamentoFamiliar
https://t.co/eLXKe2Lxe8 https://t.co/1hLwr4t6OW</t>
  </si>
  <si>
    <t>Um plano financeiro pessoal é essencial para alcançar a estabilidade financeira a longo prazo.
[...] Leia mais no Blog!
#FinançasPessoais #EducaçãoFinanceira #Investimentos #Poupança #OrçamentoFamiliar #GestãoDoDinheiro #PlanejamentoFinanceiro
https://t.co/lArAnX82Yd https://t.co/bBQjSDkecD</t>
  </si>
  <si>
    <t>Um fundo de emergência é essencial para garantir a estabilidade financeira, protegendo contra imprevistos e reduzindo o estresse financeiro.
[...] Leia mais no Blog!
#FinançasPessoais #EducaçãoFinanceira #Investimentos #Poupança #OrçamentoFamiliar
https://t.co/fZUvVZYaz8 https://t.co/ednLotyzNw</t>
  </si>
  <si>
    <t>A segurança financeira é fundamental para reduzir o estresse e garantir o bem-estar.
[...] Leia mais no Blog!
#FinançasPessoais #EducaçãoFinanceira #Investimentos #Poupança #OrçamentoFamiliar #GestãoDoDinheiro #PlanejamentoFinanceiro #Endividamento
https://t.co/sUXPJ4dRXw https://t.co/m2ELI5ojG5</t>
  </si>
  <si>
    <t>As taxas de juros em contas de poupança têm um impacto significativo no retorno do seu dinheiro ao longo do tempo. 
#FinançasPessoais #EducaçãoFinanceira #Investimentos #PlanejamentoFinanceiro #DicasFinanceiras #OrçamentoPessoal #Poupança
https://t.co/z0qj2zCiFQ https://t.co/zKlQb1uwvj</t>
  </si>
  <si>
    <t>Viver uma vida frugal não significa abrir mão de tudo o que você ama, mas sim fazer escolhas conscientes e adotar hábitos financeiros 
#FinançasPessoais #EducaçãoFinanceira #Investimentos #PlanejamentoFinanceiro #DicasFinanceiras #OrçamentoPessoal
https://t.co/ktZfOqoyfX https://t.co/VvezshV4Pq</t>
  </si>
  <si>
    <t>Viver uma vida frugal não significa abrir mão de tudo o que você ama, mas sim fazer escolhas conscientes e adotar hábitos financeiros 
#FinançasPessoais #EducaçãoFinanceira #Investimentos #PlanejamentoFinanceiro #DicasFinanceiras #OrçamentoPessoal
https://t.co/ktZfOqoyfX https://t.co/Ylu8Naltip</t>
  </si>
  <si>
    <t>As taxas de juros em contas de poupança têm um impacto significativo no retorno do seu dinheiro ao longo do tempo. 
#FinançasPessoais #EducaçãoFinanceira #Investimentos #PlanejamentoFinanceiro #DicasFinanceiras #OrçamentoPessoal #Poupança
https://t.co/G69VoUBQwQ https://t.co/5LgbQZDR2P</t>
  </si>
  <si>
    <t>O seguro de viagem é uma espécie de contrato que garante ao segurado acobertura de diversos imprevistos que possam ocorrer durante uma
[...] Leia mais no Blog!
#FinançasPessoais #EducaçãoFinanceira #Investimentos #Poupança #OrçamentoFamiliar
https://t.co/3j1Vlqd3X8 https://t.co/xAsDB998SJ</t>
  </si>
  <si>
    <t>Descubra os prós e contras dos títulos de capitalização. Este artigo explora os benefícios, como disciplina financeira e possibilidade de
[...] Leia mais no Blog!
#FinançasPessoais #EducaçãoFinanceira #Investimentos #Poupança #OrçamentoFamiliar
https://t.co/ye04pj77DW https://t.co/oZkE7HG93l</t>
  </si>
  <si>
    <t>Descubra 6 passos eficazes para quitar suas dívidas e evitar novas despesas.
[...] Leia mais no Blog!
#FinançasPessoais #EducaçãoFinanceira #Investimentos #Poupança #OrçamentoFamiliar #GestãoDoDinheiro #PlanejamentoFinanceiro #Endividamento
https://t.co/ErnNucQ86x https://t.co/JBlrRXU236</t>
  </si>
  <si>
    <t>Investir com pouco dinheiro é possível através de opções de baixo custo, como fundos de investimento, títulos públicos, ações fracionadas,
[...] Leia mais no Blog!
#FinançasPessoais #EducaçãoFinanceira #Investimentos #Poupança #OrçamentoFamiliar
https://t.co/iW7YhhtrhA https://t.co/5soPuiZG0V</t>
  </si>
  <si>
    <t>Investir é importante para garantir um futuro financeiro estável e confortável.
[...] Leia mais no Blog!
#FinançasPessoais #EducaçãoFinanceira #Investimentos #Poupança #OrçamentoFamiliar #GestãoDoDinheiro #PlanejamentoFinanceiro #Endividamento
https://t.co/bTa5VPvph5 https://t.co/mdWBPCasuT</t>
  </si>
  <si>
    <t>Desenvolver uma mentalidade financeira positiva pode transformar a maneira como você lida com o dinheiro e alcança seus objetivos
[...] Leia mais no Blog!
#FinançasPessoais #EducaçãoFinanceira #Investimentos #Poupança #OrçamentoFamiliar
https://t.co/btaOSXEmcl https://t.co/Kc06gWt9YC</t>
  </si>
  <si>
    <t>A legislação trabalhista brasileira é repleta de direitos e deveres tanto para empregadores quanto para empregados.
[...] Leia mais no Blog!
#FinançasPessoais #EducaçãoFinanceira #Investimentos #Poupança #OrçamentoFamiliar #GestãoDoDinheiro
https://t.co/73iDh15uhz https://t.co/wlerBWfD1D</t>
  </si>
  <si>
    <t>A maioria dos brasileiros tem uma visão negativa de sua situação financeira.
[...] Leia mais no Blog!
#FinançasPessoais #EducaçãoFinanceira #Investimentos #Poupança #OrçamentoFamiliar #GestãoDoDinheiro #PlanejamentoFinanceiro #Endividamento
https://t.co/G3dWRKkMb3 https://t.co/XBPcccw4RK</t>
  </si>
  <si>
    <t>O artigo apresenta dicas para sair das dívidas e manter as finanças pessoais saudáveis, incluindo a importância de ter um plano de
[...] Leia mais no Blog!
#FinançasPessoais #EducaçãoFinanceira #Investimentos #Poupança #OrçamentoFamiliar
https://t.co/14FMM9JScG https://t.co/nYhNE2CrJk</t>
  </si>
  <si>
    <t>O artigo apresenta 10 dicas práticas para organizar as finanças pessoais, incluindo a importância de fazer um orçamento, evitar dívidas,
[...] Leia mais no Blog!
#FinançasPessoais #EducaçãoFinanceira #Investimentos #Poupança #OrçamentoFamiliar
https://t.co/93Ns0sUemm https://t.co/9e2lGhZuFF</t>
  </si>
  <si>
    <t>O artigo apresenta um guia completo de gestão financeira pessoal para iniciantes, com dicas e ferramentas para controle de gastos,
[...] Leia mais no Blog!
#FinançasPessoais #EducaçãoFinanceira #Investimentos #Poupança #OrçamentoFamiliar
https://t.co/3WRhlsm8Gv https://t.co/mL665Xqs9l</t>
  </si>
  <si>
    <t>O financiamento de veículos é uma ferramenta amplamente utilizada pelos brasileiros para adquirir o sonhado carro novo ou seminovo.
[...] Leia mais no Blog!
#FinançasPessoais #EducaçãoFinanceira #Investimentos #Poupança #OrçamentoFamiliar
https://t.co/8xJjr9pnCn https://t.co/AEjzDowLU4</t>
  </si>
  <si>
    <t>Descubra os 5 passos práticos para aumentar seu patrimônio e construir riqueza.
[...] Leia mais no Blog!
#FinançasPessoais #EducaçãoFinanceira #Investimentos #Poupança #OrçamentoFamiliar #GestãoDoDinheiro #PlanejamentoFinanceiro #Endividamento
https://t.co/gli1DbzVfS https://t.co/17ua4B95ll</t>
  </si>
  <si>
    <t>Leia mais sobre a resenha do livro Mindset Financeiro, disponível na Amazon.
[...] Leia mais no Blog!
#FinançasPessoais #EducaçãoFinanceira #Investimentos #Poupança #OrçamentoFamiliar #GestãoDoDinheiro #PlanejamentoFinanceiro #Endividamento
https://t.co/RDAeAJ6P0R https://t.co/oOqE3drE6h</t>
  </si>
  <si>
    <t>"Domine o Tesouro Direto: Invista para o seu futuro" não é apenas informativo, mas também prático. Leia Mais a Resenha do Livro.
[...] Leia mais no Blog!
#FinançasPessoais #EducaçãoFinanceira #Investimentos #Poupança #OrçamentoFamiliar #GestãoDoDinheir
https://t.co/Zukg3jY3h9 https://t.co/Upb12OPdoA</t>
  </si>
  <si>
    <t>O mindset milionário é uma mentalidade de abundância, crescimento e perseverança que impulsiona o sucesso financeiro.
[...] Leia mais no Blog!
#FinançasPessoais #EducaçãoFinanceira #Investimentos #Poupança #OrçamentoFamiliar #GestãoDoDinheiro
https://t.co/06TINuzGFz https://t.co/lCkSAud7Kk</t>
  </si>
  <si>
    <t>O simulador do Tesouro Direto é uma ferramenta valiosa que permite simular diferentes cenários de investimento, visualizando o potencial de
[...] Leia mais no Blog!
#FinançasPessoais #EducaçãoFinanceira #Investimentos #Poupança #OrçamentoFamiliar
https://t.co/Kt1C359YDk https://t.co/eCWNm9PtNz</t>
  </si>
  <si>
    <t>O artigo apresenta dicas para investir em ações e obter bons resultados, incluindo a importância de estudar o mercado, diversificar a
[...] Leia mais no Blog!
#FinançasPessoais #EducaçãoFinanceira #Investimentos #Poupança #OrçamentoFamiliar
https://t.co/grDX1Lr6yf https://t.co/2uXQD98oQ1</t>
  </si>
  <si>
    <t>O artigo apresenta tudo o que você precisa saber sobre investimentos de renda fixa, incluindo as vantagens e desvantagens, os tipos de
[...] Leia mais no Blog!
#FinançasPessoais #EducaçãoFinanceira #Investimentos #Poupança #OrçamentoFamiliar
https://t.co/9kCVHAN20T https://t.co/ALp8y2tsIp</t>
  </si>
  <si>
    <t>Dominando o Cartão de Crédito: No universo financeiro, o cartão de crédito é uma ferramenta de dois gumes.
[...] Leia mais no Blog!
#FinançasPessoais #EducaçãoFinanceira #Investimentos #Poupança #OrçamentoFamiliar #GestãoDoDinheiro
https://t.co/xRatmi5lr0 https://t.co/OMrlsshEyK</t>
  </si>
  <si>
    <t>O Brasil é um país de contrastes, onde a riqueza e a pobreza coexistem lado a lado.
[...] Leia mais no Blog!
#FinançasPessoais #EducaçãoFinanceira #Investimentos #Poupança #OrçamentoFamiliar #GestãoDoDinheiro #PlanejamentoFinanceiro #Endividamento
https://t.co/Ue7m4R9RQB https://t.co/unp5tvC53P</t>
  </si>
  <si>
    <t>Descubra neste artigo as três verdades fundamentais que você precisa aceitar para ficar rico.
[...] Leia mais no Blog!
#FinançasPessoais #EducaçãoFinanceira #Investimentos #Poupança #OrçamentoFamiliar #GestãoDoDinheiro #PlanejamentoFinanceiro
https://t.co/nCfEwUPTLb https://t.co/8XRTeilU1u</t>
  </si>
  <si>
    <t>Descubra neste artigo se é possível viver de renda e explore três fontes de renda passiva que podem ajudá-lo a alcançar essa meta
[...] Leia mais no Blog!
#FinançasPessoais #EducaçãoFinanceira #Investimentos #Poupança #OrçamentoFamiliar
https://t.co/nwzD43XPY1 https://t.co/TET5oe66hF</t>
  </si>
  <si>
    <t>Aprenda a dominar a arte de pensar sobre dinheiro e gerenciar suas finanças de forma eficiente.
[...] Leia mais no Blog!
#FinançasPessoais #EducaçãoFinanceira #Investimentos #Poupança #OrçamentoFamiliar #GestãoDoDinheiro #PlanejamentoFinanceiro
https://t.co/rTdmiyYxMv https://t.co/DVIVn7wdW1</t>
  </si>
  <si>
    <t>Muitas pessoas lutam para equilibrar o orçamento e acabam ficando no vermelho.
[...] Leia mais no Blog!
#FinançasPessoais #EducaçãoFinanceira #Investimentos #Poupança #OrçamentoFamiliar #GestãoDoDinheiro #PlanejamentoFinanceiro #Endividamento
https://t.co/G8w9GJKam2 https://t.co/z5NhwtOh5p</t>
  </si>
  <si>
    <t>A promessa de enriquecimento rápido é tentadora e, muitas vezes, pode parecer uma solução mágica para os problemas financeiros.
[...] Leia mais no Blog!
#FinançasPessoais #EducaçãoFinanceira #Investimentos #Poupança #OrçamentoFamiliar #GestãoDoDinheiro
https://t.co/DazQT3TzvC https://t.co/QHIoJvOFlF</t>
  </si>
  <si>
    <t>Em meio à complexidade do cenário econômico atual, muitos brasileiros recorrem a diferentes formas de crédito para manter a estabilidade
[...] Leia mais no Blog!
#FinançasPessoais #EducaçãoFinanceira #Investimentos #Poupança #OrçamentoFamiliar
https://t.co/49834gR09W https://t.co/XSiZWkf4ZE</t>
  </si>
  <si>
    <t>Educação Financeira através da Inteligência Artificial. A inteligência artificial (IA)
[...] Leia mais no Blog!
#FinançasPessoais #EducaçãoFinanceira #Investimentos #Poupança #OrçamentoFamiliar #GestãoDoDinheiro #PlanejamentoFinanceiro #Endividamento
https://t.co/h4gmABzp0B https://t.co/bRZhdBSj3f</t>
  </si>
  <si>
    <t>Em um mundo em rápida evolução, as empresas estão constantemente buscando maneiras inovadoras de apoiar seus colaboradores.
[...] Leia mais no Blog!
#FinançasPessoais #EducaçãoFinanceira #Investimentos #Poupança #OrçamentoFamiliar #GestãoDoDinheiro
https://t.co/tK8U3vLJOg https://t.co/PT1iqp5dYB</t>
  </si>
  <si>
    <t>Descubra como uma mentalidade financeira pode mudar sua vida para melhor.
[...] Leia mais no Blog!
#FinançasPessoais #EducaçãoFinanceira #Investimentos #Poupança #OrçamentoFamiliar #GestãoDoDinheiro #PlanejamentoFinanceiro #Endividamento #Aposentadoria
https://t.co/oVAKNYUZ5F https://t.co/VNvIM8ZjX5</t>
  </si>
  <si>
    <t>Podemos dizer que fazer compras se torna muito difícil na hora de economizar nas compras de supermercado, então é correto dizer que um dos
[...] Leia mais no Blog!
#FinançasPessoais #EducaçãoFinanceira #Investimentos #Poupança #OrçamentoFamiliar
https://t.co/iEW3o2NX1n https://t.co/aYmG6he1RU</t>
  </si>
  <si>
    <t>Descubra a importância de ter uma reserva de emergência para lidar com despesas inesperadas.
[...] Leia mais no Blog!
#FinançasPessoais #EducaçãoFinanceira #Investimentos #Poupança #OrçamentoFamiliar #GestãoDoDinheiro #PlanejamentoFinanceiro
https://t.co/glE27Zd5aF https://t.co/KjStm8WjGe</t>
  </si>
  <si>
    <t>Em tempos de instabilidade econômica, muitas pessoas procuram maneiras de aumentar sua renda e garantir maior estabilidade financeira.
[...] Leia mais no Blog!
#FinançasPessoais #EducaçãoFinanceira #Investimentos #Poupança #OrçamentoFamiliar
https://t.co/uSChAoETji https://t.co/UkRfUyS9j6</t>
  </si>
  <si>
    <t>A Corrida dos Ratos é um termo que se refere ao ciclo financeiro extenuante que muitas pessoas vivenciam durante suas vidas.
[...] Leia mais no Blog!
#FinançasPessoais #EducaçãoFinanceira #Investimentos #Poupança #OrçamentoFamiliar #GestãoDoDinheiro
https://t.co/iZDTvda3VB https://t.co/Tg36ueXwvx</t>
  </si>
  <si>
    <t>🌾💰💼🚀👨🌾
Atenção empreendedores rurais! 📢🌱
.
.Clique no link para saber mais e comece a investir agora mesmo! 📲💻🔝
https://t.co/7AnqyQ7cOZ
 #agricultores #empréstimo #agricultor #financaspessoais #finanças   #emprestimoonline #financasempresariais #financas https://t.co/3c85yYBhoQ</t>
  </si>
  <si>
    <t>💰Baixe agora mesmo o nosso app e abra a sua conta em minutos!
🤑Venha para uma nova realidade financeira!
#ganhardinheironainternet #financaspessoais #emprestimoinss #finançaspessoais #dinheirofácil #banco #fintechinshorts #empréstimoparanegativado https://t.co/ln6maP9qN2</t>
  </si>
  <si>
    <t>Eu também não! E você? 
A liberdade financeira é alcançada através de educação financeira, disciplina e perseverança. Não é necessário ir para a faculdade para alcançá-la. #liberdadefinanceira #educaçãofinanceira #disciplina #perseverança #faculdade #educação #investimento https://t.co/gNKp6sSVmj</t>
  </si>
  <si>
    <t>curso online de declaração de imposto de renda #educacaofinanceira</t>
  </si>
  <si>
    <t>Aprenda como sair da corrida dos ratos e adquirir ativos que geram renda! 📖💰 #EducaçãoFinanceira #PaiRicoPaiPobre
https://t.co/DzONiKfTmy</t>
  </si>
  <si>
    <t>#BolaDeNeve #FinancasPessoais #AppDeFinancas #financas #controlefinanceiro #juros #memes https://t.co/srfStmPqMo</t>
  </si>
  <si>
    <t>O #caminhodoalfa não possui “seguidores”, possui “peregrinos”.
Siga @AlfaInvestidor1 #dinheiro #financas #Investimentos #bolsadevalores #bovespa #b3 #educacaofinanceira #prosperidade #Brasil #empreendedorismo https://t.co/zXaPBnzEXf</t>
  </si>
  <si>
    <t>O #caminhodoalfa é a via da #prosperidade que pode levar qualquer um aqui no #brasil através da #educacaofinanceira com #Investimentos e obtenção de #riqueza a alcançar a verdadeira #felicidade https://t.co/2ahv9sN3Jk</t>
  </si>
  <si>
    <t>Siga o @AlfaInvestidor1 #investimentos #dinheiro #educacaofinanceira</t>
  </si>
  <si>
    <t>Sobre se manter vivo na jornada de investir #investimentos #educaçãofinanceira #psicologiafinanceira https://t.co/crCPKAnHhw</t>
  </si>
  <si>
    <t>Já ouviu falar em REITs? São o similar americano dos nossos fundos imobiliários. A grande diferença: pagam proventos mensais em DÓLAR.
Interessante, não?
#educaçaofinanceira #investimentosinteligentes #aprenderainvestir #investirdozero #dinheiro #futurotranquilo</t>
  </si>
  <si>
    <t>Planejamento Financeiro:
Eles são interligados e devem ser considerados em conjunto para alcançar uma saúde financeira sólida e atingir os objetivos de vida. 
#planejamentofinanceiro #educaçãofinanceira #proteçãopatrimônio #acúmuloeinvestimentos #aposentadoria #aquisiçãodebens https://t.co/x6IRre9275</t>
  </si>
  <si>
    <t>Fluxo de caixa: sempre é bom termos o controle bem claro do que está saindo e entrando no nosso orçamento. 
#financaspessoais #fluxodecaixa #orçamento #consultoriafinanceira https://t.co/vmlvi4v9Yl</t>
  </si>
  <si>
    <t>Conhece a conta essencial? É uma alternativa para gerar economia no teu orçamento. #financaspessoais #contacorrentegratis https://t.co/BaHDwnHaVR</t>
  </si>
  <si>
    <t>Carvalho argumenta que essas dicas podem refletir mais os interesses dos próprios gerentes ou participantes desses fóruns do que os nossos próprios interesses como investidores.
#conflitodeinteresses #educaçãofinanceira #consultorfinanceiro #igorvieira https://t.co/gwnebuNdqf</t>
  </si>
  <si>
    <t>Enquanto muitos se encantam com apostas e blaze, eu me dedico à educação financeira. Porque investir em conhecimento é a aposta mais inteligente que podemos fazer para garantir um futuro sólido. 💪💰
#educacaofinanceira #investimentointeligente #conhecimentoépoder https://t.co/wOlMUUVyxM</t>
  </si>
  <si>
    <t>A Future Proof é patrocinadora do evento, contando com Vítor Mário Ribeiro, CFA enquanto formador nos dias 20 a 24 de março, com o tema "Como construir um prospectus de investimento". Para além disso, aos vencedores será oferecido um curso online de #financaspessoais.</t>
  </si>
  <si>
    <t>Qual é a importância da educação financeira nas escolas? #EducaçãoFinanceira #Aprendizado</t>
  </si>
  <si>
    <t>#FinançasPessoais: Para ajudar na organização da vida financeira ao longo do ano, especialistas  explicam quais são as prioridades para o início do ano
https://t.co/GZyBUNYubi</t>
  </si>
  <si>
    <t>#FinançasPessoais: Entre terça-feira e às 12h desta sexta-feira, 1.867 pessoas negociaram um total de 2.216 dívidas na unidade móvel, gerando mais de R$ 6,9 milhões em descontos concedidos
https://t.co/hcxfMEbnAW</t>
  </si>
  <si>
    <t>#FinançasPessoais: A Serasa divulgou nesta segunda-feira (14) o resultado da pesquisa “A relação das gerações com as finanças pessoais”, realizada a partir de entrevistas em julho com consumidores de diversas idades
https://t.co/YNmMPT0ctQ</t>
  </si>
  <si>
    <t>Comece agora mesmo e alcance a independência financeira!  
#RendaExtra #TrabalharEmCasa #GanharDinheiroEmCasa #Freelancer #VendasOnline #EducaçãoFinanceira" https://t.co/Y7c5fSwqXd</t>
  </si>
  <si>
    <t>8"A educação financeira é uma habilidade valiosa para todas as idades. Aprenda sobre orçamento, investimentos e planejamento para tomar decisões mais inteligentes com seu dinheiro. #EducaçãoFinanceira #IndependênciaFinanceira"</t>
  </si>
  <si>
    <t>1"Dica financeira: Economizar 10% de sua renda todo mês é um ótimo hábito para construir uma base sólida para o seu futuro financeiro. #FinançasPessoais #Economia"</t>
  </si>
  <si>
    <t>Se você não administra bem seu dinheiro, gasta mais do que ganha ou não economiza o suficiente, vai enfrentar problemas financeiros.
#ganhos #gastos #endividamento #organizacaofinanceira #financaspessoais #planejamentofinanceiro
https://t.co/0naK6fKrHA</t>
  </si>
  <si>
    <t>✍️ Finanças pessoais não é só anotar gastos e despesas é muito mais do que isso, é o planejamento estratégico para sua vida.
#planejamento #estratégias #dicasfinanceiras #dicasdefinanças #educação #educacaofinanceira #educaçãofinanceira 
https://t.co/10W8Ip3imp</t>
  </si>
  <si>
    <t>🎯 O alcance dos objetivos financeiros depende de decisões conscientes e informações precisas sobre o dinheiro.
#informações #financeiras #dicasdefinanças #dicasdefinancas #educaçãofinanceira #saudefinanceira #saúdefinanceira
https://t.co/5vtnlNO9uH</t>
  </si>
  <si>
    <t>💰 A jornada para uma vida financeiramente tranquila e segura é um processo contínuo. A paciência e persistência devem fazer parte de seus esforços para alcançar seus objetivos.
#objetivos #financaspessoais #planejamentofinanceiro #liberdadefinanceira #dicasfinanceiras</t>
  </si>
  <si>
    <t>💰 Diminuir o estresse é importante para melhoria da qualidade de vida. 
Este atributos está em suas mãos.
#financaspessoais #dinheiro #financas #qualidadedevida #ganhos
https://t.co/6ZqQ9RiOzG</t>
  </si>
  <si>
    <t>Invista parte do seu tempo criando o seu futuro. Para ter uma vida saudável e tranquila é necessário adequar seus objetivos. Lembre-se de que cada pequena economia contribui para grandes conquistas.
#economia #tranquilidade #financaspessoais #dinheiro #planejamentofinanceiro</t>
  </si>
  <si>
    <t>A tranquilidade financeira é um objetivo que pode ser alcançado por meio de planejamento cuidadoso e hábitos financeiros saudáveis.
#habitossaudaveis #mercadofinanceiro #saudefinanceira #financaspessoais #planejamentofinanceiro #dicasfinanceiras
https://t.co/JZQqqf6LBc</t>
  </si>
  <si>
    <t>Qual a tua opinião? Educação financeira e empreendedorismo faz falta nas escolas?
Deixa nos comentários! 👇🏻
#educação #educaçãofinanceira #empreendedorismo #escola #finanças https://t.co/yKbA9RG2vp</t>
  </si>
  <si>
    <t>"O dinheiro é uma ferramenta. Pode amplificar quem já és. Se fores uma boa pessoa, vai amplificar isso. Se fores uma má pessoa, vai amplificar isso." - T. Harv Eker
#MindsetFinanceiro #EducaçãoFinanceira #PersonalidadeESaude #ValoresESaude #RiquezaECaracter #DinheiroEMoral</t>
  </si>
  <si>
    <t>"No matter how much money you have, if you don't have financial education, you're a slave to money." -Robert Kiyosaki 
#EducaçãoFinanceira #LiberdadeFinanceira #GestãoDeDinheiro #PlanejamentoFinanceiro #FinançasPessoais #IndependenciaFinanceira</t>
  </si>
  <si>
    <t>"Não importa quanto dinheiro você tem, se você não tem educação financeira, você é um escravo do dinheiro." - Robert Kiyosaki
#EducaçãoFinanceira #LiberdadeFinanceira #GestãoDeDinheiro #PlanejamentoFinanceiro #FinançasPessoais #IndependenciaFinanceira</t>
  </si>
  <si>
    <t>O tema do próximo Encontro Fluir é fundamental que a sua empresa domine: Finanças!
Ele será realizado dia 21 de julho, sexta-feira, às 19h30 na IBG Taubaté.
🌐 https://t.co/FG6iyb5ALs
📆 21/07, sexta-feira, às 19h30.
#fluir #ibg #educacaofinanceira #planejamentofinanceiro https://t.co/WFwuKS8QXN</t>
  </si>
  <si>
    <t>Parabéns! Sua pontuação de crédito aumentou! Saiba que esse aumento vai ajudar a melhorar sua saúde financeira e abrir novas oportunidades.
Link: https://t.co/dTnMa0m8q7
 #ScoreDeCrédito #FinançasPessoais https://t.co/1uEh26J2j5</t>
  </si>
  <si>
    <t>veja seu dinheiro render todos os dias! #Investimento #Finanças #RendaPassiva #DicasFinanceiras #educacaofinanceira https://t.co/ZNFEQuEJhm</t>
  </si>
  <si>
    <t>O socialismo pode evoluir e ajudar pessoas que passam por dificuldades financeiras de várias maneiras. Uma delas é através da #educaçãofinanceira, que é fundamental p entender como funciona o dinheiro e como é possível fazer o #dinheiro trabalhar a seu favor.</t>
  </si>
  <si>
    <t>Criptomoedas não são investimentos! #EducaçãoFinanceira https://t.co/Teg9bizTX4</t>
  </si>
  <si>
    <t>O que é curva de juros?  #EducaçãoFinanceira https://t.co/bvJfGFUpdN</t>
  </si>
  <si>
    <t>Técnica Matemáticas para venda! #EducaçãoFinanceira https://t.co/o2mYlpfJKK</t>
  </si>
  <si>
    <t>Investir e cuidar de você mesmo no futuro! #EducaçãoFinanceira #Investimento https://t.co/gaD2Omb2el</t>
  </si>
  <si>
    <t>Como começar a investir com 16 anos?  #Investimento #EducaçãoFinanceira https://t.co/c0mdG6CYUM</t>
  </si>
  <si>
    <t>Viver de aluguel! #EducaçãoFinanceira https://t.co/23vMVRd1pB</t>
  </si>
  <si>
    <t>Comprar ou alugar? #EducaçãoFinanceira https://t.co/s9YVPrV79M</t>
  </si>
  <si>
    <t>Investir é coisa de vagabundo? #EducaçãoFinanceira #Investimentos https://t.co/iqKeF9Gdxb</t>
  </si>
  <si>
    <t>Qual é a melhor forma de investir para iniciantes? #EducaçãoFinanceira #Investimentos https://t.co/bRKGSndM9U</t>
  </si>
  <si>
    <t>A Inflação e a impressão de dinheiro! #EducaçãoFinanceira￼
https://t.co/YWVKGHp1vv https://t.co/5qiuEvFmkW</t>
  </si>
  <si>
    <t>Quem paga a conta é quem está na ponta! #EducaçãoFinanceira https://t.co/eJ291Why9G</t>
  </si>
  <si>
    <t>Consequências do populismo! #EducaçãoFinanceira https://t.co/aWNZMbQrK7</t>
  </si>
  <si>
    <t>Estratégia de fundos imobiliários! #EducaçãoFinanceira #Investimento #FundosImobiliários
Link: https://t.co/wjFs6JZNdC https://t.co/81czwoKLeG</t>
  </si>
  <si>
    <t>Carteira de FII.  #EducaçãoFinanceira #Investimento https://t.co/vsu4q90sUG</t>
  </si>
  <si>
    <t>É difícil investir? #Investimento #EducaçãoFinanceira https://t.co/YRBKS00fnF</t>
  </si>
  <si>
    <t>DREX! #EducaçãoFinanceira https://t.co/ojN8q8Wcnq</t>
  </si>
  <si>
    <t>Investimentos versos INSS! #EducaçãoFinanceira https://t.co/5cQNiyNlNr</t>
  </si>
  <si>
    <t>Minha carteira de fiagros ! #EducaçãoFinanceira #Investimento
Link: https://t.co/8fsvOEHcQE https://t.co/LQjd1f5lrR</t>
  </si>
  <si>
    <t>Registrato, Banco Central! #EducaçãoFinanceira https://t.co/67VHr1eMwL</t>
  </si>
  <si>
    <t>Você investe na Petrobras? #EducaçãoFinanceira #Investimentos https://t.co/hgjxy28GRK</t>
  </si>
  <si>
    <t>Como investir? #EducaçãoFinanceira￼ https://t.co/JnrCyCeETA</t>
  </si>
  <si>
    <t>Qual é o melhor investimento? #EducaçãoFinanceira https://t.co/7MeITHfWjr</t>
  </si>
  <si>
    <t>Dinheiro para investir! #EducaçãoFinanceira https://t.co/4v7OwkxkFs</t>
  </si>
  <si>
    <t>Dinheiro é tempo? #EducaçãoFinanceira https://t.co/8Y8l8WRdeQ</t>
  </si>
  <si>
    <t>Pagando DARF! #EducaçãoFinanceira #Investimentos https://t.co/XNclEet1a4</t>
  </si>
  <si>
    <t>Não espere mais para dar um impulso em suas finanças! Comece agora mesmo a traçar seu caminho rumo à independência financeira. 
#FinançasSaudáveis #Finanças #FinançasPessoais #Gestãofinanceira #SaúdeFinanceira  #EquilíbrioFinanceiro #Desendividamento #economia #dinheiro</t>
  </si>
  <si>
    <t>Cresol Integração realiza ações de educação financeira
https://t.co/0NiSbAUOxg
📸Assessoria
🌐Leia a matéria completa no site. Link na BIO
#acoes #educacaofinanceira #palestras https://t.co/2c08Y7lCJv</t>
  </si>
  <si>
    <t>Conversas Bem Contadas: Sicredi lança websérie com dicas de educação financeira
https://t.co/LZmAanVNfs
📸Assessoria
🌐Leia a matéria completa no site. Link na BIO
#webserie #educacaofinanceira #dicas https://t.co/4U05n7vpfR</t>
  </si>
  <si>
    <t>4. Aumente sua renda: Procure oportunidades para aumentar sua renda, como trabalhos freelancers ou um emprego de meio período. #finançaspessoais</t>
  </si>
  <si>
    <t>1.  Reduza suas despesas: Avalie suas despesas e encontre maneiras de reduzir os custos. Por exemplo, cozinhe em casa em vez de sair para jantar e faça compras em supermercados mais baratos. #educaçaofinanceira</t>
  </si>
  <si>
    <t>Não importa quanto você ganha - se você não sabe como administrar seu dinheiro, nunca terá a sensação de estar financeiramente seguro. Invista em sua educação financeira e comece a tomar controle de sua vida. #educaçãofinanceira #planejamentofinanceiro</t>
  </si>
  <si>
    <t>A maioria das pessoas não nasce sabendo como administrar suas finanças. Mas com um pouco de esforço e dedicação, qualquer um pode aprender a controlar seu dinheiro. #educaçãofinanceira</t>
  </si>
  <si>
    <t>"Dizem que não existe almoço grátis e a mesma regra se aplica ao sucesso.
🔨 Sucesso não vem sem trabalho. Trabalho que é muitas vezes árduo, que exige tempo, dedicação e persistência. Mas o esforço não é em vão, especialmente quando você tem um propósito.
#EducaçãoFinanceira https://t.co/aiVPwBDLNb</t>
  </si>
  <si>
    <t>Vale destacar que os bancos sempre estão dispostos a negociar as dívidas o ano inteiro. É só procurar as instituições financeiras por seus canais digitais.
#Educaçãofinanceira #Mutirao #bancos #febraban</t>
  </si>
  <si>
    <t>Vale destacar que, a Febraban, representando o setor bancário, oferece uma plataforma de educação financeira gratuita e fácil: o @meubolsoemdia. 
#febrabantech2023 #bancos #educaçãofinanceira</t>
  </si>
  <si>
    <t>Para saber mais sobre este assunto, confira a matéria e descubra quantas portas se abrem quando você tem sua conta.  #inclusãofinanceira #educaçãofinanceira #bancos</t>
  </si>
  <si>
    <t>Se você tem esta dúvida, veja a resposta no artigo de Uelton Carvalho, head de Cidadania Financeira da Febraban, que mostra como, com controle de gastos e planejamento, sair dessa situação sem deixar de aproveitar a folia. https://t.co/Bj62XIqPoC 
#Educaçãofinanceira</t>
  </si>
  <si>
    <t>Bora Falar de Guito?
#talento #dinheiro #borafalardeguito #financaspessoais #gestaofinanceira #orcamento</t>
  </si>
  <si>
    <t>Como os Ativos e Passivos, no contexto das finanças pessoais, podem influenciar a nossa vida financeira?
Lê o artigo "O que são Ativos e Passivos?" Clica no link 👇
https://t.co/KrdLw22wEy
#borafalardeguito #ativos #passivos #ativosepassivos #financaspessoais https://t.co/7SxM9bBHxo</t>
  </si>
  <si>
    <t>#financaspessoais #pagarteprimeiro #liberdadefinanceira #financas #Independenciafinanceira</t>
  </si>
  <si>
    <t>Gravações da 2ª temporada do podcast "Foca nos Sonhos" da Brasilprev concluída! 💫📷💼 Novo cenário, influenciadores incríveis e histórias inspiradoras sobre sonhos e educação financeira. Mais novidades em breve! #FocaNosSonhos #Podcast #EquipePoderosa #EducaçãoFinanceira https://t.co/xdXkQTNFwL</t>
  </si>
  <si>
    <t>Qual a sua opinião? Muitos investidores vão vender #PETR4?
👉 SIGA @dicadehoje_7 para mais conteúdos como esse!
#ibovespa #ibov #educacaofinanceira #bolsadevalores #dividendos #rendapassiva #acoes #dinheiro #rendaextra https://t.co/Ed0HBmhSrd</t>
  </si>
  <si>
    <t>"Não subestime a importância do estudo e da educação financeira. Quanto mais você aprender sobre investimentos, mais preparado estará para tomar decisões acertadas no mercado financeiro. #investimentos #bolsadevalores #educaçãofinanceira"</t>
  </si>
  <si>
    <t>"Não se esqueça de que a educação financeira é a base para qualquer investimento de sucesso. Invista em seu conhecimento e esteja sempre atualizado sobre as tendências e novidades do mercado financeiro. #investimentos #educaçãofinanceira #sucesso"</t>
  </si>
  <si>
    <t>O mercado financeiro pode ser inevitável, mas com uma estratégia sólida e inteligente de investimento, você pode alcançar resultados convidados. #finançaspessoais #educaçãofinanceira #investimentos"</t>
  </si>
  <si>
    <t>"A educação financeira é fundamental para termos uma vida equilibrada e realizarmos nossos sonhos. Vem comigo nessa jornada! #financaspessoais #investimentos #educaçãofinanceira"</t>
  </si>
  <si>
    <t>"Sabe aquela vontade de viajar, comprar um carro novo ou até mesmo a casa dos sonhos? Com planejamento financeiro e investimentos, tudo é possível! #objetivosfinanceiros #educaçãofinanceira #investimentos"</t>
  </si>
  <si>
    <t>"O dinheiro não é tudo na vida, mas pode sim nos dar liberdade e tranquilidade. Vamos aprender a fazer ele trabalhar para nós! #financaspessoais #educaçãofinanceira #investimentos"</t>
  </si>
  <si>
    <t>"Você já pensou em como será sua vida financeira daqui a 10 anos? E daqui a 20 anos? Vamos construir juntos um futuro próspero e tranquilo. #planejamentofinanceiro #educaçãofinanceira #investimentos"</t>
  </si>
  <si>
    <t>"Não tem dinheiro para investir? Sem problema! Vamos começar com o que temos e ir crescendo aos poucos. #investimentos #finançaspessoais #educaçãofinanceira"</t>
  </si>
  <si>
    <t>"A vida financeira é como uma escada: um degrau de cada vez. Se você quer chegar ao topo, precisa começar agora. #objetivosfinanceiros #planejamentofinanceiro #educacaofinanceira"</t>
  </si>
  <si>
    <t>"Não adianta ganhar muito se não souber administrar! Vamos aprender a fazer o dinheiro trabalhar para nós. #financaspessoais #investimentos #educaçãofinanceira"</t>
  </si>
  <si>
    <t>"Quer ficar rico? Comece entendendo o seu dinheiro! Vem comigo e vamos juntos nessa jornada financeira. #educacaofinanceira #dinheiro #riqueza"</t>
  </si>
  <si>
    <t>💲💰 "Educação financeira não é a resolução de todos os problemas" | Nath Finanças no Giro Nordeste
Como as famílias podem se organizar para evitar as dívidas? O Giro Nordeste entrevista @nathfinancas!
https://t.co/ApBDKeOGa4
#GiroNordeste
#NathFinanças
#EducaçãoFinanceira</t>
  </si>
  <si>
    <t>💰 Educação Financeira: Como driblar a crise e planejar o futuro? | Transição
Acompanhe!
https://t.co/lxla1vN8sy
#Transição
#EducaçãoFinanceira
#Economia
#Salário https://t.co/U0XU9or9K7</t>
  </si>
  <si>
    <t>"Conquistar uma vida financeira saudável começa com o básico: controle financeiro. Anote seus gastos, defina metas e acompanhe seus resultados. Com disciplina e persistência, você alcançará seus objetivos financeiros! #controlefinanceiro #finanças #educaçãofinanceira"</t>
  </si>
  <si>
    <t>A Onil Group foi criada para ser uma solução para quem deseja negociar criptoativos, mas também para trazer informações sobre esse mercado.
Afinal, conhecimento vale ouro!
#onilgroup #criptomoedas #ativosdigitais #criptoativos #educaçãofinanceira https://t.co/QyymU0zuRL</t>
  </si>
  <si>
    <t>Quer ter mais conhecimento e consciência sobre dinheiro?
Siga nossas páginas. Aqui tem conteúdo enriquecedor todos os dias!
#onilgroup #criptomoedas #ativosdigitais #educaçãofinanceira #criptoativos https://t.co/k7ql7V0b0h</t>
  </si>
  <si>
    <t>Não perca a oportunidade de aprender com o especialistas em finanças, o Dr. Adalto Althaus. 
Clica no link e veja o vídeo completo:  https://t.co/JTMHKht6GE
#onilgroup #educaçãofinanceira #finanças #mercadofinanceiro https://t.co/m3nztI1IlY</t>
  </si>
  <si>
    <t>Mais do que criar soluções para você poder operar no mercado de ativos digitais, a Onil Group se preocupa em trazer conhecimento para sua vida.
Aqui tem conteúdo diário para ajudar você a se desenvolver 😉
#onilgroup #criptomoedas #ativosdigitais #educaçãofinanceira https://t.co/Cd2qJjvivJ</t>
  </si>
  <si>
    <t>Estude!
Só adquirindo mais conhecimento que você poderá entrar de forma mais tranquila no mercado financeiro.
#onilgroup #criptomoedas #ativosdigitais #mercadofinanceiro #educaçãofinanceira #criptoativos #ativosfinanceiros https://t.co/VNcv0NdwCP</t>
  </si>
  <si>
    <t>🎉📷
@Rankia chega ao Brasil com muita emoção! 📷📷 Nossa comunidade financeira online está pronta para capacitar e promover o conhecimento financeiro. Juntos, vamos criar um futuro financeiro brilhante! 📷  #EducaçãoFinanceira #Brasil https://t.co/Lk3LOpZTkC</t>
  </si>
  <si>
    <t>Com a #educaçãofinanceira é possível garantir o equilíbrio nas suas escolhas e uma melhor relação com o dinheiro.
Bora começar agora mesmo a cuidar das suas #finanças? Acesse a plataforma https://t.co/uLKOjz81Ej e saiba como! 💰🚀
#SemanaENEF</t>
  </si>
  <si>
    <t>✨Aproveite a oportunidade de fazer a exposição dos seus Produtos ou Serviços no maior evento de Educação Financeira de Moçambique.
💡Corra já pelas suas finanças e aproveite pois, os espaços são limitados🏃🏾‍♂️
#educacao #financeira #educacaofinanceira #produtos #servicos #pacotes https://t.co/385OMrK1iI</t>
  </si>
  <si>
    <t>A Educação Financeira é o instrumento que garante uma vida financeira saudável. 
Corra já para as suas finanças! 🏃🏾‍♂️
Brevemente…
#educacaofinanceira #dinheiro #gestão #comingsoon #maputo #mocambique https://t.co/MM8hnslqRh</t>
  </si>
  <si>
    <t>No passado dia 26 de Janeiro de 2023, a @educacaofinanceira.mz realizou a 1a Edição da Educação Financeira Moz, no Hotel polana dás 8:00 até às 13:00 horas, que contou com 6 oradores e 80 participantes. https://t.co/JlYi77ZwQk</t>
  </si>
  <si>
    <t>Mas o primeiro passo para tal é a mudança dos nossos hábitos financeiros, portanto junte-se à nós. Esperamos por você!✨
#corrajapelassuasfinanças #educaçãofinanceira 
#moçambique🇲🇿</t>
  </si>
  <si>
    <t>A @educacaofinanceira.mz abriu oficialmente as inscrições para a formação de Educação Financeira!
É o nosso prazer poder partilhar convosco estes preciosos ensinamentos que irão melhorar seus hábitos financeiros e sua gestão financeira futura! https://t.co/V3G9WB7pA3</t>
  </si>
  <si>
    <t>Já se inscreveu na nossa formação?
Esperamos por você!
#Vagaslimitadas #Educaçãofinanceira</t>
  </si>
  <si>
    <t>💡Venha partilhar connosco a sua Ideia de Negócio, no melhor evento de Educação Financeira do País.✨
📌Venha divulgar os seus Produtos e Serviços.
Corra já pelas suas finanças🏃🏾‍♂️
#educacao #financeira #educacaofinanceira #moçambique #maputo
#dinheiro #gestao #negocio https://t.co/ADkJN4xNT7</t>
  </si>
  <si>
    <t>✨Venha fazer parte do maior evento de Educação Financeira de Moçambique.🇲🇿
Não perca tempo e garanta já a sua presença.💡
Corra já pelas suas finanças🏃🏾‍♂️
#educacao #financeira #educacaofinanceira #mocambique #maputo 
#dinheiro #gestao #evento 
#finanças https://t.co/NAQmqUd1fH</t>
  </si>
  <si>
    <t>Clique aqui e entenda o que é inadimplência e como ela pode atrapalhar suas finanças:
https://t.co/caSDHpF6xl
#educacaofinanceira #inadimplencia https://t.co/KtXWnHdw2n</t>
  </si>
  <si>
    <t>Saiba agora mesmo como sua alimentação pode impactar diretamente o orçamento doméstico:
https://t.co/6JYxXdo7Mj
#economiadomestica #educacaofinanceira https://t.co/dw1qRDaLfi</t>
  </si>
  <si>
    <t>Gasolina, diesel ou etanol: o que sai mais em conta na hora de abastecer?
Clique aqui e entenda:
https://t.co/ksFspWr4nK
#combustivel #educacaofinanceira https://t.co/PHjekqHST9</t>
  </si>
  <si>
    <t>Identifique agora mesmo se você faz compras por impulso:
https://t.co/4aBANcn10L
#educacaofinanceira https://t.co/IbhWGNUl5S</t>
  </si>
  <si>
    <t>Entenda agora mesmo como escolher o melhor seguro de vida:
https://t.co/lQM7Z9kLzG
#segurodevida #educacaofinanceira https://t.co/qho5HvLBaK</t>
  </si>
  <si>
    <t>Clique no link e veja como economizar na hora de comprar os materiais escolares:
https://t.co/PrCbIICZue
#economia #educacaofinanceira https://t.co/yb4kEaXgFK</t>
  </si>
  <si>
    <t>Economize com o programa do Posto Ipiranga. 
Clique aqui:
https://t.co/waaN9CrQgO
#postoipiranga #educacaofinanceira https://t.co/JNz68gmynW</t>
  </si>
  <si>
    <t>Clique aqui e descubra quanto se gasta em média em uma festa infantil:
https://t.co/Qwi3KV8blN
#festainfantil #educacaofinanceira https://t.co/ZjqudJER5t</t>
  </si>
  <si>
    <t>Para saber se há dívidas em seu nome, clique aqui:
https://t.co/S4x2UBC3Sm
#nomelimpo #educacaofinanceira https://t.co/rtrMq1kBcE</t>
  </si>
  <si>
    <t>Veja aqui os problemas financeiros que os brasileiros estão enfrentando:
https://t.co/KBoOAUcK0d
#educacaofinanceira #economiabrasileira https://t.co/28FLq4h0aF</t>
  </si>
  <si>
    <t>Entenda de uma vez por todos a diferença entre custos e despesas.
Clique aqui:
https://t.co/bAaJVgzM6u
#custos #despesas #educacaofinanceira https://t.co/arHjEU3Nwm</t>
  </si>
  <si>
    <t>Quer aprender a GANHAR DINHEIRO? Descubra a DIFERENÇA entre Renda do Tra... https://t.co/N3n6KuA29N via @YouTube
#dinheiro #renda #rendaextra #investimentos #ações #fiis #financas #financaspessoais #educacaofinanceira</t>
  </si>
  <si>
    <t>"A educação financeira não é apenas sobre dinheiro; é sobre liberdade, paz de espírito e a capacidade de tomar decisões informadas para o seu futuro financeiro". 💰💡 #EducacaoFinanceira #FinancasPessoais</t>
  </si>
  <si>
    <t>🚀 Bem-vindo ao Major da Grana! Explorando finanças e investimentos com um toque nordestino. 💰
💡 Dicas práticas, histórias inspiradoras e muito mais! Vamos juntos em busca da liberdade financeira!
#FinançasNoSertão #EducaçãoFinanceira</t>
  </si>
  <si>
    <t>O que é D.Y.?
O D.Y. é um índice usado para medir o rendimento de um ativo com o pagamento de proventos. 
Basta dividir o valor do provento pelo pelo preço do ativo e multiplicar por 100.
#proventos #ações #fiis #mercadoDeAções #educaçãoFinanceira #ControleDeInvestimentos https://t.co/1OUfzQloQs</t>
  </si>
  <si>
    <t>RT @mat_financeira: Hoje celebramos a data nacional do país. Celebre também a liberdade que a educação proporciona.
#IndependênciaDoBrasil…</t>
  </si>
  <si>
    <t>O brasileiro tem uma relação complicada com o dinheiro, mas aprender sobre finanças pode mudar essa realidade. Descubra dicas práticas para gerir melhor suas finanças pessoais e construir um futuro mais seguro e próspero aqui no perfil. #finanças #educaçãofinanceira #dinheiro</t>
  </si>
  <si>
    <t>5. Anote seus gastos diários e identifique onde seu dinheiro está sendo gasto.
6. Invista em seu conhecimento financeiro através de livros, cursos e consultorias.
#finançaspessoais #educaçãofinanceira #planejamentofinanceiro #investimentos #controlefinanceiro</t>
  </si>
  <si>
    <t>5-Invista em seu conhecimento financeiro! Eduque-se, leia livros, faça cursos e esteja sempre atualizado. O conhecimento é poder. #EducaçãoFinanceira #InvestimentoEmSiMesmo</t>
  </si>
  <si>
    <t>2-Conhecer os tipos de investimento é fundamental para tomar decisões informadas. Estude e entenda suas opções antes de investir. #EducaçãoFinanceira #Diversificação</t>
  </si>
  <si>
    <t>Revolução Bitcoin: Crianças de El Salvador Abraçam o Futuro Financeiro na Escola!
#BitcoinNaEscola #EducaçãoFinanceira #ElSalvador #Criptomoedas #CriançasAprendendo https://t.co/V5k25d80Ap</t>
  </si>
  <si>
    <t>Se voce nao sonha, você não existe! Você pode realizar todos seus sonhos. "Pense"
If you don't dream, you don't exist! You can achieve all your dreams. "THINK"
#Liberdadefinanceira #sucesso #MarketingDifgital #educacaofinanceira #business https://t.co/dzR5av43XW</t>
  </si>
  <si>
    <t>Já investe em dólar?
#educacaofinanceira #dinheiro #dolar #investimento https://t.co/OZD2lXKuzo</t>
  </si>
  <si>
    <t>Você que estava me cobrando, agora não precisa mais esperar. Nosso ebook de #educaçãofinanceira já está disponível. Acesse o link e inicie um novo patamar em sua vida.
https://t.co/c90fHjHueb</t>
  </si>
  <si>
    <t>Fique esperto nessa dica. 
#educacaofinanceira #investimento #rendadixa https://t.co/kYjdOfXwSg</t>
  </si>
  <si>
    <t>Veja como é fácil gerir seu dinheiro. 
#dinheiro #educacaofinanceira https://t.co/rxKAZ1eQOV</t>
  </si>
  <si>
    <t>Que “leão” está lhe impedindo de prosperar?
#educacaofinanceira #investimentos #saiadasdividas #dinheiro #prosperidade https://t.co/IrTfluXrJ4</t>
  </si>
  <si>
    <t>Como você educa ou pretende educar seus filhos financeiramente?
O maior erro do ser humano é fazer as mesmas coisas esperando resultados diferentes.
#pairicofilhorico #pairicopaipobre #sejaricosejaprospero #investidorperturbado #dautinhodasfinanças #escola #educaçãofinanceira https://t.co/9ec32vVZKz</t>
  </si>
  <si>
    <t>Se você não souber o quanto você gasta com alimentação por mês, me procure o quanto antes se quiser ter uma vida confortável 💰
#governo #lula #pt #educacaofinanceira https://t.co/3OOMgczDAA</t>
  </si>
  <si>
    <t>Hoje é quinta feira, 12-01-2023
Dia de Jupiter
Dia de Lavagem do Bomfim
Hoje o céu (ainda) está propício para não só se organizar como colocar em prática essa organização. 
#astrologia
#educaçãofinanceira
#Lunação 
#marte
#mercúrioretrógrado
#luaemvirgem
https://t.co/ycQHLUHrvb</t>
  </si>
  <si>
    <t>#FinançasPessoais #PlaneamentoFinanceiro #Investimento #Poupança https://t.co/1S7QHEu0mN</t>
  </si>
  <si>
    <t>Antes de buscar milagres nos investimentos, lembre-se: a educação financeira é o alicerce do sucesso. Descubra por que é crucial dominar suas finanças antes de mergulhar no mundo dos investimentos #EducaçãoFinanceira #Investimentos #PlanejamentoFinanceiro
https://t.co/t3rYX3u7Ik</t>
  </si>
  <si>
    <t>Educação financeira vem desde criança 💸😍
#Educacaofinanceira #mylove #aprendendo #domingao #mygirl #meumundorosa #Fazueli https://t.co/m27bKhQxdz</t>
  </si>
  <si>
    <t>#Financaspessoais 
#Economia 
Se liga nessa aqui! https://t.co/9LwHrCdFVf</t>
  </si>
  <si>
    <t>#life
#Financaspessoais 
Pra começar a semana! 💪🔥
Os bancos emprestam mais dinheiro quando você já está rico.
Você é mais atraente quando está mais feliz.
As pessoas te ajudam mais quando você não precisa mais de ajuda.
Riqueza atrai riqueza! 
Funciona assim.</t>
  </si>
  <si>
    <t>#FinancasPessoais https://t.co/DoEt0unBVk</t>
  </si>
  <si>
    <t>A #educaçãofinanceira é um exercício diário que pode sim virar um bom hábito em nossas vidas.
Mas se você se sente perdido(a) quando o assunto é finanças ou gostaria de uma orientação especializada no
assunto, a gente pode te ajudar! 🤩 https://t.co/rlB0uOBMck</t>
  </si>
  <si>
    <t>E para te ajudar a se organizar e aprender ainda mais sobre #educaçãofinanceira, conte com os cursos 100%
online e gratuitos da plataforma #SeLigaFinançasON! É só acessar ➡ https://t.co/4GrTDtPkwb⬅ .
#SemanaENEF #SemanaENEF2023 #Sicoob #InstitutoSicoob https://t.co/sfjIqBaXGb</t>
  </si>
  <si>
    <t>A #educaçãofinanceira muda nossa mente e nosso dia a dia: em cada momento que tomamos uma boa decisão financeira, chegamos mais perto de tornar essa prática um hábito diário em nossas vidas! https://t.co/7LdAIW7cMK</t>
  </si>
  <si>
    <t>Você quer esse combo? 🤩 A #educaçãofinanceira pode te ajudar! Com ela, você aprende a poupar, faz planos para o futuro e ainda se diverte no presente sem comprometer suas finanças.
#SemanaENEF #SemanaENEF2023 #Sicoob #InstitutoSicoob https://t.co/XRkfHg4V0r</t>
  </si>
  <si>
    <t>Chegou a 10º edição da #SemanaENEF: recheada de ações e iniciativas para você aprender e aplicar os conceitos de #educaçãofinanceira e, assim, começar a melhorar suas decisões sobre finanças e consumo para alcançar uma relação equilibrada com o dinheiro.
 ️ https://t.co/IdtNiNxHNe</t>
  </si>
  <si>
    <t>Chega de ficar correndo como o #TheFlash das suas contas. Aprender #educaçãofinanceira te ajuda a ter autonomia, independência e poder de escolha para lidar com as finanças de
forma tranquila!
Não sabe como começar?
✔Conheça o curso Finanças Pessoais:
https://t.co/oVgYZngZeK https://t.co/wZNZnFSNWX</t>
  </si>
  <si>
    <t>A plataforma #SeLigaFinançasON oferece cursos online e gratuitos para te ajudar! 📌Sua liberdade financeira começa aqui:
https://t.co/oVgYZngZeK (link na bio).
#FinançasPessoais #FinançasParaMEI #CursosGratuitos #InstitutoSicoob https://t.co/eOgjHsMyYa</t>
  </si>
  <si>
    <t>Dai a @Ls_lenz não ia precisar comer no restaurante todos os dias e ia economizar... #educaçãofinanceira #aulacomocelsoportiolli</t>
  </si>
  <si>
    <t>💸💳 Precisando de um empréstimo mas está negativado ou com baixo score? Não se preocupe! Confira agora no @zoomdinheiro como fazer sua solicitação com segurança e sem complicações. #Empréstimo #Negativados #BaixoScore #FinançasPessoais #ZoomDinheiro
https://t.co/mSva1NKOc6 https://t.co/v6OpYmeoes</t>
  </si>
  <si>
    <t>💰💸 Quer aprender a gerenciar suas dívidas e se livrar das contas atrasadas? Confira agora no @zoomdinheiro as melhores dicas para uma gestão financeira saudável! #Dívidas #GerenciamentoDeDívidas #FinançasPessoais #PlanejamentoFinanceiro #ZoomDinheiro
https://t.co/L9LTcFafL3 https://t.co/pvaYYdN7Fd</t>
  </si>
  <si>
    <t>#youtube Dicas de finanças #dicas#finanças, #dicasdefinanças#educaçãofinanceira https://t.co/bVNXnSpKlf</t>
  </si>
  <si>
    <t>#educaçãofinanceira #hábitosfinanceiros #economia https://t.co/cZebpA7qtV</t>
  </si>
  <si>
    <t>📈 Café com Bolsa ☕📊 02/01/23
#liberdadefinanceira #educacaofinanceira #cafecombolsa https://t.co/NHRhhGAU4n</t>
  </si>
  <si>
    <t>📈 Café com Bolsa ☕📊 11/01/23
IBOVESPA 1,55% Ontem
IFIX 0,00% Ontem
#educacaofinanceira #mercadofinanceiro #queroinvestir https://t.co/t6hTbjTpM3</t>
  </si>
  <si>
    <t>📈 Café com Bolsa ☕📊 04/01/23
IBOVESPA -2,08% Ontem
IFIX -0,21% Ontem
#educacaofinanceira #financaspessoais https://t.co/CKUz95qiFy</t>
  </si>
  <si>
    <t>É fundamental sabermos cuidar da nossa saúde financeira, para isso, precisamos falar mais sobre Educação Financeira.
#educacaofinanceira https://t.co/OLKcQL4x30</t>
  </si>
  <si>
    <t>#PodCast17 | Da Quebrada à Bolsa de Valores: Como empreendi / Convidado: André patrocínio - CEO da Etus @ Locaweb / #ExpoFavela2023 #ExpoFavelaSP #investimento #educacaoFinanceira https://t.co/wCxUauBqy0</t>
  </si>
  <si>
    <t>#PodCast04 | A Importância da educação financeira como impacto socialnascomunidades / Convidado: Uelton Carvalho - Gestor de cidadania financeira da Febraban #ExpoFavela2023 #ExpoFavelaSP #educacaofinanceira #comunidades https://t.co/4oKUlx6egz</t>
  </si>
  <si>
    <t>🚴♂Você aprendeu andar de bicicleta lendo um manual?
👇Clique no link e descubra a conquista da sua liberdade financeira👇
https://t.co/CUqQeB7NOa
#investimentos #educaçãofinanceira #melhoresinvestimentos #liberdadefinanceira #independenciafinanceira #mentoria https://t.co/8a3bXU62Nl</t>
  </si>
  <si>
    <t>Além do registro dos gastos mês a mês, o Planner traz diversos infográficos e dicas para construção de uma boa saúde financeira
#UnicredPortoAlegre
#Uni4Life
#educacaofinanceira
#financaspessoais
#unicred
#Uni4Talks
#PlannerFinanceiro
https://t.co/poMpvc10WY</t>
  </si>
  <si>
    <t>Professores de todo o país terão cursos de educação financeira
- Iniciativa é da CVM, Sebrae e Ministério da Educação
#Professores #EducaçãoFinanceira #MinistériodaEducação #Educação 
Saiba mais:
https://t.co/Pj1r3osaek</t>
  </si>
  <si>
    <t>O escritor, professor e consultor financeiro Gustavo Cerbasi é um dos nomes mais importantes do Brasil quando se trata de Educação Financeira. Ele veio ao Band para dar uma palestra voltada para diversos “clubes” de alunos.
#educaçãofinanceira 
#oalunoband 
#colégiobandeirantes https://t.co/HnRy2Bi9AH</t>
  </si>
  <si>
    <t>Conhecimento é poder! Aprenda sobre finanças pessoais, investimentos e tome decisões mais conscientes para alcançar seus objetivos financeiros. 📚💡 
#EducaçãoFinanceira #SucessoFinanceiro #DicasFinanceiras #infogain https://t.co/Zp9RGKJiVb</t>
  </si>
  <si>
    <t>Não deixe que o medo te impeça de chegar a lugares incríveis!
#fmc
#escritoriofmc
#educaçãofinanceira
#medo
#oportunidades https://t.co/WvWBPr7wKb</t>
  </si>
  <si>
    <t>A busca por educação financeira é o investimento mais valioso que podemos fazer em nós mesmos, proporcionando o conhecimento e as ferramentas necessárias para tomar decisões financeiras inteligentes. 
#escritoriofmc 
#fmc 
#francel
#educaçãofinanceira 
#conhecimento https://t.co/vSW4haabR5</t>
  </si>
  <si>
    <t>Saber lidar com as emoções ao investir é fundamental para tomar decisões racionais e evitar que as emoções sejam um obstáculo no caminho do sucesso financeiro.
#fmc 
#escritoriofmc 
#francel
#educaçãofinanceira
#investimento 
#controleemocional https://t.co/vuTSaw7ZEY</t>
  </si>
  <si>
    <t>Não tema o erro, pois é através dele que aprendemos, evoluímos e encontramos o caminho para o sucesso.
#fmc 
#escritoriofmc 
#francel 
#sucesso
#educaçãofinanceira https://t.co/kNiFw3Tw96</t>
  </si>
  <si>
    <t>A liberdade financeira nos da conforto e poder de fazer escolhas financeiras saudáveis.
#fmc
#escritoriofmc
#liberdadefinanceira
#finanças
#educaçãofinanceira
#escolhas https://t.co/acF6EtZBi1</t>
  </si>
  <si>
    <t>A experiência, quando aliada ao conhecimento, se torna uma poderosa fonte de sabedoria e crescimento pessoal.
#fmc 
#escritoriofmc 
#francel 
#educaçãofinanceira
#experiência
#conhecimento https://t.co/yMrobcOtZ9</t>
  </si>
  <si>
    <t>Sonhe grande e tenha a coragem de correr atrás, pois é na busca incansável por seus sonhos que você encontrará as oportunidades para realizá-los.
#fmc
#escritoriofmc 
#francel
#sonhos 
#educaçãofinanceira
#coragem https://t.co/rtkYwsqpnE</t>
  </si>
  <si>
    <t>Se você quer conquistar algo, pare de sonhar e dê o primeiro passo para mudar sua vida!
#fmc
#escritoriofmc
#sonho
#conselhos
#educaçãofinanceira https://t.co/dqaPdPilZO</t>
  </si>
  <si>
    <t>Busque a independência financeira e conquiste a liberdade de realizar seus sonhos ✨
#fmc 
#escritoriofmc 
#francel 
#educaçãofinanceira
#liberdadefinanceira
#sonhos https://t.co/8r7FQalB6z</t>
  </si>
  <si>
    <t>Um bom líder possui uma comunicação clara e eficaz, tornando mais fácil para todos compreenderem e seguirem seus objetivos.
#fmc 
#escritoriofmc 
#francel 
#liderança
#educaçãofinanceira https://t.co/skOijRblN8</t>
  </si>
  <si>
    <t>Buscar conhecimento é essencial para o nosso crescimento e desenvolvimento contínuo.
#escritoriofmc 
#fmc 
#francel 
#conhecimento
#progresso
#educaçãofinanceira https://t.co/HXH3Q78Kdi</t>
  </si>
  <si>
    <t>A verdadeira riqueza reside não nos bens que possuímos, mas sim nos valores que cultivamos 😄
#fmc 
#escritoriofmc 
#francel 
#educaçãofinanceira
#dinheiro
#valores https://t.co/qqqVBWgXR4</t>
  </si>
  <si>
    <t>Mais importante do que a velocidade, é saber para qual direção seguir.
#fmc
#escritoriofmc
#conselhos
#educaçãofinanceira
#direçao https://t.co/cVONk3BBKv</t>
  </si>
  <si>
    <t>Isso é educação financeira, saiba lidar com seu dinheiro e tenha responsabilidade quando tiver com ele em suas mãos. #dinheiro #blackrat #educaçãofinanceira https://t.co/lKQunrHshQ</t>
  </si>
  <si>
    <t>Participe de nossa gravação ao vivo e envie suas perguntas para o nosso convidado!
Anota aí: Quinta-feira, 24 de agosto às 22h00 em nosso canal do YouTube: https://t.co/Efh7ofMATO e também no Twitch: https://t.co/L7js7l6Ilv
#Economia #FinançasPessoais #Investimentos #Podcast</t>
  </si>
  <si>
    <t>Você sabe por que é importante incentivar o gosto pelo empreendedorismo ainda na infância? 
Confira post completo em:https://t.co/7ih0uszijQ
Você já conhece o Geração Líder? Acesse: https://t.co/WwF3zlxUFp e saiba mais.
#GeraçãoLíder #EducaçãoFinanceira https://t.co/QHKgP6ELWR</t>
  </si>
  <si>
    <t>Assista no canal Fellipelli no YouTube: https://t.co/vyQSTpgsbz
#saúdemental #inteligênciaemocional #rh #desenvolvimentopessoal #desenvolvimentodeequipes #saúdecorporativa #autoconhecimento #mentalhealth #recursoshumanos #podcast # finanças #dinheiro #educaçãofinanceira https://t.co/FBFrIsrOnA</t>
  </si>
  <si>
    <t>Episódio 33 do Descompressão Corporativa, com Ana Paula Hornos. Disponível nos apps de podcast e no Youtube no dia 12/01 (quinta-feira).
#rh #desenvolvimentopessoal #desenvolvimentodeequipes #saúdecorporativa #autoconhecimento #podcast #finanças #dinheiro #educaçãofinanceira https://t.co/xPHIORnvNi</t>
  </si>
  <si>
    <t>Episódio 33 do Descompressão Corporativa, com Ana Paula Hornos, falando sobre educação financeira pessoal! Disponível nos apps de podcast e no Youtube no dia 12/01 (quinta-feira).
#inteligênciaemocional #rh #autoconhecimento #neurociência #podcast #finanças #educaçãofinanceira https://t.co/Fy9lQ7uFgK</t>
  </si>
  <si>
    <t>Episódio 33 do Descompressão Corporativa, com Ana Paula Hornos, falando sobre educação financeira pessoal! Disponível nos apps de podcast e no Youtube no dia 12/01 (quinta-feira).
#saúdemental #inteligênciaemocional #rh #saúdecorporativa #finanças #dinheiro #educaçãofinanceira https://t.co/2O5JNKEMx2</t>
  </si>
  <si>
    <t>Olá pessoal!
Hoje vamos falar sobre a compra de imóvel. 
#trader 
#financaspessoais 
#investimentofinanceiro https://t.co/WGY2ZD7zLb</t>
  </si>
  <si>
    <t>Inflação com Tio Patinhas #educaçãofinanceira #educaçãofinanceiraparacri... https://t.co/GBQsSYtv7A via @YouTube</t>
  </si>
  <si>
    <t>Educação financeira #educaçãofinanceira https://t.co/D4UwpbBT5P via @YouTube</t>
  </si>
  <si>
    <t>Nosso encontro com a @vivo foi marcante no Web Summit Rio!  Parceria estratégica de impacto para ambos! 
Muito obrigado ao Silvio Melo pela conexão! Vamos acelerar!!! 🚀
#niiw #websummitrio #vivo #PFM#educacaofinanceira #api #nfe #nfce #esg #vivomoney #economiacolaborativa https://t.co/s6fomC6GIB</t>
  </si>
  <si>
    <t>Avançando para uma parceria com o @SERPRO  e levarmos a solução de educação financeira para o cidadão nas esferas de governo do Brasil.
#niiw #websummitrio #SERPRO #governodigital #educaçãofinanceira #inclusãodigital #ESG #api #nfe #nfce #economiacolaborativa https://t.co/xsFTV9XgpV</t>
  </si>
  <si>
    <t>Web Summit  💪  Modelo de Negócios, e Go to Market ✅ e ⬆️ funil de vendas. 🚀 operação comercial com estratégia sólida, coerente e madura.
#niiw #websummit #esg #api #nfce #economiacolaborativa #educacaofinanceira #governodigital #controledegastos #dados #bigdata #ia #ongs https://t.co/uCMFXveaQi</t>
  </si>
  <si>
    <t>Oportunidade com o time da B3 e da L4 Venture Buider em torno do PFM e em torno do tema educação financeira para a população trazendo uma proposta de impacto.
#niiw #websummitrio #B3 #l4 #fintech #educaçãofinanceira #api #nfe #nfce #ESG  #economiacolaborativa https://t.co/jYLLTtWaGk</t>
  </si>
  <si>
    <t>Marcelino Alcantara, Co-Founder e Sales Head do Niiw, estará presente no maior evento de Inovação de 2023, o Startup Summit. 🚀
Niiw Open Economy! Open Data!🚀
#niiw #startups #economiacolaborativa #acate #inovabra #educacaofinanceira #startupsummit https://t.co/iM7rE8eiL3</t>
  </si>
  <si>
    <t>Parabéns a todas às mães! O Niiw ajuda a organizar as finanças para economizar e investir ainda mais na realização dos seus sonhos!
Feliz Dia das Mães! 💐🌹
#niiw #diadasmães #mães #apis #economiacolaborativa #openeconomy #opendata #nfce #nfe #educaçãofinanceira #inovação</t>
  </si>
  <si>
    <t>As tendências se atualizam a cada momento.
Foi muito valioso participar do Fintechs Trends onde varias conexões e oportunidades surgiram!
#niiw #apis #openbanking #openfinance #openeconomy #opendata #nfce #fintechs #fintechtrends #acate #baas #educaçãofinanceira #inovacao #nfe https://t.co/jVtwQKTKln</t>
  </si>
  <si>
    <t>Junta-se ao time Niiw o Juan Piero como UX / UI designer. 
Seja bem-vindo meu caro! Nossa jornada está apenas no começo.
#niiw #startups #fintechs #bigdata #dadosdecosnumo #educacaofinanceira #api #opendata #economiacolaborativa #acate https://t.co/gEZ0YkP7aq</t>
  </si>
  <si>
    <t>💰Dicas valiosas de planejamento financeiro para estudantes! Descubra estratégias para economizar dinheiro, aumentar sua renda e investir com inteligência. Leia o artigo completo no Blog da LP4.  https://t.co/KVFPuMXP6g #PlanejamentoFinanceiro #Estudantes #EducaçãoFinanceira https://t.co/pC89IYx0qK</t>
  </si>
  <si>
    <t>📢 Organize suas finanças e conquiste suas metas! 💰Descubra dicas valiosas para um planejamento financeiro mensal eficiente. Acesse o artigo completo no Blog da LP4 Planejamento e transforme sua vida financeira! #OrganizaçãoFinanceira #PlanejamentoFinanceiro #FinançasPessoais https://t.co/Z5vzer4thU</t>
  </si>
  <si>
    <t>💰💡 Quer reduzir despesas com entretenimento? 💃💸 Descubra estratégias eficazes para se divertir sem comprometer seu orçamento! Acesse o artigo completo aqui: https://t.co/xkBY9iWJNa #Economia #FinançasPessoais #ReduçãoDeDespesas #DiversãoComEconomia #LP4Planejamento https://t.co/SU20fSzoLb</t>
  </si>
  <si>
    <t>Confira o artigo completo no Blog da LP4 e esteja à frente das mudanças. Acesse agora mesmo: https://t.co/XOJLSDG6GC
#ReformaTributária #Herança #SucessãoPatrimonial #PlanejamentoSucessório #Impostos #GestãoFinanceira #LegislaçãoTributária #FinançasPessoais #LP4Planejamento https://t.co/6HEQBsX9t1</t>
  </si>
  <si>
    <t>📣 Aprenda estratégias para poupar dinheiro no dia a dia e alcance estabilidade financeira! 💰💡 Descubra dicas práticas e eficazes no artigo da LP4 Planejamento. 💪💼 #FinançasPessoais #Economia #PouparDinheiro #PlanejamentoFinanceiro #LP4Planejamento #DicasFinanceiras https://t.co/dpX8zgISi6</t>
  </si>
  <si>
    <t>💰💡 Descubra como controlar e reduzir suas despesas com habitação! 💡💰 Acesse nosso artigo completo no Blog da LP4 Planejamento e economize dinheiro hoje mesmo. #FinançasPessoais #ControleDeGastos #EconomiaDoméstica #LP4Planejamento #DicasFinanceiras #EstabilidadeFinanceira https://t.co/9ycXigogXK</t>
  </si>
  <si>
    <t>🚨🔥 Descubra os benefícios de um Fundo de Emergência e proteja suas finanças! Saiba como construí-lo no novo artigo da LP4 Planejamento. 💼💰 #FundoDeEmergência #PlanejamentoFinanceiro #LP4Planejamento #FinançasPessoais #Dinheiro #EducaçãoFinanceira #CTA https://t.co/Z0qF5RDAIQ</t>
  </si>
  <si>
    <t>🔍💼 Pais solteiros, descubra como planejar seu futuro financeiro e garantir o bem-estar dos filhos. Confira nossas dicas no Blog da LP4 Planejamento! 👉 https://t.co/pFCxDsChzy
#PlanejamentoFinanceiro #PaisSolteiros #EducaçãoFinanceira https://t.co/gfENkRORfs</t>
  </si>
  <si>
    <t>#BancoSEMEAR #DicasFinanceiras #EducaçãoFinanceira</t>
  </si>
  <si>
    <t>Assim, você pode garantir uma vida financeira mais saudável e tranquila! E lembre-se, estamos aqui para ajudar você a conquistar seus objetivos. 
#SemanaDoConsumidor #FinançasPessoais #EducaçaoFinanceira #BancoSEMEAR</t>
  </si>
  <si>
    <t>Manter as finanças sob controle torna a vida mais tranquila, não é mesmo!? 😍💙
#BancoSEMEAR #BancoParceiro #EducaçãoFinanceira</t>
  </si>
  <si>
    <t>#BancoSEMEAR #BancoParceiro #EducaçãoFinanceira</t>
  </si>
  <si>
    <t>#BancoSEMEAR #EducacaoFinanceira #DicasDeFinancas #SYD</t>
  </si>
  <si>
    <t>👉 Se algo parece bom demais para ser verdade, provavelmente é um golpe. Esteja sempre alerta e nunca hesite em buscar ajuda profissional se precisar.
Faça como a Sandra e esteja sempre alerta!
#EducaçãoFinanceira #BancoParceiro #BancoSEMEAR https://t.co/m74VtF1Mxb</t>
  </si>
  <si>
    <t>Negocie a sua dívida coma Receita!
Aproveite essa oportunidade até o fim de março.
Faça um orçamento conosco!
#finanças 
#financaspessoais 
#divida
#negociação 
#receita 
#litigiozero https://t.co/zjdD8eEgUC</t>
  </si>
  <si>
    <t>A educação financeira é um conjunto de habilidades e conhecimentos que permitem a uma pessoa tomar decisões informadas e conscientes sobre como gerenciar suas finanças pessoais.
 https://t.co/5aGUlkhV4x 
#ferreiranews #educação #educaçãoFinanceira #dinheiro #conhecimento #news https://t.co/duhZLFkMtx</t>
  </si>
  <si>
    <t>📣 Não perca o programa Momento Bancário edição especial de hoje! O tema é Juros Altos e você vai entender tudo sobre como eles impactam o seu bolso. Fique ligado às 18h! #MomentoBancário #JurosAltos #EducaçãoFinanceira https://t.co/dGjS4xPkS3</t>
  </si>
  <si>
    <t>RT @mat_financeira: "A educação financeira vem antes da prosperidade financeira".
#EducaçãoFinanceira #ProsperidadeFinanceira #MatemáticaF…</t>
  </si>
  <si>
    <t>#EducaçãoFinanceira https://t.co/aiWzUImPAv</t>
  </si>
  <si>
    <t>Investir em educação financeira é uma forma de se preparar para lidar com pressões financeiras e alcançar seus objetivos de forma segura e eficaz.
Este conteúdo faz sentido para ti? Diz-me com um Gosto e um Comentário. #finançaspessoais
#investimentos
#orçamentopessoal
#poupanca</t>
  </si>
  <si>
    <t>A educação financeira foi inserida pelo MEC na Base Nacional Comum Curricular, em 2020
https://t.co/XKQQJF7eQd
#MoonlightChicken #Educacaofinanceira https://t.co/xibJdXNIId</t>
  </si>
  <si>
    <t>Será que a Pressão Social vai te deixar pobre? 
Confira nesse artigo não só isso, mas também como -- se defender -- dos efeitos ruins que a cobrança de outras pessoas pode ter sobre você. 
#PressãoSocial #SeuDinheiro #FinançasPessoais
https://t.co/i73bd0xNLX</t>
  </si>
  <si>
    <t>Gostou da frase? Siga a @OurbooksBR para ver mais frases como esta.
Pare de Rasgar Dinheiro - @marcesemasch
.
.
#parederasgardinheiro #marcesemaschietto #dinheirando #dinheiro #financaspessoais #livros #leituras #frases #frasesdelivros #frasesereflexões #trechosdelivros https://t.co/iiwQDEMKGU</t>
  </si>
  <si>
    <t>Gostou da frase? Siga a @OurbooksBR para ver mais frases como esta.
Pare de Rasgar Dinheiro - @marcesemasch
.
.
#parederasgardinheiro #marcesemaschietto #dinheirando #dinheiro #financaspessoais #livros #leituras #frases #frasesdelivros #frasesereflexões #trechosdelivros https://t.co/iz8bRPiRAH</t>
  </si>
  <si>
    <t>Gostou da frase? Siga a @OurbooksBR para ver mais frases como esta.
Pare de Rasgar Dinheiro - @marcesemasch
.
.
#parederasgardinheiro #marcesemaschietto #dinheirando #dinheiro #financaspessoais #livros #leituras #frases #frasesdelivros #frasesereflexões #trechosdelivros https://t.co/F8NFUacomr</t>
  </si>
  <si>
    <t>RT @OurbooksBR: Gostou da frase? Siga a @OurbooksBR para ver mais frases como esta.
Pare de Rasgar Dinheiro - @marcesemasch
.
.
#pareder…</t>
  </si>
  <si>
    <t>Gostou da frase? Siga a @OurbooksBR para ver mais frases como esta.
O Homem Mais Rico da Babilônia - George S. Clason
.
.
#georgesclason #ohomemmaisricodababilonia #riqueza #dinheiro  #financaspessoais #livros #leituras #frases #frasesdelivros #frasesereflexões #trechosdelivros https://t.co/Fly63nrFCw</t>
  </si>
  <si>
    <t>Gostou da frase? Siga a @OurbooksBR para ver mais frases como esta.
O Homem Mais Rico da Babilônia - George S. Clason
.
.
#georgesclason #ohomemmaisricodababilonia #riqueza #dinheiro  #financaspessoais #livros #leituras #frases #frasesdelivros #frasesereflexões #trechosdelivro https://t.co/XkxYtWVWdc</t>
  </si>
  <si>
    <t>RT @OurbooksBR: Gostou da frase? Siga a @OurbooksBR para ver mais frases como esta.
O Homem Mais Rico da Babilônia - George S. Clason
.
.…</t>
  </si>
  <si>
    <t>📣📢📣 Aprenda tudo sobre como declarar o imposto de renda corretamente. Nosso novo curso apresenta uma visão detalhada das principais regras e definições do IRPF. Comece já por apenas R$ 50. #IRPF #educaçãofinanceira 
https://t.co/v44mD8SKM0</t>
  </si>
  <si>
    <t>Desbrave o mundo dos investimentos e saiba como fazer seu dinheiro render ao máximo! Nossas dicas vão te orientar sobre as melhores escolhas para alcançar seus objetivos financeiros.💼
 #Investimentos #DinheiroRendendo #EducaçãoFinanceira
https://t.co/cCmUtC7tfb</t>
  </si>
  <si>
    <t>🚨📅 Fique atento ao prazo de entrega da declaração do Imposto de Renda e evite multas desnecessárias! Confira no nosso blog as penas em caso de atraso?"
https://t.co/DTfx2SVxzB 
#Contabilidade #ImpostoDeRenda #FinançasPessoais #PlanejamentoFinanceiro https://t.co/28mshDVCjX</t>
  </si>
  <si>
    <t>A temporada do Imposto de Renda está de volta junto com a temida malha fina. Confira as dicas de Flávio Perez, Consultor Tributário da ORCOSE, para não cair na malha fina! 
https://t.co/y7Nv1piUCb 
#impostoderenda #contabilidade #receitafederal #negocios #finançaspessoais https://t.co/jtQBhuc5MW</t>
  </si>
  <si>
    <t>10 milhões de pessoas ainda não declararam o Imposto de Renda e o prazo se encerra em 31 de maio! 
O seu tempo está acabando! Mas a ORCOSE pode te ajudar.  
#impostoderenda #finançaspessoais #educaçãofinanceira #investimentos #contabilidade https://t.co/eExIEJCjS5</t>
  </si>
  <si>
    <t>Como sair da crise financeira no lar é um desafio que a população tem enfrentado há anos, mas mesmo diante das dificuldades, muitas pessoas têm encontrado maneiras de superá-la e garantir sua estabilidade financeira.
#educacaofinanceira  #comosairdacrise
https://t.co/nlZYlugymk</t>
  </si>
  <si>
    <t>Para ser uma pessoa organizada e planejada financeiramente é necessário aprender algumas habilidades e se dedicar a elas. Se ensinadas na infância, a disciplina com o dinheiro pode virar um hábito #educacaofinanceira #finanças #infancia #rmc #xp
https://t.co/fZLSavzkJO https://t.co/mZ90eJ5OJt</t>
  </si>
  <si>
    <t>É igualmente importante ajustar o valor da mesada ou semanada de acordo com a idade da criança. Uma sugestão é dar R$1 para cada ano de idade do pequeno. Por exemplo, se seu filho tem 8 anos, ele receberia R$8 por semana.💰💡
#dicas #mesada #filhos #educaçãofinanceira #finanças https://t.co/JJJFOngvbh</t>
  </si>
  <si>
    <t>Você está preparado para a sua aposentadoria? Todos sabemos que não poderemos depender o Inss,  e o que você tem feito? Saiba como fazer um planejamento para a sua aposentadoria. Educação financeira (47) 992790880
#financeiro #educacaofinanceira #liberdade #futuro #aposentadoria</t>
  </si>
  <si>
    <t>Não adianta a abelha falar com a mosca que mel é melhor que 💩
#educacaofinanceira</t>
  </si>
  <si>
    <t>Programa que pretende beneficiar cerca de 30 milhões de pessoas com a renegociação de dívidas, o #Desenrola incluirá um segmento de #EducaçãoFinanceira, anunciou o ministro da Fazenda, @Haddad_Fernando. https://t.co/wDs9v1ZWQU</t>
  </si>
  <si>
    <t>@mendlowicz O povo demora mas aprende!
Valeu irmão, vc faz parte disso!
#educacaofinanceira</t>
  </si>
  <si>
    <t>Planeje-se, organize-se! Seu futuro é logo ali💰💰
#educacaofinanceira https://t.co/Pl6YCKQzeQ</t>
  </si>
  <si>
    <t>#educacaofinanceira https://t.co/2v06hd9rZE</t>
  </si>
  <si>
    <t>A situação da Larissa Manoela serve como um alerta. É essencial equilibrar o suporte dos pais com o direito dos jovens artistas de controlar seus próprios ganhos e patrimônio.
#ControleFinanceiro #EducaçãoFinanceira #TransparênciaEmpresarial</t>
  </si>
  <si>
    <t>Semana de Educação Financeira 2023 será realizada entre 15 e 21 de maio - https://t.co/Cvea4FRH6r -  #EducaçãoFinanceira</t>
  </si>
  <si>
    <t>Ailos promove ação sobre educação financeira durante a Semana ENEF - https://t.co/Mw3H7VNks0 - #EducaçãoFinanceira - #cooperativismodecrédito - #cooperativismo</t>
  </si>
  <si>
    <t>Sicoob marca presença na 10ª edição da Semana Nacional de Educação Financeira - https://t.co/eanIrTA3pZ - #EducaçãoFinanceira - #Cooperativismo</t>
  </si>
  <si>
    <t>Já assistiu @familiadindim? O musical infantil segue em cartaz até o dia 06 de abril e os ingressos são gratuitos! Acesse o nosso site e acesse a agenda completa!
#Teatro #FamíliaDinDim #TeatroInfantil #EducaçãoFinanceira #TeatroSérgioCardoso #GovernoSP #CulturaSP #AmigosdaArte https://t.co/OjXoPLHUaG</t>
  </si>
  <si>
    <t>Existe sim, um lugar que você pode investir sem medo! 
Assista o vídeo até o final e descubra a dica de ouro!
#vempraharami #dicadeouro #mercadofinanceiro #educacaofinanceira https://t.co/HojdmMNIDn</t>
  </si>
  <si>
    <t>Harami Kids - Entenda sobre a carteira de investimentos criada para os seus filhos!
#carteiradeinvestimentos #carteirakids #investimentos #mercadofinanceiro #educacaofinanceira #bolsadevalores https://t.co/ACMExe545L</t>
  </si>
  <si>
    <t>Você que investe ou quer começar a investir em renda variável, veja esse vídeo. Conteúdos completos pelo nosso canal do YouTube.  
https://t.co/hYONnZJIaq
#rendavariavel #bolsadevalores #b3 #investidor #Investimentos #educacaofinanceira https://t.co/ifpNnMyYXa</t>
  </si>
  <si>
    <t>Mês de Março fecha em queda, crise bancária e arcabouço fiscal, são os temas do panorama desta semana. 
#panoramasemanal #arcabouçofiscal #crisebancaria #mercadofinanceiro #economia #educaçãofinanceira https://t.co/Z0BDGd1Ytz</t>
  </si>
  <si>
    <t>Já conhece a APP Revolut? Com ela você pode fazer transferências internacionais e nacionais sem taxas ocultas. Use o meu link para se inscrever e ganhe uma comissão por cada aderente. #Revolut #FinançasPessoais https://t.co/ydzO7gWUZq</t>
  </si>
  <si>
    <t>Estamos a falar tanto da fome, num país com tanta água e muita terra. É necessário falar pouco e agir.
#production #agricultura #angola #empreendedorismo #finanças #educaçãofinanceira #comercio https://t.co/dgSFO2lPgD</t>
  </si>
  <si>
    <t>AMERICANAS AINDA VALE O PREÇO? É oportunidade de comprar? Entenda o caos que está acontecendo na empresa! #investir #investimentos #dinheiro #falencia #acoes #finançaspessoais #economia #foryourpage #fyp #tiktokmefezassistir https://t.co/Y8BsgWRsQJ</t>
  </si>
  <si>
    <t>📊📚 Em parceria com a @agoracorretora, os leitores têm acesso gratuito em cinco cursos sobre finanças e economia. Acesse e saiba como começar a investir!
#mercadofinanceiro #investimentos #educaçãofinanceira 
https://t.co/ktgVyLHQub</t>
  </si>
  <si>
    <t>RT @EInvestidor: 📊📚 Em parceria com a @agoracorretora, os leitores têm acesso gratuito em cinco cursos sobre finanças e economia. Acesse e…</t>
  </si>
  <si>
    <t>Gerencie suas finanças de forma inteligente e segura com o XZiBank. Baixe o app agora e descubra como é fácil cuidar do seu dinheiro!  ✅💻😎
#XZiBank #FinançasPessoais</t>
  </si>
  <si>
    <t>CARTÃO PRIVALIA BTG PACTUAL VALE A PENA | COMO FUNCIONA | SEM ANUIDADE
https://t.co/vXaflQwo0y
#Educacaofinanceira #liberdadefinanceira #independeciafinanceira #inteligenciafinanceira</t>
  </si>
  <si>
    <t>Administrar as finanças pessoais pode ser um desafio, mas é um passo importante para alcançar a estabilidade financeira. #girofinanceiro #financaspessoais #comoadministrarassuasfinancas 
https://t.co/CQ2is5QhPP https://t.co/o2L0GYovWa</t>
  </si>
  <si>
    <t>Se endividar é uma situação comum para muitos de nós, mas isso não significa que devemos simplesmente aceitá-la como parte da vida. #girofinanceiro #dividas #educacaofinanceira 
https://t.co/59i4KQF481 https://t.co/ymD3XdSvA9</t>
  </si>
  <si>
    <t>E conte sempre com a CVM se tiver alguma dúvida sobre o mercado de valores mobiliários no Brasil! 
Link para o SAC da CVM: https://t.co/xr9Evj0TQu
#cvmeducacional #investidor #investidores #investimento #investimentos #investir #educacaofinanceira #fiqueatento #senha https://t.co/1CcozsnUDg</t>
  </si>
  <si>
    <t>Vá até o Portal do Investidor para acessar mais conteúdos gratuitos de educação financeira (https://t.co/pFdbGBSDJ0)! 🤩
#cvmeducacional #investidor #investimento #investidores #investimentos #educacaofinanceira #educaçãofinanceira #vies #viescomportamental #publicacoescvm https://t.co/GsODfAWaXs</t>
  </si>
  <si>
    <t>(2/2) Acesse o Portal do Investidor para conteúdos gratuitos de educação financeira - https://t.co/pFdbGBSDJ0
#cvmeducacional #investidor #investimento #educacaofinanceira #educaçãofinanceira #portaldoinvestidor #dicionariodoinvestidor #valoresmobiliarios #mercadoacionario https://t.co/PKK0Y4ADW1</t>
  </si>
  <si>
    <t>Aproveite que o fds está quase ali e já garanta a sua leitura para levar para a praia! 😎
Link para baixar gratuitamente: https://t.co/ZZLt4xyxIZ
#cvmeducacional #investidor #esg #sustentabilidade #publicacoescvm #investimento #educacaofinanceira #educaçãofinanceira #asg https://t.co/pOYDELGWRw</t>
  </si>
  <si>
    <t>O site de Cursos da CVM Educacional será reformulado para continuar oferecendo conteúdos de excelência e 100% gratuitos para todos que queiram desbravar o mundo da educação financeira!
#cvmeducacional #investidor #investimento #investir #educacaofinanceira #cursos https://t.co/NgHD2K4XYx</t>
  </si>
  <si>
    <t>Já enviou a sua matéria para o 16° Prêmio Imprensa de Educação ao Investidor?
Inscrições até às 17 horas do dia 31/01/2023 
Para saber mais, acesse https://t.co/f1xFnPFvd5
#cvmeducacional #premioimprensa #educacaofinanceira #investidor #investidores #jornalistas https://t.co/uJ46WEpRbO</t>
  </si>
  <si>
    <t>Não fique de fora! Participe da pesquisa em https://t.co/hYyUZoOgmA 😉
#cvmeducacional #investidor #investidores #investimento #educacaofinanceira #investimentos #invest #investment #investor #pesquisa https://t.co/3TZ9vZj1un</t>
  </si>
  <si>
    <t>E você, se programou para os gastos do começo de ano?
Baixe gratuitamente o Guia de Planejamento Financeiro da CVM para se organizar em 2023! Link na bio 😉
#cvmeducacional #investidor #investidores #investimento #educacaofinanceira #investimentos #invest #investment https://t.co/S3mBb5BTDz</t>
  </si>
  <si>
    <t>(2/2) Baixe gratuitamente o Guia CVM de Planejamento Financeiro em https://t.co/QkstJoKhHk
E lembre-se sempre de procurar orientações com profissionais regulamentados 😉
#cvmeducacional #investidor #investidores #investir #investimento #finançaspessoais #patrimonio https://t.co/fWxy6z339u</t>
  </si>
  <si>
    <t>(1/2) Baixe gratuitamente o Guia CVM de Planejamento Financeiro em https://t.co/QkstJoKhHk
E lembre-se sempre de procurar orientações com profissionais regulamentados 😉
#cvmeducacional #investidor #investidores #investir #investimento #finançaspessoais #patrimonio https://t.co/TAarOcgHj4</t>
  </si>
  <si>
    <t>(2/2) Entre no Portal do Investidor para acessar conteúdos gratuitos de educação financeira https://t.co/pFdbGBSDJ0 
#cvmeducacional #investidor #investimento #investidores #investimentos #invest #educacaofinanceira #educaçãofinanceira #portaldoinvestidor https://t.co/TgsiWsyO05</t>
  </si>
  <si>
    <t>(1/2) Entre no Portal do Investidor para acessar conteúdos gratuitos de educação financeira https://t.co/pFdbGBSDJ0 
#cvmeducacional #investidor #investimento #investidores #investimentos #invest #educacaofinanceira #educaçãofinanceira #portaldoinvestidor https://t.co/LCmuvY13Q6</t>
  </si>
  <si>
    <t>Vá até o Portal do Investidor para acessar mais conteúdos gratuitos de educação financeira (https://t.co/pFdbGBSDJ0)! 🤩
#cvmeducacional #investidor #investimento #investidores #investimentos #educacaofinanceira #educaçãofinanceira #vies #viescomportamental #publicacoescvm https://t.co/kLuxNsSavj</t>
  </si>
  <si>
    <t>2023 começou de verdade hoje, e a CVM Educacional já está com as metas traçadas para o novo ano! 
Deixe nos comentários quais são as suas para esse ciclo! 
#cvmeducacional #investidor #investidores #investimento #educacaofinanceira #investimentos #invest #investment https://t.co/OWC0to0q9S</t>
  </si>
  <si>
    <t>Link para baixar gratuitamente a Série CVM Sustentável em https://t.co/YmK6z85h1n 
#cvmeducacional #investidor #esg #sustentabilidade #publicacoescvm #investimento #educacaofinanceira #educaçãofinanceira #asg https://t.co/FsvgsLqvwC</t>
  </si>
  <si>
    <t>(2/2) Baixe gratuitamente o Guia CVM de Planejamento Financeiro em https://t.co/VRn4ojN9Ef
E lembre-se sempre de procurar orientações com profissionais regulamentados 😉
#cvmeducacional #investidor #investidores #investir #investimento #finançaspessoais #planejamentofinanceiro https://t.co/H3RtEZvd4B</t>
  </si>
  <si>
    <t>(1/2) Baixe gratuitamente o Guia CVM de Planejamento Financeiro em https://t.co/VRn4ojN9Ef
E lembre-se sempre de procurar orientações com profissionais regulamentados 😉
#cvmeducacional #investidor #investidores #investir #investimento #finançaspessoais #planejamentofinanceiro https://t.co/KpgGvy5Ua7</t>
  </si>
  <si>
    <t>(1/2) Baixe gratuitamente o Guia CVM de Planejamento Financeiro em https://t.co/kQbim8gCzy…
E lembre-se sempre de procurar orientações com profissionais regulamentados 😉
#cvmeducacional #investidor #investidores #investir #investimento #finançaspessoais #compras https://t.co/TA0CbaiGet</t>
  </si>
  <si>
    <t>(1/2) Baixe gratuitamente o Guia CVM de Planejamento Financeiro em https://t.co/kQbim8gCzy…
E lembre-se sempre de procurar orientações com profissionais regulamentados 😉
#cvmeducacional #investidor #investidores #investir #investimento #finançaspessoais #compras https://t.co/08OJIGysAQ</t>
  </si>
  <si>
    <t>(1/2) Acesse o Portal do Investidor para conteúdos gratuitos de educação financeira - https://t.co/pFdbGBSDJ0
#cvmeducacional #investidor #investimento #educacaofinanceira #educaçãofinanceira #portaldoinvestidor #dicionariodoinvestidor #valoresmobiliarios #mercadoacionario https://t.co/pCes9JIXRh</t>
  </si>
  <si>
    <t>"Dicas para equilibrar suas finanças em 2023: Faça um orçamento, estabeleça metas financeiras, economize dinheiro, invista na sua educação financeira e busque ajuda profissional se necessário. #finançaspessoais #dinheiro #orçamentofamiliar" https://t.co/bcpZrCPFcN</t>
  </si>
  <si>
    <t>WISHING YOU A PREDICTABLE, PROFITABLE, SUSTAINABLE NEW YEAR AHEAD
#finance #liberdadefinanceira #personalfinance #mercadofinanceiro #finances #educacaofinanceira #independenciafinanceira #planejamentofinanceiro #refinance #sucessofinanceiro #financeiro #financetips #Inteligencia https://t.co/jl1gVdUfSu</t>
  </si>
  <si>
    <t>O melhor dinheiro vence. 
Tradução livre para português, criado por @linaseiche_dm
#Bitcoin #inflação #liberdade #mercadofinanceiro #IPCA #IGPM #educacaofinanceira https://t.co/bEcyFSJAh2</t>
  </si>
  <si>
    <t>O melhor dinheiro vence.
Tradução livre para português, criado por @LinaSeiche
#Bitcoin #inflação #liberdade #mercadofinanceiro #IPCA #IGPM #educacaofinanceira https://t.co/7JE1QvEKq2</t>
  </si>
  <si>
    <t>O melhor dinheiro vence!
Criado por @LinaSeiche
#bitcoin #inflação #liberdade #mercadofinanceiro #IPCA #IIGPM #INCC #educacaofinanceira" https://t.co/1NwzUnMwkH</t>
  </si>
  <si>
    <t>Se está insatisfeito com inflação do Real, lembre que quem usa Peso argentino, Bolivar venezuelano e  Lira turca estão bem pior. O melhor dinheiro ganha.
---
Criado por @linaseiche
#bitcoin #inflação #liberdade #mercadofinanceiro #IPCA #IIGPM #INCC #educacaofinanceira https://t.co/6bt76ngZR8</t>
  </si>
  <si>
    <t>O melhor dinheiro vence.
Tradução livre para português, criado por @linaseiche
#bitcoin #inflação #liberdade #mercadofinanceiro #IPCA #IIGPM #INCC #educacaofinanceira https://t.co/OfkxRygByR</t>
  </si>
  <si>
    <t>O melhor dinheiro vence.
Tradução livre para português, criado por @LinaSeiche 
#Bitcoin #inflação #liberdade #mercadofinanceiro #IPCA #IGPM #educacaofinanceira https://t.co/Vez0N9F2S3</t>
  </si>
  <si>
    <t>O melhor dinheiro vence. Adote bitcoin com o Concierge Bitcoin, envie uma DM!
Tradução livre para português, criado por
@LinaSeiche.
#bitcoin #21milhões #inflação #ConciergeBitcoin #21m #finanças #investimentos #educaçãofinanceira #proteçãopatrimonial #liberdade #brasil https://t.co/bzU5nfnZwT</t>
  </si>
  <si>
    <t>O melhor dinheiro vence.
Tradução livre para português, criado por @LinaSeiche
#Bitcoin #inflação #liberdade #mercadofinanceiro #IPCA #IGPM #educacaofinanceira https://t.co/aRPblFlLCp</t>
  </si>
  <si>
    <t>O melhor dinheiro vence. Adote bitcoin com o Concierge Bitcoin, envie uma DM!
#bitcoin #21milhões #inflação #ConciergeBitcoin #21m #finanças #investimentos #educaçãofinanceira #proteçãopatrimonial https://t.co/PFjZCJugjo</t>
  </si>
  <si>
    <t>Tem dúvidas sobre bitcoin? Envie-nos uma DM e continue acompanhando nossa série!
#bitcoin #21milhões #inflação #ConciergeBitcoin #21m #finanças #investimentos #educaçãofinanceira #proteçãopatrimonial #microstrategy #michaelsaylor #liberdade #brasil https://t.co/BPxCnG3z1n</t>
  </si>
  <si>
    <t>O melhor dinheiro vence.
#bitcoin #inflação #liberdade #mercadofinanceiro #IPCA #IIGPM #INCC #educacaofinanceira https://t.co/mUlm0cfy7v</t>
  </si>
  <si>
    <t>Tem dúvidas sobre bitcoin? Envie-nos uma DM e continue acompanhando nossa série!
#bitcoin #21milhões #inflação #ConciergeBitcoin #21m #finanças #investimentos #educaçãofinanceira #proteçãopatrimonial #microstrategy #michaelsaylor #liberdade #brasil https://t.co/BBq4E8YF18</t>
  </si>
  <si>
    <t>os serviços do Concierge Bitcoin e com uma Cold Card, a melhor carteira de bitcoins do mercado.
O melhor dinheiro vence. Adote bitcoin com o @conciergebtc.
#bitcoin #binance #inflação #ConciergeBitcoin #21m #finanças #investimentos #educaçãofinanceira #proteçãopatrimonial</t>
  </si>
  <si>
    <t>O melhor dinheiro vence. Adote bitcoin com o Concierge Bitcoin, envie uma DM!
#bitcoin #21milhões #inflação #ConciergeBitcoin #21m #finanças #investimentos #educaçãofinanceira #proteçãopatrimonial #liberdade #brasil https://t.co/s6VyrLZLEa</t>
  </si>
  <si>
    <t>Bitcoin é propriedade digital. Adote bitcoin com o Concierge Bitcoin, envie uma DM!
#bitcoin #21milhões #inflação #ConciergeBitcoin #21m #finanças #investimentos #educaçãofinanceira #proteçãopatrimonial #liberdade #brasil https://t.co/pnZSb7wxGH</t>
  </si>
  <si>
    <t>O  melhor dinheiro vence.
#bitcoin #inflação #liberdade #mercadofinanceiro #investimentos #educacaofinanceira https://t.co/eU5UfrLwXv</t>
  </si>
  <si>
    <t>O melhor dinheiro vence.
#bitcoin #inflação #liberdade #mercadofinanceiro #investimentos #educacaofinanceira https://t.co/stpeOGgeiK</t>
  </si>
  <si>
    <t>O melhor dinheiro vence. Adote bitcoin com o Concierge Bitcoin, envie uma DM!
#bitcoin #21milhões #inflação #ConciergeBitcoin #21m #finanças #investimentos #educaçãofinanceira #proteçãopatrimonial #microstrategy #michaelsaylor #liberdade #brasil https://t.co/Q2kAEZvy7c</t>
  </si>
  <si>
    <t>Aqui no Concierge Bitcoin, estamos dedicados a acelerar o seu entendimento de Bitcoin, preparando você para o futuro da economia. 📈🌐
#ConciergeBitcoin #Bitcoin #InstitutoMises #EducaçãoFinanceira #Criptomoedas #LiberdadeFinanceira #misesbrasil #IMB #mises #rothbard #hayek</t>
  </si>
  <si>
    <t>O melhor dinheiro vence. Adote bitcoin com o Concierge Bitcoin, envie uma DM!
#bitcoin #21milhões #inflação #ConciergeBitcoin #21m #finanças #investimentos #educaçãofinanceira #proteçãopatrimonial #sistemafiat #pirâmide #economia https://t.co/3PFT2FjFnO</t>
  </si>
  <si>
    <t>#inflação #liberdade #mercadofinanceiro #divida #educacaofinanceira</t>
  </si>
  <si>
    <t>Bitcoin é ouro digital. Adote bitcoin com o Concierge Bitcoin, envie uma DM!
#bitcoin #21milhões #inflação #ConciergeBitcoin #21m #finanças #investimentos #educaçãofinanceira #proteçãopatrimonial #liberdade #brasil https://t.co/N9Pt9Nknpg</t>
  </si>
  <si>
    <t>Entenda tudo sobre o melhor ativo da última década com o Concierge Bitcoin!
#bitcoin #ouro #papelmoeda #21milhões #ConciergeBitcoin #21m #finanças #investimentos 
#educaçãofinanceira #dinheiro #moeda #mises #economia #brasil https://t.co/wrWyiqgIJB</t>
  </si>
  <si>
    <t>O melhor dinheiro vence.
#Bitcoin #inflação #liberdade #mercadofinanceiro #IPCA #IGPM #educacaofinanceira https://t.co/eCWYZIotBk</t>
  </si>
  <si>
    <t>Problema do endividamento no Brasil não é falta de educação financeira, mas salários indignos e tarifas públicas abusivas https://t.co/5u3AF4utUv 
#EducaçãoFinanceira #BlogdoEsmael</t>
  </si>
  <si>
    <t>É um momento mágico na minha vida do escritor e do leitor.
E nosso mais novo livro Alimentação Infantil e Finanças estará no estande da editora Flyve @editoraflyve
Esperamos você na bienal do Rio de Janeiro
#bienaldolivro #financaspessoais #rosiellepegado https://t.co/GPa30DhgVq</t>
  </si>
  <si>
    <t>Voltamos! Vamos fazer um 2023 incrível juntos?💚 https://t.co/XvautMeYy9</t>
  </si>
  <si>
    <t>Felizz 2023! 🙌✨ https://t.co/NxQOHlJjCo</t>
  </si>
  <si>
    <t>No escritório, na praia ou em qualquer lugar, estamos sempre com você! Não deixe de registrar suas finanças nesse final de ano 😉 #appdefinancas #organizze #financaspessoais https://t.co/Qg36tDBNZP</t>
  </si>
  <si>
    <t>Uma newsletter recheada de conteúdos riquíssimos sobre finanças produzidos pela nossa equipe! Clique no link e garanta seu conteúdo matinal semanal! 😜🙌 https://t.co/dcyPY8CJiX https://t.co/4GuZ0ZisSO</t>
  </si>
  <si>
    <t>Previsibilidade e bem-estar já nos primeiros dias! Esses são só alguns benefícios de uso da Organizze. Confira mais alguns na segunda imagem! 😉
Acesse a loja de aplicativos do seu celular, baixe o app da Organizze e comece a viver em paz com as suas finanças. https://t.co/K72gXNqMbK</t>
  </si>
  <si>
    <t>Precisou parcelar uma comprinha? Confira no post como lançar essa despesa parcelada no Organizze! 📱 https://t.co/hUYjWHXABf</t>
  </si>
  <si>
    <t>Junho chegou e com ele a oportunidade de começar o mês com as finanças em ordem!
Que tal criar um orçamento mensal e acompanhar de perto seus gastos? 💰💼 
#Organizze #FinançasPessoais</t>
  </si>
  <si>
    <t>Um cafezinho já é bom, acompanhado de informação com qualidade, é melhor ainda! ☕
Inscreva-se: https://t.co/dcyPY8Dh8v https://t.co/kPCL1mQMPE</t>
  </si>
  <si>
    <t>Para a tristeza dos foliões, Carnaval não é só diversão. É preciso ter alguns cuidados! Para curtir a data sem estresse, veja essas dicas para proteger o app de banco no seu celular. Vem ver! 🎉
https://t.co/06KNPHJeHq</t>
  </si>
  <si>
    <t>Aprender nunca é demais, não é mesmo? 
Hoje, quero te indicar um livro incrível sobre educação financeira: “Pai Rico, Pai Pobre”, do autor Robert Kiyosaki. Uma leitura que pode mudar a sua perspectiva sobre dinheiro!
#DicaDeLeitura #EducaçãoFinanceira https://t.co/Ug1ifGcziR</t>
  </si>
  <si>
    <t>Conclusão: apesar da selic superior ao desconto concedido, ainda é melhor realizar o pagamento à vista. 
 #economizar #educacaofinanceira #financas
#impostos #investimentos #inteligenciafinanceira https://t.co/S5DEci0wxn</t>
  </si>
  <si>
    <t>Porque política e marcado financeiro estão tão atrelados? 
Essa e outras perguntas são respondidas pelo nosso convidado @ovitorcraveiro
#educaçãofinanceira #bolsadevalores #mercadofinanceiro #fiis #ações #dividendos #rendafixa https://t.co/2j72s95JbS</t>
  </si>
  <si>
    <t>Como comprar uma ação? Vítor Craveiro responde essa e muitas outras perguntas sobre o mercado financeiro e como ele funciona na nossa conversa no Mic. Podcasts.
#mercadofinanceiro #bolsadevalores #educaçãofinanceira #dividendos #fiis #ações #economia https://t.co/qerqdSGlqT</t>
  </si>
  <si>
    <t>#Revogaço #NEM
 #ReformadoEnsinoMedio #EducaçaoBasica #Projetodevida #EducaçaoFinanceira</t>
  </si>
  <si>
    <t>Conhecimento financeiro é poder! Ao entender como gerir seu dinheiro, você pode criar um futuro financeiro próspero e seguro. Invista em si mesmo e em sua educação financeira. 💪💰 #finanças #educaçãofinanceira #investimentos</t>
  </si>
  <si>
    <t>Uma crise financeira pode atingir qualquer um, mas você pode estar preparado. Reduza suas dívidas, corte despesas e invista em sua educação financeira. Planeje para o futuro . Em tempos difíceis, a precaução é a melhor estratégia. #crisefinanceira #Portugal #educaçãofinanceira https://t.co/3Fhnhhy0Zc</t>
  </si>
  <si>
    <t>Está chegando o dia de homenagearmos as nossas mamães. 
Quando o assunto é dinheiro, você sabe que tipo de mãe é a sua? Faça o teste e conheça a mãe das animações que melhor representa a sua: https://t.co/osjw4kLtGA
#DiaDasMães #Mãe #TiposDeMães #EducaçãoFinanceira https://t.co/peNihUNTTg</t>
  </si>
  <si>
    <t>LIVE do Pague-se Primeiro 
-Você em Primeiro Lugar-
Convidamos todos vocês para uma Live que será realizada nesta terça-feira 24/01/23 às 20hs cujo tema será " Como Investir em Títulos Públicos ".
#educaçãofinanceira #tesourodireto #titulospublicos 
https://t.co/vpsKvkwnjD</t>
  </si>
  <si>
    <t>O Desenrola e o recorde de inadimplência no País #comentario #finançaspessoais #economia @JornalDaGazeta @tvgazetaoficial</t>
  </si>
  <si>
    <t>E agora vamos ao comentário de Economia, com Denise Campos de Toledo. https://t.co/DWvaiNKMCm</t>
  </si>
  <si>
    <t>#sócio #EUA  #educacaofinanceira #comoinvestir #mercadofinanceiro  #gestãoativa #stockpicking
#bluechips #NYSE #NEE #NEXTERA #NEXTERAENERGY #utilidadepublica #energia #publicutilities</t>
  </si>
  <si>
    <t>propriedades de armazenamento remoto em Indiana, Ohio, Illinois e Kentucky.
#investimentosbrasileexterior #investimentobrasil #investimentoexterior #reit #reits #ações #dividendos #longoprazo #liberdadefinanceira #planejamentofinanceiro #viverderenda #educacaofinanceira</t>
  </si>
  <si>
    <t>#planejamentofinanceiro #viverderenda #educacaofinanceira #comoinvestir #mercadofinanceiro #investimentos #liberdadefinanceira #irdm11 #irdm #CRI #papel #iridium #BTG #btgpactual https://t.co/JUj9vhf8zg</t>
  </si>
  <si>
    <t>#viverderenda #educacaofinanceira #comoinvestir #mercadofinanceiro #investimentos #liberdadefinanceira #ipca #cdi #igpm #HGRU #HGRU11 #CSHG #CREDITSUISSE #rendimentos #HIBRIDO #rendaurbana #varejo</t>
  </si>
  <si>
    <t>#educacaofinanceira #comoinvestir #mercadofinanceiro #investimentos #liberdadefinanceira  #EUA  #REALESTATE #investimentoimobiliario #sp500 #VNQ #DIVIDENDS #nyse #NYSE #sp500 #NASDAQ #EQIX #EQUINIX #DATACENTER #imoveis #comercio #lajes</t>
  </si>
  <si>
    <t>#planejamentofinanceiro #viverderenda #educacaofinanceira #comoinvestir #mercadofinanceiro #investimentos #liberdadefinanceira #BCFF #BCFF11 #MAXIRENDA #BTG #rendimentos https://t.co/4ykJpq6fSL</t>
  </si>
  <si>
    <t>Os Brics vã destruir os EUA? Descubra no nosso novo ep do Podcast #MercadoFinanceiro #Investimentos #BRICS #EducaçãoFinanceira 
https://t.co/gkLz5Bywia</t>
  </si>
  <si>
    <t>No final não é dinheiro,
é só mais tempo!!! 
-Ooo... 
#financas #financaspessoais #Investimentos</t>
  </si>
  <si>
    <t>#investimento #educacaofinanceira #dinheiro</t>
  </si>
  <si>
    <t>Programa que pretende beneficiar cerca de 30 milhões de pessoas com a renegociação de dívidas, o #Desenrola incluirá um segmento de #EducaçãoFinanceira, anunciou o ministro da Fazenda, @Haddad_Fernando. https://t.co/yZXqEKGdsm</t>
  </si>
  <si>
    <t>Acesse "Meu Imposto de Renda" para saber mais: https://t.co/RtW9qA30iG
#ImpostoDeRenda #DeclaraçãoDeImpostoDeRenda #FinançasPessoais #ReceitaFederal https://t.co/C4PBrmLgYz</t>
  </si>
  <si>
    <t>#ImpostoDeRenda #DeclaraçãoDeIR #DependentesIR #InformaçãoFiscal #EducaçãoFinanceira #Financeiro #Impostos #ReceitaFederal #FiquePorDentro #DicasFiscais 
👨‍👩‍👧‍👦</t>
  </si>
  <si>
    <t>Have you ever wondered which is the largest company in the world?
#finance #liberdadefinanceira #personalfinance #mercadofinanceiro #finances #educacaofinanceira #independenciafinanceira #planejamentofinanceiro #refinance #sucessofinanceiro #financeiro #financetips https://t.co/hGSQPYyvJD</t>
  </si>
  <si>
    <t>Ministro Haddad fez o anúncio ao lado de rainha dos Países Baixos.
Continue lendo em: https://t.co/T6fB4IgXV7
#desenrola #educacaofinanceira #teiadigital https://t.co/CbEeaSTQgt</t>
  </si>
  <si>
    <t>📢 Olá cliente CGD!
Estamos prestes a apresentar uma novidade. 
Anote aí na sua na agenda: dia 19/07 às 20 horas.
Garanta agora seu lugar na live acessando o link na tela inicial do CGD Gestão. 
#LiveExclusiva #EducaçãoFinanceira  #metodoCGD #metodointerativo #CGDtech https://t.co/84Lx8E7M7N</t>
  </si>
  <si>
    <t>Fiquem atentos, pois essa novidade vai ajudar a transformar a vida financeira de muitos alunos. 
Link para inscrição da Live, disponível na tela inicial do CGD Gestão! 🚀💰 
#Novidade #EducaçãoFinanceira  #Mercadofinanceiro #metodoCGD #parceriaCGD #CursosCGD #plataformaCGD https://t.co/q0Ihm4XX5Y</t>
  </si>
  <si>
    <t>#investimentos
#rendafixa
#educaçãofinanceira
https://t.co/M25RkbU4HB</t>
  </si>
  <si>
    <t>E aí, pessoal! Hoje vamos explorar o incrível universo da renda variável. Preparem-se para esse mundo cheio de emoção e oportunidades de ganhos. Vamos lá!
#rendavariavel #investimentos #educacaofinanceira https://t.co/05Pg54WDJw</t>
  </si>
  <si>
    <t>#Investimentos
#rendafixa
#educaçãofinanceira
https://t.co/KZ3aT9QZ6i</t>
  </si>
  <si>
    <t>Tem dificuldade em fazer um planejamento financeiro? Não sabe como aplicar o #consumo consciente? Venha aprender na VIII Semana da #EducaçãoFinanceira 2023! De 10 e 14/7. Inscrições gratuitas: https://t.co/URSU9u4KW6. #unifesp #somosunifesp #unifesposasco #eppen https://t.co/3wz2xx52bG</t>
  </si>
  <si>
    <t>Concordam com os pontos fortes do Charlie?
#finanças #financaspessoais #investimentos https://t.co/oHaqcgy6cB</t>
  </si>
  <si>
    <t>Concordam?
#financas #financaspessoais #investimentos #mindset #carreira https://t.co/xI72SdRukt</t>
  </si>
  <si>
    <t>O Mercado Financeiro é uma grande Pirâmide  só que é Legalizado.
Problemas com o seu Patrimônio?
Dr. Covesa resolve 👊
#Contabilidade
#MercadoFinanceiro 
#Perícia
#Patrimonio
#EducacaoFinanceira</t>
  </si>
  <si>
    <t>Cartas do Dia para 04/04 - 3a feira
🔮
Agende sua consulta pelo link: https://t.co/nIMtkQLm9E
🔮
#maisoumenos #dinheiroagora #finançaspessoais #carinhademetida #atenção https://t.co/PYzy11nlo9</t>
  </si>
  <si>
    <t>“A visão que você adota para si afeta a forma que você conduz a sua vida”
#estudos📚 #mindset #educacaofinanceira #mulheresvirtuosas #mulheressabias #vemcomigoquenocaminhoteexplico😘</t>
  </si>
  <si>
    <t>Fazenda finaliza proposta para correção da tabela do Imposto de Renda https://t.co/qCLlFXt6JB</t>
  </si>
  <si>
    <t>Parece que agora vai.. 
#impostoderenda #finançaspessoais</t>
  </si>
  <si>
    <t>A volta do Bolsa Família também virá com novas regras. Porém, o valor a ser pago continuará sendo de R$ 600
https://t.co/xV0OgMmM1X
#bolsafamilia #beneficio #economia #financaspessoais</t>
  </si>
  <si>
    <t>Leia a matéria completa no site Jornal Contábil clicando no link: https://t.co/L6LJ1b81ug https://t.co/LJXgEBQhFv</t>
  </si>
  <si>
    <t>Doações, pensão alimentícia e despesas médicas podem ajudar a ter um menos tributo
https://t.co/micEVSCNg6
#impostoderenda #restituicaodoir #ir #financaspessoais</t>
  </si>
  <si>
    <t>No mundo atual, onde as decisões financeiras são constantes e impactam diretamente nossa vida pessoal e profissional, a alfabetização financeira se torna uma habilidade essencial.
https://t.co/kaHCEVkDIM
#saudefinanceira #educaçãofinanceira</t>
  </si>
  <si>
    <t>A estimativa é que o aumento foi de 30% para este ano de 2023
https://t.co/DP6q6ksMzB
#economia #economizar #dicas #materialescolar #financaspessoais</t>
  </si>
  <si>
    <t>Organizar as finanças pessoais é um grande desafio para várias pessoas, especialmente para quem trabalha com CNPJ e precisa cuidar também das finanças da empresa.
https://t.co/o088Q1ztB4
#financaspessoais #empresa #jornalcontabil</t>
  </si>
  <si>
    <t>Leia a matéria completa no site Jornal Contábil clicando no link: https://t.co/67SmQKNDvr
#dinheiro #financeiro #financaspessoais https://t.co/7C2idqxgM0</t>
  </si>
  <si>
    <t>Desenvolver conhecimento dos conceitos financeiros, aprimorar a relação com o dinheiro e definir novas possibilidades em curto, médio e longo prazo estão entre os pilares de uma orientação financeira.
https://t.co/OB4n2Q1c2z
#escolasdofuturo #educacaofinanceira</t>
  </si>
  <si>
    <t>Leia a matéria completa no site Jornal Contábil clicando no link: https://t.co/2MGCZR2vrH
#educacaofinanceira #pandemia https://t.co/crpNzxTr7z</t>
  </si>
  <si>
    <t>No atual cenário em que o país enfrenta inúmeros inadimplentes, ações estão sendo realizadas para reverter essa situação, como o recém-lançado programa Desenrola Brasil. #cursogratuito #educacaofinanceira
https://t.co/tMHImVB773</t>
  </si>
  <si>
    <t>Pesquisa aponta que somente 35% dos adultos são alfabetizados financeiramente no país e apenas 21,9% estão preparados para lidar com uma despesa inesperada #educacaofinanceira #jornalcontabil
https://t.co/wFKqgmxOoN</t>
  </si>
  <si>
    <t>Leia a matéria completa no site Jornal Contábil clicando no link: https://t.co/idqe70nPXs
#educacaofinanceira #financas #jornacontabil https://t.co/rOZ0AcDgi8</t>
  </si>
  <si>
    <t>Se aposentar mais rápido do que imagina e gozar plenamente dos seus benefícios sociais, importante para o trabalhador...
#aposentadoria #inss #finançaspessoais</t>
  </si>
  <si>
    <t>@choquei @DarlanTD É, cada um com a capacidade do seu bolso, gastei um pouco mais de 10% disso com o presente da minha esposa, a minha camisa compro depois...
#finançaspessoais #Botafogo</t>
  </si>
  <si>
    <t>@GloboNews @ceciliaflesch Uma despesa necessária para o nosso dia a dia que precisa de medidas mais efetivas para aliviar o nosso bolso, não de ocasião. Com a palavra os especialistas...
#finançaspessoais #contadeluz</t>
  </si>
  <si>
    <t>@aod_cunha @pfnery É, desde de sempre, investir em patrimônio alheio requer conhecimento onde está se investindo...
#financas #finançaspessoais</t>
  </si>
  <si>
    <t>@GloboNews @valoreconomico Bem-vindo? Ai, minhas #finançaspessoais ...</t>
  </si>
  <si>
    <t>@GloboNews @valoreconomico Mais de 400% ao ano é um absurdo! Por outro lado, o cartão de crédito pode ser uma boa opção para pagamentos, principalmente em compras parceladas, desde que se saiba usar, lógico...
#finançaspessoais</t>
  </si>
  <si>
    <t>Carteira Meu INSS+ dá desconto em farmácias, cinemas, shows e serviços | Agência Brasil https://t.co/EdJ0e5MfA8 
A quem interessar...
#finançaspessoais</t>
  </si>
  <si>
    <t>Dicas de IR: valor recebido a título de desconto de duplicatas não está sujeito a tributação de imposto de renda para pessoa física. 
#impostoderenda #contabilidade #finançaspessoais #dicas</t>
  </si>
  <si>
    <t>@EInvestidor @Estadao Sugiro diversificar, com ações o mínimo possível, de acordo com o perfil da pessoa e urgência do retorno...
#finançaspessoais</t>
  </si>
  <si>
    <t>Bom estar por dentro...
#finançaspessoais</t>
  </si>
  <si>
    <t>Quando você delega seu dinheiro para terceiros, tipo comissão de formatura, tem que se ter o controle exigindo a prestação de contas a qualquer tempo. #finanças #finançaspessoais #controle</t>
  </si>
  <si>
    <t>@ibgecomunica Com a inflamação dos alimentos, principalmente, inevitável...
#finançaspessoais</t>
  </si>
  <si>
    <t>Depois de ontem, o "mercado" hoje...
#economy #Economia #finanças #finançaspessoais</t>
  </si>
  <si>
    <t>Bora correr atrás...
#finançaspessoais</t>
  </si>
  <si>
    <t>#finançaspessoais</t>
  </si>
  <si>
    <t>Quando se fala em controlar despesas, já há um progresso nas finanças...
#finanças #finançaspessoais</t>
  </si>
  <si>
    <t>Estava na malha fina? A Receita Federal abriu mais um lote residual da restituição do imposto de renda. Os valores serão depositados no próximo dia 28/02/23.
#impostoderenda #finançaspessoais #contabilidade</t>
  </si>
  <si>
    <t>Pessoal, chegando o imposto de renda, cuidado com a chamada variação patrimonial, não vá esquecer de lançar a compra de seu  carro ano passado de R$ 1 milhão, o leão pode te cobrar...
#impostoderenda #contabilidade #finançaspessoais
#wesleysafadão</t>
  </si>
  <si>
    <t>Contribuição ao INSS do autônomo muda nesta quinta-feira (15) https://t.co/kkOLzmHlhB 
#controle #finançaspessoais</t>
  </si>
  <si>
    <t>A matemática da compra de importados:
Preço total = (valor da compra+ frete) × 1,6
Ex:
Pt= (100,00 + 20,00) × 1,6 = 192,00
#finançaspessoais  #importação</t>
  </si>
  <si>
    <t>Dicas de IR: quem fez estágio remunerado é obrigado a declarar?  Não necessariamente, tem que estar enquadrado naquelas obrigatoriedades da receita, como por exemplo receber bolsa-auxílio acima do limite de isenção (difícil)...
#impostoderenda  #Contabilidade #finançaspessoais</t>
  </si>
  <si>
    <t>Quando uma instituição financeira privada oferece orientações/curso de Educação Financeira, você tem que estar atento se tal instituição está mais interessada em vender seus produtos ou realmente o capacitá-lo de acordo com suas possibilidades e necessidades.
#Educaçãofinanceira</t>
  </si>
  <si>
    <t>Ter Educação Financeira é também saber evitar falsas promessas, é saber distinguir o que é melhor para você no uso do seu dinheiro do que é mais vantajoso para uma instituição que oferece alternativas de investimentos.
#Educaçãofinanceira</t>
  </si>
  <si>
    <t>Investir depende, dentre outros fatores, do perfil da pessoa, de quanto tem para aplicar, quanto tempo pode ficar sem o dinheiro. Quem quiser aplicar em reserva de emergência, sugiro aplicar onde possa resgatar o dinheiro a qualquer momento sem perdas.💸💰 #finançaspessoais</t>
  </si>
  <si>
    <t>Se meu banco quebrar perco meu dinheiro? Até R$ 250 mil por CPF seu crédito está garantido, através do FGC (Fundo Garantidor de Crédito). Para saber mais acesse https://t.co/gQSMGsOtqB ...
#Finançaspessoais #Contabilidade #finanças #dinheiro</t>
  </si>
  <si>
    <t>Imposto renda, ainda está esperando a restituição? A Receita liberou mais um lote hoje, 24/1, para consulta e crédito para o dia 31. Confira lá... Problemas com o IR, cálculos judiciais, entre em contato conosco.
#impostoderenda #contabilidade #calculos #finançaspessoais</t>
  </si>
  <si>
    <t>Se você precisa de um retorno de investimento a tempo e valor certo,   investir em aplicação de alto risco é desaconselhável.#finançaspessoais #financas #contabilidade</t>
  </si>
  <si>
    <t>Existem muitos gurus das finanças sugerindo coisas mirabolantes, como p. ex. chegar a 1 milhão em pouco tempo, esquece, conversinha. Controle o seu dinheiro e nada medida do possível procure poupar alguma coisa sempre, invista nos seus estudos e habilidades...
#finançaspessoais</t>
  </si>
  <si>
    <t>Livro clássico que te ensina sobre como multiplicar a riqueza é solucionar os problemas financeiros.
Quer saber mais?
https://t.co/hHhlHvtkdJ
#educaçãofinanceira #livros #leiamais #leitura https://t.co/oEJHmjjOeC</t>
  </si>
  <si>
    <t>Best-seller que defende a busca pela independência financeira através de investimentos, imóveis, ter seu próprio negócio e uso de técnicas de proteção de patrimônio.
Quer saber mais sobre o livro?
https://t.co/nNo9kOjt48
#livros #leitura #educaçãofinanceira #indicacaodelivros https://t.co/f64ytkWtwN</t>
  </si>
  <si>
    <t>O Primo Rico nos ensina que existem três pilares para atingir a independência financia: gastar bem, investir melhor e ganhar mais. Autor Thiago Nigro.
Quer saber mais sobre este livro?
https://t.co/jT0AcPfM6m
#livros #indicacaodelivros #leiamais #educacaofinanceira https://t.co/LC2WJZC2Dl</t>
  </si>
  <si>
    <t>No dia 27/07, a Fundação Amazonprev promoverá uma palestra com o tema "Círculo vicioso de quem gasta tudo o que recebe". O evento será gratuito e destinado a servidores, aposentados e pensionistas. #Participe!
#amazonprev #palestras #governodoamazonas #finançaspessoais https://t.co/DOASkWAjp4</t>
  </si>
  <si>
    <t>"A economia é uma virtude distributiva e consiste não em poupar mas em escolher".
- Edmund Burke
#Economia #escolhas #educacaofinanceira</t>
  </si>
  <si>
    <t>Nos grandes "Crediário Próprio". Mas vender fiado pode causar desequilíbrio no caixa, inadimplência e dificuldade de controle. Por isso, é importante ter um sistema de gestão que ajude a organizar as vendas e evitar prejuízos. #famíliasbaixarenda #educaçãofinanceira</t>
  </si>
  <si>
    <t>Diga não como esse gato, dessa forma não vai perder dinheiro!
#dinheiro #finanças #finançaspessoais #educaçnãofinanceira https://t.co/LuBp0wGc1V</t>
  </si>
  <si>
    <t>Com educação financeira você dorme melhor.
#investimentos #finanças #educaçãofinanceira https://t.co/gEwRoUBPIW</t>
  </si>
  <si>
    <t>COPOM acerta o remédio, 
mas erra na dose. isso não gera empregos, mas estimula demissão. #empregos #finanças #finançaspessoais https://t.co/j9JEn8VM7S</t>
  </si>
  <si>
    <t>Lembre-se, o CDB é uma opção de investimento que oferece segurança e previsibilidade. Avalie seu perfil de investidor e objetivos financeiros antes de tomar decisões. Mantenha-se informado e faça escolhas conscientes!
#CDB #Investimentos #EducaçãoFinanceira</t>
  </si>
  <si>
    <t>#Noticias #educaçãofinanceira
https://t.co/s4IYDZ2evx</t>
  </si>
  <si>
    <t>A Turma do #MeninoMaluquinho recebe uma convidada especial para falar sobre #educaçãofinanceira. @nathfinancas será personagem no mundo dos quadrinhos. “Ser desenhada pelo #Ziraldo é um sonho realizado e um grande reconhecimento pelo meu trabalho.”
https://t.co/xPodY0xkV8</t>
  </si>
  <si>
    <t>Governo Tarcísio quer aulas de educação financeira para alunos de SP (Folha)</t>
  </si>
  <si>
    <t>De 20 a 26/3, vem com a gente participar da nova edição da Global Money Week!
💡 Serão oferecidas palestras, oficinas, lives, debates e outras atividades gratuitas e em formatos online, presencial e híbrido.
Saiba mais: https://t.co/tDjCrka7AM
#cvm #educacaofinanceira #GMW2023 https://t.co/HetxNZwxMZ</t>
  </si>
  <si>
    <t>Lembrete para agenda: 20 a 26/3 - Encontro marcado na Global Money Week! 
👉Saiba mais: https://t.co/tDjCrkaFqk
#cvm #cvmeducacional #GMW2023 #educacaofinanceira https://t.co/t4T4IldCO8</t>
  </si>
  <si>
    <t>Acesse o novo post do blog da CVM. 
📍 https://t.co/VqYTBjobbb
E comente aqui o que achou das dicas. Já faz alguma delas? (5/5)
#vamosjuntos #cvm #seriecvm #educacaofinanceira #educacao #filhos https://t.co/7iN6oK942A</t>
  </si>
  <si>
    <t>Vem com a gente falar sobre Resiliência Financeira na 10ª Semana ENEF 2023.
Nós, do Fórum Brasileiro de Educação Financeira (FBEF), esperamos por você! #vamosjuntos
Em breve, mais informações. 
#semanaENEF2023 #semanaENEF #FBEF #cvm #educacaofinanceira #resiliencia #investidor https://t.co/6ZUXUVHeLZ</t>
  </si>
  <si>
    <t>A 10ª Semana ENEF 2023 vem aí!
Obtenha mais conhecimento, autonomia e gestão do seu dinheiro.
Nós, do Fórum Brasileiro de Educação Financeira (FBEF), esperamos por você nessa semana especial!
#semanaENEF2023 #semanaENEF #FBEF #cvm #educacaofinanceira #investidor https://t.co/LBzaj9Yg1c</t>
  </si>
  <si>
    <t>Você é uma dessas mães empreendedoras? Se não for, marque aquela que você conhece ou que sabe que deseja ser e precisa de um estímulo. Os desafios são grandes, mas podem ser superados. (3/5)
#cvm #seriecvm #educacaofinanceira #maesempreendedoras https://t.co/t8ZPRa4W8E</t>
  </si>
  <si>
    <t>A busca pela independência financeira não é um caminho fácil e rápido. Imagina para mães? Duplas jornadas, superar preconceitos, falta de flexibilidades e suportes são desafios pesados a serem carregados. (2/5)
#cvm #seriecvm #educacaofinanceira #maesempreendedoras https://t.co/2NK2kRuJdE</t>
  </si>
  <si>
    <t>Com a chegada do Dia das Mães, a Série CVM - Educação Financeira traz as motivações, os desafios e as estratégias de superação enfrentadas pelas mães empreendedoras. (1/5)
#cvm #seriecvm #educacaofinanceira #maesempreendedoras https://t.co/B6svkRcaSf</t>
  </si>
  <si>
    <t>A B3 recebeu hoje o toque de campainha que deu início a 11ª edição da Global Money Week. A iniciativa mundial é coordenada no Brasil pela @cvmgovbr. O objetivo é levar ações gratuitas de educação financeira para crianças e jovens. #MinutoB3
#educacaofinanceira #GMW2023 https://t.co/jzHP2gigEF</t>
  </si>
  <si>
    <t>Sabia que os fundos de investimento podem ter os mais diversos ativos na carteira? No caso do FI-INFRA, as pessoas físicas podem ter acesso ao setor de infraestrutura. Conheça sobre esse produto e lançamento da @sunoasset , no #MinutoB3 de hoje.
#educacaofinanceira #fiinfra https://t.co/yjtJpUyQI7</t>
  </si>
  <si>
    <t>O 2º episódio do “O que tem na sua carteira?” - nosso videocast em parceria com o @stealthelook - foi com @amagalhaesana, uma das influenciadoras digitais mais conhecidas do Brasil quando o assunto é #educaçãofinanceira. Confira: https://t.co/2dLs2Xq0Si</t>
  </si>
  <si>
    <t>É possível investir sem ter salário fixo? Veja as opções para autônomos 
Leia mais: https://t.co/tp8JqbqmkX
#Mercado #Economia #Finançaspessoais https://t.co/zNH2RhRwWL</t>
  </si>
  <si>
    <t>📻 "Tudo o que passa, passa na TSF" e o Doutor Finanças não é exceção!
De segunda a sexta-feira, às 9h50.
👉 Os episódios estão disponíveis no site da TSF em: https://t.co/QHcfNU8ex3.
#radio #consulta #rubrica #financaspessoais #tsf #doutorfinancas https://t.co/dxYtXdSSrl</t>
  </si>
  <si>
    <t>Descubra o grande erro cometido por muitas pessoas ao começar a investir em criptomoedas! Evite armadilhas e aprenda com os erros dos outros #Criptomoedas #Investimento #ErrosDeInvestimento #Diversificação #EducaçãoFinanceira https://t.co/AtoktoXVwP</t>
  </si>
  <si>
    <t>Educação financeira é uma habilidade valiosa que pode ajudar a garantir um futuro financeiro seguro.
Curta, comente e ative as notificações para não perder nenhum conteúdo! Temos um monte de novidades para contar para vocês!
#hydrainveste #educaçãofinanceira #dinheironainternet https://t.co/P3bhbNmJle</t>
  </si>
  <si>
    <t>#educaçãofinanceira 
#ativos 
#passivos 
#fluxodecaixa 
#ganhodecapital 
#investimentos 
#bolsadevalores 
#ações 
#fiis 
#tesourodireto 
#stocks 
#reits 
#etfs
#cdb 
#bolsadevalores
https://t.co/t6al4Bgq6V</t>
  </si>
  <si>
    <t>Mensagens que deixam nossos corações quentinhos kkk
E assim será em junho, julho e por aí vai !
#Contaspagas #Fatura #Boleto #Magalu #Educaçãofinanceira https://t.co/feXa1FOZaN</t>
  </si>
  <si>
    <t>Transforme sua vida financeira e conquiste a independência com Pai Rico, Pai Pobre. Descubra os ensinamentos revolucionários deste best-seller!" 
Compre agora! https://t.co/MyYy8BdRks 😃
#PaiRicoPaiPobre #IndependênciaFinanceira #EducaçãoFinanceira https://t.co/8UjtAK4rBu</t>
  </si>
  <si>
    <t>📚💰 Aprenda com o mestre! Descubra os segredos do maior investidor do mundo e domine suas estratégias no novo post do blog 
#FortesFinanceiramente #WarrenBuffett #EducaçãoFinanceira 
https://t.co/ZUVQSEUA99 https://t.co/fNaTedaBLl</t>
  </si>
  <si>
    <t>📊Correção monetária, datas de vencimento,taxa de custódia e tributação; veja todos os detalhes do Tesouro RendA+ 
https://t.co/3hmOb8B3i7
#educaçãofinanceira</t>
  </si>
  <si>
    <t>📊COLUNA Eduardo Mira | O primeiro passo para uma jornada de sucesso nos investimentos.
#educacaofinanceira @Professormira1
https://t.co/HbCMVHPXgg</t>
  </si>
  <si>
    <t>💸Emprestei, mas corro o risco de não receber de volta: entenda o que é o 'credit crunch' mencionado por Luiz Stuhlberger.
#educacaofinanceira #investimentos
https://t.co/yGT20HQJCl</t>
  </si>
  <si>
    <t>💰 Trabalhador autônomo organizado: saiba como criar um planejamento financeiro
#mercadofinanceiro #investimentos
https://t.co/5eOdq1vNyB</t>
  </si>
  <si>
    <t>📊COLUNA Luis Cláudio Freitas | Você sabe quais investimentos são adequados ao seu perfil?
#educacaofinanceira #einvestidor
https://t.co/ZUCSTX9BjK</t>
  </si>
  <si>
    <t>📊📚Sem comentar valores do negócio, infratech Vórtx anunciou a compra da Capital Aberto, plataforma de cursos para o mercado financeiro.
#educacaofinanceira
https://t.co/tZxVUj5ggI</t>
  </si>
  <si>
    <t>📊COLUNA Eduardo Mira | O primeiro passo para uma jornada de sucesso nos investimentos.
#educacaofinanceira @Professormira1
https://t.co/HbCMVHQv5O</t>
  </si>
  <si>
    <t>🤑🎆Quina São João 2023: como multiplicar o prêmio de R$ 27 milhões que oito apostas levaram?
#loterias #educacaofinanceira
https://t.co/paPanHpfVu</t>
  </si>
  <si>
    <t>💰🤔É possível chegar no R$ 1 milhão em seis meses? Ou isso é "venda de ilusões"? Conteúdo de Thiago Nigro gerou polêmica nas redes nos últimos dias. Entenda o caso e, afinal, é possível chegar lá?
#educacaofinanceira
https://t.co/do6gMEUlym</t>
  </si>
  <si>
    <t>💰🤔É possível chegar no R$ 1 milhão em seis meses? Ou isso é "venda de ilusões"? Conteúdo de Thiago Nigro gerou polêmica nas redes nos últimos dias. Entenda o caso e, afinal, é possível chegar lá?
#educacaofinanceira
https://t.co/do6gMEUTnU</t>
  </si>
  <si>
    <t>⚽😫Bom de bola e ruim de dinheiro: os principais erros financeiros dos atletas. Apesar de salários altos, muitos jogadores já viram suas pequenas fortunas evaporarem.
#educacaofinanceira
https://t.co/KldnpLMg8e</t>
  </si>
  <si>
    <t>💸💳Dívidas, juros do rotativo: por que juros do cartão de crédito chegam a 1.000% mesmo com a Selic em 13,75%?
#educacaofinanceira
https://t.co/XcNLOLoFA7</t>
  </si>
  <si>
    <t>📊COLUNA Fabrizio Gueratto | Três formas de investir na B3 sem pagar Imposto de Renda.
#ir2023 #educacaofinanceira
https://t.co/r7ZWkUCiKU</t>
  </si>
  <si>
    <t>💸😫Educação financeira: “Perdi tudo com Eike Batista e agora com Americanas”, diz investidor. O que a história do dinheiro que virou pó na Bolsa ensina sobre o mercado.
#educacaofinanceira #investimentos
https://t.co/2JbumHNdo0</t>
  </si>
  <si>
    <t>🎙📊ENTREVISTA  | Nathália Arcuri fala sobre demissão de metade de equipe da Me Poupe!, nega crise, fala de novo papel na empresa e crava: "Não somos uma ONG”.
#educacaofinanceira
https://t.co/rZ6aRZdE1U</t>
  </si>
  <si>
    <t>🤑💰Meu primeiro R$ 1 milhão: do Complexo do Turano à patrimônio de dezenas de milhões, a história de Eduardo Mira.
#educacaofinanceira
https://t.co/o1YW1HjTlj</t>
  </si>
  <si>
    <t>🤑💰Meu primeiro R$ 1 milhão: do Complexo do Turano à patrimônio de dezenas de milhões, a história de Eduardo Mira.
@Professormira1 #educacaofinanceira
https://t.co/o1YW1HjTlj</t>
  </si>
  <si>
    <t>💸😫Boletos, dívidas, atrasos, juros: de baby boomers ao pessoal da geração Z, passando pelos millennials, dezenas de milhões de brasileiros estão inadimplentes. Confira qual geração vive mais no aperto e os porquês no E-Investidor.
#educacaofinanceira
https://t.co/d55GMnWyWP</t>
  </si>
  <si>
    <t>🤔🤑COLUNA Fabrizio Gueratto | O que realmente importa nos investimentos e no cuidado com o dinheiro?
#educacaofinanceira 
https://t.co/1OB1udXlHn</t>
  </si>
  <si>
    <t>📊🏠Investir em imóveis sempre foi uma opção campeã entre os brasileiros, por conta de aluguel e valorização. Mas e quando comparado à renda fixa, quem sai ganhando?⚖
#educacaofinanceira #einvestidor
https://t.co/7GvqWo3lKG</t>
  </si>
  <si>
    <t>🐾 Gastos com o animal podem turbinar as despesas e até desalinhar as finanças de uma família. Veja como organizar as finanças
#mercadofinanceiro #investimentos #educaçãofinanceira #pet
https://t.co/fdzQ2iQgMi</t>
  </si>
  <si>
    <t>📊 COLUNA Fabrizio Gueratto | Entenda como funciona a entidade criada para proteger recursos de investidores
#mercadofinanceiro #investimentos #educacaofinanceira
https://t.co/2odo5jcWnu</t>
  </si>
  <si>
    <t>💸Cai quem quer? Golpe do SMS é ardiloso; fique alerta e se proteja.
#golpefinanceiro #educaçãofinanceira
https://t.co/HdeMmZv2JS</t>
  </si>
  <si>
    <t>📊 Mercado Intraday: Ibovespa recua em ambiente de baixa liquidez
#mercadofinanceiro #investimentos #educaçãofinanceira
https://t.co/PoQx5kcuGe</t>
  </si>
  <si>
    <t>📈 O portfólio sugerido pelo Inter (#INBR32), que fechou o mês passado com queda de 3,76%, liderou o ranking, seguido pelo Santander (#BCSA34). Veja
#mercadofinanceiro #investimentos #educaçãofinanceira
https://t.co/pmBDilSZ0H</t>
  </si>
  <si>
    <t>📊 COLUNA Carol Paiffer | Colunista e empresária explica o que você precisa saber para começar a investir como pessoa jurídica. Confira
#mercadofinanceiro #investimentos #educaçãofinanceira
https://t.co/55FPVZVIJl</t>
  </si>
  <si>
    <t>📚💵 O curso de pós-graduação da Nathalia Arcuri busca levar o conhecimento necessário para os estudantes realizarem uma gestão profissional de investimentos. Saiba mais
#educaçãofinanceira #investimentos #EXPERTXP2023
https://t.co/xYP8DsciJL</t>
  </si>
  <si>
    <t>📊 É preciso que os agentes de mercado reconheçam seus privilégios e entendam como usá-los em favor da transformação”, disse Nathalia Arcuri em palestra na Expert XP. Veja
#EXPERTXP2023 #investimentos #educaçãofinanceira
https://t.co/ld54ULADPD</t>
  </si>
  <si>
    <t>🎤 Acontece o The Town em São Paulo neste fim de semana e é comum que muitas pessoas se preocupem com a segurança dos seus aparelhos celulares. Veja dicas para se proteger
#TheTown #shows #educaçãofinanceira
https://t.co/zGXsTmmCfm</t>
  </si>
  <si>
    <t>📊💰 De acordo com a Frente Brasileira pelos Popupadores, existem cerca de 400 mil pessoas que têm dinheiro a receber da época que Collor confiscou poupanças https://t.co/Ffb6RYIewY
#educaçãofinanceira</t>
  </si>
  <si>
    <t>🐖 💰Seja qual for o seu sonho, um plano bem claro ajuda evitar gastos desnecessários e apertos financeiros durante o período de investimento https://t.co/Nm8YEmOgga
#investimentos #educacaofinanceira</t>
  </si>
  <si>
    <t>💳💸Mês do consumidor: endividados têm a oportunidade de negociar atrasos e limpar o nome até 31 de março.
#einvestidor #dívidas
https://t.co/tK5BCZh3hl</t>
  </si>
  <si>
    <t>📊COLUNA Luis Cláudio Freitas | Como compor uma reserva financeira com o método 50-30-20 de Elizabeth Warren?
#educacaofinanceira
https://t.co/NwsmtPPO2j</t>
  </si>
  <si>
    <t>💵 O maior retorno deixaria investidor milionário em três décadas. Veja as simulações e conquiste o primeiro milhão
#mercadofinanceiro #investimentos #educaçãofinanceira
https://t.co/8i5HNbXudx</t>
  </si>
  <si>
    <t>📊 COLUNA Ana Paula Hornos | Há uma nova tendência viralizando, chamada de “recados sincerões” no ambiente de trabalho. Veja como envitar o "sincericídio"
#mercadofinanceiro #investimentos #educaçãofinanceira
https://t.co/TPAR85vfdN</t>
  </si>
  <si>
    <t>🐾 Gastos com o animal podem turbinar as despesas e até desalinhar as finanças de uma família. Veja como organizar as finanças
#mercadofinanceiro #investimentos #educaçãofinanceira
https://t.co/fdzQ2iPIWK</t>
  </si>
  <si>
    <t>📊 Confira a análise de Michael Mauboussin, chefe de uma das áreas de pesquisa da Counterpoint Global, no evento Expert XP 2023
#mercadofinanceiro #investimentos #educaçãofinanceira
https://t.co/ndTOPaiGU8</t>
  </si>
  <si>
    <t>📊 O estudo prévio sobre quanto destinar ao mercado financeiro e sobre qual classe de ativos se adequa ao propósito do investidor é o primeiro passo. Saiba mais
#mercadofinanceiro #investimentos #educaçãofinanceira
https://t.co/BioKmnby0F</t>
  </si>
  <si>
    <t>📊🤔Como o fator emocional pode impactar seus investimentos: mesmo com conhecimentos em finanças, emoções podem influenciar na tomada de decisões.
#investimentos #educacaofinanceira
https://t.co/645vGZZFTv</t>
  </si>
  <si>
    <t>📚📊Vai ter gente tomando pau em Renda Fixa?! Buscando crendeciamento junto ao MEC, Empiricus Educação lança projeto que pode virar faculdade.
#educacaofinanceira
https://t.co/3lP4oECb68</t>
  </si>
  <si>
    <t>💸📊🔥IPCA, INPC, IGP-M: afinal, por que um destes índices de #inflação é o melhor para corrigir o salário-mínimo? E para atualizar o aluguel de casa, há algum mais indicado?
#educacaofinanceira
Confira: https://t.co/utBNDyECEA https://t.co/aRHKhf44ig</t>
  </si>
  <si>
    <t>💸Com um terço dos brasileiros com #dívidas em atraso, confira as dicas dos especialistas para sair da inadimplência.
#educacaofinanceira
https://t.co/Jwsjm2BiWn</t>
  </si>
  <si>
    <t>🇧🇷O benefício pode ser pago pela Poupança Social Digital, Conta Corrente de Depósito à vista, Conta Especial de Depósito à vista e Conta Contábil (plataforma social do programa).
https://t.co/UnQxmOKCsf
#educaçaofinanceira</t>
  </si>
  <si>
    <t>#finanças 
#educaçãofinanceira
#planificaçãofinanceira
#desportistas https://t.co/o7Z2D5171v</t>
  </si>
  <si>
    <t>Há algum tempo que ouvimos como a vida está mais cara, a inflação é uma autentica montanha russa e é cada vez mais difícil chegar ao fim do mês com dinheiro.
Estas notícias levam-nos a pensar sobre o que podemos fazer?
#financaspessoais #poupar #investir #educacaofinanceira https://t.co/I8R89TFhY3</t>
  </si>
  <si>
    <t>Para qualquer eventualidade, eu e a dona Maria, se planejamos antecipadamente.
Hoje em dia, colhemos os frutos de não terem dívidas.
#educaçãofinanceira
#finanças</t>
  </si>
  <si>
    <t>Conglomerado do Oráculo de Omaha recupera dos prejuízos de há um ano e apresenta resultados operacionais positivos de 10 mil milhões de dólares https://t.co/uos8TMN4Zv</t>
  </si>
  <si>
    <t>Se há coisa que aprendemos com Warren Buffet é não perca dinheiro e esteja no mercado em vez de tentar apanhar o melhor momento. #investir #ações #finançaspessoais</t>
  </si>
  <si>
    <t>Hoje assinala-se o Dia Internacional da Síndrome de Asperger.
Ninguém está livre e de uma doença.
Um seguro de saúde bem escolhido pode fazer diferença na sua saúde financeira e pessoal.
#DiaInternacionalAsperger #financaspessoais</t>
  </si>
  <si>
    <t>Atenção nas compras é cada vez mais importante.
#poupar #financaspessoais #compras #supermercado 
https://t.co/L5NyCPHiFD</t>
  </si>
  <si>
    <t>Cada vez há mais “nobres” com contas bancárias de plebeus a casar! 
Isto pode ser uma ameaça para a saúde financeira de um #casamento.
Sabiam que muitas discussões entre casais são sobre #dinheiro?
#finançaspessoais</t>
  </si>
  <si>
    <t>Riqueza não é ter dinheiro. Riqueza é possuir ativos financeiros que trabalhem para ti!
#riqueza #dinheiro #financaspessoais</t>
  </si>
  <si>
    <t>Finanças pessoais exigem dedicação e  empenho. Não são poucas as vezes que enquanto não tiveres o teu próprio sistema que vais ter de pensar muito até atingires o resultado desejado.
Usa o que estiver ao teu alcance!
#finançaspessoais #sucesso #fire</t>
  </si>
  <si>
    <t>Ninguém enriquece só com salário. Procura criar mais fontes de rendimento.
#enriquecer #financaspessoais #motivacao #rendimento</t>
  </si>
  <si>
    <t>Aprenda a administrar sua vida financeira com a Active Money! Curso prático e eficiente sobre renda fixa, renda variável e muito mais. Inscreva-se agora pelo link na bio. Dúvidas? Estamos disponíveis no direct. #educaçãofinanceira #controlefinanceiro #finanças https://t.co/GQPmVkaMgo</t>
  </si>
  <si>
    <t>Faça igual a Paola, e confira as 5 dicas sobre educação financeira!
1) Comece cedo.
2) Gerencie seu orçamento.
3) Aprenda a gerar renda.
4) Desenvolva habilidades financeiras cedo.
5) Pense bem sobre o dinheiro para gerar riqueza e estabilidade a longo prazo. #educacaofinanceira https://t.co/KdZ6VuR6FQ</t>
  </si>
  <si>
    <t>Eu vou te ajudar! #dividas #finançaspessoais https://t.co/l2zs22BYiX</t>
  </si>
  <si>
    <t>Quer saber como funciona um plano de pagamento aos credores? Fique atento à próxima postagem! 
 #superendividamento #dívidas #finanças #educaçãofinanceira #AdvWesleyCesar #advocacia #advocaciaGoiânia #advogadoflorianopolis #advogadosantacatarina #advwesleycesar</t>
  </si>
  <si>
    <t>Gerir as finanças pessoais é um desafio para qualquer um, inclusive para nós médicos. Planejamento e disciplina são fundamentais para evitar dívidas e garantir uma vida mais saudável. Lembre-se: cuidar do dinheiro também é cuidar da saúde. #financaspessoais #medicos</t>
  </si>
  <si>
    <t>Para palestras e treinamentos - acesse https://t.co/aJVlshWR0s
#eleicoes #investimentos #dinheiro #bolsadevalores #investimento #mercadofinanceiro #finan #empreendedorismo #investir #liberdadefinanceira #sucesso #rendaextra #economia #educacaofinanceira #investidor # https://t.co/QIVUemvUal</t>
  </si>
  <si>
    <t>Veja esta publicação do Instagram de @bragaeconomics https://t.co/Aar5JFW7IF 
Terceiro post da série sobre ALOCAÇÂO de Investimentos!  #bragaeconomics #economia #investimento #educacaofinanceira #bolsadevalores #finançapessoal #dinheiro #money #penserico #vocêindependente</t>
  </si>
  <si>
    <t>Educação financeira?
Conjunto de conhecimentos e conceitos que ajudam uma pessoa a entender e melhorar sua relação com o dinheiro e assim geri-lo de maneira eficiente.
#bragaeconomics #economia #investimento #educacaofinanceira #bolsadevalores #finançapessoal</t>
  </si>
  <si>
    <t>Já estamos na outra rede social com o mesmo @bragaeconomics !  
Esperamos você por lá também!  
#educacaofinanceira #financaspessoais #finanças #economia #economics #investimento #bolsadevalores #dinheiro https://t.co/uczGLoUAhQ</t>
  </si>
  <si>
    <t>Educação Financeira, aplicada no dia a dia, pode mudar a sua trajetória. Pense nisso!
#bragaeconomics #educacaofinanceira #economia #investimento  #bolsadevalores #finançapessoal  #vocêindependente
Veja esta publicação do Instagram de @bragaeconomics https://t.co/fjF0xJY5jE</t>
  </si>
  <si>
    <t>Veja esta publicação do Instagram de @bragaeconomics https://t.co/aYMDO05UdH 
Segundo post da série sobre ALOCAÇÂO de Investimentos!
#bragaeconomics #economia #investimento #educacaofinanceira #bolsadevalores #finançapessoal #dinheiro #money #penserico #vocêindependente https://t.co/BWIbIvBqvT</t>
  </si>
  <si>
    <t>Veja esta publicação do Instagram de @bragaeconomics https://t.co/NwH8eBtePZ 
Hoje começa um série de 4 post sobre ALOCAÇÂO de Investimentos
#bragaeconomics #economia #investimento #educacaofinanceira #bolsadevalores #finançapessoal #dinheiro #money #penserico #vocêindependente https://t.co/qQl4Ji2QZb</t>
  </si>
  <si>
    <t>Escrevi um artigo falando sobre o salario minimo no Brasil e educação financeira. Falamos da manutenção do poder de compra e possiveis soluções pra melhorar a vida de quem vive com um salario minimo.
#hivebr #Politics #Web3 #educacaofinanceira</t>
  </si>
  <si>
    <t>Estar no acampamento e ganhando dinheiro é impagável, simplesmente recebendo pra buscar a Deus #educacaofinanceira</t>
  </si>
  <si>
    <t>#educacaofinanceira</t>
  </si>
  <si>
    <t>A Monett está de cara nova!  
Um novo aplicativo com mais tecnologia, machine learning, mais personalização e uma versão gratuita completíssima.
Baixe o app e aproveite a Monett.
#Monett #inteligenciaartificial #algoritmos #educacaofinanceira #investimentos #finanças https://t.co/aFcdLAaKQ3</t>
  </si>
  <si>
    <t>Especialista explica como o controle do dinheiro pode proporcionar qualidade de vida
Leia mais em https://t.co/LwTP36Xnph
#Especialista #controle #dinheiro #finanças #qualidade #educaçãofinanceira https://t.co/d1Tgct5Sno</t>
  </si>
  <si>
    <t>Projeto de George Lins, aprovado pela ALEAM, implementa educação financeira nas escolas da rede estadual
Leia mais no #BlogDoHielLevy  https://t.co/TruiIu4AWf
#deputado #Aleam #GeorgeLins #educação #educaçãofinanceira #escolas #finanças https://t.co/h5FhwwY0dg</t>
  </si>
  <si>
    <t>🎧 Você sabia que o "Penso Logo Invisto" é um dos podcasts mais populares no Spotify? Com mais de 100 episódios, o programa é referência em educação financeira e investimentos. 🤑💰 #podcast #investimentos #educaçãofinanceira
https://t.co/jtKjAynmWJ https://t.co/sekduty4yc</t>
  </si>
  <si>
    <t>Se você quer colher algo na vida, é preciso semear." - Robert Stevenson. Invista em sua educação financeira para garantir um futuro financeiro próspero. #educaçãofinanceira #investimentos https://t.co/tUzCAIeNIv</t>
  </si>
  <si>
    <t>Não perca a oportunidade de investir em empresas americanas em crescimento nos próximos anos! Com BDRs, você tem acesso às ações das companhias dos EUA sem abrir conta em corretora estrangeira. Descubra mais em: https://t.co/6zx7Te2alI #investimentos #BDRs #educacaofinanceira https://t.co/CESgjbyblT</t>
  </si>
  <si>
    <t>Como reduzir seus gastos com moradia, transporte e alimentação no Brasil
👉 https://t.co/62YxXCk5v8
#ReduçãoDeGastos #FinançasPessoais #MoradiaEconômica #DicasFinanceiras https://t.co/OUbP1hpR5L</t>
  </si>
  <si>
    <t>📣 OFERTA - Amazon
🔥 34% DE DESCONTO
📚 - O homem mais rico da Babilônia, Capa comum
💸 R$22,90
💳 Em até 2x sem juros
🚛 FRETE GRATIS (consulte seu CEP)
https://t.co/B2QRDwIh11
https://t.co/B2QRDwIh11
#ohomemmaisricodababilônia #finançaspessoais #educaçãofinanceira https://t.co/vHT4cQCp7x</t>
  </si>
  <si>
    <t>❓Por que corretoras enviam uma "carteira da semana" se ações são para o longo prazo?
🤔 Pare para refletir: se você não sabe o preço de algo, pode estar pagando mais do que deveria. #investimentos #finanças #educaçãofinanceira</t>
  </si>
  <si>
    <t>#BlogdaConjuntura | Nathalia Arcuri, CEO da empresa Me Poupe e influenciadora digital falou ao Blog da Conjuntura nesta semana sobre sua trajetória, a inadimplência no Brasil e sobre #EducacaoFinanceira. Não deixe de conferir! Acesse: https://t.co/1gpNUE5I2c https://t.co/sq1bEAr2xH</t>
  </si>
  <si>
    <t>#FinançasPessoais é mais importante que #Investimentos? Embora as duas coisas estejam interligadas, tudo depende do tamanho do seu #Patrimônio e onde seu dinheiro está investido. Para a maioria da população brasileira, Finanças Pessoais deve ser o #foco!</t>
  </si>
  <si>
    <t>Aprenda como investir de maneira inteligente na Previdência Privada, veja em: https://t.co/QqUvKEQbGw
#utilidadepublica #finançaspessoais #investimentoseguro</t>
  </si>
  <si>
    <t>Educação financeira. 
👇🏾
https://t.co/3WlJcMjtgN
#educaçãofinanceira #humor #comédia</t>
  </si>
  <si>
    <t>A Câmara Legislativa do Distrito Federal realizará nesta quinta-feira (23/02) uma comissão geral para discutir a questão do superendividamento de servidores públicos do GDF.#EconomicNewsBrasil #EducaçãoFinanceira #Endividamento #FuncionárioPúblico #GDF
https://t.co/NKfdAIrWl5</t>
  </si>
  <si>
    <t>Nos últimos meses, organizar-se financeiramente surgiu como a principal meta para as brasileiras. Esse foi o levantamento divulgado pela FinanZero, após análise do relatório semestral “Objetivos#Economia #EconomicNewsBrasil #EducaçãoFinanceira #Finança
https://t.co/eewkFbs4zk</t>
  </si>
  <si>
    <t>Muitas pessoas enfrentam dificuldades para organizar as finanças e criar o hábito de poupar dinheiro, o que pode tornar o equilíbrio financeiro uma constante batalha. Mas, como começar?#Dívida #Economia #EconomicNewsBrasil #EducaçãoFinanceira #Poupança
https://t.co/R2hdYeR1Zr https://t.co/fjEZFV9Dwl</t>
  </si>
  <si>
    <t>Lembre-se, a análise de crédito é contínua. Práticas financeiras saudáveis ajudam a construir um histórico sólido e alcançar suas metas financeiras. Compartilhe essas dicas! 💼💪
 #EducaçãoFinanceira #PlanejamentoFinanceiro</t>
  </si>
  <si>
    <t>PIS/Pasep será pago nesta segunda-feira (15) a mais de 4,4 milhões; saiba quem tem direito https://t.co/XTMTrmvVJW</t>
  </si>
  <si>
    <t>Bradesco anuncia JCP de 2 Bilhões.
#acoes #fiis #bolsa #bolsadevalores #dividendos #investimentos #ativo #rendapassiva #renda #corretora #b3 #educacaofinanceira #milhas #rendavariavel #jcp #proventos #bbdc4 #bbdc3 #bradesco https://t.co/vca07jHko3</t>
  </si>
  <si>
    <t>https://t.co/FrZ0PjXYvl
#PlanodeTrading #Trading #Bovespa #MiniÍndice #GestãoDeRisco #AnáliseTécnica #ControleEmocional #EducaçãoFinanceira #Disciplina #MetasRealistas https://t.co/n58LFIvBR2</t>
  </si>
  <si>
    <t>💸 Você pode ganhar R$ 1 mil ou R$ 10 mil. Se não souber se organizar financeiramente, pode continuar endividado alerta @nathfinancas.
Matéria: Gustavo Ranieri. Ilustração: Tiago Gouvêa 👇👇👇
Leia mais: https://t.co/5yyAJ1K22s
#VidaSimples #Dinheiro #EducaçãoFinanceira https://t.co/15qyvlMXbv</t>
  </si>
  <si>
    <t>É HOJE, 20h no Discord do Keep Bored!!! 
Nossa aula de hoje é sobre "dívidas". Espero que seja produtivo e contribua para auxiliar todos aqueles que buscam planejar suas pendências financeiras!
Contamos com a participação de todos! 😉🎓 #EducaçãoFinanceira #GestãoDeDívidas… https://t.co/vP0u1kBJaM</t>
  </si>
  <si>
    <t>Entendendo o Método Bazin de Investimento https://t.co/rgEqCc2PzT via @YouTube
#investimentos #educacaofinanceira #rendaextra #dinheiro</t>
  </si>
  <si>
    <t>A criptomoeda #flokiinu  pode ser uma grande oportunidade de lucro, mas não esqueça de fazer sua pesquisa e investir com sabedoria. #investimentos #educaçãofinanceira</t>
  </si>
  <si>
    <t>A pessoa busca Tanto por uma coisa"Mais do nada Não quer mais". #motivação #Deus #crente #católica #amor #vida #educaçãofinanceira https://t.co/MR6YHdcQL1</t>
  </si>
  <si>
    <t>Comece o dia com uma atitude positiva em relação às suas finanças! 
#mindset #EducaçãoFinanceira #ControleDeGastos #Poupança #HábitosFinanceiros #FuturoSaudável</t>
  </si>
  <si>
    <t>#ResumoLivro #FinançasPessoais #SabedoriaFinanceira #LivroClássico</t>
  </si>
  <si>
    <t>Educação Financeira não é sobre não ter dividas.
É sobre saber que está devendo, não ignorar as dívidas e o credor e comunicar que pretende e qual período que irá pagar.
#financas #educacaofinanceira #dicadaeconomistamay</t>
  </si>
  <si>
    <t>RENDA EXTRA COM MILHAS CURSO Cartões, Milhas e Pontos - CMP - Com Henric... https://t.co/76Sp30PJlE via @YouTube 
#milhas #milhasaéreas #milhasaereas #pontosemilhas #comoganhardinheirocommilhas #milhasepontos
#educaçãofinanceira #comoganhardinheironainternet
#comoganhardinheirona</t>
  </si>
  <si>
    <t>https://t.co/27ZQjltiSx  #educaçãofinanceira #RomeuZema #atilalemos #itabira #itabiramg</t>
  </si>
  <si>
    <t>Férias de verão de 2024: agora é o momento certo para começar a organizar a sua viagem https://t.co/tLigxwret2 Planejar os detalhes traz a sensação de estar atingido uma meta.
#JoãoVictorino #fériasdeverão #turismo #planejamento #finançaspessoais</t>
  </si>
  <si>
    <t>Quanto foi a sua dívida de consumo no final de semana? Lazer é importante, mas você precisa planejar a dívida boa que cabe no seu bolso, que é uma dívida de alavancagem. #consorcio #cantarescorretora #cantarescorretoradeseguros #financas #financaspessoais #casapropria #lar https://t.co/WAJ6UpJQhc</t>
  </si>
  <si>
    <t>💰💡 Desvende mitos financeiros! Dinheiro ≠ felicidade instantânea. Todos podem investir. Dívidas podem ser boas ou ruins. Sorte não é a única chave para o sucesso financeiro. Descubra mais neste artigo esclarecedor! #FinançasPessoais #MitosSobreDinheiro
https://t.co/i0s9RsluvV</t>
  </si>
  <si>
    <t>Quer evitar compras por impulso e controlar seus gastos? Confira nosso novo artigo e descubra 5 ideias incomuns para se tornar um mestre das finanças! 💰💡 #FinançasPessoais #ControleDeGastos #DicasFinanceiras https://t.co/ANjpvzoxVJ</t>
  </si>
  <si>
    <t>Descubra a Regra da Riqueza 50-30-20! Aprenda a dividir seu orçamento de forma inteligente e alcance a prosperidade financeira. 
Saiba mais no link: https://t.co/dnXDhCLstU
#FinançasPessoais #PlanejamentoFinanceiro</t>
  </si>
  <si>
    <t>Minhas finanças pessoais são tão ruins que até meu cartão de crédito está me evitando #finançaspessoais #vida #risos</t>
  </si>
  <si>
    <t>🤓 O que é elasticidade no Mercado Financeiro e para que serve?
👉 Descubra: https://t.co/r5UTscYwKT 
#EducaçãoFinanceira #CiênciasEconômicas #Oferta #Demanda #EquilíbriodeMercado</t>
  </si>
  <si>
    <t>🤓Os Juros Compostos podem te ajudar a enriquecer, mas para isso, é necessário entender como eles funcionam. 
👉Saiba tudo sobre o assunto: https://t.co/tz05c7lIqx
#EducaçãoFinanceira #MatemáticaFinanceira #Finanças #Análise #TomadadeDecisão</t>
  </si>
  <si>
    <t>🤓O que é e como identificar uma ação sem valor nominal?
Leia e aprenda: https://t.co/tLvsPOtx3X 
#Glossário #EducaçãoFinanceira #PreçoNominal #PreçoReal #Inflação</t>
  </si>
  <si>
    <t>📈💸 Quer entender como a Lei da Oferta e da Demanda influencia o mercado financeiro? 🤔 Descubra como o equilíbrio de mercado é alcançado por meio da relação entre ofertas e demandas! 
💡👉🏼Confira já: https://t.co/8GNx9bAvQS
 #Oferta #Demanda #Mercado #EducaçãoFinanceira</t>
  </si>
  <si>
    <t>👀 Quer saber mais sobre a Demonstração do Fluxo de caixa das empresas? 🤔 Descubra tudo sobre ela e aprenda a interpretar essa demonstração financeira! 
Confira já! 👉🏼https://t.co/cD3uzZ4RA5
#DFC #EducaçãoFinanceira #Contabilidade #DemonstraçõesFinanceiras #Caixa</t>
  </si>
  <si>
    <t>POLÍTICA | Lula reclamou durante sua live semanal “Conversa com o presidente”, nesta terça-feira (27), sobre o patamar dos juros do crédito consignado.
Veja o trecho da live! 
Ou acesse: https://t.co/7JQzXFurhu
#CréditoConsignado #FinançasPessoais #Juros #Empréstimos… https://t.co/INlDlkNxDb</t>
  </si>
  <si>
    <t>🤓 Entender o Balanço Patrimonial de uma empresa pode te ajudar a tomar ótimas decisões de investimento. 
👉 Aprenda sobre o assunto: https://t.co/4c4F3Wny8B
#EducaçãoFinanceira #Contabilidade #DemonstraçõesFinanceiras #PosiçãoPatrimonial #AtivoePassivo</t>
  </si>
  <si>
    <t>Binance e Coinbase sendo processadas pelo governo americano SEC #crisemundial #grandereset #investimentos #educacaofinanceira #dinheiro #binance #coinbase #bitcoin https://t.co/cM4Rc1NBur</t>
  </si>
  <si>
    <t>Faltam apenas 10 dias para uma crise mundial...
#crisemundial #grandereset #investimentos #educacaofinanceira #dinheiro https://t.co/tZjSIh0ykV</t>
  </si>
  <si>
    <t>#educacaofinanceira… pqp, a cada dia que se passa tá cada vez mais difícil tankar. Eu nem sei por onde começar com isso, tanto esse pânico ridículo ou o vídeo em si…</t>
  </si>
  <si>
    <t>Identifica 2 amigos que queiram aprender a lucrar online contigo
#britzztgeking #EducaçãoFinanceira #NegóciosDigitais
#AprendizagemOnline
#MercadosFinanceiros #Investimentos #EmpreendedorismoDigital #FinançasPessoais
#DesenvolvimentoPessoal #EducaçãoOnline #Trading https://t.co/NWpSzZh8uQ</t>
  </si>
  <si>
    <t>Nessa postagem é explicada a importância de uma planilha financeira e como utilizá-la para organizar as finanças pessoais. 
#organizaçãofinanceira #finançaspessoais #planilhafinanceira https://t.co/IhMePRGcMd</t>
  </si>
  <si>
    <t>Nesta postagem Kako Ramos escreve a respeito de alguns aspectos básicos sobre os bancos.
#finançaspessoais #bancos #organizaçãofinanceira https://t.co/XAnWepaC42</t>
  </si>
  <si>
    <t>Para quem quer organizar suas finanças... 
Agora com um novo preço:
https://t.co/p0Tyqf2jFc
#Notion #FinançasPessoais #Template https://t.co/vpDx1DPxA4</t>
  </si>
  <si>
    <t>Eu acho muito engraçado uma pessoa que diz ser Educador, mas que no fundo precisa até fazer greve, se é Educador porque não faz Educação Financeira?
#EducaçãoFinanceira
#PróGovernoCentral
#CapitalizaçãoéSolução</t>
  </si>
  <si>
    <t>Nunca aceite críticas construtivas de quem nunca construiu nada. 😎💰💥 #boatarde 
#empresário #negocios #finançaspessoais #deusnocomandofin em Finanças e investimentos https://t.co/sTugwgv2BW</t>
  </si>
  <si>
    <t>De acordo com a economista, o jovem pensa em ter tudo rápido na vida mas tem que aprender a tomar boas decisões quando se envolve dinheiro. #Economia #EducaçãoFinanceira #TVCultura 
https://t.co/KpaWhU7KJe</t>
  </si>
  <si>
    <t>Excelente oportunidade!
#consorcio #planejamento #educaçãofinanceira #sonhos
#casapropria #meuapartamento #meuAP #segurança #familia em Brasil (País) https://t.co/t5zmNyVsHz</t>
  </si>
  <si>
    <t>AS 20 HORAS TEREMOS LIVEEE! 🔥🔥🔥🔥                                            https://t.co/z2iyfZ6S0y
#metamask #blockchain #btc #educaçãofinanceira #futuros #tokens #bsc #cryptocurrency #trader #inteligenciaartificial #highfrequencytrading #psicologia #mercadofinanceiro</t>
  </si>
  <si>
    <t>Nosso blog tem o artigo completo explicando sobre Tempos gráficos e suas diferenças nas análises.
https://t.co/elXjcxbWoK
#ivipcoin #candle #análisetécnica #investimentos #trading #mercado #finanças #educaçãofinanceira #investidores #traders #bolsadevalores #ações</t>
  </si>
  <si>
    <t>Nosso blog tem o artigo completo explicando sobre Funcionamento de um candle.
https://t.co/C4G1ALpQi1
#candle #análisetécnica #investimentos #trading #mercado #finanças #educaçãofinanceira #investidores #traders #bolsadevalores #ações</t>
  </si>
  <si>
    <t>#ivipcoin #Investimentos #CorretoraCertificada #DicasFinanceiras #SucessoFinanceiro #EducaçãoFinanceira https://t.co/Hgsd1RmCn9</t>
  </si>
  <si>
    <t>🤔 Você já se perguntou o que é pontuação score?
Confira as thread de imagens e entenda o que ela significa.
#score #credito #meutudo #educacaofinanceira https://t.co/XbZREPSU6v</t>
  </si>
  <si>
    <t>Você certamente já ouviu falar do score, mas talvez ainda não entenda muito bem como funciona essa pontuação.
Gostou de aprender mais sobre o mercado de crédito?
Conta pra gente aqui nos comentários!
#meutudo #credito #score #educacaofinanceira #emprestimo https://t.co/jtOrvS4039</t>
  </si>
  <si>
    <t>Um bom pai pode ser também um ótimo conselheiro quando o assunto é cuidar das finanças, concorda?
Por isso, a meutudo reconhece esse importante papel e parabeniza a todos os pais brasileiros por este dia especial.
#meutudo #pais #pai #diadospais #dinheiro #educacaofinanceira https://t.co/nMgBLC0oKQ</t>
  </si>
  <si>
    <t>Só pra posta mesmo 🤍🤞🏻#fypシ❤️💞❤️ #reelsinstagram #motivacao #educacaofinanceira #alegria #instagram #amigos💍 #fotografia#topicos em Conselheiro Lafayete, Minas Gerais, Brazil https://t.co/lTjHMS8brZ</t>
  </si>
  <si>
    <t>🎥📈 Conheça o mundo das ações! 💼💰
🔍 Se você já se perguntou o que são ações e como elas funcionam, você está no lugar certo! 🤔💡
📚 Prepare-se para uma aula rápida e divertida sobre o mercado de ações. 🎓✨
#Investimentos #Ações #MercadodeAções #EducaçãoFinanceira https://t.co/7j10YOQB0s</t>
  </si>
  <si>
    <t>Você sabia que pode fazer uma grana emprestando dinheiro para o governo federal? 💰💼✨ Se você acha que só os bancos ganham com empréstimos, está na hora de mudar essa história! 📚🔄💸 💪📈✨ #TesouroDireto #ganhardinheiro #Investimentos #educacaofinanceira https://t.co/kdxx2vIWS6</t>
  </si>
  <si>
    <t>@tarcisiogdf @governosp Antes de tudo inclua #educaçãofinanceira os jovem precisam aprender a utilizar o dinheiro pra termos um país melhor</t>
  </si>
  <si>
    <t>Cooperativa lança jogo no metaverso voltado à educação financeira
Saiba mais no site #MundoCoop!
📎 https://t.co/5F6ZrTWmEv 
#mundocoop #somoscoop #coop #cooperativismo #cooperativa #metaverso #ia #educação #educaçãofinanceira #semanaenef https://t.co/ifkpmQRYRC</t>
  </si>
  <si>
    <t>Cooperativas se mobilizam na 10ª Semana Nacional de Educação Financeira
Saiba mais no site da #MundoCoop!
📎 https://t.co/HjP2oXdmG1 
#mundocoop #somoscoop #cooperativismo #cooperativa #coop #credito #mercado #educaçãofinanceira #finanças #semanaenef https://t.co/nQm404FjNH</t>
  </si>
  <si>
    <t>Cooperativas combatem a "fobia financeira" e impulsionam mudanças socioeconômicas
Leia a reportagem completa no site da #MundoCoop!
📎 https://t.co/2atmSIySYr 
#mundocoop #somoscoop #coop #cooperativa #cooperativismo #economia #mercado #credito #educaçãofinanceira #finanças https://t.co/aFezuenzvO</t>
  </si>
  <si>
    <t>Você NÃO PRECISA ser empreendedor, nem gestor e nem mesmo investir seu dinheiro. Mas isso tem que ser uma opção.
Saber e optar por não fazer, é diferente de não poder!
#emprendedor #empreendedorismo #trabalho #WorkHard #educaçãofinanceira</t>
  </si>
  <si>
    <t>Hoje, trouxe aqui algumas informações pessoais importantes, para que você me conheça melhor e possa saber mais sobre os meus propósitos de vida.
Arraste para o lado e confira quais são elas👉👉
#estrategistafinanceiro #finanças #educaçãofinanceira #empreendedorismo #empreendedor https://t.co/iSvdt6DDMv</t>
  </si>
  <si>
    <t>(continuação) com confiança e desfrute da plenitude que a vida tem a oferecer.
Seja mestre do seu destino financeiro e embarque na jornada para alcançar a verdadeira liberdade!
#estrategistafinanceiro #finanças #educaçãofinanceira #empreendedorismo #empreendedor</t>
  </si>
  <si>
    <t>(continuação) Você também pode mudar de vida, basta ter determinação e muita força de vontade. Acredite em si mesmo e em seu potencial, pois é assim que você chegará aonde sempre sonhou.
#estrategistafinanceiro #finanças #educaçãofinanceira #empreendedorismo</t>
  </si>
  <si>
    <t>(continuação) É necessário planejar, buscar conhecimento e se preparar para os desafios que estão por vir.
#estrategistafinanceiro #finanças #educaçãofinanceira #empreendedorismo #empreendedor #estrategiafinanceira #motivação #negócios #sucesso #business #mentoria #liderança</t>
  </si>
  <si>
    <t>aprender com experiências passadas e explorar novas habilidades são maneiras poderosas de fortalecer o seu arsenal de conhecimento e te guiar rumo ao sucesso!
#estrategistafinanceiro #finanças #educaçãofinanceira #empreendedorismo #empreendedor</t>
  </si>
  <si>
    <t>O sucesso não é apenas um destino, mas, sim, uma jornada diária de dedicação, perseverança e superação.
Cada passo dado com determinação nos aproxima cada vez mais dos nossos sonhos. Vamos em frente, rumo ao sucesso!
#estrategistafinanceiro #finanças #educaçãofinanceira https://t.co/TtXsFaf9JO</t>
  </si>
  <si>
    <t>(continuação) e alcançar resultados extraordinários.
Obrigado a todos os membros do time BYOB, vocês são incríveis!
E se você, assim como essas pessoas, quer mudar de vida e fazer parte do BYOB, entre em contato comigo.
#estrategistafinanceiro #finanças #educaçãofinanceira</t>
  </si>
  <si>
    <t>(continuação) fazer investimentos conscientes e alcançar a tão sonhada estabilidade financeira.
Se você ainda não tem uma estratégia financeira eficiente, entre em contato comigo que irei te ajudar!
#estrategistafinanceiro #finanças #educaçãofinanceira</t>
  </si>
  <si>
    <t>Saber qual era o meu real propósito fez toda a diferença em minha jornada até aqui!
#estrategistafinanceiro #finanças #educaçãofinanceira #empreendedorismo #empreendedor #estrategiafinanceira #motivação #negócios #sucesso #business #mentoria #liderança</t>
  </si>
  <si>
    <t>(continuação) Cultive a confiança, alimente a determinação e deixe o brilho da sua coragem guiar cada passo.
Lembre-se: você é capaz de conquistar o impossível!
#estrategistafinanceiro #finanças #educaçãofinanceira #empreendedorismo #empreendedor #estrategiafinanceira #motivação</t>
  </si>
  <si>
    <t>(continuação) aprenda com as dificuldades e siga em frente com determinação. Não desistir diante dos problemas é o que molda os verdadeiros vencedores e os conduzem em direção a um futuro brilhante.
#estrategistafinanceiro #finanças #educaçãofinanceira #empreendedorismo</t>
  </si>
  <si>
    <t>(continuação) a eficiência da estratégia financeira é inegável.
Dê passos firmes em direção ao sucesso financeiro, trilhando um caminho inteligente e estratégico. Vamos juntos rumo às conquistas!
#estrategistafinanceiro #finanças #educaçãofinanceira</t>
  </si>
  <si>
    <t>(continuação) Seja qual for o seu sonho, agir estrategicamente é a chave para transformá-lo em realidade.
E se você precisar de ajuda para trilhar este caminho, conte comigo.
#estrategistafinanceiro #finanças #educaçãofinanceira #empreendedorismo #empreendedor</t>
  </si>
  <si>
    <t>deixa passar.
Se você tem mais alguma dúvida sobre empreendedorismo, deixe nos comentários que irei te responder!
.
.
.
#estrategistafinanceiro #finanças #educaçãofinanceira #empreendedorismo #empreendedor #estrategiafinanceira #motivação #negócios #sucesso</t>
  </si>
  <si>
    <t>Alcançar o sucesso não tem segredo: é só ter determinação, foco e vontade de crescer. Com essas coisas, o impossível se torna realidade!
#estrategistafinanceiro #finanças #educaçãofinanceira #empreendedorismo #empreendedor #estrategiafinanceira #motivação #negócios #sucesso https://t.co/Yu4ZEBbd3A</t>
  </si>
  <si>
    <t>pois o futuro brilhante que você busca está a um passo de distância!
#estrategistafinanceiro #finanças #educaçãofinanceira #empreendedorismo #empreendedor #estrategiafinanceira #motivação #negócios #sucesso #business #mentoria #liderança #multiempreendedor #multiproprietário</t>
  </si>
  <si>
    <t>(continuação) Estou animado com as possibilidades que estão por vir e determinado a fazer desta fase um capítulo incrível da minha vida.
Vamos juntos nessa jornada de crescimento, aprendizado e realizações!
#estrategistafinanceiro #finanças #educaçãofinanceira #empreendedorismo</t>
  </si>
  <si>
    <t>Educação financeira nunca será irrrelevante no mundo em que vivemos.
#cm #gestãoremotadeaaz #mercadofinanceiro #produtividade #educacaofinanceira #estilodevida #proposito #carreira #trabalho #educação https://t.co/zdBvWChsYt</t>
  </si>
  <si>
    <t>Vocês são contra ou a favor de dar mesada aos filhos? A partir de que idade?</t>
  </si>
  <si>
    <t>Os EUA quebra em 20 dias #crisemundial #grandereset #investimentos #educacaofinanceira #dinheiro https://t.co/neONFyclT8</t>
  </si>
  <si>
    <t>Um erro gravíssimo que irá prejudicar sua #saude #financeira é confiar em cartão de crédito e cheque especial, ambos possuem juros altíssimos que começam como uma bole de neve e que sem o devido cuidado transformam-se em uma avalanche. #Investimentos #educacaofinanceira</t>
  </si>
  <si>
    <t>Educação financeira é essencial para alcançar a estabilidade financeira. Ter o controle das suas finanças é uma habilidade fundamental para garantir a sua tranquilidade financeira e para alcançar seus objetivos de vida.#educacaofinanceira #planejamentofinanceiro #financaspessoais</t>
  </si>
  <si>
    <t>O que é e o que faz a CVM? 🤔
Entrevista completa 👇
https://t.co/N3ZE2e9hmf
#institutocivitas #civitaslive #cvm #educaçãofinanceira https://t.co/Z3IVUGkeda</t>
  </si>
  <si>
    <t>🔍 Com a crescente aceitação e inovação no espaço das criptomoedas, é crucial acompanhar as tendências e notícias do mercado. Mantenha-se informado e tome decisões financeiras bem fundamentadas. #EducaçãoFinanceira #Investimentos</t>
  </si>
  <si>
    <t>Siga a VINCO para mais dicas e dê os primeiros passos rumo à saúde financeira. Lembre-se: pequenas mudanças podem trazer resultados incríveis a longo prazo! 💪🌈 #SaudeFinanceira #EducaçãoFinanceira</t>
  </si>
  <si>
    <t>O vídeo sobre 𝐄𝐝𝐮𝐜𝐚𝐜̧𝐚̃𝐨 𝐅𝐢𝐧𝐚𝐧𝐜𝐞𝐢𝐫𝐚😉já se encontra disponível no 𝐘𝐨𝐮𝐓𝐮𝐛𝐞 🎥
Vídeo disponível em https://t.co/rWdmVrbiWq
#Descomplica #Finanças #Economia #Gestão #Dinheiro #Mercado #YouTube #Investimentos #EducaçãoFinanceira https://t.co/P06vSxShbY</t>
  </si>
  <si>
    <t>𝐍𝐨𝐯𝐨 𝐩𝐨𝐬𝐭 𝐝𝐢𝐬𝐩𝐨𝐧𝐢́𝐯𝐞𝐥 🔔
"Investimento é abdicar de algo hoje para poder gastar amanhã." 😉
𝐂𝐨𝐧𝐭𝐢𝐧𝐮𝐚 𝐚 𝐥𝐞𝐫 𝐞𝐦 https://t.co/un88G4vyzR
#Descomplica #Finanças #Economia #Gestão #Dinheiro #Mercado #YouTube #Investimentos #EducaçãoFinanceira https://t.co/leleSbjjyR</t>
  </si>
  <si>
    <t>#finance #liberdadefinanceira #personalfinance #mercadofinanceiro #finances #educacaofinanceira #independenciafinanceira #planejamentofinanceiro #refinance #sucessofinanceiro https://t.co/93yAcgAtic</t>
  </si>
  <si>
    <t>#FinançasPessoais #Dinheiro #Investimentos #EducaçãoFinanceira #PlanejamentoFinanceiro https://t.co/GVuhtEE4QQ</t>
  </si>
  <si>
    <t>TRÊS investimentos para sair da Caderneta de Poupança. 
#Poupança
#CadernetaDePoupança
#EducaçãoFinanceira
#Investimentos
#FinançasPessoais
#DicasFinanceiras
#Economia
#RendaFixa
#Dinheiro
#ControleFinanceiro https://t.co/QIP03VoTFh</t>
  </si>
  <si>
    <t>Né? 
NÃO É SOBRE SER RICO OU SER MILIONÁRIO! 
NÃO É SOBRE DINHEIRO,
É SOBRE LIBERDADE 
Link na Bio
#AcademiaDoDinheiro #investir #b3 #ações #fii #LiberdadeFinanceira #educaçãofinanceira #aposentadoria #mepoupe #primorico #rendaextra
https://t.co/ujih2aDAde</t>
  </si>
  <si>
    <t>#FinançasPessoais #Dinheiro #Investimentos #EducaçãoFinanceira #PlanejamentoFinanceiro https://t.co/Hu9vhzxpsd</t>
  </si>
  <si>
    <t>#FinancasPessoais
#ControleFinanceiro
#LiberteSuasFinancas
#InvestimentoEmSiMesmo
#EducacaoFinanceira
#PlanejamentoFinanceiro
#DicasEconomicas
#ReservaDeEmergencia https://t.co/TaDMadlJ0N</t>
  </si>
  <si>
    <t>Qual o propósito do Dinheiro?
#PropositoDoDinheiro
#UsoResponsavelDoDinheiro
#EducacaoFinanceira
#IndependenciaFinanceira
#InvestimentosInteligentes
#RealizacaoDeSonhos
#EquilibrioFinanceiro
#ConscienciaFinanceira https://t.co/LYhbgB7pCq</t>
  </si>
  <si>
    <t>Enquanto eles falam, você constrói.
#Dividendos
#Investimentos
#Ações
#RendaPassiva
#Investidores
#FinançasPessoais
#BolsadeValores
#IndependênciaFinanceira
#MercadoFinanceiro
#EducaçãoFinanceira https://t.co/FFZbPItQy8</t>
  </si>
  <si>
    <t>#educacaofinanceira
#rendapassiva</t>
  </si>
  <si>
    <t>Bom dia investidores! Mercados seguem em tons mistos, aguardando o PIB nos EUA e ansiando uma definição quanto ao teto de gastos por lá 
#Economedicos #Finanças #Financas #FinancasPessoais #LiberdadeFinanceira #Economia
E hoje? Quem vence? Medo ou ganância?</t>
  </si>
  <si>
    <t>Bom dia investidores! Mercados sem uma direção única hoje, às vésperas de feriado na Àsia e analisando resultados trimestrais em NY e por aqui
#Economedicos #Finanças #Financas #FinancasPessoais #LiberdadeFinanceira #Economia
E hoje? Quem vence? Medo ou ganância?</t>
  </si>
  <si>
    <t>Bom dia investidores! Os mercados iniciam a semana com viés positivo, aguardando resultados do setor financeiro Americano com a repercussão da crise do SVB
#Economedicos #Finanças #Financas #FinancasPessoais #LiberdadeFinanceira #Economia
E hoje? Quem vence? Medo ou ganância?</t>
  </si>
  <si>
    <t>Bom dia investidores! Os mercados amanhecem negativos com aversão ao risco, preocupados com o cenário econômico de juros altos impactando fortemente a economia 
#Economedicos #Finanças #Financas #FinancasPessoais #LiberdadeFinanceira #Economia
E hoje? Medo ou ganância?</t>
  </si>
  <si>
    <t>Bom dia investidores! Os mercados estão operando negativos nesta manhã, ainda repercutindo as perspectivas para os juros nos EUA
#Economedicos #Finanças #Financas #FinancasPessoais #LiberdadeFinanceira #Economia
E hoje? Quem vence? Medo ou ganância?</t>
  </si>
  <si>
    <t>Bom dia investidores! Os mercados amanhecem positivos hoje no último dia do Forum Econômico Mundial e com perspectiva de reabertura total na China
#Economedicos #Finanças #Financas #FinancasPessoais #LiberdadeFinanceira #Economia
E hoje? Quem vence? Medo ou ganância?</t>
  </si>
  <si>
    <t>Bom dia investidores! Os mercados amanhecem em compasso de espera com um otimismo cauteloso, aguardando números da inflação nos EUA. Por aqui, rombo de R$ 20 bi nas Americanas faz CEO renunciar
#Economedicos #Finanças #Financas #FinancasPessoais #LiberdadeFinanceira #Economia</t>
  </si>
  <si>
    <t>Bom dia investidores! Mercados futuros estão em alta hoje pela manhã, aguardando dados de inflação nos EUA na expectativa de que os juros possam parar de subir por lá
#Economedicos #Finanças #Financas #FinancasPessoais #LiberdadeFinanceira #Economia</t>
  </si>
  <si>
    <t>Bom dia investidores! Os mercados amanhecem positivos com notícias de reabertura total na China. Por aqui seguem monitorando a repercussão dos protestos e do vandalismo em Brasília
#Economedicos #Finanças #Financas #FinancasPessoais #LiberdadeFinanceira #Economia</t>
  </si>
  <si>
    <t>Bom dia investidores! Os mercados operam próximo à estabilidade aguardando o payroll Americano que deve nortear a política de juros por lá  
#Economedicos #Finanças #Financas #FinancasPessoais #LiberdadeFinanceira #Economia
E hoje? Quem vence? Medo ou ganância?</t>
  </si>
  <si>
    <t>Bom dia investidores! Os mercados amanhecem sem direção única, aguardando a fala de membros do FED e repercutindo a alta nos mercados Asiáticos depois que o governo Chinês divulgou que terá foco no crescimento da economia 
#Economedicos #Finanças #Financas #FinancasPessoais</t>
  </si>
  <si>
    <t>Bom dia investidores! Os mercados amanhecem em tons mistos hoje ponderando os resultados corporativos e as perspectivas futuras 
#Economedicos #Finanças #Financas #FinancasPessoais #LiberdadeFinanceira #Economia
E hoje? Quem vence? Medo ou ganância?</t>
  </si>
  <si>
    <t>Bom dia investidores! A semana se inicia com mercados majoritariamente positivos em dia de pregão mais curto nos EUA 
#Economedicos #Finanças #Financas #FinancasPessoais #LiberdadeFinanceira #Economia
E hoje? Quem vence? Medo ou ganância?</t>
  </si>
  <si>
    <t>Bom dia investidores! Os mercados estão em compasso de espera, sem direção única, aguardando a divulgação da taxa de juros nos EUA 
#Economedicos #Finanças #Financas #FinancasPessoais #LiberdadeFinanceira #Economia
E hoje? Quem vence? Medo ou ganância?</t>
  </si>
  <si>
    <t>Bom dia investidores! Os mercados iniciam a semana positivos aguardando decisões importantes nos bancos centrais pelo mundo 
#Economedicos #Finanças #Financas #FinancasPessoais #LiberdadeFinanceira #Economia
E hoje? Quem vence? Medo ou ganância?</t>
  </si>
  <si>
    <t>Bom dia investidores! As bolsas estão em leve queda hoje mas a expectativa por aqui é de alta
#Economedicos #Finanças #Financas #FinancasPessoais #LiberdadeFinanceira #Economia
E hoje? Quem vence? Medo ou ganância?</t>
  </si>
  <si>
    <t>Bom dia investidores! Todos os olhos direcionados para as decisões de juros nessa “Super quarta”
#Economedicos #Finanças #Financas #FinancasPessoais #LiberdadeFinanceira #Economia
E hoje? Quem vence? Medo ou ganância?</t>
  </si>
  <si>
    <t>Bom dia investidores! Os mercados amanhecem negativos hoje pela repercussão da crise bancária nos EUA enquanto aguardam a decisão dos juros na “super quarta”
#Economedicos #Finanças #Financas #FinancasPessoais #LiberdadeFinanceira #Economia
E hoje? Quem vence? Medo ou ganância?</t>
  </si>
  <si>
    <t>Bom dia investidores! Os mercados iniciam a semana cautelosos com as perspectivas econômicas mundiais enquanto aguardam dados dos EUA e Zona do Euro
#Economedicos #Finanças #Financas #FinancasPessoais #LiberdadeFinanceira #Economia
E hoje? Quem vence? Medo ou ganância?</t>
  </si>
  <si>
    <t>Bom dia investidores! Hoje os mercados amanhecem positivos com o alívio trazido pela notícia de que os bancos com problemas serão socorridos
#Economedicos #Finanças #Financas #FinancasPessoais #LiberdadeFinanceira #Economia
E hoje? Quem vence? Medo ou ganância?</t>
  </si>
  <si>
    <t>Bom dia investidores! Os mercados amanhecem sem uma direção única, ponderando que uma crise leve pode reduzir a curva de juros nas uma forte crise pode trazer recessão 
#Economedicos #Finanças #Financas #FinancasPessoais #LiberdadeFinanceira #Economia
E hoje? Quem vence?</t>
  </si>
  <si>
    <t>Olá investidores! As bolsas mundiais estão em queda neste momento com preocupações com o sistema bancário e suas repercussões que agora atingem o Credit Suisse
#Economedicos #Finanças #Financas #FinancasPessoais #LiberdadeFinanceira #Economia
E hoje? Quem vence?</t>
  </si>
  <si>
    <t>Bom dia investidores! Os mercados amanhecem sem sentido único, analisando as repercussões da quebra de dois bancos nos EUA 
#Economedicos #Finanças #Financas #FinancasPessoais #LiberdadeFinanceira #Economia
E hoje? Quem vence? Medo ou ganância?</t>
  </si>
  <si>
    <t>Bom dia investidores! Os mercados amanhecem em compasso de espera, aguardando dados econômicos nos EUA. Por aqui seguem as discussões sobre o salário mínimo e a lei das Estatais 
#Economedicos #Finanças #Financas #FinancasPessoais #LiberdadeFinanceira #Economia</t>
  </si>
  <si>
    <t>Bom dia investidores! Os mercados amanhecem apreensivos pela redução no crescimento do PIB Chinês 
#Economedicos #Finanças #Financas #FinancasPessoais #LiberdadeFinanceira #Economia
E hoje? Quem vence? Medo ou ganância?</t>
  </si>
  <si>
    <t>Bom dia investidores! O feriado nos EUA retira liquidez dos mercados que amanhecem levemente positivos 
#Economedicos #Finanças #Financas #FinancasPessoais #LiberdadeFinanceira #Economia
E hoje? Quem vence? Medo ou ganância?</t>
  </si>
  <si>
    <t>Bom dia investidores! Os mercados iniciam essa sexta-feira 13 levemente positivos, aguardando divulgação do resultado dos grandes bancos nos EUA e otimistas quanto à China
#Economedicos #Finanças #Financas #FinancasPessoais #LiberdadeFinanceira #Economia
E hoje? Quem vence?</t>
  </si>
  <si>
    <t>Bom dia investidores! Os mercados amanhecem ainda com aversão a risco, acompanhando o desdobramento da crise imobiliária na China
#Economedicos #Finanças #Financas #FinancasPessoais #LiberdadeFinanceira #Economia
E hoje? Quem vence? Medo ou ganância?</t>
  </si>
  <si>
    <t>Bom dia investidores! Os mercados amanhecem majoritariamente positivos hoje, em véspera de CPI que deve balizar os juros nos EUA
#Economedicos #Finanças #Financas #FinancasPessoais #LiberdadeFinanceira #Economia
E hoje? Quem vence? Medo ou ganância?</t>
  </si>
  <si>
    <t>Bom dia investidores! Os mercados amanhecem em baixa, após a agência Fitch reduzir a classificação dos EUA. Por aqui, aguardamos a decisão do COPOM
#Economedicos #Finanças #Financas #FinancasPessoais #LiberdadeFinanceira #Economia
E hoje? Quem vence? Medo ou ganância?</t>
  </si>
  <si>
    <t>Bom dia investidores! Notícias de novos estímulos vindo da China animam os mercados mundiais
#Economedicos #Finanças #Financas #FinancasPessoais #LiberdadeFinanceira #Economia
E hoje? Quem vence? Medo ou ganância?</t>
  </si>
  <si>
    <t>Bom dia investidores! Os mercados amanhecem em sua maioria em alta, com bons dados de inflação na Europa e acompanhando os resultados corporativos
#Economedicos #Finanças #Financas #FinancasPessoais #LiberdadeFinanceira #Economia
E hoje? Quem vence? Medo ou ganância?</t>
  </si>
  <si>
    <t>Bom dia investidores! Mercados majoritariamente negativos hoje aguardando dados devendas no varejo e produção industrial nos EUA enquanto acompanham a temporada de balanços e repercutem notícias ruins do mercado Chinês 
#Economedicos #Finanças #Financas #FinancasPessoais</t>
  </si>
  <si>
    <t>Bom dia investidores! Os mercados amanhecem em queda hoje preocupados com o crescimento mais lento da China
#Economedicos #Finanças #Financas #FinancasPessoais #LiberdadeFinanceira #Economia
E hoje? Quem vence? Medo ou ganância?</t>
  </si>
  <si>
    <t>Bom dia investidores! Mercados amanhecem positivos nesta sexta-feira, aguardando dados de inflação nos EUA
#Economedicos #Finanças #Financas #FinancasPessoais #LiberdadeFinanceira #Economia
E hoje? Quem vence? Medo ou ganância?</t>
  </si>
  <si>
    <t>Bom dia investidores! A quinta-feira amanhece timidamente positiva com mercados avaliando o tom firme dos bancos centrais pelo mundo enquanto aguardam mais dados econômicos 
#Economedicos #Finanças #Financas #FinancasPessoais #LiberdadeFinanceira #Economia</t>
  </si>
  <si>
    <t>Bom dia investidores! Com agenda esvaziada os mercados operam em tons mistos
#Economedicos #Finanças #Financas #FinancasPessoais #LiberdadeFinanceira #Economia
E hoje? Quem vence? Medo ou ganância?</t>
  </si>
  <si>
    <t>Bom dia investidores! Os mercados amanhecem positivos, com a expectativa de acordo nos EUA e com a perspectiva de incentivos na economia Chinesa
#Economedicos #Finanças #Financas #FinancasPessoais #LiberdadeFinanceira #Economia
E hoje? Quem vence? Medo ou ganância?</t>
  </si>
  <si>
    <t>Bom dia investidores! Os mercados estão sem uma direção única hoje, ainda de olho no teto de gastos dos EUA, em dados econômicos Europeus e no aumento do PIB  Japonês 
#Economedicos #Finanças #Financas #FinancasPessoais #LiberdadeFinanceira #Economia
E hoje? Quem vence?</t>
  </si>
  <si>
    <t>Bom dia investidores! Os mercados amanhecem majoritariamente negativos hoje, aguardando dados que indiquem recuperação ou recessão à frente  
#Economedicos #Finanças #Financas #FinancasPessoais #LiberdadeFinanceira #Economia
E hoje? Quem vence? Medo ou ganância?</t>
  </si>
  <si>
    <t>Bom dia investidores! Os mercados amanhecem positivos em sua maioria hoje, com alívio sobre a crise bancária e boas perspectivas sobre empresas tech na China
#Economedicos #Finanças #Financas #FinancasPessoais #LiberdadeFinanceira #Economia
E hoje? Quem vence? Medo ou ganância?</t>
  </si>
  <si>
    <t>Bom dia investidores! Os mercados amanhecem mistis hoje oscilando entre a desconfiança no futuro e o alívio da crise bancária 
#Economedicos #Finanças #Financas #FinancasPessoais #LiberdadeFinanceira #Economia
E hoje? Quem vence? Medo ou ganância?</t>
  </si>
  <si>
    <t>Bom dia investidores! Os mercados amanhecem em queda novamente pela manutenção da preocupação com o sistema bancário e de olho nas tensões geopolíticas entre EUA e China
#Economedicos #Finanças #Financas #FinancasPessoais #LiberdadeFinanceira #Economia
E hoje? Quem vence?</t>
  </si>
  <si>
    <t>Bom dia investidores! Os mercados estão majoritariamente positivos hoje, aguardando dados econômicos nos EUA e acompanhando a temporada de balanços 
#Economedicos #Finanças #Financas #FinancasPessoais #LiberdadeFinanceira #Economia
E hoje? Quem vence? Medo ou ganância?</t>
  </si>
  <si>
    <t>Bom dia investidores! Os mercados amanhecem levemente positivos, aguardando o discurso do presidente do FED hoje às 14h30 (horário de Brasília)
#Economedicos #Finanças #Financas #FinancasPessoais #LiberdadeFinanceira #Economia
E hoje? Quem vence? Medo ou ganância?</t>
  </si>
  <si>
    <t>Bom dia investidores! Os mercados amanhecem em sua maioria em baixa, após dados do emprego nos EUA surpreenderem e forçarem o FED a manter a austeridade na condução dos juros 
#Economedicos #Finanças #Financas #FinancasPessoais #LiberdadeFinanceira #Economia</t>
  </si>
  <si>
    <t>Bom dia investidores! Os mercados iniciam a semana positivos aguardando o PIB nos EUA e repercutindo estímulos na China 
#financas #economedicos #finanças #financaspessoais #liberdadefinanceira #economia
E hoje? Quem vence? O medo ou a ganância?</t>
  </si>
  <si>
    <t>Bom dia investidores! Os mercados amanhecem em baixa em sua maioria, por preocupações com desempenho abaixo do esperado na economia da China
#Economedicos #Finanças #Financas #FinancasPessoais #LiberdadeFinanceira #Economia
E hoje? Quem vence? Medo ou ganância?</t>
  </si>
  <si>
    <t>Bom dia investidores! Os mercados iniciam a semana sem direção única, acompanhando dados de inflação pelo mundo
#Economedicos #Finanças #Financas #FinancasPessoais #LiberdadeFinanceira #Economia
E hoje? Quem vence? Medo ou ganância?</t>
  </si>
  <si>
    <t>Bom dia investidores! Os mercados amanhecem em baixa, aguardando números dos balanços de grandes empresas 
#Economedicos #Finanças #Financas #FinancasPessoais #LiberdadeFinanceira #Economia
E hoje? Quem vence? Medo ou ganância?</t>
  </si>
  <si>
    <t>Bom dia investidores! Mercados iniciam a semana positivos, aguardando dados do emprego nos EUA e observando o efeito dos estímulos na economia da China
#Economedicos #Finanças #Financas #FinancasPessoais #LiberdadeFinanceira #Economia
E hoje? Quem vence? Medo ou ganância?</t>
  </si>
  <si>
    <t>Bom dia investidores! Os mercados amanhecem majoritariamente positivos nessa sexta-feira sem grandes indicadores econômicos
#Economedicos #Finanças #Financas #FinancasPessoais #LiberdadeFinanceira #Economia
E hoje? Quem vence? Medo ou ganância?</t>
  </si>
  <si>
    <t>Bom dia investidores! Os mercados amanhecem com viés negativo após dados de inflação muito baixa na China
#Economedicos #Finanças #Financas #FinancasPessoais #LiberdadeFinanceira #Economia
E hoje? Quem vence? Medo ou ganância?</t>
  </si>
  <si>
    <t>Bom dia investidores! Com as bolsas Americanas fechadas por feriado, os mercados iniciam a semana em leve queda, aguardando dados econômicos 
#Economedicos #Finanças #Financas #FinancasPessoais #LiberdadeFinanceira #Economia
E hoje? Quem vence? Medo ou ganância?</t>
  </si>
  <si>
    <t>Bom dia investidores! Os mercados iniciam a sexta-feira positivos, aliviados com o fim do impasse do teto de gastos nos EUA 
#Economedicos #Finanças #Financas #FinancasPessoais #LiberdadeFinanceira #Economia
E hoje? Quem vence? Medo ou ganância?</t>
  </si>
  <si>
    <t>Bom dia investidores! O mês se inicia com mercados majoritariamente positivos com a aprovação da suspensão do teto de gastos nos EUA - texto agora vai ao Senado 
#Economedicos #Finanças #Financas #FinancasPessoais #LiberdadeFinanceira #Economia</t>
  </si>
  <si>
    <t>Bom dia investidores! Mercados iniciam a semana positivos mas ainda de olho nos indicadores com receio de uma recessão 
#Economedicos #Finanças #Financas #FinancasPessoais #LiberdadeFinanceira #Economia
E hoje? Quem vence? Medo ou ganância?</t>
  </si>
  <si>
    <t>Bom dia investidores! As bolsas amanhecem em sua maioria positivas, recuperando-se das quedas de ontem mas ainda de olho na economia Americana e no risco de recessão
#Economedicos #Finanças #Financas #FinancasPessoais #LiberdadeFinanceira #Economia
E hoje? Quem vence?</t>
  </si>
  <si>
    <t>Bom dia investidores! Mercados futuros em alta hoje aguardando mais dados de inflação e acompanhando os balanços corporativos 
#Economedicos #Finanças #Financas #FinancasPessoais #LiberdadeFinanceira #Economia
E hoje? Quem vence? Medo ou ganância?</t>
  </si>
  <si>
    <t>Bom dia investidores! Os mercados amanhecem positivos  hoje digerindo a alta do petróleo e aguardando dados econômicos. Na geopolítica, Putin ameaça retaliações pela adesão da Finlândia à OTAN 
#Economedicos #Finanças #Financas #FinancasPessoais #LiberdadeFinanceira #Economia</t>
  </si>
  <si>
    <t>Bom dia investidores! A semana repleta de PMIs se inicia com a notícia do corte na produção de petróleo que deve elevar o risco de mais inflação pelo mundo
#Economedicos #Finanças #Financas #FinancasPessoais #LiberdadeFinanceira #Economia
E hoje? Quem vence? Medo ou ganância?</t>
  </si>
  <si>
    <t>Bom dia investidores! Os mercados amanhecem positivos hoje, apostando em uma pausa na alta de juros após às turbulências recentes
#Economedicos #Finanças #Financas #FinancasPessoais #LiberdadeFinanceira #Economia
E hoje? Quem vence? Medo ou ganância?</t>
  </si>
  <si>
    <t>Bom dia investidores! Os mercados amanhecem negativos hoje, preocupados com uma postura mais Hawkish do Federal Reserve em relação aos juros após fortes dados da economia Americana alimentando o dilema: “É bom mas é ruim”
#Economedicos #Finanças #Financas #FinancasPessoais</t>
  </si>
  <si>
    <t>Bom dia investidores! Bolsas amanhecem em queda nesta sexta-feira, com agenda esvaziada e retorno da preocupação com os juros altos no mundo
#Economedicos #Finanças #Financas #FinancasPessoais #LiberdadeFinanceira #Economia
E hoje? Quem vence? Medo ou ganância?</t>
  </si>
  <si>
    <t>Bom dia investidores! Mercados amanhecem positivos hoje analisando os efeitos dos dados econômicos e seus efeitos sobre a inflação. Destaque para o Bitcoin que está acima dos US$ 24 mil
#Economedicos #Finanças #Financas #FinancasPessoais #LiberdadeFinanceira #Economia</t>
  </si>
  <si>
    <t>Bom dia investidores! Os mercados estão majoritariamente negativos nesta manhã, repercutindo o CPI divulgado ontem que mantém as perspectivas de juros altos por mais tempo
#Economedicos #Finanças #Financas #FinancasPessoais #LiberdadeFinanceira #Economia
E hoje? Quem vence?</t>
  </si>
  <si>
    <t>Bom dia investidores! Sem indicadores relevantes na agenda, mercados amanhecem levemente positivos 
#Economedicos #Finanças #Financas #FinancasPessoais #LiberdadeFinanceira #Economia
E hoje? Quem vence? Medo ou ganância?</t>
  </si>
  <si>
    <t>Bom dia investidores! Os mercados amanhecem em sua maioria em alta, aguardando dados de inflação e resultados da Nvidia
#Economedicos #Finanças #Financas #FinancasPessoais #LiberdadeFinanceira #Economia
E hoje? Quem vence? Medo ou ganância?</t>
  </si>
  <si>
    <t>Bom dia investidores! Os mercados iniciam a terça-feira em alta num movimento de rebote, enquanto aguardam mais dados econômicos 
#Economedicos #Finanças #Financas #FinancasPessoais #LiberdadeFinanceira #Economia
E hoje? Quem vence? Medo ou ganância?</t>
  </si>
  <si>
    <t>Bom dia investidores! Os mercados amanhecem positivos no ocidente sem muitos indicadores e negativos na Ásia 
#Economedicos #Finanças #Financas #FinancasPessoais #LiberdadeFinanceira #Economia
E hoje? Quem vence? Medo ou ganância?</t>
  </si>
  <si>
    <t>Bom dia investidores! Os futuros Americanos e Europeus operam em ligeira alta enquanto os mercados asiáticos fecharam em queda por preocupações com o mercado imobiliário Chinês 
#Economedicos #Finanças #Financas #FinancasPessoais #LiberdadeFinanceira #Economia</t>
  </si>
  <si>
    <t>Bom dia investidores! Os mercados amanhecem em baixa hoje com dados ruins da balança comercial na China e aguardando pelos sinais que indiquem os próximos passos do FED
#Economedicos #Finanças #Financas #FinancasPessoais #LiberdadeFinanceira #Economia
E hoje? Quem vence?</t>
  </si>
  <si>
    <t>Bom dia investidores! A segunda feira se inicia em compasso de espera com uma semana cheia de indicadores importantes
#Economedicos #Finanças #Financas #FinancasPessoais #LiberdadeFinanceira #Economia
E hoje? Quem vence? Medo ou ganância?</t>
  </si>
  <si>
    <t>Bom dia investidores! Os mercados amanhecem positivos na expectativa da temporada de balanços corporativos 
#Economedicos #Finanças #Financas #FinancasPessoais #LiberdadeFinanceira #Economia
E hoje? Quem vence? Medo ou ganância?</t>
  </si>
  <si>
    <t>Bom dia investidores! Os mercados amanhecem positivos hoje com a perspectiva de que o ciclo de alta dos juros nos EUA pode estar perto do fim
#Economedicos #Finanças #Financas #FinancasPessoais #LiberdadeFinanceira #Economia
E hoje? Quem vence? Medo ou ganância?</t>
  </si>
  <si>
    <t>Bom dia investidores! Os mercados amanhecem sem sentido único, aguardando a fala de Powell e ponderando o aumento de restrições no comércio EUA x China em setores sensíveis como o de chips
#Economedicos #Finanças #Financas #FinancasPessoais #LiberdadeFinanceira #Economia</t>
  </si>
  <si>
    <t>Bom dia investidores! Os mercados amanhecem majoritariamente positivos, aguardando dados econômicos e pistas sobre o caminho dos Bancos Centrais
#Economedicos #Finanças #Financas #FinancasPessoais #LiberdadeFinanceira #Economia
E hoje? Quem vence? Medo ou ganância?</t>
  </si>
  <si>
    <t>Bom dia investidores! Os mercados amanhecem sem uma direção única repercutindo a queda nas exportações da China 
#Economedicos #Finanças #Financas #FinancasPessoais #LiberdadeFinanceira #Economia
E hoje? Quem vence? Medo ou ganância?</t>
  </si>
  <si>
    <t>Bom dia investidores! Os mercados amanhecem mistos aguardando a definição do teto de gastos e a divulgação do PMI nos EUA 
#Economedicos #Finanças #Financas #FinancasPessoais #LiberdadeFinanceira #Economia
E hoje? Quem vence? Medo ou ganância?</t>
  </si>
  <si>
    <t>Bom dia investidores! Os mercados iniciam a semana andando de lado na expectativa das negociações sobre o teto de gastos nos EUA
#Economedicos #Finanças #Financas #FinancasPessoais #LiberdadeFinanceira #Economia
E hoje? Quem vence? Medo ou ganância?</t>
  </si>
  <si>
    <t>Bom dia investidores! Os mercados amanhecem sem um sentido único, na expectativa dos dados de inflação nos EUA e de olho nas provocações mútuas entre eles e a China em relação a Taiwan
#Economedicos #Finanças #Financas #FinancasPessoais #LiberdadeFinanceira #Economia</t>
  </si>
  <si>
    <t>Bom dia investidores! Nesse último dia útil da semana, as bolsas amanhecem cautelosas, sem direção definida pelo risco de recessão nos EUA 
#Economedicos #Finanças #Financas #FinancasPessoais #LiberdadeFinanceira #Economia
E hoje? Quem vence? Medo ou ganância?</t>
  </si>
  <si>
    <t>Bom dia investidores! Os mercados amanhecem com viés negativo hoje, aguardando mais dados do emprego nos EUA 
#Economedicos #Finanças #Financas #FinancasPessoais #LiberdadeFinanceira #Economia
E hoje? Quem vence? Medo ou ganância?</t>
  </si>
  <si>
    <t>Bom dia investidores! Os mercados estão levemente positivos hoje, aguardando dados de inflação nos EUA e repercutindo a entrevista de RCN 
#Economedicos #Finanças #Financas #FinancasPessoais #LiberdadeFinanceira #Economia
E hoje? Quem vence? Medo ou ganância?</t>
  </si>
  <si>
    <t>Bom dia investidores! Mercados amanhecem majoritariamente em baixa com resultados corporativos fracos trazendo de volta o temor de recessão 
#Economedicos #Finanças #Financas #FinancasPessoais #LiberdadeFinanceira #Economia
E hoje? Quem vence? Medo ou ganância?</t>
  </si>
  <si>
    <t>Bom dia investidores! Os mercados amanhecem positivos iniciando uma semana repleta de indicadores de inflação 
#Economedicos #Finanças #Financas #FinancasPessoais #LiberdadeFinanceira #Economia
E hoje? Quem vence? Medo ou ganância?</t>
  </si>
  <si>
    <t>Bom dia investidores! O mês se inicia com viés positivo com mercados aguardando o payroll. Por aqui, o aumento de gastos sem contrapartida preocupa
#Economedicos #Finanças #Financas #FinancasPessoais #LiberdadeFinanceira #Economia
E hoje? Quem vence? Medo ou ganância?</t>
  </si>
  <si>
    <t>Bom dia investidores! Os mercados futuros operam mistos nessa manhã, aguardando dados econômicos que direcionem as expectativas, principalmente nos EUA e na China
#Economedicos #Finanças #Financas #FinancasPessoais #LiberdadeFinanceira #Economia
E hoje? Quem vence?</t>
  </si>
  <si>
    <t>Bom dia investidores! Os mercados operam mistos nessa manhã, repercutindo ainda a ata do FED e aguardando novos dados econômicos como os pedidos semanais de seguro-desemprego nos EUA 
#Economedicos #Finanças #Financas #FinancasPessoais #LiberdadeFinanceira #Economia</t>
  </si>
  <si>
    <t>Bom dia investidores! Os mercados futuros dos EUA iniciaram o dia em alta mas viraram na expectativa da ata do FED e de dados econômicos 
#Economedicos #Finanças #Financas #FinancasPessoais #LiberdadeFinanceira #Economia
E hoje? Quem vence? Medo ou ganância?</t>
  </si>
  <si>
    <t>Bom dia investidores! Mercados amanhecem positivos em sua maioria à espera do payroll
#Economedicos #Finanças #Financas #FinancasPessoais #LiberdadeFinanceira #Economia
E hoje? Quem vence? Medo ou ganância?</t>
  </si>
  <si>
    <t>Bom dia investidores! Os mercados seguem em baixa em sua maioria ainda repercutindo o rebaixamento do rating dos EUA
#Economedicos #Finanças #Financas #FinancasPessoais #LiberdadeFinanceira #Economia
E hoje? Quem vence? Medo ou ganância?</t>
  </si>
  <si>
    <t>Bom dia investidores! Os mercados amanhecem positivos hoje aguardando dados da inflação nos EUA e ponderando os estímulos na China
#Economedicos #Finanças #Financas #FinancasPessoais #LiberdadeFinanceira #Economia
E hoje? Quem vence? Medo ou ganância?</t>
  </si>
  <si>
    <t>Bom dia investidores! Mercados em tons positivos hoje com a esperança de que os dados de inflação indiquem a possibilidade de redução nas taxas de juros pelos Bancos Centrais 
#Economedicos #Finanças #Financas #FinancasPessoais #LiberdadeFinanceira #Economia</t>
  </si>
  <si>
    <t>Bom dia investidores! Os mercados iniciam a semana em queda por preocupações com a repercussão da rebelião na Rússia e com dados fracos da economia Chinesa 
#Economedicos #Finanças #Financas #FinancasPessoais #LiberdadeFinanceira #Economia
E hoje? Quem vence? Medo ou ganância?</t>
  </si>
  <si>
    <t>Bom dia investidores! Os mercados seguem apreensivos após o discurso severo de Powell frustrando expectativas 
#Economedicos #Finanças #Financas #FinancasPessoais #LiberdadeFinanceira #Economia
E hoje? Quem vence? Medo ou ganância?</t>
  </si>
  <si>
    <t>Bom dia investidores! Os mercados amanhecem negativos após o discurso de Powell mostrar uma preocupação com a inflação e a recessão ainda, além de uma inversão na curva de juros nos EUA 
#Economedicos #Finanças #Financas #FinancasPessoais #LiberdadeFinanceira #Economia</t>
  </si>
  <si>
    <t>Bom dia investidores! Os mercados amanhecem voláteis aguardando o discurso de Powell e por aqui a decisão do Copom que deve manter a taxa de juros mas dar pistas sobre os próximos movimentos 
#Economedicos #Finanças #Financas #FinancasPessoais #LiberdadeFinanceira #Economia</t>
  </si>
  <si>
    <t>Bom dia investidores! Mercados operam em compasso de espera, aguardando números da inflação nos EUA que devem nortear a política de juros do FED
#Economedicos #Finanças #Financas #FinancasPessoais #LiberdadeFinanceira #Economia
E hoje? Quem vence? Medo ou ganância?</t>
  </si>
  <si>
    <t>Bom dia investidores! Os mercados amanhecem em baixa hoje digerindo dados econômicos e seus efeitos sobre os juros
#Economedicos #Finanças #Financas #FinancasPessoais #LiberdadeFinanceira #Economia
E hoje? Quem vence? Medo ou ganância?</t>
  </si>
  <si>
    <t>Bom dia investidores! A semana se inicia majoritariamente positiva com mercados aguardando dados de inflação e acompanhando os balanços corporativos  
#Economedicos #Finanças #Financas #FinancasPessoais #LiberdadeFinanceira #Economia
E hoje? Quem vence? Medo ou ganância?</t>
  </si>
  <si>
    <t>Bom dia investidores! Os mercados estão positivos com dados econômicos nos EUA  
#Economedicos #Finanças #Financas #FinancasPessoais #LiberdadeFinanceira #Economia
E hoje? Quem vence? Medo ou ganância?</t>
  </si>
  <si>
    <t>Bom dia investidores! As bolsas amanhecem em sua maioria em alta, digerindo uma decisão de juros sem surpresas pelo FED
#Economedicos #Finanças #Financas #FinancasPessoais #LiberdadeFinanceira #Economia
E hoje? Quem vence? Medo ou ganância?</t>
  </si>
  <si>
    <t>Bom dia investidores! Os mercados amanhecem em compasso de espera nessa “super” quarta aguardando as decisões de juros, de olho nos dados de inflação 
#Economedicos #Finanças #Financas #FinancasPessoais #LiberdadeFinanceira #Economia
E hoje? Quem vence? Medo ou ganância?</t>
  </si>
  <si>
    <t>Bom dia investidores! Os mercados iniciam a semana em baixa, apreensivos com a crise de confiança nos bancos
#Economedicos #Finanças #Financas #FinancasPessoais #LiberdadeFinanceira #Economia
E hoje? Quem vence? Medo ou ganância?</t>
  </si>
  <si>
    <t>Bom dia investidores! Os mercados amanhecem em queda hoje aguardando o Payroll e repercutindo alguns resultados corporativos fracos divulgados ontem após o fechamento 
#Economedicos #Finanças #Financas #FinancasPessoais #LiberdadeFinanceira #Economia
E hoje? Quem vence?</t>
  </si>
  <si>
    <t>Bom dia investidores! Os mercados amanhecem em baixa, na expectativa da super quarta, mais pelas entrelinhas do que pela manutenção da taxa que já é esperada nos EUA. Por aqui a eleição da mesa diretora no Senado está em foco
#Economedicos #Finanças #Financas #FinancasPessoais</t>
  </si>
  <si>
    <t>Bom dia investidores! A semana se inicia com mercados em baixa, tentando descobrir até quando os juros vão subir nos EUA e de que maneira a economia da Europa vai se comportar já que o PIB da Alemanha caiu mais que o esperado 
#Economedicos #Finanças #Financas #FinancasPessoais</t>
  </si>
  <si>
    <t>Bom dia investidores! Os mercados estão sem uma direção única hoje, aguardando dados econômicos e digerindo resultados corporativos fracos para as gigantes Tech
#Economedicos #Finanças #Financas #FinancasPessoais #LiberdadeFinanceira #Economia
E hoje? Quem vence?</t>
  </si>
  <si>
    <t>Bom dia investidores! Os mercados amanhecem levemente otimistas, aguardando dados do PIB Americano 
#Economedicos #Finanças #Financas #FinancasPessoais #LiberdadeFinanceira #Economia
E hoje? Quem vence? Medo ou ganância?</t>
  </si>
  <si>
    <t>Bom dia investidores! Com poucos indicadores econômicos e a China ainda com bolsas fechadas pelo feriado, as atenções se voltam para a divulgação de balanços hoje nos EUA
#Economedicos #Finanças #Financas #FinancasPessoais #LiberdadeFinanceira #Economia</t>
  </si>
  <si>
    <t>Bom dia investidores! Os mercados amanhecem levemente negativos hoje aguardando dados do PMI da zona do euro  
#Economedicos #Finanças #Financas #FinancasPessoais #LiberdadeFinanceira #Economia
E hoje? Quem vence? Medo ou ganância?</t>
  </si>
  <si>
    <t>Bom dia investidores! Com a maior parte das bolsas da Ásia fechadas hoje, mercados Americanos e Europeus estão próximos à estabilidade 
#Economedicos #Finanças #Financas #FinancasPessoais #LiberdadeFinanceira #Economia
E hoje? Quem vence? Medo ou ganância?</t>
  </si>
  <si>
    <t>Bom dia investidores! Os mercados futuros operam mistos aguardando dados de inflação nos EUA que devem nortear a política de juros por lá 
#Economedicos #Finanças #Financas #FinancasPessoais #LiberdadeFinanceira #Economia
E hoje? Quem vence? Medo ou ganância?</t>
  </si>
  <si>
    <t>Bom dia investidores! Os mercados amanhecem em baixa nessa volta do feriado nos EUA, repercutindo dados ruins do setor de serviços na China
#Economedicos #Finanças #Financas #FinancasPessoais #LiberdadeFinanceira #Economia
E hoje? Quem vence? Medo ou ganância?</t>
  </si>
  <si>
    <t>Bom dia investidores! Os mercados amanhecem positivos no ocidente, aguardando a inflação nos EUA, enquanto dados da China pesam nos mercados Asiáticos 
#Economedicos #Finanças #Financas #FinancasPessoais #LiberdadeFinanceira #Economia
E hoje? Quem vence? Medo ou ganância?</t>
  </si>
  <si>
    <t>Bom dia investidores! Os mercados nos EUA e Europa iniciam a sexta-feira em alta à espera de Powell enquanto na Ásia fecharam em queda
#Economedicos #Finanças #Financas #FinancasPessoais #LiberdadeFinanceira #Economia
E hoje? Quem vence? Medo ou ganância?</t>
  </si>
  <si>
    <t>Bom dia investidores! Os mercados amanhecem positivos hoje com resultados acima do esperado para Nvidia que impulsiona outros fabricantes de chip pelo mundo
#Economedicos #Finanças #Financas #FinancasPessoais #LiberdadeFinanceira #Economia
E hoje? Quem vence? Medo ou ganância?</t>
  </si>
  <si>
    <t>Bom dia investidores! Os mercados estão em sua maioria em queda, preocupados com o rumo da inflação nos EUA e com a capacidade da economia Chinesa
#Economedicos #Finanças #Financas #FinancasPessoais #LiberdadeFinanceira #Economia
E hoje? Quem vence? Medo ou ganância?</t>
  </si>
  <si>
    <t>Bom dia investidores! Os mercados amanhecem positivos, aguardando dados de inflação e emprego nos EUA 
#Economedicos #Finanças #Financas #FinancasPessoais #LiberdadeFinanceira #Economia
E hoje? Quem vence? Medo ou ganância?</t>
  </si>
  <si>
    <t>Bom dia investidores! Os mercados amanhecem positivos em sua maioria nesta sexta-feira, com a expectativa de dados da inflação nos EUA e a notícia de que o Banco Central do Japão manteve a sua taxa de juros
#Economedicos #Finanças #Financas #FinancasPessoais #LiberdadeFinanceira</t>
  </si>
  <si>
    <t>Bom dia investidores! Os mercados amanhecem positivos com bons resultados de Meta e otimistas com o FED
#Economedicos #Finanças #Financas #FinancasPessoais #LiberdadeFinanceira #Economia
E hoje? Quem vence? Medo ou ganância?</t>
  </si>
  <si>
    <t>Bom dia investidores! Os mercados amanhecem nesta quarta-feira em baixa, com cautela antes da divulgação da decisão do FED sobre a taxa de juros nos EUA
#Economedicos #Finanças #Financas #FinancasPessoais #LiberdadeFinanceira #Economia
E hoje? Quem vence? Medo ou ganância?</t>
  </si>
  <si>
    <t>Bom dia investidores! Os mercados amanhecem em queda nessa sexta-feira, vivendo o paradoxo do “se está bom, está ruim!”
#Economedicos #Finanças #Financas #FinancasPessoais #LiberdadeFinanceira #Economia
E hoje? Quem vence? Medo ou ganância?</t>
  </si>
  <si>
    <t>Bom dia investidores! Os futuros estão em queda nesse momento na expectativa da Ata do FOMC e com pessimismo em relação à China
#Economedicos #Finanças #Financas #FinancasPessoais #LiberdadeFinanceira #Economia
E hoje? Quem vence? Medo ou ganância?</t>
  </si>
  <si>
    <t>Bom dia investidores! Os mercados operam sem direção única e com a expectativa de menor volume de negócios já que as bolsas Americanas estão fechadas por feriado 
#Economedicos #Finanças #Financas #FinancasPessoais #LiberdadeFinanceira #Economia
E hoje? Quem vence?</t>
  </si>
  <si>
    <t>Bom dia investidores! Mercados amanhecem positivos hoje aguardando a votação que deve consolidar o acordo sobre o teto da dívida nos EUA 
#Economedicos #Finanças #Financas #FinancasPessoais #LiberdadeFinanceira #Economia
E hoje? Quem vence? Medo ou ganância?</t>
  </si>
  <si>
    <t>Bom dia investidores! Bolsas iniciam a semana em um tom positivo pelo acordo sobre o teto da dívida nos EUA mas com os mercados fechados por lá por causa do feriado 
#Economedicos #Finanças #Financas #FinancasPessoais #LiberdadeFinanceira #Economia
#Ibovespa</t>
  </si>
  <si>
    <t>Bom dia investidores! Mercados amanhecem sem sentido único, ainda aguardando a definição do teto de gastos nos EUA e também novos indicadores econômicos 
#Economedicos #Finanças #Financas #FinancasPessoais #LiberdadeFinanceira #Economia
E hoje? Quem vence? Medo ou ganância?</t>
  </si>
  <si>
    <t>Bom dia investidores! Os mercados amanhecem sem direção única hoje, ponderando os riscos da nova ordem mundial e seus efeitos colaterais na economia
#Economedicos #Finanças #Financas #FinancasPessoais #LiberdadeFinanceira #Economia
E hoje? Quem vence? Medo ou ganância?</t>
  </si>
  <si>
    <t>Bom dia investidores! Os mercados amanhecem majoritariamente positivos, repercutindo dados positivos da economia Chinesa 
#Economedicos #Finanças #Financas #FinancasPessoais #LiberdadeFinanceira #Economia
E hoje? Quem vence? Medo ou ganância?</t>
  </si>
  <si>
    <t>Bom dia investidores! Mercados estão majoritariamente em alta, aguardando o segundo dia da sabatina de Powell, digerindo o seu posicionamento mais hawkish ontem 
#Economedicos #Finanças #Financas #FinancasPessoais #LiberdadeFinanceira #Economia
E hoje? Medo ou ganância?</t>
  </si>
  <si>
    <t>Bom dia investidores! Os mercados amanhecem positivos, aguardando a sabatina do presidente do FED no congresso dos EUA 
#Economedicos #Finanças #Financas #FinancasPessoais #LiberdadeFinanceira #Economia
E hoje? Quem vence? Medo ou ganância?</t>
  </si>
  <si>
    <t>Bom dia investidores! Os mercados iniciam a semana em tons mistos, aguardando o tom do discurso de Jerome Powell no congresso americano e digerindo a meta “baixa” de crescimento Chinês 
#Economedicos #Finanças #Financas #FinancasPessoais #LiberdadeFinanceira #Economia</t>
  </si>
  <si>
    <t>Bom dia investidores! Os mercados estão positivos nessa manhã, repercutindo dados econômicos positivos 
#Economedicos #Finanças #Financas #FinancasPessoais #LiberdadeFinanceira #Economia
E hoje? Quem vence? Medo ou ganância?</t>
  </si>
  <si>
    <t>Bom dia investidores! Os mercados estão majoritariamente em queda preocupados com a inflação que tem dado sinais de difícil controle e pode exigir maior alta de juros
#Economedicos #Finanças #Financas #FinancasPessoais #LiberdadeFinanceira #Economia</t>
  </si>
  <si>
    <t>Bom dia investidores! Os mercados iniciam o mês em alta, com bons dados econômicos vindos da China 
#Economedicos #Finanças #Financas #FinancasPessoais #LiberdadeFinanceira #Economia
E hoje? Quem vence? Medo ou ganância?</t>
  </si>
  <si>
    <t>Bom dia investidores! Os mercados abrem o último dia de fevereiro majoritariamente em baixa, preocupados com as taxas de juros 
#Economedicos #Finanças #Financas #FinancasPessoais #LiberdadeFinanceira #Economia
E hoje? Quem vence? Medo ou ganância?</t>
  </si>
  <si>
    <t>Bom dia investidores! Os mercados amanhecem negativos aguardando dados da inflação nos EUA em meio à alta do petróleo 
#Economedicos #Finanças #Financas #FinancasPessoais #LiberdadeFinanceira #Economia
E hoje? Quem vence? Medo ou ganância?</t>
  </si>
  <si>
    <t>Bom dia investidores! Os mercados amanhecem mistos na volta fo feriado nos EUA, aguardando dados econômicos e por aqui, de olho no Copom e na possível sinalização de queda da Selic no futuro 
#Economedicos #Finanças #Financas #FinancasPessoais #LiberdadeFinanceira #Economia</t>
  </si>
  <si>
    <t>Bom dia investidores! Mercados amanhecem sem direção única, aguardando a decisão de juros do BCE e repercutindo a manutenção da taxa nos EUA 
#Economedicos #Finanças #Financas #FinancasPessoais #LiberdadeFinanceira #Economia
E hoje? Quem vence? Medo ou ganância?</t>
  </si>
  <si>
    <t>Bom dia investidores! Mercados amanhecem em queda na expectativa da votação do teto de gastos nos EUA e repercutindo o PMI abaixo do esperado na China
#Economedicos #Finanças #Financas #FinancasPessoais #LiberdadeFinanceira #Economia
E hoje? Quem vence? Medo ou ganância?</t>
  </si>
  <si>
    <t>Bom dia investidores! Os mercados amanhecem em queda hoje, aguardando a ata do Comitê de Política Monetária dos EUA (FOMC) e impacientes com o impasse no teto de gastos por lá 
#Economedicos #Finanças #Financas #FinancasPessoais #LiberdadeFinanceira #Economia</t>
  </si>
  <si>
    <t>Bom dia investidores! Mercados em tons mistos hoje aguardando dados econômicos 
#Economedicos #Finanças #Financas #FinancasPessoais #LiberdadeFinanceira #Economia
E hoje? Quem vence? Medo ou ganância?</t>
  </si>
  <si>
    <t>Bom dia investidores! Os mercados iniciam a sexta-feira cautelosos com a desaceleração da economia Americana mas na Ásia o sentimento foi positivo com a manutenção dos juros pelo BoJ
#Economedicos #Finanças #Financas #FinancasPessoais #LiberdadeFinanceira #Economia</t>
  </si>
  <si>
    <t>Bom dia investidores! Mercados amanhecem positivos aguardando o PIB nos EUA e a sequência de resultados corporativos 
#Economedicos #Finanças #Financas #FinancasPessoais #LiberdadeFinanceira #Economia
E hoje? Quem vence? Medo ou ganância?</t>
  </si>
  <si>
    <t>Bom dia investidores! Os mercados amanhecem em compasso de espera, aguardando o resultado trimestral dos grandes bancos Americanos 
#Economedicos #Finanças #Financas #FinancasPessoais #LiberdadeFinanceira #Economia
E hoje? Quem vence? Medo ou ganância?</t>
  </si>
  <si>
    <t>Bom dia investidores! Os mercados amanhecem de bom humor, aguardando mais dados da inflação nos EUA e dos sinais que possam indicar os rumos da política de juros 
#Economedicos #Finanças #Financas #FinancasPessoais #LiberdadeFinanceira #Economia
E hoje? Quem vence?</t>
  </si>
  <si>
    <t>Bom dia investidores! Os mercados amanhecem animados nesta quarta-feira, aguardando dados de inflação nos EUA enquanto o bom humor também parece seguir por aqui 
#Economedicos #Finanças #Financas #FinancasPessoais #LiberdadeFinanceira #Economia
E hoje? Quem vence?</t>
  </si>
  <si>
    <t>Bom dia investidores! Os mercados amanhecem majoritariamente positivos em uma recuperação parcial das fortes perdas da última semana  
#Economedicos #Finanças #Financas #FinancasPessoais #LiberdadeFinanceira #Economia
E hoje? Quem vence? Medo ou ganância?</t>
  </si>
  <si>
    <t>Bom dia investidores! Os mercados amanhecem em queda em sua maioria hoje aguardando dados econômicos e de olho nas questões geopolíticas internacionais 
#Economedicos #Finanças #Financas #FinancasPessoais #LiberdadeFinanceira #Economia
E hoje? Quem vence? Medo ou ganância?</t>
  </si>
  <si>
    <t>Bom dia investidores! Os mercados amanhecem em tons mistos, aguardando dados econômicos e notícias do G20. Por aqui, os frigoríficos são afetados por caso de doença da “vaca louca” em Marabá (PA)
#Economedicos #Finanças #Financas #FinancasPessoais #LiberdadeFinanceira #Economia</t>
  </si>
  <si>
    <t>Bom dia investidores! Os mercados amanhecem positivos hoje aguardando dados econômicos nos EUA e digerindo uma inflação abaixo do esperado na França e a previsão de novos estímulos do governo Chinês
#Economedicos #Finanças #Financas #FinancasPessoais #LiberdadeFinanceira</t>
  </si>
  <si>
    <t>Bom dia investidores! Mercados amanhecem positivos no retorno à normalidade hoje após o feriado em várias bolsas pelo mundo
#Economedicos #Finanças #Financas #FinancasPessoais #LiberdadeFinanceira #Economia
E hoje? Quem vence? Medo ou ganância?</t>
  </si>
  <si>
    <t>Você sabe a importância da educação financeira para a família? Descubra com Eduardo Schroeder
Quer ficar por dentro de notícias como essa? Nos segue!
#educacaofinanceira #familia #EduardoSch
 Link da notícia: https://t.co/OFl3A45U0w</t>
  </si>
  <si>
    <t>2/ 🏢 1. Educação Financeira: Promover treinamentos e workshops para funcionários e stakeholders sobre os benefícios e riscos do CRI. Conhecimento é poder! #EducaçãoFinanceira</t>
  </si>
  <si>
    <t>2/ 📌 Passo 1: Educação. Antes de tudo, entenda o que é investimento responsável. Leia publicações, participe de seminários e converse com especialistas. #EducaçãoFinanceira</t>
  </si>
  <si>
    <t>Aproveita o final de semana para aprender como cuidar do seu patrimônio de forma eficaz.
O e-book é gratuito: https://t.co/cCr7L4jH2B 
#sextou #finaldesemana #ebook #investimentos #investirnoexterior #negócios #empreendedor #educaçãofinanceira #comoinvestirnoexterior https://t.co/FbpsK971ll</t>
  </si>
  <si>
    <t>Existem diversas formas de ganhar dinheiro online, e a escolha depende dos seus interesses, habilidades e disposição para trabalhar.
#FinançasPessoais #Investimentos #EducaçãoFinanceira #TesouroDireto #FundosdeInvestimento #Ações #RendaFixa #Diversificação #PlanejamentoFinanceiro https://t.co/bkp5XXHbvw</t>
  </si>
  <si>
    <t>Existem várias regras que determinam quando e como você pode sacar o FGTS (Fundo de Garantia por Tempo de Serviço). 
#finanças #dinheiro #investimentos #economia #riqueza #negócios #investir #liberdadefinanceira #educaçãofinanceira #sucesso #planejamentofinanceiro https://t.co/UR93Oud0AM</t>
  </si>
  <si>
    <t>Muzambinhense é "alertado" sobre compra de R$ 4 mil, mas escapa a tempo de golpe virtual - https://t.co/6Va3RiCjcI #jornaljogoserio #golpe #estelionato #Crime #INTERNET #online #adistancia #virtual #prejuizos #financaspessoais #perdas #vitima #autoria #ocorrenciapolicial https://t.co/fFuN7Q6HMb</t>
  </si>
  <si>
    <t>Guaxupeano é vítima de estelionato em transação feita com conta rackeada - https://t.co/bTTlXhZh0O #jornaljogoserio #estelionato #Golpe #ViaInternet #Crime #delito #ocorrenciapolicial #investigacaocriminal #prejuizo #financaspessoais #financeiro #pmmg #pcmg #cirmevirtual https://t.co/GTy1YEm4h1</t>
  </si>
  <si>
    <t>Os casamentos estão cada vez maiores e mais caros. Mais de 50% das noivas apontam para um janela entre 101 e 150 convidados e um orçamento entre os 10 mil e os 30 mil euros. A média de idades das noivas aproxima-se dos 31 anos.
Saiba mais aqui https://t.co/17SXxnAo0Z https://t.co/3wwDmYUHTQ</t>
  </si>
  <si>
    <t>APP Fluxo de Caixa 
#fluxodecaixa #educacaofinanceira #Finance  #conscienciafinanceira https://t.co/PCqoTfqSlA</t>
  </si>
  <si>
    <t>Pra quem quiser aprender sobre #finanças e #educação financeira. #Cursos gratuitos da @B3_Oficial 
https://t.co/M1zFc9OejE
#educacaofinanceira #curso #economia #Investimentos #Investimento</t>
  </si>
  <si>
    <t>Feliz miércoles compartiendo mi grafica de QQQ tenemos noticas hoy que mover el mercado y dar oportunidades para ser diner. #qqqetf #stockoptions #stockoptionstrader #educacion #educacaofinanceira #enespañol https://t.co/axe0HPQ1Rw</t>
  </si>
  <si>
    <t>Apples nos dio la quebra y prueba que estabamos buscando vamos a ver si hoy sigue subiendo para arriba. #applestock #educacion #educacaofinanceira #enespañol #stockoptions #stockoptionstrader https://t.co/pyUDXBzdOy</t>
  </si>
  <si>
    <t>Apple nos dio impulso para arriba de quatro puntos es importante que le ponga atención a los tiempos mas Aaltos para tener la historia total. #applestock #stockoptions #stockoptionstrader #educacion #educacaofinanceira #enespañol https://t.co/B1BF2rsjU9</t>
  </si>
  <si>
    <t>QQQ nos dio un movimiento de 13 puntos esta semana la estructura y el movimiento era perfecto!!! #qqqetf #stockoptions #stockoptionstrader #educacion #educacaofinanceira #enespañol https://t.co/JwA55qCDEe</t>
  </si>
  <si>
    <t>Nas100 horita esta respatando un nivel de las 4 horas quiero ver si el precio sigue respetando ese nivel o si lo va quebrar y dar los la prueba. #nas100📈 #educacaofinanceira #educacionfinanciera #enespañol https://t.co/F94Gmp4FGu</t>
  </si>
  <si>
    <t>"Assuma o controle de suas finanças! Comece definindo metas financeiras, criando um orçamento e monitorando seus gastos. O planejamento financeiro pessoal é a chave para alcançar estabilidade e segurança financeira #planejamentofinanceiro #finançaspessoais #metasfinanceiras"</t>
  </si>
  <si>
    <t>Uma escolha te afasta da outra…
VOCÊ PEGA O CELULAR:
❌ Segue perfis duvidosos
✅ Segue o @financaspessoais</t>
  </si>
  <si>
    <t>Any Ortiz: omeçando a semana tratando de um dos assuntos que eu mais defendo: educação financeira!
Veja no Instagram de @ortizany https://t.co/tiyo4ZgVSA #educacaofinanceira</t>
  </si>
  <si>
    <t>Listas de tarefas, um truque desatualizado? #Notícias #carreira #desatualizado #Finançaspessoais #gerenciamento  https://t.co/n7OcRUaf3n</t>
  </si>
  <si>
    <t>Ali, vamos repassar dicas de como começar a cuidar do dinheiro de hoje e de amanhã através de investimentos globais, como os ETFs.
Cadastre-se e boa aula!
#ETF #Investimento #Crianças #EducaçãoFinanceira #Curso #B3</t>
  </si>
  <si>
    <t>Queremos construir a maior comunidade de experts em vida financeira do Brasil. Por isso, tá rolando 🤑 descontão de 70% 🤑 no curso “Como cuidar do seu dinheiro”. Basta assinar a news da Gruppi e pronto!
Assine agora mesmo ➡️ https://t.co/ElGCIX8TYo
#educacaofinanceira #curso… https://t.co/cPGlFE1xvO</t>
  </si>
  <si>
    <t>A Semana Nacional da Educação Financeira já está no ar!​
Até o dia 21 de maio, a CAPEMISA vai trazer assuntos para te ajudar a entender sobre como se planejar melhor financeiramente.
Confira nosso vídeo com boas práticas no link: https://t.co/W8ie5BF04L​
​
#EducAçãoFinanceira</t>
  </si>
  <si>
    <t>Seu futuro financeiro começa agora! Invista em sua educação financeira, estude sobre investimentos e controle suas finanças com um orçamento inteligente. Aprenda a fazer suas finanças trabalharem por você! 💼💰 #educaçãofinanceira #investimentos</t>
  </si>
  <si>
    <t>Você sabia que pequenos hábitos diários podem ajudá-lo a melhorar sua vida financeira? Comece a economizar dinheiro, faça suas compras com sabedoria e acompanhe seus gastos para atingir suas metas financeiras. 💰💡 #finanças #educaçãofinanceira</t>
  </si>
  <si>
    <t>Não espere mais para começar a melhorar sua vida financeira. Comece hoje mesmo, estabelecendo metas, controlando seus gastos e criando um orçamento. Cada pequena ação faz diferença! 💸💰 #finanças #educaçãofinanceira</t>
  </si>
  <si>
    <t>Você sabia que uma consultoria financeira pode ajudar a identificar pontos de desperdício em seus gastos e otimizar seus investimentos? Consulte um especialista para obter um plano personalizado para sua situação financeira! 💸 #educaçãofinanceira #finanças</t>
  </si>
  <si>
    <t>Quer melhorar sua vida financeira? Comece controlando seus gastos, estabelecendo metas realistas, criando um orçamento e investindo em sua educação financeira. Pequenas mudanças de hábito podem fazer uma grande diferença no longo prazo! 💰💸 #finanças #educaçãofinanceira</t>
  </si>
  <si>
    <t>Não adie mais a melhoria da sua vida financeira. Comece hoje mesmo a mudar seus hábitos e tomar decisões inteligentes com o dinheiro. 💰💪 #finançaspessoais #controlefinanceiro</t>
  </si>
  <si>
    <t>Não sabe por onde começar seu planejamento financeiro? Confira essas dicas para te ajudar a criar um plano eficaz para suas finanças pessoais. Acesse o insta: @euluisconsultor 💪💸 #finançaspessoais #planejamentofinanceiro</t>
  </si>
  <si>
    <t>Novo app grátis de controle de finanças pessoais inspirado no livro pai rico, pai pobre
#pairico #financaspessoais #apps #richpoor #rico #primorico #RobertKyosaki #appfinanceiro #iPhone #Android #fluxodecaixa #gastos #comoenriquecer #livropairico
https://t.co/y4TgQsV9IK</t>
  </si>
  <si>
    <t>1-Sabe qual a diferença entre dívida do governo e da família?
Este é um dos temas abordados no curso de educação fiscal oferecido pelo @InescOficial @AFOCEFE @IJFiscal e @justiciafiscal, o qual participei e vou dar um spoiler:
(link para o curso gratuito no final do fio) https://t.co/WdF3eI7tz6</t>
  </si>
  <si>
    <t>Não importa onde você esteja financeiramente hoje, sempre há tempo para mudar sua situação. Vamos juntos aprender sobre educação financeira e conquistar a independência financeira! #educaçãofinanceira #independenciafinanceira</t>
  </si>
  <si>
    <t>Refletir sobre os erros financeiros familiares é fundamental para uma vida financeira saudável. Evite-os e conquiste seus objetivos! 💰💪 #EducaçãoFinanceira #Planejamento #FamíliaFinanceira #ErrosFinanceiros https://t.co/iMKekhUGDh</t>
  </si>
  <si>
    <t>Nos próximos vídeos, vamos responder algumas dúvidas bem comuns para quem vai entregar Declaração do Imposto de Renda Pessoa Física. Nesse de hoje, vamos falar de quem trabalhou como CLT e PJ ao longo de 2022!
.
.
#impostoderenda #irpf2023 #irpf #contabilidade #financaspessoais https://t.co/nDUY7tUOWJ</t>
  </si>
  <si>
    <t>#PowerHash
#mineraçãodecriptomoedas
#criptomoedas
#bitcoin
#tether
#altcoin
#rendapassiva
#independênciafinanceira
#riqueza
#investimento
#finançaspessoais https://t.co/BFhgvYkXZX</t>
  </si>
  <si>
    <t>O conhecimento é a chave para realizar sonhos e atingir metas 💡 
Pensando nisso, separamos uma lista com alguns dos melhores livros sobre finanças e mindset para te inspirar. 
 #Lanistar #LanistarBrasil #EducaçãoFinanceira</t>
  </si>
  <si>
    <t>Corra que ainda há tempo, o sistema vai quebrar. #primorico #jimorico #finanças #educaçãofinanceira https://t.co/e918olPglA</t>
  </si>
  <si>
    <t>Nem sempre o mais barato é a melhor opção, leve em consideração a distância...
#brasilia #educacaofinanceira  #gastos https://t.co/SxNI3IhhXJ</t>
  </si>
  <si>
    <t>#educaçãofinanceira #dinheiro #warrenbuffett #jimsimmons #riqueza #fortuna #ricos #investimentos</t>
  </si>
  <si>
    <t>@wheelercrf eu pago tudo em dia cara kkkkkkkkk e nunca compro nada alem do que posso pagar #EducaçãoFinanceira</t>
  </si>
  <si>
    <t>🎯Defina objetivos financeiros claros e mensuráveis para você e seu negócio. Eles servirão como guia na busca pela independência financeira! 🏆 #ObjetivosFinanceiros #Independência #palestra #educaçaofinanceira</t>
  </si>
  <si>
    <t>📚  A educação financeira deve ser uma prática constante. Invista em cursos, livros e mentorias para se manter atualizado! 🎓 #EducaçãoFinanceira #Aprendizado #sebrae #empreender #palestra</t>
  </si>
  <si>
    <t>🤔💼 Já parou para pensar no impacto da educação financeira nas empresas? Será que estamos realmente investindo no futuro de nossos colaboradores e, consequentemente, no crescimento sustentável de nossos negócios? 🌱
💰 Faça parte da mudança!  #EducaçãoFinanceira</t>
  </si>
  <si>
    <t>📈 70% dos empreendedores não separam as finanças pessoais das empresariais. Precisamos mudar essa realidade para garantir o crescimento sustentável dos negócios! 💪 #FinançasPessoais #PessoaJurídica #empreendedorismo #empreender #rh #empresario</t>
  </si>
  <si>
    <t>📚 A educação financeira é a chave para transformar sua vida e seu negócio! Vamos explorar o poder dessa ferramenta juntos! 💼🚀 #EducaçãoFinanceira #Empreendedores #grandesp #empresario #rh</t>
  </si>
  <si>
    <t>preocupante ver  o aumento do endividamento, o setor ainda não está dando o apoio necessário à educação financeira e ao consumo inteligente. Por que será que essa questão é ignorada? Compartilhe suas opiniões sobre como o setor pode contribuir para uma mud
#EducaçãoFinanceira</t>
  </si>
  <si>
    <t>Um futuro onde empreendedores e funcionários dominam suas finanças, criando empresas sustentáveis e melhorando a vida de todos, é possível com a educação financeira! 🌍💫 #Futuro #EducaçãoFinanceira #empreendedores #empreender #rh #palestra</t>
  </si>
  <si>
    <t>Janeiro é sempre um mês muito conturbado em relação ao dinheiro né?
Para nos dar uma ajudinha, o educador financeiro Thiago Martello está no Bendita Hora junto ao Padre Lúcio Cesquin.
Vem assistir!
.
.
#finanças #educaçãofinanceira #dividas https://t.co/UkkHhQ1964</t>
  </si>
  <si>
    <t>#dicas de #educaçãofinanceira  #finançaspessoais  #shortvideo https://t.co/N8Url7EA3v via @YouTube</t>
  </si>
  <si>
    <t>📊 Você Sabia?: 8 em cada 10 pessoas não têm um orçamento mensal. Comece o mês planejando seus gastos e evite surpresas desagradáveis. Uma organização simples pode ser o primeiro passo para a riqueza! #FinançasPessoais #FNSConselhos https://t.co/h77ENH3bVq</t>
  </si>
  <si>
    <t>Conheça o poder dos juros compostos e como utilizá-los a seu favor nos investimentos. Aprenda a transformar pequenas quantias em grandes fortunas com o tempo.
Você já ouviu falar sobre o poder dos juros compostos? #educaçãofinanceira #investimentos
https://t.co/9DAGE7y4f7 https://t.co/tHAmkxuyeM</t>
  </si>
  <si>
    <t>Conheça o poder dos juros compostos e como utilizá-los a seu favor nos investimentos. Aprenda a transformar pequenas quantias em grandes fortunas com o tempo. Você já ouviu falar sobre o poder dos juros compostos?
#educaçãofinanceira #investimentos
https://t.co/PAeSTDPYp8 https://t.co/nfQrWA63Rm</t>
  </si>
  <si>
    <t>Um Bom filme que indico para falar sobre finanças com as crianças é o filme Red crescer é uma fera. 
É possível falar sobre geração de renda, como criar metas e poupar dinheiro. Além de que o filme é muito divertido!!!
@disneyplusbr
@disney
#educaçãoinfantil 
#educaçãofinanceira https://t.co/QuRe2obZ1v</t>
  </si>
  <si>
    <t>Auto conhecimento é tudo comece colocando no papel ou planilha tudo o que vc deseja para sua vida. Depois liste seus hábitos semanais e detalhe suas finanças.
 #investimento #planejamentofinanceiro 
#planejamento #educaçãofinanceira https://t.co/9y9LDd2y96</t>
  </si>
  <si>
    <t>O quanto antes ensinarmos as crianças sobre dinheiro mais saudável será sua relação com ele.
#educacaoinfantil #educaçãofinanceira #dinheiro #Finanças #finançasfamiliar #financaspessoais 
#educacao #equilíbrio #equilibriofinanceiro #investimento #educabrasil https://t.co/WYohpRR0g6</t>
  </si>
  <si>
    <t>Invista em sua educação financeira. Leia livros e faça cursos sobre finanças pessoais e investimentos. Quanto mais você souber sobre o assunto, mais preparado estará para tomar decisões financeiras inteligentes. #economia #investimentos #educaçãofinanceira #conhecimento.</t>
  </si>
  <si>
    <t>Alunos cerveirenses entre os vencedores das Olimpíadas de Educação Financeira ⬇️
https://t.co/Lnhn63twUP 
#cerveira #nopouparestaoganho #educacaofinanceira #olimpiadaseducacaofinanceira #alunos</t>
  </si>
  <si>
    <t>Turmas da CIM Alto Minho entre os vencedores das Olimpíadas de Educação Financeira ⬇️
https://t.co/ybPGm2VPBG 
#altominho #educacaofinanceira #cimaltominho #vencedores #alunos #nopouparestaoganho</t>
  </si>
  <si>
    <t>Encerrando mais uma Turma CPA-20 com o compromisso de educar, qualificar, motivar, falar umas verdades ;)
.
.
.
#cpa20
#anbima 
#investimento 
#educação 
#educacaofinanceira 
#aprovação
#motivacao 
#motivação 
#bancos 
#mercadofinanceiro
https://t.co/p0llI1MITN</t>
  </si>
  <si>
    <t>Como funciona a tributação na holding rural?
#AgroTimes #Agronegócio #FinançasPessoais
https://t.co/CjLZjqqkJe</t>
  </si>
  <si>
    <t>Passo 4:Eduque-se e busque apoio profissional. Invista em conhecimento financeiro, leia livros e busque informações confiáveis. Além disso, considere a ajuda de um profissional financeiro para orientá-lo em seu plano e otimizar seus resultados. #EducaçãoFinanceira</t>
  </si>
  <si>
    <t>Gostou do conteúdo?
Segue aê ➡️ @workshopdantas
#educacaofinanceira #empreendedor #dinheiro #finanças #reflexao #empreendedorismo #vendermais #organizacaofinanceira #rendaextra #rendaextraemcasa #marketingdigital #vendedor #direita #conservador @roxmo https://t.co/Q1ucx4Xvon</t>
  </si>
  <si>
    <t>A casa caiu pra @LulaOficial
Gostou do conteúdo?
Segue aê ➡️ @workshopdantas
#educacaofinanceira #empreendedor #dinheiro #finanças #reflexao #empreendedorismo #vendermais #organizacaofinanceira #rendaextra #marketingdigital #vendedor #direita #conservador #hugocarvajal https://t.co/JLBv6RNJnv</t>
  </si>
  <si>
    <t>Gostou do conteúdo?
Segue aê ➡️ @workshopdantas
#educacaofinanceira #empreendedor #dinheiro #finanças #reflexao #empreendedorismo #vendermais #organizacaofinanceira #rendaextra #rendaextraemcasa #marketingdigital #vendedor #direita #conservador @rmotta2 https://t.co/bMIoHTQCnE</t>
  </si>
  <si>
    <t>Gostou do conteúdo?
Segue aê ➡️ @workshopdantas
#educacaofinanceira #empreendedor #dinheiro #finanças #reflexao #empreendedorismo #vendermais #organizacaofinanceira #rendaextra #rendaextraemcasa #marketingdigital #vendedor #direita #conservador #billygraham https://t.co/8MUedB9RJ9</t>
  </si>
  <si>
    <t>Gostou do conteúdo?
Segue aê ➡️ @workshopdantas
#educacaofinanceira #empreendedor #dinheiro #finanças #reflexao #empreendedorismo #vendermais #organizacaofinanceira #rendaextra #rendaextraemcasa #marketingdigital #vendedor #direita #conservador #elonmusk https://t.co/ZsOl04FZD0</t>
  </si>
  <si>
    <t>Gostou do conteúdo?
Segue aê ➡️ @workshopdantas
#educacaofinanceira #empreendedor #dinheiro #finanças #reflexao #empreendedorismo #vendermais #organizacaofinanceira #rendaextra #rendaextraemcasa #marketingdigital #vendedor #direita #conservador #flaviodinocomunista https://t.co/XfZPoGBbdQ</t>
  </si>
  <si>
    <t>Gostou do conteúdo?
Segue aê ➡️ @workshopdantas
#educacaofinanceira #empreendedor #dinheiro #finanças #reflexao #empreendedorismo #vendermais #organizacaofinanceira #rendaextra #rendaextraemcasa #marketingdigital #vendedor #sportrecife #maiordonordeste https://t.co/KZEUlt17Qz</t>
  </si>
  <si>
    <t>Gostou do conteúdo?
Segue aê ➡️ @workshopdantas
#educacaofinanceira #empreendedor #dinheiro #finanças #reflexao #empreendedorismo #vendermais #organizacaofinanceira #rendaextra #rendaextraemcasa #marketingdigital #vendedor #direita #conservador #SoundOfFreedom https://t.co/yJerz5PDMz</t>
  </si>
  <si>
    <t>Gostou do conteúdo?
Segue aê ➡️ @workshopdantas
#educacaofinanceira #empreendedor #dinheiro #finanças #reflexao #empreendedorismo #vendermais #organizacaofinanceira #rendaextra #rendaextraemcasa #marketingdigital #vendedor #direita #conservador #petralha https://t.co/pzdSPQPiTy</t>
  </si>
  <si>
    <t>Gostou do conteúdo?
Segue aê ➡️ @workshopdantas
#educacaofinanceira #empreendedor #dinheiro #finanças #reflexao #empreendedorismo #vendermais #organizacaofinanceira #rendaextra #rendaextraemcasa #marketingdigital #vendedor #direita #conservador #JanVanEllam https://t.co/HYrgcHys3x</t>
  </si>
  <si>
    <t>Gostou do conteúdo?
Segue aê ➡️ @workshopdantas
#educacaofinanceira #empreendedor #dinheiro #finanças #reflexao #empreendedorismo #vendermais #organizacaofinanceira #rendaextra #rendaextraemcasa #marketingdigital #vendedor #direita #conservador #alanwatts https://t.co/7ba0naLJQC</t>
  </si>
  <si>
    <t>Gostou do conteúdo?
Segue aê ➡️ @workshopdantas
#educacaofinanceira #empreendedor #dinheiro #finanças #reflexao #empreendedorismo #vendermais #organizacaofinanceira #rendaextra #rendaextraemcasa #marketingdigital #vendedor #direita #conservador #rogerscruton https://t.co/WwEr4p8MMp</t>
  </si>
  <si>
    <t>Gostou do conteúdo?
Segue aê ➡️ @workshopdantas
#educacaofinanceira #empreendedor #dinheiro #finanças #reflexao #empreendedorismo #vendermais #organizacaofinanceira #rendaextra #rendaextraemcasa #marketingdigital #vendedor #direita #conservador #fazueli https://t.co/brVp3APExQ</t>
  </si>
  <si>
    <t>Gostou do conteúdo?
Segue aê ➡️ @workshopdantas
#educacaofinanceira #empreendedor #dinheiro #finanças #reflexao #empreendedorismo #vendermais #organizacaofinanceira #rendaextra #rendaextraemcasa #marketingdigital #vendedor #direita #conservador #stevenlawson https://t.co/mk7D9lamHX</t>
  </si>
  <si>
    <t>Gostou do conteúdo?
Segue aê ➡️ @workshopdantas
#educacaofinanceira #empreendedor #dinheiro #finanças #reflexao #empreendedorismo #vendermais #organizacaofinanceira #rendaextra #rendaextraemcasa #marketingdigital #vendedor #direita #conservador https://t.co/AHvfbl4sBc</t>
  </si>
  <si>
    <t>Gostou do conteúdo?
Segue aê ➡️ @workshopdantas
#educacaofinanceira #empreendedor #dinheiro #finanças #reflexao #empreendedorismo #vendermais #organizacaofinanceira #rendaextra #rendaextraemcasa #marketingdigital #vendedor #direita #conservador #brasil #santacruz #feminina https://t.co/H5bSnoCzZD</t>
  </si>
  <si>
    <t>Gostou do conteúdo?
Segue aê ➡️ @workshopdantas
#educacaofinanceira #empreendedor #dinheiro #finanças #reflexao #empreendedorismo #vendermais #organizacaofinanceira #rendaextra #rendaextraemcasa #marketingdigital #vendedor #direita #conservador #JidduKrishnamurti https://t.co/4sdslZVVN3</t>
  </si>
  <si>
    <t>Gostou do conteúdo?
Segue aê ➡️ @workshopdantas
#educacaofinanceira #empreendedor #dinheiro #finanças #reflexao #empreendedorismo #vendermais #organizacaofinanceira #rendaextra #rendaextraemcasa #marketingdigital #vendedor #direita #conservador #billmurray https://t.co/QWEhCvKbMf</t>
  </si>
  <si>
    <t>Gostou do conteúdo?
Segue aê ➡️ @workshopdantas
#educacaofinanceira #empreendedor #dinheiro #finanças #reflexao #empreendedorismo #vendermais #organizacaofinanceira #rendaextra #rendaextraemcasa #marketingdigital #vendedor #sportrecife #serieb #maiordonordeste https://t.co/0FR5hn7BHP</t>
  </si>
  <si>
    <t>Gostou do conteúdo?
Segue aê ➡️ @workshopdantas
#educacaofinanceira #empreendedor #dinheiro #finanças #reflexao #empreendedorismo #vendermais #organizacaofinanceira #rendaextra #rendaextraemcasa #marketingdigital #vendedor #direita #conservador #frankshermanland https://t.co/qLp0p8Xgvn</t>
  </si>
  <si>
    <t>Gostou do conteúdo?
Segue aê ➡️ @workshopdantas
#educacaofinanceira #empreendedor #dinheiro #finanças #reflexao #empreendedorismo #vendermais #organizacaofinanceira #rendaextra #rendaextraemcasa #marketingdigital #vendedor #direita #conservador #EuSigoBolsonaro https://t.co/hI3pMbtUNM</t>
  </si>
  <si>
    <t>Gostou do conteúdo?
Segue aê ➡️ @workshopdantas
#educacaofinanceira #empreendedor #dinheiro #finanças #reflexao #empreendedorismo #vendermais #organizacaofinanceira #rendaextra #rendaextraemcasa #marketingdigital #vendedor #direita #conservador #napoleonhill https://t.co/QfJutJsScH</t>
  </si>
  <si>
    <t>Gostou do conteúdo?
Segue aê ➡️ @workshopdantas
#educacaofinanceira #empreendedor #dinheiro #finanças #reflexao #empreendedorismo #vendermais #organizacaofinanceira #rendaextra #rendaextraemcasa #marketingdigital #vendedor #direita #conservador #streaming https://t.co/39V33Y0wvI</t>
  </si>
  <si>
    <t>Gostou do conteúdo?
Segue aê ➡️ @workshopdantas
#educacaofinanceira #empreendedor #dinheiro #finanças #reflexao #empreendedorismo #vendermais #organizacaofinanceira #rendaextra #rendaextraemcasa #marketingdigital #vendedor #direita #conservador #nom https://t.co/pv17et6z0Q</t>
  </si>
  <si>
    <t>Gostou do conteúdo?
Segue aê ➡️ @workshopdantas
#educacaofinanceira #empreendedor #dinheiro #finanças #reflexao #empreendedorismo #vendermais #organizacaofinanceira #rendaextra #rendaextraemcasa #marketingdigital #vendedor #morpheus #matrix https://t.co/3gYllBrYbZ</t>
  </si>
  <si>
    <t>Gostou do conteúdo?
Segue aê ➡️ @workshopdantas
#educacaofinanceira #empreendedor #dinheiro #finanças #reflexao #empreendedorismo #vendermais #organizacaofinanceira #rendaextra #rendaextraemcasa #marketingdigital #vendedor #filosofia #freud https://t.co/olpgFNo4dR</t>
  </si>
  <si>
    <t>Gostou do conteúdo?
Segue aê ➡️ @workshopdantas
#educacaofinanceira #empreendedor #dinheiro #finanças #reflexao #empreendedorismo #vendermais #organizacaofinanceira #rendaextra #rendaextraemcasa #marketingdigital #vendedor  #tiagomedeiros #SantaCruz #SportRecife https://t.co/w22YiR058r</t>
  </si>
  <si>
    <t>Gostou do conteúdo?
Segue aê ➡️ @workshopdantas
#educacaofinanceira #empreendedor #dinheiro #finanças #reflexao #empreendedorismo #vendermais #organizacaofinanceira #rendaextra #rendaextraemcasa #marketingdigital #vendedor #direita #conservador #flaviodinocomrabopreso https://t.co/M1axAkuVVR</t>
  </si>
  <si>
    <t>Gostou do conteúdo?
Segue aê ➡️ @workshopdantas
#educacaofinanceira #empreendedor #dinheiro #finanças #reflexao #empreendedorismo #vendermais #organizacaofinanceira #rendaextra #rendaextraemcasa #marketingdigital #vendedor #direita #conservador https://t.co/HBe3QMGOW6</t>
  </si>
  <si>
    <t>Gostou do conteúdo?
Segue aê ➡️ @workshopdantas
#educacaofinanceira #empreendedor #dinheiro #finanças #reflexao #empreendedorismo #vendermais #organizacaofinanceira #rendaextra #rendaextraemcasa #marketingdigital #vendedor #direita #conservador https://t.co/1VgJPPkbNY</t>
  </si>
  <si>
    <t>Gostou do conteúdo?
Segue aê ➡️ @workshopdantas
#educacaofinanceira #empreendedor #dinheiro #finanças #reflexao #empreendedorismo #vendermais #organizacaofinanceira #rendaextra #rendaextraemcasa #marketingdigital #vendedor #direita #conservador #olavotemrazao https://t.co/LLEz2CNBya</t>
  </si>
  <si>
    <t>Gostou do conteúdo?
Segue aê ➡️ @workshopdantas
#educacaofinanceira #empreendedor #dinheiro #finanças #reflexao #empreendedorismo #vendermais #organizacaofinanceira #rendaextra #rendaextraemcasa #marketingdigital #vendedor #direita #conservador #zedirceu #petêadmitiu https://t.co/BOgCe1KnUc</t>
  </si>
  <si>
    <t>Gostou do conteúdo?
Segue aê ➡️ @workshopdantas
#educacaofinanceira #empreendedor #dinheiro #finanças #reflexao #empreendedorismo #vendermais #organizacaofinanceira #rendaextra #rendaextraemcasa #marketingdigital #vendedor #direita #conservador #frankzappa https://t.co/QGidm7SUaC</t>
  </si>
  <si>
    <t>Gostou do conteúdo?
Segue aê ➡️ @workshopdantas
#educacaofinanceira #empreendedor #dinheiro #finanças #reflexao #empreendedorismo #vendermais #organizacaofinanceira #rendaextra #rendaextraemcasa #marketingdigital #vendedor #direita #conservador #SoundOfFreedom #Timballard https://t.co/8ygoC1WdQ9</t>
  </si>
  <si>
    <t>Gostou do conteúdo?
Segue aê ➡️ @workshopdantas
#educacaofinanceira #empreendedor #dinheiro #finanças #reflexao #empreendedorismo #vendermais #organizacaofinanceira #rendaextra #rendaextraemcasa #marketingdigital #vendedor #direita #conservador #esquerdamaldita https://t.co/HbVKbLncHa</t>
  </si>
  <si>
    <t>Gostou do conteúdo?
Segue aê ➡️ @workshopdantas
#educacaofinanceira #empreendedor #dinheiro #finanças #reflexao #empreendedorismo #vendermais #organizacaofinanceira #rendaextra #rendaextraemcasa #marketingdigital #vendedor #direita #conservador #rodolfoabrantes https://t.co/phozslIZpe</t>
  </si>
  <si>
    <t>Hoje tem Sport!
Gostou do conteúdo?
Segue aê ➡️ @workshopdantas
#educacaofinanceira #empreendedor #dinheiro #finanças #reflexao #empreendedorismo #vendermais #organizacaofinanceira #rendaextra #rendaextraemcasa #marketingdigital #vendedor #crb #sport #serieb2023 https://t.co/3P9O2p6kce</t>
  </si>
  <si>
    <t>Gostou do conteúdo?
Segue aê ➡️ @workshopdantas
#educacaofinanceira #empreendedor #dinheiro #finanças #reflexao #empreendedorismo #vendermais #organizacaofinanceira #rendaextra #rendaextraemcasa #marketingdigital #vendedor #direita #conservador #FAZOL #casasbahia https://t.co/QgrVi6s1kc</t>
  </si>
  <si>
    <t>Gostou do conteúdo?
Segue aê ➡️ @workshopdantas
#educacaofinanceira #empreendedor #dinheiro #finanças #reflexao #empreendedorismo #vendermais #organizacaofinanceira #rendaextra #marketingdigital #vendedor #direita #conservador #pedofilia #CriancaEsperanca #FazoL https://t.co/wSVLk5ibYI</t>
  </si>
  <si>
    <t>Gostou do conteúdo?
Segue aê ➡️ @workshopdantas
#educacaofinanceira #empreendedor #dinheiro #finanças #reflexao #empreendedorismo #vendermais #organizacaofinanceira #rendaextra #rendaextraemcasa #marketingdigital #vendedor #direita #conservador #thomasedison https://t.co/LNDpkgoFgZ</t>
  </si>
  <si>
    <t>Gostou do conteúdo?
Segue aê ➡️ @workshopdantas
#educacaofinanceira #empreendedor #dinheiro #finanças #reflexao #empreendedorismo #vendermais #organizacaofinanceira #rendaextra #rendaextraemcasa #marketingdigital #vendedor #direita #conservador https://t.co/U7OfwrZvZp</t>
  </si>
  <si>
    <t>Gostou do conteúdo?
Segue aê ➡️ @workshopdantas
#educacaofinanceira #empreendedor #dinheiro #finanças #reflexao #empreendedorismo #vendermais #organizacaofinanceira #rendaextra #rendaextraemcasa #marketingdigital #vendedor #santacruz #serieD https://t.co/mGZx1rbjbV</t>
  </si>
  <si>
    <t>Gostou do conteúdo?
Segue aê ➡️ @workshopdantas
#educacaofinanceira #empreendedor #dinheiro #finanças #reflexao #empreendedorismo #vendermais #organizacaofinanceira #rendaextra #rendaextraemcasa #marketingdigital #vendedor #sportrecife https://t.co/X4ZhSGxw7u</t>
  </si>
  <si>
    <t>Gostou do conteúdo?
Segue aê ➡️ @workshopdantas
#educacaofinanceira #empreendedor #dinheiro #finanças #reflexao #empreendedorismo #vendermais #organizacaofinanceira #rendaextra #rendaextraemcasa #marketingdigital #vendedor #direita #conservador #jairbolsonaro https://t.co/MSYQGHXQor</t>
  </si>
  <si>
    <t>Gostou do conteúdo?
Segue aê ➡️ @workshopdantas
#educacaofinanceira #empreendedor #dinheiro #finanças #reflexao #empreendedorismo #vendermais #organizacaofinanceira #rendaextra #rendaextraemcasa #marketingdigital #vendedor #direita #conservador #jimryun https://t.co/yQlK9Pfwdw</t>
  </si>
  <si>
    <t>DOMINGO: 23/07/23.
LOCAL: PRAÇA DA LIBERDADE.
HORA: 10 HORAS.
PAUTA: FORA LULA!!!
Gostou do conteúdo?
Segue aê ➡️ @workshopdantas
#educacaofinanceira #empreendedor #dinheiro #finanças #reflexao #empreendedorismo #marketingdigital #vendedor #direita #conservador #ForaLula https://t.co/CBEI5bLasz</t>
  </si>
  <si>
    <t>Gostou do conteúdo?
Segue aê ➡️ @workshopdantas
#educacaofinanceira #empreendedor #dinheiro #finanças #reflexao #empreendedorismo #vendermais #organizacaofinanceira #rendaextra #rendaextraemcasa #marketingdigital #vendedor #direita #conservador #JimCaviezel https://t.co/yx7kaVzD8F</t>
  </si>
  <si>
    <t>Gostou do conteúdo?
Segue aê ➡️ @workshopdantas
#educacaofinanceira #empreendedor #dinheiro #finanças #reflexao #empreendedorismo #vendermais #organizacaofinanceira #rendaextra #rendaextraemcasa #marketingdigital #vendedor #direita #conservador #genfigueiredo https://t.co/9rMmEdzSt9</t>
  </si>
  <si>
    <t>Gostou do conteúdo?
Segue aê ➡️ @workshopdantas
#educacaofinanceira #empreendedor #dinheiro #finanças #reflexao #empreendedorismo #vendermais #organizacaofinanceira #rendaextra #rendaextraemcasa #marketingdigital #direita #conservador #imprensa #corrupcao #josephpulitzer https://t.co/80ysJ9Ga0m</t>
  </si>
  <si>
    <t>Gostou do conteúdo?
Segue aê ➡️ @workshopdantas
#educacaofinanceira #empreendedor #dinheiro #finanças #reflexao #empreendedorismo #vendermais #organizacaofinanceira #rendaextra #rendaextraemcasa #marketingdigital #vendedor #direita #conservador #olavotemrazao https://t.co/G8LmEkZWIQ</t>
  </si>
  <si>
    <t>"Vantagens de ter um IPTV"
Gostou do conteúdo?
Segue aê ➡️ @workshopdantas
#educacaofinanceira #empreendedor #dinheiro #finanças #reflexao #empreendedorismo #vendermais #organizacaofinanceira #rendaextra #rendaextraemcasa #marketingdigital #vendedor #IPTV https://t.co/PVF2LSsSrw</t>
  </si>
  <si>
    <t>Gostou do conteúdo?
Segue aê ➡️ @workshopdantas
#educacaofinanceira #empreendedor #dinheiro #finanças #reflexao #empreendedorismo #vendermais #organizacaofinanceira #rendaextra #rendaextraemcasa #marketingdigital #vendedor #direita #conservador #FAZOL #magazineluiza https://t.co/44MEbmkRoT</t>
  </si>
  <si>
    <t>Gostou do conteúdo?
Segue aê ➡️ @workshopdantas
#educacaofinanceira #empreendedor #dinheiro #finanças #reflexao #empreendedorismo #vendermais #organizacaofinanceira #rendaextra #rendaextraemcasa #marketingdigital #vendedor #direita #conservador #8dejaneiro https://t.co/m1GM6gexab</t>
  </si>
  <si>
    <t>Gostou do conteúdo?
Segue aê ➡️ @workshopdantas
#educacaofinanceira #empreendedor #dinheiro #finanças #reflexao #empreendedorismo #vendermais #organizacaofinanceira #rendaextra #rendaextraemcasa #marketingdigital #vendedor #direita #conservador https://t.co/nTW40XR362</t>
  </si>
  <si>
    <t>Gostou do conteúdo?
Segue aê ➡️ @workshopdantas
#educacaofinanceira #empreendedor #dinheiro #finanças #reflexao #empreendedorismo #vendermais #organizacaofinanceira #rendaextra #rendaextraemcasa #marketingdigital #vendedor #direita #conservador #josephpulitzer https://t.co/AgXvRGuFIX</t>
  </si>
  <si>
    <t>Gostou do conteúdo?
Segue aê ➡️ @workshopdantas
#educacaofinanceira #empreendedor #dinheiro #finanças #reflexao #empreendedorismo #vendermais #organizacaofinanceira #rendaextra #rendaextraemcasa #marketingdigital #vendedor #direita #conservador #bolsonarosempretemrazao https://t.co/oNWeDRsO47</t>
  </si>
  <si>
    <t>Gostou do conteúdo?
Segue aê ➡️ @workshopdantas
#educacaofinanceira #empreendedor #dinheiro #finanças #reflexao #empreendedorismo #vendermais #organizacaofinanceira #rendaextra #rendaextraemcasa #marketingdigital #vendedor #direita #conservador #robertadams https://t.co/qNCe3beKsP</t>
  </si>
  <si>
    <t>Gostou do conteúdo?
Segue aê ➡️ @workshopdantas
#educacaofinanceira #empreendedor #dinheiro #finanças #reflexao #empreendedorismo #vendermais #organizacaofinanceira #rendaextra #rendaextraemcasa #marketingdigital #vendedor #direita #conservador #arthurschopenhauer https://t.co/FCGrdEF1HL</t>
  </si>
  <si>
    <t>Direita conservadora, vamos nos unir e derrotar essa esquerda que rouba nosso país!
Gostou do conteúdo?
Segue aê ➡️ @workshopdantas
#educacaofinanceira #reflexao #empreendedorismo #vendermais #organizacaofinanceira #rendaextraemcasa #marketingdigital 
 #direita #conservador https://t.co/rQvpgHi6vD</t>
  </si>
  <si>
    <t>🛒 Adquira a maior grade de canais !
Gostou do conteúdo?
Segue aê ➡️ @workshopdantas
#educacaofinanceira #empreendedor #dinheiro #finanças #reflexao #empreendedorismo #vendermais #organizacaofinanceira #rendaextra #rendaextraemcasa #marketingdigital #vendedor #tvonline https://t.co/ZX0NO8bTfX</t>
  </si>
  <si>
    <t>Gostou do conteúdo?
Segue aê ➡️ @workshopdantas
#educacaofinanceira #empreendedor #dinheiro #finanças #reflexao #empreendedorismo #vendermais #organizacaofinanceira #rendaextra #rendaextraemcasa #marketingdigital #vendedor #epoca #guerra #winstonchurchill https://t.co/fsySUfWg3J</t>
  </si>
  <si>
    <t>Gostou do conteúdo?
Segue aê ➡️ @workshopdantas
#educacaofinanceira #empreendedor #dinheiro #finanças #reflexao #empreendedorismo #vendermais #organizacaofinanceira #rendaextra #rendaextraemcasa #marketingdigital #vendedor #direita #conservador #sergiomoro https://t.co/BdFaEeUQhe</t>
  </si>
  <si>
    <t>Gostou do conteúdo?
Segue aê ➡️ @workshopdantas
#educacaofinanceira #empreendedor #dinheiro #finanças #reflexao #empreendedorismo #vendermais #organizacaofinanceira #rendaextra #rendaextraemcasa #marketingdigital #vendedor #direita #conservador #LuladraoDesgracaEDestruicao https://t.co/A11lLP9JrJ</t>
  </si>
  <si>
    <t>Gostou do conteúdo?
Segue aê ➡️ @workshopdantas
#educacaofinanceira #empreendedor #dinheiro #finanças #reflexao #empreendedorismo #vendermais #organizacaofinanceira #rendaextra #rendaextraemcasa #marketingdigital #vendedor #direita #conservador #haddadposte https://t.co/Jo6RZLA8jS</t>
  </si>
  <si>
    <t>Gostou do conteúdo?
Segue aê ➡️ @workshopdantas
#educacaofinanceira #empreendedor #dinheiro #finanças #reflexao #empreendedorismo #vendermais #organizacaofinanceira #rendaextra #rendaextraemcasa #marketingdigital #vendedor #direita #conservador #napoleaobonaparte https://t.co/5FbUtjhRXk</t>
  </si>
  <si>
    <t>Gostou do conteúdo?
Segue aê ➡️ @workshopdantas
#educacaofinanceira #empreendedor #dinheiro #finanças #reflexao #empreendedorismo #vendermais #organizacaofinanceira #rendaextra #rendaextraemcasa #marketingdigital #vendedor #direita #conservador #martincooper https://t.co/6yfeGDGsNo</t>
  </si>
  <si>
    <t>Surreal!
Gostou do conteúdo?
Segue aê ➡️ @workshopdantas
#educacaofinanceira #empreendedor #dinheiro #finanças #reflexao #empreendedorismo #vendermais #organizacaofinanceira #rendaextra #rendaextraemcasa #marketingdigital #vendedor #direita #conservador #cuidadocomsuaface https://t.co/cC6hPViO2z</t>
  </si>
  <si>
    <t>Gostou do conteúdo?
Segue aê ➡️ @workshopdantas
#educacaofinanceira #empreendedor #dinheiro #finanças #reflexao #empreendedorismo #vendermais #organizacaofinanceira #rendaextra #rendaextraemcasa #marketingdigital #vendedor #direita #conservador #contradrogas https://t.co/bLlSGdUTrw</t>
  </si>
  <si>
    <t>FORÇAS ARMADAS
ESTA DORMINDO
NESSA PORRA.
ANULAÇÃO DAS
ELEIÇOES JÁ.
Gostou do conteúdo?
Segue aê ➡️ @workshopdantas
#educacaofinanceira #empreendedor #dinheiro #finanças #reflexao #empreendedorismo #vendermais   #marketingdigital #vendedor #direita #conservador #foralula https://t.co/onzICNYviI</t>
  </si>
  <si>
    <t>Gostou do conteúdo?
Segue aê ➡️ @workshopdantas
#educacaofinanceira #empreendedor #dinheiro #finanças #reflexao #empreendedorismo #vendermais #organizacaofinanceira #rendaextra #rendaextraemcasa #marketingdigital #vendedor #direita #conservador https://t.co/uDs0hcEdKc</t>
  </si>
  <si>
    <t>No Recife tudo é diferente.
Não há regras de trânsito/navegação precisas.
Gostou do conteúdo?
Segue aê ➡️ @workshopdantas
#educacaofinanceira #empreendedor #dinheiro #finanças #reflexao #empreendedorismo #vendermais  #marketingdigital #vendedor #direita #conservador https://t.co/vTfq9tvjZw</t>
  </si>
  <si>
    <t>Gostou do conteúdo?
Segue aê ➡️ @workshopdantas
#educacaofinanceira #empreendedor #dinheiro #finanças #reflexao #empreendedorismo #vendermais #organizacaofinanceira #rendaextra #rendaextraemcasa #marketingdigital #vendedor #direita #conservador #brucedickinson #ironmaiden https://t.co/iKIHJNmSA7</t>
  </si>
  <si>
    <t>Gostou do conteúdo?
Segue aê ➡️ @workshopdantas
#educacaofinanceira #empreendedor #dinheiro #finanças #reflexao #empreendedorismo #vendermais #organizacaofinanceira #rendaextra #rendaextraemcasa #marketingdigital #JohnnyDepp https://t.co/gzLoYiY7Zq</t>
  </si>
  <si>
    <t>Gostou do conteúdo?
Segue aê ➡️ @workshopdantas
#educacaofinanceira #empreendedor #dinheiro #finanças #reflexao #empreendedorismo #vendermais #organizacaofinanceira #rendaextra #rendaextraemcasa #marketingdigital #vendedor #direita #conservador #pilhado https://t.co/eXb61y5lGE</t>
  </si>
  <si>
    <t>Gostou do conteúdo?
Segue aê ➡️ @workshopdantas
#educacaofinanceira #empreendedor #dinheiro #finanças #reflexao #empreendedorismo #vendermais #organizacaofinanceira #rendaextra #rendaextraemcasa #marketingdigital #vendedor #direita #conservador #victorfasano https://t.co/T76eN7uZIK</t>
  </si>
  <si>
    <t>Gostou do conteúdo?
Segue aê ➡️ @workshopdantas
#educacaofinanceira #empreendedor #dinheiro #finanças #reflexao #empreendedorismo #vendermais #organizacaofinanceira #rendaextra #rendaextraemcasa #marketingdigital #vendedor #nom #iluminate #desperte https://t.co/wXI2khBtvt</t>
  </si>
  <si>
    <t>Do stories para o Feed… Investimento, dúvida da maioria das pessoas.
Toda negociação que você for fazer que seja algo acima 100% CDI!
#investimentos #financaspessoais #organizacaoprofissional https://t.co/X42fy69Tpj</t>
  </si>
  <si>
    <t>As escolhas e decisões de hoje, apontam tempo da realização dos seus sonhos. Não espere perfeição, comece e se aperfeiçoe no percurso 🤩🚀
#estudo #decisão #escolhas #financaspessoais #planejamento https://t.co/3OcQ6agMtI</t>
  </si>
  <si>
    <t>Especialistas listam métodos de organização financeira para quem quer garantir realização de metas e sonhos. #EducacaoFinanceira https://t.co/4x4vJncXVl</t>
  </si>
  <si>
    <t>#direitodoconsumidor #consumidor #financas #financaspessoas #consumo #dívidas #bancos #educacaofinanceira #chequeespecial #juros #bens #servicos #Procon #Procomum #inflacao #debito #emprestimo #pagamento #divida #CDC https://t.co/aZAEguaVNY</t>
  </si>
  <si>
    <t>Eu sei um monte sobre economia, taxa de juros e tals. Sabe o quanto isso impacta na taxa básica de juros?
NADAAAAAAAAAA #educacaofinanceira</t>
  </si>
  <si>
    <t>Algumas regras simples para uma boa vida. 
#DiaDosPais #ForktheBanks #investimentos #educaçãofinanceira #lições https://t.co/wtKAo6j1Kf</t>
  </si>
  <si>
    <t>Altas taxas de juros no financiamento de carros podem levar ao endividamento. É fundamental ter educação financeira e pesquisar opções, como o consórcio. Saiba mais! 🔎https://t.co/dprfUCppKR
 #FinançasPessoais #CompraDeCarro #Consórcio https://t.co/lziHebYwC5</t>
  </si>
  <si>
    <t>O endividamento excessivo pode sufocar seus sonhos e transformar sua vida em um pesadelo financeiro. Tome as rédeas da sua situação agora e liberte-se dessa armadilha antes que seja tarde demais.
#bemestarfinanceiro #educaçãofinanceira #redeasdavida #capacitaec</t>
  </si>
  <si>
    <t>Randolfe Rodrigues associa Telegram ao nazismo https://t.co/g3z2HpWj3u</t>
  </si>
  <si>
    <t>#brasil
#iptv
#news
#apple
#btc #criptomoedas #blockchain #investimentos #aprenda #mudesuavida #economia #finanças #educaçaofinanceira #investidor #iniciante #sucesso #rico #bitcoin #token #web3 #metaverso #cripto #liberdadefinanceira #brasil #criptoativos #defi #web3 #crypto #nf</t>
  </si>
  <si>
    <t>Você já parou para pensar que quando nós precisamos de dinheiro geralmente pensamos em como GANHAR dinheiro em vez de como FAZER dinheiro?
Meu objetivo com esse texto é ampliar sua visão para te mostrar que existe um sentido embutido e diferente nas https://t.co/go1wb3auOz… https://t.co/pQJn88jc5M</t>
  </si>
  <si>
    <t>Pv 21:20: "Tesouro desejável e azeite há na casa do sábio, mas o homem insensato os esgota." Sabedoria financeira na Bíblia.📖💰 #FinançasPessoais #LiçõesBíblicas</t>
  </si>
  <si>
    <t>Descubra como a inflação afeta sua vida financeira. Confira nosso guia completo sobre inflação e aprenda a lidar com seus impactos.
 #inflação #finanças #educaçãofinanceira
https://t.co/GjofkPrDn0</t>
  </si>
  <si>
    <t>Planeje sua aposentadoria e comece a investir cedo. #EducaçãoFinanceira</t>
  </si>
  <si>
    <t>Saiba onde seu dinheiro está indo e faça um orçamento para controlar seus gastos. #EducaçãoFinanceira</t>
  </si>
  <si>
    <t>Entenda o nível de satisfação dos clientes com Assessores Humanos em comparação com os clientes que possuem Assessores Digitais. 
Leia na íntegra no nosso blog:
https://t.co/RzjzIgN9tQ
#economia #investimentos #financaspessoais #financas #educacaofinanceira #roboadvisor</t>
  </si>
  <si>
    <t>Conte com a minha ajuda para atingir seus objetivos financeiros! ✍️🗒🎯
#Investimentos #planejamentofinanceiro #educacaofinanceira #objetivos #metas #metasfinanceiras #assessordeinvestimentos #XP #xpinvestimentos #Nortus #NortusInvestimentos</t>
  </si>
  <si>
    <t>#podcast #entrevista #investimentos #inteligenciafinanceira #educaçãofinanceira #financas #financaspessoais #investimentosinteligentes #investimentofinanceiro #Nortus #NortusInvestimentos #XP #XPInvestimentos #XPInc</t>
  </si>
  <si>
    <t>Trecho do livro "Como Administrar Melhor Seu Dinheiro", de Mauro Halfeld
#economia #investimentos #mercados #dinheiro #finançaspessoais #frasedodia #pensamentos #financas #educaçãofinanceira #comportamento #results #resultados
#xp #xpinvestimentos #xpinc #finanças #MauroHalfeld https://t.co/8fvHT2x9uc</t>
  </si>
  <si>
    <t>Fale comigo! 👇🏻
https://t.co/RPcyukmpnI
#assessordeinvestimentos #inteligenciafinanceira #investimentos #investimentosinteligentes #planejamento #mercadofinanceiro #futuro #metas #longoprazo #objetivos #economia #dinheiro #educacaofinanceira #finanças #financialadvisor</t>
  </si>
  <si>
    <t>“Ter ações é como ter crianças, não se envolva com mais do que você consegue lidar.”
Peter Lynch
#economia #investimentos #dinheiro #mercadofinanceiro #frasedodia #pensamentos #financas #educaçãofinanceira #comportamento  #bolsadevalores #acoes #xp #finanças #PeterLynch https://t.co/u2eAJhiKy8</t>
  </si>
  <si>
    <t>"⁠Dinheiro gera estrutura, estrutura gera dinheiro, sabedoria alavanca o resultado."
#investimentos #mercados #dinheiro #finançaspessoais #frasedodia #pensamentos #financas #educaçãofinanceira #comportamento #resultados
#xp #xpinvestimentos #xpinc
#Nortus #NortusInvestimentos https://t.co/82gWSgI4JZ</t>
  </si>
  <si>
    <t>”A liberdade financeira está disponível para aqueles que aprendem sobre isso e trabalham para isso”.
Robert T. Kiyosaki
#roberttkiyosaki #robertkyosakiquote #penseeenriqueça #dinheiro #money #finanças #conhecimento #investimentos #financaspessoais #dicadelivro #pairicopaipobre https://t.co/10jMaKKVR2</t>
  </si>
  <si>
    <t>"Se você não sabe, a coisa a fazer não é ficar com medo, mas aprender."
Ayn Rand
#AynRand #aynranduotes #penseeenriqueça #dinheiro #money #finanças #conhecimento #investimentos #financaspessoais #dicadelivro #objetivismo #ARevoltadeAtlas #AtlasShrugged https://t.co/GbtbPHCoEa</t>
  </si>
  <si>
    <t>"Acho que esse é o melhor conselho de todos: pense constantemente sobre como você pode fazer as coisas melhor e questione a si mesmo."
Elon Musk
#investimentos #dinheiro #mercadofinanceiro #frasedodia #pensamentos #educaçãofinanceira #comportamento #ElonMusk #Tesla #Twitter https://t.co/WVIhKURZOv</t>
  </si>
  <si>
    <t>#ganhardinheiro
#investimentos
#trading
#finanças
#empreendedorismo
#negócios
#marketingdigital
#rendaextra
#dinheiro
#sucesso
#liberdadefinanceira
#foco
#motivação
#economia
#investir
#oportunidades
#trabalharemcasa
#dinheiroextra
#independenciafinanceira
#educacaofinanceira https://t.co/tshnZVARFm</t>
  </si>
  <si>
    <t>Aí está o vídeo conforme prometido.
Demorou mas chegou!
#educacaofinanceira #investimentos #desmentindofakenews #informação #correta #gratuita  https://t.co/kRx212H6gE</t>
  </si>
  <si>
    <t>🌟 Confie no seu potencial para conquistar resultados financeiros sólidos!
👆 Clique no link da BIOS e fique atualizado
#investimento #investimentoobjetivo #conhecimento #confiança #finançaspessoais
#tomandodecisões https://t.co/N8nlpobedM</t>
  </si>
  <si>
    <t>🌟 Cuidado com a ganância nos investimentos!
👆 Clique no link da BIOS e fique atualizado
#investimento #investimentoobjetivo #ganância #prudência #finançaspessoais
#tomandodecisões https://t.co/aAgERKkWBX</t>
  </si>
  <si>
    <t>🌟 Cuidado com a ganância nos investimentos!
Aprenda como controlar essa emoção e alcançar resultados consistentes! 💰🚀
👆 Clique no link da BIOS e fique atualizado
#investimento #investimentoobjetivo #ganância #prudência #finançaspessoais
#tomandodecisões https://t.co/EWKWVzdO0A</t>
  </si>
  <si>
    <t>🚴♂Você aprendeu andar de bicicleta lendo um manual?
👇Clique no link e descubra a conquista da sua liberdade financeira👇
https://t.co/N2TnOZ7f0R
#investimentos #educaçãofinanceira #melhoresinvestimentos #liberdadefinanceira #independenciafinanceira #mentoria https://t.co/WqBe6dj7ue</t>
  </si>
  <si>
    <t>📊💡✨ Investir com lógica é o caminho para o sucesso financeiro!
#planejamentodeinvestimentos #finançaspessoais #investimentos #estrtégiafinanceira #investimentosinteligentes #crescimentopatrimonial #sucessofinanceiro https://t.co/Vj3rISua3o</t>
  </si>
  <si>
    <t>😟 A preocupação é natural quando se trata de investimentos, mas não deixe que ela domine suas decisões.
👆 Clique no link da BIOS e fique atualizado
#investimento #investimentoobjetivo #preocupação #planejamentofinanceiro #finançaspessoais #tomandodecisões https://t.co/Q9m3Hi27D0</t>
  </si>
  <si>
    <t>💰 🏦 Mantenha viva a chama da esperança nos seus investimentos! 
👆 Clique no link da BIOS e fique atualizado
#investimento #investimentoobjetivo #esperança #crescimento #finançaspessoais
#tomandodecisões https://t.co/wVZPFcmmm8</t>
  </si>
  <si>
    <t>Descubra os 10 passos para conquistar a liberdade financeira
#liberdadefinanceira #educacaofinanceira #investimentos #dinheiro #mudancadevida https://t.co/3X10DS9ySZ</t>
  </si>
  <si>
    <t>Endividamento
Clique no Link da BIO
#Endividamento #investimentoobjetivo #LiberdadeFinanceira #Aposentadoria #PlanejamentoFinanceiro #EducaçãoFinanceira https://t.co/qzqhmwVYbM</t>
  </si>
  <si>
    <t>📢🔝 Você está cansado de perder o controle das suas finanças pessoais?
#controlefinanceiro #investimentoobjetivo #finançaspessoais #educaçãofinanceira #metasfinanceiras #planejamentofinanceiro https://t.co/9qk1GC0vAo</t>
  </si>
  <si>
    <t>📚💰 Aprender sobre finanças é o passo mais importante para o sucesso nos investimentos.
#planejamentofinanceiro #investimentoobjetivo #finançaspessoais #educaçãofinanceira #investimentos #crecimentopatrimonial https://t.co/QLk3X1VYnv</t>
  </si>
  <si>
    <t>😔 A frustração faz parte da jornada de investimentos, mas não se deixe abater por ela!
👆 Clique no link da BIOS e fique atualizado
#investimento #investimentoobjetivo #frustração #persistência #finançaspessoais
#tomandodecisões https://t.co/Nup0sHBTsq</t>
  </si>
  <si>
    <t>🎉💰🎉 Quer saber como conquistar a liberdade financeira?
#liberdadefinanceira #finançaspessoais #investimentos #planejamentofinanceiro #investimentoobjetivo https://t.co/L99JggNgmL</t>
  </si>
  <si>
    <t>🚫💸 Os 5 itens que impedem a conquista da liberdade financeira afinal quais são?
#liberdadefinanceira #educacaofinanceira #orçamentopessoal #planejamentofinanceiro https://t.co/j5itusENPv</t>
  </si>
  <si>
    <t>💰💪 Para alcançar a liberdade financeira, é fundamental ter metas claras e realistas.
👇Clique no Link e conheça como conquistar suas metas e objetivos e sua Liberdade Financeira.
https://t.co/99kFM6CL0H
#metasfinanceiras #liberdadefinanceira #finançaspessoais #mentoriaILF https://t.co/SKDrlr8bvw</t>
  </si>
  <si>
    <t>21 Objetivos &amp;amp; Investimentos
Conheça Mais
https://t.co/Sl1gXrjHe9
#diversificação #investimentoobjetivo #investimento #rendafixa #rendavariavel #fundosdeinvestimentos #educaçãofinanceira https://t.co/1LzXON9QTv</t>
  </si>
  <si>
    <t>Endividamento
Clique no Link da BIO
#Endividamento #investimentoobjetivo #LiberdadeFinanceira #Aposentadoria #PlanejamentoFinanceiro #EducaçãoFinanceira https://t.co/FdWzfGwo52</t>
  </si>
  <si>
    <t>Endividamento
Clique no Link da BIO
#Endividamento #investimentoobjetivo #LiberdadeFinanceira #Aposentadoria #PlanejamentoFinanceiro #EducaçãoFinanceira https://t.co/RcElFo2eyi</t>
  </si>
  <si>
    <t>Endividamento
Clique no Link da BIO
#Endividamento #investimentoobjetivo #LiberdadeFinanceira #Aposentadoria #PlanejamentoFinanceiro #EducaçãoFinanceira https://t.co/RywgyU1yHI</t>
  </si>
  <si>
    <t>Medo de Investir
Clique no Link da BIO
#MedoDeInvestir #investimentoobjetivo #LiberdadeFinanceira #Aposentadoria #EducaçãoFinanceira #Investimentos https://t.co/AfIW9U0JWk</t>
  </si>
  <si>
    <t>Endividamento
Clique no Link da BIO
#Endividamento #investimentoobjetivo #LiberdadeFinanceira #Aposentadoria #PlanejamentoFinanceiro #EducaçãoFinanceira https://t.co/O3NTWszN3q</t>
  </si>
  <si>
    <t>📊💸🇧🇷📚 O endividamento das famílias no Brasil são alarmantes.
#endividamento #investimentoobjetivo #educacaofinanceira #controlefinanceiro #vidafinanceira #comportamento #gatilhosmentais #planejamentofinanceiro https://t.co/MqNwZjoDhg</t>
  </si>
  <si>
    <t>🤑💰 Quer conquistar a tão sonhada liberdade financeira?
#FinançasPessoais #EducaçãoFinanceira #PlanejamentoFinanceiro #LiberdadeFinanceira https://t.co/U4MMEEKy9F</t>
  </si>
  <si>
    <t>Especialistas &amp;amp; Decisões
Conheça Mais
https://t.co/Sl1gXrjHe9
#diversificação #investimentoobjetivo #investimento #rendafixa #rendavariavel #fundosdeinvestimentos #educaçãofinanceira https://t.co/IH20SriaLp</t>
  </si>
  <si>
    <t>19 Investimentos sem Loucura
Conheça Mais
https://t.co/Sl1gXrjHe9
#diversificação #investimentoobjetivo #investimento #rendafixa #rendavariavel #fundosdeinvestimentos #educaçãofinanceira https://t.co/6aZqb46qSA</t>
  </si>
  <si>
    <t>18 Especialistas &amp;amp; Experiencias
Conheça Mais
https://t.co/Sl1gXrjHe9
#diversificação #investimentoobjetivo #investimento #rendafixa #rendavariavel #fundosdeinvestimentos #educaçãofinanceira https://t.co/c4usCUschR</t>
  </si>
  <si>
    <t>Investimento &amp;amp; Conhecimento
Conheça Mais
https://t.co/Sl1gXrjHe9
#diversificação #investimentoobjetivo #investimento #rendafixa #rendavariavel #fundosdeinvestimentos #educaçãofinanceira https://t.co/T9g9Y1aQre</t>
  </si>
  <si>
    <t>Fundos de Investimentos &amp;amp; Gestão
Conheça Mais
https://t.co/Sl1gXrjHe9
#diversificação #investimentoobjetivo #investimento #rendafixa #rendavariavel #fundosdeinvestimentos #educaçãofinanceira https://t.co/gxIZR1Qhru</t>
  </si>
  <si>
    <t>14 Metas e Objetivos
Conheça Mais
https://t.co/Sl1gXrjHe9
#diversificação #investimentoobjetivo #investimento #rendafixa #rendavariavel #fundosdeinvestimentos #educaçãofinanceira https://t.co/GDbQTaWfxu</t>
  </si>
  <si>
    <t>13 Fundos de Investimentos &amp;amp; Variabilidade
Conheça Mais
https://t.co/Sl1gXrjHe9
#diversificação #investimentoobjetivo #investimento #rendafixa #rendavariavel #fundosdeinvestimentos #educaçãofinanceira https://t.co/H7FildPPkD</t>
  </si>
  <si>
    <t>Mentoria em Investimentos
Clique no Link da BIO
#Investimentos #investimentoobjetivo #MentoriaFinanceira #LiberdadeFinanceira #Aposentadoria #EducaçãoFinanceira https://t.co/OnGkPCOF1w</t>
  </si>
  <si>
    <t>Medo de Investir
Clique no Link da BIO
#MedoDeInvestir #investimentoobjetivo #LiberdadeFinanceira #Aposentadoria #EducaçãoFinanceira #Investimentos https://t.co/ESrIgYyssk</t>
  </si>
  <si>
    <t>Endividamento
Clique no Link da BIO
#Endividamento #investimentoobjetivo #LiberdadeFinanceira #Aposentadoria #PlanejamentoFinanceiro #EducaçãoFinanceira https://t.co/T0o30nPLij</t>
  </si>
  <si>
    <t>Mentoria em Investimentos
Clique no Link da BIO
#Investimentos #investimentoobjetivo #MentoriaFinanceira #LiberdadeFinanceira #Aposentadoria #EducaçãoFinanceira https://t.co/vdECnOz8tc</t>
  </si>
  <si>
    <t>Medo de Investir
Clique no Link da BIO
#MedoDeInvestir #investimentoobjetivo #LiberdadeFinanceira #Aposentadoria #EducaçãoFinanceira #Investimentos https://t.co/upWtWOGH4Q</t>
  </si>
  <si>
    <t>Endividamento
Clique no Link da BIO
#Endividamento #investimentoobjetivo #LiberdadeFinanceira #Aposentadoria #PlanejamentoFinanceiro #EducaçãoFinanceira https://t.co/QpxccABxXd</t>
  </si>
  <si>
    <t>😢 O medo é uma emoção comum quando se trata de investimentos.
👆 Clique no link da BIOS e fique atualizado
#investimento #investimentoobjetivo #semmedo #medofinanceiro #finançaspessoais
#tomandodecisões https://t.co/3UkP0yhkvL</t>
  </si>
  <si>
    <t>12 Renda Variável &amp;amp; Timing
Conheça Mais
https://t.co/Sl1gXrkf3H
#diversificação #investimentoobjetivo #investimento #rendafixa #rendavariavel #fundosdeinvestimentos #educaçãofinanceira https://t.co/3D4YMqKMVP</t>
  </si>
  <si>
    <t>Renda Variável e Informação
Conheça Mais
https://t.co/Sl1gXrkf3H
#diversificação #investimentoobjetivo #investimento #rendafixa #rendavariavel #fundosdeinvestimentos #educaçãofinanceira https://t.co/Ra6mVVzLXs</t>
  </si>
  <si>
    <t>Conhecimento a 1 Toque
Conheça Mais
https://t.co/Sl1gXrjHe9
#diversificação #investimentoobjetivo #investimento #rendafixa #rendavariavel #fundosdeinvestimentos #educaçãofinanceira https://t.co/S2HqEXMP9J</t>
  </si>
  <si>
    <t>Investimento e Objetivos
Conheça Mais
https://t.co/Sl1gXrjHe9
#diversificação #investimentoobjetivo #investimento #rendafixa #rendavariavel #fundosdeinvestimentos #educaçãofinanceira https://t.co/HhZonVwvwv</t>
  </si>
  <si>
    <t>Renda Fixa &amp;amp; Segurança
Conheça Mais
https://t.co/Sl1gXrjHe9
#diversificação #investimentoobjetivo #investimento #rendafixa #rendavariavel #fundosdeinvestimentos #educaçãofinanceira https://t.co/vJ5kjZ5q4T</t>
  </si>
  <si>
    <t>06 Renda Fixa &amp;amp; Constancia
Conheça Mais
https://t.co/Sl1gXrkf3H
#diversificação #investimentoobjetivo #investimento #rendafixa #rendavariavel #fundosdeinvestimentos #educaçãofinanceira https://t.co/fYVhURtx3c</t>
  </si>
  <si>
    <t>05 Investimento para Iniciantes
Conheça Mais
https://t.co/Sl1gXrjHe9
#diversificação #investimentoobjetivo #investimento #rendafixa #rendavariavel #fundosdeinvestimentos #educaçãofinanceira https://t.co/n2QPcC9YyW</t>
  </si>
  <si>
    <t>Mentoria em Investimentos
Clique no Link da BIO
#Investimentos #investimentoobjetivo #MentoriaFinanceira #LiberdadeFinanceira #Aposentadoria #EducaçãoFinanceira https://t.co/fSSDLl0XDb</t>
  </si>
  <si>
    <t>Medo de Investir
Clique no Link da BIO
#MedoDeInvestir #investimentoobjetivo #LiberdadeFinanceira #Aposentadoria #EducaçãoFinanceira #Investimentos https://t.co/uTEw9sGUeC</t>
  </si>
  <si>
    <t>Endividamento
Clique no Link da BIO
#Endividamento #investimentoobjetivo #LiberdadeFinanceira #Aposentadoria #PlanejamentoFinanceiro #EducaçãoFinanceira https://t.co/MSxc0XukWa</t>
  </si>
  <si>
    <t>Endividamento
Clique no Link da BIO
#Endividamento #investimentoobjetivo #LiberdadeFinanceira #Aposentadoria #PlanejamentoFinanceiro #EducaçãoFinanceira https://t.co/JJ7quKZ8OI</t>
  </si>
  <si>
    <t>💸📈🧐 Os impactos do endividamento na vida das pessoas
É importante buscar alternativas e orientações para evitar o acúmulo de dívidas.
#endividamento #investimentoobjetivo #finançaspessoais #educaçãofinanceira https://t.co/sHj5sh812e</t>
  </si>
  <si>
    <t>04 Renda Variável &amp;amp; Previsibilidade
Conheça Mais
https://t.co/Sl1gXrjHe9
#diversificação #investimentoobjetivo #investimento #rendafixa #rendavariavel #fundosdeinvestimentos #educaçãofinanceira https://t.co/j97sii4FL7</t>
  </si>
  <si>
    <t>03 Controle Financeiro Pessoal
Conheça Mais
https://t.co/Sl1gXrjHe9
#diversificação #investimentoobjetivo #investimento #rendafixa #rendavariavel #fundosdeinvestimentos #educaçãofinanceira https://t.co/FyDzjkNFVB</t>
  </si>
  <si>
    <t>Educação Financeira &amp;amp; Oportunidades
Conheça Mais
https://t.co/Sl1gXrjHe9
#diversificação #investimentoobjetivo #investimento #rendafixa #rendavariavel #fundosdeinvestimentos #educaçãofinanceira https://t.co/bHx50s42Ov</t>
  </si>
  <si>
    <t>Conheça todas as opções disponíveis e tome uma decisão informada para realizar o seu desejo de #carronovo!
#EscolhasInteligentes #FinançasPessoais #EducandoSeuBolso</t>
  </si>
  <si>
    <t>#educaçãofinanceira   #eletricista       #eletrificacao   #Embudasartes
https://t.co/G5eOE7siiv</t>
  </si>
  <si>
    <t>https://t.co/Qoe4v8KZzI
#rh   #recursoshumanos   #trabalho   #educaçãofinanceira   #enfermagem   #obras   #autozone   #byd</t>
  </si>
  <si>
    <t>Quem é você na fila do pão? 11/04/ 2023
https://t.co/6rXD9xl3LL
#rh   #recursoshumanos   #trabalho   #educaçãofinanceira   #enfermagem   #obras   #autozone   #byd</t>
  </si>
  <si>
    <t>Psicanálise e Você 16 05 2023
Psicanálise e Empreendedorismo
 Marcia Camargo e Thiago Kauffman https://t.co/mZDgX7DxMd…
#educaçãofinanceira   #eletricista       #eletrificacao   #Embudasartes   #empatia       #empreendedor</t>
  </si>
  <si>
    <t>#ead   #eafelino   #ebramec   #Ecoinovação    #economia   #ecossistema   #educação   #educaçãofinanceira   #eg   #eletricista       #eletrificacao   #eletromecanica
https://t.co/MkKMDbYNbR</t>
  </si>
  <si>
    <t>Programa Psicanálise e você - 18/07/2023 - Acupunturista - Irineu de Araújo
https://t.co/3eAGd4uU9s
https://t.co/yBwqRjVYD1
#filosofia   #filosofiadevida   #financaspessoais   #financeiro</t>
  </si>
  <si>
    <t>Have you ever wondered which is the largest company in the world?
#finance #liberdadefinanceira #personalfinance #mercadofinanceiro #finances #educacaofinanceira #independenciafinanceira #planejamentofinanceiro #refinance #sucessofinanceiro #financeiro #financetips https://t.co/Y511BxDs2B</t>
  </si>
  <si>
    <t>Educação Financeira em todas as redes sociais :)
Não tem mais desculpas para não investir em conhecimento hein?!
#educacaofinanceira #financas https://t.co/l6pm6M6t5H</t>
  </si>
  <si>
    <t>Centenas de vidas transformadas 💰!
Obrigada pelo prestígio :)
#financas #educacaofinanceira #parabens https://t.co/nwyAbD6VL8</t>
  </si>
  <si>
    <t>🗣Segredinhos que os bancos não contam, mas eu falo! 💥
#Entrevista #tv #educacaofinanceira https://t.co/lRelvjamPH</t>
  </si>
  <si>
    <t>Finanças com a turma da Monica
#mônica #educacaofinanceira #matematicafinanceira https://t.co/saF0yfxgwX</t>
  </si>
  <si>
    <t>https://t.co/Smf6rnp1xk
#ControleDeGastos #SaúdeFinanceira #MetasFinanceiras #PlanejamentoFinanceiro #EducaçãoFinanceira #DicasFinanceiras #VidaFinanceira #EquilíbrioFinanceiro #OrganizaçãoFinanceira #IndependênciaFinanceira</t>
  </si>
  <si>
    <t>Conhecer suas receitas, controlar suas despesas e fazer escolhas inteligentes são passos importantes rumo ao sucesso financeiro. 
https://t.co/hSe6vLero7
#FinançasPessoais #GestãoFinanceira</t>
  </si>
  <si>
    <t>Transforme sua relação com o dinheiro com o Curso Completo de Psicologia Financeira. Descubra como tomar decisões inteligentes. Inscreva-se agora! 💰💡 #PsicologiaFinanceira #EducaçãoFinanceira
https://t.co/caAfVjKL31 https://t.co/Amsu4X9kSi</t>
  </si>
  <si>
    <t>Não perca, hoje, às 13h45, na página oficial do Instagram da CMC.
https://t.co/9x405PDUje
#Angola #CMC #CMC&amp;amp;U #MercadodeCapitais #EducaçãoFinanceira #ConcursoCientífico https://t.co/tKj71SIg4w</t>
  </si>
  <si>
    <t>Independente do ano o Bitcoin continua sendo o BITCOIN.  
Qualquer ano que seja, o Bitcoin permanecerá dessa forma, como os “Enzos”.
#bitcoin #2023 #investimento #enzo #tujaparouprapensar #Crypto #educacaofinanceira #criancasendo #crianca https://t.co/iFDZ9zp7LA</t>
  </si>
  <si>
    <t>Aprenda a escolher as melhores estratégia https://t.co/XYzm6gK0He via @YouTube 
#educaçãofinanceira #liberdadefinanceira
+ https://t.co/nlhYWGqcNl...    Descubra o poder da educação financeira e aprenda a fazer escolhas inteligentes de investimento!  Você já se perguntou como</t>
  </si>
  <si>
    <t>#Investimentos #MercadoFinanceiro #LiberdadeGeográfica #LiberdadeFinanceira #Oportunidades #Crescimento #Prosperidade #Conhecimento #EducaçãoFinanceira #TrabalhoRemoto #Flexibilidade #Persistência #IndependênciaFinanceira #RealizaçãoDeSonhos #ApoioProfissional</t>
  </si>
  <si>
    <t>Assim como você cuida da sua saúde, pense também na sua Saúde Financeira!
Você não sobe uma montanha sem estar com a saúde em dia, assim como não realiza grandes sonhos se estiver superendividado.
Conheça nossos Planos de Saúde Financeira.
#SuperRico #finançaspessoais https://t.co/tdKzbelYFN</t>
  </si>
  <si>
    <t>Esse é o Maurício Amorim, um de nossos planejadores!
Se você também quer fazer parte de nosso time de planejadores, entre em contato conosco. https://t.co/56oFRh80jA
#SuperRico #finançaspessoais #investimentos #planejadoresfinanceiros #independênciafinanceira https://t.co/rm8fYvdSfg</t>
  </si>
  <si>
    <t>Esse é o Marcelo Bittencourt, um de nossos planejadores!
Se você também quer fazer parte de nosso time de planejadores, entre em contato conosco.
#SuperRico #finançaspessoais #investimentos #planejadoresfinanceiros #independênciafinanceira #SaúdeFinanceira https://t.co/i1nXh3ufwY</t>
  </si>
  <si>
    <t>Esse é o David Parnes, um de nossos planejadores!
Se você também quer fazer parte de nosso time de planejadores, entre em contato conosco.
#SuperRico #finançaspessoais #investimentos #planejadoresfinanceiros #independênciafinanceira https://t.co/nAonOUKwuO</t>
  </si>
  <si>
    <t>Esse é o Daniel Terra, um de nossos planejadores!
Se você também quer fazer parte de nosso time de planejadores, entre em contato conosco pelo link na bio!
#SuperRico #finançaspessoais #investimentos #planejadoresfinanceiros #independênciafinanceira #SaúdeFinanceira https://t.co/oh78kfJ7uv</t>
  </si>
  <si>
    <t>Essa é a Cristiane Godoy, uma de nossas planejadoras!
Se você também quer fazer parte de nosso time de planejadores, entre em contato conosco!
https://t.co/56oFRh80jA
#SuperRico #finançaspessoais #investimentos #planejadoresfinanceiros #SaúdeFinanceira https://t.co/5kGt6nfDfI</t>
  </si>
  <si>
    <t>Esse é o Edimar Curty, um de nossos planejadores!
Se você também quer fazer parte de nosso time de planejadores, entre em contato conosco.
#SuperRico #finançaspessoais #investimentos #planejadoresfinanceiros #independênciafinanceira #SaúdeFinanceira https://t.co/joYOskaU4L</t>
  </si>
  <si>
    <t>Esse é o Cristiano de Carvalho, um de nossos planejadores!
Se você também quer fazer parte de nosso time de planejadores, entre em contato conosco.
https://t.co/Ufkh47IGh2
#SuperRico #finançaspessoais #investimentos #planejadoresfinanceiros #independênciafinanceira https://t.co/DtefBy52lw</t>
  </si>
  <si>
    <t>Quer fazer parte desse time de Planejadores Financeiros formados por nosso sócio Gustavo Cerbasi ?
#SuperRico #finançaspessoais #investimentos #planejadoresfinanceiros #independênciafinanceira #SaúdeFinanceira https://t.co/2TUIRfRjgY</t>
  </si>
  <si>
    <t>Um time de Planejadores Financeiros, formados por nosso sócio Gustavo Cerbasi.
Cadastre-se gratuitamente em nossa Plataforma de Saúde Financeira e conheça nossas soluções.
#SuperRico #finançaspessoais
#planejadoresfinanceiros #independênciafinanceira #SaúdeFinanceira https://t.co/MdKdZRo31Q</t>
  </si>
  <si>
    <t>Essa é a Andrea Saad, uma de nossas planejadoras!
Se você também quer fazer parte de nosso time de planejadores, entre em contato conosco.
https://t.co/ipCsRZxjnG
#SuperRico #finançaspessoais #investimentos #planejadoresfinanceiros #independênciafinanceira #SaúdeFinanceira https://t.co/vysX1CtHB8</t>
  </si>
  <si>
    <t>Esse é o Fernando Pureza, um de nossos planejadores!
Se você também quer fazer parte de nosso time de planejadores, entre em contato conosco.
#SuperRico #finançaspessoais #investimentos #planejadoresfinanceiros #independênciafinanceira ##saudefinanceira https://t.co/1qNKCDwbAN</t>
  </si>
  <si>
    <t>Essa é a Sibele Valsani, uma de nossas planejadoras!
Se você também quer fazer parte de nosso time de planejadores, entre em contato conosco.
#SuperRico #finançaspessoais #investimentos #planejadoresfinanceiros #independênciafinanceira https://t.co/13iK0afFtv</t>
  </si>
  <si>
    <t>Feliz dia dos avós!
Se você ama presentear, presenteie!
Mas mais do que presente, tente oferecer um pouco de presença no dia de hoje e aproveite esse momento!
#SuperRico #finançaspessoais #investimentos #planejadoresfinanceiros #independênciafinanceira #SaúdeFinanceira https://t.co/uqL9aDDjOW</t>
  </si>
  <si>
    <t>Esse é o André Esteves, um de nossos planejadores!
Se você também quer fazer parte de nosso time de planejadores, entre em contato conosco pelo link na bio!
#SuperRico #finançaspessoais #investimentos #planejadoresfinanceiros #independênciafinanceira #SaúdeFinanceira https://t.co/gMo5x1PVH0</t>
  </si>
  <si>
    <t>Essa é a Denise Thiengo, uma de nossas planejadoras!
Se você também quer fazer parte de nosso time de planejadores, entre em contato conosco.
#SuperRico #finançaspessoais #investimentos #planejadoresfinanceiros #independênciafinanceira #SaúdeFinanceira https://t.co/WmOZXWjQ92</t>
  </si>
  <si>
    <t>Personalizamos a mentoria de acordo com os seus objetivos e metas. Entre em contato e nos conte sobre seus sonhos contato@keepgrowing.com.br
#keepgrowingmentoria #desenvolvimentopessoal #liberdadefinanceira #educaçãofinanceira #dinheiro #menor #mentoria #objetivos #metas</t>
  </si>
  <si>
    <t>O sucesso é algo que acontece dentro de você. São seus hábitos diários para melhorar a produtividade, suas rotinas matinais, aquilo a que você dedica seu tempo.
#keepgrowingmentoria #educaçãofinanceira #mentalidadevencedora #mentalidadederiqueza #mentalidade #poderdohábito https://t.co/9l5wr3BPLp</t>
  </si>
  <si>
    <t>finanças de qualquer casal que deseja administrar melhor seus recursos para enriquecer juntos.
#keepgrowingmentoria #desenvolvimentopessoal #casaisinteligentesenriquecem #finançasadois #dinheiro #educaçãofinanceira #casalinteligenteenriquecejuntos #diadosnamorados #amor #futuro</t>
  </si>
  <si>
    <t>Preparamos esse artigo para auxiliar os mais jovens a organizar sua vida financeira focando em um futuro mais tranquilo. 
#keepgrowing #mentoria #educaçãofinanceira #investir #dinheiro #inteligenciafinanceira #investiemntos #futuro 
https://t.co/Ufbr9CM9IK</t>
  </si>
  <si>
    <t>nível de proteção diferente, umas protegem mais e outras menos!  
#keepgrowingmentoria #makeyourfuture #desenvolvimentopessoal #realização #liberdadefinanceira #educaçãofinanceira #mentoria #inteligenciafinanceira #dinheiro #investir #investimentos #ações #investidoresiniciantes</t>
  </si>
  <si>
    <t>Nosso mentor preparou essa dica especial para você que está desejando iniciar sua organização financeira e iniciar a investir.
#keepgrowingmentoria #realização #liberdadefinanceira #educaçãofinanceira #mentoria #inteligenciafinanceira #dinheiro #investir #investimentos #ações https://t.co/OpyboQF0pm</t>
  </si>
  <si>
    <t>ideias que podem te levar ao triunfo!  #keepgrowing #keepgrowingmentoria #makeyourfuture #educaçãofinanceira #educaçãofinanceiraparacrianças #dinheiro #liberdadefinanceira #napoleonhill #novasideias #mudanças #triunfo #evolução #conquistas</t>
  </si>
  <si>
    <t>Preparamos para você uma lista com os melhores podcast's de Finanças para você se manter informado
https://t.co/nwtNlXcuRU
#keepgrowing #podcast #finanças #liberdadefinanceira #dinheiro #educaçãofinanceira</t>
  </si>
  <si>
    <t>Programe sua aposentadoria o mais rápido possível.
#keepgrowingmentoria  #realização #liberdadefinanceira #aposentadoria #inteligenciafinanceira #dinheiro #investir #investimentos #ações #inss #dinheiro #velhice #educaçãofinanceira #inteligenciafinanceira https://t.co/of4IUdsHGb</t>
  </si>
  <si>
    <t>E ai conte o qual a sua maior dificuldade?
#keepgrowing #keepgrowingmentoria #makeyourfuture #desenvolvimentopessoal #disciplina #iteligenciafinanceira #gastos #controlandogastos #educaçãofinanceira #dinheiro #economia #economize #invista #investimentos #liberdadefinanceira https://t.co/aAK1JhZo72</t>
  </si>
  <si>
    <t>Como está a sua organização financeira? Foque na sua evolução.
#keepgrowing #keepgrowingmentoria #makeyourfuture #desenvolvimentopessoal #liberdadefinanceira #liberdade #inteligenciafinanceira #educaçãofinanceira #desenvolvimentofinanceiro #organizaçãofinanceira https://t.co/CYY5DgK4P8</t>
  </si>
  <si>
    <t>ECONOMIA DO BEM COMUM
Jean Tirole
Nobel de economia em 2014, o autor nos traz elegante aula de economia e ilumina o debate sobre o papel dos governos na gestão econômica.
#profricardoviana #matematica #financeira #educacaofinanceira #dicadelivro #ficaadica #leiamais #finanças https://t.co/R0C99iJG8r</t>
  </si>
  <si>
    <t>Calculando percentuais com essa ótima questão comentada CEBRASPE.
#profricardoviana #matematica #financeira #educacaofinanceira #concursopublico #concursos #enem #bb2023 #cef2023 #brb2023 #basa2023 #bc2023 #bacen2023 https://t.co/ikxzFtDHij</t>
  </si>
  <si>
    <t>Treine o cálculo de  percentuais com essa questão comentada CESGRANRIO.
#profricardoviana #matematica #financeira #educacaofinanceira #concursopublico #concursos #enem #bb2023 #cef2023 #brb2023 #basa2023 #bc2023 #bacen2023 https://t.co/ZdoCAT2a34</t>
  </si>
  <si>
    <t>Desde que o ano começou, como você avalia suas finanças pessoais no primeiro semestre de 2023?💰💸
#EducaçãoFinanceira #FinançasPessoais #OrgazineSuasFinanças</t>
  </si>
  <si>
    <t>O que é uma taxa de juros efetiva?
Assista e aprenda!
#profricardoviana #matematica #financeira #educacaofinanceira #concursopublico #concursos #enem #bb2023 #cef2023 #brb2023 #basa2023 #bc2023 #bacen2023 https://t.co/vD884GqQGl</t>
  </si>
  <si>
    <t>Raciocínio lógico com essa boa questão comentada Cesgranrio. Fique craque!!!
#profricardoviana #matematica #financeira #educacaofinanceira #concursopublico #concursos #enem #bb2023 #cef2023 #brb2023 #basa2023 #bc2023 #bacen2023 https://t.co/yvxuI5FCXx</t>
  </si>
  <si>
    <t>PRINCÍPIOS DO ESTRATEGISTA
Por Felipe Miranda &amp;amp; Ricardo Mioto
Obra didática e que certamente contribuirá para a formação de muitos investidores.
#profricardoviana #matematica #financeira #educacaofinanceira #financas #economia #dicadelivro #ficaadica #livrofinancas #leiamais https://t.co/hprOZpKjmu</t>
  </si>
  <si>
    <t>Já elaborou suas metas para 2023?
Eu proponho 4 metas que vão mudar a sua saúde financeira neste ano.
#profricardoviana #matematica #financeira #educacaofinanceira #metas2023 #resolucaoanonovo #resolucoes #vidanova https://t.co/KHkWcAHEKB</t>
  </si>
  <si>
    <t>🎉🤝 Feliz Dia do Amigo! 🤝🎉
Amigos são aqueles que se preocupam com o nosso bem-estar. Que tal compartilhar algumas dicas financeiras com eles hoje? 💡📚
#ProfRicardoViana #matematica #financeira #DiaDoAmigo #EducaçãoFinanceira #AmigosQueSeApoiam #CrescendoJuntos https://t.co/QU1rq9ZDhb</t>
  </si>
  <si>
    <t>O piquenique e suas finanças!
Neste vídeo há 4 dicas para unir piquenique à educação financeira e à simplicidade. Valorize as coisas importantes e celebre o dia a dia.
#ProfRicardoViana #DiaDoPiquenique #EducaçãoFinanceira #VidaSimples #ValorizandoExperiências #Desacelerando https://t.co/ijQOGe1HXR</t>
  </si>
  <si>
    <t>Dia Internacional do Piquenique
18/jun
Desacelere, saboreie momentos simples e cuide das finanças. A verdadeira riqueza está nas experiências compartilhadas com aqueles que amamos. 💚🌿
#DiaDoPiquenique #EducaçãoFinanceira #VidaSimples #ValorizandoExperiências #Desacelerando https://t.co/BGX0AlmG2d</t>
  </si>
  <si>
    <t>Temos uma nova logomarca!!!
#profricardoviana #matematica #financeira #financas #investimentos #educacaofinanceira #graduacao #posgraduacao #concursopublico #concursos https://t.co/3lrZzjHt61</t>
  </si>
  <si>
    <t>"Com educação financeira, sabadou e o futuro abraçou!" 💰📚 
#EducaçãoFinanceira #Sabadou</t>
  </si>
  <si>
    <t>#ProfRicardoViana #EducaçãoFinanceira #ResponsabilidadeFinanceira #VidaNoOrçamento #OrganizeSuasFinanças https://t.co/2dJixeg4eD</t>
  </si>
  <si>
    <t>A Lanterna na Popa
Roberto Campos
Obra clássica da economia brasileira! O autor foi um dos mais renomados economistas do país e era incansável na defesa do livre mercado.
#dicadelivro #ficaadica #leiamais #economia #livrodefinanças #educaçãofinanceira #profricardoviana https://t.co/0Zk3D7NU9e</t>
  </si>
  <si>
    <t>A taxa nominal pode parecer simples, mas esconde alguns segredos financeiros! 
🕵Descubra por que é importante entender a diferença entre taxa nominal e taxa efetiva e como isso pode afetar sua vida financeira. 💡💸💪
#ProfRicardoViana #MatemáticaFinanceira #EducaçãoFinanceira https://t.co/6CGGBA9fIt</t>
  </si>
  <si>
    <t>🎉 Somos 100.000!!!🎉
Agradeço aos 100k apaixonados por educação financeira. Estamos construindo uma comunidade dedicada ao aprendizado em finanças e à independência. Vamos continuar espalhando conhecimento! 💪💰 
#100kSeguidores #EducaçãoFinanceira #MatemáticaFinanceira https://t.co/WxmyEdZBvV</t>
  </si>
  <si>
    <t>Amor em Equilíbrio 💑💰
Neste Dia dos Namorados, vamos mostrar que o amor e a matemática financeira podem caminhar juntos! Alcancem unidos suas metas financeiras e promovam o equilíbrio perfeito entre amor e finanças. 💞✨
#AmorEmEquilíbrio #EducacaoFinanceira
Foto: Pexels-Han https://t.co/In5klwon9x</t>
  </si>
  <si>
    <t>Fazendo análise de investimentos com essa ótima questão comentada CEBRASPE.
#profricardoviana #matematica #financeira #educacaofinanceira #concursopublico #concursos #enem #bb2023 #cef2023 #brb2023 #basa2023 #bc2023 #bacen2023 https://t.co/fmCxN9ZkbP</t>
  </si>
  <si>
    <t>Conversão de taxa de juros! Como entender com essa questão comentada Cesgranrio.
#profricardoviana #matematica #financeira #educacaofinanceira #concursopublico #concursos #enem #bb2023 #cef2023 #brb2023 #basa2023 #bc2023 #bacen2023 https://t.co/fVeGVdx6ha</t>
  </si>
  <si>
    <t>Calculo de montante com essa questão comentada CESGRANRIO.
#profricardoviana #matematica #financeira #educacaofinanceira #concursopublico #concursos #enem #bb2023 #cef2023 #brb2023 #basa2023 #bc2023 #bacen2023 https://t.co/LTGXUO8Kft</t>
  </si>
  <si>
    <t>https://t.co/916AxpmJMB
#educaçãofinanceira @poupex_oficial</t>
  </si>
  <si>
    <t>Previsivelmente Irracional
Dan Ariely
O autor é um renomado economista comportamental e aborda temas relacionados à tomada de decisões irracionais pelos seres humanos. Fornece insights valiosos pra educação financeira.
#dicadelivro  #educaçãofinanceira #profricardoviana https://t.co/y7xcQaTIUS</t>
  </si>
  <si>
    <t>Qual foi sua maior compra por impulso que se arrependeu depois? Compartilhe suas histórias nos comentários, retweet, marque amigos e ajude outros a aprender com suas experiências! 💰😎 
 #ErrosFinanceiros #AprenderComOsErros #EducaçãoFinanceira
Foto: pexels-karolina-grabowska. https://t.co/3xs5zuuWx6</t>
  </si>
  <si>
    <t>#profricardoviana #matematica #financeira #educacaofinanceira #DiadoAmigo https://t.co/DvbzhtrlEo</t>
  </si>
  <si>
    <t>#ProfRicardoViana #EducacaoFinanceira #FinancasPessoais #PlanejamentoFinanceiro #LiberdadeFinanceira #OrganizeSuasFinanças https://t.co/Wt5npzUBX0</t>
  </si>
  <si>
    <t>No mundo das oportunidades, poucas coisas se comparam ao investimento mais valioso: gerenciar o próprio dinheiro. Lembre-se que não há retorno mais promissor do que entender nossas finanças.
#EducaçãoFinanceira #InvestimentoPessoal #LiberdadeFinanceira https://t.co/QR3YgyeFBp</t>
  </si>
  <si>
    <t>#ProfRicardoViana #EducaçãoFinanceira #ResponsabilidadeFinanceira #VidaNoOrçamento #OrganizeSuasFinanças https://t.co/CYPdvVBhS1</t>
  </si>
  <si>
    <t>Comece a semana com o pé direito! Descubra como estabelecer uma rotina financeira saudável, definir metas alcançáveis e criar um orçamento realista. Aprenda a poupar desde o início da semana e evite gastos impulsivos. 
#EducaçãoFinanceira #PlanejamentoFinanceiro</t>
  </si>
  <si>
    <t>#ProfRicardoViana #EducaçãoFinanceira #ResponsabilidadeFinanceira #VidaNoOrçamento #OrganizeSuasFinanças https://t.co/5z3a3k4XP9</t>
  </si>
  <si>
    <t>Aprenda JUROS SIMPLES, de forma fácil, nessa questão comentada CEBRASPE.
#profricardoviana #matematica #financeira #educacaofinanceira #concursopublico #concursos #enem #bb2023 #cef2023 #brb2023 #basa2023 #bc2023 #bacen2023 https://t.co/5Sd1z16zJJ</t>
  </si>
  <si>
    <t>Fique craque em sistema de amortização com essa questão comentada!
#profricardoviana #matematica #financeira #educacaofinanceira #concursopublico #concursos #enem #bb2023 #cef2023 #brb2023 #basa2023 #bc2023 #bacen2023 https://t.co/I7zbinp7ew</t>
  </si>
  <si>
    <t>Hoje celebramos a data nacional do país. Celebre também a liberdade que a educação proporciona.
#IndependênciaDoBrasil #EducaçãoFinanceira #LiberdadeFinanceira #MatemáticaFinanceira #ProfRicardoViana https://t.co/hwGk18ZNQP</t>
  </si>
  <si>
    <t>"A educação financeira vem antes da prosperidade financeira".
#EducaçãoFinanceira #ProsperidadeFinanceira #MatemáticaFinanceira #ProfRicardoViana https://t.co/07Sj1SGlE8</t>
  </si>
  <si>
    <t>Taxa Nominal x Taxa Efetiva: entenda a diferença! 🤔
💡 Dica: para comparar investimentos ou empréstimos, sempre utilize a taxa efetiva, pois ela reflete o impacto real no seu bolso!
#ProfRicardoViana #matemáticafinanceira #educaçãofinanceira #concursopúblico #concursos https://t.co/wkBY5eXTEu</t>
  </si>
  <si>
    <t>ECONOMIA DO COTIDIANO
Decifra-me ou te devoro
Alexandre Schwartsman
#profricardoviana #matematica #financeira #educacaofinanceira #concursopublico #dicadelivro #ficaadica #leiamais #livrofinancas https://t.co/H4UgZuuxwo</t>
  </si>
  <si>
    <t>Quando compreendemos o poder do uso consciente do dinheiro - como ganhá-lo, economizá-lo e investi-lo com sabedoria - estamos capacitados a transformar sonhos em realidade.
#EducaçãoFinanceira #SonhosEmRealidade #MatemáticaFinanceira #ProfRicardoViana https://t.co/NLWEAbLvEf</t>
  </si>
  <si>
    <t>O Poderoso Chefão ... das Dívidas: de R$ 100 a R$ 1 bilhão.
É o que acontece após 9 anos e meio com juros de 15,3% ao mês ou 454% ao ano. E eles existem: é praticada por alguns bancos no rotativo do cartão.
#matemática #financeira #educaçãofinanceira  #profricardoviana https://t.co/XXX9mphUdN</t>
  </si>
  <si>
    <t>Matemágica financeira: lições de multiplicação.
Lembra da história de multiplicar pães e peixes? Bem, a taxa do rotativo do seu cartão consegue, em três anos, multiplicar o seu problema financeiro por 170. É o que a taxa de 454% a.a. fará por você!
#educaçãofinanceira https://t.co/eTMNQAobzc</t>
  </si>
  <si>
    <t>Você já ouviu falar sobre empréstimo de pagamento único? Vou explicar como funciona.
#ProfRicardoViana #MatemáticaFinanceira #EducaçãoFinanceira #ConcursoPúblico #Empréstimos #PlanejamentoFinanceiro #DicasDeFinanças https://t.co/Aq1zd1d2fu</t>
  </si>
  <si>
    <t>Descubra a "fórmula secreta" para desvendar a taxa de juros efetiva! 💰✨ Aprenda a calcular com precisão e transforme conhecimento em oportunidades.
#matematica #financeira #educaçãofinanceira #concursopublico #concursos #brb2023 #basa2023 #bc2023 #bacen2023 #profricardoviana https://t.co/KXvOpci2Vx</t>
  </si>
  <si>
    <t>Uma ótima questão para treinar VPL e TIR!
#profricardoviana #matematica #financeira #educacaofinanceira #concursopublico #concursos #enem #bb2023 #cef2023 #brb2023 #basa2023 #bc2023 #bacen2023 #AnáliseInvestimentos https://t.co/vIULrfWFBH</t>
  </si>
  <si>
    <t>DIA NACIONAL DA MATEMÁTICA
06 de maio
A data é para reflexão sobre a educação matemática e estimulo ao pensamento científico.
#profricardoviana #matematica #financeira #educacaofinanceira #concursopublico #concursos #enem #bb2023 #cef2023 #brb2023 #basa2023 #bc2023 #bacen2023 https://t.co/DyGExfKnDa</t>
  </si>
  <si>
    <t>Entenda Taxa Interna de Retorno (TIR) de forma fácil com essa questão Cesgranrio.
#profricardoviana #matematica #financeira #educacaofinanceira #concursopublico #concursos #enem #bb2023 #cef2023 #brb2023 #basa2023 #bc2023 #bacen2023 https://t.co/2TeL009Wi9</t>
  </si>
  <si>
    <t>Montante + juros compostos + amortização extraordinária. É uma ótima questão comentada para aprender matemática financeira.
#profricardoviana #matematica #financeira #educacaofinanceira #concursopublico #concursos #enem #bb2023 #cef2023 #brb2023 #basa2023 #bc2023 #bacen2023 https://t.co/jtt8IrX1aL</t>
  </si>
  <si>
    <t>A educação financeira é fundamental para o controle do dinheiro, evitando dívidas e alcançando estabilidade financeira. Saiba mais: https://t.co/eEQKqPFbdm
 #controledegastos #educaçãofinanceira #equilíbriofinanceiro #investimentos #planejamentofinanceiro</t>
  </si>
  <si>
    <t>Aprender a cuidar do seu dinheiro é fundamental para construir um futuro financeiro estável. Educação financeira é a chave. Saiba mais: https://t.co/dRIDQK6Dqz
 #finançaspessoais #investimentos #orçamento #planejamentofinanceiro #poupança</t>
  </si>
  <si>
    <t>Aprenda a investir na bolsa de valores com segurança e estratégia assertiva. Saiba mais: https://t.co/ruPE2nScqm
 #bolsadevalores #educaçãofinanceira #estratégia #investimento #segurança</t>
  </si>
  <si>
    <t>Os fundos de investimento são opções populares para investidores. Saiba mais: https://t.co/Fkgb0xLZWu
 #diversificação #finançaspessoais #fundosdeinvestimento #investimentos #rentabilidade</t>
  </si>
  <si>
    <t>O planejamento financeiro mantém suas finanças pessoais em ordem. Saiba mais: https://t.co/LpKZk491iB
 #economiadoméstica #finançaspessoais #gestãofinanceira #orçamentopessoal #planejamentofinanceiro</t>
  </si>
  <si>
    <t>🔍 📚 Preparando-se para a economia digital? Eduque-se e forje seu caminho para a liberdade financeira. Conheça o Curso Bitcoin Black Pill e explore os diferenciais do Bitcoin em nossa análise detalhada.
#EducaçãoFinanceira #BitcoinBlackPill
https://t.co/DBJ7n733bG</t>
  </si>
  <si>
    <t>"Investir é como plantar uma semente: precisa de cuidado e paciência, mas com o tempo pode dar frutos abundantes! Escolha os investimentos certos e mantenha-os estrategicamente #investimento #finançaspessoais #riquezafutura 💰🌱"</t>
  </si>
  <si>
    <t>A colunista Paola Carvalho (@paolacarvalho), especialista em #finanças, fala sobre como a educação financeira é fundamental para mulheres.
Leia a matéria na íntegra no link a seguir: https://t.co/X3QVp2LuoJ
#educaçãofinanceira https://t.co/BKcaEZ70Lz</t>
  </si>
  <si>
    <t>@duudaismo n vou te pagar pra tu n se iludir assim #educacaofinanceira</t>
  </si>
  <si>
    <t>📣 Ensino galera a entrar no mercado financeiro com pouca grana no meu Insta! Segue lá ➡️ @otaciotrader 📈💰 #MercadoFinanceiro #Investimentos #DicasFinanceiras #EducaçãoFinanceira</t>
  </si>
  <si>
    <t>The keys to your financial freedom. Play them wisely
.
.
.
#finance #libertadfinanciera #liberdadefinanceira #finances #personalfinance #financetips #mercadofinanceiro #educacionfinanciera #educacaofinanceira #planejamentofinanceiro #independenciafinanceira #educaçãofinanceira https://t.co/ltpHCoycnb</t>
  </si>
  <si>
    <t>Tem artigo novo no blog.
Série Resenhas: O investidor inteligente.
Confere lá, curta e compartilha para que mais pessoas tenham acesso ao conteúdo.
#resenhadelivros #educacaofinanceira #investimentos #oinvestidorinteligente https://t.co/MuWd8AWG6k</t>
  </si>
  <si>
    <t>Com CONHECIMENTO você tomará melhores decisões, com respeito a área que deseja crescer!
Questione, teste e valide. Use a melhor ferramenta que você tem para isso: o seu cérebro! Ele pode ser reprogramado para uma vida de conquista.
#EducacaoFinanceira não é sobre economizar, ou</t>
  </si>
  <si>
    <t>O seu primeiro emoji representa a sua vida financeira!
Não vale roubar, hein? 😎
#jeitobbank #independenciafinanceira #educacaofinanceira #bancodigital #vidafinanceira</t>
  </si>
  <si>
    <t>Veja que o pico de ativos sob gestão foi em 2021.
#ativos #investimentos #investidor #educacaofinanceira #finanças em Recife, Brazil https://t.co/Qs43VOF063</t>
  </si>
  <si>
    <t>Confira o gráfico e veja como a história pode nos ensinar valiosas lições sobre investimentos. Quem sabe, ao entender os momentos de baixa, você possa se preparar para aproveitar as oportunidades quando o mercado se recuperar. #investimentos #mercadodeações #educaçãofinanceira https://t.co/jHfo3dtRPv</t>
  </si>
  <si>
    <t>😵Vários fatores contribuíram para o aumento da inadimplência, incluindo a crise econômica, o desemprego, a redução do poder de compra e a falta de educação financeira.
#financas #educacaofinanceira #inadimplenia #investimento #economia #investidor #grafico https://t.co/ugV1oYcttJ</t>
  </si>
  <si>
    <t>Depois de quase 10 anos tento uma vida financeira, cometi o maior crime nessa área.
Gastei mais que o dobro do dinheiro que entrou no mês de abril. 
Espero nunca mais repetir esse feito.😭😭😭
#educacaofinanceira
#money https://t.co/EpsCRRWio5</t>
  </si>
  <si>
    <t>O artigo foi escrito há já algum tempo, com a subida de preço da gasolina, vale apena ler e aplicar! 🧐💰
  https://t.co/QzFosYS86f… #poupança #educaçãofinanceira</t>
  </si>
  <si>
    <t>💰😉Pais e mães, como anda a preparação para o futuro dos vossos filhos? Educação Financeira começa em casa e começa cedo nas coisas pequenas. 👌 Qual das dicas do artigo têm aplicado para os vossos filhos? 
#EducaçãoFinanceira</t>
  </si>
  <si>
    <t>Feliz ano novo! 🤩🤩 Que 2023 seja um ano repleto de conquistas e com a vida financeira super organizada. Que tal começar o ano com uma boa limpeza? 
https://t.co/XxoPWApHEB #EducaçãoFinanceira</t>
  </si>
  <si>
    <t>O Nosso "Livro e Café"  está marcado para hoje a partir das 17:00 horas em Talatona! Inscrição: https://t.co/rjs40AXsdD
🤩 O livro será o "Mais que Dinheiro - O Guia Ideal de Finanças para Casais" o Café será o da Delta, a conversa será com o Bruno Sousa. Esperamos por vocês! https://t.co/SSRQkhSkfS</t>
  </si>
  <si>
    <t>👩‍❤️‍👨💰Mais uma tarefa da semana e um caso da vida real!O que o dinheiro representa para ti? #EducaçãoFinanceira https://t.co/EMOtdK9GGQ</t>
  </si>
  <si>
    <t>Para nós mulheres é muito importante aprendermos a conversar sobre dinheiro, utilizá-lo de forma saudável, pensar nos nossos objectivos e traçar planos para lá chegar.  #educaçãofinanceira</t>
  </si>
  <si>
    <t>💰Tarefa da semana! 😘  #educaçãofinanceira #finançasparacasais https://t.co/idkKuDF2Tt</t>
  </si>
  <si>
    <t>Os casais precisam de conversar sempre! Quando as coisas correm bem e quando correm mal. 💰😉 #maisquedinheiro #educaçãofinanceira #finançasparacasais https://t.co/AYVP9h8WZs</t>
  </si>
  <si>
    <t>💰Dicas para casais jovens que pretendem começar a viver juntos!   Mais que Dinheiro! O Guia Ideal de Finanças Para Casais #educaçãofinanceira #finançasparacasais https://t.co/wEDR56XtW1</t>
  </si>
  <si>
    <t>Porque Maio é o mês das mães!🥰💰
https://t.co/6wuEIooZA7  #EducaçãoFinanceira</t>
  </si>
  <si>
    <t>Na sequência da queda do edifício 41 em Luanda, os seus moradores perderam a casa que viviam, mobília electrodomésticos e outros! 
Agora terão que recomeçar do "Zero",  para quem tem um fundo de emergência será menos difícil. 
https://t.co/XI2J4OyLcu   #EducaçãoFinanceira</t>
  </si>
  <si>
    <t>🥰Dia dos Namorados💰:
O dia dos namorados é uma celebração de sentimentos, afecto e dedicação na relação. Sejam ponderados, para que um dia não prejudique todo o vosso planeamento financeiro do mês. 😉 
#Diadosnamorados #poupança #educaçãofinanceira</t>
  </si>
  <si>
    <t>Organização financeira deve começar pelo básico. 😉💰 Este é o passo Nº 1 para o teu sucesso financeiro.
https://t.co/qRTFXaz9PK #educaçãofinanceira #poupança</t>
  </si>
  <si>
    <t>Sextou na chamada "Semana do Iban"! 😂😂
Para não haver choros na Segunda Feira, leva estas dicas em conta! 💰😉😂😂
https://t.co/pLkRarQZRm
#poupança #educaçãofinanceira</t>
  </si>
  <si>
    <t>Como e quando empreender no Grandes Manhãs da Zap. Quais são os teus dons k podem valer dinheiro? 💰 #educaçãofinanceira https://t.co/9x4KCFOTcp</t>
  </si>
  <si>
    <t>💰Quais são as vossas regras para o dinheiro no namoro?  No 📚 Mais que Dinheiro!, a primeira regra é que um namorado ou namorada não tem a obrigação de sustentar financeiramente o seu parceiro ou parceira. Concordas? #maisquedinheiro #finançasparacasais #educaçãofinanceira https://t.co/ZL07QRR2vG</t>
  </si>
  <si>
    <t>A compra emocional é uma doença para a tua vida financeira! 💰  Se fazes compras sem controlo, quando estás triste ou feliz e usas como desculpas as expressões☝️"é só hoje", "eu mereço" ou o"só se vive uma vez".  Policia-te, o bolso agradece! 💪🏾  #EducaçãoFinanceira</t>
  </si>
  <si>
    <t>Kamba, se estiver por Talatona hoje ao final do dia (17:00), está convidado para um livro, um café e uma conversa super interessante sobre Finanças para Casais. 
Localização: Instalações Bet on People https://t.co/QqSARZwuXh
#EducaçãoFinanceira #livros</t>
  </si>
  <si>
    <t>Vem aí o dia dos namorados! Estão preparados?  
  https://t.co/lakEP4QuRp     
#diadosnamorados #educaçãofinanceira #poupanca</t>
  </si>
  <si>
    <t>Junho é o mês das crianças! Você tem preparado os seus filhos para o futuro? #EducaçãoFinanceira
https://t.co/AqW16dIw5N</t>
  </si>
  <si>
    <t>Qual a sua opinião sobre a Ajuda Familiar? Quais são os prós e os contras? 
https://t.co/WJwvgLqkB0 
#EducaçãoFinanceira #Poupança</t>
  </si>
  <si>
    <t>Feliz ano novo! Vamos começar o 2023 com uma boa faxina nas finanças. 👇🏾👇🏾👇🏾
https://t.co/uJ7LNao6NB #EducaçãoFinanceira</t>
  </si>
  <si>
    <t>Estamos todos a sentir no bolso o peso da desvalorização do Kwanza no ultimo mês! E agora, o que fazer?
 Leia a nossa categoria completa de artigos voltados para a poupança para conseguir equilibrar as contas neste momento https://t.co/7eiKxC3Kw2 #educaçãofinanceira #Poupança</t>
  </si>
  <si>
    <t>Já sonhou com uma reforma antecipada antes dos 40 ou 50? https://t.co/wzKrEZJp6t  #educaçãofinanceira</t>
  </si>
  <si>
    <t>Com a subida quase que para o dobro do preço da gasolina, esta dica vai ajudar muito a controlar o orçamento das famílias angolanas.  
https://t.co/uuBke0lpMT     
#poupança #educaçãofinanceira</t>
  </si>
  <si>
    <t>Pais e Mães anotem as dicas de poupança para o início do ano lectivo! #Poupança #EducaçãoFinanceira
https://t.co/7dcJIVcMrq</t>
  </si>
  <si>
    <t>Saia das dividas com o método bola de neve! 💪🏾 #Poupança #educaçãofinanceira 
   https://t.co/BYGsWZAsYA</t>
  </si>
  <si>
    <t>Já estás inscrito na nossa newsletter? Clica e recebe conteúdo fresquinho de Educação Financeira todas as semanas! 😉💰 #EducaçãoFinanceira 
 https://t.co/dMZ15gmJ3N</t>
  </si>
  <si>
    <t>Acabamos de celebrar o dia do pai, a medida que os pais envelhecem surge a necessidade de um maior suporte financeira. Você está preparado?  #EducaçãoFinanceira #Reforma #diadopai 
 https://t.co/ZHa3RtI8Cc</t>
  </si>
  <si>
    <t>Acabamos de chegar ao mês dos namorados! 🥰  Qual a tua opinião sobre a combinação Namoro e Dinheiro? #EducaçãoFinanceira
https://t.co/0mUmHdcNxG</t>
  </si>
  <si>
    <t>Fiquem atentos aos sinais! https://t.co/tvOs6aUHIl  #educaçãofinanceira</t>
  </si>
  <si>
    <t>Já tens o básico feito? 😉💰 
https://t.co/vTTgD2eJN6 #EducaçãoFinanceira #Poupança</t>
  </si>
  <si>
    <t>Costuma a pensar na sua reforma ou acha que ainda é muito cedo?
https://t.co/ShPEU7HMGd 
#poupança #reforma #educaçãofinanceira</t>
  </si>
  <si>
    <t>Como mulher Angolana, quais são os principais  desafios que enfrenta na gestão da sua vida financeira? 
https://t.co/mG06uCuEVv  #educaçãofinanceira</t>
  </si>
  <si>
    <t>Para te ajudar a se organizar e aprender ainda mais sobre #educaçãofinanceira, conte com cursos 100% online e gratuitos.
É só acessar https://t.co/H8UHAbnvAl
Compartilhe com pelo menos mais 2 amigos.
#SicoobCOOPMIL #SemanaENEF2023 #Sicoob #InstitutoSicoob https://t.co/HGmpofy19d</t>
  </si>
  <si>
    <t>Você acredita que a educação financeira é essencial para construir uma vida financeira sólida e próspera? Nós também! ✨💰
Por isso, só em 2022, beneficiamos 942 mil pessoas por meio dos programas do Eixo Cidadania Financeira. 🚀
#SemanaDoCooperativismo #EducaçãoFinanceira https://t.co/GoDWx77Qhh</t>
  </si>
  <si>
    <t>A #educaçãofinanceira muda nossa mente, nosso dia a dia e ficamos mais perto de torná-la um hábito diário em nossas vidas!
Que outro momento pode ser considerado um exemplo de #resiliênciafinanceira? Comente aqui.
#SicoobCOOPMIL #SemanaENEF2023 #Sicoob #InstitutoSicoob https://t.co/8wjAjBO6jy</t>
  </si>
  <si>
    <t>A 10º edição da ENEF está recheada de ações para você aprender e aplicar os conceitos de #educaçãofinanceira, além de começar a melhorar suas decisões sobre finanças e consumo para alcançar uma relação equilibrada com o dinheiro.
#SicoobCOOPMIL #SemanaENEF2023 #Sicoob https://t.co/4tfdzAhSxX</t>
  </si>
  <si>
    <t>Você sabia que investir na sua #educaçãofinanceira hoje traz muitos benefícios para sua vida a curto, médio e longo prazo?
Neste ano irá acontecer de 15 a 21 de maio.
Então, fique de olho em nossas redes sociais!
#SicoobCOOPMIL #SemanaENEF2023 https://t.co/PYBhtL85sb</t>
  </si>
  <si>
    <t>Entendo que planejamento financeiro é essencial para garantir uma vida estável em qualquer idade. No entanto, com o passar dos anos.
https://t.co/QueBgkYQzi
#financaspessoais #finançasempresariais #finanças</t>
  </si>
  <si>
    <t>Finanças pessoais. Vamos neste artigo explorar alguns pontos que são recorrente na vida de todos. Iniciaremos pelos problemas financeiros comum a maioria das pessoas.
https://t.co/e1GSfb4UsE
#financaspessoais #Finance #orcamento #gastos #planejamento</t>
  </si>
  <si>
    <t>Começou nesta segunda-feira a 10º Semana Nacional de Educação Financeira, a Semana ENEF, organizada pelo Banco Central.
Veja a dica do mais jovem palestrante de finanças no Brasil, @EricoMetzner  
Saiba mais em: https://t.co/yDoSF4TeMi
 #educacaofinanceira #SemanaEnef https://t.co/c3MBhZLF7i</t>
  </si>
  <si>
    <t>Comece pequeno, mas comece AGORA! Faça um orçamento, guarde pelo menos uma parte do salário todos os meses e invista em sua educação financeira. Lembre-se, a jornada para a independência financeira começa com um passo de cada vez. #finançaspessoais #poupar #investir"</t>
  </si>
  <si>
    <t>Você sabe o que educação financeira tem a ver com crescimento econômico? Nosso presidente, Alexandre Damásio, te explica.
#cdlsaocaetano #cdl #GMW #GlobalMoneyWeek #GMW2023 #educaçãofinanceira #economia https://t.co/F9rnRRVPTY</t>
  </si>
  <si>
    <t>BNA apresenta Inquérito ao Consumidor de Produtos e Serviços Financeiros - 2022, destacando a importância da educação financeira e o impacto das boas práticas. Saiba mais em: https://t.co/3nFC5qyb4U 
 #BNA #educacaofinanceira https://t.co/ZDUt8D7cLQ</t>
  </si>
  <si>
    <t>#Colaboradores seguros sobre sua situação #financeira são ativo importante para qualquer #negócio.
A #Synerhgon pode auxiliar na implementação da Educação Financeira e Previdenciária de colaboradores.
🌐 https://t.co/PqFEdfu5pN
📱 (11) 3825-6751
#consultoria #educaçaofinanceira https://t.co/PCRJhTPtkw</t>
  </si>
  <si>
    <t>Quais os cursos com mais arrependidos
#educacaofinanceira #financas #cursossuperiores https://t.co/VfHPYsWQjA</t>
  </si>
  <si>
    <t>Banxico mantiene la tasa de referencia por segunda vez.
.
.
.
.
.
.
#invertir #finanzas #finanzaspersonales #inversionista #gdl #mty #cdmx #feelgood #ingresosonline #dinero #finanzaspersonales #educacaofinanceira #ingresosresiduales  #bienesraices #invertirenbolsa https://t.co/0dOITGmgiX</t>
  </si>
  <si>
    <t>“A educação formal vai fazer você ganhar a vida. A autoeducação vai fazer você alcançar uma fortuna.” 
Jim Rohn
Estudar o mercado financeiro é a chave para obter os melhores resultados. 💭
#investimentos #mercadofinanceiro #educacaofinanceira</t>
  </si>
  <si>
    <t>Esses professores de #educacaofinanceira precisam fazer planilha para ensinar aos três homens mais ricos do #Brasil como recuperar 43 bilhões de reais pulverizados pela alta gestão  da #Americanas da qual faziam parte por meio conselheiros apadrinhados.
https://t.co/EUw011wWOw</t>
  </si>
  <si>
    <t>A sua vida financeira faz parte do autocuidado. 🙌
Para te ajudar a se organizar e aprender ainda mais sobre #educaçãofinanceira, conte com o #SeLigaFinançasON! Acesse https://t.co/2obrtckrse para transformar a sua vida financeira. 😉
#SemanaENEF</t>
  </si>
  <si>
    <t>Em cada momento que tomamos uma boa decisão financeira, chegamos mais perto de tornar essa prática um hábito diário em nossas vidas. 🤑 Saiba mais sobre #educaçãofinanceira no link: https://t.co/KL6obIK7G5
#SemanaENEF2023 #Sicoob #InstitutoSicoob</t>
  </si>
  <si>
    <t>Com a #educaçãofinanceira é possível garantir o equilíbrio nas suas escolhas e uma melhor relação com o dinheiro.
Bora começar agora mesmo a cuidar das suas #finanças? Acesse a plataforma https://t.co/KL6obIK7G5 e saiba como! 💰🚀
#SemanaENEF</t>
  </si>
  <si>
    <t>Você conhece a Semana ENEF?
Tweet 1: Você sabia que investir na sua #educaçãofinanceira hoje traz muitos benefícios para sua vida a curto, médio e longo prazo? 💰
É por isso que o #Sicoob participa da #SemanaENEF, que neste ano acontece entre 15 e 21 de maio. 🗓️ https://t.co/RUDrlPjwBa</t>
  </si>
  <si>
    <t>Assistam meu novo vídeo: SERÁ QUE AS BOLSAS AMERICANAS VÃO DESPENCAR? #gestãofinanceira  #educacaofinanceira #economia, pelo link: https://t.co/0NstDq3JWC.
#InvestSpace #economia #gestãofinanceira #investimentos</t>
  </si>
  <si>
    <t>Será que as bolsas americanas vão despencar? Para saber mais, acompanha a gente no youtube, lá explicamos tudo direitinho e com detalhes. 
.
.
.
.
#gestãofinanceira  #educacaofinanceira #economia https://t.co/f4PLNaG8BH</t>
  </si>
  <si>
    <t>Assistam meu novo vídeo: O QUE ESPERAR PARA O FUTURO DAS ENERGIAS? #economia #educacaofinanceira #futurodasenergias, pelo link: https://t.co/gRgFuwMX7j.
#InvestSpace #economia #gestãofinanceira #investimentos</t>
  </si>
  <si>
    <t>Assistam meu novo vídeo: ENTENDA MAIS SOBRE A CRISE ENERGÉTICA MUNDIAL #crisedeenergia #investimento #educaçãofinanceira, pelo link: https://t.co/oQURPCGlN5.
#InvestSpace #economia #gestãofinanceira #investimentos</t>
  </si>
  <si>
    <t>ENTENDA MAIS SOBRE A CRISE ENERGÉTICA MUNDIAL
Para saber mais, dá uma conferida no nosso canal do youtube.
.
.
.
.
 #criseenergeticamundial #investimento #educaçãofinanceira https://t.co/QNgAR68qcH</t>
  </si>
  <si>
    <t>Riscos sempre há. Mas já pensou que as energias limpas são uma ótima área de investimento? para saber mais, acompanha a gente no youtube.
.
.
.
#investimentos #energiaslimpas #energiasrenovaveis #educacaofinanceira https://t.co/EUp0XDX0SK</t>
  </si>
  <si>
    <t>As energias renováveis possuem grande espaço para crescimento! Vem conferir os detalhes no nosso canal do youtube :) 
.
.
.
#energialimpa #investimentos #educacaofinanceira https://t.co/6ze8pIrjOn</t>
  </si>
  <si>
    <t>Assistam meu novo vídeo: AS ENERGIAS LIMPAS POSSUEM GRANDE ESPAÇO PARA DESENVOLVIMENTO #energialimpa #educacaofinanceira, pelo link: https://t.co/OLbSybEH9R.
#InvestSpace #economia #gestãofinanceira #investimentos</t>
  </si>
  <si>
    <t>Assistam meu novo vídeo: SERÁ QUE VALE A PENA INVESTIR EM ENERGIAS RENOVÁVEIS? #investimento #economia #educaçãofinanceira, pelo link: https://t.co/FIK7PkEgJn.
#InvestSpace #economia #gestãofinanceira #investimentos</t>
  </si>
  <si>
    <t>Será que vale a pena investir em energias limpas? 
.
.
.
.
#investimentos #educacaofinanceira #energiasrenovaveis https://t.co/rqOIkJJbf5</t>
  </si>
  <si>
    <t>Se liga aí nessa crise nos Estados Unidos. Será que o pior já passou? Pra saber mais acompanha a gente No youtube, lá tem todos os detalhes. 
.
.
.
.
#criseeconomica #bolsadevalores #educacaofinanceira https://t.co/PfEhrhi2Gf</t>
  </si>
  <si>
    <t>Assistam meu novo vídeo: ENTENDA OS DIFERENTES RISCOS DE ETF'S GOVERNAMENTAIS E CORPORATE BONDS #educacaofinanceira, pelo link: https://t.co/25OIsBXamv.
#InvestSpace #economia #gestãofinanceira #investimentos</t>
  </si>
  <si>
    <t>ENTENDA OS DIFERENTES RISCOS DE ETF'S GOVERNAMENTAIS E CORPORATE BONDS.
Para o video completo, acesse nosso canal no youtube. 
.
.
.
.
#educacaofinanceira #etftrading #investimentos https://t.co/zl4Z6TRouQ</t>
  </si>
  <si>
    <t>Assistam meu novo vídeo: OS 5 MELHORES ETF'S DE RENDA FIXA DA EUROPA #investimento #etftrading #educacaofinanceira, pelo link: https://t.co/kM1J3VgNgG.
#InvestSpace #economia #gestãofinanceira #investimentos</t>
  </si>
  <si>
    <t>OS 5 MELHORES ETF'S DE RENDA FIXA DA EUROPA. 
Para saber mais, confere nosso canal do youtube.
.
.
.
.
#investimento #etftrading #educacaofinanceira https://t.co/OIACWT8m23</t>
  </si>
  <si>
    <t>3 PONTOS IMPORTANTES PARA NÃO CAIR EM FURADAS FINANCEIRAS
Confere nosso video completo no youtube para mais detalhes
.
.
.
.
#economia #educacaofinanceira #investimentos #gestaofinanceira https://t.co/g5zHi0Lmi3</t>
  </si>
  <si>
    <t>Assistam meu novo vídeo: QUER ENTENDER SOBRE A FALÊCIA DO BANCO DO VALE DO SILÍCIO? #economia #educacaofinanceira #investir, pelo link: https://t.co/faPbfPquKb.
#InvestSpace #economia #gestãofinanceira #investimentos</t>
  </si>
  <si>
    <t>QUER ENTENDER SOBRE A FALÊCIA DO BANCO DO VALE DO SILÍCIO? 
Confere nosso video completo no youtube para mais detalhes
.
.
.
.
#economia #educacaofinanceira #investimentos #gestaofinanceira https://t.co/nUhCyEvbEt</t>
  </si>
  <si>
    <t>Assistam meu novo vídeo: DICAS PARA DECOLAR SUA VIDA FINANCEIRA #investimento #gestãofinanceira #educacaofinanceira, pelo link: https://t.co/xMHnv3MzLM.
#InvestSpace #economia #gestãofinanceira #investimentos</t>
  </si>
  <si>
    <t>VEM CONFERIR AS DICAS PARA DECOLAR SUA VIDA FINANCEIRA.
Para o video completo, checa lá o nosso canal do YouTube.
.
.
.
.
#investimento #gestãofinanceira #educacaofinanceira https://t.co/Xm1irHKPtp</t>
  </si>
  <si>
    <t>Assistam meu novo vídeo: JÁ CONHECE OS POSSÍVEIS CENÁRIOS DE UMA CRISE ENERGÉTICA MUNDIAL? #economia #educacaofinanceira, pelo link: https://t.co/YrnX3Oufev.
#InvestSpace #economia #gestãofinanceira #investimentos</t>
  </si>
  <si>
    <t>Fico feliz que minha mãe esteja interessada em investimentos depois de ver minha experiência. É gratificante ver que plantei uma semente aos poucos. #investimentos #educaçãofinanceira</t>
  </si>
  <si>
    <t>7/💡 A iniciativa foca na educação financeira e tecnológica através de histórias, inspirando e preparando as pessoas para enfrentar os desafios do mundo moderno com responsabilidade e consciência. #EducaçãoFinanceira #EducaçãoTecnológica  #Defi</t>
  </si>
  <si>
    <t>A inflação afeta não só o seu bolso, mas diversas decisões que são tomadas na economia. Por isso é tão importante acompanhá-la. O IPCA, medido pelo @ibgecomunica , é o principal indicador de inflação no Brasil e é referência para a condução da política monetária pelo BC. https://t.co/mZJz1jVnim</t>
  </si>
  <si>
    <t>Nessa iniciativa, o Banco Central conta com a parceria do #FDD, do #Caed / UFJF, do #FGC, da @undime e do @ConsedBR.
#aprendervalor #educaçãofinanceira #bancocentral #aprendervalor #educacaofinanceira #cidadaniafinanceira
#bancocentraldobrasil #educacaobasica
#educacaofinanceira</t>
  </si>
  <si>
    <t>O Aprender Valor leva educação financeira para escolas públicas de ensino fundamental em todo país e é uma parceria do Banco Central, do #FDD, do #Caed/UFJF, do @fgc_br, da @undimenacional e do @consedbr.
#aprendervalor #educacaofinanceira #cidadaniafinanceira</t>
  </si>
  <si>
    <t>Destaques do Focus de 06/01/2023: confira as projeções do mercado para a economia brasileira.https://t.co/T7cmIl6lQv https://t.co/Siq3WaJ4Hc</t>
  </si>
  <si>
    <t>A 10ª Semana ENEF vem aí! Prepare-se e aproveite essa oportunidade para abraçar a educação financeira na sua vida e obter mais conhecimento, autonomia e gestão do seu dinheiro.
Acesse https://t.co/07MRjFRCng e veja a programação.
#SemanaEnef #Enef #EducaçãoFinanceira https://t.co/km1I8jwHyC</t>
  </si>
  <si>
    <t>Confira a íntegra da live no nosso canal de Youtube:
https://t.co/15gjmczuk9
#economia #bancocentral #educaçãofinanceira #LiveBC</t>
  </si>
  <si>
    <t>Durante a #LiveBC sobre Inclusão e Educação financeira, o diretor Maurício Moura falou um pouco sobre o tema. Confira à íntegra da live em nosso canal no Youtube:
https://t.co/15gjmczuk9
#economia #bancocentral #educaçãofinanceira #LiveBC #pix</t>
  </si>
  <si>
    <t>Hoje, 14h, tem LiveBC sobre golpes e fraudes no canal do BC no YouTube. Entre nessa conversa.
https://t.co/EwDxc2HDvI
#economia #bancocentral #educaçãofinanceira #LiveBC #pix</t>
  </si>
  <si>
    <t>A Live BC da próxima segunda-feira irá tratar sobre golpes e fraudes. Não perca!
Live BC #3
Golpes e Fraudes: como se proteger
Segunda-feira, 19 de junho, 14h
No canal do BC no YouTube
#economia #bancocentral #educaçãofinanceira #LiveBC #pix #golpe</t>
  </si>
  <si>
    <t>#AprenderValor #EducacaoFinanceira #CidadaniaFinanceira #BancoCentraldoBrasil #EducacaoBasica #EducacaoFinanceiranasEscolas #EnsinoFundamental #EscolasPublicas #financas #FinancasParaCriancas #EconomiaParaCriancas #undime #consed</t>
  </si>
  <si>
    <t>“Falar que educação financeira tem o poder de multiplicar sonhos não é um clichê sem sentido. Quem sabe lidar bem com dinheiro pode se permitir sonhar e muito alto” diretor do BC, Maurício Moura, destacou a importância do Aprender Valor na Cerimônia de Premiação, hoje. https://t.co/PK5UViHY24</t>
  </si>
  <si>
    <t>Nessa iniciativa, o Banco Central conta com a parceria do #FDD, do #Caed / UFJF, do #FGC, da #Undime e do #consed.
#aprendervalor #educacaofinanceira #cidadaniafinanceira #bancocentraldobrasil #educacaobasica #educacaofinanceiranasescolas #ensinofundamental #escolaspublicas</t>
  </si>
  <si>
    <t>O Aprender Valor já está em mais de 22 mil escolas, chegando a 5,6 milhões de estudantes em mais de 3 mil municípios.
#aprendervalor #educacaofinanceira #cidadaniafinanceira #bancocentraldobrasil #educacaobasica #educacaofinanceiranasescolas #ensinofundamental</t>
  </si>
  <si>
    <t>#aprendervalor #educacaofinanceira #cidadaniafinanceira #bancocentraldobrasil #educacaobasica #educacaofinanceiranasescolas #ensinofundamental #escolaspublicas #financas #financasparacriancas #economiaparacriancas #undime #consed</t>
  </si>
  <si>
    <t>Resiliência caracteriza a capacidade de se recuperar facilmente de alguma situação inesperada. No caso das finanças, resiliência pode reverter situações adversas e colocar você novamente no controle dos seus objetivos. https://t.co/LRWVpUfyBP
#SemanaEnef #EducaçãoFinanceira https://t.co/LIFkC2ysWN</t>
  </si>
  <si>
    <t>4/6 Lembre-se, no entanto, de sempre fazer sua pesquisa e considerar seus objetivos e perfil de risco antes de investir. Afinal, todo investimento traz riscos. 📚💡 #EducaçãoFinanceira</t>
  </si>
  <si>
    <t>Tenha um Insight sobre reserva financeira 😉👍 salve o post para mais tarde 
.
.
.
.
.
#reservafinanceira
#reserva
#insight
#rendafixa
#financaspessoais
#roberto_jefferson.b https://t.co/CBtYZsrovC</t>
  </si>
  <si>
    <t>Minha contribuição para o Consultório Financeiro do @valoreconomico. Essa coluna é publicada semanalmente com artigos sobre #finançaspessoais e #planejamentofinanceiro por profissionais #CFP e representa  mais uma ação da #Planejar.
https://t.co/0iCOynAqr8</t>
  </si>
  <si>
    <t>Com abertura do presidente do Conselho de Administração do BTG Pactual, André Esteves, e do CEO, Roberto Sallouti, o BTG Talks fez um relevante debate sobre #investimentos, negócios, ambiente econômico e #educaçãofinanceira . @CrypticWeb3 https://t.co/VgSgjMlFKd</t>
  </si>
  <si>
    <t>Os EUA quebra em 20 dias #crisemundial #grandereset #investimentos #educacaofinanceira #dinheiro https://t.co/kmbJqQR9J0 https://t.co/Ua3rvmKa2S</t>
  </si>
  <si>
    <t>“Quando nos deixamos seduzir pela promessa de ganhos rápidos, podemos negligenciar os riscos escondidos por trás de decisões financeiras apressadas.”
#educacaofinanceira</t>
  </si>
  <si>
    <t>#EducaçãoFinanceira
#FinançasPessoais
#PlanejamentoFinanceiro
#LiberdadeFinanceira
#Investimentos
https://t.co/OrPmXtEQGP</t>
  </si>
  <si>
    <t>"Diversifique seus investimentos, foque em estratégias de longo prazo e aprenda sobre o mercado financeiro. Investir requer paciência e conhecimento, mas os juros compostos podem ser poderosos aliados. Invista no seu futuro financeiro!" #Investimentos #EducaçãoFinanceira</t>
  </si>
  <si>
    <t>#EducaçãoFinanceira, #introduçãoAOdireito, #ética #cidadania, #cursostécnicos, deveriam brigar para colocar isso na grade escolar e não coisas que, além de não acrescentar, ainda prejudicam, será mesmo que é defesa da educação que essas pessoas fazem?
Forte abraço a #todos</t>
  </si>
  <si>
    <t>Seja um aprendiz eterno do jogo do dinheiro. Invista em conhecimento, busque oportunidades de crescimento e colha os frutos da educação financeira. 📚💼💰 #Motivação #EducaçãoFinanceira #Crescimento</t>
  </si>
  <si>
    <t>#Webitcoin
#RobertKiyosaki #CharlieMunger #Berkshire #Bitcoin #criptomoedas #investimentos #finanças #educaçãofinanceira #rico #pobre #riquezapessoal #estratégiadeinvestimento #economia #tecnologia #blockchain #ouro #prata #ativosdigitais #mercadosfinanceiros #USD</t>
  </si>
  <si>
    <t>#Webitcoin
#CryptoNews #NotíciasCripto #Bitcoin #MichaelNovogratz #Criptomoedas #Investimentos #MercadoFinanceiro #MercadoCripto #FuturodoBitcoin #EconomiaDigital #NovosInvestidores #Diversificação #FidelityCrypto #InovaçãoFinanceira #FinançasPessoais #Lucro</t>
  </si>
  <si>
    <t>Esta é uma habilidade que pode literalmente mudar vidas, possibilitando que pessoas alcancem seus sonhos e objetivos.
#Webitcoin
#Publi #cryptonews #notíciascripto #educaçãofinanceira #AvaTrade #exchange #plataforma #criptomoedas #moedadigital #investimento</t>
  </si>
  <si>
    <t>#Webitcoin
#cryptonews #notíciascriptomoedas #bancosantander #bitcoin #btc #cripto #criptomoedas #etf #educaçãofinanceira #santander #investimentocripto #moedadigital</t>
  </si>
  <si>
    <t>View the entire article by visiting:
https://t.co/FQ8zPkPQNk
@WeBTCoficial #leve #levetoken #leveinvest #sejaleve #token #btc #educacaofinanceira #appleve #certik #investimento #webitcoin https://t.co/Iav12KFDpz</t>
  </si>
  <si>
    <t>AMA on the official twitter BSCNews with the DEVs on 4/25 at 7pm
@bscnews
https://t.co/cqIxaNWuAM
#leve #levetoken #leveinvest #sejaleve #token #bitcoincash #bch #btc📷 #educacaofinanceira #appleve #boasemana #certik #bscnews #ama #twitter $LEVE https://t.co/OywTfz3hR6</t>
  </si>
  <si>
    <t>Leve is a startup that unites technology and financial innovation 🚀
Our mission is to democratize and demystify digital investments
Soon our app will be available for Android and IOS systems
#leve #leveinvest #token #bitcoincash #bch #btc #educacaofinanceira #appleve #certik https://t.co/Ls8ebNiiWh</t>
  </si>
  <si>
    <t>Leve is a startup that unites technology and financial innovation🚀
Our mission is to democratize and demystify digital investments.
Soon our app will be available for Android and IOS systems📲
#leve #leveinvest #token #bitcoincash #bch #btc #educacaofinanceira #appleve… https://t.co/MXX4r0UpbP</t>
  </si>
  <si>
    <t>Leve is a startup that unites technology and financial innovation 🚀
Our mission is to democratize and demystify digital investments 🔥
Soon our app will be available for Android and IOS systems 📲
#leve #leveinvest #token #bitcoincash #bch #btc #educacaofinanceira #appleve… https://t.co/irVbOrQM70</t>
  </si>
  <si>
    <t>View the entire article by visiting:
https://t.co/QeXDmHBLg9
#leve #levetoken #leveinvest #sejaleve #token #bitcoincash #bch #btc #educacaofinanceira #appleve #certik #investimento #spacemoney https://t.co/USrsC7zxcr</t>
  </si>
  <si>
    <t>See the entire article by visiting: https://t.co/8Xzcl6ertL
#leve #levetoken #leveinvest #sejaleve #token #bitcoincash #bch #btc #educacaofinanceira #appleve #certik #investimento #portalcripto https://t.co/yd70jp0daB</t>
  </si>
  <si>
    <t>2022 terminou e 2023 começou com uma incrível valorização de mais de 130% em 4 dias.
2023 promete ser um ano de muitas conquistas para todos aqueles que escolheram serem Leve!
#leve #levetoken #leveinvest #sejaleve #bitcoincash #bch #btc #educacaofinanceira #appleve #feliz2023 https://t.co/cQDmjsDImo</t>
  </si>
  <si>
    <t>2022 ended and 2023 started with an incredible 130%+ gain in 4 days.
2023 promises to be a year of many achievements for all those who chose to be Leve!
#leve #levetoken #leveinvest #sejaleve #token #bitcoincash #bch #btc #educacaofinanceira #appleve #boasemana #feliz2023 https://t.co/JsSMXmCPhh</t>
  </si>
  <si>
    <t>The Leve community is also present in the communities below:
Whatsapp: https://t.co/7zb40ajswg
Discord: https://t.co/3y5SYDfUyx
Interact with us and take all your questions!
#leve #levetoken #leveinvest #sejaleve #token #bitcoincash #bch #btc #educacaofinanceira #appleve… https://t.co/lsS54fsVzM</t>
  </si>
  <si>
    <t>Leve CEO Renato Abreu met with Federal Deputy Aureo Ribeiro to discuss the integration of Brazil and Bitcoincash through LEVE.
#leve #levetoken #leveinvest #sejaleve #token #bitcoincash #bch #btc #educacaofinanceira #appleve #certik #investimento https://t.co/ioscEpoImG</t>
  </si>
  <si>
    <t>Leve is a startup that combines technology and financial innovation. Our mission is to democratize and demystify digital investments.
#leve #levetoken #leveinvest #sejaleve #token #bitcoincash #bch #btc #bnb #educacaofinanceira #appleve #certik https://t.co/5xKcEoumDs</t>
  </si>
  <si>
    <t>Building a Brazil of the future is in our hands.
🇧🇷 Happy September 7th!
#leve #levetoken #leveinvest #sejaleve #token #bitcoincash #bch #btc #bitcoin #educacaofinanceira #appleve #certik #investimento #educacao #educacaofinanceira #defi #blockchain #tokenizacao… https://t.co/5hdMkoPYNc</t>
  </si>
  <si>
    <t>Leve is a startup that unites technology and financial innovation 🚀
Our mission is to democratize and demystify digital investments
Soon our app will be available for Android and IOS systems
#leve #leveinvest #token #bitcoincash #bch #btc #educacaofinanceira #appleve #certik https://t.co/2OJt2EVAXO</t>
  </si>
  <si>
    <t>Supermercados sofrem com queda na renda do consumidor e alta no endividamento do setor (via @EstadaoEconomia)
https://t.co/Pq38N5plQt</t>
  </si>
  <si>
    <t>A falência de bancos importantes nos Estados Unidos aumentou a demanda por criptomoedas e, em particular, pelo Bitcoin.
https://t.co/pXqjiLkTP4
#Bitcoin #Criptomoedas #MercadoFinanceiro #FinançasPessoais #Investimentos #Blockchain #Economia #Bancos  #etopsaber https://t.co/U86mQ7TxCt</t>
  </si>
  <si>
    <t>A educação financeira é importante no nosso cotidiano pois ajuda-nos na gestão racional das nossas finanças. Assista o video e veja algumas dicas de poupança.
Link: https://t.co/PdppjQM49j
#poupança #finançaspessoais #educaçãofinanceira #investimentos #dinheiro #economia…</t>
  </si>
  <si>
    <t>CASAIS que NUNCA VÃO prosperar juntos:
- Escondem o quanto ganham e gastam
- Delegam a responsabilidade financeira ao parceiro
- Usam o dinheiro para manipular o outro
Uma casa dividida nunca vai prosperar!
#educaçãofinanceira #finanças</t>
  </si>
  <si>
    <t>E-book Sucesso Financeiro + Bônus imperdível #dinheiro #educaçãofinanceira #abundância
.
https://t.co/7qhphwE0jD https://t.co/clh2F0yZUG</t>
  </si>
  <si>
    <t>Luci Almeida on Instagram: “Controle de gastos #cartaodecredito #controledegastos #educacaofinanceira #verde” https://t.co/l9ThREB03d</t>
  </si>
  <si>
    <t>Luci Almeida on Instagram: “Controle de gastos #cartaodecredito #controledegastos #educacaofinanceira #verde” https://t.co/KXKwhfQGdl</t>
  </si>
  <si>
    <t>Luci Almeida on Instagram: “Controle de gastos #cartaodecredito #controledegastos #educacaofinanceira #verde” https://t.co/4eKBhJUV4V</t>
  </si>
  <si>
    <t>GANHE DINHEIRO BRINCANDO
Autor(a): Hubert Krause
#GanheDinheiroBrincando
#EducaçãoFinanceira
#DiversãoeLucro
#IdeiasInovadoras
#CriatividadeEmpreendedora
#JogosParaNegócios
#SucessoeDiversão
#EstratégiasEmpreendedoras
#EmpreendedorismoCriativo
#AprendaBrincando https://t.co/2sMtgxofqf</t>
  </si>
  <si>
    <t>https://t.co/p61ZpXX79I
#economia #financaspessoais #impostos</t>
  </si>
  <si>
    <t>Você sabia que investir em ações pode ser mais do que apenas um investimento financeiro? 😮🤑👇
#mercadofinanceiro #ações #indice #ibovespa #educaçãofinanceira #crescimentofinanceiro #investircompropósito  #jornadafinanceira #InvestMente https://t.co/zp1QiuD8QP</t>
  </si>
  <si>
    <t>Em resumo, "A Psicologia Financeira" nos ensina a pensar sobre dinheiro de uma forma mais equilibrada e consciente. Altamente recomendado! #MorganHousel #Apsicologiadodinheiro #Finançaspessoais"</t>
  </si>
  <si>
    <t>1/5 A importância das finanças pessoais não pode ser subestimada. Elas são a base para alcançarmos nossos objetivos financeiros e garantirmos uma vida financeira saudável. #finançaspessoais #planejamentofinanceiro</t>
  </si>
  <si>
    <t>Can anyone tell me how can i learn more about finance?
#finance #liberdadefinanceira #personalfinance #mercadofinanceiro #finances #educacaofinanceira #independenciafinanceira #planejamentofinanceiro #refinance #sucessofinanceiro #financeiro #financetips #inteligenciafinanceira</t>
  </si>
  <si>
    <t>#Dinheiro #finanças #economia #educação #educaçãoFinanceira #crianças
A educação financeira é um assunto muito importante a ser abordado com as crianças.
https://t.co/8tXgzrXgFQ</t>
  </si>
  <si>
    <t>#Dinheiro #finanças #economia #educação #educaçãoFinanceira #crianças 
A educação financeira é um assunto muito importante a ser abordado com as crianças.
https://t.co/2MQibpejLc</t>
  </si>
  <si>
    <t>Para enriquecer vc precisar ter comportamento e cuidar da sua grana😉
#financaspessoais #inteligenciaemocional https://t.co/sHBvnifPD6</t>
  </si>
  <si>
    <t>https://t.co/7RyY627Kg6
Link do nosso ebook!
Finalmente saiu!
Uma conversa simples,prática e descontraída com os pais e responsáveis!
#educacaofinanceira
#dinheiro
#paisefilhos
#financas
#consciencia
#vida https://t.co/n6K6oZLRRn</t>
  </si>
  <si>
    <t>Invista na melhor ação que sempre terá retorno: você mesmo. Um aporte mensal em educação e autoaperfeiçoamento pode gerar retornos além das expectativas. Sempre haverá turbulências na economia, mas o conhecimento é um ativo imune à inflação. #FinançasPessoais #InvestimentoEmVocê https://t.co/d7fV7zdh0t</t>
  </si>
  <si>
    <t>#Educaçãofinanceira é fundamental para desafiar crenças limitantes. Quanto mais aprendemos sobre investimentos, orçamento, economia e estratégias financeiras, mais capacitados nos sentimos para lidar com o dinheiro e alcançar nossos objetivos financeiros.</t>
  </si>
  <si>
    <t>Em #finançaspessoais, a conexão entre #crençaslimitantes impacta nossas vidas financeiras. Nesta thread, mostro como certas crenças podem nos impedir de alcançar o sucesso financeiro e como podemos superá-las para alcançar uma maior estabilidade financeira. Vamos lá!
💸💸💸💸💸</t>
  </si>
  <si>
    <t>Educação financeira #educaçãofinanceira https://t.co/9rOiVxFp4s via @YouTube</t>
  </si>
  <si>
    <t>Diversifique sua carteira investindo em pessoas.🤩 
Conheça a Fido, a mais nova plataforma de empréstimo entre pessoas.
Acesse: https://t.co/q56OmkNe6F
#Fido #Investimentos #P2P #Investidores #FidoComVocê #VemPraFido #EducaçãoFinanceira https://t.co/ptbbH38y5T</t>
  </si>
  <si>
    <t>Conheça as 4 vantagens de investir na Fido, a nova plataforma de empréstimo entre pessoas. Veja alguns benefícios.😃👉
Venha pra Fido diversificar seus investimentos, acesse: https://t.co/q56OmkNe6F.
#Fido #FidoComVocê #FidoComVC #VemPraFido #EducaçãoFinanceira #Investimentos https://t.co/HoyNZ0Es7S</t>
  </si>
  <si>
    <t>Enquanto a ação da Berkshire despencava 48% no ano, Buffett seguia comentando apenas sobre o resultado operacional das empresas da holding. O que está por trás disso? 🤔 
Siga @vokininvestimentos para mais conteúdos como esse!
#ibovespa #ibov #educacaofinanceira https://t.co/kGUWRP9UsY</t>
  </si>
  <si>
    <t>🚨 Volatilidade NÃO mede risco. - Warren Buffett.
Siga 👉 @vokininvestimentos 
#ibovespa #açoes #acoes #educaçãofinanceira #bolsadevalores https://t.co/RtLJLv7weK</t>
  </si>
  <si>
    <t>Longevidade financeira é sinônimo de equilíbrio, previsibilidade e conforto. É a união da estabilidade dos recursos e de uma boa #QualidadeDeVida, durante toda sua jornada, tema que está diretamente associado à #EducaçãoFinanceira. Por isso, trazemos aqui seus principais pilares. https://t.co/tUiU0Oqwez</t>
  </si>
  <si>
    <t>Os games são a chave da comunicação com essa comunidade. Sua empresa já está preparada para a nova geração?  #gamecoins #educacaofinanceira #gamificação #games</t>
  </si>
  <si>
    <t>Qual a próxima palavra que você deseja conhecer mais?
#educaçãofinanceira https://t.co/4ecTEqCBs1</t>
  </si>
  <si>
    <t>Qual a próxima palavra que você deseja conhecer mais? 
#educaçãofinanceira https://t.co/Z72bkTjg0h</t>
  </si>
  <si>
    <t>Você é um colaborador do Grupo Neoenergia? Garanta hoje com o Néos o seu amanhã repleto de possibilidades!
🤳 https://t.co/l8B04UCLMS 
#neosprevidenciacomplementar #finanças #economia #aposentadoria #educaçãofinanceira #futuro #investimentos #conecteseaonovo https://t.co/kW1YsoeoiL</t>
  </si>
  <si>
    <t>Dê o primeiro passo para planejar e cuidar do seu futuro financeiro com segurança. 
🚀 São inúmeros os benefícios de ter um Plano de Previdência Complementar. 
https://t.co/l8B04UCLMS 
#finanças #economia #aposentadoria #educaçãofinanceira #futuro #investimentos</t>
  </si>
  <si>
    <t>Ensine seu filho(a) desde agora a ter uma educação financeira para lá na frente ele não se meter em problemas.
#finanças #educaçãofinanceira https://t.co/mol9adOGAI</t>
  </si>
  <si>
    <t>O que você quer para o futuro dos seus filhos?
#educacaofinanceira #educacao #paternidade https://t.co/reAY8A6wMI</t>
  </si>
  <si>
    <t>Você já ficou inadimplente alguma vez na vida?
#TaxaDeInadimplência
#ControleFinanceiro
#PlanejamentoFinanceiro
#Endividamento
#SaúdeFinanceira
#Crédito
#Dívidas
#Negociação
#FinançasPessoais
#ScoreDeCrédito</t>
  </si>
  <si>
    <t>Você sabe o que é taxa de inadimplência?
#TaxaDeInadimplência
#ControleFinanceiro
#PlanejamentoFinanceiro
#Endividamento
#SaúdeFinanceira
#Crédito
#Dívidas
#Negociação
#FinançasPessoais
#ScoreDeCrédito</t>
  </si>
  <si>
    <t>No vídeo de hoje eu te trago 7 Formas de Ganhar Dinheiro com Ações https://t.co/IUSRtGu99Z via @YouTube
#dinheiro #investimento #ações #educaçãofinanceira #bolsadevalores #imposto #lucro</t>
  </si>
  <si>
    <t>No vídeo de hoje eu te ensino como fazer a declaração do IRPF relacionada a seus Day trade e Swing Trades! https://t.co/qf7cvRrGyJ
#IRPF #IRPF2023 #daytrade #swingtrade #educacaofinanceira #investimentos #b3 #bmf #bolsadevalores #dinheiro #impostoderenda #finanças #façavocemesmo</t>
  </si>
  <si>
    <t>🦁 Cuidado para não cair na malha fina do Leão!
#investidor #investindonabolsa #investimento #finanças #educação #educaçãofinanceira #b3 #IRPF23 #IRPF #economia #declaraçãoirpf #meme #trade #daytrade  #governofederal
https://t.co/sDkMAHfCem</t>
  </si>
  <si>
    <t>Aulão de Investimentos 1 - Qual corretora é melhor pra você? (Guia defin... https://t.co/SE7qoWSkBK via @YouTube 
#começarainvestir #investimento #ações #fundosdeinvestimento #educaçãofinanceira #corretoras #taxas #corretagem #custódia #operações</t>
  </si>
  <si>
    <t>O poder de investir R$  500,00/mês:
1 ano = R$ 6.604,66.
10 anos = R$ 116.169,54.
20 anos = R$ 499.573,96.
30 anos = R$ 1.764.956,89.
Considerando uma taxa de juros de 1% ao mês 
#investimento #juros #dinheiro #investir #snowball #finanças #educaçãofinanceira #invista #economia</t>
  </si>
  <si>
    <t>Metas de vida para os 40 anos! https://t.co/vzvbxkx1Su via @YouTube #estilodevida #dinheiro #finanças #educaçãofinanceira #objeitvos #rendapassiva #rendaextra #reservadeemergência #saúde #investimentos #investir #empreendedorismo #negócios #ações #fundosdeinvestimento #economia</t>
  </si>
  <si>
    <t>Ao investir em um FII você obtém uma renda passiva todos os meses, enquanto possuir aquele fundo.
#investimento #investir #educaçãofinanceira #fii #mercadofinanceira #bolsadevalores #fundosdeinvestimentoimobiliario #investidor #dividendos #rentabilidade
https://t.co/qM4yFL3zfg</t>
  </si>
  <si>
    <t>Como fazer a declaração do IRPF 2023 para FII's e FIAgro https://t.co/y4is3gdyuH via @YouTube
#fundosdeinvestimento #fundosdeinvestimentoimobiliario #fundosdeinvestimentoagricola #FII #FIAgro #IRPF #IRPF2023 #declaraçãodoimpostoderenda #educaçãofinanceira #bolsa #b3 #finanças</t>
  </si>
  <si>
    <t>O que é a Taxa Selic?
#taxaselic #selic #tesouro #investimento #investidor #investir #economia #juroscompostos #juros #crédito #financas #educaçãofinanceira #governofederal #governo #dinheiro #consumo #poderdecompra #bancos #instituiçõesfinanceiras
https://t.co/gxuVCx3YbX</t>
  </si>
  <si>
    <t>Fim da alta da TAXA SELIC https://t.co/mo4n24pviL via @YouTube #inflação #juros #economia #taxaselic #tesourodireto #ações #fundosdeinvestimento #ativos #títulos #educaçãofinanceira #mercadofinanceiro</t>
  </si>
  <si>
    <t>No vídeo de hoje eu trouxe alguns Hábitos que te mantém na pobreza! https://t.co/pPGFlUipor via @YouTube 
#habitos #dinheiro #pobreza #riqueza #gastos #lifestyle #estilodevida #economia #investimento #investir #mudança #crenças #educaçãofinanceira</t>
  </si>
  <si>
    <t>5 Dicas para você alcançar seus primeiros 10 MIL https://t.co/LVZvyoZKbI via @YouTube 
#Dinheiro #economia #investir #poupar #concretizarsonhos #metas #objetivos #educaçãofinanceira #finanças #disciplina</t>
  </si>
  <si>
    <t>No vídeo de hoje eu ensino :Como fazer a declaração do IRPF para Ações - 2023. https://t.co/3Vcrm3Zs3U via @YouTube 
#IRPF #IRPF23 #IRPF2023 #Bolsadevalores #acoes #educacaofinanceira #dinheiro #finanças #economia #mercadofinanceira #impostoderenda #imposto #trade #swingtrade</t>
  </si>
  <si>
    <t>Hoje eu vou falar com vocês sobre o DREX a nova moeda BRASILEIRA https://t.co/LMshXtHzaR via!
#criptomoedas #DREX #dinheiro #finanças #economia #realdigital #educaçãofinanceira</t>
  </si>
  <si>
    <t>Juros Compostos (8° Maravilha do Mundo) https://t.co/FBLUJta27Q via @YouTube  #investir #taxadejuros #jurossimples #juroscompostos #ações #FII #dividendos #educaçãofinanceira #finanças #economia #ativos</t>
  </si>
  <si>
    <t>Invista 99R$ e se Aposente com  574 354,18 (MELHOR QUE A PREVIDÊNCIA) https://t.co/ASwNZMPAyk via @YouTube #aposentadoria #investimento #rendapassiva #INSS #tetodoINSS #educaçãofinanceira #ações #fundosdeinvestimentoimobiliário #FII</t>
  </si>
  <si>
    <t>Aulão de Investimentos 2  - Como escolher suas ações (Análise Fundamenta... https://t.co/f6KsKBhbeH via @YouTube #ações #investir #investimento #sociedade #analisefundamentalista #análisetécncia #bolsadevalores #educaçãofinanceira</t>
  </si>
  <si>
    <t>Já parou pra pensar em quanto do seu orçamento é gasto em mercado!!
No vídeo de hoje eu trouxe algumas dicas que podem te ajudar a economizar!
https://t.co/2dU86XJmPl
#dinheiro #economia #mercado #compras #educaçãofinanceira #investir #finanças #mindset</t>
  </si>
  <si>
    <t>Hoje eu vim falar com você sobre o Novo Score SERASA - SCORE 3.0
#score #serasa #Score3 #economia #finanças #dinheiro #credito #educaçãofinanceira</t>
  </si>
  <si>
    <t>Já está sabendo sobre o #Threads o novo aplicativo da #meta, que veio para competir com o #Twitter ? Então se liga no vídeo https://t.co/SkbWfskl1Q
#ElonMusk #MarkZuckerberg #redesocial #aplicativo #educaçãofinanceira #facebook #whatsapp</t>
  </si>
  <si>
    <t>Novo golpe nos bancos digitais!! (FIQUE ALERTA) https://t.co/R0NvXv3aKn via @YouTube #golpenosbancosdigitais #golpedopix #educacaofinanceira #dinheiro #finanças #fraude #hackers #segurançadedados #senhadeacesso #economia #bancosdigitais #bancos</t>
  </si>
  <si>
    <t>6 Coisas que Você Precisa SABER ANTES DE INVESTIR https://t.co/DrvfrKRUKE via @YouTube 
#investir #investimento #educaçãofinanceira #darf #taxasdecorretagem #ações #FII #ETF #dinheiro #mercadofinanceiro #bolsadevalores #economia</t>
  </si>
  <si>
    <t>No vídeo de hoje eu trago alguns pontos que podem te ajudar a economizar no mercado!
https://t.co/6hfRAZTz7t
#economia #dinheiro #compras #mercado #educaçãofinanceira #finanças</t>
  </si>
  <si>
    <t>No vídeo de hoje eu falo com você pode receber dividendos o ano todo, tendo poucas ações encarteiradas, quer aprender também? acessa lá! https://t.co/NoGmEW72Sm #dinheiro #economia #investimentos #ativos #ações #educaçãofinanceira #rendapassiva #mercadofinanceiro #bolsadevalores</t>
  </si>
  <si>
    <t>Quer aprender sobre renda fixa? No vídeo Aulão 4 - Renda Fixa - eu te trago um Guia Básico https://t.co/5kYJ5AZCe9 #investir #investimento #rendafixa #rendimentos #dinheiro #economia #finanças #educaçãofinanceira #juros #corretora #IPCA #CDB #CDI</t>
  </si>
  <si>
    <t>Quer aprender na prática como fazer seu primeiro investimento? então é só assistir o Aulão 3 - Aprenda na PRÁTICA como comprar sua primeira ação https://t.co/SPn0w7xoNk  #investir #investimento #ações #mercadofinanceiro #ativos #renda #educaçãofinanceira</t>
  </si>
  <si>
    <t>100 inscritos no canal https://t.co/QRsaAM6qi8 via @YouTube #inscritos #númerodeinscritos #youtube #educaçãofinanceira #dinheiro #gratisão #mercadofinanceiro</t>
  </si>
  <si>
    <t>Como quitar seu financiamento 10x mais rápido https://t.co/x3ERt4ro3W via @YouTube 
#dividas #finaciamento #amortização #dinheiro #economia #educaçãofinanceira #poupar #casaprópria</t>
  </si>
  <si>
    <t>Ainda é cedo pra comemorar, jo entanto, texto que vota sobre a permanência da isenção dos dividendos foi enviado até a Câmara!
#investimento #dinheiro #economia #finanças #educaçãofinanceira #fiis #dividendos #taxa #isenção #voto #negociações #políticas
https://t.co/XajwAsyDCa</t>
  </si>
  <si>
    <t>Boa noite pessoal, no vídeo de hoje eu trouxe - 3 Dicas Financeiras Para Mudar Seu Mindset (Ideias sobre dinheiro) https://t.co/TvsqWq7huS via @YouTube.
#dinheiroextra #educaçãofinanceira  #economia #mindset #dicasfinanceiras #finanças #gastos #economizar #juntardinheiro</t>
  </si>
  <si>
    <t>Fala pessoal, no vídeo de hoje eu falo sobre o Tesouro Renda+: Vale a pena investir?! https://t.co/hsJj5ZxK2W via @YouTube
Corre lá conferir!
#dinheiro #dinheiroextra #educaçãofinanceira #educação #economia #investimento #investir #titulos #titulospublicos #dicas #inteligencia</t>
  </si>
  <si>
    <t>#ALENotícias: Aprovado, em 1º turno, projeto que inclui a "Educação Financeira" na grade curricular 💲📈
Saiba Mais▶️https://t.co/peBy6NnzZJ
#EducaçãoFinanceira #Educação #AVozDoPovo https://t.co/nQBkz1rVO2</t>
  </si>
  <si>
    <t>Fee Fixo sempre será o melhor?
https://t.co/BBxz86C4mO
#feefixo #feebased #remuneracao #conflitodeinteresses #assessordeinvestimentos #consultor #gerente #planejadorfinanceiro #tesourodireto #educacaofinanceira</t>
  </si>
  <si>
    <t>Educação financeira não é ilusão sobre ficar milionário e sim consciência de que se não souber administrar o dinheiro que se tem, mesmo quando pouco, nunca saberá administrar o muito, quando o obter 🧠
#financaspessoais #educacaofinanceiranasescolas
#educacaofinanceira</t>
  </si>
  <si>
    <t>"Gerencie suas finanças pessoais: estabeleça metas, monitore gastos e invista com sabedoria. O futuro financeiro depende de decisões conscientes agora." #FinançasPessoais #PlanejamentoFinanceiro</t>
  </si>
  <si>
    <t>#CavukaJoséAmaral
#importante #registro #educaçãofinanceira #crianças #jovens #PlanYourMoney #PlantYourFuture #GMW2023 #B3 #B3educacao 11ª edição da Global Money Week via Manuela Rodrigues Alves com B3 https://t.co/yOH1L6WsnX</t>
  </si>
  <si>
    <t>#CavukaJoséAmaral
#inteligenciafinanceira #dinheiro #financas #financaspessoais #educacaofinanceira #investimento #finançaspessoais #planejamentofinanceiro #financaparatodos #sonhos #gestãofinanceira via Izabel Rocha Transformasie
#VamosConversando https://t.co/dvTDnRF8dt</t>
  </si>
  <si>
    <t>#CavukaJoséAmaral
#educaçãofinanceira #comunicação #escrita #soicedade #impactosocial #emprego #voluntariadocorporativo #voluntariado #ubagestao #remandojuntos #sepreparai #projetoviela #favelinhas #oportunidades #educadores #empreendedorismo #mercadodetr…https://t.co/w4uw8FVseh</t>
  </si>
  <si>
    <t>Arranjo aberto e conformidade com PAT permitiram o surgimento de novas soluções e operadoras, a desoneração da rede credenciada e mais opções aos RHs. Confira em https://t.co/qrQDvqBayq
#benefícios #beneficiosflexiveis #finanças #educacaofinanceira https://t.co/xbep2oTWGv</t>
  </si>
  <si>
    <t>Desta forma você nunca perde #educaçãofinanceira #finanças #bitcoin #cri... https://t.co/iOnJSqqdMc via @YouTube</t>
  </si>
  <si>
    <t>Onde você guarda seu dinheiro?
tinder Bolsonaristas Dudu QUE GOLAÇO 
#Ajax  #educacaofinanceira  #Bitcoin  #financaspessoais  #dinheiro https://t.co/VYpLBcTZOe</t>
  </si>
  <si>
    <t>é MELHOR INVESTIR no Tesouro Direto? Corretoras ou pelo Aplicativo site ... https://t.co/1PDW0gSOdT via @YouTube  #finanças #educaçãofinanceira #selic
#tesourodireto
#investimentos
#dinheiro
#Bitcoin #criptomoedas
#blockchain
Israel 
ISrael
ISRAEL ISRAEL https://t.co/Vr9t5VBNlj</t>
  </si>
  <si>
    <t>iPhone 14 de graça? #educaçãofinanceira #shortsviral  #iphone14  #finanças https://t.co/Aqx8X2Z5OT via @YouTube</t>
  </si>
  <si>
    <t>Você sabia que você pode ganhar dinheiro fazendo compras na internet? Isso mesmo!
.
.
.
#livelo #milhas #smiles #latampass #milhasaereas #pontos #cartaodecredito #rendaextra  #educaçãofinanceira #finanças #israelpimentel_investe 
SANTA DO PAL OCO NA CADEIA | Chocada | LAUANA… https://t.co/gUdLBgstJX</t>
  </si>
  <si>
    <t>Você sabia que você pode ganhar dinheiro fazendo compras na internet? Isso mesmo!
.
.
.
#livelo #milhas #smiles #latampass #milhasaereas #pontos #cartaodecredito #rendaextra  #educaçãofinanceira #finanças #israelpimentel_investe 
SANTA DO PAL OCO NA CADEIA | Chocada | LAUANA… https://t.co/7arIYO8D3m</t>
  </si>
  <si>
    <t>É isso que você precisa fazer se cair em algum golpe do cartão de crédito. Compartilhe com seus amigos. 
#dicasfinanceiras #EducacionFinanciera #CARTAOCLONADO #golpes #financas
#criptomoedas 
#FNAFMovie 
#golpecartao
#cartaodecredito
#educacaofinanceira 
Desprezível Paulo Vieira… https://t.co/Pymolx76RI</t>
  </si>
  <si>
    <t>5 Regras para sair da Pobreza:
#educacaofinanceira #dinheiro #rendaextra 
https://t.co/MbvAmzphtI
#RealidadeNubank #nucoin Nubank | Sarada | Maíra Cardi | #FofocalizandoNoSBT | fnatic |</t>
  </si>
  <si>
    <t>Ótimo fundo imobiliário #educaçãofinanceira #fundosimobiliarios https://t.co/R0LDP77jZe via @YouTube</t>
  </si>
  <si>
    <t>RESERVA DE EMERGÊNCIA - Onde investir - Como fazer https://t.co/dXnRAFh9OK via @YouTube 
Bruno de Luca | #FofocalizandoNoSBT #educacaofinanceira #Bitcoin #bancocentral | Prisão de Lula | Salvador | Deltan | #Lula7desetembro | Toffoli | Lava Jato | Bruno de Luca</t>
  </si>
  <si>
    <t>Planilha de controle financeiro de graça no final do video galera. 
https://t.co/Kb7RPaeVPC
 #Meli+ | #FofocalizandoNoSBT | #bancocentral | Calleri | James Rodriguez | GRUPO A COM DEOLANE | Faustão | #Educacaofinanceira | #financaspessoais #BitcoinETF  #pobresincero
Fausto Silva</t>
  </si>
  <si>
    <t>Se você é pobre, então você precisa ver este video https://t.co/uqwOPFFAhf
#educacaofinanceira
Shein | 128 GB | TDAH | Besouro Azul | Zeldo| Lyon | ASSISTA QUASE NÃO NAMORO | Haddad | De Gea | Michelly | De Gea | Nubank</t>
  </si>
  <si>
    <t>Uma das possibilidades de fazer renda extra em dólar, é investir em ações americanas que pagam dividendos em dólar todos os meses. 
#financas #Investimentos  #dolar #educacaofinanceira https://t.co/QMBfqWKJBK</t>
  </si>
  <si>
    <t>Você pode ser, Boco Rodo, Nicolas Cage, ou até ser líder de invasão igual o Boulos, mas se não tiver Educação financeira vai viver em Pânico 
#humor #financas #educacaofinanceira #nubank #cartaodecredito https://t.co/DyJQVOWWy6</t>
  </si>
  <si>
    <t>Faça isso é vera seu dinheiro se multiplicar.
.
.
.
#comoinvestir #financaspessoais #gatilhosmentais #marketingdigitalbrasil #educacaofinanceira https://t.co/mvh898Dii9</t>
  </si>
  <si>
    <t>A RSM Moçambique teve muito gosto em receber no seu escritório a Money Savvy Mozambique para uma formação interna, sobre Educação Financeira, cuja sessão foi apresentada por Sany Weng.
#RSM #RSMMZ #RSMMocambique #TakeChargeOfChange #SmallTalks #Formação #EducaçãoFinanceira https://t.co/TEUxAeLwBY</t>
  </si>
  <si>
    <t>A @mozper_br  quer continuar a crescer de forma sustentável este ano e aumentar em 300% o número de clientes. A matéria é do portal parceiro Startups.
#Finsiders #Startups #fintechs #educaçãofinanceira #notícias #negócios 
https://t.co/By3srF78AK</t>
  </si>
  <si>
    <t>#mercadofuturo #mercadodeopções #derivativos #investimentos #educaçãofinanceira #finanças #prosperidade #prosperidadefinanceira #liberdadefinanceira #macroeconomia #bolsadechicago #mercadoamericano</t>
  </si>
  <si>
    <t>#mercadofuturo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</si>
  <si>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</si>
  <si>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</si>
  <si>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</si>
  <si>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</si>
  <si>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#investimentos #educaçãofinanceira #finanças #prosperidade #prosperidadefinanceira #liberdadefinanceira #macroeconomia</t>
  </si>
  <si>
    <t>#investimentos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</si>
  <si>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</si>
  <si>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A atividade foi elaborada pelo Departamento de Desenvolvimento Humano junto com a Gestão de Departamento do Futebol Feminino do clube.
📸: Cárila Covas/Ferroviária SAF
#GuerreirinhasGrenas #EducaçaoFinanceira https://t.co/94zq7iGjGF</t>
  </si>
  <si>
    <t>Concordo com o @VascodaGama. Gastos recorrentes a gente paga a vista. Gastos extraordinários a gente parcela. #educacaofinanceira</t>
  </si>
  <si>
    <t>#educaçãofinanceira https://t.co/ujMI2XmDXi</t>
  </si>
  <si>
    <t>Estudo da Creditas Benefícios destacou que 84% dos RHs estão abertos para ouvir as dores financeiras dos colaboradores e, para 56%, existe uma abertura por parte dos funcionários para iniciar a discussão com a área.#pesquisas #dividas #saudefinanceira #educacaofinanceira #rh #sp https://t.co/QxUvzcedIh</t>
  </si>
  <si>
    <t>💰 'Poupança é pagarem-se a vocês primeiro.' Bárbara Barroso desvenda os segredos das finanças e ensina-nos a traduzir a linguagem € para decisões práticas. Não perca no TEDxLisboa! Saiba mais: https://t.co/aBF7yCyTbN
#TEDxLisboa #BárbaraBarroso #EducaçãoFinanceira #Poupança https://t.co/E5dmqTv8qg</t>
  </si>
  <si>
    <t>A educação financeira é crucial para a vida das pessoas, afetando sua eficiência no trabalho e bem-estar geral.
Sua empresa está abordando essa questão?
Confira: https://t.co/ChWFrTkPX6.
#carreira #educaçãofinanceira #literaciafinanceira #aposentadoria</t>
  </si>
  <si>
    <t>Siga-nos também nas nossas outras redes sociais.
#CSF #CultivarSeuFuturo #investimento #investimentos #educacao_financeira #educacaofinanceira #desenvolvimento_pessoal #desenvolvimentopessoal #rendapassiva #dividendos #ações #acoes #investimentoparainiciantes #futuro https://t.co/LUFLplyX2U</t>
  </si>
  <si>
    <t>Energias do Brasil (EDP) - Oferta Pública de Aquisição (OPA).
Saiba como não pagar imposto de renda desnecessário.
https://t.co/gtBwr3WQ3V
#opa #edp #impostoderenda #CSF #CultivarSeuFuturo
#investimento #investimentos #educacaofinanceira #educaçãofinanceira https://t.co/9Fz2QxxwIT</t>
  </si>
  <si>
    <t>Como rentabilizar sua carteira de ações sem depender da valorização das cotações?
#rentabilidade #CSF #CultivarSeuFuturo
#investimento #investimentos #educaçãofinanceira #desenvolvimentopessoal #renda #rendapassiva #dividendos #ações #acoes
https://t.co/VIVHfiiKdV https://t.co/a9M6QKNToc</t>
  </si>
  <si>
    <t>E aí, pessoal! Quem aí está pronto para aprender a controlar as finanças e dar um up no orçamento? Confira nosso novo vídeo de educação financeira para iniciantes e comece agora mesmo a mudar sua relação com o dinheiro. Bora lá! 💸💰#educaçãofinanceira #finançaspessoais #dinheiro https://t.co/quKjeBnrfV</t>
  </si>
  <si>
    <t>AS ESCOLAS DEVERIAM ENSINAR EDUCAÇÃO FINANCEIRA ! #educaçãofinanceiranasescolas #educaçãofinanceira #financas #dinheiro #investimentos 
https://t.co/e8w51q9Y85</t>
  </si>
  <si>
    <t>[#EducaçãoFinanceira] Em visita ao Brasil, a rainha máxima da Holanda passou por Brasília, e se reuniu com o presidente do BC, Roberto Campos Neto. 
#PIXTV #PixNasRedes #Brasília #Holanda #Rainha #Educação #EscolasPúblicas 
https://t.co/tueJ7gXmvJ</t>
  </si>
  <si>
    <t>Ensinar sobre a riqueza aos filhos vai além de valores monetários; é sobre compartilhar conhecimentos para uma vida financeira saudável e responsável. 💰📚 #EducaçãoFinanceira #FilhosPreparados https://t.co/kQgzID2Fqn</t>
  </si>
  <si>
    <t>#Repost @cassius.stauffer
Vídeo antigo já prevendo a soltura de mais um corrupto.
#liberdadefinanceira 
#rendavariavel 
#rendapassiva 
#educacaofinanceira 
#investimento
#independênnciafinanceira
#economia
#criptomoedas
#motivação
#atualidades 
#desenvolvimentopessoal https://t.co/dlIvPSdHch</t>
  </si>
  <si>
    <t>O dinheiro não traz felicidade, mas com ele você pode ter mais opções para alcançá-la. Invista em sua vida financeira para ter mais liberdade e realizações. #FinançasPessoais #Investimento #Felicidade</t>
  </si>
  <si>
    <t>espero que acrescente de uma alguma forma na vida de todos , agradeço de coração nessa minha nova trajetoria na questão da forma de passar o conteúdo de uma simples e objetiva
Boa noite a todos
Se cuidem
#Ibovespa #ibov #mercadofinanceiro #artigo 
#educacaofinanceira</t>
  </si>
  <si>
    <t>Quer saber mais entre em contato via direct.
#cdb 
#rendafixa 
#investimentos 
#dicasdeinvestimentos 
#educacaofinanceira
https://t.co/8sj2JrKlys</t>
  </si>
  <si>
    <t>Fala pessoal!!! tem post no instagram...
Link: https://t.co/JKTc2ATBwz
Conteúdo de qualidade.
Sigam a nossa página para não perder as atualizações. Vamos juntos aumentar essa rede de educação financeira?
#pacorabanne #educaçãofinanceira #empreendedorismo https://t.co/79nVM7UX5d</t>
  </si>
  <si>
    <t>Foi fixe ouvir o @eucli_francisco de novo numa vertente agora diferente , Nigga knows what he says 
#FlyPodcast #EducacaoFinanceira 🌝</t>
  </si>
  <si>
    <t>#EducaçãoFinanceira Com 300 vagas e inscrições gratuitas
https://t.co/zeYRlgrelI</t>
  </si>
  <si>
    <t>Dicas sobre investimentos com @bixarica_  
ouça completa nos apps de áudio:
https://t.co/KYqKkwh17P
#papoincerto #lgbtpodcasters #bixarica
#investimentos #educacaofinanceira #ativosfinanceiros https://t.co/0Uql0q79kZ</t>
  </si>
  <si>
    <t>Dicas sobre investimentos com 
 @bixarica_
ouça completa nos apps de áudio:
https://t.co/KYqKkwgtih
#ativooupassivo #papoincerto #bixarica
#educaçãoFinanceira #lgbtpodcasters https://t.co/uTzWWi8lzL</t>
  </si>
  <si>
    <t>Enquanto isso, no Novo Ensino Médio... 📚👨🏾‍🏫💵 ... caso você tenha perdido 
#educaçãofinanceira
#cidadaniafiscal 
#novoensinomédio 
@seeducRJ 
#CEJK https://t.co/ZepgqJobKy</t>
  </si>
  <si>
    <t>Caso você tenha perdido: 2° ano 👨🏾‍🏫 🍃📝📚📈
#novoensinomedio #educaçãofinanceira https://t.co/iXVfcfGwK9</t>
  </si>
  <si>
    <t>📣 ATENÇÃO: O salário mínimo acaba de ser reajustado para R$ 1.320 a partir de 1º de maio de 2023! O valor diário será de R$44, e o valor horário, de R$ 6. Fique por dentro de como isso impacta sua vida e suas finanças. #SalárioMínimo #Reajuste #FinançasPessoais https://t.co/EwmnvUhb5V</t>
  </si>
  <si>
    <t>Segue novo artigo: Tesouro RendA+ como mais uma alternativa de complemento à aposentadoria: https://t.co/XPbYVnkvfa
#tesourodireto #educacaofinanceira #investimentos</t>
  </si>
  <si>
    <t>Cuidado ao aderir ao programa #Desenrola! Uma dica valiosa: evite contrair novas dívidas. A bola de neve financeira pode arruinar suas Finanças pessoais. Seja consciente e priorize economias inteligentes. 💰 #EducaçãoFinanceira #Planejamento https://t.co/3dVup0taYw</t>
  </si>
  <si>
    <t>E, atualmente, temos uma opção: O Bitcoin, que foi lançado em 2008, e possui características que o credenciam a ser uma alternativa opção viável de moeda ou reserva de valor global.
#CryptoSight #Crypto #Cripto #Criptomoedas #MoedaDigital #Bitcoin #FinançasPessoais #PoderDeCompra</t>
  </si>
  <si>
    <t>Confira mais informações com nosso Suporte Operacional e Comercial! Não esquece de salvar esse post!
#educacaofinanceira #marcasmaisfortes #investimentos #dinheiro #conscienciafinanceira
#voceviunagvn #beneficio #consignado https://t.co/rkjmv8jYWf</t>
  </si>
  <si>
    <t>Confira mais informações com nosso Suporte Operacional e Comercial! Não esquece de salvar esse post!
#educacaofinanceira #marcasmaisfortes #investimentos #dinheiro #conscienciafinanceira
#voceviunagvn #beneficio #consignado https://t.co/52sRZH4Jf0</t>
  </si>
  <si>
    <t>Confira mais informações com nosso Suporte Operacional e Comercial! Não esquece de salvar esse post!
#educacaofinanceira #marcasmaisfortes #investimentos #dinheiro #conscienciafinanceira
#voceviunagvn #beneficio #consignado https://t.co/fvvyiV6sPD</t>
  </si>
  <si>
    <t>Confira mais informações com nosso Suporte Operacional e Comercial! Não esquece de salvar esse post!
#educacaofinanceira #marcasmaisfortes #investimentos #dinheiro #conscienciafinanceira
#voceviunagvn #beneficio #consignado https://t.co/8zshgKPNXY</t>
  </si>
  <si>
    <t>Confira mais informações com nosso Suporte Operacional e Comercial! Não esquece de salvar esse post!
#educacaofinanceira #marcasmaisfortes #investimentos #dinheiro #conscienciafinanceira
#voceviunagvn #beneficio #consignado https://t.co/X6WQ9r4hxk</t>
  </si>
  <si>
    <t>Confira mais informações com nosso Suporte Operacional e Comercial! Não esquece de salvar esse post!
#educacaofinanceira #marcasmaisfortes #investimentos #dinheiro #conscienciafinanceira
#voceviunagvn #beneficio #consignado https://t.co/0jTnOpRjfi</t>
  </si>
  <si>
    <t>Confira mais informações com nosso Suporte Operacional e Comercial! Não esquece de salvar esse post!
#educacaofinanceira #marcasmaisfortes #investimentos #dinheiro #conscienciafinanceira
#voceviunagvn #beneficio #consignado https://t.co/B9GJRjYdkx</t>
  </si>
  <si>
    <t>Confira mais informações com nosso Suporte Operacional e Comercial! Não esquece de salvar esse post!
#educacaofinanceira #marcasmaisfortes #investimentos #dinheiro #conscienciafinanceira
#voceviunagvn #beneficio #consignado https://t.co/pGBZ75L985</t>
  </si>
  <si>
    <t>Confira mais informações com nosso Suporte Operacional e Comercial! Não esquece de salvar esse post!
#educacaofinanceira #marcasmaisfortes #investimentos #dinheiro #conscienciafinanceira
#voceviunagvn #beneficio #consignado https://t.co/ltth6MEpcs</t>
  </si>
  <si>
    <t>Confira mais informações com nosso Suporte Operacional e Comercial! Não esquece de salvar esse post!
#educacaofinanceira #marcasmaisfortes #investimentos #dinheiro #conscienciafinanceira
#voceviunagvn #beneficio #consignado https://t.co/94jAts1DhO</t>
  </si>
  <si>
    <t>Confira mais informações com nosso Suporte Operacional e Comercial! Não esquece de salvar esse post!
#educacaofinanceira #marcasmaisfortes #investimentos #dinheiro #conscienciafinanceira
#voceviunagvn #beneficio #consignado https://t.co/PHGdNJcxuN</t>
  </si>
  <si>
    <t>Confira mais informações com nosso Suporte Operacional e Comercial! Não esquece de salvar esse post!
#educacaofinanceira #marcasmaisfortes #investimentos #dinheiro #conscienciafinanceira
#voceviunagvn #beneficio #consignado https://t.co/FdzhWP3064</t>
  </si>
  <si>
    <t>Confira mais informações com nosso Suporte Operacional e Comercial! Não esquece de salvar esse post!
#educacaofinanceira #marcasmaisfortes #investimentos #dinheiro #conscienciafinanceira
#voceviunagvn #beneficio #consignado https://t.co/auod5KJGhi</t>
  </si>
  <si>
    <t>Confira mais informações com nosso Suporte Operacional e Comercial! Não esquece de salvar esse post!
#educacaofinanceira #marcasmaisfortes #investimentos #dinheiro #conscienciafinanceira
#voceviunagvn #beneficio #consignado https://t.co/AvEpaVodyr</t>
  </si>
  <si>
    <t>Confira mais informações com nosso Suporte Operacional e Comercial! Não esquece de salvar esse post!
#educacaofinanceira #marcasmaisfortes #investimentos #dinheiro #conscienciafinanceira
#voceviunagvn #beneficio #consignado https://t.co/EiRgdy5ODV</t>
  </si>
  <si>
    <t>Confira mais informações com nosso Suporte Operacional e Comercial! Não esquece de salvar esse post!
#educacaofinanceira #marcasmaisfortes #investimentos #dinheiro #conscienciafinanceira
#voceviunagvn #beneficio #consignado https://t.co/Ujto6K4PuG</t>
  </si>
  <si>
    <t>Confira mais informações com nosso Suporte Operacional e Comercial! Não esquece de salvar esse post!
#educacaofinanceira #marcasmaisfortes #investimentos #dinheiro #conscienciafinanceira
#voceviunagvn #beneficio #consignado https://t.co/9Ah8qc3kGb</t>
  </si>
  <si>
    <t>Confira mais informações com nosso Suporte Operacional e Comercial! Não esquece de salvar esse post!
#educacaofinanceira #marcasmaisfortes #investimentos #dinheiro #conscienciafinanceira
#voceviunagvn #beneficio #consignado https://t.co/MkiJvTodOE</t>
  </si>
  <si>
    <t>Confira mais informações com nosso Suporte Operacional e Comercial! Não esquece de salvar esse post!
#educacaofinanceira #marcasmaisfortes #investimentos #dinheiro #conscienciafinanceira
#voceviunagvn #beneficio #consignado https://t.co/58OIC5SIoE</t>
  </si>
  <si>
    <t>Confira mais informações com nosso Suporte Operacional e Comercial!
Não esquece de salvar esse post!
#educacaofinanceira #marcasmaisfortes #investimentos #dinheiro #conscienciafinanceira
#voceviunagvn #beneficio #consignado https://t.co/ZLUxFSmZkn</t>
  </si>
  <si>
    <t>Confira mais informações com nosso Suporte Operacional e Comercial!
Não esquece de salvar esse post!
#educacaofinanceira #marcasmaisfortes #investimentos #dinheiro #conscienciafinanceira
#voceviunagvn #beneficio #consignado https://t.co/3kNUONmR5W</t>
  </si>
  <si>
    <t>Confira mais informações com nosso Suporte Operacional e Comercial! Não esquece de salvar esse post!
#educacaofinanceira #marcasmaisfortes #investimentos #dinheiro #conscienciafinanceira
#voceviunagvn #beneficio #consignado https://t.co/zUkwJdXFsb</t>
  </si>
  <si>
    <t>Confira mais informações com nosso Suporte Operacional e Comercial! Não esquece de salvar esse post!
#educacaofinanceira #marcasmaisfortes #investimentos #dinheiro #conscienciafinanceira
#voceviunagvn #beneficio #consignado https://t.co/QVuTq34y20</t>
  </si>
  <si>
    <t>Confira mais informações com nosso Suporte Operacional e Comercial! Não esquece de salvar esse post!
#educacaofinanceira #marcasmaisfortes #investimentos #dinheiro #conscienciafinanceira
#voceviunagvn #beneficio #consignado https://t.co/hVG1ZvfIPt</t>
  </si>
  <si>
    <t>Confira mais informações com nosso Suporte Operacional e Comercial! Não esquece de salvar esse post!
#educacaofinanceira #marcasmaisfortes #investimentos #dinheiro #conscienciafinanceira
#voceviunagvn #beneficio #consignado https://t.co/qaizpviDm7</t>
  </si>
  <si>
    <t>Confira mais informações com nosso Suporte Operacional e Comercial! Não esquece de salvar esse post!
#educacaofinanceira #marcasmaisfortes #investimentos #dinheiro #conscienciafinanceira
#voceviunagvn #beneficio #consignado https://t.co/wbHorWbL8S</t>
  </si>
  <si>
    <t>Confira mais informações com nosso Suporte Operacional e Comercial! Não esquece de salvar esse post!
#educacaofinanceira #marcasmaisfortes #investimentos #dinheiro #conscienciafinanceira
#voceviunagvn #beneficio #consignado https://t.co/1tKqC61daJ</t>
  </si>
  <si>
    <t>Confira mais informações com nosso Suporte Operacional e Comercial! Não esquece de salvar esse post!
#educacaofinanceira #marcasmaisfortes #investimentos #dinheiro #conscienciafinanceira
#voceviunagvn #beneficio #consignad https://t.co/IuJp51iZsA</t>
  </si>
  <si>
    <t>Confira mais informações com nosso Suporte Operacional e Comercial! Não esquece de salvar esse post!
#educacaofinanceira #marcasmaisfortes #investimentos #dinheiro #conscienciafinanceira
#voceviunagvn #beneficio #consignado https://t.co/4n3HvakV7s</t>
  </si>
  <si>
    <t>Confira mais informações com nosso Suporte Operacional e Comercial! Não esquece de salvar esse post!
#educacaofinanceira #marcasmaisfortes #investimentos #dinheiro #conscienciafinanceira
#voceviunagvn #beneficio #consignado https://t.co/DbT5LSNrdO</t>
  </si>
  <si>
    <t>Confira mais informações com nosso Suporte Operacional e Comercial! Não esquece de salvar esse post!
#educacaofinanceira #marcasmaisfortes #investimentos #dinheiro #conscienciafinanceira
#voceviunagvn #beneficio #consignado https://t.co/IlzDkoyMUy</t>
  </si>
  <si>
    <t>Confira mais informações com nosso Suporte Operacional e Comercial! Não esquece de salvar esse post!
#educacaofinanceira #marcasmaisfortes #investimentos #dinheiro #conscienciafinanceira
#voceviunagvn #beneficio #consignado https://t.co/cLsMdzj79W</t>
  </si>
  <si>
    <t>Confira mais informações com nosso Suporte Operacional e Comercial!
Não esquece de salvar esse post!
#educacaofinanceira #marcasmaisfortes #investimentos #dinheiro #conscienciafinanceira
#voceviunagvn #beneficio #consignado https://t.co/pRJoLahPOM</t>
  </si>
  <si>
    <t>Confira mais informações com nosso Suporte Operacional e Comercial! Não esquece de salvar esse post!
#educacaofinanceira #marcasmaisfortes #investimentos #dinheiro #conscienciafinanceira
#voceviunagvn #beneficio #consignado https://t.co/8s3mBbXIu3</t>
  </si>
  <si>
    <t>Confira mais informações com nosso Suporte Operacional e Comercial! Não esquece de salvar esse post!
#educacaofinanceira #marcasmaisfortes #investimentos #dinheiro #conscienciafinanceira
#voceviunagvn #beneficio #consignado https://t.co/tGu2mTUaPq</t>
  </si>
  <si>
    <t>Confira mais informações com nosso Suporte Operacional e Comercial! Não esquece de salvar esse post!
#educacaofinanceira #marcasmaisfortes #investimentos #dinheiro #conscienciafinanceira
#voceviunagvn #beneficio #consignado https://t.co/GK1NcdDuhM</t>
  </si>
  <si>
    <t>Confira mais informações com nosso Suporte Operacional e Comercial! Não esquece de salvar esse post!
#educacaofinanceira #marcasmaisfortes #investimentos #dinheiro #conscienciafinanceira
#voceviunagvn #beneficio #consignado https://t.co/b3smBuULuh</t>
  </si>
  <si>
    <t>Confira mais informações com nosso Suporte Operacional e Comercial! Não esquece de salvar esse post!
#educacaofinanceira #marcasmaisfortes #investimentos #dinheiro #conscienciafinanceira
#voceviunagvn #beneficio #consignado https://t.co/OnDr0IqjPe</t>
  </si>
  <si>
    <t>Confira mais informações com nosso Suporte Operacional e Comercial! Não esquece de salvar esse post!
#educacaofinanceira #marcasmaisfortes #investimentos #dinheiro #conscienciafinanceira
#voceviunagvn #beneficio #consignado https://t.co/JuPJG4qizl</t>
  </si>
  <si>
    <t>Confira mais informações com nosso Suporte Operacional e Comercial!
Não esquece de salvar esse post!
#educacaofinanceira #marcasmaisfortes #investimentos #dinheiro #conscienciafinanceira
#voceviunagvn #beneficio #consignado https://t.co/iitrJX2f39</t>
  </si>
  <si>
    <t>Confira mais informações com nosso Suporte Operacional e Comercial!
Não esquece de salvar esse post!
#educacaofinanceira #marcasmaisfortes #investimentos #dinheiro #conscienciafinanceira
#voceviunagvn #beneficio #consignado https://t.co/22xf4XH2Fi</t>
  </si>
  <si>
    <t>Confira mais informações com nosso Suporte Operacional e Comercial!
Não esquece de salvar esse post!
#educacaofinanceira #marcasmaisfortes #investimentos #dinheiro #conscienciafinanceira
#voceviunagvn #beneficio #consignado https://t.co/i3NDS6q8vz</t>
  </si>
  <si>
    <t>Confira mais informações com nosso Suporte Operacional e Comercial! Não esquece de salvar esse post!
#educacaofinanceira #marcasmaisfortes #investimentos #dinheiro #conscienciafinanceira
#voceviunagvn #beneficio #consignado https://t.co/j2OzdhGrnM</t>
  </si>
  <si>
    <t>Confira mais informações com nosso Suporte Operacional e Comercial! Não esquece de salvar esse post!
#educacaofinanceira #marcasmaisfortes #investimentos #dinheiro #conscienciafinanceira
#voceviunagvn #beneficio #consignado https://t.co/ESReRV3EO2</t>
  </si>
  <si>
    <t>Confira mais informações com nosso Suporte Operacional e Comercial! Não esquece de salvar esse post!
#educacaofinanceira #marcasmaisfortes #investimentos #dinheiro #conscienciafinanceira
#voceviunagvn #beneficio #consignado https://t.co/KvLZLauszq</t>
  </si>
  <si>
    <t>Confira mais informações com nosso Suporte Operacional e Comercial! Não esquece de salvar esse post!
#educacaofinanceira #marcasmaisfortes #investimentos #dinheiro #conscienciafinanceira
#voceviunagvn #beneficio #consignado https://t.co/6kSsme2q2U</t>
  </si>
  <si>
    <t>Confira mais informações com nosso Suporte Operacional e Comercial! Não esquece de salvar esse post!
#educacaofinanceira #marcasmaisfortes #investimentos #dinheiro #conscienciafinanceira
#voceviunagvn #beneficio #consignado https://t.co/YerT3QZ0cy</t>
  </si>
  <si>
    <t>Confira mais informações com nosso Suporte Operacional e Comercial! Não esquece de salvar esse post!
#educacaofinanceira #marcasmaisfortes #investimentos #dinheiro #conscienciafinanceira
#voceviunagvn #beneficio #consignado https://t.co/bBVP3JYhuM</t>
  </si>
  <si>
    <t>Confira mais informações com nosso Suporte Operacional e Comercial!
Não esquece de salvar esse post!
#educacaofinanceira #marcasmaisfortes #investimentos #dinheiro #conscienciafinanceira
#voceviunagvn #beneficio #consignado https://t.co/S6u5w4ub0Z</t>
  </si>
  <si>
    <t>Conta conjunta ou separada? #financaspessoais #dinheiro https://t.co/KwqZqIQDzW https://t.co/mG4fFF5GQQ</t>
  </si>
  <si>
    <t>Dicas rápidas: Quem não quer né? 
Me diga o que achou e curtese você gostou... 📊
___________________________________
#investimento #financaspessoais #rendaextra #rendapassiva #comoinvestir #comoinvestirdozero https://t.co/GzZs38F3Pv</t>
  </si>
  <si>
    <t>"Mas, Luiz. Sua primeira postagem sobre investimentos é falando de dívidas?"
Não poderia ser diferente! Te explico pq lá no meu instagram e Blog. Corre lá...
@lafbraga
https://t.co/5seZhfR7h3 
#dívidas #investimentos #finanças #finançaspessoais #rendaextra https://t.co/FEsKs7mxl5</t>
  </si>
  <si>
    <t>Recadinho desse gênio que vem revolucionando o mundo com suas ideais! 
__
#investir #financaspessoais #empreender #ação #zonadeconforto https://t.co/5DxCBKo4bQ</t>
  </si>
  <si>
    <t>Gerir as finanças pessoais é fundamental para os jogadores de futebol que estão sem clube.
Foi com esse objetivo que Hugo Pinheiro, especialista em literacia financeira, esteve esta manhã no Campus do Jogador.
#EstágiodoJogador
#EducaçãoFinanceira
https://t.co/tq8ezzIRqV</t>
  </si>
  <si>
    <t>12.ª edição do #concurso Todos Contam, que irá distinguir os melhores projetos de #educaçãofinanceira para o ano letivo de 2023/2024.
#Candidaturas até 6 outubro, 2023</t>
  </si>
  <si>
    <t>#PraTodosVerem #PraCegoVer Um vídeo, com apresentação da Marina, uma mulher branca, de olhos castanhos e cabelos castanhos, usando um casaco marrom. Ela conta os principais acontecimentos da segunda-feira na B3.
#educacaofinanceira #impostoderenda #ir</t>
  </si>
  <si>
    <t>#PraTodosVerem #PraCegoVer Um vídeo, com apresentação do Gabriel, um homem branco, de olhos castanhos e cabelos castanhos, usando uma camiseta rosa. Ele conta os principais acontecimentos da sexta-feira na B3.
#educaçãofinanceira #ir #impostoderenda</t>
  </si>
  <si>
    <t>#PraTodosVerem #PraCegoVer Um vídeo, com apresentação da Maildes, uma mulher branca, de olhos castanhos e cabelos o castanhos, usando uma camisa rosa. Ela conta os principais acontecimentos da quinta-feira na B3.
#educacaofinanceira  #fundos</t>
  </si>
  <si>
    <t>#PraCegoVer #PraTodosVerem Um vídeo com apresentação de Fernanda, uma mulher de cabelos loiros longos e olhos castanhos, usando uma camiseta rosa. Ela conta os principais acontecimentos da sexta-feira na B3.
#educacaofinanceira #ir #impostoderenda #leilao</t>
  </si>
  <si>
    <t>#PraTodosVerem #PraCegoVer Um vídeo, com apresentação da Nubia, uma mulher branca, de olhos castanhos e cabelos castanhos e longos, usando uma camisa preta. Ela conta os principais acontecimentos da quarta-feira na B3.
#educacaofinanceira #ir #impostoderenda</t>
  </si>
  <si>
    <t>#PraTodosVerem #PraCegoVer Um vídeo, com apresentação do Gabriel, um homem branco, de olhos castanhos e cabelos castanhos, usando uma camiseta preta. Ele conta os principais acontecimentos da terça-feira na B3.
#educacaofinanceira #bdr #dividendos</t>
  </si>
  <si>
    <t>#PraTodosVerem #PraCegoVer Um vídeo, com apresentação da Alexia, uma mulher branca, de olhos castanhos e cabelos castanhos e longos, usando uma camiseta roxa. Ela conta os principais acontecimentos da segunda-feira na B3.
#educacaofinanceira #reservadeoportunidade</t>
  </si>
  <si>
    <t>Muitas empresas oferecem participações sobre lucros e resultados como benefício. O #MinutoB3 mostra que esse extra pode ser usado para quitar dívidas, diversificar investimentos e até para iniciar uma reserva de emergência.
#educacaofinanceira https://t.co/0Qm14VstL4</t>
  </si>
  <si>
    <t>Veja o comportamento dos investidores nas bolsas do Brasil e do mundo esta semana.
Confira no #MinutoB3
#educacaofinanceira #papeldab3 https://t.co/ZQKtika9qT</t>
  </si>
  <si>
    <t>O medo do inesperado deixa muita gente apreensiva com as finanças. O #MinutoB3 mostra a importância da reserva de emergência para enfrentar imprevistos. Veja de quanto ela deve ser e quanto tempo leva para chegar ao valor.
#educacaofinanceira https://t.co/VvoZtrOGx7</t>
  </si>
  <si>
    <t>O mercado futuro é usado para negociar contratos de dólar, índices, moedas ou juros ao valor que se espera pagar, assegurando mais previsibilidade para empresas e investidores. Confira o #MinutoB3 e saiba mais.
 #educacaofinanceira #derivativos #minicontratos https://t.co/d45Pv90QKA</t>
  </si>
  <si>
    <t>#PraTodosVerem #PraCegoVer Um vídeo, com apresentação da Nubia, uma mulher branca, de olhos castanhos e cabelos castanhos e longos, usando uma camisa preta. Ela conta os principais acontecimentos da terça-feira na B3
#educacaofinanceira #bsm</t>
  </si>
  <si>
    <t>#PraCegoVer #PraTodosVerem Um vídeo com apresentação de Gaby, uma mulher de cabelos e olhos castanhos, usando uma camiseta verde. Ela conta os principais acontecimentos da terça-feira na B3.
#educacaofinanceira #açoes #rendavariavel</t>
  </si>
  <si>
    <t>#PraTodosVerem #PraCegoVer Um vídeo, com apresentação da Paula, uma mulher branca, de olhos castanhos e cabelos castanhos, usando uma camiseta azul escura. 
#educacaofinanceira #ESG</t>
  </si>
  <si>
    <t>#PraTodosVerem #PraCegoVer Um vídeo com apresentação da Thais, uma mulher branca, de olhos castanhos e cabelos castanhos claros, usando uma blusa cinza. Ela conta os principais acontecimentos da sexta-feira na B3.
#educaçãofinanceira #websummit #ir #impostoderenda</t>
  </si>
  <si>
    <t>Você sabia que existem alguns investimentos que são isentos de pagamento de IR? É possível encontrar ativos desse tipo tanto em renda fixa, como em renda variável. O  #MinutoB3 te conta quais são e como declarar.
#educacaofinanceira #impostoderenda https://t.co/CC0MVVuzxC</t>
  </si>
  <si>
    <t>Você sabe a diferença entre corretoras e agentes autônomos? O #MinutoB3 de hoje te explica o papel de cada um na sua jornada de investimentos.
#educacaofinanceira https://t.co/u5SA12bfke</t>
  </si>
  <si>
    <t>A diversificação é o melhor caminho para se proteger de riscos em geral. O #MinutoB3 mostra que no caso de incertezas na economia do país, diversificar internacionalmente é o melhor caminho. Veja como fazer isso.
#educacaofinanceira #bdr #impostoderenda https://t.co/gPxRAUKmLJ</t>
  </si>
  <si>
    <t>O Copom manteve a taxa Selic. O #MinutoB3 mostra como essa decisão afeta todas as outras taxas de juros do país e reflete nos seus investimentos.
#educacaofinanceira https://t.co/xhNbbY6Rfj</t>
  </si>
  <si>
    <t>Hoje começou a ser negociado na B3 o Tesouro RendA+, o novo título para investidores que querem complementar a aposentadoria. O #MinutoB3 mostra que é possível começar a investir com aproximadamente R$ 30. Conheça os detalhes do produto. 
#educacaofinanceira #tesourodireto https://t.co/3gEbvLG8jI</t>
  </si>
  <si>
    <t>Perdeu alguma informação essa semana sobre o mercado financeiro? O #MinutoB3 traz os principais destaques que tiveram impacto nas bolsas do Brasil, Estados Unidos, Europa e Ásia.
#educacaofinanceira https://t.co/wevvTFYCqq</t>
  </si>
  <si>
    <t>A busca por bons rendimentos explica a atratividade da renda variável. O #minutoB3 mostra que a opção mais popular desses ativos são as ações a lista as três companhias que mais renderam dividendos pra os acionistas em 2022.
#educacaofinanceira https://t.co/0rJYqa5ziU</t>
  </si>
  <si>
    <t>#PraCegoVer #PraTodosVerem Um vídeo com apresentação de Lili, uma mulher de cabelos loiros curtos e olhos castanhos, usando uma camisa preta e uma jaqueta. Ela conta os principais fatos da quarta-feira na B3
#educacaofinanceira #inflacao #ipca</t>
  </si>
  <si>
    <t>#PraTodosVerem #PraCegoVer Um vídeo, com apresentação da Stefany, uma mulher branca, de olhos e cabelos castanhos, usando dourado. Ele conta os principais acontecimentos da semana na B3.
#educacaofinanceira  #ir #impostoderenda</t>
  </si>
  <si>
    <t>#PraTodosVerem #PraCegoVer Um vídeo com apresentação da Thais, uma mulher branca, de olhos castanhos e cabelos castanhos claros, usando uma blusa preta com listras azuis. Ela conta os principais acontecimentos da terça-feira na B3.
#educacaofinanceira  #recuperaçãojudicial</t>
  </si>
  <si>
    <t>#PraTodosVerem #PraCegoVer Um vídeo, com apresentação do Gabriel, um homem branco, de olhos castanhos e cabelos castanhos, usando uma camiseta branca. Ele conta os principais acontecimentos da segunda-feira na B3.
#educacaofinanceira  #museu #patrocínio #MUB3
#semanaenef</t>
  </si>
  <si>
    <t>O Ibovespa terminou o dia com alta de +0,92%. O #MinutoB3 traz os principais destaques que tiveram impacto nas bolsas do Brasil, Estados Unidos e China.
#educacaofinanceira #impostoderenda https://t.co/D71A4rQX9a</t>
  </si>
  <si>
    <t>Para começar a investir em ações, é importante estar bem informado sobre as empresas e conhecer as características desse mercado. O #MinutoB3 te dá três dicas de como fazer isso. #educacaofinanceira https://t.co/6nUOiuKD3J</t>
  </si>
  <si>
    <t>Simuladores e aplicativos facilitam a conquista de objetivos e controle de gastos. O #MinutoB3 mostra quatro opções gratuitas para o investidor iniciante ou para quem ainda planeja começar a investir.
#educacaofinanceira https://t.co/c4Nfiml76B</t>
  </si>
  <si>
    <t>Perdeu alguma informação essa semana sobre o mercado financeiro? O #MinutoB3 traz os principais destaques que tiveram impacto nas bolsas do Brasil, Estados Unidos, Europa e Ásia.
#PapeldaB3 #EducaçãoFinanceira #tesourodireto https://t.co/DPA6YUqnvu</t>
  </si>
  <si>
    <t>#PraTodosVerem #PraCegoVer Um vídeo, com apresentação do Gabriel, um homem branco, de olhos castanhos e cabelos castanhos, usando uma camisa listrada. Ele conta os principais acontecimentos da segunda-feira na B3.
#educacaofinanceira</t>
  </si>
  <si>
    <t>#PraTodosVerem #PraCegoVer Um vídeo com apresentação da Thais, uma mulher branca, de olhos castanhos e cabelos castanhos claros, usando uma blusa amarela. Ela conta os principais acontecimentos da quarta-feira na B3.
#educacaofinanceira #impostoderenda #ir</t>
  </si>
  <si>
    <t>#PraCegoVer #PraTodosVerem Um vídeo com apresentação de Gabrielly, uma mulher de cabelos castanhos longos e olhos castanhos, usando uma camiseta vermelha e preta. Ela conta os principais acontecimentos da terça-feira na B3.
#educacaofinanceira #IFIXB3 #derivativo #fii</t>
  </si>
  <si>
    <t>#PraTodosVerem #PraCegoVer Um vídeo, com apresentação do Diógenes, um homem negro, de olhos verdes e cabelos castanhos, usando uma camiseta preta. Ele conta os principais acontecimentos da quinta-feira na B3.
#educacaofinanceira #ir #impostoderenda</t>
  </si>
  <si>
    <t>#PraCegoVer #PraTodosVerem Um vídeo com apresentação de Gabrielly, uma mulher de cabelos castanhos longos e olhos castanhos, usando uma camiseta preta. Ela conta os principais acontecimentos da terça-feira na B3.
#educacaofinanceira #poupança #IR #impostoderenda</t>
  </si>
  <si>
    <t>O Ibovespa terminou o dia com baixa de 1,40%. O #MinutoB3 traz os principais destaques que tiveram impacto nas bolsas do Brasil, Estados Unidos e China.
#educacaofinanceira https://t.co/dTDuBJ1TvJ</t>
  </si>
  <si>
    <t>A B3 registrou aumento de 27% no estoque de produtos de dívida corporativa no ano passado. Um negócio bom para as empresas e para os investidores, que são atraídos pelas taxas de juros mais altas. Confira no #MinutoB3 
#educacaofinanceira https://t.co/T8ykNcTA1H</t>
  </si>
  <si>
    <t>#PraTodosVerem #PraCegoVer Um vídeo, com apresentação da Nubia, uma mulher branca, de olhos castanhos e cabelos castanhos e longos, usando uma camisa preta. Ela conta os principais acontecimentos da quarta-feira na B3
#educacaofinanceira #rendafixa #rendavariavel</t>
  </si>
  <si>
    <t>#PraTodosVerem #PraCegoVer Um vídeo, com apresentação da Nubia, uma mulher branca, de olhos castanhos e cabelos castanhos e longos, usando uma camisa marrom. Ela conta os principais acontecimentos da sexta-feira na B3
#educaçãofinanceira #ir #impostoderenda #ipca #inflacao</t>
  </si>
  <si>
    <t>#PraTodosVerem #PraCegoVer Um vídeo, com apresentação do Pedro, um homem branco, de olhos verdes e cabelos castanhos, usando uma camiseta branca. Ele conta os principais acontecimentos da terça-feira na B3.
#educacaofinanceira #ibovespa</t>
  </si>
  <si>
    <t>#PraCegoVer #PraTodosVerem Um vídeo com apresentação de Domitila, uma mulher de cabelos loiros curtos e olhos verdes, usando uma camiseta marrom. Ela conta os principais acontecimentos da segunda-feira na B3.
#educacaofinanceira</t>
  </si>
  <si>
    <t>Você é daqueles que tentam investir, mas ficam na intenção? O #MinutoB3 mostra que para aplicar é preciso ter estratégia. E apresenta quatro gastos que podem estar atrapalhando o seu objetivo.
#educacaofinanceira https://t.co/U4cHVZTTVP</t>
  </si>
  <si>
    <t>O número de pessoas físicas que aplicaram em renda fixa e variável na bolsa aumentou no ano passado. O #MinutoB3 traz os números e mostra um dos dados que mais chamaram a atenção. 
#educacaofinanceira #papeldab3 #rendavariavel https://t.co/ivK0FnJXi5</t>
  </si>
  <si>
    <t>O agronegócio é responsável por quase um terço do PIB nacional e por 52,2% de tudo o que o Brasil exporta. O #MinutoB3 mostra três produtos para quem quer investir nesse setor: LCA, CRA e Fiagro.
#educacaofinanceira #lca #cra #fiagro https://t.co/DtLohLMZDj</t>
  </si>
  <si>
    <t>Está chegando a hora de entregar sua declaração do imposto de renda. Saber como declarar seus investimentos é essencial para não ser pego pelo leão. #MinutoB3 #educacaofinanceira #impostoderenda https://t.co/mMDCaoDQyT</t>
  </si>
  <si>
    <t>#PraTodosVerem #PraCegoVer Um vídeo, com apresentação do Naum, um homem branco, de olhos castanhos e cabelos castanhos, usando uma camisa cinza. Ele conta os principais acontecimentos da quinta-feira na B3.
#educacaofinanceira #rendafixa #rendavariavel #bookpf #rendamais</t>
  </si>
  <si>
    <t>#PraTodosVerem #PraCegoVer Um vídeo, com apresentação da Stefany, uma mulher branca, de olhos e cabelos castanhos, usando uma camisa preta. Ela conta os principais acontecimentos da terça-feira na B3.
#educacaofinanceira #contratosfuturos #opçoes</t>
  </si>
  <si>
    <t>#PraTodosVerem #PraCegoVer Um vídeo, com apresentação do Gabriel, um homem branco, de olhos castanhos e cabelos castanhos, usando uma camiseta branca. Ele conta os principais acontecimentos da segunda-feira na B3.
#educacaofinanceira #diadosnamorados</t>
  </si>
  <si>
    <t>#PraTodosVerem #PraCegoVer Um vídeo, com apresentação do Pedro, um homem branco, de olhos verdes e cabelos castanhos, usando uma camiseta preta. Ele conta os principais acontecimentos da quarta-feira na B3.
#educacaofinanceira #bdr</t>
  </si>
  <si>
    <t>#PraTodosVerem #PraCegoVer Um vídeo, com apresentação do Gabriel, um homem branco, de olhos castanhos e cabelos castanhos, usando uma camiseta preta. Ele conta os principais acontecimentos da quarta-feira na B3.
#educacaofinanceira #ibovespa  #tesourorendamais</t>
  </si>
  <si>
    <t>#PraTodosVerem #PraCegoVer Um vídeo, com apresentação da Nubia, uma mulher branca, de olhos castanhos e cabelos castanhos e longos, usando uma camisa preta. Ela conta os principais acontecimentos da sexta-feira na B3.
#educacaofinanceira</t>
  </si>
  <si>
    <t>#PraCegoVer #PraTodosVerem Um vídeo com apresentação de Fernanda, uma mulher de cabelos loiros longos e olhos castanhos, usando uma camiseta preta e jaqueta preta. Ela conta os principais acontecimentos da quinta-feira na B3.
#educacaofinanceira 
#tecnologia</t>
  </si>
  <si>
    <t>#PraCegoVer #PraTodosVerem Um vídeo com apresentação de Lili, uma mulher de cabelos loiros curtos e olhos castanhos, usando uma camisa branca e uma jaqueta jeans. Ela conta os principais fatos da quarta-feira na B3.
#educacaofinanceira #sustentabilidade #IPO</t>
  </si>
  <si>
    <t>#educacaofinanceira
#PraTodosVerem #PraCegoVer Um vídeo, com apresentação do Gabriel, um homem branco, de olhos castanhos e cabelos castanhos, usando uma camiseta preta. Ele conta os principais acontecimentos da sexta-feira na B3.</t>
  </si>
  <si>
    <t>#educacaofinanceira
#PraTodosVerem #PraCegoVer Um vídeo, com apresentação do Diógenes, um homem negro, de olhos verdes e cabelos castanhos, usando uma camiseta marrom. Ele conta os principais acontecimentos da quinta-feira na B3.</t>
  </si>
  <si>
    <t>Os rendimentos dos Fundos de Investimento Imobiliário são isentos de imposto de renda. O #MinutoB3 mostra que, apesar disso, ele precisa ser declarado. Confira ainda os dados de inflação de março.
#impostoderenda #fii #educaçãofinanceira https://t.co/9tUxiFxb0N</t>
  </si>
  <si>
    <t>O Ibovespa terminou o dia com baixa de -1,38%. O #MinutoB3 traz os principais destaques que tiveram impacto nas bolsas do Brasil, Estados Unidos e China.
#educacaofinanceira https://t.co/xcvSmQgdLw</t>
  </si>
  <si>
    <t>O #MinutoB3 traz os principais destaques que tiveram impacto nas bolsas do Brasil, Estados Unidos e China.
#educacaofinanceira https://t.co/MGDPuFYqRK</t>
  </si>
  <si>
    <t>Alinhar seus investimentos com objetivos de curto, médio e longo prazo é essencial para ter uma carteira diversificada. O #MINUTOB3 de hoje te conta 3 produtos que têm liquidez diária.
#educacaofinanceira #cdb #tesourodireto #fii https://t.co/jxLk9NWmwb</t>
  </si>
  <si>
    <t>#PraCegoVer #PraTodosVerem Um vídeo com apresentação de Fernanda, uma mulher de cabelos loiros longos e olhos castanhos, usando uma camiseta preta e jaqueta marrom. Ela conta os principais acontecimentos da segunda-feira na B3.
#educacaofinanceira</t>
  </si>
  <si>
    <t>#PraTodosVerem #PraCegoVer Um vídeo, com apresentação do Diógenes, um homem negro, de olhos verdes e cabelos castanhos, usando uma camiseta cinza listrada. Ele conta os principais acontecimentos da sexta-feira na B3.
#educaçãofinanceira #rendafixa #rendavariavel…</t>
  </si>
  <si>
    <t>#PraTodosVerem #PraCegoVer Um vídeo, com apresentação da Isabella, uma mulher branca, de olhos verdes e cabelos castanhos, usando um casaco preto. Ela conta os principais acontecimentos da quinta-feira na B3.
#educacaofinanceira</t>
  </si>
  <si>
    <t>#PraTodosVerem #PraCegoVer Um vídeo, com apresentação do Gabriel, um homem branco, de olhos castanhos e cabelos castanhos, usando uma camiseta preta. Ele conta os principais acontecimentos da quarta-feira na B3.
#educacaofinanceira #ir #impostoderenda</t>
  </si>
  <si>
    <t>#PraTodosVerem #PraCegoVer Um vídeo com apresentação da Thais, uma mulher branca, de olhos castanhos e cabelos castanhos claros, usando uma blusa preta. Ela conta os principais acontecimentos da segunda-feira na B3. #educacaofinanceira</t>
  </si>
  <si>
    <t>O #MinutoB3 traz os principais destaques que tiveram impacto nas bolsas do Brasil, Estados Unidos e China.
#educacaofinanceira https://t.co/B6ezfGmpWm</t>
  </si>
  <si>
    <t>Você sabe o que são Opções de Ações? O #MinutoB3 mostra que esse instrumento foi criado para administrar riscos de oscilação de preço, oferecendo um mecanismo de proteção ao mercado contra possíveis perdas.
#educacaofinanceira #opcoes https://t.co/xjW42Is5uE</t>
  </si>
  <si>
    <t>#PraTodosVerem #PraCegoVer Um vídeo, com apresentação da Maildes, uma mulher branca, de olhos castanhos e cabelos castanhos, usando uma camisa preta. Ela conta os principais acontecimentos da terça-feira na B3
#educacaofinanceira #dividendos</t>
  </si>
  <si>
    <t>#PraTodosVerem #PraCegoVer Um vídeo, com apresentação do Naum, um homem branco, de olhos castanhos e cabelos castanhos, usando uma camisa marrom. Ele conta os principais acontecimentos da segunda-feira na B3.
#educacaofinanceira  #ir #impostoderenda</t>
  </si>
  <si>
    <t>#PraTodosVerem #PraCegoVer Um vídeo, com apresentação do Gabriel, um homem branco, de olhos castanhos e cabelos castanhos, usando uma camiseta preto. Ele conta os principais acontecimentos da segunda-feira na B3.
#educacaofinanceira</t>
  </si>
  <si>
    <t>#PraTodosVerem #PraCegoVer Um vídeo, com apresentação da Nubia, uma mulher branca, de olhos castanhos e cabelos castanhos e longos, usando uma camisa preta. Ela conta os principais acontecimentos da sexta-feira na B3
#educaçãofinanceira #ir #impostoderenda</t>
  </si>
  <si>
    <t>#PraTodosVerem #PraCegoVer Um vídeo, com apresentação do Diógenes, um homem negro, de olhos verdes e cabelos castanhos, usando uma jaqueta marrom. Ele conta os principais acontecimentos da quinta-feira na B3.
#educacaofinanceira #mub3 #patrocinio</t>
  </si>
  <si>
    <t>Os Fundos de Investimento Imobiliários distribuem dividendos regularmente. Quer saber o que é isso e como descobrir os fundos que mais geraram uma renda extra aos seus cotistas em 2022? Confira no #MinutoB3.
#educacaofinanceira #fii https://t.co/eK9Gv3UR7a</t>
  </si>
  <si>
    <t>#PraTodosVerem #PraCegoVer Um vídeo, com apresentação da Alexia, uma mulher branca, de olhos castanhos e cabelos castanhos e longos, usando uma camiseta marrom. Ela conta os principais acontecimentos da quarta-feira na B3.  #educacaofinanceira #impostoderenda #fii</t>
  </si>
  <si>
    <t>Chegam ao mercado quatro novos ETFs geridos pela Bradesco Asset. O #MinutoB3 mostra que esse tipo de ativo é estratégico para diversificação de investimentos e exige um capital de investimento inicial baixo.
#educacaofinanceira #etf https://t.co/mLdXfvzmi6</t>
  </si>
  <si>
    <t>Os Fundos de Investimento Imobiliários, os FIIs, são produtos muito queridos pela pessoa física. O #MinutoB3 de hoje te conta uma das principais características desse produto.
#educacaofinanceira #fii https://t.co/36xgep0Bow</t>
  </si>
  <si>
    <t>O #MinutoB3 traz os principais destaques que tiveram impacto nas bolsas do Brasil, Estados Unidos, Europa e Ásia ao longo da semana.
#educacaofinanceira https://t.co/fstOOurZM8</t>
  </si>
  <si>
    <t>Inflação oficial foi de 0,53% em janeiro. O #MinutoB3 mostra quais foram os setores da economia que mais influenciaram nesse resultado e como isso interfere em seus investimentos.
#educacaofinanceira https://t.co/uPRm5XaP02</t>
  </si>
  <si>
    <t>@B3_Oficial Sim , Bom Dia, acho ótimo repassar a educação financeira para todos. #aprenderfinanças #educaçãofinanceira</t>
  </si>
  <si>
    <t>A Diretoria Executiva da FUMEP convida funcionários, gestores, estagiários e aprendizes a participarem do curso de capacitação com o tema “Finanças Pessoais”.
Acesse: https://t.co/Pt6HnWe8v3
#fumep #cepp #capacitaçãofuncional #finançaspessoais #cursosincompany https://t.co/dv2PccHMmI</t>
  </si>
  <si>
    <t>A #educação financeira recebida dos pais tem impacto positivo nas atitudes dos #jovens que utilizam cartões de crédito, estimulando a autoconfiança financeira. Saiba mais: https://t.co/432E3Zr2Vb
#finanças #educaçãofinanceira #DicadeLeituraFGV #BlogImpacto https://t.co/ksE7PgXYbD</t>
  </si>
  <si>
    <t>Diversos estudos mostram que as dificuldades #financeiras aumentam o #estresse, a #ansiedade e, em alguns casos, leva até à #depressão, afetando também o desempenho profissional. Leia: https://t.co/VSrbCM2IV6
#diadotrabalho #educacaofinanceira #BlogImpacto #DicadeLeituraFGV https://t.co/zD8Rptxdke</t>
  </si>
  <si>
    <t>Como você guia suas decisões? 🤔
“Preocupa-se com o que os outros pensam, e você será sempre prisioneiro deles.” Lao Tzu
#atitudesconscientes #carreira #educacaofinanceira #saudemental #comportamento #anapaulahornos https://t.co/ECbdDusPvy</t>
  </si>
  <si>
    <t>Está a decorrer, até dia 6 de out., a 12.ª edição do concurso Todos Contam, que irá distinguir os melhores projetos de educação financeira para o ano letivo de 2023/2024. 
Esta é uma iniciativa do Conselho Nacional de Supervisores Financeiros e do Ministério da Educação. https://t.co/53rzq4Qphk</t>
  </si>
  <si>
    <t>Com vasta experiência e conhecimento em análise técnica e fluxo, forneço análises precisas e confiáveis do mercado financeiro para todos os meus clientes.  
O sucesso é a consequência das suas boas escolhas.
#analistademercado #investimentos #finançaspessoais #cnpi https://t.co/CxE9OEw6hB</t>
  </si>
  <si>
    <t>Na sequência do aumento de preços da @DEGIRO no passado 15 de Maio, publiquei uma atualização no blogue à minha análise das melhores corretoras disponíveis para investidores passivos
#corretoras #dinheiro #investimentos #finançaspessoais #ações #ouro
https://t.co/0PbjLVskFC</t>
  </si>
  <si>
    <t>Esta foi provavelmente a lição que mais radicalmente alterou a minha forma de investir desde o início da minha jornada de investimento até hoje.
#investimentos #investimento #horizontetemporal #longoprazo #bolsa #bolsadevalores #finançaspessoais #ações https://t.co/4ltPnIlFIm</t>
  </si>
  <si>
    <t>Portfólios Modelo Investidor Frugal atualizados com dados a 30 de Abril de 2023. Bons investimentos 
#PortfoliosModelo #ETFs #FinançasPessoais #investimentos #Ações #Obrigações #Ouro #Investir #dinheiro #riqueza #portefolio #bolsadevalores https://t.co/tcjazyJUha</t>
  </si>
  <si>
    <t>No meu mais recente artigo, analisei as diferenças entre investir no S&amp;amp;P500 ou num ETF diversificado de bolsas mundiais e expliquei as vantagens de cada uma das abordagens #dinheiro #bolsadevalores #investimentos #finançaspessoais #investir #riqueza https://t.co/vF3VsEaGjB</t>
  </si>
  <si>
    <t>A história é o melhor professor de mercados que podemos ter. Estamos em bear market e os mesmos tendem a durar cerca de ano e meio, mas podem ser muito mais longos. Resta-nos esperar pacientemente.
#investir
#investimentos
#longoprazo
#finançaspessoais
#dinheiro
#bolsa
#ursos https://t.co/Ask45F8Q70</t>
  </si>
  <si>
    <t>No espaço de semanas, ou até mesmo 1 ou 2 anos, as emoções dos investidores têm importância muito grande na cotação das ações. Contudo, no longo-prazo,  o valor das ações é invariavelmente ditado pelos lucros das empresas
#investimentos
#longoprazo
#financaspessoais
#dinheiro https://t.co/EmFzldT8zm</t>
  </si>
  <si>
    <t>Portfólios Modelo Investidor Frugal atualizados com dados a 31 de Maio de 2023. Bons investimentos  #PortfoliosModelo #ETFs #FinançasPessoais #investimentos #Ações #Obrigações #Ouro #Investir #dinheiro #riqueza #portefolio #bolsadevalores https://t.co/063oSUpI7M</t>
  </si>
  <si>
    <t>Consultar constantemente os preços das ações leva-nos a transacionar com mais frequência em bolsa, o que está correlacionado com piores retornos financeiros no longo-prazo.
Definir uma alocação de ativos e consultar o portfólio  trimestralmente é suficiente.
#financaspessoais https://t.co/wLctZT2aHh</t>
  </si>
  <si>
    <t>"Poupa como um pessimista. Investe como um optimista" - Morgan Housel
#poupar #investir #investimentos #longoprazo #finançaspessoais #financaspessoais
#dinheiro #bolsa #liberdadefinanceira
#habitosfinanceiros #sucesso
#mentalidade #frugalidade</t>
  </si>
  <si>
    <t>No meu mais recente artigo, explico porque comprar ações individuais vira as probabilidades de sucesso contra o investidor.
#investimentos #ações #finançaspessoais #bolsadevalores #dinheiro #riqueza #investir #EducaçãoFinanceira
https://t.co/oGJyC4JbQw</t>
  </si>
  <si>
    <t>Consultar constantemente os preços das ações leva-nos a transacionar com mais frequência em bolsa, o que está correlacionado com piores retornos financeiros no longo-prazo.
#finançaspessoais #literaciafinanceira #dinheiro #investimento #riqueza #investimentos #investir #bolsa https://t.co/O8AIvsfmZb</t>
  </si>
  <si>
    <t>Samuelson fez questão de salientar a diferença entre investir e apostar. Investir requer planeamento e paciência, e deve ser feito com um horizonte temporal de anos ou décadas
#Investimentos #investir #longoprazo #bolsadevalores #dinheiro #riqueza #mentalidade #finançaspessoais https://t.co/q93nBmYHdF</t>
  </si>
  <si>
    <t>Portfólios Modelo Investidor Frugal atualizados com dados a 30 de Junho de 2023. Bons investimentos  
#PortfoliosModelo #ETFs #FinançasPessoais #investimentos #Ações #Obrigações #Ouro #Investir #dinheiro #riqueza #portefolio #bolsadevalores https://t.co/4IovlWI5iA</t>
  </si>
  <si>
    <t>Segunda atualização trimestral do Portfólio IF2042 já disponível no blog. Mais um trimestre forte, com o portfólio a valorizar 3.8%, liderado por ações de países desenvolvidos e pequenas empresas americanas.
#financaspessoais #dinheiro
https://t.co/Q4ofeEFdbO</t>
  </si>
  <si>
    <t>Sem trabalho não há dinheiro. Sem investir não há riqueza. 
O processo é simples: Trabalhar - Poupar - Investir. O segredo está na disciplina de repetir frequentemente o processo e  esperar o tempo  necessário até gerar frutos.
#investir #trabalho #finançaspessoais #dinheiro https://t.co/0FNTJ7N0qz</t>
  </si>
  <si>
    <t>Portfólios Modelo Investidor Frugal atualizados com dados a 31 de Janeiro de 2023. Bons investimentos
https://t.co/azi806Ttsa
#PortfoliosModelo #ETFs #FinançasPessoais #investimentos #Ações #Obrigações #Ouro #Investir #Dinheiro https://t.co/3IlivlYWju</t>
  </si>
  <si>
    <t>Portfólios Modelo Investidor Frugal atualizados com dados a 31 de Julho de 2023. Bons investimentos    
#PortfoliosModelo #ETFs #FinançasPessoais #investimentos #Ações #Obrigações #Ouro #Investir #dinheiro #riqueza #portefolio #bolsadevalores https://t.co/dyBzfMGrKa</t>
  </si>
  <si>
    <t>Não existindo uma bola de cristal para saber em que dias o mercado vai subir ou descer, a opção que temos ao nosso dispôr para aumentar a probabilidade de sucesso é alargar o horizonte temporal.
#investimentos #longoprazo #finançaspessoais #investir #riqueza #dinheiro #sucesso https://t.co/b32vSUHooY</t>
  </si>
  <si>
    <t>Está disponível no blog a primeira atualização trimestral do Portfólio IF2042. Começo muito satisfatório, com valorização trimestral total de 4.6%.
#financaspessoais #finançaspessoais #literaciafinanceira #dinheiro #investimento #investimentos #investir #bolsadevalores #bolsa https://t.co/MlOVrMPfC5</t>
  </si>
  <si>
    <t>No meu mais recente artigo, analisei os Fundos de Investimento Mobiliário de Ações vendidos pelos bancos e expliquei porque existem alternativas melhores para os investidores privados
#investimentos #investir #ações #dinheiro #riqueza #finançaspessoais
https://t.co/GzKRCnj9ch</t>
  </si>
  <si>
    <t>Portfólios Modelo Investidor Frugal atualizados com dados a 31 de Agosto de 2023. Bons investimentos     #PortfoliosModelo #ETFs #FinançasPessoais #investimentos #Ações #Obrigações #Ouro #Investir #dinheiro #riqueza #portefolio #bolsadevalores https://t.co/CxmxbmV7pn</t>
  </si>
  <si>
    <t>Market timing não funciona.
A bolsa de valores sobe ao longo do tempo, e quem fica de fora à espera de uma quebra, tende a perder o comboio da subida de forma irrecuperável.
O que conta é o tempo no mercado e não o timing do mercado.
#investimentos #finançaspessoais #dinheiro https://t.co/pyzKCZAymE</t>
  </si>
  <si>
    <t>A criação de riqueza advém da diferença entre o que ganhamos e o que gastamos. 
Saber que as nossas posses são suficientes para satisfazer os nossos desejos confere o maior dos tipos de riqueza: A liberdade mental.
#finançaspessoais #frugalidade #dinheiro #riqueza #liberdade https://t.co/fmJ3aw2xPo</t>
  </si>
  <si>
    <t>Portfólios Modelo Investidor Frugal atualizados com dados a 31 de Março de 2023. Bons investimentos 
#PortfoliosModelo #ETFs #FinançasPessoais #investimentos #Ações #Obrigações #Ouro #Investir #dinheiro #riqueza #portefolio https://t.co/WaOLhl6km1</t>
  </si>
  <si>
    <t>Adiar o começo do investimento é um erro irrecuperável. Mais importante do que obter mais 1% de retorno anual, é dar tempo ao tempo. Ao estar mais tempos no mercado, deixamos a magia dos juros compostos fazer o seu caminho.
#investimentos #dinheiro #finançaspessoais #começar https://t.co/FP5LDeUI16</t>
  </si>
  <si>
    <t>É com prazer que partilho que o blogue Investidor Frugal foi considerado um dos 15 melhores blogs de Finanças Pessoais da Europa pelo https://t.co/z7AJReC8Ot
#FinançasPessoais #Investimentos #Dinheiro #Frugalidade
https://t.co/t0f1Ls9qsW</t>
  </si>
  <si>
    <t>Portfólios Modelo Investidor Frugal atualizados com dados a 28 de Fevereiro de 2023. Bons investimentos
https://t.co/azi806Ttsa
#PortfoliosModelo #ETFs #FinançasPessoais #investimentos #Ações #Obrigações #Ouro #Investir #dinheiro https://t.co/zJeOv94fN9</t>
  </si>
  <si>
    <t>Aprenda a investir na Bolsa sem prejudicar suas finanças https://t.co/FPM2PDs807 #educaçãofinanceira #Diversificaçãodecarteira</t>
  </si>
  <si>
    <t>Aprenda a investir na Bolsa sem prejudicar suas finanças https://t.co/FPM2PDs807 #Diversificaçãodecarteira #educaçãofinanceira</t>
  </si>
  <si>
    <t>"Nunca gaste dinheiro antes de você tê-lo."
&amp;gt;Thomas Jefferson
Tão simples, tão sábio e tão educativo!
#educacaofinanceira https://t.co/qCAd0zQP0h</t>
  </si>
  <si>
    <t>#ferroviario #Fertilizante #festa #festacigana #festiva  #fibraoptica #fibrasil  #fii  #filmeindustrial   #filosofiadevida #financaspessoais #financeiro
https://t.co/II4SI3BvIs https://t.co/UfECmKGl1N</t>
  </si>
  <si>
    <t>#educaçãofinanceira   #eletricista       #eletrificacao   #embalagem   #embalagens   #Embudasartes https://t.co/ErQ4epUdOn</t>
  </si>
  <si>
    <t>https://t.co/BlboawyKdp
#eafelino   #ebramec #Ecoinovação  #economia   
 #ecossistema   #educação   #educaçãofinanceira   #eg https://t.co/qNr2TqNqsI</t>
  </si>
  <si>
    <t>A ideia central da internacionalização do PIX é formar um grupo de pagamento instantâneo com alguns países da América Latina, usando os formatos do PIX Brasileiro
Saiba mais: https://t.co/3h52OkbzQr
#pix #pixinternacional #finanças #bancocentral #noticias #financaspessoais https://t.co/SCtbDHiLok</t>
  </si>
  <si>
    <t>E se alguém te perguntar o que é inflação e como ela impacta nossa vida todos os dias, você saberia responder?
Aposto que saberá depois desse vídeo.
#inflação #celic #inpg #juros #copom #financaspessoais #dinheiro #rendaonline #GovernoLula 
https://t.co/IPCzqFxkBc</t>
  </si>
  <si>
    <t>https://t.co/8Oyq4C9XOX 
#finançaspessoais</t>
  </si>
  <si>
    <t>Tem noção que APENAS 1 TWEET fez os bancos se pronunciarem no jornal?
https://t.co/ek1Ppqn0Ew</t>
  </si>
  <si>
    <t>Agora sou uma Nath player da @nathfinancas e já tenho compromi$$o pro meu domingo 😍</t>
  </si>
  <si>
    <t>Invista em conhecimento financeiro, o melhor investimento que você pode fazer é em si mesmo.
#mercadofinanceiro #investimentos #educaçãofinanceira</t>
  </si>
  <si>
    <t>Mira na Independência Financeira: Transformando sonho em propósito https://t.co/ftEs0aqxYL
Livro do @Professormira1 em pré-venda na amazon
#educaçãofinanceira #dinheiro #Investimentos</t>
  </si>
  <si>
    <t>Curiosidade sobre #LarissaManoela revelada! A mesada que ela recebia dos pais impressiona: uma quantia que muitos não imaginariam. Descubra o detalhe surpreendente na imagem . 💰✨ #Curiosidades #Famosos #EducaçãoFinanceira
#TransformationTuesday https://t.co/CPpgGZSWra</t>
  </si>
  <si>
    <t>Recomendação de leitura de educação financeira. 
Acesse o link https://t.co/btUNTFyqmH
#livrosdeeducaçãofinanceira #educaçãofinanceira #livros #finançaspessoais #planejamentofinanceiro #finançaspessoais #seubolsonodivã #vivendoasuarealidadefinanceira #evertonlopeseconomista</t>
  </si>
  <si>
    <t>Todo mundo tem sonhos? 
Mas quais são os seus planos para que você consiga realizá-los. 
#planosemetas #sonhos #planejamentofinanceiro #finançaspessoais #educaçãofinanceira #objetivosemetas #evertonlopesinvestidor https://t.co/C8V3ibJLJT</t>
  </si>
  <si>
    <t>Ter objetivos, metas e sonhos todos temos. 
Mas você tem eles bem definidos?
Como, quando,onde e com quem irá realizá-los?
Se não, me chama no direct que  eu posso te ajudar a definir e realizar os seus...
#objetivosemetas #sonhos #rendapassiva #educacaofinanceira https://t.co/mUIz9oqWxe</t>
  </si>
  <si>
    <t>Na educação financeira existem alguns princípios básicos que precisam ser seguidos.
Dentre eles as 2 Regras Fundamentais das finanças pessoais. 
Regra Nr. 1 - Nunca gaste tudo que ganha! - Regra Nr 2
Jamais esqueça a regra nr. 1
Simples Assim #educacaofinanceira #finançaspessoais https://t.co/aQZv3CqKrV</t>
  </si>
  <si>
    <t>Existem muitos caminhos que te levam a realização de seus sonhos…
Mas somente investindo com qualidade, segurança e forma correta é que te mostram o caminho certo a seguir…
#meuprimeiroinvestimentolucrativo #investimentos #educaçaofinanceira #financaspessoais https://t.co/R4zpPZlZLr</t>
  </si>
  <si>
    <t>10 edição da Semana Nacional de Educação Financeira com o tema: Por onde começar a sua organização financeira.  
#organizacaofinanceira #semanaenef #resilienciafinanciera #planejamentofinanceiro #financaspessoais #economiacomportamental #sustentabilidade #evertonlopesinvestidor https://t.co/Mzzsk8im3w</t>
  </si>
  <si>
    <t>Mais um encontro de preparação do nosso 3 EGEF - Encontro Gaúcho de Educação Financeira…
AGUARDE! 🤑💰💰💵
#educaçãofinanceira #evertonlopesinvestidor #moneysul #planejamentofinanceiro #finançaspessoais #pensecadasegundocomoummilionário https://t.co/JAnsvlsgEN</t>
  </si>
  <si>
    <t>Pense e aja como um Milionário!
E o primeiro passo é ter consciência financeira e começar a viver dentro da sua  realidade financeira. 
#pensecadasegundocomoummilionário #evertonlopesinvestidor #rendapassiva #investimentos #educaçãofinanceira #planejamentofinanceiro https://t.co/DP4hGkYlta</t>
  </si>
  <si>
    <t>Aprendendo com o melhor! 📈 Warren Buffett é considerado um dos maiores investidores de todos os tempos e seus ensinamentos podem ser valiosos para a sua vida financeira. 
Acesse o link na BIO e saiba mais.
#investimentos #warrenbuffett #finançaspessoais https://t.co/OvLdLd1MuY</t>
  </si>
  <si>
    <t>Com planejamento você garante tranquilidade financeira e
aumenta seu patrimônio pessoal e familiar.
✔Se você precisa organizar suas finanças, o Programa Conta
Comigo te ajuda com diversas dicas de economia!
Acesse: https://t.co/SJIqlNSLrh
#prevcom #educacaofinanceira https://t.co/slKbk7XmNv</t>
  </si>
  <si>
    <t>Se você sempre teve interesse em saber mais sobre o mercado de investimentos, sua chance chegou!
Agora é a hora de entender de forma fácil e prática os termos utilizados nesse mundo.💸
👉Faça sua inscrição:
https://t.co/nrnEj6y3uM
#ContaComigo #EducaçãoFinanceira https://t.co/y5vrTkXifs</t>
  </si>
  <si>
    <t>Não adianta fugir! Está na hora de encontrar e mudar os hábitos que atrapalham a sua vida. 😉
✅Manter a sua saúde financeira pode começar com pequenos passos, o planejamento é um ótimo começo.
#Prevcom #EducaçãoFinanceira #ContaComigo https://t.co/Bl55wWm6H4</t>
  </si>
  <si>
    <t>"Adquira conhecimento, plante os recursos e colha as riquezas" e isso não está ligado apenas ao dinheiro, isso é a essência da humanidade!
#mercadofinanceiro
#educaçãofinanceira
#mindset
#criptomoedas
#investimentos</t>
  </si>
  <si>
    <t>O mercado financeiro é feito de ciclos, e aparentemente 2023 pode marcar o ano da plantação de recursos em busca da colheita de riquezas.
#mercadofinanceiro
#educaçãofinanceira
#mindset
#criptomoedas
#investimentos https://t.co/hSxA7MWX9P</t>
  </si>
  <si>
    <t>Descubra tudo sobre o mercado de opções! Leia nosso guia completo no Blog da RNA Invest. Aprenda conceitos, estratégias e riscos envolvidos.
https://t.co/aqAeovbvXz
#opções #investimentos #mercadofinanceiro #RNAResearch #educaçãofinanceira #guiacompleto https://t.co/8xdpziqbBb</t>
  </si>
  <si>
    <t>🔹🔹🔹 Descubra como investir em renda fixa de forma segura e rentável! Acesse o guia completo para iniciantes da RNA Invest e comece a construir sua estabilidade financeira. 💼💰 #investimentos #rendafixa #educacaofinanceira #sucesso #finanças #RNAInvest https://t.co/rgJHh0ynVA</t>
  </si>
  <si>
    <t>Não perca a chance de aprimorar seus conhecimentos em investimentos e alcançar seus objetivos. Leia o novo artigo e veja as melhores leituras para se tornar um investidor de sucesso! #investimentos #livrosdeinvestimentos #mercadofinanceiro #educaçãofinanceira https://t.co/BrBcUMagAU</t>
  </si>
  <si>
    <t>Investir no Tesouro Direto é uma excelente opção para quem quer começar a investir. Quer saber? Leia já no nosso blog o guia completo de como investir no Tesouro Direto!.
#investimentos #tesourodireto #finanças #educacaofinanceira #planejamentofinanceiro #rentabilidade #segurança https://t.co/PjDJaqbz4a</t>
  </si>
  <si>
    <t>💰🔍 Descubra como escolher o melhor produto de renda fixa para fazer seu dinheiro render! Acesse o artigo https://t.co/YHIhqaDiVE
#RendaFixa #Investimentos #EducaçãoFinanceira #SucessoFinanceiro #Diversificação #InvistaAgora https://t.co/HfBUhHOE1d</t>
  </si>
  <si>
    <t>💼💰 Invista em fundos imobiliários sem taxas mensais! Descubra estratégias inteligentes e maximize seus rendimentos. Leia o artigo completo no Blog da RNA Invest. #InvestimentosImobiliários #FundosImobiliários #TaxasZero #Diversificação #FinançasPessoais #RNABlog https://t.co/PyRtJNNbRh</t>
  </si>
  <si>
    <t>📣💼 Descubra como escolher uma conta digital sem taxas mensais e revolucione suas finanças! 💰 Acesse o artigo completo no Blog da RNA Invest e transforme suas finanças hoje mesmo! 👉 https://t.co/7ikrxufouj #ContaDigital #FinançasPessoais #BancosDigitais #Economia #RNAInvest https://t.co/8la85flPdy</t>
  </si>
  <si>
    <t>🔥💰 Descubra como evitar tarifas bancárias em investimentos financeiros e maximize seus retornos! Acesse o artigo no Blog da RNA Invest e descubra estratégias eficazes. 💡#Investimentos #TarifasBancárias #MaximizeSeusRetornos #FinançasPessoais #RNAInvest https://t.co/6U98wVvW48 https://t.co/5Fpz810hNz</t>
  </si>
  <si>
    <t>🚀 Descubra como investir em debêntures e impulsionar seus investimentos com retornos atrativos! 💰💼 Acesse o guia completo no Blog da RNA Invest e saiba mais! 🔒💡 #debêntures #investimentos #rendafixa #educaçãofinanceira #rnavestimentos https://t.co/Oys4B7W0cf</t>
  </si>
  <si>
    <t>Descubra os riscos e benefícios dos fundos de investimento! Acesse o artigo completo em nosso Blog e amplie seus conhecimentos sobre essa modalidade de investimento. #Investimentos #FundosDeInvestimento #RiscosEBenefícios #EducaçãoFinanceira #RNAInvest https://t.co/wkdacvNauU</t>
  </si>
  <si>
    <t>💼🚀 Descubra os melhores investimentos de curto prazo para impulsionar seu patrimônio! Acesse o artigo no Blog da RNA Invest e aprenda estratégias para maximizar seus retornos. 
💰✨ Clique aqui: https://t.co/QrKsSGtQc9
 #Investimentos #FinançasPessoais #RNAInvest https://t.co/cBZlfQkSxa</t>
  </si>
  <si>
    <t>🚀 Descubra como o Rating pode impactar seus investimentos! Confira o artigo completo no Blog da RNA Invest e aproveite para aprimorar suas estratégias de investimento.
https://t.co/PY5zUlcao3
#rating #investimentos #mercadofinanceiro #educaçãofinanceira #blogdarna https://t.co/O2QZeRfd0N</t>
  </si>
  <si>
    <t>🚀💼 Descubra o Poder dos Investimentos em Renda Variável! 💼🚀 Acesse nosso Blog e aprenda com nossos assessores experientes. #Investimentos #RendaVariável #AssessoriaFinanceira #RNAInvest #Finanças #EducaçãoFinanceira https://t.co/XmrsDo55Fk</t>
  </si>
  <si>
    <t>Descubra como o cartão de crédito sem anuidade pode otimizar suas finanças! 💳💰 Acesse o artigo completo no Blog da RNA Invest e aprenda a escolher o melhor cartão e evitar endividamentos. 💼💡 #FinançasPessoais #CartãoDeCréditoSemAnuidade #EducaçãoFinanceira https://t.co/ayBXzzYGIP</t>
  </si>
  <si>
    <t>🚀 Aprenda a investir no mercado de ações com taxa zero! 💼📈 Descubra estratégias exclusivas no Blog da RNA Invest. Assessoria especializada para seu sucesso financeiro! #Investimentos #XPInvestimentos #Diversificação #SucessoFinanceiro #RNAInvest #EducaçãoFinanceira https://t.co/tPe9X50CaV</t>
  </si>
  <si>
    <t>Neste artigo, vamos apresentar algumas opções para iniciantes e as melhores práticas para obter resultados positivos.
https://t.co/36Jgzl3YB3
#Investimentos #FinançasPessoais #RNAInvest https://t.co/EtMDKUct4i</t>
  </si>
  <si>
    <t>Reposted • @jcrispimtrader 
Precisamos de educação financeira na escola!
#VereadorHelderPereira
#educacaofinanceira #paulínia em Paulínia https://t.co/qprDg6G88l</t>
  </si>
  <si>
    <t>Dinheiro e Lei da Atração. Atraia o Dinheiro para sua Vida, com essas 2 ... https://t.co/ttD4JU5Lis via @YouTube #dinheiro #finançaspessoais #finanças #seudinheiro #atrairdinheiro #comoatrairdinheiro</t>
  </si>
  <si>
    <t>👁⏫De olho nos movimentos milionários! Aprenda com os melhores e alcance novos patamares na sua jornada financeira. 💪📈 
#Milionarios #EducacaoFinanceira #Investimentos</t>
  </si>
  <si>
    <t>Vasco ainda busca parcelar o repasse dos 30% que Andrey e seus empresários precisam receber.
O CRVG fez uma proposta para pagar em 3x, no entanto, o volante não aceitou.
Andrey quer voltar e está disposto a aceitar um parcelamento em 2x.
🗞️ @pedrosa https://t.co/OBWYT1xczL</t>
  </si>
  <si>
    <t>#ECONOMIA -
Sobre #EducaçãoFinanceira na #Páscoa,
Em: https://t.co/zMkOmn6q6C
.</t>
  </si>
  <si>
    <t>Como anda a saúde financeira do seu colaborador? 66 milhões de brasileiros estavam endividados em 2022, marcando assim um novo recorde.
Saiba mais https://t.co/XzcWXwyLCk .
📷 Freepik
#Bussola #Inadimplencia #EducacaoFinanceira #Financas #AmbienteCorporativo https://t.co/HchCjZI0zv</t>
  </si>
  <si>
    <t>App para controlar mesada dos filhos atinge 400 mil downloads em 10 meses. Com o Mozper, pais podem estabelecer regras de gastos para o dinheiro mensal dos filhos.
Saiba mais https://t.co/ZeK8KSBZtg .
📷 Freepik
#Bussola #EducacaoFinanceira #Mozper #Financas https://t.co/Dk4MdJKRLF</t>
  </si>
  <si>
    <t>A partir da próxima semana, todas as Segundas-feiras, às 17:00, no canal TV MadeHits exclusivamente no YouTube. Não vai querer perder, certo? 
https://t.co/8oeiNUhNKu
#StudioMadeHits #InvestidoresdaQuebrada #TVMadeHits #investidoresbrasil #investimento #educaçãofinanceira #fyp https://t.co/bbfUxiQZRY</t>
  </si>
  <si>
    <t>Quando alguém diz que ser investidor da quebrada é fácil... Eu:....🤣💸 
 #financaspessoais #oportunidades #empresarios #dinheiroextra #empresas #quebrada #dosquebradas #quebradavenceu #podcastshow #newpodcast #podcast #reelsmemes #viral #fyp #trendingvideos #viralposts https://t.co/r8tcMYnBmM</t>
  </si>
  <si>
    <t>Ainda dá tempo! Prazo para entrega da Declaração Anual do MEI termina nesta quarta (31); veja regras
#Economia #Empreendedorismo #FinançasPessoais
https://t.co/AWWbdadWRk</t>
  </si>
  <si>
    <t>Imposto de Renda e Decore: Conheça o método e saiba como emitir o documento
#Empreendedorismo #FeedPrincipal #FinançasPessoais
https://t.co/Inteidn5Vl</t>
  </si>
  <si>
    <t>Estagiário precisa declarar Imposto de Renda?
#Carreiras #FeedPrincipal #FinançasPessoais
https://t.co/5IeRJtk5sL</t>
  </si>
  <si>
    <t>Imposto de Renda: Como saber em qual lote a restituição do IR vai ser paga?
#FeedPrincipal #FinançasPessoais #ImpostodeRenda
https://t.co/tFAdIvgd0Q</t>
  </si>
  <si>
    <t>Mega-Sena: apostas nas loterias ficam mais caras a partir desta semana; veja novos valores
#Apostas #CaixaEconômicaFederal #FinançasPessoais
https://t.co/DQ5qVYkSrt</t>
  </si>
  <si>
    <t>Mega-Sena: Apenas um apostador levou bolada de R$ 61 milhões
#CaixaEconômicaFederal #FinançasPessoais #JogosdeAzar
https://t.co/cO4yQihpFQ</t>
  </si>
  <si>
    <t>Mega-Sena: Veja os números sorteados no concurso 2587 neste sábado (29), cujo prêmio é de R$ 60 milhões
#CaixaEconômicaFederal #FinançasPessoais #JogosdeAzar
https://t.co/yog9odjwb5</t>
  </si>
  <si>
    <t>Mega-Sena: Os 5 piores números para você apostar (e arriscar perder os R$ 60 milhões hoje)
#CaixaEconômicaFederal #FinançasPessoais #Investimentos
https://t.co/dYdR0ucIcy</t>
  </si>
  <si>
    <t>Mega-Sena: Veja os números mais sorteados no ano e amplie suas chances de ganhar R$ 60 milhões hoje (29)
#Bancos #CaixaEconômicaFederal #FinançasPessoais
https://t.co/4GMmMYhkCH</t>
  </si>
  <si>
    <t>Finanças pessoais: Como a vida financeira interfere na carreira profissional?
#Carreiras #Empresas #FinançasPessoais
https://t.co/8KnzIwCtDU</t>
  </si>
  <si>
    <t>Mega-Sena paga R$ 60 milhões; veja como apostar e acompanhar o sorteio
#CaixaEconômicaFederal #FinançasPessoais #Loterias
https://t.co/mhnd5wxgIL</t>
  </si>
  <si>
    <t>Imposto de Renda 2023: Qual é o melhor tipo de declaração para não cair na malha fina?
#Brasil #FeedPrincipal #FinançasPessoais
https://t.co/rrt4JQktR6</t>
  </si>
  <si>
    <t>Brasileirão 2023: Apostas podem render até R$ 45 mil; veja os melhores lances
#Apostas #Corinthians #FinançasPessoais
https://t.co/2mEc76gIL5</t>
  </si>
  <si>
    <t>Imposto de Renda 2023: 5 passos para declarar ações ao Leão
#Ações #FinançasPessoais #ImpostodeRenda
https://t.co/y7KTjfE7Q3</t>
  </si>
  <si>
    <t>Imposto de Renda 2023: Como calcular e como pagar DARF em atraso
#Economia #EducaçãoFinanceira #FinançasPessoais
https://t.co/7cIbMxyQkz</t>
  </si>
  <si>
    <t>Imposto de Renda 2023: Como declarar BDRs?
#BDR's #FinançasPessoais #ImpostodeRenda
https://t.co/U8c2BtkSMR</t>
  </si>
  <si>
    <t>Imposto de Renda 2023: O que é imposto de renda retido na fonte?
#FinançasPessoais #ImpostodeRenda #ImpostodeRenda2023
https://t.co/LnHtaKLzZT</t>
  </si>
  <si>
    <t>Como pagar Imposto de Renda atrasado de outros anos?
#FinançasPessoais #ImpostodeRenda #ImpostodeRenda2023
https://t.co/LVcfoiiaXs</t>
  </si>
  <si>
    <t>Imposto de Renda 2023: Posso colocar maiores de 24 anos como dependentes?
#Brasil #Economia #FinançasPessoais
https://t.co/LygTdp3X3y</t>
  </si>
  <si>
    <t>Imposto de Renda 2023: Como fazer o download do programa que a Receita Federal liberou hoje
#Brasil #Economia #FinançasPessoais
https://t.co/5UJ4c8IWcJ</t>
  </si>
  <si>
    <t>Imposto de Renda: Aposentados e pensionistas precisam declarar?
#FinançasPessoais #ImpostodeRenda #ImpostodeRenda2023
https://t.co/EJTrhHOAew</t>
  </si>
  <si>
    <t>Imposto de Renda 2023: Posso colocar meus pais como dependentes?
#FinançasPessoais #ImpostodeRenda #ImpostodeRenda2023
https://t.co/IWogmMpaUK</t>
  </si>
  <si>
    <t>Dia da Mulher: Quem é a mulher mais rica do mundo e o que ela faz?
#Bilionários #Empresas #FinançasPessoais
https://t.co/kM5ZgQzgTP</t>
  </si>
  <si>
    <t>Imposto de Renda 2023: Receita adianta liberação do programa para quinta-feira (9)
#Brasil #Economia #FinançasPessoais
https://t.co/C5d36MsXek</t>
  </si>
  <si>
    <t>Imposto de Renda: Segundo lote da restituição terá reajuste de 1%; veja quem recebe nesta sexta (30)
#Brasil #Economia #FinançasPessoais
https://t.co/yqQekRBE44</t>
  </si>
  <si>
    <t>Como declarar venda de imóveis no Imposto de Renda 2023
#Economia #FeedPrincipal #FinançasPessoais
https://t.co/ojzUdibcio</t>
  </si>
  <si>
    <t>Imposto de Renda: Confira a atual tabela de descontos com a nova isenção
#Brasil #Economia #FinançasPessoais
https://t.co/JzTscTYplh</t>
  </si>
  <si>
    <t>Novo salário mínimo: Tudo o que você precisa saber sobre a mudança do piso
#Aposentadoria #Economia #FinançasPessoais
https://t.co/hSMxaCy9Xh</t>
  </si>
  <si>
    <t>Imposto de Renda 2023: Investimentos em renda fixa isentos de IR devem ser declarados; veja como
#FinançasPessoais #ImpostodeRenda #ImpostodeRenda2023
https://t.co/cohdk3cqFu</t>
  </si>
  <si>
    <t>Como declarar dinheiro aplicado na NuConta no Imposto de Renda 2023
#Bancos #FinançasPessoais #ImpostodeRenda
https://t.co/RpZKWGZD62</t>
  </si>
  <si>
    <t>Imposto de Renda: Você está caindo em algum dos erros mais comuns dos investidores iniciantes?
#Brasil #Economia #FinançasPessoais
https://t.co/8eY3crdBDn</t>
  </si>
  <si>
    <t>Mega-Sena acumulada: Veja os 5 números mais pés-frios deste ano (2 nem foram sorteados ainda)
#CaixaEconômicaFederal #FinançasPessoais #JogosdeAzar
https://t.co/vfX1WpUhbq</t>
  </si>
  <si>
    <t>Mega-Sena acumulada: Veja os 5 números mais jogados por ganhadores da Mega neste ano
#CaixaEconômicaFederal #FinançasPessoais #JogosdeAzar
https://t.co/Ur0hSclAy5</t>
  </si>
  <si>
    <t>Impostos de Renda 2023: Como recuperar o número do recibo da declaração
#EducaçãoFinanceira #FinançasPessoais #ImpostodeRenda
https://t.co/VorSPHCaHm</t>
  </si>
  <si>
    <t>Como ficar rico? Ser inteligente não é um critério para alcançar a liberdade financeira; entenda
#Economia #FGV #FinançasPessoais
https://t.co/IhP7JEzzlP</t>
  </si>
  <si>
    <t>Imposto de Renda 2023: Confira a lista dos rendimentos isentos de IR
#FinançasPessoais #ImpostodeRenda #ImpostodeRenda2023
https://t.co/obrG1PobHi</t>
  </si>
  <si>
    <t>Imposta de Renda: Como engordar a restituição usando a Selic?
#FinançasPessoais #ImpostodeRenda #ImpostodeRenda2023
https://t.co/QYqbiI2ugr</t>
  </si>
  <si>
    <t>Imposto de Renda 2023: Conheça o serviço de contador online para declarar IR
#Aplicativo #FinançasPessoais #ImpostodeRenda
https://t.co/nOo8buGbcq</t>
  </si>
  <si>
    <t>Imposto de Renda 2023 bate recorde de entregas no 1º dia, com mais de meio milhão de declarações já protocoladas
#FinançasPessoais #ImpostodeRenda #ImpostodeRenda2023
https://t.co/mPP7tQBW70</t>
  </si>
  <si>
    <t>App “Meu Imposto de Renda” fica fora do ar no primeiro dia de declaração
#FinançasPessoais #ImpostodeRenda #ImpostodeRenda2023
https://t.co/pIflQmZI3I</t>
  </si>
  <si>
    <t>Imposto de Renda 2023: Começa hoje o período de entrega; saiba como declarar
#FinançasPessoais #ImpostodeRenda #ImpostodeRenda2023
https://t.co/8VzN2jQpya</t>
  </si>
  <si>
    <t>Liberdade financeira: É hora de começar a pensar no futuro
#ColunadoVicenteGuimarães #Colunistas #FinançasPessoais
https://t.co/krEaYW7xlV</t>
  </si>
  <si>
    <t>Imposto de Renda 2023: Como funciona a compensação de prejuízo?
#Brasil #Economia #FinançasPessoais
https://t.co/YPwuo1kEck</t>
  </si>
  <si>
    <t>Imposto de Renda 2023: Saiba quais são os rendimentos tributáveis e como declará-los
#Economia #FinançasPessoais #ImpostodeRenda
https://t.co/3p9OqSxfVM</t>
  </si>
  <si>
    <t>Imposto de Renda 2023: Como fazer a declaração pré-preenchida?
#FinançasPessoais #ImpostodeRenda #ImpostodeRenda2023
https://t.co/VvbRFPtiI3</t>
  </si>
  <si>
    <t>Imposto de Renda começa amanhã: Veja se você precisa declarar e como fazer download do programa
#Brasil #FinançasPessoais #ImpostodeRenda
https://t.co/vjVwrERIzv</t>
  </si>
  <si>
    <t>Imposto de Renda 2023: Com liberação do programa, já posso deixar declaração pronta?
#Economia #FinançasPessoais #ImpostodeRenda
https://t.co/mqU7b00LYo</t>
  </si>
  <si>
    <t>Troquei de emprego: Como declarar no Imposto de Renda 2023?
#FinançasPessoais #ImpostodeRenda #ImpostodeRenda2023
https://t.co/sO1C0CvmIf</t>
  </si>
  <si>
    <t>Imposto de Renda 2023: O que muda na declaração de quem tem investimento para quem não tem?
#Brasil #Economia #FinançasPessoais
https://t.co/jqRlQIfc9R</t>
  </si>
  <si>
    <t>Imóveis: Os 10 bairros com o aluguel mais caro em São Paulo
#Aluguéis #Brasil #FinançasPessoais
https://t.co/RY03wOgUUB</t>
  </si>
  <si>
    <t>Imóveis: Preço de aluguel residencial dispara e fica três vezes acima da inflação
#Aluguéis #FinançasPessoais #Florianópolis
https://t.co/e1ehmV2ikE</t>
  </si>
  <si>
    <t>Mega-Sena sorteia prêmio de R$ 43 milhões neste sábado (1)
#CaixaEconômicaFederal #Economia #FinançasPessoais
https://t.co/tYASU8gg1r</t>
  </si>
  <si>
    <t>Restituição do Imposto de Renda 2023: O que fazer com o dinheiro?
#FeedPrincipal #FinançasPessoais #ImpostodeRenda
https://t.co/q9mJsTWlAL</t>
  </si>
  <si>
    <t>Imposto de Renda 2023: Veja como declarar investimentos; prazo termina hoje
#FinançasPessoais #ImpostodeRenda #ImpostodeRenda2023
https://t.co/BILygO2qTA</t>
  </si>
  <si>
    <t>Restituição do Imposto de Renda 2023: Veja o passo a passo de como consultar
#Economia #FeedPrincipal #FinançasPessoais
https://t.co/iQ7aUFanO1</t>
  </si>
  <si>
    <t>Último dia para declarar Imposto de Renda: Tudo que você precisa saber para não cair na malha fina
#FeedPrincipal #FinançasPessoais #ImpostodeRenda
https://t.co/9wUPt1UqFK</t>
  </si>
  <si>
    <t>Imposto de Renda 2023: Como declarar ganhos de capital
#FeedPrincipal #FinançasPessoais #ImpostodeRenda
https://t.co/Jc8ApgeOTA</t>
  </si>
  <si>
    <t>Imposto de Renda: Erro na declaração pré-preenchida pode levar à malha fina; saiba como resolver
#FeedPrincipal #FinançasPessoais #ImpostodeRenda
https://t.co/9SMOrHM08H</t>
  </si>
  <si>
    <t>Além da cadeia: Por que pagar o Imposto de Renda e para onde vai esse dinheiro?
#Economia #FinançasPessoais #ImpostodeRenda
https://t.co/5hfb0PPyLz</t>
  </si>
  <si>
    <t>NuConta no Imposto de Renda 2023: Como declarar dinheiro no Nubank
#Bancos #FinançasPessoais #Fintech
https://t.co/IYodNsFliC</t>
  </si>
  <si>
    <t>BBB: O que fazer com o prêmio do ano que vem (que você vai ganhar)?
#BBB #Entretenimento #FinançasPessoais
https://t.co/8iCKwuKbEG</t>
  </si>
  <si>
    <t>Investe em fundos imobiliários? Veja como declarar no Imposto de Renda
#FeedPrincipal #FIIs #FinançasPessoais
https://t.co/uhUfZgc5gT</t>
  </si>
  <si>
    <t>Crise na Globo? Com salários menores, atores recorrem a vaquinhas para pagar dívidas; entenda
#Carreiras #FinançasPessoais #Globo
https://t.co/LMOpcSRwZA</t>
  </si>
  <si>
    <t>MC Guimê enfrenta dívida de mais de R$ 3 milhões; relembre processos do cantor
#Dívidas #Economia #FinançasPessoais
https://t.co/9B3FCOMs6Z</t>
  </si>
  <si>
    <t>Mega-Sena pode pagar R$ 50 milhões nesta quarta-feira (26)
#CaixaEconômicaFederal #Economia #FinançasPessoais
https://t.co/RQPJc0oGZP</t>
  </si>
  <si>
    <t>Imposto de Renda: Veja como declarar fundos de investimentos
#FinançasPessoais #FundosdeInvestimento #GestorasdeRecursos
https://t.co/UAnITOEgzP</t>
  </si>
  <si>
    <t>Imposto de Renda 2023: É MEI? Tire suas dúvidas sobre como fazer a declaração
#Economia #FinançasPessoais #ImpostodeRenda
https://t.co/b4VMiOTfaA</t>
  </si>
  <si>
    <t>Imposto de Renda 2023: Até que idade meus filhos podem ser declarados dependentes?
#FinançasPessoais #ImpostodeRenda #ImpostodeRenda2023
https://t.co/9sH9n85mOs</t>
  </si>
  <si>
    <t>Imposto de Renda 2023: Como aumentar a restituição do IR?
#Brasil #Economia #FinançasPessoais
https://t.co/OLbIB2qpD0</t>
  </si>
  <si>
    <t>Imposto de Renda: Por que o Leão é a figura que representa o tributo?
#FinançasPessoais #ImpostodeRenda #ImpostodeRenda2023
https://t.co/x1867Hlwiu</t>
  </si>
  <si>
    <t>Imposto de Renda 2023: Veja quem precisa declarar e quem está isento este ano
#Economia #FinançasPessoais #ImpostodeRenda
https://t.co/xeZYwjNCB6</t>
  </si>
  <si>
    <t>Imposto de Renda: como aumentar a restituição e reduzir a dedução fiscal? Confira as dicas
#FinançasPessoais #ImpostodeRenda #ImpostodeRenda2023
https://t.co/b9OyugRIhC</t>
  </si>
  <si>
    <t>Imposto de Renda 2023: Saiba até quando a declaração pode ser enviada
#Brasil #Economia #FinançasPessoais
https://t.co/nnK7k25r9d</t>
  </si>
  <si>
    <t>Imposto de Renda 2023: Saiba onde consultar e como retirar o informe de rendimentos
#Brasil #Economia #FinançasPessoais
https://t.co/y4IlTxjUQD</t>
  </si>
  <si>
    <t>Imposto de Renda 2023: Como retirar o Informe de Rendimentos do INSS?
#FinançasPessoais #ImpostodeRenda #Impostos
https://t.co/QMy1H8Y0oH</t>
  </si>
  <si>
    <t>Imposto de Renda 2023: 3 tarefas que dá para resolver agora e se preparar
#Economia #FinançasPessoais #ImpostodeRenda
https://t.co/oLhTnvQXZ7</t>
  </si>
  <si>
    <t>Imposto de Renda 2023: Qual a data para declarar o IR?
#Brasil #Economia #FinançasPessoais
https://t.co/RQatV6cRTp</t>
  </si>
  <si>
    <t>Imposto de Renda: 13,7 milhões deixarão de pagar IR; veja se você está entre os isentos do ano que vem
#Brasil #Economia #FinançasPessoais
https://t.co/0B4raEmEGi</t>
  </si>
  <si>
    <t>Itaú libera parcelamento via Pix em até 72 vezes; veja como funciona
#Bancos #Crédito #FinançasPessoais
https://t.co/RBMLgw5VZ4</t>
  </si>
  <si>
    <t>Imposto de Renda 2023: Veja as datas e quem está isento da declaração deste ano
#Brasil #FinançasPessoais #ImpostodeRenda
https://t.co/cK2yeRoNAN</t>
  </si>
  <si>
    <t>Imposto de Renda: Confira os documentos necessários para fazer a declaração
#Economia #FinançasPessoais #ImpostodeRenda
https://t.co/70ZUAkvCvH</t>
  </si>
  <si>
    <t>Meta para 2023: ganhar dinheiro – empresa de investimentos oferece 7 aulas gratuitas de um curso para te ajudar a aumentar o patrimônio; veja como assistir
#2023 #ConteúdoEmpiricus #FinançasPessoais
https://t.co/bX3vk224Ct</t>
  </si>
  <si>
    <t>IPVA 2023: Confira as datas e o custo do imposto sobre o seu veículo
#Automóveis #Carros #FinançasPessoais
https://t.co/BGEtmf8sF4</t>
  </si>
  <si>
    <t>Restituição do Imposto de Renda: Consulta do 4º lote é liberada nesta semana; veja se você recebe
#Economia #FeedPrincipal #FinançasPessoais
https://t.co/APCVd9BvqR</t>
  </si>
  <si>
    <t>Restituição do Imposto de Renda 2023: Não entrou no 3º lote? Receita fará mais dois pagamentos; veja calendário
#FinançasPessoais #ImpostodeRenda #ImpostodeRenda2023
https://t.co/MGj2heFabN</t>
  </si>
  <si>
    <t>Restituição do Imposto de Renda 2023: Receita paga 3º lote nesta segunda (31); veja se você recebe
#Economia #FeedPrincipal #FinançasPessoais
https://t.co/75yUIh0hz3</t>
  </si>
  <si>
    <t>Imposto de Renda 2023: Receita paga 3º lote da restituição nesta segunda (31); saiba mais
#Economia #FinançasPessoais #ImpostodeRenda
https://t.co/5vQLnsWLoy</t>
  </si>
  <si>
    <t>Restituição do Imposto de Renda 2023: 3º lote abre para consulta; veja se você recebe em 31 de julho
#Economia #FinançasPessoais #ImpostodeRenda2023
https://t.co/qLmB6SmxKn</t>
  </si>
  <si>
    <t>Ninguém acerta a Mega-Sena e prêmio acumula em R$ 70 milhões
#FinançasPessoais #Loterias #Mega-Sena
https://t.co/V3EHvbQfDq</t>
  </si>
  <si>
    <t>Passagem aérea: Azul (AZUL4) sai na frente de Gol (GOLL4) e Latam com os melhores preços; confira
#Azul #Empresas #FinançasPessoais
https://t.co/rBdQ08OpjC</t>
  </si>
  <si>
    <t>Restituição do Imposto de Renda 2023: Confira se você recebe em 30 de junho
#Brasil #FeedPrincipal #FinançasPessoais
https://t.co/v6XuxmxP6q</t>
  </si>
  <si>
    <t>Itaú (ITUB4): O novo leilão de casas, apartamentos e terrenos do banco
#Empresas #FeedPrincipal #FinançasPessoais
https://t.co/C2dEmOLhuz</t>
  </si>
  <si>
    <t>Imposto de Renda: Autônomos e informais também devem declarar; veja como
#Economia #FinançasPessoais #ImpostodeRenda
https://t.co/5ZquswtVbh</t>
  </si>
  <si>
    <t>Imposto de Renda: Veja o valor da multa por atraso
#Brasil #FeedPrincipal #FinançasPessoais
https://t.co/3dBeLUHypu</t>
  </si>
  <si>
    <t>Imposto de Renda: 6 gastos que podem ser deduzidos da declaração e aumentar a restituição
#FeedPrincipal #FinançasPessoais #ImpostodeRenda
https://t.co/2XhA9n48vl</t>
  </si>
  <si>
    <t>Falsa restituição do Imposto de Renda: Receita Federal alerta para golpes
#Brasil #FeedPrincipal #FinançasPessoais
https://t.co/hYW0LJapFp</t>
  </si>
  <si>
    <t>Imposto de Renda: Em reta final, veja qual o melhor modelo para fazer a declaração
#FeedPrincipal #FinançasPessoais #ImpostodeRenda
https://t.co/Ueqfo7sh4J</t>
  </si>
  <si>
    <t>Imposto de renda atrasado de outros anos? Veja como regularizar
#FeedPrincipal #FinançasPessoais #ImpostodeRenda
https://t.co/KeLXb6d7xu</t>
  </si>
  <si>
    <t>Quem são os novos bilionários de 2023? LeBron James, Jimmy Buffett e mais 148 entram na Forbes
#Bilionários #FeedPrincipal #FinançasPessoais
https://t.co/Wbc8UqRD7z</t>
  </si>
  <si>
    <t>Compesa: Consumidor com dívida pode ganhar até 90% de desconto via Pix
#Dívidas #FinançasPessoais #Saneamento
https://t.co/go5tNGKQ6s</t>
  </si>
  <si>
    <t>Imposto de Renda 2023: Saiba como declarar heranças ao Leão
#FeedPrincipal #FinançasPessoais #ImpostodeRenda
https://t.co/BT3pBiGy6D</t>
  </si>
  <si>
    <t>Imposto de Renda 2023: Saiba como declarar saldos na conta corrente
#Economia #FinançasPessoais #ImpostodeRenda
https://t.co/AdVmrHRk9j</t>
  </si>
  <si>
    <t>Mercado financeiro: Ex-atleta e empresário Diogo Larcerda ensina como começar a investir
#EducaçãoFinanceira #FinançasPessoais #Mercados
https://t.co/hj98jASiko</t>
  </si>
  <si>
    <t>Conheça os 10 bilionários mais jovens da lista da Forbes
#Bilionários #FinançasPessoais #Forbes
https://t.co/kinuSAlnhq</t>
  </si>
  <si>
    <t>Imposto de Renda 2023: Como declarar Previdência Privada e ainda sair no lucro
#Aposentadoria #FeedPrincipal #FinançasPessoais
https://t.co/eKI31MAFEw</t>
  </si>
  <si>
    <t>Imposto de Renda: Receita Federal divulga datas para a declaração em 2023; confira
#Economia #FinançasPessoais #GovernoFederal
https://t.co/Ge1yY7RFn0</t>
  </si>
  <si>
    <t>Como obter até 50% de desconto para quitar dívidas com a Receita
#Dívidas #Economia #FinançasPessoais
https://t.co/58UspLzlWS</t>
  </si>
  <si>
    <t>Reforma Tributária: Heranças podem ter mais impostos; entenda o que muda
#Brasil #FeedPrincipal #FinançasPessoais
https://t.co/WEHX40hh0P</t>
  </si>
  <si>
    <t>Olha o golpe: Brasil tem 2,8 mil tentativas de fraude por minuto; veja como se proteger
#BancoCentral #FeedPrincipal #FinançasPessoais
https://t.co/PkYpSsN2MS</t>
  </si>
  <si>
    <t>Remédios podem ter tributação maior; Governo avalia alternativas
#FeedPrincipal #FinançasPessoais #GovernoFederal
https://t.co/vaZXnloq1h</t>
  </si>
  <si>
    <t>Tesouro Direto oferecerá título para bancar estudos e universidade a partir de agosto
#Educação #FeedPrincipal #FinançasPessoais
https://t.co/PTfNalv9Zb</t>
  </si>
  <si>
    <t>Quem quer ser um milionário: Acumulada, Mega-Sena pode pagar bolada neste sábado (15)
#CaixaEconômicaFederal #Economia #FinançasPessoais
https://t.co/KW1GM4JhUh</t>
  </si>
  <si>
    <t>Restituição do Imposto de Renda 2023: Receita paga 2º lote nesta sexta-feira (30); veja se você recebe
#Economia #FeedPrincipal #FinançasPessoais
https://t.co/aFMNabtTZX</t>
  </si>
  <si>
    <t>Quina de São João 2023: Prêmio deve chegar a R$ 200 milhões e não acumula; como apostar
#CaixaEconômicaFederal #FinançasPessoais #Loterias
https://t.co/LdISC3z79b</t>
  </si>
  <si>
    <t>Saldo PIS/Pasep: Caixa libera R$ 25,4 bilhões para saque; veja se você tem direito
#CaixaEconômicaFederal #FGTS #FinançasPessoais
https://t.co/ZksY5vudwI</t>
  </si>
  <si>
    <t>Procurados para ganhar dinheiro: Auditor entrega R$ 7,2 milhões para esquecidos; veja como saber se foi sorteado
#FinançasPessoais #Geral #SãoPaulo
https://t.co/N1umAEFuju</t>
  </si>
  <si>
    <t>Como proteger seus investimentos? Assessora Diná França indica o que fazer em 2023
#Ações #EducaçãoFinanceira #FundosdeInvestimento
https://t.co/j5lCsVK1ZW</t>
  </si>
  <si>
    <t>Imposto de Renda: Prazo está acabando; o que acontece se não declarar?
#Brasil #FinançasPessoais #ImpostodeRenda
https://t.co/ksBfoDI8WZ</t>
  </si>
  <si>
    <t>Imposto de Renda: Em reta final, 13 milhões de contribuintes ainda não declararam; veja como escapar do Leão
#FeedPrincipal #FinançasPessoais #ImpostodeRenda
https://t.co/f5A4qopP3C</t>
  </si>
  <si>
    <t>Imposto de Renda 2023: Pensão alimentícia mudou; veja como declarar
#Brasil #Economia #FinançasPessoais
https://t.co/OCqLNC5t3W</t>
  </si>
  <si>
    <t>Imposto de Renda 2023: É preciso declarar a poupança de dependentes?
#Economia #FinançasPessoais #ImpostodeRenda
https://t.co/rVuNjrkSaO</t>
  </si>
  <si>
    <t>Imposto de Renda 2023: Como declarar dinheiro na poupança
#CDI #FeedPrincipal #FinançasPessoais
https://t.co/P1GBs7ygOX</t>
  </si>
  <si>
    <t>Imposto de Renda 2023: Como declarar investimentos de renda fixa
#FinançasPessoais #ImpostodeRenda #ImpostodeRenda2023
https://t.co/ysMMbpeH05</t>
  </si>
  <si>
    <t>Veja o que significa ‘em fila de restituição 2023’, consulte a restituição do Imposto de Renda e saiba quando a receita paga
#FinançasPessoais #ImpostodeRenda #ImpostodeRenda2023
https://t.co/lZ22IYodeR</t>
  </si>
  <si>
    <t>Imposto de Renda 2023: Trabalhador informal precisa declarar?
#FeedPrincipal #FinançasPessoais #ImpostodeRenda
https://t.co/1ys5xoaOF4</t>
  </si>
  <si>
    <t>Quem tem que declarar Imposto de Renda 2023?
#Economia #FeedPrincipal #FinançasPessoais
https://t.co/65lvNu3D5t</t>
  </si>
  <si>
    <t>Quando é o momento perfeito para fazer as pazes com o dinheiro?
#ColunadaPriscillaMendonça #EducaçãoFinanceira #FinançasPessoais
https://t.co/i1AL6HgqVU</t>
  </si>
  <si>
    <t>Ninguém acerta seis dezenas e Mega-Sena pode pagar R$ 37 milhões
#AgênciaBrasil #FinançasPessoais #Loterias
https://t.co/FyAcGP5GBY</t>
  </si>
  <si>
    <t>Como começar a investir em 2023? Veja guia para iniciantes
#Anbima #Economia #EducaçãoFinanceira
https://t.co/MKS6oJJQ2S</t>
  </si>
  <si>
    <t>Restituição do Imposto de Renda 2023: Quando a Receita paga o 4º lote?
#Economia #FeedPrincipal #FinançasPessoais
https://t.co/b9UqA3FIXL</t>
  </si>
  <si>
    <t>Imposto de Renda 2023: Caiu na malha fina? Veja o que fazer
#Economia #FeedPrincipal #FinançasPessoais
https://t.co/XK62Bimr6G</t>
  </si>
  <si>
    <t>Dinheiro no bolso: 12 dicas para pequenas e médias empresas protegeram o caixa
#ColunadaAnaPaulaDebiazi #Colunistas #EducaçãoFinanceira
https://t.co/q2DOW2IQmA</t>
  </si>
  <si>
    <t>Imposto de Renda: Receita recebe número recorde de declarações; 3,1 milhões foram apenas nas últimas horas
#FeedPrincipal #FinançasPessoais #ImpostodeRenda
https://t.co/pldiNPG4cn</t>
  </si>
  <si>
    <t>Restituição do Imposto de Renda: Como fica para quem declarou em atraso?
#Economia #FeedPrincipal #FinançasPessoais
https://t.co/lorebmEglo</t>
  </si>
  <si>
    <t>Imposto de Renda 2023: Quando começa o pagamento da restituição?
#Economia #FinançasPessoais #ImpostodeRenda
https://t.co/iXxxW5DyG9</t>
  </si>
  <si>
    <t>Elas que mandam: Nove em cada dez mães são responsáveis pelo orçamento das famílias brasileiras
#Brasil #Economia #FinançasPessoais
https://t.co/b9IfWjyhxJ</t>
  </si>
  <si>
    <t>Imposto de Renda: 5 pontos para escapar da malha fina
#FinançasPessoais #ImpostodeRenda #ImpostodeRenda2023
https://t.co/rO09UT5hUb</t>
  </si>
  <si>
    <t>Imposto de Renda está na reta final; confira como fugir da malha fina e quais as datas de restituição
#Economia #FeedPrincipal #FinançasPessoais
https://t.co/jSkfHz0cTZ</t>
  </si>
  <si>
    <t>Dia das Mães: Como economizar na compra de presentes?
#Aplicativo #Economia #FinançasPessoais
https://t.co/WZCj2aPJtN</t>
  </si>
  <si>
    <t>Mega-Sena: Prêmio de R$ 45 milhões é sorteado nesta quinta; confira como aumentar suas chances
#CaixaEconômicaFederal #FinançasPessoais #JogosdeAzar
https://t.co/G03b4nQl6y</t>
  </si>
  <si>
    <t>Imposto de Renda 2023: Conheça os 9 grupos que podem ser declarados como dependentes
#Consumo #Economia #FinançasPessoais
https://t.co/qbVt7rDu5W</t>
  </si>
  <si>
    <t>Imposto de Renda 2023: Prazo para pagamento em débito automático termina hoje
#Economia #FeedPrincipal #FinançasPessoais
https://t.co/zpXhDoqz9W</t>
  </si>
  <si>
    <t>Atrasado para declarar o imposto de renda 2023? Veja tudo que você precisa saber agora
#Brasil #Economia #FinançasPessoais
https://t.co/M429LlZu6g</t>
  </si>
  <si>
    <t>Day Trade: Ícaro Bastos explica como gerenciar riscos nos investimentos
#EducaçãoFinanceira #FinançasPessoais #Mercados
https://t.co/C2UQPbljk0</t>
  </si>
  <si>
    <t>Imposto de Renda: Veja guia completo para te ajudar na declaração; falta menos de 2 meses
#Brasil #Economia #FinançasPessoais
https://t.co/kvmNGc4uQk</t>
  </si>
  <si>
    <t>Imposto de Renda 2023: 5 fundos imobiliários para investir com a grana da restituição
#Economia #FIIs #FinançasPessoais
https://t.co/T3lWdUfeE1</t>
  </si>
  <si>
    <t>Imposto de Renda 2023: Como declarar investimentos no Tesouro Direto
#CDI #FeedPrincipal #FinançasPessoais
https://t.co/I5vXZGhx9a</t>
  </si>
  <si>
    <t>Imposto de Renda 2023: Saiba como declarar gastos com plano de saúde
#FeedPrincipal #FinançasPessoais #ImpostodeRenda
https://t.co/1zHTFszKL3</t>
  </si>
  <si>
    <t>Imposto de Renda 2023: Quando o programa para declaração estará disponível?
#AgênciaBrasil #Economia #FinançasPessoais
https://t.co/yY7UyCWyhC</t>
  </si>
  <si>
    <t>Inadimplentes podem perder a CNH? Entenda
#CNH #Dívidas #FinançasPessoais
https://t.co/Vs4sooX1c7</t>
  </si>
  <si>
    <t>Carnaval 2023: Pix é o queridinho dos foliões; veja como se proteger de golpes
#Carnaval #CartõesdeCrédito #FinançasPessoais
https://t.co/GvErXjGvfZ</t>
  </si>
  <si>
    <t>Educação financeira para mulheres: Verena Cordeiro destaca papel no empoderamento
#EducaçãoFinanceira #FinançasPessoais #Investimentos
https://t.co/obybk3Gh1J</t>
  </si>
  <si>
    <t>Quem são os 10 maiores CEOs bilionários do Brasil? Confira o ranking
#Bilionários #FeedPrincipal #FinançasPessoais
https://t.co/zHBE87Cjnw</t>
  </si>
  <si>
    <t>Não conseguiu ir no The Town? Veja como se preparar para os próximos festivais
#Entretenimento #FinançasPessoais #Geral
https://t.co/riEDSJZiSP</t>
  </si>
  <si>
    <t>Herança dos famosos: Relembre 4 casos em que divisão se tornou alvo de briga na Justiça
#FinançasPessoais #Geral
https://t.co/cwpwXXxH5U</t>
  </si>
  <si>
    <t>Nota Fiscal Paulista: Uma única pessoa recebeu R$ 1 milhão; veja como concorrer
#Economia #FeedPrincipal #FinançasPessoais
https://t.co/wD28krJPQA</t>
  </si>
  <si>
    <t>Restituição do Imposto de Renda 2023: Receita paga 4º lote nesta quinta (31); veja se você recebe
#Economia #FeedPrincipal #FinançasPessoais
https://t.co/DzkvfpJtyQ</t>
  </si>
  <si>
    <t>Governo retoma projeto que taxa investimentos no exterior; veja o que muda
#AgênciaCâmara #Economia #FinançasPessoais
https://t.co/frgik8Zkqb</t>
  </si>
  <si>
    <t>Anbima: Quer entrar no mercado financeiro? Inscrições para provas ficam mais baratas
#Anbima #Educação #EducaçãoFinanceira
https://t.co/YTqqevDmVi</t>
  </si>
  <si>
    <t>Imposto de Renda: Entenda como funciona a isenção para salários de até R$ 2.640
#Economia #FeedPrincipal #FinançasPessoais
https://t.co/9AALFqn0Vn</t>
  </si>
  <si>
    <t>Restituição do Imposto de Renda: 4º lote terá correção de 3,14% pela Selic
#Economia #FeedPrincipal #FinançasPessoais
https://t.co/hTR2N57iuf</t>
  </si>
  <si>
    <t>Como economizar 94% em passagens aéreas? Veja as melhores dicas
#Economia #EducaçãoFinanceira #FeedPrincipal
https://t.co/uyQRaBcDu1</t>
  </si>
  <si>
    <t>Happy Hour mais caro: ‘Imposto do Pecado’ deve ser criado (e já tem data para entrar em vigor)
#Economia #FinançasPessoais #GovernoFederal
https://t.co/YPvxXvIpB0</t>
  </si>
  <si>
    <t>Restituição do Imposto de Renda: Terceiro lote tem correção de 2,07%; confira se você irá receber
#Brasil #FeedPrincipal #FinançasPessoais
https://t.co/8KDR9IQKIG</t>
  </si>
  <si>
    <t>Quer ser planejador financeiro? Conteúdo da prova para tirar certificação terá mudanças; confira
#Carreiras #FinançasPessoais #Trabalho
https://t.co/I6blMZBB4L</t>
  </si>
  <si>
    <t>Imposto de Renda: Como saber se devo declarar em 2023?
#FeedPrincipal #FinançasPessoais #ImpostodeRenda
https://t.co/G0aXPc5Z2a</t>
  </si>
  <si>
    <t>Vale (VALE3): O leilão da mineradora que acontece nesta quarta (31)
#Empresas #FinançasPessoais #Leilões
https://t.co/BqCpPBAFsB</t>
  </si>
  <si>
    <t>IPVA com atraso poderá ser parcelado em São Paulo; veja como
#Carros #FinançasPessoais #IPVA
https://t.co/AM1QL8N7qq</t>
  </si>
  <si>
    <t>‘Em fila de restituição’: veja a resposta para essa e outras perguntas sobre Imposto de Renda 2023
#FeedPrincipal #FinançasPessoais #ImpostodeRenda
https://t.co/NFRgCKR5wN</t>
  </si>
  <si>
    <t>Imposto de Renda 2023: Como declarar dividendos e juros sobre capital próprio
#Dividendos #FeedPrincipal #FinançasPessoais
https://t.co/J9XcjVrQAY</t>
  </si>
  <si>
    <t>Imposto de Renda: Confira o passo a passo para fazer a sua declaração
#Brasil #Economia #FinançasPessoais
https://t.co/Bco2qrpP4E</t>
  </si>
  <si>
    <t>Estudar ou trabalhar no exterior? Consultor em imigração, Júnior Hudson, dá dicas
#Carreiras #FinançasPessoais #Internacional
https://t.co/LtBkY83Ebx</t>
  </si>
  <si>
    <t>Quer viver de rendimentos? Só investir não vai salvar sua pele; entenda
#ColunadaYolandaFordelone #Colunistas #FinançasPessoais
https://t.co/mAasYiznFz</t>
  </si>
  <si>
    <t>Imposto de Renda: Entenda a atual tabela de descontos e isenção
#FeedPrincipal #FinançasPessoais #ImpostodeRenda
https://t.co/I7JvqTbL8u</t>
  </si>
  <si>
    <t>Imposto de Renda 2023: Como declarar indenizações de seguros?
#BBSeguridade #FinançasPessoais #ImpostodeRenda
https://t.co/Du5vrEWQO7</t>
  </si>
  <si>
    <t>Negócios na internet: Empresário Walter Júnior ensina como começar na área
#Empreendedorismo #FinançasPessoais #Internet
https://t.co/9iua81M0js</t>
  </si>
  <si>
    <t>Imposto de Renda 2023: Receita abre consulta ao lote residual de restituição de abril; veja quando vai cair
#Economia #FeedPrincipal #FinançasPessoais
https://t.co/RdMtXucSZw</t>
  </si>
  <si>
    <t>Imposto de Renda 2023: Entenda o que são doações incentivadas e como obter descontos com elas
#Empresas #FinançasPessoais #ImpostodeRenda
https://t.co/SFRk3c9X7A</t>
  </si>
  <si>
    <t>Imposto de Renda 2023: Quais são os gastos dedutíveis e como informá-los
#FeedPrincipal #FinançasPessoais #ImpostodeRenda
https://t.co/xoT1C0G5Xs</t>
  </si>
  <si>
    <t>Restituição do Imposto de Renda 2023: MEI e empresários do Simples Nacional podem receber via Pix
#FinançasPessoais #ImpostodeRenda #ImpostodeRenda2023
https://t.co/kAEj78rV0v</t>
  </si>
  <si>
    <t>Imposto de Renda 2023: Saiba como declarar ações e outros investimentos
#Ações #FinançasPessoais #ImpostodeRenda
https://t.co/EVRJhVqp4r</t>
  </si>
  <si>
    <t>Imposto de Renda 2023: Como declarar dependentes?
#FinançasPessoais #ImpostodeRenda #ImpostodeRenda2023
https://t.co/sQ0UUnGdeE</t>
  </si>
  <si>
    <t>Mulheres ainda investem menos do que os homens, mas aportes são maiores; entenda
#B3 #BolsadeValores #FinançasPessoais
https://t.co/CJQiog3GkJ</t>
  </si>
  <si>
    <t>A mulher e o dinheiro: uma relação para a liberdade
#ColunadaPriscillaMendonça #EducaçãoFinanceira #FinançasPessoais
https://t.co/Dk8fvpvIWw</t>
  </si>
  <si>
    <t>Liberdade financeira: Guia para investidores conquistarem, segundo especialista
#EducaçãoFinanceira #FinançasPessoais #Investimentos
https://t.co/OhBGpd3ryb</t>
  </si>
  <si>
    <t>Imposto de Renda 2023: Saiba como gerar e pagar o DARF
#Brasil #Economia #FinançasPessoais
https://t.co/JOaLoN6bsB</t>
  </si>
  <si>
    <t>Imposto de Renda 2023: Beneficiários do Auxílio Emergencial devem declarar IR; veja como
#AuxílioEmergencial #FinançasPessoais #ImpostodeRenda2023
https://t.co/zDhU3MjcOe</t>
  </si>
  <si>
    <t>Imposto de Renda 2023: Veja quem pode ser declarado como dependente
#Brasil #Economia #FinançasPessoais
https://t.co/PEvZ0iIbcZ</t>
  </si>
  <si>
    <t>Nubank no Imposto de Renda 2023: Como declarar dinheiro na NuConta
#Bancos #FinançasPessoais #ImpostodeRenda
https://t.co/gxdmPEXXK4</t>
  </si>
  <si>
    <t>Muito além do Desenrola: educação financeira é liberdade
#ColunadaAlessandraVelloso #EducaçãoFinanceira
https://t.co/Ot5gqLHGXq</t>
  </si>
  <si>
    <t>Imposto de Renda 2023: 9 erros que podem te levar a cair na malha fina
#Brasil #Economia #FinançasPessoais
https://t.co/PsaFMRl7Sb</t>
  </si>
  <si>
    <t>Informe de Rendimentos: Não recebi o meu no prazo, e agora?
#Brasil #Empresas #FinançasPessoais
https://t.co/FXTWRhIsmb</t>
  </si>
  <si>
    <t>Imposto de Renda 2023: Pix e declaração pré-preenchida terão prioridade na restituição
#FinançasPessoais #ImpostodeRenda #ImpostodeRenda2023
https://t.co/tCB4PBABp7</t>
  </si>
  <si>
    <t>Restituição Imposto de Renda: Confira calendário com as datas e quem recebem prioridade
#Brasil #FinançasPessoais #ImpostodeRenda
https://t.co/G28UbT80vN</t>
  </si>
  <si>
    <t>Imposto de Renda 2023: Tem imóvel para declarar? Veja a partir de quanto
#Brasil #Economia #FinançasPessoais
https://t.co/yWWPdKeQcc</t>
  </si>
  <si>
    <t>Informe de Rendimentos e DIRF: Tudo que você precisa saber para não ter problemas com o IR
#Empresas #FinançasPessoais #ImpostodeRenda
https://t.co/yrKFlqYDKB</t>
  </si>
  <si>
    <t>Imposto de renda 2023: Onde e quando fazer o download do programa da Receita Federal
#Brasil #Economia #FinançasPessoais
https://t.co/4eOWByqFa5</t>
  </si>
  <si>
    <t>Imposto de Renda 2023: Saiba o valor mínimo de rendimento e investimentos para declarar
#BolsadeValores #Brasil #FinançasPessoais
https://t.co/zuiwhlkG0h</t>
  </si>
  <si>
    <t>Nubank antecipa saques do FGTS
#Empresas #FeedPrincipal #FinançasPessoais
https://t.co/5ixIVypQry</t>
  </si>
  <si>
    <t>Poupança tem saques líquidos em agosto pelo 2º mês, de R$10,075 bi
#FeedPrincipal #FinançasPessoais #Investimentos
https://t.co/I7k8rUm3q4</t>
  </si>
  <si>
    <t>Zona de arrebentação: como cruzar essa linha e se tornar investidor de verdade?
#ColunadaYolandaFordelone #Colunistas #FinançasPessoais
https://t.co/dCpE5v0MnD</t>
  </si>
  <si>
    <t>The Town: prepare o bolso na hora de comer; combos chegam a R$ 70
#Entretenimento #FeedPrincipal #FinançasPessoais
https://t.co/4cOjFxVFXm</t>
  </si>
  <si>
    <t>Restituição do Imposto de Renda 2023: Consulta do 4º lote será liberada nesta quinta (24); confira se você recebe
#Economia #FeedPrincipal #FinançasPessoais
https://t.co/C625cLmcJh</t>
  </si>
  <si>
    <t>Tabela da Restituição do Imposto de Renda: Veja próximas datas e se irá receber
#Economia #FeedPrincipal #FinançasPessoais
https://t.co/qDJEJOyRnb</t>
  </si>
  <si>
    <t>Perdeu a fé na Mega-Sena? Veja loterias americanas que pagam bilhões
#EstadosUnidos(EUA) #FinançasPessoais #Loterias
https://t.co/N8eWp4cHi0</t>
  </si>
  <si>
    <t>Como investir no Tesouro Selic e o quanto pode render nos próximos 12 meses
#C6Bank #EducaçãoFinanceira #EmpiricusResearch
https://t.co/BaS6ZBCKP8</t>
  </si>
  <si>
    <t>Restituição do Imposto de Renda: Receita libera consulta do 2º lote nesta sexta-feira (23); veja se irá receber
#Brasil #FeedPrincipal #FinançasPessoais
https://t.co/DdMoELUwhB</t>
  </si>
  <si>
    <t>Imposto de Renda 2023: Você tem até hoje para entrar no 1º lote da restituição; entenda
#FeedPrincipal #FinançasPessoais #ImpostodeRenda
https://t.co/EyFyExVBSW</t>
  </si>
  <si>
    <t>Imposto de Renda: Prazo para tentar entrar no 1º lote da restituição acaba amanhã; o que você precisa para declarar
#FeedPrincipal #FinançasPessoais #ImpostodeRenda
https://t.co/GFBwKtyRYA</t>
  </si>
  <si>
    <t>Imposto de Renda 2023: Como declarar prêmios de loteria, bingo e apostas online
#Brasil #Economia #FinançasPessoais
https://t.co/xC7cgKUhGg</t>
  </si>
  <si>
    <t>É possível ganhar R$ 273 mil para se mudar para a Europa; veja como
#Europa #FinançasPessoais #Geral
https://t.co/Muz2txnDHe</t>
  </si>
  <si>
    <t>Imposto de Renda 2023: Como pagar e calcular o DARF em atraso
#Economia #FinançasPessoais #ImpostodeRenda
https://t.co/bF9NtTlN2i</t>
  </si>
  <si>
    <t>Imposto de Renda 2023: Quais documentos você precisa ter em mãos na hora de declarar?
#Economia #FeedPrincipal #FinançasPessoais
https://t.co/xqL3ZgLr3L</t>
  </si>
  <si>
    <t>Imposto de Renda 2023: Declaração simplificada ou completa, qual a melhor?
#Brasil #FinançasPessoais #ImpostodeRenda
https://t.co/X21ka6aQRK</t>
  </si>
  <si>
    <t>Imposto de Renda 2023: Trabalhador informal deve declarar IR; veja como
#FinançasPessoais #ImpostodeRenda #ImpostodeRenda2023
https://t.co/w1vMngxaVP</t>
  </si>
  <si>
    <t>Nubank abraça crédito consignado após Itaú, Banco do Brasil e outros bancos suspenderem o serviço
#Bancos #FinançasPessoais #INSS
https://t.co/c7ZXRGWwaR</t>
  </si>
  <si>
    <t>Imposto de Renda 2023: Caiu na malha fina? Veja o que fazer
#Brasil #FinançasPessoais #ImpostodeRenda
https://t.co/ucK2FJ4iDw</t>
  </si>
  <si>
    <t>Tesouro RendA+: Entenda as principais vantagens e desvantagens do título de aposentadoria
#Aposentadoria #FinançasPessoais #ImpostodeRenda
https://t.co/XouKE9miQI</t>
  </si>
  <si>
    <t>Salário: Reajuste é 25% acima do piso em dezembro
#Consumo #Economia #FinançasPessoais
https://t.co/hMrDcej5ZQ</t>
  </si>
  <si>
    <t>Imóveis: Bancão faz leilão de casas e apartamentos a partir de R$ 179 mil; veja condições
#FinançasPessoais #Imóveis #Leilões
https://t.co/F7mIVGYRFE</t>
  </si>
  <si>
    <t>Veja chances de adquirir imóveis com 79% de desconto até o fim do mês
#BancodoBrasil #Emgea #FinançasPessoais
https://t.co/eCzqRBA0p7</t>
  </si>
  <si>
    <t>Imóvel quitado: Advogado Marcos Salomão explica como ter direto de posse
#FinançasPessoais #Imóveis #ImpostodeRenda
https://t.co/5ZdghiHIwR</t>
  </si>
  <si>
    <t>10 fundos imobiliários que estão com um precinho e bom retorno com dividendos
#FIIs #FinançasPessoais #FundosdeFundos
https://t.co/NM0Ia55Mld</t>
  </si>
  <si>
    <t>RT @leiamoneytimes: Nubank antecipa saques do FGTS
#Empresas #FeedPrincipal #FinançasPessoais
https://t.co/5ixIVypQry</t>
  </si>
  <si>
    <t>Assim, caso haja uma redução compulsoria "canetada", teremos consequências, tais como:
#politica #investimento #economia #educacaofinanceira #dolar #bancocentral</t>
  </si>
  <si>
    <t>Gostaria de agradecer ao @InstitutoSicoob por me conceder essa oportunidade dando palco e incentivando um tema tão importante.
#semanaenef
#educacaofinanceira
#resiliência
#institutosicoob
#oportunidade</t>
  </si>
  <si>
    <t>Se precisar de ajuda ou mais informações, entre em contacto com a Thembani Africa.
#poupança #thembani #thembaniafrica #mocambique #alfabetizaçãofinanceira #educacaofinanceira #literaciafinanceira https://t.co/N44GBiha4e</t>
  </si>
  <si>
    <t>Se precisar de ajuda ou mais informações, entre em contacto com a Thembani Africa.
#dinheiroeletronico #thembani #thembaniafrica #mocambique #alfabetizaçãofinanceira #educacaofinanceira #literaciafinanceira https://t.co/wx7c5NCmkb</t>
  </si>
  <si>
    <t>Se precisar de ajuda ou mais informações, entre em contacto com a Thembani Africa.
#dinheiroeletronico #thembani #thembaniafrica #mocambique #alfabetizaçãofinanceira #educacaofinanceira #literaciafinanceira https://t.co/g6FCXgirFw</t>
  </si>
  <si>
    <t>💰 Dica de ouro: Antes de investir, tenha suas finanças pessoais em ordem. Estabeleça metas financeiras claras e crie um plano para alcançá-las. #FinançasPessoais #PlanejamentoFinanceiro</t>
  </si>
  <si>
    <t>💬 Compartilhe seus conhecimentos financeiros com amigos e familiares. Ajudar os outros a alcançar a estabilidade financeira também é uma forma de crescimento pessoal. #EducaçãoFinanceira #Compartilhamento</t>
  </si>
  <si>
    <t>📈 Invista em seu conhecimento financeiro. Quanto mais você aprender sobre investimentos, mais preparado estará para tomar decisões inteligentes e obter melhores retornos. #EducaçãoFinanceira #Investimentos</t>
  </si>
  <si>
    <t>🌟 Compartilhe essas preciosas lições com seus amigos e familiares. 💬💡 Juntos, podemos construir uma comunidade financeira mais forte e inteligente! 💪🤝
🔗 #Riqueza #EducaçãoFinanceira #Babilônia #SucessoFinanceiro #Prosperidade</t>
  </si>
  <si>
    <t>Conoces algunas ventas y desventajas de la #inteligencia #artificial 
#venezuela 
#barquisimeto 
#tecnologia 
#innovation 
#bitcoins 
#markentingdigital 
#finanzas 
#educacaofinanceira
https://t.co/msddFuiIXW</t>
  </si>
  <si>
    <t>Equilibrar receitas e despesas é essencial para uma vida financeira saudável. Priorize gastos essenciais, economize para objetivos de longo prazo e evite dívidas desnecessárias. #FinançasPessoais #Poupar</t>
  </si>
  <si>
    <t>Você sabia que o crédito rotativo pode se tornar uma bola de neve financeira? Não deixe que isso aconteça com você!
Leia nosso artigo e aprenda a usar o crédito rotativo de forma inteligente.
#CréditoRotativo #FinançasPessoais #EducaçãoFinanceira
https://t.co/oGs6lkIl2i</t>
  </si>
  <si>
    <t>"Investiria o seu dinheiro em ações? Não?
Perdeu a oportunidade de multiplicar o seu capital por 10."
#finançaspessoais #investimentos #valueinvesting #poupança #ações #casadeinvestimentos #saveandgrow #ppr https://t.co/1yGJrpo1nw</t>
  </si>
  <si>
    <t>🚴♂Você aprendeu andar de bicicleta lendo um manual?
👇Clique no link e descubra a conquista da sua liberdade financeira👇
https://t.co/6Z42ZQptAJ
#investimentos #educaçãofinanceira #melhoresinvestimentos #liberdadefinanceira #independenciafinanceira #mentoria https://t.co/poaOJFDS0s</t>
  </si>
  <si>
    <t>O Poder dos juros compostos https://t.co/yM1SNfXGuk via @YouTube 
O juros é pior  vilão que um endividado pode ter, mas ele também pode ser o seu maior aliado sabe porque? Veja este vídeo!  #educacaofinanceira #juroscompostos #rendapassiva</t>
  </si>
  <si>
    <t>Preparado para controlar suas finanças e finalmente quitar suas dívidas? Confira como! 📚
#FinançasPessoais #PlanejamentoFinanceiro #ContasOnline #PagarDívidas https://t.co/X0SrzBsdC4</t>
  </si>
  <si>
    <t>💙 #educacaofinanceira #educacoinfantil #empreendedorismo https://t.co/n2MCrDaKKP</t>
  </si>
  <si>
    <t>Antes de se jogar nas liquidações de inverno, vale a pena fazer três perguntas: Eu preciso? Eu posso pagar? Se eu esperar até amanhã, vou me lembrar dessa compra? Se a resposta for “não” a qualquer uma delas, resista e poupe. 🛍️
#POUPEX #LiquidaçãoDeInverno #EducaçãoFinanceira https://t.co/1CkCiBmQWd</t>
  </si>
  <si>
    <t>Seja qual for o seu destino, faça agora a #PoupançaPOUPEX e garanta a sua viagem dos sonhos. https://t.co/OjZSiZkgOH
#POUPEX #EducaçãoFinanceira</t>
  </si>
  <si>
    <t>Quer mais dicas? Acesse o nosso blog: https://t.co/47vZXhOH1t
#EducaçãoFinanceira #POUPEX #Poupança</t>
  </si>
  <si>
    <t>Curtiu? Retweet nossas dicas e boa viagem! 💙❤️ 
#POUPEX  #Economia #Férias #EducaçãoFinanceira</t>
  </si>
  <si>
    <t>Para todos os perfis e signos, a gente conta com uma diversidade de produtos e serviços só para atender você. Acesse o nosso site: https://t.co/gZygoWnHQx #POUPEX #FinançasPessoais</t>
  </si>
  <si>
    <t>♓️Peixes: são compassivos com as pessoas e podem acabar ajudando todo mundo, mas não podem esquecer de si mesmos, nem do próprio planejamento financeiro. Devem traçar metas realistas, como a aquisição de um bem de valor mais alto.  #FinançasPessoais #Peixes #POUPEX</t>
  </si>
  <si>
    <t>♒️Aquário: gostam de investir em novas ideias e costumam se arriscar nos projetos, mas devem ficar de olho nos gastos e gerenciar melhor as finanças para sonhar mais alto.  #FinançasPessoais #Aquário  #POUPEX</t>
  </si>
  <si>
    <t>♑️Capricórnio: organizados com as finanças pessoais e cautelosos nos gastos, podem diversificar os investimentos e arriscar quando for necessário.  #FinançasPessoais #Capricórnio #POUPEX</t>
  </si>
  <si>
    <t>♐️ Sagitário: costumam viver várias experiências sem pensar no dia de amanhã e, com isso, podem gastar impulsivamente. Devem ter metas realistas, como a compra de uma casa ou de um carro. #FinançasPessoais #Sagitário #POUPEX</t>
  </si>
  <si>
    <t>♏️Escorpião: realistas, cautelosos e discretos com a vida financeira, podem diversificar moderadamente os investimentos. #FinançasPessoais #Escorpião #POUPEX</t>
  </si>
  <si>
    <t>♎️Libra: valorizam o equilíbrio e a harmonia, mas podem ser indecisos quando se trata de tomar decisões financeiras importantes. Devem se planejar e visualizar os sonhos no papel para se motivarem.  #FinançasPessoais #Libra #POUPEX</t>
  </si>
  <si>
    <t>♍️Virgem: organizados e costumam manter as finanças em ordem, mas podem diversificar os investimentos, tomando os cuidados necessários. #FinançasPessoais #Virgem #POUPEX</t>
  </si>
  <si>
    <t>♌️Leão: podem estourar o orçamento com itens ligados a cuidados pessoais e vaidade. Devem investir em metas futuras de longo prazo, como a viagem dos sonhos. #FinançasPessoais #Leão #POUPEX</t>
  </si>
  <si>
    <t>♋️Câncer: valorizam o conforto da família e podem gastar demais em nome das emoções, por isso devem procurar investimentos de longo prazo, como imóveis. #FinançasPessoais #Câncer #POUPEX</t>
  </si>
  <si>
    <t>♊️ Gêmeos: podem se tornar inconstantes com as finanças se não tiverem metas realistas, por isso precisam administrar minuciosamente o orçamento. #FinançasPessoais #Gêmeos #POUPEX</t>
  </si>
  <si>
    <t>♉️  Touro: controlados com as finanças pessoais, apesar de adorarem conforto e bons restaurantes. Devem diversificar os investimentos, podendo apostar em bens imóveis. #FinançasPessoais #Touro #POUPEX</t>
  </si>
  <si>
    <t>♈️ Áries: podem lidar com as finanças de forma impulsiva e pouco realista, mas devem criar metas financeiras e poupar mais para sonhos futuros. #FinançasPessoais #Áries #POUPEX</t>
  </si>
  <si>
    <t>De economia em economia, vamos construindo juntos o seu sonho. Se você precisar de mais dicas financeiras, acesse o nosso blog e vem poupar com a gente na Poupança POUPEX, a única que oferece dividendos e outros diferenciais exclusivos.
https://t.co/L7YHH54hsJ
#EducaçãoFinanceira</t>
  </si>
  <si>
    <t>Não é sobre quanto você ganha.
É sobre saber como administrar o que você tem. 
#finanças #educaçãofinanceira #organizaçãofinanceira https://t.co/fNMsh2YHGl</t>
  </si>
  <si>
    <t>"Invista em seu conhecimento financeiro! Aprenda sobre orçamento, poupança e investimentos. Quanto mais você sabe, melhor suas decisões. Educação financeira é o caminho para uma vida financeira sólida e próspera. 💰💡 #EducaçãoFinanceira #Investimentos #Orçamento" https://t.co/D9htJ7g7ST</t>
  </si>
  <si>
    <t>A psicologia financeira pode ajudar a compreender e controlar suas emoções relacionadas ao dinheiro, o que pode levar a decisões financeiras mais sábias e um estilo de vida financeiro mais saudável. #PsicologiaFinanceira #FinançasPessoais #EducaçãoFinanceira</t>
  </si>
  <si>
    <t>VEIO AÍ, NATH CRIANÇAS 💰 
O livro "O Plano Perfeito" foi criado por Nath Finanças e Ziraldo para ensinar, divertir e acolher os pequenos durante todo o processo de descoberta do universo das finanças. 
📚 Garanta já o seu na pré-venda: https://t.co/Wt1PLG8xuY https://t.co/EvP6QqEcAz</t>
  </si>
  <si>
    <t>Deveria ser matéria obrigatória desde o ensino fundamental!! #educacaofinanceira</t>
  </si>
  <si>
    <t>O vídeo de hoje esclarece meu trabalho e método de ensino:
https://t.co/V8mySuikJ4
#analisegrafica #analisetecnica #grafistas #mercadofinanceiro #bolsadevalores #trade #trader #educacaofinanceira #educaçãofinanceira</t>
  </si>
  <si>
    <t>💳 Endividamento entre jovens: O cartão de crédito é o vilão! Descubra por quê e como se prevenir no #portalchicosabetudo. 👉 Leia mais em nosso site!
#finanças #educaçãofinanceira #dívidas
https://t.co/01YAPc0TDB</t>
  </si>
  <si>
    <t>educaçãofinanceira decisõesinformadas</t>
  </si>
  <si>
    <t>bomdia boraviver financas educaçãofinanceira</t>
  </si>
  <si>
    <t>limparnome renegociar dívidas educaçãofinanceira</t>
  </si>
  <si>
    <t>educacaofinanceira</t>
  </si>
  <si>
    <t>bitcoin crypto blockchain educacaofinanceira criptomoedas cryptolife futurofinanceiro moedadigital liberdadefinanceira cryptonoide</t>
  </si>
  <si>
    <t>investimentos finanças investir financaspessoais bolsadevalores</t>
  </si>
  <si>
    <t>dianacionaldascomunicações rondon conexãofinanceira educaçãofinanceira planejamentofinanceiro</t>
  </si>
  <si>
    <t>investimentos finançaspessoais construindoriqueza descomplicandoosinvestimentos</t>
  </si>
  <si>
    <t>educaçãofinanceira finanças escola educação crianças escolapública</t>
  </si>
  <si>
    <t>envelhecimento educaçãofinanceira finanças dinheiro</t>
  </si>
  <si>
    <t>thetryum educacaofinanceira python web3 chegouahora</t>
  </si>
  <si>
    <t>thetryum lançamentos educaçaofinanceira</t>
  </si>
  <si>
    <t>kids familia investimento carro modainfantil amor financaspessoais</t>
  </si>
  <si>
    <t>arzz3 investimentos bolsadevalores acões ações acoes smallcaps b3 mercadofinanceiro educacaofinanceira dividendos fiis</t>
  </si>
  <si>
    <t>investimentos bolsadevalores acões ações acoes smallcaps b3 mercadofinanceiro educacaofinanceira dividendos fiis</t>
  </si>
  <si>
    <t>investimentos finançaspessoais riqueza</t>
  </si>
  <si>
    <t>finançaspessoais finanças cartaodecredito</t>
  </si>
  <si>
    <t>socialismo comunismo comunista filosofo marxismo brasil brasilia kpop lula rap financaspessoais investimentos</t>
  </si>
  <si>
    <t>raciocínio gerir financaspessoais naiolesilva naiolesilva nscomunicologa janeiro2023</t>
  </si>
  <si>
    <t>cursogratuito ead educaçãofinanceira mentalidadefinanceira sescdigital sescsp</t>
  </si>
  <si>
    <t>educaçãofinanceira</t>
  </si>
  <si>
    <t>dívidaeterna educaçãofinanceira mudançareal</t>
  </si>
  <si>
    <t>ficaadica educacaofinanceira</t>
  </si>
  <si>
    <t>planejamentofinanceiro investimento poupanca gestaodedinheiro economiapessoal educacaofinanceira liberdadefinanceira segurancafinanceira independenciafinanceira rendapassiva</t>
  </si>
  <si>
    <t>transição</t>
  </si>
  <si>
    <t>nathfinanças finanças educaçaofinanceira</t>
  </si>
  <si>
    <t>finançaspessoais investimentos</t>
  </si>
  <si>
    <t>educaçãofinanceira planejamento</t>
  </si>
  <si>
    <t>educaçãofinanceira investimentos</t>
  </si>
  <si>
    <t>educaçãofinanceira gestãodefinanças</t>
  </si>
  <si>
    <t>mentalidademilionária educaçãofinanceira pairicopaipobre</t>
  </si>
  <si>
    <t>educaçãofinanceira internet</t>
  </si>
  <si>
    <t>educaçãofinanceira reservadeemergencia</t>
  </si>
  <si>
    <t>clubefmblumenau videocast blumenau educacaofinanceira planejamentofinanceiro</t>
  </si>
  <si>
    <t>educaçãofinanceira finançaspessoais dinheiro</t>
  </si>
  <si>
    <t>educaçãofinanceira finançaspessoais dinheiro empreendedorismo investimentos</t>
  </si>
  <si>
    <t>dinheiro money financeiro contabilidade discovery explore explorer explorar finanças educaçãofinanceira sucesso investimento dívidas economizar poupar focoemfinanças livrandosededívidas</t>
  </si>
  <si>
    <t>educaçãofinanceira finanças semanaenef</t>
  </si>
  <si>
    <t>educaçãofinanceira controlefinanceiro</t>
  </si>
  <si>
    <t>educaçãofinanceira autoinvestimento</t>
  </si>
  <si>
    <t>educaçãofinanceira hábitosfinanceiros</t>
  </si>
  <si>
    <t>educaçãofinanceira investimentopessoal</t>
  </si>
  <si>
    <t>economia finanças educaçãofinanceira educaçãodoméstica osegredodosbons pesquemaspague</t>
  </si>
  <si>
    <t>investimentos dinheiro dividendosmensais bolsadevalores fundosimobiliarios fiis finanças ações acoes fundosimobiliarios fiis educaçãofinanceira</t>
  </si>
  <si>
    <t>educaçãofiscal finançaspúblicas finançaspessoais curso gratuito</t>
  </si>
  <si>
    <t>liberdadefinanceira educacaofinanceira educaçãofinanceira consultoriafinanceira financeira</t>
  </si>
  <si>
    <t>atrio atrioinvestimentos ações criptomoedas educaçãofinanceira finançaspessoais investimentos</t>
  </si>
  <si>
    <t>atrio atrioinvestimentos ações criptomoedas educaçãofinanceira finançaspessoais investimentoglobal</t>
  </si>
  <si>
    <t>atrio atrioinvestimentos grupoatrio atriogestão atriocorporate atrioempresas investimentos finançaspessoais mercadofinanceiro</t>
  </si>
  <si>
    <t>atrio atrioinvestimentos grupoatrio atriogestão atriocorporate atrioempresas investimentos finançaspessoais mercadofinanceiro previdênciaprivada</t>
  </si>
  <si>
    <t>investimentos bolsadevalores finanças ações rendafixa educaçãofinanceira trader mercadofinanceiro longoprazo dividendos atrio atrioinvestimentos xpinvestimentos</t>
  </si>
  <si>
    <t>poupança finançaspessoais educaçãofinanceira</t>
  </si>
  <si>
    <t>educacaofinanceira ocapitaldigital ocapital investimento dividas rendaextra investimentos</t>
  </si>
  <si>
    <t>tbt assessoriadeinvestimentos educacaofinanceira investimentos economia xpinvestimentos expert2018</t>
  </si>
  <si>
    <t>educaçãofinanceira desenvolvimento economia negócios govsp</t>
  </si>
  <si>
    <t>investimentos etfs finanças diversificação educaçãofinanceira planejamentofinanceiro</t>
  </si>
  <si>
    <t>repost educacaofinanceira financiamentoimobiliario imoveis dívidas brunodabrantes</t>
  </si>
  <si>
    <t>educaçaofinanceira</t>
  </si>
  <si>
    <t>capitalismo investimento investimentos liberdadefinanceira independenciafinanceira educacaofinanceira</t>
  </si>
  <si>
    <t>financas investimentos financaspessoais historia</t>
  </si>
  <si>
    <t>bitcoin educaçãofinanceira futurofinanceiro</t>
  </si>
  <si>
    <t>gestãofinanceira educaçãofinanceira estabilidadefinanceira</t>
  </si>
  <si>
    <t>educacaofinanceira lulaladrao luladrao inss caixa bb</t>
  </si>
  <si>
    <t>titanic bolsonaro lulaladraoseulugarenaprisao liberdade educacaofinanceira</t>
  </si>
  <si>
    <t>educacaofinanceira lulabloqueado luladrao lulamentiroso bndes</t>
  </si>
  <si>
    <t>penedo empreender educaçaofinanceira</t>
  </si>
  <si>
    <t>leve levetoken leveinvest sejaleve token</t>
  </si>
  <si>
    <t>meunomelimpo educaçãofinanceira nomesujo dívidas spc serasa</t>
  </si>
  <si>
    <t>meunomelimpo cpfsujo educaçãofinanceira planejamentofinanceiro nomesujo dívidas spc serasa</t>
  </si>
  <si>
    <t>meunomelimpo cpfsujo educaçãofinanceira planejamentofinanceiro nomesujo dívidas spc</t>
  </si>
  <si>
    <t>educaçãofinanceira dinheiro</t>
  </si>
  <si>
    <t>acquavero planosfinanceiros educaçãofinanceira inflação custodevida</t>
  </si>
  <si>
    <t>finançaspessoais controlefinanceiro organizaçãofinanceira orçamento</t>
  </si>
  <si>
    <t>saídadasdívidas dívidas finanças finançaspessoais controlefinanceiro liberdadefinanceira orçamento</t>
  </si>
  <si>
    <t>orçamento finanças finançaspessoais controlefinanceiro liberdadefinanceira</t>
  </si>
  <si>
    <t>controlefinanceiro finanças finançaspessoais orçamento liberdadefinanceira</t>
  </si>
  <si>
    <t>investimentos investidores finanças finançaspessoais liberdadefinanceira</t>
  </si>
  <si>
    <t>educaçãofinanceira finanças finançaspessoais liberdadefinanceira controlefinanceiro orçamento</t>
  </si>
  <si>
    <t>finançaspessoais finanças controlefinanceiro orçamento liberdadefinanceira dívidas</t>
  </si>
  <si>
    <t>liberdadefinanceira finanças finançaspessoais controlefinanceiro liberdadefinanceira</t>
  </si>
  <si>
    <t>orçamento finançaspessoais controlefinanceiro liberdadefinanceira</t>
  </si>
  <si>
    <t>controlefinanceiro orçamento finançaspessoais organizaçãofinanceira liberdaedefinanceira</t>
  </si>
  <si>
    <t>educaçãofinanceira controlefinanceiro finançaspessoais orçamento</t>
  </si>
  <si>
    <t>finançaspessoais</t>
  </si>
  <si>
    <t>controlefinanceiro finançaspessoais organizaçãofinanceira liberdadefinanceira orçamento</t>
  </si>
  <si>
    <t>investimentos investidores finançaspessoais liberdadefinanceira orçamento controlefinanceiro</t>
  </si>
  <si>
    <t>educaçãofinanceira finançaspessoais liberdadefinanceira orçamento controlefinanceiro</t>
  </si>
  <si>
    <t>finançaspessoais controlefinanceiro liberdadefinanceira orçamento</t>
  </si>
  <si>
    <t>liberdadefinanceira controlefinanceiro finançaspessoais</t>
  </si>
  <si>
    <t>saídadasdívidas orçamento finançaspessoais liberdadefinanceira</t>
  </si>
  <si>
    <t>liberdadefinanceira finanças finançaspessoais controlefinanceiro orçamento educaçãofinanceira</t>
  </si>
  <si>
    <t>saídadasdívidas dívidas finanças finançaspessoais controlefinanceiro liberdadefinanceira</t>
  </si>
  <si>
    <t>orçamento finançaspessoais finanças liberdadefinanceira controlefinanceiro</t>
  </si>
  <si>
    <t>controlefinanceiro finanças finançaspessoais orçamento liberdadefinanceira controlefinanceiro</t>
  </si>
  <si>
    <t>educaçãofinanceira finançaspessoais finanças orçamento controlefinanceiro liberdadefinanceira</t>
  </si>
  <si>
    <t>finançaspessoais orçamento controlefinanceiro liberdadefinanceira finanças</t>
  </si>
  <si>
    <t>educaçãofinanceira finançaspessoais planejamentofinanceiro</t>
  </si>
  <si>
    <t>educaçãofinanceira finanças finançaspessoais controlefinanceiro liberdadefinanceira orçamento</t>
  </si>
  <si>
    <t>finançaspessoais liberdadefinanceira finanças orçamento planejamentofinanceiro</t>
  </si>
  <si>
    <t>saídadasdívidas dívidas finanças finançaspessoais liberdadefinanceira</t>
  </si>
  <si>
    <t>orçamento finanças finançaspessoais controlefinanceiro liberdadefinanceira educaçãofinanceira</t>
  </si>
  <si>
    <t>controlefinanceiro orçamento finançaspessoais finanças liberdadefinanceira educaçãofinanceira</t>
  </si>
  <si>
    <t>investimentos investidores finanças finançaspessoais liberdadefinanceira controlefinanceiro orçamento</t>
  </si>
  <si>
    <t>liberdadefinanceira orçamento controlefinanceiro finançaspessoais independênciafinanceira</t>
  </si>
  <si>
    <t>saídadasdívidas dívidas finançaspessoais orçamento liberdadefinanceira controlefinanceiro</t>
  </si>
  <si>
    <t>orçamento controlefinanceiro finançaspessoais liberdadefinanceira</t>
  </si>
  <si>
    <t>economia orçamentofinanceiropessoal finançaspessoais</t>
  </si>
  <si>
    <t>investimento educacaofinanceira flames loveintheair</t>
  </si>
  <si>
    <t>finançaspessoais dinheiro</t>
  </si>
  <si>
    <t>educaçãofinanceira smartdad criarfilhosresponsáveis dinheirogeracional</t>
  </si>
  <si>
    <t>investimentos selic cdb cdi negocios brasil educacaofinanceira</t>
  </si>
  <si>
    <t>economia economiaparatodos educaçãofinanceira juros</t>
  </si>
  <si>
    <t>investimentos finançaspessoais</t>
  </si>
  <si>
    <t>personalfinance mercadofinanceiro finances educacaofinanceira independenciafinanceira planejamentofinanceiro refinance sucessofinanceiro financeiro financetips inteligenciafinanceira gestaofinanceira carfinance</t>
  </si>
  <si>
    <t>liberdadefinanceira rendavariavel rendapassiva educacaofinanceira investimento independênnciafinanceira economia criptomoedas motivação atualidades desenvolvimentopessoal desenvolvimentoprofissional empreendedorismo utilidadepública curiosidades reels viral</t>
  </si>
  <si>
    <t>cartãomesada educaçãofinanceira paisefilhos</t>
  </si>
  <si>
    <t>educaçãofinanceira inflação</t>
  </si>
  <si>
    <t>finançaspessoais economiadoméstica</t>
  </si>
  <si>
    <t>educaçãofinanceira liçõesaprendidas milionário</t>
  </si>
  <si>
    <t>finançaspessoais sucessofinanceiro binance bitcoin</t>
  </si>
  <si>
    <t>educaçãofinanceira investircomsabedoria</t>
  </si>
  <si>
    <t>política economia haddad lula financaspessoais educacaofinanceira caloteiros</t>
  </si>
  <si>
    <t>futuro aposentadoria educacaofinanceira fy fyp ceo investment education short youtube</t>
  </si>
  <si>
    <t>contabilidade mei direito direitodotrabalho direitotrabalhista direitotributario passofundo direitoempresarial passofundors financas finanças financaspessoais impostoderenda irpf brasil vidadecontador</t>
  </si>
  <si>
    <t>contabilidade mei direito direitodotrabalho direitotrabalhista direitotributario passofundo direitoempresarial compliancetrabalhista passofundors financaspessoais impostoderenda irpf brasil vidadecontador</t>
  </si>
  <si>
    <t>educaçãofinanceira investidor investidores</t>
  </si>
  <si>
    <t>rondonia educaçaofinanceira destaque jornalcp correiopopular</t>
  </si>
  <si>
    <t>economia metáfora educaçãofinanceira</t>
  </si>
  <si>
    <t>trabalhovsnegócio empreendedorismo gestãodenegócios finanças planejamentofinanceiro investimentos educaçãofinanceira negócios</t>
  </si>
  <si>
    <t>terapia educacaofinanceira</t>
  </si>
  <si>
    <t>riobravoinvestimentos mulheresnaliderança mercadofinanceiro liderançafeminina mulhernaliderança liderança ceo educaçãofinanceira</t>
  </si>
  <si>
    <t>riobravoinvetimentos mulheresnaliderança mercadofinanceiro liderançafeminina mulhernaliderança liderança ceo educaçãofinanceira</t>
  </si>
  <si>
    <t>investimentoesg educaçãofinanceira seuinvestimentotempoder</t>
  </si>
  <si>
    <t>riobravoinvestimentos mulheresnaliderança videocastriobravo mercadofinanceiro liderançafeminina mulhernaliderança liderança ceo educaçãofinanceira</t>
  </si>
  <si>
    <t>riobravoinvestimentos asinstituiçõesestãofuncionando funcionamentodasinstituições mercadofinanceiro liderança gustavofranco educaçãofinanceira bancocentral economia</t>
  </si>
  <si>
    <t>mulheresnaliderança mercadofinanceiro liderançafeminina mulhernaliderança liderança ceo educaçãofinanceira</t>
  </si>
  <si>
    <t>riobravoinvestimentos asinstituiçõesestãofuncionando mercadofinanceiro liderança gustavofranco educaçãofinanceira economia bancocentral</t>
  </si>
  <si>
    <t>riobravoinvestimentos fundodeinvestimento carteiradeinvestimentos investidor créditoprivado educaçãofinanceira seuinvestimentotempoder</t>
  </si>
  <si>
    <t>riobravoinvestimentos asinstituiçõesestãofuncionando mercadofinanceiro liderança mauríciozanoide educaçãofinanceira</t>
  </si>
  <si>
    <t>inss planejamentoprevidenciário aposentadoria previdência seguridade previdênciasocial educaçãofinanceira vidafinanceira contribuição aposentadoriainss</t>
  </si>
  <si>
    <t>finance liberdadefinanceira personalfinance mercadofinanceiro finances educacaofinanceira</t>
  </si>
  <si>
    <t>educaçãofinanceira controlegastos</t>
  </si>
  <si>
    <t>finanças educaçãofinanceira</t>
  </si>
  <si>
    <t>finanças dinheiro educaçãofinanceira</t>
  </si>
  <si>
    <t>bancodonordeste bnb educaçãofinanceira</t>
  </si>
  <si>
    <t>leituraobrigatória finançaspessoais</t>
  </si>
  <si>
    <t>acheinashopee maternidade cofreinfantil educacaofinanceira</t>
  </si>
  <si>
    <t>artigonovonoar finançaspessoais</t>
  </si>
  <si>
    <t>bolsadevalores ações b3 rendaextra rendavariavel dinheiro educaçãofinanceira</t>
  </si>
  <si>
    <t>investimentos poupardinheiro economizardinheiro educacaofinanceira comoinvestir ondeinvestir comoinvestirembitcoin guardardinheiro</t>
  </si>
  <si>
    <t>investimentos prosperidade educacaofinanceira rikei mentemilionaria</t>
  </si>
  <si>
    <t>investimentos prosperidade financaspessoais</t>
  </si>
  <si>
    <t>investimentos prosperidade educacaofinanceira rikei mentemilionaria amer3 bolsadevalores</t>
  </si>
  <si>
    <t>educacaofinanceira independenciafinanceira mentemilionaria</t>
  </si>
  <si>
    <t>wagnergeremia ondeinvestir comoinvestir investimento educaçãofinanceira</t>
  </si>
  <si>
    <t>wagnergeremia ondeinvestir comoinvestir investimento educaçãofinanceira investimentos</t>
  </si>
  <si>
    <t>wagnergeremia ondeinvestir comoinvestir investimento educaçãofinanceira investimentos investir</t>
  </si>
  <si>
    <t>acoes wagnergeremia ondeinvestir comoinvestir investimento educaçãofinanceira investimentos</t>
  </si>
  <si>
    <t>oibr3 wagnergeremia ondeinvestir comoinvestir investimento educaçãofinanceira investimentos</t>
  </si>
  <si>
    <t>acoes wagnergeremia ondeinvestir comoinvestir investimento educaçãofinanceira investimentos dividendos</t>
  </si>
  <si>
    <t>acoes wagnergeremia ondeinvestir comoinvestir educaçãofinanceira investimentos tesourodireto</t>
  </si>
  <si>
    <t>wagnergeremia ondeinvestir educaçãofinanceira investimentos investir aposentadoria aposentados</t>
  </si>
  <si>
    <t>wagnergeremia ondeinvestir comoinvestir investimento educaçãofinanceira investimentos investir aposentadoria aposentados rendafixa rendavariavel rendimento renda dividendos educaçãofinanceira debentures</t>
  </si>
  <si>
    <t>fundos wagnergeremia ondeinvestir educaçãofinanceira investimentos fundosimobiliarios</t>
  </si>
  <si>
    <t>wagnergeremia ondeinvestir comoinvestir investimento educaçãofinanceira investimentos investir aposentadoria</t>
  </si>
  <si>
    <t>wagnergeremia ondeinvestir educaçãofinanceira debentures bolsadevalores tesourodireto patrimonio liberdadefinanceira copom selic bacen inflation inflacao juros dinheiro</t>
  </si>
  <si>
    <t>valuation wagnergeremia ondeinvestir comoinvestir investimento rendavariavel rendimento renda dividendos educaçãofinanceira debentures bolsadevalores</t>
  </si>
  <si>
    <t>fundos wagnergeremia investimento educaçãofinanceira investimentos fundosimobiliarios</t>
  </si>
  <si>
    <t>wagnergeremia ondeinvestir comoinvestir investimento educaçãofinanceira investimentos mglu3 magazineluiza</t>
  </si>
  <si>
    <t>financaspessoais independenciafinanceira negocios ibovespa dividendos empreendedor financas rendapassiva dolar investidores money bovespa business marketing poupar acoes investimentosinteligentes</t>
  </si>
  <si>
    <t>planejamentofinanceiro financaspessoais finanças</t>
  </si>
  <si>
    <t>decisões metas2023 planejamentofinanceiro financaspessoais dicasfinanceiras</t>
  </si>
  <si>
    <t>liberdadefinanceira caminhos financaspessoais</t>
  </si>
  <si>
    <t>decisões atitude empreendedorismo financaspessoais dicasfinanceiras</t>
  </si>
  <si>
    <t>reservadeemergencia emergencia financeira educacaofinanceira educaçãofinanceira</t>
  </si>
  <si>
    <t>ganhardinheiroonline dinheiro finanças mercadofinanceiro financaspessoais</t>
  </si>
  <si>
    <t>investimentos dinheiro finançaspessoais investidorinteligente</t>
  </si>
  <si>
    <t>ivipcoin educaçãofinanceira crypto lua prévenda</t>
  </si>
  <si>
    <t>coinsbit ivipcoin ivipcointothemoon novalistagem criptomoedas educaçãofinanceira bullish</t>
  </si>
  <si>
    <t>portalig educaçãofinanceira</t>
  </si>
  <si>
    <t>serasa scoredecrédito inadimplência covid19 pagamentodedívidas finançaspessoais créditopessoal</t>
  </si>
  <si>
    <t>educaçãofinanceira finançaspessoais</t>
  </si>
  <si>
    <t>fdd caed fgc aprendervalor educaçãofinanceira bancocentral aprendervalor educacaofinanceira cidadaniafinanceira bancocentraldobrasil educacaobasica educacaofinanceira</t>
  </si>
  <si>
    <t>economia bancocentral educaçãofinanceira livebc</t>
  </si>
  <si>
    <t>educaçãofinanceira endividamentoirresponsável finançasresponsáveis</t>
  </si>
  <si>
    <t>juliomauricio juventudemilionaria educacaofinanceira mentalidadefinanceira financaspessoais sucesso</t>
  </si>
  <si>
    <t>juliomauricio juventudemilionaria mentalidadedesucesso inteligenciaemocional educacaofinanceira geracaodevalor</t>
  </si>
  <si>
    <t>blockchain cryptotimes educaçãofinanceira</t>
  </si>
  <si>
    <t>geraçãolíder educaçãofinanceira</t>
  </si>
  <si>
    <t>educacaofinanceira dinheiroonline marketingdigital</t>
  </si>
  <si>
    <t>sorrynotsorry finançaspessoais</t>
  </si>
  <si>
    <t>finançaspessoais investimento</t>
  </si>
  <si>
    <t>financaspessoais habitosfinanceiros</t>
  </si>
  <si>
    <t>financaspessoais riqueza investimentos</t>
  </si>
  <si>
    <t>rendaextra finanças investimento dinheiro dinheiroonline finançaspessoais economia</t>
  </si>
  <si>
    <t>gpt chatgpt finanças empreendedor finançaspessoais dinheiro</t>
  </si>
  <si>
    <t>mercadofinanceiro financaspessoais dinheiro investimento rendaextra finanças</t>
  </si>
  <si>
    <t>finanças finançaspessoais investimento mercadofinanceiro renda dinheiro</t>
  </si>
  <si>
    <t>finanças mercadofinanceiro mercadodeações financaspessoais dinheiro investimento gestaofinanceira</t>
  </si>
  <si>
    <t>criptomoedas bitcoin mercadofinanceiro cripto criptoativos finanças financas finançaspessoais</t>
  </si>
  <si>
    <t>finanças fundosimobiliarios financas dinheiro investimento gestãofinanceira bolsadevalores finançaspessoais</t>
  </si>
  <si>
    <t>mercadofinanceiro educaçãofinanceira</t>
  </si>
  <si>
    <t>minutob3 educacaofinanceira impostoderenda</t>
  </si>
  <si>
    <t>planejamentofinanceiro financaspessoais</t>
  </si>
  <si>
    <t>financaspessoais aprendaserrico aprendaserprospero</t>
  </si>
  <si>
    <t>financaspessoais</t>
  </si>
  <si>
    <t>repost patricialages golpe pix educacaofinanceira</t>
  </si>
  <si>
    <t>renda dividendos financaspessoais gastos dinheiro valor consultor</t>
  </si>
  <si>
    <t>milhão dinheiro fortuna multiplicação prosperidade finanças planejamento planner cultura educaçãofinanceira consultor escritorio</t>
  </si>
  <si>
    <t>manger socialmedia finance liberdadefinanceira personalfinance mercadofinanceiro finances educacaofinanceira independenciafinanceira refinance sucessofinanceiro financeiro financetips canadasbestemployers italy unitedstates</t>
  </si>
  <si>
    <t>rabaioliadvogados barradogarças diadoconsumidor renegociaçãodedívidas saúdefinanceira controlefinanceiro finançaspessoais</t>
  </si>
  <si>
    <t>organizze financaspessoais</t>
  </si>
  <si>
    <t>organizzados planejamentofinanceiro financaspessoais organizze</t>
  </si>
  <si>
    <t>educacaofinanceira dinheiro consciencia organizze</t>
  </si>
  <si>
    <t>organizze app financaspessoais</t>
  </si>
  <si>
    <t>organizze financaspessoais branding</t>
  </si>
  <si>
    <t>cvm investidor financaspessoais organizze educacaofinanceira</t>
  </si>
  <si>
    <t>organizze newsletter financaspessoais bemestarfinanceiro educacaofinanceira app web</t>
  </si>
  <si>
    <t>organizze gympass financaspessoais</t>
  </si>
  <si>
    <t>organizze financaspessoais carnaval</t>
  </si>
  <si>
    <t>organizze financaspessoais app web planejamentofinanceiro gestaofinanceira</t>
  </si>
  <si>
    <t>organizze financaspessoais app web</t>
  </si>
  <si>
    <t>educacaofinanceira aprendervalor bc organizze</t>
  </si>
  <si>
    <t>educacaofinanceira organizze</t>
  </si>
  <si>
    <t>educaçãofinanceira investimento dinheiro</t>
  </si>
  <si>
    <t>saúdemental finançaspessoais saúdefinanceira</t>
  </si>
  <si>
    <t>finançaspessoais educaçãofinanceira</t>
  </si>
  <si>
    <t>golpe golpesvirtuais financaspessoais financasfemininas autosuficiencia autosuficiente sarcasmo sarcasmofeminino</t>
  </si>
  <si>
    <t>sindromedaimpostora impostora eumeamo eumeamoeumecuido eumereço financaspessoais economiadomestica autoestimaelevada sarcasmofeminino sarcasmo</t>
  </si>
  <si>
    <t>finançaspessoais dívidas educaçãofinanceira investimento</t>
  </si>
  <si>
    <t>fiquenoazul educaçãofinanceira</t>
  </si>
  <si>
    <t>saudefinanceira economizar dinheiro poupar investir renda finançaspessoais finanças planejamentofinanceiro inteligenciafinanceira educacaofinanceira</t>
  </si>
  <si>
    <t>corretora investimento comoinvestir educaçãofinanceira bolsadevalores poupança inteligenciafinanceira investir dicasfinanceiras finançaspessoais riqueza</t>
  </si>
  <si>
    <t>finanças educaçãofinanceira investimento comoinvestir tesourodireto poupança renda economizar liberdadefinanceira</t>
  </si>
  <si>
    <t>investimentos trade trading daytrade investir bolsadevalores comoinvestir financas educaçãofinanceira finanças inteligenciafinanceira</t>
  </si>
  <si>
    <t>finanças comoinvestir educaçãofinanceira investimento poupança tesourodireto inteligenciafinanceira investir</t>
  </si>
  <si>
    <t>billgates conhecimento sucesso empreendedorismo riqueza mentalidadedesucesso educacaofinanceira</t>
  </si>
  <si>
    <t>educaçãofinanceira financas planejamentofinanceiro dinheiro finançaspessoais educacaofinanceira</t>
  </si>
  <si>
    <t>dicadeleitura educaçãofinanceira riqueza finanças finançaspessoais investimento prosperidade mentemilionaria</t>
  </si>
  <si>
    <t>pairicopaipobre dicadeleitura finançaspessoais educaçãofinanceira investimentos finanças economizar dinheiro planejamentofinanceiro liberdadefinanceira inteligenciafinanceira empreendedorismo ganhardinheiro sucessofinanceiro</t>
  </si>
  <si>
    <t>educacaofinanceira finançaspessoais planejamentofinanceiro dinheiro controlefinanceiro renda sucessofinanceiro</t>
  </si>
  <si>
    <t>rentabilidade investimentos dicasfinanceiras educaçãofinanceira financas comoinvestir</t>
  </si>
  <si>
    <t>finançaspessoais liberdadefinanceira dicasfinanceiras educaçãofinanceira</t>
  </si>
  <si>
    <t>educaçãofinanceira financaspessoais planejamentofinanceiro financas liberdadefinanceira habitos mentemilionaria independenciafinanceira</t>
  </si>
  <si>
    <t>finançaspessoais economizar dinheiro poupar renda finanças planejamentofinanceiro inteligenciafinanceira educacaofinanceira</t>
  </si>
  <si>
    <t>finanças economizar dinheiro finançaspessoais investir planejamentofinanceiro educacaofinanceira</t>
  </si>
  <si>
    <t>financas economizar dinheiro finançaspessoais planejamentofinanceiro educaçãofinanceira</t>
  </si>
  <si>
    <t>finanças economizar dinheiro finançaspessoais planejamentofinanceiro educacaofinanceira</t>
  </si>
  <si>
    <t>dividas finançaspessoais dívidas controlefinanceiro planejamentofinanceiro inteligenciafinanceira finanças empreendedorismo economizar poupar educaçãofinanceira</t>
  </si>
  <si>
    <t>financas planejamentofinanceiro independenciafinanceira financaspessoais investimento liberdadefinanceira educacaofinanceira</t>
  </si>
  <si>
    <t>dicas financas serie filmes mercadofinanceiro dinheiro financaspessoais educaçãofinanceira dicasfinanceiras williamhuntbrasil</t>
  </si>
  <si>
    <t>poupança poupar economizar finançaspessoais educaçãofinanceira investimentos finanças planejamentofinanceiro liberdadefinanceira</t>
  </si>
  <si>
    <t>investir bolsadevalores investimento estrategiadeinvestimentos comoinvestir financas educacaofinanceira inteligenciafinanceira</t>
  </si>
  <si>
    <t>economizar poupar finanças educacaofinanceira inteligenciafinanceira dinheironobolso planejamentofinanceiro economizardinheiro finançaspessoais</t>
  </si>
  <si>
    <t>finanças mercadofinanceiro bolsadevalores investimentos investir comoinvestir educaçãofinanceira financas ações</t>
  </si>
  <si>
    <t>mercadofinanceiro finanças investimentos investir comoinvestir educaçãofinanceira financas liberdadefinanceira</t>
  </si>
  <si>
    <t>inteligenciaartificial bdr etf bolsadevalores ações tecnologia ai investimentos comoinvestir financas educaçãofinanceira</t>
  </si>
  <si>
    <t>investimentos comoinvestir financas economizar dinheiro finançaspessoais planejamentofinanceiro educaçãofinanceira investir</t>
  </si>
  <si>
    <t>financas orçamentofamiliar planejamentofinanceiro economizar dinheiro finançaspessoais educaçãofinanceira</t>
  </si>
  <si>
    <t>investimentos comoinvestir financas economizar dinheiro finançaspessoais planejamentofinanceiro educaçãofinanceira</t>
  </si>
  <si>
    <t>zonadeconforto financas educacaofinanceira sucesso</t>
  </si>
  <si>
    <t>finançaspessoais educacaofinanceira finanças planejamentofinanceiro inteligenciafinanceira organizacaofinanceira</t>
  </si>
  <si>
    <t>investimento comoinvestir educaçãofinanceira poupança inteligenciafinanceira dividendos investir dicasfinanceiras finançaspessoais riqueza ações</t>
  </si>
  <si>
    <t>cartaodecredito finançaspessoais planejamentofinanceiro economizar dinheiro financas poupar educaçãofinanceira finanças vidafinanceira</t>
  </si>
  <si>
    <t>pascoa economizar poupar finançaspessoais planejamentofinanceiro financas educaçãofinanceira</t>
  </si>
  <si>
    <t>finançaspessoais educaçãofinanceira finanças economizar planejamentofinanceiro dividas controlefinanceiro organizacaofinanceira</t>
  </si>
  <si>
    <t>carnaval economizar poupar finançaspessoais planejamentofinanceiro financas educaçãofinanceira</t>
  </si>
  <si>
    <t>liquidez investir investimentos comoinvestir financas economizar poupar dinheiro educaçãofinanceira</t>
  </si>
  <si>
    <t>investimento agronegocio bolsadevalores finanças educaçãofinanceira comoinvestir renda investir liberdadefinanceira</t>
  </si>
  <si>
    <t>financas planejamentofinanceiro economizar dinheiro finançaspessoais educaçãofinanceira</t>
  </si>
  <si>
    <t>comoinvestir fundosimobiliarios fii fundoimobiliario investimentoimobiliario investimentos imoveis finançaspessoais educaçãofinanceira investir finanças ganhardinheiro</t>
  </si>
  <si>
    <t>finançaspessoais finanças inteligenciafinanceira educacaofinanceira economizar dinheiro poupar comoinvestir</t>
  </si>
  <si>
    <t>cashback economizar dinheiro educaçãofinanceira inteligenciafinanceira dicasfinanceiras finançaspessoais dinheironobolso</t>
  </si>
  <si>
    <t>poupar economizar investir educaçãofinanceira finançaspessoais liberdadefinanceira</t>
  </si>
  <si>
    <t>prosperidade gratidão dicadeleitura livros leitura ficarrico riqueza ganhardinheiro williamhuntbrasil dinheiro financaspessoais educaçãofinanceira planejamentofinanceiro</t>
  </si>
  <si>
    <t>investir investimentos comoinvestir educação financas economizar poupar dinheiro educaçãofinanceira tesourodireto</t>
  </si>
  <si>
    <t>economizar dinheiro poupar finanças planejamentofinanceiro finançaspessoais educaçãofinanceira</t>
  </si>
  <si>
    <t>investir dolar mercadofinanceiro bolsadevalores investimentos comoinvestir financas finanças educaçãofinanceira</t>
  </si>
  <si>
    <t>planejamentofinanceiro investimento comoinvestir financas economizar poupar investir finançaspessoais educaçãofinanceira</t>
  </si>
  <si>
    <t>planejamentofinanceiro educacaofinanceira finanças economizar poupar dinheiro finançaspessoais</t>
  </si>
  <si>
    <t>habitos mudança mudançadevida dicasfinanceiras williamhuntbrasil investimentos dinheiro finançaspessoais educacaofinanceira inteligenciafinanceira</t>
  </si>
  <si>
    <t>investimentos cdb comoinvestir finançaspessoais educaçãofinanceira poupar economizar renda finanças poupança</t>
  </si>
  <si>
    <t>economizar investir finançaspessoais investimentos finanças planejamentofinanceiro inteligenciafinanceira sucessofinanceiro organizacaofinanceira educacaofinanceira</t>
  </si>
  <si>
    <t>investimentos chatgpt investir comoinvestir finanças educacaofinanceira inteligenciafinanceira</t>
  </si>
  <si>
    <t>educacaofinanceira financas investimentos mentemilionaria dicadeleitura livros</t>
  </si>
  <si>
    <t>prosperidadefinanceira finanças sucessofinanceiro dinheiro educacaofinanceira</t>
  </si>
  <si>
    <t>independenciafinanceira financaspessoais investimento liberdadefinanceira educacaofinanceira financas</t>
  </si>
  <si>
    <t>finançaspessoais planejamentofinanceiro organizacaofinanceira inteligenciafinanceira educacaofinanceira gestaofinanceira orçamentofamiliar sucessofinanceiro vidadecasal</t>
  </si>
  <si>
    <t>finançaspessoais financas liberdadefinanceira educacaofinanceira independenciafinanceira</t>
  </si>
  <si>
    <t>realdigital moedadigitalbrasileira moedadigital financaspessoais financas educacaofinanceira mercadofinanceiro</t>
  </si>
  <si>
    <t>finançaspessoais planejamentofinanceiro financas controlefinanceiro educacaofinanceira inteligenciafinanceira</t>
  </si>
  <si>
    <t>ouro riqueza dinheiro investimentos comoinvestir financas bolsadevalores educaçãofinanceira</t>
  </si>
  <si>
    <t>comoinvestir investimento financas planejamentofinanceiro ganhardinheiro independenciafinanceira liberdadefinanceira educaçãofinanceira</t>
  </si>
  <si>
    <t>dividendos proventos lucro investir bolsadevalores investimentos comoinvestir finanças ações educaçãofinanceira</t>
  </si>
  <si>
    <t>dicasfinanceiras investidor peterlynch riqueza mentemilionaria finanças inteligenciafinanceira educacaofinanceira comoinvestir</t>
  </si>
  <si>
    <t>planejamentofinanceiro finançaspessoais controlefinanceiro finanças educaçãofinanceira</t>
  </si>
  <si>
    <t>investimentos educacaofinanceira independenciafinanceira finançaspessoais finanças liberdadefinanceira riqueza mentemilionaria renda dicasfinanceiras ganhardinheiro economizar</t>
  </si>
  <si>
    <t>aprendaainvestir investir finanças dicasdeinvestimentos investimentos comoinvestir educaçãofinanceira economizar poupar financeiro dicasfinanceiras poupança</t>
  </si>
  <si>
    <t>dicasfinanceiras finanças economizar educaçãofinanceira finançaspessoais educacaofinanceira</t>
  </si>
  <si>
    <t>tesourodireto poupança rendafixa investimento economizar financas educacaofinanceira liberdadefinanceira independenciafinanceira</t>
  </si>
  <si>
    <t>finanças educaçãofinanceira investimento comoinvestir tesourodireto poupança renda investir liberdadefinanceira</t>
  </si>
  <si>
    <t>planejamentofinanceiro educacaofinanceira financaspessoais controlefinanceiro finanças sucessofinanceiro</t>
  </si>
  <si>
    <t>finançaspessoais educaçãofinanceira pairicopaipobre corridadosratos mentemilionaria finanças</t>
  </si>
  <si>
    <t>investir etf dividendos bolsadevalores investimento financas educacaofinanceira inteligenciafinanceira rendavariavel viverderenda</t>
  </si>
  <si>
    <t>investir bolsadevalores investimento estrategiadeinvestimentos comoinvestir financas educacaofinanceira inteligenciafinanceira investirmelhor</t>
  </si>
  <si>
    <t>dividendkings dividendos ações rendavariavel investimentos bolsadevalores investir ganhardinheiro finanças educacaofinanceira viverderenda mentemilionaria</t>
  </si>
  <si>
    <t>dividendos proventos lucro bonificação investir bolsadevalores investimentos comoinvestir finanças ações educaçãofinanceira</t>
  </si>
  <si>
    <t>reflexao sucesso motivação finanças financas riqueza finançaspessoais mentalidadedesucesso empreendedorismo</t>
  </si>
  <si>
    <t>meta objetivo coachingfinanceiro investimentos dinheiro finanças planejamentofinanceiro finançaspessoais educaçãofinanceira williamhuntbrasil</t>
  </si>
  <si>
    <t>investimentos dinheiro finançaspessoais educacaofinanceira poupar investir economizar comoinvestir finanças inteligenciafinanceira ganhardinheiro sucessofinanceiro</t>
  </si>
  <si>
    <t>economizar planejamentofinanceiro finançaspessoais dicasfinanceiras educaçãofinanceira financas reservadeemergencia</t>
  </si>
  <si>
    <t>hábitos habitos comportamento rotina mudança dicadeleitura livros dicas leitura fiqueemcasa ficaemcasa quarentena williamhuntbrasil financaspessoais</t>
  </si>
  <si>
    <t>mentemilionaria dicadeleitura educaçãofinanceira finanças inteligenciafinanceira sucessofinanceiro prosperidadefinanceira</t>
  </si>
  <si>
    <t>educaçãofinanceira planejamentofinanceiro economizar poupar financas dicasfinanceiras controlefinanceiro finançaspessoais inteligenciafinanceira poupança organizacaofinanceira</t>
  </si>
  <si>
    <t>protecaofinanceira protecaofamiliar financaspessoais protecaorendimento</t>
  </si>
  <si>
    <t>financaspessoais protecaorendimento segurodevida</t>
  </si>
  <si>
    <t>planeamentofinanceiro protecaofinanceira protecaofamiliar financaspessoais protecaorendimento segurodevida</t>
  </si>
  <si>
    <t>planeamentofinanceiro protecaofinanceira protecaofamiliar financaspessoais reforma poupançareforma</t>
  </si>
  <si>
    <t>seguroderenda doençaincapacitante proteçãofinanceira finançaspessoais</t>
  </si>
  <si>
    <t>planeamentofinanceiro protecaofinanceira protecaofamiliar financaspessoais protecaorendimento segurodevida empresas segurovidaempresa</t>
  </si>
  <si>
    <t>segurodevida créditohabitação financaspessoais</t>
  </si>
  <si>
    <t>segurodevida protecaofamiliar financaspessoais</t>
  </si>
  <si>
    <t>mbl lula educação educaçãofinanceira educaçãosexual</t>
  </si>
  <si>
    <t>daytrade mercadofinanceiro bolsadevalores educacaofinanceira daytradeaovivo miniindice dolar b3 bovespa trader</t>
  </si>
  <si>
    <t>educaçãofinanceira crescimento</t>
  </si>
  <si>
    <t>finance fintech banking educaçãofinanceira financeiro refinance sucessofinanceiro financegoals</t>
  </si>
  <si>
    <t>educação jovens finanças educaçãofinanceira dicadeleiturafgv blogimpacto</t>
  </si>
  <si>
    <t>financeiras estresse ansiedade depressão educacaofinanceira coluna blogimpacto dicadeleiturafgv</t>
  </si>
  <si>
    <t>btc eth binance mercadofinanceiro cryptocurrency crypto daytrader educacaofinanceira gratidão</t>
  </si>
  <si>
    <t>educacaofinanceira cdc</t>
  </si>
  <si>
    <t>financaspessoais b3 investimentos bolsadevalores</t>
  </si>
  <si>
    <t>finanças educacaofinanceira dinheirointeligente</t>
  </si>
  <si>
    <t>bitcoin descentralização investimento finanças blockchain educaçãofinanceira comocomprarcriptomoeda comocomprarbitcoin blockchain trade moedasvirtuais economia finançaspessoais</t>
  </si>
  <si>
    <t>geopolitica investimentos educaçãofinanceira mercadofinanceiro criptomoedas economia investimento globalização</t>
  </si>
  <si>
    <t>criptomoeda criptomoedas finanças educaçãofinanceira revoluçãofinanceira comocomprarcriptomoeda comocomprarbitcoin blockchain trading trade daytrade moedasvirtuais altcoins economia finançaspessoais</t>
  </si>
  <si>
    <t>investidor investimentos criptomoedas ações b3 bolsadevalores bitcoin educaçãofinanceira sp500 crisefinanceira guerramundial</t>
  </si>
  <si>
    <t>investidor investimentos investimentos criptomoedas ações b3 bolsadevalores bitcoin educaçãofinanceira sp500 crisefinanceira guerramundial</t>
  </si>
  <si>
    <t>investidor baleias investimentos criptomoedas ações b3 bolsadevalores bitcoin educaçãofinanceira sp500 crisefinanceira guerramundial</t>
  </si>
  <si>
    <t>investimentos criptomoedas ações b3 bolsadevalores bitcoin educaçãofinanceira sp500 crisefinanceira guerramundial</t>
  </si>
  <si>
    <t>economias vidafinanceira objetivosfinanceiros dívidas finançaspessoais</t>
  </si>
  <si>
    <t>educacaofinanceira investimentos dinheiro</t>
  </si>
  <si>
    <t>educaçãofinanceira finanças</t>
  </si>
  <si>
    <t>bizucash natividade cashback educacaofinanceira</t>
  </si>
  <si>
    <t>golpefinanceiro educaçãofinanceira</t>
  </si>
  <si>
    <t>análisedesempenhofinanceiro finançaspessoais planejamentofinanceiro dinheiro investimentos educacaofinanceira sabadou like</t>
  </si>
  <si>
    <t>renegociaçãodedívidas mutirãodenegociação superendividamento regularizaçãofinanceira dívidasematraso consumoconsciente ministériodajustiça senacon educaçãofinanceira</t>
  </si>
  <si>
    <t>fenacon impostoderenda negociacao divida economia dinheiro educacaofinanceira</t>
  </si>
  <si>
    <t>educaçãofinanceira investalk</t>
  </si>
  <si>
    <t>educaçãofinanceira criptomoeda</t>
  </si>
  <si>
    <t>varginha</t>
  </si>
  <si>
    <t>negociação dívidas finançaspessoais saúde</t>
  </si>
  <si>
    <t>prefeiturademesquita mesquitarj baixadafluminense educaçãofinanceira empreendedorismo sebrae</t>
  </si>
  <si>
    <t>financaspessoais seguroauto maternidade pouparmais empreender motivação brasil</t>
  </si>
  <si>
    <t>finançaspessoais investimentos educaçãofinanceira dicasfinanceiras planejamentofinanceiro dinheiro economia mercadofinanceiro criptomoedas negócios</t>
  </si>
  <si>
    <t>bitcoin sharkattacks economyrecession bitcoinnews bitcoinportugal bitcoinbrasil bitcoinangola dinheiro financaspessoais descentralizaclub</t>
  </si>
  <si>
    <t>negociaçãodedívidas inadimplência educaçãofinanceira</t>
  </si>
  <si>
    <t>economizeagua sustentabilidade dicas finanças dinheiro planejamentofinanceiro economia emergência poupança finançaspessoais orçamento controlefinanceiro</t>
  </si>
  <si>
    <t>finanças planejamentofinanceiro sucesso metasfinanceiras liberdadefinanceira planejamentofinanceiro finançaspessoais orçamento controlefinanceiro</t>
  </si>
  <si>
    <t>finanças finançaspessoais dinheiro rendafixa investimentos</t>
  </si>
  <si>
    <t>amazon educacaofinanceira planejamentofinanceiro orcamentofinanceiro investimentos</t>
  </si>
  <si>
    <t>educação educaçãofinanceira finanças finançasbiblicas financaspessoais investimentos investimentosinteligentes</t>
  </si>
  <si>
    <t>financaspessoais investimentos imperiosolarbrasil energiasolar energiarenovavel susten</t>
  </si>
  <si>
    <t>financaspessoais investimentos imperiosolarbrasil energiasolar energiarenovavel sustentabilidade economiaen</t>
  </si>
  <si>
    <t>financaspessoais energialimpa imperiosolarbrasil</t>
  </si>
  <si>
    <t>financaspessoais investimentos imperiosolarbrasil energiasolar energiar</t>
  </si>
  <si>
    <t>financaspessoais investimentos imperiosolarbrasil energiasolar</t>
  </si>
  <si>
    <t>investimentosinteligentes diversificaçãofinanceira educaçãofinanceira investircomsabedoria consultoriafinanceira luxcapial</t>
  </si>
  <si>
    <t>dicasdefinanças dicasfinanceiras finanças finançaspessoais independênciafinanceira investir economizar poupar dinheiro</t>
  </si>
  <si>
    <t>dicasfinanceiras finanças finançasparanômadesdigitais nômadedigital finançaspessoais</t>
  </si>
  <si>
    <t>dicasfinanceiras economizardinheiro finançaspessoais poupardinheiro economizardinheiro dinheiro</t>
  </si>
  <si>
    <t>finançaspessoais planejamentofinanceiro investimentos rendafixa orçamentodoméstico updateyourfinances updateconsultoria</t>
  </si>
  <si>
    <t>diadoconsumidor educaçãofinanceira angelamaracarvalhoeducadorafinanceira</t>
  </si>
  <si>
    <t>diadaagua economize educaçãofinanceira educacaoambiental angelamaracarvalhoeducadorafinanceira</t>
  </si>
  <si>
    <t>seunutricionista angelamaracarvalhoeducadorafinanceira palestra emagreser educacaofinanceira</t>
  </si>
  <si>
    <t>apoio educacaofinanceira nasescolas</t>
  </si>
  <si>
    <t>educaçãofinanceira gestãodepessoas rh finançaspessoais endividamento saúdefinanceira benefícioscorporativos bemestarfinanceiro investimentoempessoas estratégiacorporativa culturaorganizacional empresasconscie</t>
  </si>
  <si>
    <t>dinheiro investimentos finançaspessoais frasesinspiradoras</t>
  </si>
  <si>
    <t>gerenciamentofinanceiro concursospúblicos planejamentofinanceiro finançaspessoais estudos disciplina</t>
  </si>
  <si>
    <t>capital rentabilidade educaçãofinanceira dinheiro</t>
  </si>
  <si>
    <t>educaçãofinanceira renda dívidas</t>
  </si>
  <si>
    <t>perfil conhecimento educaçãofinanceira</t>
  </si>
  <si>
    <t>dicas educaçãofinanceira finançaspessoais shortvideo</t>
  </si>
  <si>
    <t>casamento separacao divorcio financas financaspessoais</t>
  </si>
  <si>
    <t>educacaofinanceira finanças economia dinheiro empreendedorismo investimento planejamento bomdia</t>
  </si>
  <si>
    <t>educacaofinanceira finanças economia dinheiro empreendedorismo investimento planejamento bomdia business financa</t>
  </si>
  <si>
    <t>financeiro educacaofinanceira dinheiro carreira produtividadesustentavel</t>
  </si>
  <si>
    <t>squeezey visão educaçãofinanceira cash juízo viralvideos fypシ music art artist trap song iam free typebeat drilling</t>
  </si>
  <si>
    <t>cryptohero criptomoedas investimentos educaçãofinanceira</t>
  </si>
  <si>
    <t>payroll investimentos educaçãofinanceira finanças</t>
  </si>
  <si>
    <t>live criptomoedas educaçãofinanceira</t>
  </si>
  <si>
    <t>notíciabomba inflação educaçãofinanceira investimentos</t>
  </si>
  <si>
    <t>criptomoedas btc ia educaçãofinanceira</t>
  </si>
  <si>
    <t>educaçãofinanceira investimentos ações</t>
  </si>
  <si>
    <t>pix cartaodecredito educacaofinanceira</t>
  </si>
  <si>
    <t>educacaofinanceira criancas dinheiro mesada planejamentofinanceiro empatia poupanca</t>
  </si>
  <si>
    <t>finanças educaçãofinanceira savings economia financaspessoais financasdescomplicadas</t>
  </si>
  <si>
    <t>economia finanças educacaofinanceira xpinvestimentos</t>
  </si>
  <si>
    <t>seguros poderdosseguros podcast financas financaspessoais portugal ajudafinanceira banca</t>
  </si>
  <si>
    <t>seguros seguroautomovel segurovida segurocasa financas financaspessoais poderdosseguros</t>
  </si>
  <si>
    <t>poupança financas poupar dinheiro financaspessoais dicaspessoais seguros poderdosseguros</t>
  </si>
  <si>
    <t>poupanca viajar financas financaspessoais viagens dicas viajar seguros</t>
  </si>
  <si>
    <t>poupar dinheiro viagem viajar seguros financaspessoais</t>
  </si>
  <si>
    <t>pobre iphone educacaofinanceira dinheiro</t>
  </si>
  <si>
    <t>alertagolpe fraudefinanceira proteçãofinanceira segurançaonline educaçãofinanceira prevençãodegolpes nomesujo nomelimpo dividas serasa cuidadocomgolpes fiqueatento</t>
  </si>
  <si>
    <t>dividas carnaval fatura educacaofinanceira</t>
  </si>
  <si>
    <t>dinheirovivopt irs finançaspessoais</t>
  </si>
  <si>
    <t>ficadica sonartrade carteirasrecomendadas carteirasmensais investimento investing finançaspessoais finanças ibov gain mercadofinanceiro</t>
  </si>
  <si>
    <t>sonartrade investimentos finançaspessoais educaçãofinanceira diversificação mercadofinanceiro</t>
  </si>
  <si>
    <t>sonartrade investimentos finançaspessoais educaçãofinanceira diversificação mercadofinanceiro sucessofinanceiro trading trader swingtrade fintwit</t>
  </si>
  <si>
    <t>sonartrade investimentos finançaspessoais educaçãofinanceira diversificação mercadofinanceiro sucessofinanceiro trading trader swingtrade</t>
  </si>
  <si>
    <t>focus relatóriofocus bc pib selic câmbio dólar comoinvestir betoveiga finançaspessoais</t>
  </si>
  <si>
    <t>networkingfinanceiro investimentos finançaspessoais conexõesvaliosas mentoriafinanceira gruposdeinvestimento rededecontatos decisõesinformadas compartilharconhecimento pesquisasfinanceiras</t>
  </si>
  <si>
    <t>ações fundosimobiliários investimentos educaçãofinanceira economia econovisão</t>
  </si>
  <si>
    <t>investimentos finançaspessoais dicasdeinvestimentos sucessofinanceiro rendapassiva independênciafinanceira</t>
  </si>
  <si>
    <t>forexrisks investimentoconsciente educaçãofinanceira forex</t>
  </si>
  <si>
    <t>b3 bolsadevalores investimentos educaçãofinanceira dicasdeinvestimento pregão mercadofinanceiro daytrade trader análisetécnica</t>
  </si>
  <si>
    <t>empreendedorismo impostoderenda irpf mei finançaspessoais declaraçãodeimposto impostos contabilidadedigital impostosparamei meiempreendedor</t>
  </si>
  <si>
    <t>viverderenda bitcoin investimento educaçãofinanceira</t>
  </si>
  <si>
    <t>educacaofinanceira investimentos coe</t>
  </si>
  <si>
    <t>ir2023 educacaofinanceira</t>
  </si>
  <si>
    <t>parcimonia educacaofinanceira criança</t>
  </si>
  <si>
    <t>educacaofinanceira crianca consumo</t>
  </si>
  <si>
    <t>educacaofinanceira crianças educacao</t>
  </si>
  <si>
    <t>educaçãofinanceira teste dinheiro</t>
  </si>
  <si>
    <t>educaçãofinanceira livro financeiro investimentos editoraviseu</t>
  </si>
  <si>
    <t>educaçãofinanceira mercadofinanceiro dólarreal investimentos economiadoseua bolsadevalores consumo dadoseconômicos</t>
  </si>
  <si>
    <t>educaçãofinanceira investimentos gestãodeportfólio diversificação</t>
  </si>
  <si>
    <t>educaçãofinanceira mercadofinanceiro</t>
  </si>
  <si>
    <t>educaçãofinanceira indicadoreseconômicos economia</t>
  </si>
  <si>
    <t>curso educaçãofinanceira</t>
  </si>
  <si>
    <t>finançaspessoais noarnacbn</t>
  </si>
  <si>
    <t>educação educaçãofinanceira matemática progresso brasil</t>
  </si>
  <si>
    <t>recursoshumanos economia educacaofinanceira dividas</t>
  </si>
  <si>
    <t>educaçãofinanceira educaçãofinanceiraparacri</t>
  </si>
  <si>
    <t>comprarimóvel alugarimóvel finançaspessoais independênciafinanceira investimentoimobiliário</t>
  </si>
  <si>
    <t>profitdanelogica trading análisetécnica mercadofinanceiro corretoradevalores educaçãofinanceira investimentos bolsadevalores trader comlucro</t>
  </si>
  <si>
    <t>peterlynch investimentos mercadofinanceiro fidelitymagellan estratégiasdeinvestimento longoprazo filantropia educaçãofinanceira livrosdeinvestimentos comlucro</t>
  </si>
  <si>
    <t>commodities investimentos warrenbuffett mercadofinanceiro paciêncianoinvestimento vantagenscompetitivas ciclosdealta comlucro educaçãofinanceira</t>
  </si>
  <si>
    <t>volatilidadeimplícita blackscholes opções precificação trader mercadofinanceiro comlucro investimentos educaçãofinanceira trading petrobras itaú</t>
  </si>
  <si>
    <t>volatilidade trading garch opções risco correlação comlucro mercadofinanceiro educaçãofinanceira investimentos</t>
  </si>
  <si>
    <t>viésdeconfirmação trading investimento educaçãofinanceira mercadofinanceiro gerenciamentoderisco psicologiadenegociação</t>
  </si>
  <si>
    <t>inneck comlucro trader trading investimentos fintwit educaçãofinanceira análisegráfica mercados bolsadevalores</t>
  </si>
  <si>
    <t>janeladebaixa candlestick análisetécnica trading mercadofinanceiro comlucro educaçãofinanceira trader investimentos petrobras itaú</t>
  </si>
  <si>
    <t>gapdebaixadetasuki análisetécnica trading mercadofinanceiro comlucro educaçãofinanceira padrãocandlestick itaú fintwit trader investimentos</t>
  </si>
  <si>
    <t>liberdadefinanceira rendavariavel rendapassiva educacaofinanceira investimento independênnciafinanceira economia criptomoedas motivação atualidades desenvolvimentopessoal</t>
  </si>
  <si>
    <t>armadilha pairicopaipobre medo desejo educaçãofinanceira</t>
  </si>
  <si>
    <t>investimento ebook finançaspessoais</t>
  </si>
  <si>
    <t>financas financaspessoais</t>
  </si>
  <si>
    <t>sabedoria sabedoriafinanceira sabedoriabíblica educacaofinanceira educaçãofinanceira investimentos economia imw imwtucuruvi silmarcoelho eduardomrfilho</t>
  </si>
  <si>
    <t>segurança prosperidade provisão educaçãofinanceira educacaofinanceira aprendizadocontínuo eduardomrfilho</t>
  </si>
  <si>
    <t>siga emfrente start início recomeço fim atitude fé educação educaçaofinanceira aprendizadocontínuo sabedoria sabedoriafinanceira eduardomrfilho</t>
  </si>
  <si>
    <t>aposentadoria investimentos corretora ágora educaçãofinanceira negócios conteúdos cursos eduardomrfilho</t>
  </si>
  <si>
    <t>pix débito matéria finanças educaçãofinanceira comportamento eduardomrfilho</t>
  </si>
  <si>
    <t>semanaenef2023 enef2023 universitário educaçãofinanceira investimentos futuro</t>
  </si>
  <si>
    <t>sabedoriafinanceira sabedoria educação educaçãofinanceira prosperidade investimentos fé aprendizadocontínuo eduardomrfilho</t>
  </si>
  <si>
    <t>educacional educaçãofinanceira investimentos ágora academy corretora b3 eduardomrfilho</t>
  </si>
  <si>
    <t>educaçãofinanceira investimentos b3 bolsa mercado termo ágora academy eduardomrfilho</t>
  </si>
  <si>
    <t>globalmoneyweek gmw ágoraacademy educaçãofinanceira investimentos money ágora eduardomrfilho</t>
  </si>
  <si>
    <t>aluguel compra imovel plano vida educação educaçãofinanceira investimentos financas sabedoria financeira ágora academy educacional eduardomrfilho</t>
  </si>
  <si>
    <t>fundos fundosimobiliários investimentos mercado finanças educação educaçãofinanceira eduardomrfilho ágora academy educacional</t>
  </si>
  <si>
    <t>sabedoria sabedoriafinanceira sabedoriafinanceirabíblica educação educaçãofinanceira imw imw3 eduardomrfilho silmarcoelho</t>
  </si>
  <si>
    <t>sabedoria fé educação educacaofinanceira educaçãofinanceira sabedoriafinanceira</t>
  </si>
  <si>
    <t>marketingdigital rendaextra tralhadecasa dolarblue trafegopago mercadofinanceiro trabalhoonline educação educaçãofinanceira sucesso empreendorismo</t>
  </si>
  <si>
    <t>investimentos bancosafra safrainvest azioninvest educaçãofinanceira assessoria360</t>
  </si>
  <si>
    <t>finanças educacaofinanceira financeiro financial planejamentofinanceiro</t>
  </si>
  <si>
    <t>educaçãofinanceira ativosepassivos</t>
  </si>
  <si>
    <t>economia educacaofinanceira</t>
  </si>
  <si>
    <t>empreendedorismo vendas educacaofinanceira</t>
  </si>
  <si>
    <t>creditoconsolidado consolidacaodecreditos juntarcreditos juncaodecreditos eloanpt solucoesfinanceiras financaspessoais</t>
  </si>
  <si>
    <t>investirparaumfuturomelhor rendapassiva educaçãofinanceira investirfuturo</t>
  </si>
  <si>
    <t>grupoayonel lucroverde b3 investimento reciclagem empredimento meioambiente empresas oportunidadesfinanceira investir financeiro btc dinheiro rendapassiva mercadofinanceiro finançaspessoais investirfuturo</t>
  </si>
  <si>
    <t>empregosustentável mercadofinanceiro rendapassiva educaçãofinanceira investirfuturo</t>
  </si>
  <si>
    <t>tiktok investimentofinanceiro vendadeimoveis vendadireta caixaeconomicafederal bancodigital finançaspessoais financia</t>
  </si>
  <si>
    <t>investimentos poupança finançaspessoais dinheiro finanças patrimônio brasil eua ativos valor</t>
  </si>
  <si>
    <t>investments gold bitcoin patrimônio brasil eua finançaspessoais</t>
  </si>
  <si>
    <t>finanças finançaspessoais dinheiro investimentos</t>
  </si>
  <si>
    <t>educaçãofinanceira atitude governo gastospessoais finanças estabilidadefinanceira independênciafinanceira</t>
  </si>
  <si>
    <t>finanças educaçãofinanceira paraopovo</t>
  </si>
  <si>
    <t>finanças educaçãofinanceira sucesso finançaspessoais</t>
  </si>
  <si>
    <t>explore explorer explorar educaçãofinanceira finançaspessoais sonhos sucesso felicidade</t>
  </si>
  <si>
    <t>dinheiro explore explorer explorar finanças educaçãofinanceira finançaspessoais investimento planejamentofinanceiro svb risco</t>
  </si>
  <si>
    <t>dinheiro financeiro explore explorer explorar finanças educaçãofinanceira finançaspessoais investimento planejamentofinanceiro inflação ipca juros</t>
  </si>
  <si>
    <t>educaçãofinanceira finançaspessoais investimentos planejamentofinanceiro vidafinanceira</t>
  </si>
  <si>
    <t>discovery explore explorer explorar finanças educaçãofinanceira finançaspessoais investimento planejamentofinanceiro</t>
  </si>
  <si>
    <t>finanças educaçãofinanceira finançaspessoais investidores metas objetivos</t>
  </si>
  <si>
    <t>finanças educaçãofinanceira finançaspessoais planejamentofinanceiro vidafinanceira liberdadefinanceira</t>
  </si>
  <si>
    <t>dinheiro money financeiro contabilidade discovery explore explorer explorar finanças marketingdigital educaçãofinanceira sucesso minter superbowl nfl finançaspessoais</t>
  </si>
  <si>
    <t>dinheiro money financeiro contabilidade discovery explore explorer explorar finanças marketingdigital educaçãofinanceira sucesso minter</t>
  </si>
  <si>
    <t>finanças educaçãofinanceira finançaspessoais investimentos planejamentofinanceiro vidafinanceira dinheiro liberdadefinanceira</t>
  </si>
  <si>
    <t>dinheiro money financeiro discovery explore explorer explorar finanças educaçãofinanceira sucesso</t>
  </si>
  <si>
    <t>educaçãofinanceira emprestimoparanegativados</t>
  </si>
  <si>
    <t>negativado empréstimocomrestrição educaçãofinanceira</t>
  </si>
  <si>
    <t>empréstimoonline educacaofinanceira</t>
  </si>
  <si>
    <t>liberdadefinanceira emprestimoseguro emprestimoonline dicasfinanceiras educaçãofinanceira</t>
  </si>
  <si>
    <t>educacaofinanceira creditoparanegativados</t>
  </si>
  <si>
    <t>dicasfinanceiras emprestimosseguros educaçãofinanceira créditopessoal dicasfinanceiras</t>
  </si>
  <si>
    <t>emprestimoseguro educacaofinanceira</t>
  </si>
  <si>
    <t>dicasfinanceiras educacaofinanceira</t>
  </si>
  <si>
    <t>mesada educação finançaspessoais ricardoamorim</t>
  </si>
  <si>
    <t>aconteceens educaçãofinanceira</t>
  </si>
  <si>
    <t>investimentos financaspessoais aposentadoria</t>
  </si>
  <si>
    <t>unicred somoscoop escolhadiferente escolhaunicred educaçãofinanceira</t>
  </si>
  <si>
    <t>unicred educaçãofinanceira planilhadegastos gestãofinanceira</t>
  </si>
  <si>
    <t>finance financetip financaspessoais startup capital fundraising</t>
  </si>
  <si>
    <t>finanças educação educaçãofinanceira</t>
  </si>
  <si>
    <t>irflash impostoderenda declaracaodeprejuizo investimentos financas educaçãofinanceira</t>
  </si>
  <si>
    <t>liberdadefinanceira educaçãofinanceira</t>
  </si>
  <si>
    <t>ossegredosdamentemilionária tharveker autoajuda finançaspessoais dinheiro riqueza</t>
  </si>
  <si>
    <t>ohomemmaisricodababilonia classico financaspessoais riqueza aprendizagem autodesenvolvimento</t>
  </si>
  <si>
    <t>lulaladrão educaçãofinanceira desenrola</t>
  </si>
  <si>
    <t>odia educaçãofinanceira</t>
  </si>
  <si>
    <t>modelodevida educacaofinanceira finançaspessoais finançasparaleigos investimentosfinanceiros</t>
  </si>
  <si>
    <t>bemestar estilodevida financaspessoais mindfulness relaxed</t>
  </si>
  <si>
    <t>consultoria assessoria noticas financas financaspessoais contas2023 passagensaereas gastos</t>
  </si>
  <si>
    <t>investimentos bolsadevalores mercadofinanceiro análisetécnica ações rendavariável finançaspessoais economia trading</t>
  </si>
  <si>
    <t>palestra educaçãofinanceira credimata sicoob juizdefora flyvagner</t>
  </si>
  <si>
    <t>economia investimentos educacaofinanceira ouro bitcoin finanças bancos svb</t>
  </si>
  <si>
    <t>economia investimentos educacaofinanceira ouro bitcoin finanças</t>
  </si>
  <si>
    <t>inflação economia educacaofinanceira finanças</t>
  </si>
  <si>
    <t>educaçãofinanceira vidafinanceira finançaspessoais decisõesfinanceiras investimentos crescimentofinanceiro estratégiasfinanceiras planejamentofinanceiro educaçãofinanceiraparavida</t>
  </si>
  <si>
    <t>economizardinheiro financaspessoais planejamentofinanceiro dinheiroextra poupança vidaeconomica metasfinanceiras gastarcomsabedoria investimentos educaçãofinanceira</t>
  </si>
  <si>
    <t>independenciafinanceira financaspessoais investimentos rendapassiva gerenciamentodedividas educacaofinanceira aposentadoria consultoriafinanceira liberdadefinanceira planejamentofinanceiro</t>
  </si>
  <si>
    <t>empreendedorismo negócios startup sucesso liderança motivação finanças investimento dinheiro educaçãofinanceira</t>
  </si>
  <si>
    <t>mariapaulaorganizer economiadomestica menosémais mininalismo educacaofinanceira</t>
  </si>
  <si>
    <t>empreendasalvador cursodeeducacaofinanceira educacaofinanceira meis</t>
  </si>
  <si>
    <t>educaçãofinanceira consumoconsciente soumaisvr sempreaoseulado osseussonhossãoosnossos colégiovitóriarégia cabula salvador</t>
  </si>
  <si>
    <t>livro termostatofinanceiro finanças dinheiro educacaofinanceira investimentos theholderinvest</t>
  </si>
  <si>
    <t>educaçãofinanceira negócios empreendedor imvestimestos</t>
  </si>
  <si>
    <t>educaçãofinanceira investirparacrescer rendapassiva planejamentofinanceiro investimentosseguros</t>
  </si>
  <si>
    <t>afiliadosfinanceiros mercadofinanceiro ganhardinheiroonline sucessofinanceiro oportunidadesfinanceiras educaçãofinanceira</t>
  </si>
  <si>
    <t>finanças investimentos política economia economiabrasileira mercadofinanceiro taxaselic podcast brasil bolsadevalores moneytimes infomoney valoreconômico bolsab3 educaçãofinanceira</t>
  </si>
  <si>
    <t>amazon educaçãofinanceira economia finanças dinheiro oferta livros</t>
  </si>
  <si>
    <t>jonasribeiro</t>
  </si>
  <si>
    <t>rumoaotopo rumoaosucesso mundocorporativo finançaspessoais</t>
  </si>
  <si>
    <t>rumoaosucesso rumoaotopo financaspessoais sucessoprofissional</t>
  </si>
  <si>
    <t>consórcio planejamentofinanceiro thistorres educaçãofinanceira</t>
  </si>
  <si>
    <t>mercadodeinvestimento educaçãofinanceira</t>
  </si>
  <si>
    <t>boracomoadm finançaspessoais</t>
  </si>
  <si>
    <t>finançaspessoais orçamentodoméstico planejadorfinanceiro</t>
  </si>
  <si>
    <t>educaçãofinanceira escolhas</t>
  </si>
  <si>
    <t>conarh2023 creditasbenefícios educaçãofinanceira gestãodepessoas desenvolvimentoprofissional bemestarfinanceiro eventos inovação empresas sucesso portaldogarrett</t>
  </si>
  <si>
    <t>educaçãofinanceira mulheres portalviva cotia palestra</t>
  </si>
  <si>
    <t>mercadoimobiliário investircomsabedoria educaçãofinanceira</t>
  </si>
  <si>
    <t>investimentonaespanha setorimobiliário educaçãofinanceira</t>
  </si>
  <si>
    <t>educaçãofinanceira investimentoimobiliário</t>
  </si>
  <si>
    <t>finanças educaçãofinanceira investimentos</t>
  </si>
  <si>
    <t>educacaofinanceira reeducacaofinanceira sabedoriafinanceira financas rentabilidade ebitda</t>
  </si>
  <si>
    <t>educacaofinanceira reeducacaofinanceira sabedoriafinanceira ebitda</t>
  </si>
  <si>
    <t>educacaofinanceira reeducacaofinanceira sabedoriafinanceira financas rentabilidade mercadofinanceiro investimentos ebitda dinheiro bolsadevalores b3</t>
  </si>
  <si>
    <t>educaçãofinanceira sabedoriafinanceira finanças rentabilidade investimentos ebitda dinheiro bolsadevalores consultoriafinanceira dividendos juroscompostos aposentadoria independencia</t>
  </si>
  <si>
    <t>imoveis imóveis construção investimentos educaçaofinanceira empreendedorismo</t>
  </si>
  <si>
    <t>empreendedorismo empreender aprendizado educaçaofinanceira</t>
  </si>
  <si>
    <t>finscool finanças financaspessoais educacaofinanceira bemestar startup edtechs</t>
  </si>
  <si>
    <t>tradução interpretação tradutor intérprete diadotradutor palestra abrates consultoriafinanceira diadointérprete finanças finançaspessoais mêsdotradutor mêsdointérprete</t>
  </si>
  <si>
    <t>entretenimento finançaspessoais geral</t>
  </si>
  <si>
    <t>investidoriniciante mentemilionaria liberdadefinanceira prérico meta economia finançaspessoais</t>
  </si>
  <si>
    <t>prérico minutodariqueza boracontrolar investir finançaspessoais sucessofinanceiro rico</t>
  </si>
  <si>
    <t>prerico prérico minutodariqueza investir investimentos educaçãofinanceira investimentocerto</t>
  </si>
  <si>
    <t>investidoriniciante mentemilionaria liberdadefinanceira prérico minutodariqueza viverderenda skininthegame empreender midset cartaodecredito finançaspessoais</t>
  </si>
  <si>
    <t>prérico minutodariqueza investir investimentos educaçãofinanceira investimentocerto</t>
  </si>
  <si>
    <t>energiasolar sustentabilidade educacaofinanceira empreendedorismo</t>
  </si>
  <si>
    <t>dinheiro investimentos educaçãofinanceira shorts</t>
  </si>
  <si>
    <t>rendaextra educaçãofinanceira paçoca</t>
  </si>
  <si>
    <t>ações bolsadevalores mercadofinanceiro investidoriniciante educacaofinanceira dinheiro rendavariavel rendapassiva dinheiroonline</t>
  </si>
  <si>
    <t>academiabolsa literaciafinanceira saudefinanceira vidafinanceira educaçãofinanceira culturafinanceira investimento</t>
  </si>
  <si>
    <t>formação finanças motivacao sucesso educaçãofinanceira liderança desenvolvimentopessoal marketingdigital mentesmilionárias investimentos liberdadefinanceira</t>
  </si>
  <si>
    <t>bitcoin educaçãofinanceira</t>
  </si>
  <si>
    <t>ralbank educaçãofinanceira investimentos planejamentofinanceiro</t>
  </si>
  <si>
    <t>vendacasada financiamentoimobiliário banco bancocentral caixa sistemabancário finanças educaçãofinanceira gestãofinanceira</t>
  </si>
  <si>
    <t>ivipcoin binance p2b houbi mexcgobal kucoin cryptotwitter gems elon_musk educacaofinanceira</t>
  </si>
  <si>
    <t>freelancer finançaspessoais mei</t>
  </si>
  <si>
    <t>finanças financaspessoais financas100tabu</t>
  </si>
  <si>
    <t>beieducação educaçãofinanceira economia cidade cidadania arteindígena geduc2023</t>
  </si>
  <si>
    <t>beieducação educaçãofinanceira juros aplicaçãofinanceira</t>
  </si>
  <si>
    <t>beieducacao educacao educacaofinanceira cidadania economia beinabett</t>
  </si>
  <si>
    <t>beieducação educacaofinanceira premiobeideeducacaofinanceira aprendizagemsignificativa premiacao</t>
  </si>
  <si>
    <t>beieducacao educacaofinanceira inadimplencia</t>
  </si>
  <si>
    <t>beieducacao seducmt educacaofinanceira aprendizagemsignificativa matematica</t>
  </si>
  <si>
    <t>beieducacao geduc2023 beinogeduc educaçãofinanceira educação</t>
  </si>
  <si>
    <t>beieducacao educacao educacaofinanceira desperdício</t>
  </si>
  <si>
    <t>beieducacao educacaofinanceira cidadania beinabett</t>
  </si>
  <si>
    <t>podcast educaçãofinanceira custodeoportunidade</t>
  </si>
  <si>
    <t>podcast educaçãofinanceira</t>
  </si>
  <si>
    <t>investimentos bolsadevalores mercadodeacoes educaçãofinanceira investirparaganhar finançaspessoais rendavariavel</t>
  </si>
  <si>
    <t>terapia autoconhecimento educacaofinanceira negocios empreender finanças investir motivacao marketingdigital israelmelo</t>
  </si>
  <si>
    <t>alexfinanças finanças campinas consultoriafinanceira educaçãofinanceira gestãofinanceira</t>
  </si>
  <si>
    <t>alexfinanças consultoriafinanceira finanças campinas educaçãofinanceira gestãofinanceira</t>
  </si>
  <si>
    <t>educacaofinanceira jfinance bottelegram liberdade</t>
  </si>
  <si>
    <t>bzcwm360 financaspessoais investidorprudente</t>
  </si>
  <si>
    <t>organizaçãofinanceira empreendedorismo educaçãofinanceira</t>
  </si>
  <si>
    <t>apostas educaçãofinanceira futebolbrasileiro</t>
  </si>
  <si>
    <t>mercadofinanceiro personalfinance financetips educacaofinanceira independenciafinanceira planejamentofinanceiro educaçãofinanceira</t>
  </si>
  <si>
    <t>educaçãofinanceira sicoob semanaenef semanaenef2023</t>
  </si>
  <si>
    <t>negociaçãodedívidas bancos educaçãofinanceira emprestimocomgaratia homeequity creditoimobiliario cgi imoveis credito</t>
  </si>
  <si>
    <t>investir investimentos finanças finançaspessoais</t>
  </si>
  <si>
    <t>sigaif inteligênciafinanceira desenrola educaçãofinanceira</t>
  </si>
  <si>
    <t>finanças finançaspessoais</t>
  </si>
  <si>
    <t>bancodemocambique educacaofinanceira poupanca dicadepoupanca</t>
  </si>
  <si>
    <t>bancodemocambique bancocentral educacaofinanceira poupanca dicadepoupanca</t>
  </si>
  <si>
    <t>dividas financaspessoais divida</t>
  </si>
  <si>
    <t>poupe pobrepoupe finanças economia economize investimentos educaçãofinanceira poupar poupança</t>
  </si>
  <si>
    <t>pobrepoupe finanças educaçãofinanceira finançaspessoais planejamentofinanceiro</t>
  </si>
  <si>
    <t>educacaofinanceira selic poupanca</t>
  </si>
  <si>
    <t>utilidadepublica educaçãofinanceira tributação</t>
  </si>
  <si>
    <t>jurosabusivo vidafinanceira educacaofinanceira limpanome foryou</t>
  </si>
  <si>
    <t>consultadedívidas organizaçãofinanceira educaçãofinanceira planejamentofinanceiro vidafinanceira nomelimpo dívidas</t>
  </si>
  <si>
    <t>dívidacaducou liberdedefinanceira educacaofinanceira sucesso dinheiro</t>
  </si>
  <si>
    <t>dívidas finanças educaçãofinanceira renegociação limpanome</t>
  </si>
  <si>
    <t>inadimplência vidafinanceira educaçãofinanceira planejamentofinanceiro nomelimpo dívidas</t>
  </si>
  <si>
    <t>endividado dívidas direitosdoconsumidor educacaofinanceira</t>
  </si>
  <si>
    <t>transparência relaçãodeconsumo educaçãofinanceira</t>
  </si>
  <si>
    <t>açõescoletivas direitosdoconsumidor educaçãofinanceira justiçasocial</t>
  </si>
  <si>
    <t>empresasdecobrança negociaçãodedívidas educacaofinanceira direitosdoconsumidor</t>
  </si>
  <si>
    <t>dinheiro vidafinanceira educaçãofinanceira economia fy</t>
  </si>
  <si>
    <t>limpanome dívidas educaçãofinanceira</t>
  </si>
  <si>
    <t>protecaodoconsumidor dicasfinanceiras limpanome nomelimpo dívidas consultadedívidas educaçãofinanceira</t>
  </si>
  <si>
    <t>administração financaspessoais mitologia</t>
  </si>
  <si>
    <t>finançaspessoais vidafinanceirasaudável dicasfinanceiras</t>
  </si>
  <si>
    <t>educacaofinanceira liberdadefinanceira mentepositiva mentalidadederiqueza</t>
  </si>
  <si>
    <t>fundoimobiliario investimentosinteligentes educaçãofinanceira</t>
  </si>
  <si>
    <t>investimentosinteligentes tesourodireto rendafixa educaçãofinanceira</t>
  </si>
  <si>
    <t>educaçãofinanceira investimentosinteligentes tesourodireto</t>
  </si>
  <si>
    <t>educaçãofinanceira mst creditoprivado mercadodecapitais esg</t>
  </si>
  <si>
    <t>rendafixa educaçãofinanceira tesourodireto</t>
  </si>
  <si>
    <t>educaçãofinanceira investimentosinteligentes</t>
  </si>
  <si>
    <t>rendavariável bolsadevalores educaçãofinanceira investimentosinteligentes</t>
  </si>
  <si>
    <t>educaçãofinanceira investimentosinteligentes rendavariável bolsadevalores</t>
  </si>
  <si>
    <t>rendavariável investimentosinteligentes educaçãofinanceira bolsadevalores</t>
  </si>
  <si>
    <t>investimentointernacional educaçãofinanceira investimentosinteligentes</t>
  </si>
  <si>
    <t>tesourodireto educaçãofinanceira</t>
  </si>
  <si>
    <t>creditofacil bancobari future educaçãofinanceira</t>
  </si>
  <si>
    <t>artigo opinião educaçãofinanceira</t>
  </si>
  <si>
    <t>meiahora educaçãofinanceira</t>
  </si>
  <si>
    <t>educacaofinanceira daytrade assessoriadeinvestimentos</t>
  </si>
  <si>
    <t>análisefinanceiraparanegócios planejamentosucessório gestãodefluxodecaixa gerenciamentodedinheiro estratégiasdeinvestimentoempresarial empreendedorismo finanças educaçãofinanceira</t>
  </si>
  <si>
    <t>estudosdemercado questionario inquerito painel dinheiroextra rendimentoextra orçamentopessoal orcamento orcamentodomestico opinião finançaspessoais finanças</t>
  </si>
  <si>
    <t>estudosdemercado questionario inquerito painel dinheiroextra rendimentoextra orçamentopessoal orcamento opinião finançaspessoais finanças</t>
  </si>
  <si>
    <t>estudosdemercado questionario inquerito painel dinheiroonline dinheiroextra rendimentoextra orçamentopessoal orcamento orcamentodomestico opinião finançaspessoais</t>
  </si>
  <si>
    <t>estudosdemercado questionario inquerito painel dinheiroextra opinião rendimentoextra orçamentopessoal orcamentodomestico finançaspessoais finanças</t>
  </si>
  <si>
    <t>estudosdemercado inquerito painel dinheiroextra rendimentoextra orçamentopessoal orcamento orcamentodomestico opinião finançaspessoais</t>
  </si>
  <si>
    <t>estudosdemercado questionario inquerito painel dinheiroextra rendimentoextra orcamento orcamentodomestico opinião finançaspessoais finanças</t>
  </si>
  <si>
    <t>estudosdemercado questionario inquerito painel dinheiroextra rendimentoextra orçamentopessoal orcamento opinião finançaspessoais</t>
  </si>
  <si>
    <t>estudosdemercado questionario inquerito painel dinheiroextra orçamentopessoal orcamento opinião finançaspessoais finanças</t>
  </si>
  <si>
    <t>estudosdemercado questionario inquerito painel dinheiroextra orçamentopessoal orcamento finançaspessoais finanças</t>
  </si>
  <si>
    <t>estudosdemercado questionario inquerito painel dinheiroextra rendimentoextra orçamentopessoal orcamento orcamentodomestico opinião finançaspessoais</t>
  </si>
  <si>
    <t>estudosdemercado questionario inquerito painel dinheiroonline dinheiroextra orçamentopessoal orcamento orcamentodomestico opinião finançaspessoais finanças</t>
  </si>
  <si>
    <t>estudosdemercado questionario inquerito painel dinheiroextra orçamentopessoal orcamento orcamentodomestico opinião finançaspessoais finanças</t>
  </si>
  <si>
    <t>estudosdemercado questionario inquerito painel dinheiroextra rendimentoextra orcamento opinião finançaspessoais finanças</t>
  </si>
  <si>
    <t>questionario inquerito painel dinheiroonline dinheiroextra rendimentoextra orcamento opinião finançaspessoais finanças</t>
  </si>
  <si>
    <t>questionario inquerito painel dinheiroonline dinheiroextra rendimentoextra orçamentopessoal orcamento orcamentodomestico opinião finançaspessoais finanças</t>
  </si>
  <si>
    <t>estudosdemercado questionario inquerito painel dinheiroonline dinheiroextra rendimentoextra orçamentopessoal orcamento opinião finançaspessoais finanças</t>
  </si>
  <si>
    <t>estudosdemercado questionario inquerito painel dinheiroonline dinheiroextra rendimentoextra orçamentopessoal orcamento orcamentodomestico opinião finançaspessoais finanças</t>
  </si>
  <si>
    <t>questionario inquerito painel dinheiroextra rendimentoextra orçamentopessoal orcamento opinião finançaspessoais finanças</t>
  </si>
  <si>
    <t>educaçãofinanceira ferramentas fintechs cliente conhecimento multimidiaecommerce</t>
  </si>
  <si>
    <t>investir dinheiro investidor tesouro fundos finanças financaspessoais</t>
  </si>
  <si>
    <t>quiz fii investimento credito planejamento dinheiro educacaofinanceira</t>
  </si>
  <si>
    <t>livro finançaspessoais</t>
  </si>
  <si>
    <t>impostoderenda declaracaodeir contabilidade finançaspessoais</t>
  </si>
  <si>
    <t>bora ultimodia financaspessoais financas endividamento endividados fatecferrazdevasconcelos fatecferraz</t>
  </si>
  <si>
    <t>finançaspessoais finanças viverderenda louisebarsi investimentos bolsadevalores dividendos</t>
  </si>
  <si>
    <t>podcast investimentos educaçãofinanceira</t>
  </si>
  <si>
    <t>investimentos investimentofinanceiro finançaspessoais mercadofinanceiro</t>
  </si>
  <si>
    <t>tributação offshore finançaspessoais investimentofinanceiro contabilidade</t>
  </si>
  <si>
    <t>finançaspessoais comportamento investimentos investimentofinanceiro cfp vida investimentos planejamentofinanceiro</t>
  </si>
  <si>
    <t>direito direitodefamilia finançaspessoais advocacia planejamentosucessorio familia família filhos</t>
  </si>
  <si>
    <t>editorab18 conhecimentoquepreserva educaçãofinanceira artigos planejamentopatrimonial herança wealthplanning</t>
  </si>
  <si>
    <t>finançaspessoais tributação recursoshumanos eua mudançaparaeua estadosunidos</t>
  </si>
  <si>
    <t>finançaspessoais tributação tributario tributos wealthplanning trust planejamentosucessorio direitotributario offshore</t>
  </si>
  <si>
    <t>advogada planejamentosucessorio direito finançaspessoais</t>
  </si>
  <si>
    <t>tributação finançaspessoais investimentofinanceiro advocacia direitotributario offshore trusts wealthplanning</t>
  </si>
  <si>
    <t>imoveis direitocivil finançaspessoais advocacia direitoimobiliario</t>
  </si>
  <si>
    <t>finançaspessoais investimentos investimentofinanceiro mercadofinanceiro familyoffice gestaofinanceira</t>
  </si>
  <si>
    <t>investimentofinanceiro empresas offshore tributação mercadofinanceiro contabilidade finançaspessoais direito direitotributario</t>
  </si>
  <si>
    <t>ebook direito advocacia planejamentosucessorio finançaspessoais</t>
  </si>
  <si>
    <t>tributação finançaspessoais contabilidade planejamentosucessorio</t>
  </si>
  <si>
    <t>fundos investimento finançaspessoais mercadofinanceiro investimentofinanceiro contabilidade tributação direitotributário fundosdeinvestimento bancos</t>
  </si>
  <si>
    <t>finançaspessoais recursoshumanos direito advocacia divorcio casamento</t>
  </si>
  <si>
    <t>holding finançaspessoais empresas planejamentopatrimonial contabilidade</t>
  </si>
  <si>
    <t>tributação investimentofinanceiro empresas offshore exterior direitotributario finançaspessoais contabilidade contadores</t>
  </si>
  <si>
    <t>editorab18 conhecimentoquepreserva educaçãofinanceira artigos direitosucessório regimedebens holdingpatrimonial</t>
  </si>
  <si>
    <t>editorab18 educacaofinanceira artigos planejamentopatrimonial offshore ir tributacaooffshore</t>
  </si>
  <si>
    <t>fundos finançaspessoais mercadofinanceiro investimentofinanceiro contabilidade tributação direitotributário</t>
  </si>
  <si>
    <t>seguros tributação investimentofinanceiro finançaspessoais offshore insurance lifeinsurance</t>
  </si>
  <si>
    <t>nathfinancas planoperfeito educacaofinanceira</t>
  </si>
  <si>
    <t>criptomoedavsinvestimentotradicional decisãodeinvestimento educaçãofinanceira</t>
  </si>
  <si>
    <t>educaçãofinanceira contabilidadeinteligente</t>
  </si>
  <si>
    <t>impostoscripto criptolegalidade finançaspessoais</t>
  </si>
  <si>
    <t>poupançavselic investimentos finançaspessoais</t>
  </si>
  <si>
    <t>tesourodireto investimentoseguro finançaspessoais</t>
  </si>
  <si>
    <t>falenciasvb riscosbancários educaçãofinanceira</t>
  </si>
  <si>
    <t>impostoderenda finançaspessoais declaraçãodeimpostos</t>
  </si>
  <si>
    <t>planejamentofinanceiropessoal finançaspessoais controlefinanceiro</t>
  </si>
  <si>
    <t>açãoordinária investimentoemações educaçãofinanceira</t>
  </si>
  <si>
    <t>lidandocomdívida estratégiasdepagamento finançaspessoais</t>
  </si>
  <si>
    <t>açõesdealtorisco investimentoarriscado educaçãofinanceira</t>
  </si>
  <si>
    <t>comoinvestir educaçãofinanceira finançasbásicas investimento livros</t>
  </si>
  <si>
    <t>leão impostoderenda irpf2023 prazofinal finançaspessoais contabilidade atendimento online jf</t>
  </si>
  <si>
    <t>ibovespa bovespa dinheiro fundodi ações economia finanças consultoria assessoriafinanceira finançaspessoais educaçãofinanceira fdi poupança fundoimobiliario fundomultimercado</t>
  </si>
  <si>
    <t>ibovespa bovespa dinheiro rendafixa rendavariavel finanças consultoria assessoria ações economia finançaspessoais educaçãofinanceira fdi poupança fundoimobiliario</t>
  </si>
  <si>
    <t>ibovespa bovespa ações sp500 dinheiro economia rendafixa rendavariavel finanças consultoria assessoriafinanceira finançaspessoais educaçãofinanceira</t>
  </si>
  <si>
    <t>ibovespa bovespa dinheiro fundodi aplicações rendafixa rendavariavel finanças consultoria assessoriafinanceira educaçãofinanceira economia poupança fundoimobiliario imóvel</t>
  </si>
  <si>
    <t>ibovespa bovespa dinheiro fundodi aplicações rendafixa rendavariavel economia educaçãofinanceira poupança fundoimobiliario consultoriafinanceira fundomultimercado finançaspessoais</t>
  </si>
  <si>
    <t>ibovespa bovespa dinheiro fundodi aplicações rendafixa rendavariavel finanças consultoria assessoriafinanceira finançaspessoais educaçãofinanceira</t>
  </si>
  <si>
    <t>ibovespa bovespa dinheiro fundodi aplicaçõesfinanceiras ações economia finanças educaçãofinanceira rendafixa rendavariavel finanças consultoria assessoriafinanceira finançaspessoais</t>
  </si>
  <si>
    <t>ibovespa bovespa ações sp500 dinheiro economia rendafixa rendavariavel finanças consultoria assessoriafinanceira investimento educaçãofinanceira</t>
  </si>
  <si>
    <t>ibovespa bovespa ações sp500 dinheiro economia rendafixa rendavariavel finanças consultoria assessoriafinanceira finanças educaçãofinanceira</t>
  </si>
  <si>
    <t>ibovespa bovespa dinheiro rendafixa rendavariavel finanças economia fundoimobiliario fundomultimercado finançaspessoais dolar bitcoin imóvel poupança</t>
  </si>
  <si>
    <t>ibovespa bovespa dinheiro rendafixa rendavariavel fundomultimercado fundoimobiliario dolar poupança economia bitcoin imóvel educaçãofinanceira finançaspessoais</t>
  </si>
  <si>
    <t>ibovespa bovespa dinheiro ações rendafixa consultoria assessoriafinanceira rendavariavel finanças educaçãofinanceira fundoimobiliario imóvel fundodi fundomultimercado economia dolar bitcoin</t>
  </si>
  <si>
    <t>ibovespa bovespa dinheiro fundodi aplicaçõesfinanceiras rendafixa rendavariavel finanças consultoria assessoriafinanceira finanças educaçãofinanceira economia finançaspessoais fundoimobiliario imóvel fundomultimercado poupança</t>
  </si>
  <si>
    <t>ibovespa bovespa fundoimobiliario fundomultimercado finançaspessoais dolar bitcoin imóvel rendafixa rendavariavel finanças</t>
  </si>
  <si>
    <t>ibovespa bovespa dinheiro rendafixa rendavariavel finanças consultoria assessoriafinanceira educaçãofinanceira fundoimobiliario fundomultimercado finançaspessoais educação bitcoin dolar</t>
  </si>
  <si>
    <t>ibovespa bovespa dinheiro fundoimobiliario fundomultimercado finançaspessoais dolar imovel</t>
  </si>
  <si>
    <t>ibovespa bovespa dinheiro rendafixa rendavariavel finanças consultoria assessoriafinanceira educaçãofinanceira</t>
  </si>
  <si>
    <t>ibovespa bovespa dinheiro rendafixa rendavariavel finanças consultoria assessoriafinanceira economia educaçãofinanceira</t>
  </si>
  <si>
    <t>ibovespa bovespa dinheiro ações rendafixa consultoria assessoriafinanceira rendavariavel finanças educaçãofinanceira economia</t>
  </si>
  <si>
    <t>ibovespa bovespa dinheiro finanças economia dolar bitcoin imóvel educaçãofinanceira finançaspessoais consultoria</t>
  </si>
  <si>
    <t>ibovespa bovespa ações sp500 dinheiro economia rendafixa rendavariavel finanças consultoria assessoriafinanceira educaçãofinanceira fundoimobiliario fundomultimercado finançaspessoais dolar bitcoin poupança</t>
  </si>
  <si>
    <t>ibovespa bovespa dinheiro rendafixa rendavariavel finanças economia poupança fundoimobiliario fundomultimercado finançaspessoais dolar bitcoin imóvel poupança</t>
  </si>
  <si>
    <t>ibovespa bovespa dinheiro fundoimobiliario fundomultimercado finançaspessoais dolar bitcoin imóvel educaçãofinanceira economia poupança</t>
  </si>
  <si>
    <t>ibovespa bovespa dinheiro ações rendafixa rendavariavel finanças consultoria assessoriafinanceira educaçãofinanceira</t>
  </si>
  <si>
    <t>ibovespa bovespa dinheiro rendafixa rendavariavel finanças consultoria assessoriafinanceira educaçãofinanceira economia</t>
  </si>
  <si>
    <t>ibovespa bovespa dinheiro ações rendafixa consultoria assessoria rendavariavel finanças educaçãofinanceira</t>
  </si>
  <si>
    <t>ibovespa bovespa dinheiro ações rendafixa consultoria assessoriafinanceira rendavariavel finanças educaçãofinanceira</t>
  </si>
  <si>
    <t>ibovespa bovespa dinheiro rendafixa consultoria rendavariavel fundomultimercado fundoimobiliario finanças economia ações finançaspessoais economia</t>
  </si>
  <si>
    <t>ibovespa bovespa dinheiro fundodi aplicaçõesfinanceiras rendafixa rendavariavel fundomultimercado fundoimobiliario dolar poupança bitcoin imóvel educaçãofinanceira finançaspessoais consultoria assessoriafinanceira</t>
  </si>
  <si>
    <t>ibovespa bovespa dinheiro rendafixa rendavariavel finanças economia fundoimobiliario fundomultimercado finançaspessoais</t>
  </si>
  <si>
    <t>ibovespa bovespa dinheiro rendafixa rendavariavel finanças consultoria assessoriafinanceira fundoimobiliario fundomultimercado poupança economia dolar bitcoin imóvel educaçãofinanceira</t>
  </si>
  <si>
    <t>ibovespa bovespa dinheiro fundodi aplicaçõesfinanceiras dolar economia rendafixa rendavariavel finanças consultoria assessoriafinanceira ações fundodi fundoimobiliario fundomultimercado finançaspessoais educaçãofinanceira</t>
  </si>
  <si>
    <t>ibovespa bovespa dinheiro rendafixa rendavariavel finanças consultoria assessoria ações economia finançaspessoais educaçãofinanceira</t>
  </si>
  <si>
    <t>ibovespa bovespa dinheiro rendafixa rendavariavel fundomultimercado fundoimobiliario poupança dolar bitcoin imóvel educaçãofinanceira finançaspessoais investimentos</t>
  </si>
  <si>
    <t>ibovespa bovespa dinheiro fundoimobiliario fundomultimercado finançaspessoais dolar poupança imóvel finanças economia</t>
  </si>
  <si>
    <t>ibovespa bovespa fundoimobiliario fundomultimercado finançaspessoais dolar bitcoin imóvel poupança</t>
  </si>
  <si>
    <t>motivação sucesso sonhos esforço gestaofinanceira financaspessoais investimentos</t>
  </si>
  <si>
    <t>taesa b3 investir educaçãofinanceira liberdadefinanceira baixadasantista finanças dinheiro economia dividendos viverderenda ações investimentos mulheresnabolsa praiagrandesp</t>
  </si>
  <si>
    <t>poupança metasfinanceiras educaçãofinanceira finançaspessoais dinheiro orçamento investimento controlefinanceiro</t>
  </si>
  <si>
    <t>educacaofinanceira investment investments education</t>
  </si>
  <si>
    <t>inovacao lancamento nordesteinvesting portal educacaofinanceira investimentos</t>
  </si>
  <si>
    <t>direito educaçãofinanceira superendividamento</t>
  </si>
  <si>
    <t>direito educaçãofinanceira superendividamento defensoriapública</t>
  </si>
  <si>
    <t>educaçãofinanceira superendividamento dpers</t>
  </si>
  <si>
    <t>educaçãofinanceira superendividamento</t>
  </si>
  <si>
    <t>presidente auditoria coreconsp finançaspessoais economia lula</t>
  </si>
  <si>
    <t>educaçãofinanceira finançaspessoais economiadomestica universidade economia</t>
  </si>
  <si>
    <t>finançapessoais educaçãofinanceira economia</t>
  </si>
  <si>
    <t>educaçãofinanceira educação escolas gestãoescolar</t>
  </si>
  <si>
    <t>notícias educação escolas educaçãofinanceira</t>
  </si>
  <si>
    <t>finanças finançaspessoais dinheiro</t>
  </si>
  <si>
    <t>educaçãofinanceira orçamentofamiliar metasfinanceiras controledegastos finançaspessoais gestãofinanceira disciplinafinanceira economiadoméstica</t>
  </si>
  <si>
    <t>finançaspessoais educaçãofinanceira investimentos planejamentofinanceiro economia</t>
  </si>
  <si>
    <t>financas finanças financaspessoais finançaspessoais memes</t>
  </si>
  <si>
    <t>financas finanças finançaspessoais financaspessoais salario salário divida dívida dicadehoje dicas dica</t>
  </si>
  <si>
    <t>educaçãofinanceira f2ainvestimentos consórcio</t>
  </si>
  <si>
    <t>investidor investidores investimento educacaofinanceira investimentos invest</t>
  </si>
  <si>
    <t>financaspessoais organizacaofinanceira investimentos prosperidade mepoupe</t>
  </si>
  <si>
    <t>araxá senacminas educaçãofinanceira</t>
  </si>
  <si>
    <t>educacaofinanceira financas economia planejamento investimento dinheiro sucesso carreira felicidade</t>
  </si>
  <si>
    <t>educacaofinanceira financas financaspessoais economia planejamento dinheiro prosperidade compras materialescolar</t>
  </si>
  <si>
    <t>educacaofinanceira finanças economia investimento planejamento dinheiro prosperidade ações bolsadevalores</t>
  </si>
  <si>
    <t>educacaofinanceira finanças economia planejamento investimento dinheiro prosperidade livros</t>
  </si>
  <si>
    <t>educacaofinanceira finanças economia planejamento investimento dinheiro prosperidade rico pobre</t>
  </si>
  <si>
    <t>educacaofinanceira financas economia planejamento investimentos dinheiro governo</t>
  </si>
  <si>
    <t>dividas dívidas divida dívida educacaofinanceira educaçãofinanceira dinheiro economia money financas finanças financaspessoais finançaspessoais economiafinanceira</t>
  </si>
  <si>
    <t>educacaofinanceira finanças economia planejamento investimento desconto compras dinheiro</t>
  </si>
  <si>
    <t>educacaofinanceira finanças economia planejamento investimento dinheiro prosperidade</t>
  </si>
  <si>
    <t>educacaofinanceira financas economia investimentos planejamento viagem dinheiro</t>
  </si>
  <si>
    <t>educacaofinanceira planejamento finanças viajar prosperidade dinheiro economia</t>
  </si>
  <si>
    <t>educacaofinanceira financas economia planejamento dinheiro prosperidade objetivos sonhos conquista investimento bomdia</t>
  </si>
  <si>
    <t>educacaofinanceira financas economia planejamento dinheiro prosperidade objetivos sonhos conquista investimento jovens</t>
  </si>
  <si>
    <t>educacaofinanceira financas economia planejamento dinheiro prosperidade objetivos sonhos conquista investimento</t>
  </si>
  <si>
    <t>educacaofinanceira financas economia planejamento dinheiro prosperidade investimento empreendedorismo pix credito governofederal</t>
  </si>
  <si>
    <t>educacaofinanceira finanças economia prosperidade planejamento investimento sucesso dinheiro empreendedorismo bomdia</t>
  </si>
  <si>
    <t>educacaofinanceira financas economia planejamento dinheiro prosperidade rendaextra empreendedorismo</t>
  </si>
  <si>
    <t>educacaofinanceira financaspessoais financas planejamento investimento dinheiro empreendedorismo sucesso habitos dividas sonhos objetivos metas prosperidade brasil cultura</t>
  </si>
  <si>
    <t>educacaofinanceira financas planejamento investimento dinheiro empreendedorismo</t>
  </si>
  <si>
    <t>sucesso organização administração orçamento financas investimento prosperidade dinheiro planejamento dívidas educacaofinanceira empreendedorismo livros</t>
  </si>
  <si>
    <t>empreendedorismo educacaofinanceira economia planejamento dinheiro prosperidade investimento financas orçamento administração organização sucesso</t>
  </si>
  <si>
    <t>empreendedorismo educacaofinanceira economia planejamento dinheiro prosperidade investimento financas metas</t>
  </si>
  <si>
    <t>meme empreendedorismo educacaofinanceira economia planejamento dinheiro prosperidade investimento amor financas</t>
  </si>
  <si>
    <t>meme empreendedorismo educacaofinanceira economia planejamento dinheiro prosperidade investimento dieta financas</t>
  </si>
  <si>
    <t>educacaofinanceira finanças economia planejamento investimento empreendedorismo dinheiro sucesso prosperidade</t>
  </si>
  <si>
    <t>meme empreendedorismo educacaofinanceira economia planejamento dinheiro prosperidade investimento cartaodecredito financas</t>
  </si>
  <si>
    <t>meme educacaofinanceira financas economia planejamento investimento dinheiro prosperidade empreendedorismo</t>
  </si>
  <si>
    <t>educacaofinanceira finanças economia investimento planejamento prosperidade empreendedorismo dinheiro bomdia boasemana segundafeira</t>
  </si>
  <si>
    <t>educacaofinanceira finanças economia investimento planejamento prosperidade empreendedorismo dinheiro bomdia</t>
  </si>
  <si>
    <t>educacaofinanceira finanças economia planejamento investimento dinheiro prosperidade empreendedorismo bomdia gratidão</t>
  </si>
  <si>
    <t>educacaofinanceira financas economia planejamento dinheiro prosperidade investimento empreendedorismo</t>
  </si>
  <si>
    <t>educacaofinanceira finanças economia planejamento investimento prosperidade empreendedorismo bomdia</t>
  </si>
  <si>
    <t>educacaofinanceira humor meme financas dinheiro economia</t>
  </si>
  <si>
    <t>educacaofinanceira economia planejamento investimento orçamento</t>
  </si>
  <si>
    <t>liberdadefinanceira rendavariavel rendapassiva educacaofinanceira investimento independênnciafinanceira economia criptomoedas motivação atualidades desenvolvimentopessoal desenvolvimentoprofissional empreendedorismo utilidadepública</t>
  </si>
  <si>
    <t>finançaspessoais educaçãofinanceira investimentos poupança orçamentofamiliar</t>
  </si>
  <si>
    <t>finançaspessoais educaçãofinanceira investimentos poupança orçamentofamiliar gestãododinheiro planejamentofinanceiro</t>
  </si>
  <si>
    <t>finançaspessoais educaçãofinanceira investimentos poupança orçamentofamiliar gestãododinheiro</t>
  </si>
  <si>
    <t>finançaspessoais educaçãofinanceira investimentos poupança orçamentofamiliar gestãododinheiro planejamentofinanceiro endividamento</t>
  </si>
  <si>
    <t>finançaspessoais educaçãofinanceira investimentos poupança orçamentofamiliar gestãododinheiro planejamentofinanceiro endividamento aposentadori</t>
  </si>
  <si>
    <t>finançaspessoais educaçãofinanceira investimentos planejamentofinanceiro dicasfinanceiras orçamentopessoal poupança</t>
  </si>
  <si>
    <t>finançaspessoais educaçãofinanceira investimentos planejamentofinanceiro dicasfinanceiras orçamentopessoal</t>
  </si>
  <si>
    <t>finançaspessoais educaçãofinanceira investimentos poupança orçamentofamiliar gestãododinheir</t>
  </si>
  <si>
    <t>finançaspessoais educaçãofinanceira investimentos poupança orçamentofamiliar gestãododinheiro planejamentofinanceiro endividamento aposentadoria</t>
  </si>
  <si>
    <t>agricultores empréstimo agricultor financaspessoais finanças emprestimoonline financasempresariais financas</t>
  </si>
  <si>
    <t>ganhardinheironainternet financaspessoais emprestimoinss finançaspessoais dinheirofácil banco fintechinshorts empréstimoparanegativado</t>
  </si>
  <si>
    <t>liberdadefinanceira educaçãofinanceira disciplina perseverança faculdade educação investimento</t>
  </si>
  <si>
    <t>educaçãofinanceira pairicopaipobre</t>
  </si>
  <si>
    <t>boladeneve financaspessoais appdefinancas financas controlefinanceiro juros memes</t>
  </si>
  <si>
    <t>caminhodoalfa dinheiro financas investimentos bolsadevalores bovespa b3 educacaofinanceira prosperidade brasil empreendedorismo</t>
  </si>
  <si>
    <t>caminhodoalfa prosperidade brasil educacaofinanceira investimentos riqueza felicidade</t>
  </si>
  <si>
    <t>investimentos dinheiro educacaofinanceira</t>
  </si>
  <si>
    <t>investimentos educaçãofinanceira psicologiafinanceira</t>
  </si>
  <si>
    <t>educaçaofinanceira investimentosinteligentes aprenderainvestir investirdozero dinheiro futurotranquilo</t>
  </si>
  <si>
    <t>planejamentofinanceiro educaçãofinanceira proteçãopatrimônio acúmuloeinvestimentos aposentadoria aquisiçãodebens</t>
  </si>
  <si>
    <t>financaspessoais fluxodecaixa orçamento consultoriafinanceira</t>
  </si>
  <si>
    <t>financaspessoais contacorrentegratis</t>
  </si>
  <si>
    <t>conflitodeinteresses educaçãofinanceira consultorfinanceiro igorvieira</t>
  </si>
  <si>
    <t>educacaofinanceira investimentointeligente conhecimentoépoder</t>
  </si>
  <si>
    <t>educaçãofinanceira aprendizado</t>
  </si>
  <si>
    <t>rendaextra trabalharemcasa ganhardinheiroemcasa freelancer vendasonline educaçãofinanceira</t>
  </si>
  <si>
    <t>educaçãofinanceira independênciafinanceira</t>
  </si>
  <si>
    <t>finançaspessoais economia</t>
  </si>
  <si>
    <t>ganhos gastos endividamento organizacaofinanceira financaspessoais planejamentofinanceiro</t>
  </si>
  <si>
    <t>planejamento estratégias dicasfinanceiras dicasdefinanças educação educacaofinanceira educaçãofinanceira</t>
  </si>
  <si>
    <t>informações financeiras dicasdefinanças dicasdefinancas educaçãofinanceira saudefinanceira saúdefinanceira</t>
  </si>
  <si>
    <t>objetivos financaspessoais planejamentofinanceiro liberdadefinanceira dicasfinanceiras</t>
  </si>
  <si>
    <t>financaspessoais dinheiro financas qualidadedevida ganhos</t>
  </si>
  <si>
    <t>economia tranquilidade financaspessoais dinheiro planejamentofinanceiro</t>
  </si>
  <si>
    <t>habitossaudaveis mercadofinanceiro saudefinanceira financaspessoais planejamentofinanceiro dicasfinanceiras</t>
  </si>
  <si>
    <t>educação educaçãofinanceira empreendedorismo escola finanças</t>
  </si>
  <si>
    <t>mindsetfinanceiro educaçãofinanceira personalidadeesaude valoresesaude riquezaecaracter dinheiroemoral</t>
  </si>
  <si>
    <t>educaçãofinanceira liberdadefinanceira gestãodedinheiro planejamentofinanceiro finançaspessoais independenciafinanceira</t>
  </si>
  <si>
    <t>fluir ibg educacaofinanceira planejamentofinanceiro</t>
  </si>
  <si>
    <t>scoredecrédito finançaspessoais</t>
  </si>
  <si>
    <t>investimento finanças rendapassiva dicasfinanceiras educacaofinanceira</t>
  </si>
  <si>
    <t>educaçãofinanceira investimento</t>
  </si>
  <si>
    <t>investimento educaçãofinanceira</t>
  </si>
  <si>
    <t>educaçãofinanceira investimento fundosimobiliários</t>
  </si>
  <si>
    <t>finançassaudáveis finanças finançaspessoais gestãofinanceira saúdefinanceira equilíbriofinanceiro desendividamento economia dinheiro</t>
  </si>
  <si>
    <t>acoes educacaofinanceira palestras</t>
  </si>
  <si>
    <t>webserie educacaofinanceira dicas</t>
  </si>
  <si>
    <t>educaçãofinanceira planejamentofinanceiro</t>
  </si>
  <si>
    <t>educaçãofinanceira mutirao bancos febraban</t>
  </si>
  <si>
    <t>febrabantech2023 bancos educaçãofinanceira</t>
  </si>
  <si>
    <t>inclusãofinanceira educaçãofinanceira bancos</t>
  </si>
  <si>
    <t>talento dinheiro borafalardeguito financaspessoais gestaofinanceira orcamento</t>
  </si>
  <si>
    <t>borafalardeguito ativos passivos ativosepassivos financaspessoais</t>
  </si>
  <si>
    <t>financaspessoais pagarteprimeiro liberdadefinanceira financas independenciafinanceira</t>
  </si>
  <si>
    <t>focanossonhos podcast equipepoderosa educaçãofinanceira</t>
  </si>
  <si>
    <t>petr4 ibovespa ibov educacaofinanceira bolsadevalores dividendos rendapassiva acoes dinheiro rendaextra</t>
  </si>
  <si>
    <t>investimentos bolsadevalores educaçãofinanceira</t>
  </si>
  <si>
    <t>investimentos educaçãofinanceira sucesso</t>
  </si>
  <si>
    <t>finançaspessoais educaçãofinanceira investimentos</t>
  </si>
  <si>
    <t>financaspessoais investimentos educaçãofinanceira</t>
  </si>
  <si>
    <t>objetivosfinanceiros educaçãofinanceira investimentos</t>
  </si>
  <si>
    <t>financaspessoais educaçãofinanceira investimentos</t>
  </si>
  <si>
    <t>planejamentofinanceiro educaçãofinanceira investimentos</t>
  </si>
  <si>
    <t>investimentos finançaspessoais educaçãofinanceira</t>
  </si>
  <si>
    <t>objetivosfinanceiros planejamentofinanceiro educacaofinanceira</t>
  </si>
  <si>
    <t>educacaofinanceira dinheiro riqueza</t>
  </si>
  <si>
    <t>gironordeste nathfinanças educaçãofinanceira</t>
  </si>
  <si>
    <t>transição educaçãofinanceira economia salário</t>
  </si>
  <si>
    <t>controlefinanceiro finanças educaçãofinanceira</t>
  </si>
  <si>
    <t>onilgroup criptomoedas ativosdigitais criptoativos educaçãofinanceira</t>
  </si>
  <si>
    <t>onilgroup criptomoedas ativosdigitais educaçãofinanceira criptoativos</t>
  </si>
  <si>
    <t>onilgroup educaçãofinanceira finanças mercadofinanceiro</t>
  </si>
  <si>
    <t>onilgroup criptomoedas ativosdigitais educaçãofinanceira</t>
  </si>
  <si>
    <t>onilgroup criptomoedas ativosdigitais mercadofinanceiro educaçãofinanceira criptoativos ativosfinanceiros</t>
  </si>
  <si>
    <t>educaçãofinanceira brasil</t>
  </si>
  <si>
    <t>educacao financeira educacaofinanceira produtos servicos pacotes</t>
  </si>
  <si>
    <t>educacaofinanceira dinheiro gestão comingsoon maputo mocambique</t>
  </si>
  <si>
    <t>corrajapelassuasfinanças educaçãofinanceira moçambique</t>
  </si>
  <si>
    <t>vagaslimitadas educaçãofinanceira</t>
  </si>
  <si>
    <t>educacao financeira educacaofinanceira moçambique maputo dinheiro gestao negocio</t>
  </si>
  <si>
    <t>educacao financeira educacaofinanceira mocambique maputo dinheiro gestao evento finanças</t>
  </si>
  <si>
    <t>educacaofinanceira inadimplencia</t>
  </si>
  <si>
    <t>economiadomestica educacaofinanceira</t>
  </si>
  <si>
    <t>combustivel educacaofinanceira</t>
  </si>
  <si>
    <t>segurodevida educacaofinanceira</t>
  </si>
  <si>
    <t>postoipiranga educacaofinanceira</t>
  </si>
  <si>
    <t>festainfantil educacaofinanceira</t>
  </si>
  <si>
    <t>nomelimpo educacaofinanceira</t>
  </si>
  <si>
    <t>educacaofinanceira economiabrasileira</t>
  </si>
  <si>
    <t>custos despesas educacaofinanceira</t>
  </si>
  <si>
    <t>dinheiro renda rendaextra investimentos ações fiis financas financaspessoais educacaofinanceira</t>
  </si>
  <si>
    <t>educacaofinanceira financaspessoais</t>
  </si>
  <si>
    <t>finançasnosertão educaçãofinanceira</t>
  </si>
  <si>
    <t>proventos ações fiis mercadodeações educaçãofinanceira controledeinvestimentos</t>
  </si>
  <si>
    <t>independênciadobrasil</t>
  </si>
  <si>
    <t>finanças educaçãofinanceira dinheiro</t>
  </si>
  <si>
    <t>finançaspessoais educaçãofinanceira planejamentofinanceiro investimentos controlefinanceiro</t>
  </si>
  <si>
    <t>educaçãofinanceira investimentoemsimesmo</t>
  </si>
  <si>
    <t>educaçãofinanceira diversificação</t>
  </si>
  <si>
    <t>bitcoinnaescola educaçãofinanceira elsalvador criptomoedas criançasaprendendo</t>
  </si>
  <si>
    <t>liberdadefinanceira sucesso marketingdifgital educacaofinanceira business</t>
  </si>
  <si>
    <t>educacaofinanceira dinheiro dolar investimento</t>
  </si>
  <si>
    <t>educacaofinanceira investimento rendadixa</t>
  </si>
  <si>
    <t>dinheiro educacaofinanceira</t>
  </si>
  <si>
    <t>educacaofinanceira investimentos saiadasdividas dinheiro prosperidade</t>
  </si>
  <si>
    <t>pairicofilhorico pairicopaipobre sejaricosejaprospero investidorperturbado dautinhodasfinanças escola educaçãofinanceira</t>
  </si>
  <si>
    <t>governo lula pt educacaofinanceira</t>
  </si>
  <si>
    <t>astrologia educaçãofinanceira lunação marte mercúrioretrógrado luaemvirgem</t>
  </si>
  <si>
    <t>finançaspessoais planeamentofinanceiro investimento poupança</t>
  </si>
  <si>
    <t>educaçãofinanceira investimentos planejamentofinanceiro</t>
  </si>
  <si>
    <t>educacaofinanceira mylove aprendendo domingao mygirl meumundorosa fazueli</t>
  </si>
  <si>
    <t>financaspessoais economia</t>
  </si>
  <si>
    <t>life financaspessoais</t>
  </si>
  <si>
    <t>educaçãofinanceira seligafinançason semanaenef semanaenef2023 sicoob institutosicoob</t>
  </si>
  <si>
    <t>educaçãofinanceira semanaenef semanaenef2023 sicoob institutosicoob</t>
  </si>
  <si>
    <t>semanaenef educaçãofinanceira</t>
  </si>
  <si>
    <t>theflash educaçãofinanceira</t>
  </si>
  <si>
    <t>seligafinançason finançaspessoais finançasparamei cursosgratuitos institutosicoob</t>
  </si>
  <si>
    <t>educaçãofinanceira aulacomocelsoportiolli</t>
  </si>
  <si>
    <t>empréstimo negativados baixoscore finançaspessoais zoomdinheiro</t>
  </si>
  <si>
    <t>dívidas gerenciamentodedívidas finançaspessoais planejamentofinanceiro zoomdinheiro</t>
  </si>
  <si>
    <t>educaçãofinanceira hábitosfinanceiros economia</t>
  </si>
  <si>
    <t>liberdadefinanceira educacaofinanceira cafecombolsa</t>
  </si>
  <si>
    <t>educacaofinanceira mercadofinanceiro queroinvestir</t>
  </si>
  <si>
    <t>podcast17 expofavela2023 expofavelasp investimento educacaofinanceira</t>
  </si>
  <si>
    <t>podcast04 expofavela2023 expofavelasp educacaofinanceira comunidades</t>
  </si>
  <si>
    <t>investimentos educaçãofinanceira melhoresinvestimentos liberdadefinanceira independenciafinanceira mentoria</t>
  </si>
  <si>
    <t>unicredportoalegre uni4life educacaofinanceira financaspessoais unicred uni4talks plannerfinanceiro</t>
  </si>
  <si>
    <t>professores educaçãofinanceira ministériodaeducação educação</t>
  </si>
  <si>
    <t>educaçãofinanceira oalunoband colégiobandeirantes</t>
  </si>
  <si>
    <t>educaçãofinanceira sucessofinanceiro dicasfinanceiras infogain</t>
  </si>
  <si>
    <t>fmc escritoriofmc educaçãofinanceira medo oportunidades</t>
  </si>
  <si>
    <t>escritoriofmc fmc francel educaçãofinanceira conhecimento</t>
  </si>
  <si>
    <t>fmc escritoriofmc francel educaçãofinanceira investimento controleemocional</t>
  </si>
  <si>
    <t>fmc escritoriofmc francel sucesso educaçãofinanceira</t>
  </si>
  <si>
    <t>fmc escritoriofmc liberdadefinanceira finanças educaçãofinanceira escolhas</t>
  </si>
  <si>
    <t>fmc escritoriofmc francel educaçãofinanceira experiência conhecimento</t>
  </si>
  <si>
    <t>fmc escritoriofmc francel sonhos educaçãofinanceira coragem</t>
  </si>
  <si>
    <t>fmc escritoriofmc sonho conselhos educaçãofinanceira</t>
  </si>
  <si>
    <t>fmc escritoriofmc francel educaçãofinanceira liberdadefinanceira sonhos</t>
  </si>
  <si>
    <t>fmc escritoriofmc francel liderança educaçãofinanceira</t>
  </si>
  <si>
    <t>escritoriofmc fmc francel conhecimento progresso educaçãofinanceira</t>
  </si>
  <si>
    <t>fmc escritoriofmc francel educaçãofinanceira dinheiro valores</t>
  </si>
  <si>
    <t>fmc escritoriofmc conselhos educaçãofinanceira direçao</t>
  </si>
  <si>
    <t>dinheiro blackrat educaçãofinanceira</t>
  </si>
  <si>
    <t>economia finançaspessoais investimentos podcast</t>
  </si>
  <si>
    <t>saúdemental inteligênciaemocional rh desenvolvimentopessoal desenvolvimentodeequipes saúdecorporativa autoconhecimento mentalhealth recursoshumanos podcast dinheiro educaçãofinanceira</t>
  </si>
  <si>
    <t>rh desenvolvimentopessoal desenvolvimentodeequipes saúdecorporativa autoconhecimento podcast finanças dinheiro educaçãofinanceira</t>
  </si>
  <si>
    <t>inteligênciaemocional rh autoconhecimento neurociência podcast finanças educaçãofinanceira</t>
  </si>
  <si>
    <t>saúdemental inteligênciaemocional rh saúdecorporativa finanças dinheiro educaçãofinanceira</t>
  </si>
  <si>
    <t>trader financaspessoais investimentofinanceiro</t>
  </si>
  <si>
    <t>niiw websummitrio vivo api nfe nfce esg vivomoney economiacolaborativa</t>
  </si>
  <si>
    <t>niiw websummitrio serpro governodigital educaçãofinanceira inclusãodigital esg api nfe nfce economiacolaborativa</t>
  </si>
  <si>
    <t>niiw websummit esg api nfce economiacolaborativa educacaofinanceira governodigital controledegastos dados bigdata ia ongs</t>
  </si>
  <si>
    <t>niiw websummitrio b3 l4 fintech educaçãofinanceira api nfe nfce esg economiacolaborativa</t>
  </si>
  <si>
    <t>niiw startups economiacolaborativa acate inovabra educacaofinanceira startupsummit</t>
  </si>
  <si>
    <t>niiw diadasmães mães apis economiacolaborativa openeconomy opendata nfce nfe educaçãofinanceira inovação</t>
  </si>
  <si>
    <t>niiw apis openbanking openfinance openeconomy opendata nfce fintechs fintechtrends acate baas educaçãofinanceira inovacao nfe</t>
  </si>
  <si>
    <t>niiw startups fintechs bigdata dadosdecosnumo educacaofinanceira api opendata economiacolaborativa acate</t>
  </si>
  <si>
    <t>planejamentofinanceiro estudantes educaçãofinanceira</t>
  </si>
  <si>
    <t>organizaçãofinanceira planejamentofinanceiro finançaspessoais</t>
  </si>
  <si>
    <t>economia finançaspessoais reduçãodedespesas diversãocomeconomia lp4planejamento</t>
  </si>
  <si>
    <t>reformatributária herança sucessãopatrimonial planejamentosucessório impostos gestãofinanceira legislaçãotributária finançaspessoais lp4planejamento</t>
  </si>
  <si>
    <t>finançaspessoais economia poupardinheiro planejamentofinanceiro lp4planejamento dicasfinanceiras</t>
  </si>
  <si>
    <t>finançaspessoais controledegastos economiadoméstica lp4planejamento dicasfinanceiras estabilidadefinanceira</t>
  </si>
  <si>
    <t>fundodeemergência planejamentofinanceiro lp4planejamento finançaspessoais dinheiro educaçãofinanceira cta</t>
  </si>
  <si>
    <t>planejamentofinanceiro paissolteiros educaçãofinanceira</t>
  </si>
  <si>
    <t>bancosemear dicasfinanceiras educaçãofinanceira</t>
  </si>
  <si>
    <t>semanadoconsumidor finançaspessoais educaçaofinanceira bancosemear</t>
  </si>
  <si>
    <t>bancosemear bancoparceiro educaçãofinanceira</t>
  </si>
  <si>
    <t>bancosemear educacaofinanceira dicasdefinancas syd</t>
  </si>
  <si>
    <t>educaçãofinanceira bancoparceiro bancosemear</t>
  </si>
  <si>
    <t>finanças financaspessoais divida negociação receita litigiozero</t>
  </si>
  <si>
    <t>ferreiranews educação educaçãofinanceira dinheiro conhecimento news</t>
  </si>
  <si>
    <t>momentobancário jurosaltos educaçãofinanceira</t>
  </si>
  <si>
    <t>educaçãofinanceira prosperidadefinanceira</t>
  </si>
  <si>
    <t>finançaspessoais investimentos orçamentopessoal poupanca</t>
  </si>
  <si>
    <t>moonlightchicken educacaofinanceira</t>
  </si>
  <si>
    <t>pressãosocial seudinheiro finançaspessoais</t>
  </si>
  <si>
    <t>parederasgardinheiro marcesemaschietto dinheirando dinheiro financaspessoais livros leituras frases frasesdelivros frasesereflexões trechosdelivros</t>
  </si>
  <si>
    <t>georgesclason ohomemmaisricodababilonia riqueza dinheiro financaspessoais livros leituras frases frasesdelivros frasesereflexões trechosdelivros</t>
  </si>
  <si>
    <t>georgesclason ohomemmaisricodababilonia riqueza dinheiro financaspessoais livros leituras frases frasesdelivros frasesereflexões trechosdelivro</t>
  </si>
  <si>
    <t>irpf educaçãofinanceira</t>
  </si>
  <si>
    <t>investimentos dinheirorendendo educaçãofinanceira</t>
  </si>
  <si>
    <t>contabilidade impostoderenda finançaspessoais planejamentofinanceiro</t>
  </si>
  <si>
    <t>impostoderenda contabilidade receitafederal negocios finançaspessoais</t>
  </si>
  <si>
    <t>impostoderenda finançaspessoais educaçãofinanceira investimentos contabilidade</t>
  </si>
  <si>
    <t>educacaofinanceira comosairdacrise</t>
  </si>
  <si>
    <t>educacaofinanceira finanças infancia rmc xp</t>
  </si>
  <si>
    <t>dicas mesada filhos educaçãofinanceira finanças</t>
  </si>
  <si>
    <t>financeiro educacaofinanceira liberdade futuro aposentadoria</t>
  </si>
  <si>
    <t>desenrola educaçãofinanceira</t>
  </si>
  <si>
    <t>controlefinanceiro educaçãofinanceira transparênciaempresarial</t>
  </si>
  <si>
    <t>educaçãofinanceira cooperativismodecrédito cooperativismo</t>
  </si>
  <si>
    <t>educaçãofinanceira cooperativismo</t>
  </si>
  <si>
    <t>teatro famíliadindim teatroinfantil educaçãofinanceira teatrosérgiocardoso governosp culturasp amigosdaarte</t>
  </si>
  <si>
    <t>vempraharami dicadeouro mercadofinanceiro educacaofinanceira</t>
  </si>
  <si>
    <t>carteiradeinvestimentos carteirakids investimentos mercadofinanceiro educacaofinanceira bolsadevalores</t>
  </si>
  <si>
    <t>rendavariavel bolsadevalores b3 investidor investimentos educacaofinanceira</t>
  </si>
  <si>
    <t>panoramasemanal arcabouçofiscal crisebancaria mercadofinanceiro economia educaçãofinanceira</t>
  </si>
  <si>
    <t>revolut finançaspessoais</t>
  </si>
  <si>
    <t>production agricultura angola empreendedorismo finanças educaçãofinanceira comercio</t>
  </si>
  <si>
    <t>investir investimentos dinheiro falencia acoes finançaspessoais economia foryourpage fyp tiktokmefezassistir</t>
  </si>
  <si>
    <t>mercadofinanceiro investimentos educaçãofinanceira</t>
  </si>
  <si>
    <t>xzibank finançaspessoais</t>
  </si>
  <si>
    <t>educacaofinanceira liberdadefinanceira independeciafinanceira inteligenciafinanceira</t>
  </si>
  <si>
    <t>girofinanceiro financaspessoais comoadministrarassuasfinancas</t>
  </si>
  <si>
    <t>girofinanceiro dividas educacaofinanceira</t>
  </si>
  <si>
    <t>cvmeducacional investidor investidores investimento investimentos investir educacaofinanceira fiqueatento senha</t>
  </si>
  <si>
    <t>cvmeducacional investidor investimento investidores investimentos educacaofinanceira educaçãofinanceira vies viescomportamental publicacoescvm</t>
  </si>
  <si>
    <t>cvmeducacional investidor investimento educacaofinanceira educaçãofinanceira portaldoinvestidor dicionariodoinvestidor valoresmobiliarios mercadoacionario</t>
  </si>
  <si>
    <t>cvmeducacional investidor esg sustentabilidade publicacoescvm investimento educacaofinanceira educaçãofinanceira asg</t>
  </si>
  <si>
    <t>cvmeducacional investidor investimento investir educacaofinanceira cursos</t>
  </si>
  <si>
    <t>cvmeducacional premioimprensa educacaofinanceira investidor investidores jornalistas</t>
  </si>
  <si>
    <t>cvmeducacional investidor investidores investimento educacaofinanceira investimentos invest investment investor pesquisa</t>
  </si>
  <si>
    <t>cvmeducacional investidor investidores investimento educacaofinanceira investimentos invest investment</t>
  </si>
  <si>
    <t>cvmeducacional investidor investidores investir investimento finançaspessoais patrimonio</t>
  </si>
  <si>
    <t>cvmeducacional investidor investimento investidores investimentos invest educacaofinanceira educaçãofinanceira portaldoinvestidor</t>
  </si>
  <si>
    <t>cvmeducacional investidor investidores investir investimento finançaspessoais planejamentofinanceiro</t>
  </si>
  <si>
    <t>cvmeducacional investidor investidores investir investimento finançaspessoais compras</t>
  </si>
  <si>
    <t>finançaspessoais dinheiro orçamentofamiliar</t>
  </si>
  <si>
    <t>finance liberdadefinanceira personalfinance mercadofinanceiro finances educacaofinanceira independenciafinanceira planejamentofinanceiro refinance sucessofinanceiro financeiro financetips inteligencia</t>
  </si>
  <si>
    <t>bitcoin inflação liberdade mercadofinanceiro ipca igpm educacaofinanceira</t>
  </si>
  <si>
    <t>bitcoin inflação liberdade mercadofinanceiro ipca iigpm incc educacaofinanceira</t>
  </si>
  <si>
    <t>bitcoin 21milhões inflação conciergebitcoin 21m finanças investimentos educaçãofinanceira proteçãopatrimonial liberdade brasil</t>
  </si>
  <si>
    <t>bitcoin 21milhões inflação conciergebitcoin 21m finanças investimentos educaçãofinanceira proteçãopatrimonial</t>
  </si>
  <si>
    <t>bitcoin 21milhões inflação conciergebitcoin 21m finanças investimentos educaçãofinanceira proteçãopatrimonial microstrategy michaelsaylor liberdade brasil</t>
  </si>
  <si>
    <t>bitcoin binance inflação conciergebitcoin 21m finanças investimentos educaçãofinanceira proteçãopatrimonial</t>
  </si>
  <si>
    <t>bitcoin inflação liberdade mercadofinanceiro investimentos educacaofinanceira</t>
  </si>
  <si>
    <t>conciergebitcoin bitcoin institutomises educaçãofinanceira criptomoedas liberdadefinanceira misesbrasil imb mises rothbard hayek</t>
  </si>
  <si>
    <t>bitcoin 21milhões inflação conciergebitcoin 21m finanças investimentos educaçãofinanceira proteçãopatrimonial sistemafiat pirâmide economia</t>
  </si>
  <si>
    <t>inflação liberdade mercadofinanceiro divida educacaofinanceira</t>
  </si>
  <si>
    <t>bitcoin ouro papelmoeda 21milhões conciergebitcoin 21m finanças investimentos educaçãofinanceira dinheiro moeda mises economia brasil</t>
  </si>
  <si>
    <t>educaçãofinanceira blogdoesmael</t>
  </si>
  <si>
    <t>bienaldolivro financaspessoais rosiellepegado</t>
  </si>
  <si>
    <t>appdefinancas organizze financaspessoais</t>
  </si>
  <si>
    <t>organizze finançaspessoais</t>
  </si>
  <si>
    <t>dicadeleitura educaçãofinanceira</t>
  </si>
  <si>
    <t>economizar educacaofinanceira financas impostos investimentos inteligenciafinanceira</t>
  </si>
  <si>
    <t>educaçãofinanceira bolsadevalores mercadofinanceiro fiis ações dividendos rendafixa</t>
  </si>
  <si>
    <t>mercadofinanceiro bolsadevalores educaçãofinanceira dividendos fiis ações economia</t>
  </si>
  <si>
    <t>revogaço nem reformadoensinomedio educaçaobasica projetodevida educaçaofinanceira</t>
  </si>
  <si>
    <t>crisefinanceira portugal educaçãofinanceira</t>
  </si>
  <si>
    <t>diadasmães mãe tiposdemães educaçãofinanceira</t>
  </si>
  <si>
    <t>educaçãofinanceira tesourodireto titulospublicos</t>
  </si>
  <si>
    <t>comentario finançaspessoais economia</t>
  </si>
  <si>
    <t>sócio eua educacaofinanceira comoinvestir mercadofinanceiro gestãoativa stockpicking bluechips nyse nee nextera nexteraenergy utilidadepublica energia publicutilities</t>
  </si>
  <si>
    <t>investimentosbrasileexterior investimentobrasil investimentoexterior reit reits ações dividendos longoprazo liberdadefinanceira planejamentofinanceiro viverderenda educacaofinanceira</t>
  </si>
  <si>
    <t>planejamentofinanceiro viverderenda educacaofinanceira comoinvestir mercadofinanceiro investimentos liberdadefinanceira irdm11 irdm cri papel iridium btg btgpactual</t>
  </si>
  <si>
    <t>viverderenda educacaofinanceira comoinvestir mercadofinanceiro investimentos liberdadefinanceira ipca cdi igpm hgru hgru11 cshg creditsuisse rendimentos hibrido rendaurbana varejo</t>
  </si>
  <si>
    <t>educacaofinanceira comoinvestir mercadofinanceiro investimentos liberdadefinanceira eua realestate investimentoimobiliario sp500 vnq dividends nyse nyse sp500 nasdaq eqix equinix datacenter imoveis comercio lajes</t>
  </si>
  <si>
    <t>planejamentofinanceiro viverderenda educacaofinanceira comoinvestir mercadofinanceiro investimentos liberdadefinanceira bcff bcff11 maxirenda btg rendimentos</t>
  </si>
  <si>
    <t>mercadofinanceiro investimentos brics educaçãofinanceira</t>
  </si>
  <si>
    <t>financas financaspessoais investimentos</t>
  </si>
  <si>
    <t>investimento educacaofinanceira dinheiro</t>
  </si>
  <si>
    <t>impostoderenda declaraçãodeimpostoderenda finançaspessoais receitafederal</t>
  </si>
  <si>
    <t>impostoderenda declaraçãodeir dependentesir informaçãofiscal educaçãofinanceira financeiro impostos receitafederal fiquepordentro dicasfiscais</t>
  </si>
  <si>
    <t>finance liberdadefinanceira personalfinance mercadofinanceiro finances educacaofinanceira independenciafinanceira planejamentofinanceiro refinance sucessofinanceiro financeiro financetips</t>
  </si>
  <si>
    <t>desenrola educacaofinanceira teiadigital</t>
  </si>
  <si>
    <t>liveexclusiva educaçãofinanceira metodocgd metodointerativo cgdtech</t>
  </si>
  <si>
    <t>novidade educaçãofinanceira mercadofinanceiro metodocgd parceriacgd cursoscgd plataformacgd</t>
  </si>
  <si>
    <t>investimentos rendafixa educaçãofinanceira</t>
  </si>
  <si>
    <t>rendavariavel investimentos educacaofinanceira</t>
  </si>
  <si>
    <t>consumo educaçãofinanceira unifesp somosunifesp unifesposasco eppen</t>
  </si>
  <si>
    <t>finanças financaspessoais investimentos</t>
  </si>
  <si>
    <t>financas financaspessoais investimentos mindset carreira</t>
  </si>
  <si>
    <t>contabilidade mercadofinanceiro perícia patrimonio educacaofinanceira</t>
  </si>
  <si>
    <t>maisoumenos dinheiroagora finançaspessoais carinhademetida atenção</t>
  </si>
  <si>
    <t>estudos mindset educacaofinanceira mulheresvirtuosas mulheressabias vemcomigoquenocaminhoteexplico</t>
  </si>
  <si>
    <t>impostoderenda finançaspessoais</t>
  </si>
  <si>
    <t>bolsafamilia beneficio economia financaspessoais</t>
  </si>
  <si>
    <t>impostoderenda restituicaodoir ir financaspessoais</t>
  </si>
  <si>
    <t>saudefinanceira educaçãofinanceira</t>
  </si>
  <si>
    <t>economia economizar dicas materialescolar financaspessoais</t>
  </si>
  <si>
    <t>financaspessoais empresa jornalcontabil</t>
  </si>
  <si>
    <t>dinheiro financeiro financaspessoais</t>
  </si>
  <si>
    <t>escolasdofuturo educacaofinanceira</t>
  </si>
  <si>
    <t>educacaofinanceira pandemia</t>
  </si>
  <si>
    <t>cursogratuito educacaofinanceira</t>
  </si>
  <si>
    <t>educacaofinanceira jornalcontabil</t>
  </si>
  <si>
    <t>educacaofinanceira financas jornacontabil</t>
  </si>
  <si>
    <t>aposentadoria inss finançaspessoais</t>
  </si>
  <si>
    <t>finançaspessoais botafogo</t>
  </si>
  <si>
    <t>finançaspessoais contadeluz</t>
  </si>
  <si>
    <t>financas finançaspessoais</t>
  </si>
  <si>
    <t>impostoderenda contabilidade finançaspessoais dicas</t>
  </si>
  <si>
    <t>finanças finançaspessoais controle</t>
  </si>
  <si>
    <t>economy economia finanças finançaspessoais</t>
  </si>
  <si>
    <t>impostoderenda finançaspessoais contabilidade</t>
  </si>
  <si>
    <t>impostoderenda contabilidade finançaspessoais wesleysafadão</t>
  </si>
  <si>
    <t>controle finançaspessoais</t>
  </si>
  <si>
    <t>finançaspessoais importação</t>
  </si>
  <si>
    <t>impostoderenda contabilidade finançaspessoais</t>
  </si>
  <si>
    <t>finançaspessoais contabilidade finanças dinheiro</t>
  </si>
  <si>
    <t>impostoderenda contabilidade calculos finançaspessoais</t>
  </si>
  <si>
    <t>finançaspessoais financas contabilidade</t>
  </si>
  <si>
    <t>educaçãofinanceira livros leiamais leitura</t>
  </si>
  <si>
    <t>livros leitura educaçãofinanceira indicacaodelivros</t>
  </si>
  <si>
    <t>livros indicacaodelivros leiamais educacaofinanceira</t>
  </si>
  <si>
    <t>participe amazonprev palestras governodoamazonas finançaspessoais</t>
  </si>
  <si>
    <t>economia escolhas educacaofinanceira</t>
  </si>
  <si>
    <t>famíliasbaixarenda educaçãofinanceira</t>
  </si>
  <si>
    <t>dinheiro finanças finançaspessoais educaçnãofinanceira</t>
  </si>
  <si>
    <t>investimentos finanças educaçãofinanceira</t>
  </si>
  <si>
    <t>empregos finanças finançaspessoais</t>
  </si>
  <si>
    <t>cdb investimentos educaçãofinanceira</t>
  </si>
  <si>
    <t>noticias educaçãofinanceira</t>
  </si>
  <si>
    <t>meninomaluquinho educaçãofinanceira ziraldo</t>
  </si>
  <si>
    <t>cvm educacaofinanceira gmw2023</t>
  </si>
  <si>
    <t>cvm cvmeducacional gmw2023 educacaofinanceira</t>
  </si>
  <si>
    <t>vamosjuntos cvm seriecvm educacaofinanceira educacao filhos</t>
  </si>
  <si>
    <t>vamosjuntos semanaenef2023 semanaenef fbef cvm educacaofinanceira resiliencia investidor</t>
  </si>
  <si>
    <t>semanaenef2023 semanaenef fbef cvm educacaofinanceira investidor</t>
  </si>
  <si>
    <t>cvm seriecvm educacaofinanceira maesempreendedoras</t>
  </si>
  <si>
    <t>minutob3 educacaofinanceira gmw2023</t>
  </si>
  <si>
    <t>minutob3 educacaofinanceira fiinfra</t>
  </si>
  <si>
    <t>mercado economia finançaspessoais</t>
  </si>
  <si>
    <t>radio consulta rubrica financaspessoais tsf doutorfinancas</t>
  </si>
  <si>
    <t>criptomoedas investimento errosdeinvestimento diversificação educaçãofinanceira</t>
  </si>
  <si>
    <t>hydrainveste educaçãofinanceira dinheironainternet</t>
  </si>
  <si>
    <t>educaçãofinanceira ativos passivos fluxodecaixa ganhodecapital investimentos bolsadevalores ações fiis tesourodireto stocks reits etfs cdb bolsadevalores</t>
  </si>
  <si>
    <t>contaspagas fatura boleto magalu educaçãofinanceira</t>
  </si>
  <si>
    <t>pairicopaipobre independênciafinanceira educaçãofinanceira</t>
  </si>
  <si>
    <t>fortesfinanceiramente warrenbuffett educaçãofinanceira</t>
  </si>
  <si>
    <t>educacaofinanceira investimentos</t>
  </si>
  <si>
    <t>mercadofinanceiro investimentos</t>
  </si>
  <si>
    <t>educacaofinanceira einvestidor</t>
  </si>
  <si>
    <t>loterias educacaofinanceira</t>
  </si>
  <si>
    <t>mercadofinanceiro investimentos educaçãofinanceira pet</t>
  </si>
  <si>
    <t>mercadofinanceiro investimentos educacaofinanceira</t>
  </si>
  <si>
    <t>inbr32 bcsa34 mercadofinanceiro investimentos educaçãofinanceira</t>
  </si>
  <si>
    <t>educaçãofinanceira investimentos expertxp2023</t>
  </si>
  <si>
    <t>expertxp2023 investimentos educaçãofinanceira</t>
  </si>
  <si>
    <t>thetown shows educaçãofinanceira</t>
  </si>
  <si>
    <t>investimentos educacaofinanceira</t>
  </si>
  <si>
    <t>einvestidor dívidas</t>
  </si>
  <si>
    <t>inflação educacaofinanceira</t>
  </si>
  <si>
    <t>dívidas educacaofinanceira</t>
  </si>
  <si>
    <t>finanças educaçãofinanceira planificaçãofinanceira desportistas</t>
  </si>
  <si>
    <t>financaspessoais poupar investir educacaofinanceira</t>
  </si>
  <si>
    <t>investir ações finançaspessoais</t>
  </si>
  <si>
    <t>diainternacionalasperger financaspessoais</t>
  </si>
  <si>
    <t>poupar financaspessoais compras supermercado</t>
  </si>
  <si>
    <t>casamento dinheiro finançaspessoais</t>
  </si>
  <si>
    <t>riqueza dinheiro financaspessoais</t>
  </si>
  <si>
    <t>finançaspessoais sucesso fire</t>
  </si>
  <si>
    <t>enriquecer financaspessoais motivacao rendimento</t>
  </si>
  <si>
    <t>educaçãofinanceira controlefinanceiro finanças</t>
  </si>
  <si>
    <t>dividas finançaspessoais</t>
  </si>
  <si>
    <t>superendividamento dívidas finanças educaçãofinanceira advwesleycesar advocacia advocaciagoiânia advogadoflorianopolis advogadosantacatarina advwesleycesar</t>
  </si>
  <si>
    <t>financaspessoais medicos</t>
  </si>
  <si>
    <t>eleicoes investimentos dinheiro bolsadevalores investimento mercadofinanceiro finan empreendedorismo investir liberdadefinanceira sucesso rendaextra economia educacaofinanceira investidor</t>
  </si>
  <si>
    <t>bragaeconomics economia investimento educacaofinanceira bolsadevalores finançapessoal dinheiro money penserico vocêindependente</t>
  </si>
  <si>
    <t>bragaeconomics economia investimento educacaofinanceira bolsadevalores finançapessoal</t>
  </si>
  <si>
    <t>educacaofinanceira financaspessoais finanças economia economics investimento bolsadevalores dinheiro</t>
  </si>
  <si>
    <t>bragaeconomics educacaofinanceira economia investimento bolsadevalores finançapessoal vocêindependente</t>
  </si>
  <si>
    <t>hivebr politics web3 educacaofinanceira</t>
  </si>
  <si>
    <t>monett inteligenciaartificial algoritmos educacaofinanceira investimentos finanças</t>
  </si>
  <si>
    <t>especialista controle dinheiro finanças qualidade educaçãofinanceira</t>
  </si>
  <si>
    <t>blogdohiellevy deputado aleam georgelins educação educaçãofinanceira escolas finanças</t>
  </si>
  <si>
    <t>investimentos bdrs educacaofinanceira</t>
  </si>
  <si>
    <t>reduçãodegastos finançaspessoais moradiaeconômica dicasfinanceiras</t>
  </si>
  <si>
    <t>ohomemmaisricodababilônia finançaspessoais educaçãofinanceira</t>
  </si>
  <si>
    <t>blogdaconjuntura educacaofinanceira</t>
  </si>
  <si>
    <t>finançaspessoais investimentos patrimônio foco</t>
  </si>
  <si>
    <t>utilidadepublica finançaspessoais investimentoseguro</t>
  </si>
  <si>
    <t>educaçãofinanceira humor comédia</t>
  </si>
  <si>
    <t>economicnewsbrasil educaçãofinanceira endividamento funcionáriopúblico gdf</t>
  </si>
  <si>
    <t>economicnewsbrasil educaçãofinanceira finança</t>
  </si>
  <si>
    <t>dívida economia economicnewsbrasil educaçãofinanceira poupança</t>
  </si>
  <si>
    <t>acoes fiis bolsa bolsadevalores dividendos investimentos ativo rendapassiva renda corretora b3 educacaofinanceira milhas rendavariavel jcp proventos bbdc4 bbdc3 bradesco</t>
  </si>
  <si>
    <t>planodetrading trading bovespa miniíndice gestãoderisco análisetécnica controleemocional educaçãofinanceira disciplina metasrealistas</t>
  </si>
  <si>
    <t>vidasimples dinheiro educaçãofinanceira</t>
  </si>
  <si>
    <t>educaçãofinanceira gestãodedívidas</t>
  </si>
  <si>
    <t>investimentos educacaofinanceira rendaextra dinheiro</t>
  </si>
  <si>
    <t>flokiinu investimentos educaçãofinanceira</t>
  </si>
  <si>
    <t>motivação deus crente católica amor vida educaçãofinanceira</t>
  </si>
  <si>
    <t>mindset educaçãofinanceira controledegastos poupança hábitosfinanceiros futurosaudável</t>
  </si>
  <si>
    <t>resumolivro finançaspessoais sabedoriafinanceira livroclássico</t>
  </si>
  <si>
    <t>financas educacaofinanceira dicadaeconomistamay</t>
  </si>
  <si>
    <t>milhas milhasaéreas milhasaereas pontosemilhas comoganhardinheirocommilhas milhasepontos educaçãofinanceira comoganhardinheironainternet comoganhardinheirona</t>
  </si>
  <si>
    <t>educaçãofinanceira romeuzema atilalemos itabira itabiramg</t>
  </si>
  <si>
    <t>joãovictorino fériasdeverão turismo planejamento finançaspessoais</t>
  </si>
  <si>
    <t>consorcio cantarescorretora cantarescorretoradeseguros financas financaspessoais casapropria lar</t>
  </si>
  <si>
    <t>finançaspessoais mitossobredinheiro</t>
  </si>
  <si>
    <t>finançaspessoais controledegastos dicasfinanceiras</t>
  </si>
  <si>
    <t>finançaspessoais planejamentofinanceiro</t>
  </si>
  <si>
    <t>finançaspessoais vida risos</t>
  </si>
  <si>
    <t>educaçãofinanceira ciênciaseconômicas oferta demanda equilíbriodemercado</t>
  </si>
  <si>
    <t>educaçãofinanceira matemáticafinanceira finanças análise tomadadedecisão</t>
  </si>
  <si>
    <t>glossário educaçãofinanceira preçonominal preçoreal inflação</t>
  </si>
  <si>
    <t>oferta demanda mercado educaçãofinanceira</t>
  </si>
  <si>
    <t>dfc educaçãofinanceira contabilidade demonstraçõesfinanceiras caixa</t>
  </si>
  <si>
    <t>créditoconsignado finançaspessoais juros empréstimos</t>
  </si>
  <si>
    <t>educaçãofinanceira contabilidade demonstraçõesfinanceiras posiçãopatrimonial ativoepassivo</t>
  </si>
  <si>
    <t>crisemundial grandereset investimentos educacaofinanceira dinheiro binance coinbase bitcoin</t>
  </si>
  <si>
    <t>crisemundial grandereset investimentos educacaofinanceira dinheiro</t>
  </si>
  <si>
    <t>britzztgeking educaçãofinanceira negóciosdigitais aprendizagemonline mercadosfinanceiros investimentos empreendedorismodigital finançaspessoais desenvolvimentopessoal educaçãoonline trading</t>
  </si>
  <si>
    <t>organizaçãofinanceira finançaspessoais planilhafinanceira</t>
  </si>
  <si>
    <t>finançaspessoais bancos organizaçãofinanceira</t>
  </si>
  <si>
    <t>notion finançaspessoais template</t>
  </si>
  <si>
    <t>educaçãofinanceira prógovernocentral capitalizaçãoésolução</t>
  </si>
  <si>
    <t>boatarde empresário negocios finançaspessoais deusnocomandofin</t>
  </si>
  <si>
    <t>economia educaçãofinanceira tvcultura</t>
  </si>
  <si>
    <t>consorcio planejamento educaçãofinanceira sonhos casapropria meuapartamento meuap segurança familia</t>
  </si>
  <si>
    <t>metamask blockchain btc educaçãofinanceira futuros tokens bsc cryptocurrency trader inteligenciaartificial highfrequencytrading psicologia mercadofinanceiro</t>
  </si>
  <si>
    <t>pairicopaipobre educaçãofinanceira finançaspessoais investimentos sucessofinanceiro empreendedorismo liberdadefinanceira planejamentofinanceiro educaçãofinanceiraparatodos riquezamental</t>
  </si>
  <si>
    <t>ivipcoin candle análisetécnica investimentos trading mercado finanças educaçãofinanceira investidores traders bolsadevalores ações</t>
  </si>
  <si>
    <t>candle análisetécnica investimentos trading mercado finanças educaçãofinanceira investidores traders bolsadevalores ações</t>
  </si>
  <si>
    <t>ivipcoin investimentos corretoracertificada dicasfinanceiras sucessofinanceiro educaçãofinanceira</t>
  </si>
  <si>
    <t>score credito meutudo educacaofinanceira</t>
  </si>
  <si>
    <t>meutudo credito score educacaofinanceira emprestimo</t>
  </si>
  <si>
    <t>meutudo pais pai diadospais dinheiro educacaofinanceira</t>
  </si>
  <si>
    <t>fypシ reelsinstagram motivacao educacaofinanceira alegria instagram amigos</t>
  </si>
  <si>
    <t>investimentos ações mercadodeações educaçãofinanceira</t>
  </si>
  <si>
    <t>tesourodireto ganhardinheiro investimentos educacaofinanceira</t>
  </si>
  <si>
    <t>mundocoop mundocoop somoscoop coop cooperativismo cooperativa metaverso ia educação educaçãofinanceira semanaenef</t>
  </si>
  <si>
    <t>mundocoop mundocoop somoscoop cooperativismo cooperativa coop credito mercado educaçãofinanceira finanças semanaenef</t>
  </si>
  <si>
    <t>mundocoop mundocoop somoscoop coop cooperativa cooperativismo economia mercado credito educaçãofinanceira finanças</t>
  </si>
  <si>
    <t>emprendedor empreendedorismo trabalho workhard educaçãofinanceira</t>
  </si>
  <si>
    <t>estrategistafinanceiro finanças educaçãofinanceira empreendedorismo empreendedor</t>
  </si>
  <si>
    <t>estrategistafinanceiro finanças educaçãofinanceira empreendedorismo</t>
  </si>
  <si>
    <t>estrategistafinanceiro finanças educaçãofinanceira empreendedorismo empreendedor estrategiafinanceira motivação negócios sucesso business mentoria liderança</t>
  </si>
  <si>
    <t>estrategistafinanceiro finanças educaçãofinanceira</t>
  </si>
  <si>
    <t>estrategistafinanceiro finanças educaçãofinanceira empreendedorismo empreendedor estrategiafinanceira motivação</t>
  </si>
  <si>
    <t>estrategistafinanceiro finanças educaçãofinanceira empreendedorismo empreendedor estrategiafinanceira motivação negócios sucesso</t>
  </si>
  <si>
    <t>estrategistafinanceiro finanças educaçãofinanceira empreendedorismo empreendedor estrategiafinanceira motivação negócios sucesso business mentoria liderança multiempreendedor multiproprietário</t>
  </si>
  <si>
    <t>cm gestãoremotadeaaz mercadofinanceiro produtividade educacaofinanceira estilodevida proposito carreira trabalho educação</t>
  </si>
  <si>
    <t>saude financeira investimentos educacaofinanceira</t>
  </si>
  <si>
    <t>educacaofinanceira planejamentofinanceiro financaspessoais</t>
  </si>
  <si>
    <t>institutocivitas civitaslive cvm educaçãofinanceira</t>
  </si>
  <si>
    <t>descomplica finanças economia gestão dinheiro mercado youtube investimentos educaçãofinanceira</t>
  </si>
  <si>
    <t>finance liberdadefinanceira personalfinance mercadofinanceiro finances educacaofinanceira independenciafinanceira planejamentofinanceiro refinance sucessofinanceiro</t>
  </si>
  <si>
    <t>finançaspessoais dinheiro investimentos educaçãofinanceira planejamentofinanceiro</t>
  </si>
  <si>
    <t>poupança cadernetadepoupança educaçãofinanceira investimentos finançaspessoais dicasfinanceiras economia rendafixa dinheiro controlefinanceiro</t>
  </si>
  <si>
    <t>academiadodinheiro investir b3 ações fii liberdadefinanceira educaçãofinanceira aposentadoria mepoupe primorico rendaextra</t>
  </si>
  <si>
    <t>financaspessoais controlefinanceiro libertesuasfinancas investimentoemsimesmo educacaofinanceira planejamentofinanceiro dicaseconomicas reservadeemergencia</t>
  </si>
  <si>
    <t>propositododinheiro usoresponsaveldodinheiro educacaofinanceira independenciafinanceira investimentosinteligentes realizacaodesonhos equilibriofinanceiro conscienciafinanceira</t>
  </si>
  <si>
    <t>dividendos investimentos ações rendapassiva investidores finançaspessoais bolsadevalores independênciafinanceira mercadofinanceiro educaçãofinanceira</t>
  </si>
  <si>
    <t>educacaofinanceira rendapassiva</t>
  </si>
  <si>
    <t>economedicos finanças financas financaspessoais liberdadefinanceira economia</t>
  </si>
  <si>
    <t>economedicos finanças financas financaspessoais</t>
  </si>
  <si>
    <t>financas economedicos finanças financaspessoais liberdadefinanceira economia</t>
  </si>
  <si>
    <t>economedicos finanças financas financaspessoais liberdadefinanceira</t>
  </si>
  <si>
    <t>economedicos finanças financas financaspessoais liberdadefinanceira economia ibovespa</t>
  </si>
  <si>
    <t>educacaofinanceira familia eduardosch</t>
  </si>
  <si>
    <t>sextou finaldesemana ebook investimentos investirnoexterior negócios empreendedor educaçãofinanceira comoinvestirnoexterior</t>
  </si>
  <si>
    <t>finançaspessoais investimentos educaçãofinanceira tesourodireto fundosdeinvestimento ações rendafixa diversificação planejamentofinanceiro</t>
  </si>
  <si>
    <t>finanças dinheiro investimentos economia riqueza negócios investir liberdadefinanceira educaçãofinanceira sucesso planejamentofinanceiro</t>
  </si>
  <si>
    <t>jornaljogoserio golpe estelionato crime internet online adistancia virtual prejuizos financaspessoais perdas vitima autoria ocorrenciapolicial</t>
  </si>
  <si>
    <t>jornaljogoserio estelionato golpe viainternet crime delito ocorrenciapolicial investigacaocriminal prejuizo financaspessoais financeiro pmmg pcmg cirmevirtual</t>
  </si>
  <si>
    <t>fluxodecaixa educacaofinanceira finance conscienciafinanceira</t>
  </si>
  <si>
    <t>finanças educação cursos educacaofinanceira curso economia investimentos investimento</t>
  </si>
  <si>
    <t>qqqetf stockoptions stockoptionstrader educacion educacaofinanceira enespañol</t>
  </si>
  <si>
    <t>applestock educacion educacaofinanceira enespañol stockoptions stockoptionstrader</t>
  </si>
  <si>
    <t>applestock stockoptions stockoptionstrader educacion educacaofinanceira enespañol</t>
  </si>
  <si>
    <t>nas100 educacaofinanceira educacionfinanciera enespañol</t>
  </si>
  <si>
    <t>planejamentofinanceiro finançaspessoais metasfinanceiras</t>
  </si>
  <si>
    <t>notícias carreira desatualizado finançaspessoais gerenciamento</t>
  </si>
  <si>
    <t>etf investimento crianças educaçãofinanceira curso b3</t>
  </si>
  <si>
    <t>educacaofinanceira curso</t>
  </si>
  <si>
    <t>finançaspessoais controlefinanceiro</t>
  </si>
  <si>
    <t>pairico financaspessoais apps richpoor rico primorico robertkyosaki appfinanceiro iphone android fluxodecaixa gastos comoenriquecer livropairico</t>
  </si>
  <si>
    <t>educaçãofinanceira independenciafinanceira</t>
  </si>
  <si>
    <t>educaçãofinanceira planejamento famíliafinanceira errosfinanceiros</t>
  </si>
  <si>
    <t>impostoderenda irpf2023 irpf contabilidade financaspessoais</t>
  </si>
  <si>
    <t>powerhash mineraçãodecriptomoedas criptomoedas bitcoin tether altcoin rendapassiva independênciafinanceira riqueza investimento finançaspessoais</t>
  </si>
  <si>
    <t>lanistar lanistarbrasil educaçãofinanceira</t>
  </si>
  <si>
    <t>primorico jimorico finanças educaçãofinanceira</t>
  </si>
  <si>
    <t>brasilia educacaofinanceira gastos</t>
  </si>
  <si>
    <t>educaçãofinanceira dinheiro warrenbuffett jimsimmons riqueza fortuna ricos investimentos</t>
  </si>
  <si>
    <t>objetivosfinanceiros independência palestra educaçaofinanceira</t>
  </si>
  <si>
    <t>educaçãofinanceira aprendizado sebrae empreender palestra</t>
  </si>
  <si>
    <t>finançaspessoais pessoajurídica empreendedorismo empreender rh empresario</t>
  </si>
  <si>
    <t>educaçãofinanceira empreendedores grandesp empresario rh</t>
  </si>
  <si>
    <t>futuro educaçãofinanceira empreendedores empreender rh palestra</t>
  </si>
  <si>
    <t>finanças educaçãofinanceira dividas</t>
  </si>
  <si>
    <t>finançaspessoais fnsconselhos</t>
  </si>
  <si>
    <t>educaçãoinfantil educaçãofinanceira</t>
  </si>
  <si>
    <t>investimento planejamentofinanceiro planejamento educaçãofinanceira</t>
  </si>
  <si>
    <t>educacaoinfantil educaçãofinanceira dinheiro finanças finançasfamiliar financaspessoais educacao equilíbrio equilibriofinanceiro investimento educabrasil</t>
  </si>
  <si>
    <t>economia investimentos educaçãofinanceira conhecimento</t>
  </si>
  <si>
    <t>cerveira nopouparestaoganho educacaofinanceira olimpiadaseducacaofinanceira alunos</t>
  </si>
  <si>
    <t>altominho educacaofinanceira cimaltominho vencedores alunos nopouparestaoganho</t>
  </si>
  <si>
    <t>cpa20 anbima investimento educação educacaofinanceira aprovação motivacao motivação bancos mercadofinanceiro</t>
  </si>
  <si>
    <t>agrotimes agronegócio finançaspessoais</t>
  </si>
  <si>
    <t>educacaofinanceira empreendedor dinheiro finanças reflexao empreendedorismo vendermais organizacaofinanceira rendaextra rendaextraemcasa marketingdigital vendedor direita conservador</t>
  </si>
  <si>
    <t>educacaofinanceira empreendedor dinheiro finanças reflexao empreendedorismo vendermais organizacaofinanceira rendaextra marketingdigital vendedor direita conservador hugocarvajal</t>
  </si>
  <si>
    <t>educacaofinanceira empreendedor dinheiro finanças reflexao empreendedorismo vendermais organizacaofinanceira rendaextra rendaextraemcasa marketingdigital vendedor direita conservador billygraham</t>
  </si>
  <si>
    <t>educacaofinanceira empreendedor dinheiro finanças reflexao empreendedorismo vendermais organizacaofinanceira rendaextra rendaextraemcasa marketingdigital vendedor direita conservador elonmusk</t>
  </si>
  <si>
    <t>educacaofinanceira empreendedor dinheiro finanças reflexao empreendedorismo vendermais organizacaofinanceira rendaextra rendaextraemcasa marketingdigital vendedor direita conservador flaviodinocomunista</t>
  </si>
  <si>
    <t>educacaofinanceira empreendedor dinheiro finanças reflexao empreendedorismo vendermais organizacaofinanceira rendaextra rendaextraemcasa marketingdigital vendedor sportrecife maiordonordeste</t>
  </si>
  <si>
    <t>educacaofinanceira empreendedor dinheiro finanças reflexao empreendedorismo vendermais organizacaofinanceira rendaextra rendaextraemcasa marketingdigital vendedor direita conservador soundoffreedom</t>
  </si>
  <si>
    <t>educacaofinanceira empreendedor dinheiro finanças reflexao empreendedorismo vendermais organizacaofinanceira rendaextra rendaextraemcasa marketingdigital vendedor direita conservador petralha</t>
  </si>
  <si>
    <t>educacaofinanceira empreendedor dinheiro finanças reflexao empreendedorismo vendermais organizacaofinanceira rendaextra rendaextraemcasa marketingdigital vendedor direita conservador janvanellam</t>
  </si>
  <si>
    <t>educacaofinanceira empreendedor dinheiro finanças reflexao empreendedorismo vendermais organizacaofinanceira rendaextra rendaextraemcasa marketingdigital vendedor direita conservador alanwatts</t>
  </si>
  <si>
    <t>educacaofinanceira empreendedor dinheiro finanças reflexao empreendedorismo vendermais organizacaofinanceira rendaextra rendaextraemcasa marketingdigital vendedor direita conservador rogerscruton</t>
  </si>
  <si>
    <t>educacaofinanceira empreendedor dinheiro finanças reflexao empreendedorismo vendermais organizacaofinanceira rendaextra rendaextraemcasa marketingdigital vendedor direita conservador fazueli</t>
  </si>
  <si>
    <t>educacaofinanceira empreendedor dinheiro finanças reflexao empreendedorismo vendermais organizacaofinanceira rendaextra rendaextraemcasa marketingdigital vendedor direita conservador stevenlawson</t>
  </si>
  <si>
    <t>educacaofinanceira empreendedor dinheiro finanças reflexao empreendedorismo vendermais organizacaofinanceira rendaextra rendaextraemcasa marketingdigital vendedor direita conservador brasil santacruz feminina</t>
  </si>
  <si>
    <t>educacaofinanceira empreendedor dinheiro finanças reflexao empreendedorismo vendermais organizacaofinanceira rendaextra rendaextraemcasa marketingdigital vendedor direita conservador jiddukrishnamurti</t>
  </si>
  <si>
    <t>educacaofinanceira empreendedor dinheiro finanças reflexao empreendedorismo vendermais organizacaofinanceira rendaextra rendaextraemcasa marketingdigital vendedor direita conservador billmurray</t>
  </si>
  <si>
    <t>educacaofinanceira empreendedor dinheiro finanças reflexao empreendedorismo vendermais organizacaofinanceira rendaextra rendaextraemcasa marketingdigital vendedor sportrecife serieb maiordonordeste</t>
  </si>
  <si>
    <t>educacaofinanceira empreendedor dinheiro finanças reflexao empreendedorismo vendermais organizacaofinanceira rendaextra rendaextraemcasa marketingdigital vendedor direita conservador frankshermanland</t>
  </si>
  <si>
    <t>educacaofinanceira empreendedor dinheiro finanças reflexao empreendedorismo vendermais organizacaofinanceira rendaextra rendaextraemcasa marketingdigital vendedor direita conservador eusigobolsonaro</t>
  </si>
  <si>
    <t>educacaofinanceira empreendedor dinheiro finanças reflexao empreendedorismo vendermais organizacaofinanceira rendaextra rendaextraemcasa marketingdigital vendedor direita conservador napoleonhill</t>
  </si>
  <si>
    <t>educacaofinanceira empreendedor dinheiro finanças reflexao empreendedorismo vendermais organizacaofinanceira rendaextra rendaextraemcasa marketingdigital vendedor direita conservador streaming</t>
  </si>
  <si>
    <t>educacaofinanceira empreendedor dinheiro finanças reflexao empreendedorismo vendermais organizacaofinanceira rendaextra rendaextraemcasa marketingdigital vendedor direita conservador nom</t>
  </si>
  <si>
    <t>educacaofinanceira empreendedor dinheiro finanças reflexao empreendedorismo vendermais organizacaofinanceira rendaextra rendaextraemcasa marketingdigital vendedor morpheus matrix</t>
  </si>
  <si>
    <t>educacaofinanceira empreendedor dinheiro finanças reflexao empreendedorismo vendermais organizacaofinanceira rendaextra rendaextraemcasa marketingdigital vendedor filosofia freud</t>
  </si>
  <si>
    <t>educacaofinanceira empreendedor dinheiro finanças reflexao empreendedorismo vendermais organizacaofinanceira rendaextra rendaextraemcasa marketingdigital vendedor tiagomedeiros santacruz sportrecife</t>
  </si>
  <si>
    <t>educacaofinanceira empreendedor dinheiro finanças reflexao empreendedorismo vendermais organizacaofinanceira rendaextra rendaextraemcasa marketingdigital vendedor direita conservador flaviodinocomrabopreso</t>
  </si>
  <si>
    <t>educacaofinanceira empreendedor dinheiro finanças reflexao empreendedorismo vendermais organizacaofinanceira rendaextra rendaextraemcasa marketingdigital vendedor direita conservador olavotemrazao</t>
  </si>
  <si>
    <t>educacaofinanceira empreendedor dinheiro finanças reflexao empreendedorismo vendermais organizacaofinanceira rendaextra rendaextraemcasa marketingdigital vendedor direita conservador zedirceu petêadmitiu</t>
  </si>
  <si>
    <t>educacaofinanceira empreendedor dinheiro finanças reflexao empreendedorismo vendermais organizacaofinanceira rendaextra rendaextraemcasa marketingdigital vendedor direita conservador frankzappa</t>
  </si>
  <si>
    <t>educacaofinanceira empreendedor dinheiro finanças reflexao empreendedorismo vendermais organizacaofinanceira rendaextra rendaextraemcasa marketingdigital vendedor direita conservador soundoffreedom timballard</t>
  </si>
  <si>
    <t>educacaofinanceira empreendedor dinheiro finanças reflexao empreendedorismo vendermais organizacaofinanceira rendaextra rendaextraemcasa marketingdigital vendedor direita conservador esquerdamaldita</t>
  </si>
  <si>
    <t>educacaofinanceira empreendedor dinheiro finanças reflexao empreendedorismo vendermais organizacaofinanceira rendaextra rendaextraemcasa marketingdigital vendedor direita conservador rodolfoabrantes</t>
  </si>
  <si>
    <t>educacaofinanceira empreendedor dinheiro finanças reflexao empreendedorismo vendermais organizacaofinanceira rendaextra rendaextraemcasa marketingdigital vendedor crb sport serieb2023</t>
  </si>
  <si>
    <t>educacaofinanceira empreendedor dinheiro finanças reflexao empreendedorismo vendermais organizacaofinanceira rendaextra rendaextraemcasa marketingdigital vendedor direita conservador fazol casasbahia</t>
  </si>
  <si>
    <t>educacaofinanceira empreendedor dinheiro finanças reflexao empreendedorismo vendermais organizacaofinanceira rendaextra marketingdigital vendedor direita conservador pedofilia criancaesperanca fazol</t>
  </si>
  <si>
    <t>educacaofinanceira empreendedor dinheiro finanças reflexao empreendedorismo vendermais organizacaofinanceira rendaextra rendaextraemcasa marketingdigital vendedor direita conservador thomasedison</t>
  </si>
  <si>
    <t>educacaofinanceira empreendedor dinheiro finanças reflexao empreendedorismo vendermais organizacaofinanceira rendaextra rendaextraemcasa marketingdigital vendedor santacruz seried</t>
  </si>
  <si>
    <t>educacaofinanceira empreendedor dinheiro finanças reflexao empreendedorismo vendermais organizacaofinanceira rendaextra rendaextraemcasa marketingdigital vendedor sportrecife</t>
  </si>
  <si>
    <t>educacaofinanceira empreendedor dinheiro finanças reflexao empreendedorismo vendermais organizacaofinanceira rendaextra rendaextraemcasa marketingdigital vendedor direita conservador jairbolsonaro</t>
  </si>
  <si>
    <t>educacaofinanceira empreendedor dinheiro finanças reflexao empreendedorismo vendermais organizacaofinanceira rendaextra rendaextraemcasa marketingdigital vendedor direita conservador jimryun</t>
  </si>
  <si>
    <t>educacaofinanceira empreendedor dinheiro finanças reflexao empreendedorismo marketingdigital vendedor direita conservador foralula</t>
  </si>
  <si>
    <t>educacaofinanceira empreendedor dinheiro finanças reflexao empreendedorismo vendermais organizacaofinanceira rendaextra rendaextraemcasa marketingdigital vendedor direita conservador jimcaviezel</t>
  </si>
  <si>
    <t>educacaofinanceira empreendedor dinheiro finanças reflexao empreendedorismo vendermais organizacaofinanceira rendaextra rendaextraemcasa marketingdigital vendedor direita conservador genfigueiredo</t>
  </si>
  <si>
    <t>educacaofinanceira empreendedor dinheiro finanças reflexao empreendedorismo vendermais organizacaofinanceira rendaextra rendaextraemcasa marketingdigital direita conservador imprensa corrupcao josephpulitzer</t>
  </si>
  <si>
    <t>educacaofinanceira empreendedor dinheiro finanças reflexao empreendedorismo vendermais organizacaofinanceira rendaextra rendaextraemcasa marketingdigital vendedor iptv</t>
  </si>
  <si>
    <t>educacaofinanceira empreendedor dinheiro finanças reflexao empreendedorismo vendermais organizacaofinanceira rendaextra rendaextraemcasa marketingdigital vendedor direita conservador fazol magazineluiza</t>
  </si>
  <si>
    <t>educacaofinanceira empreendedor dinheiro finanças reflexao empreendedorismo vendermais organizacaofinanceira rendaextra rendaextraemcasa marketingdigital vendedor direita conservador 8dejaneiro</t>
  </si>
  <si>
    <t>educacaofinanceira empreendedor dinheiro finanças reflexao empreendedorismo vendermais organizacaofinanceira rendaextra rendaextraemcasa marketingdigital vendedor direita conservador josephpulitzer</t>
  </si>
  <si>
    <t>educacaofinanceira empreendedor dinheiro finanças reflexao empreendedorismo vendermais organizacaofinanceira rendaextra rendaextraemcasa marketingdigital vendedor direita conservador bolsonarosempretemrazao</t>
  </si>
  <si>
    <t>educacaofinanceira empreendedor dinheiro finanças reflexao empreendedorismo vendermais organizacaofinanceira rendaextra rendaextraemcasa marketingdigital vendedor direita conservador robertadams</t>
  </si>
  <si>
    <t>educacaofinanceira empreendedor dinheiro finanças reflexao empreendedorismo vendermais organizacaofinanceira rendaextra rendaextraemcasa marketingdigital vendedor direita conservador arthurschopenhauer</t>
  </si>
  <si>
    <t>educacaofinanceira reflexao empreendedorismo vendermais organizacaofinanceira rendaextraemcasa marketingdigital direita conservador</t>
  </si>
  <si>
    <t>educacaofinanceira empreendedor dinheiro finanças reflexao empreendedorismo vendermais organizacaofinanceira rendaextra rendaextraemcasa marketingdigital vendedor tvonline</t>
  </si>
  <si>
    <t>educacaofinanceira empreendedor dinheiro finanças reflexao empreendedorismo vendermais organizacaofinanceira rendaextra rendaextraemcasa marketingdigital vendedor epoca guerra winstonchurchill</t>
  </si>
  <si>
    <t>educacaofinanceira empreendedor dinheiro finanças reflexao empreendedorismo vendermais organizacaofinanceira rendaextra rendaextraemcasa marketingdigital vendedor direita conservador sergiomoro</t>
  </si>
  <si>
    <t>educacaofinanceira empreendedor dinheiro finanças reflexao empreendedorismo vendermais organizacaofinanceira rendaextra rendaextraemcasa marketingdigital vendedor direita conservador luladraodesgracaedestruicao</t>
  </si>
  <si>
    <t>educacaofinanceira empreendedor dinheiro finanças reflexao empreendedorismo vendermais organizacaofinanceira rendaextra rendaextraemcasa marketingdigital vendedor direita conservador haddadposte</t>
  </si>
  <si>
    <t>educacaofinanceira empreendedor dinheiro finanças reflexao empreendedorismo vendermais organizacaofinanceira rendaextra rendaextraemcasa marketingdigital vendedor direita conservador napoleaobonaparte</t>
  </si>
  <si>
    <t>educacaofinanceira empreendedor dinheiro finanças reflexao empreendedorismo vendermais organizacaofinanceira rendaextra rendaextraemcasa marketingdigital vendedor direita conservador martincooper</t>
  </si>
  <si>
    <t>educacaofinanceira empreendedor dinheiro finanças reflexao empreendedorismo vendermais organizacaofinanceira rendaextra rendaextraemcasa marketingdigital vendedor direita conservador cuidadocomsuaface</t>
  </si>
  <si>
    <t>educacaofinanceira empreendedor dinheiro finanças reflexao empreendedorismo vendermais organizacaofinanceira rendaextra rendaextraemcasa marketingdigital vendedor direita conservador contradrogas</t>
  </si>
  <si>
    <t>educacaofinanceira empreendedor dinheiro finanças reflexao empreendedorismo vendermais marketingdigital vendedor direita conservador foralula</t>
  </si>
  <si>
    <t>educacaofinanceira empreendedor dinheiro finanças reflexao empreendedorismo vendermais marketingdigital vendedor direita conservador</t>
  </si>
  <si>
    <t>educacaofinanceira empreendedor dinheiro finanças reflexao empreendedorismo vendermais organizacaofinanceira rendaextra rendaextraemcasa marketingdigital vendedor direita conservador brucedickinson ironmaiden</t>
  </si>
  <si>
    <t>educacaofinanceira empreendedor dinheiro finanças reflexao empreendedorismo vendermais organizacaofinanceira rendaextra rendaextraemcasa marketingdigital johnnydepp</t>
  </si>
  <si>
    <t>educacaofinanceira empreendedor dinheiro finanças reflexao empreendedorismo vendermais organizacaofinanceira rendaextra rendaextraemcasa marketingdigital vendedor direita conservador pilhado</t>
  </si>
  <si>
    <t>educacaofinanceira empreendedor dinheiro finanças reflexao empreendedorismo vendermais organizacaofinanceira rendaextra rendaextraemcasa marketingdigital vendedor direita conservador victorfasano</t>
  </si>
  <si>
    <t>educacaofinanceira empreendedor dinheiro finanças reflexao empreendedorismo vendermais organizacaofinanceira rendaextra rendaextraemcasa marketingdigital vendedor nom iluminate desperte</t>
  </si>
  <si>
    <t>investimentos financaspessoais organizacaoprofissional</t>
  </si>
  <si>
    <t>estudo decisão escolhas financaspessoais planejamento</t>
  </si>
  <si>
    <t>direitodoconsumidor consumidor financas financaspessoas consumo dívidas bancos educacaofinanceira chequeespecial juros bens servicos procon procomum inflacao debito emprestimo pagamento divida cdc</t>
  </si>
  <si>
    <t>diadospais forkthebanks investimentos educaçãofinanceira lições</t>
  </si>
  <si>
    <t>finançaspessoais compradecarro consórcio</t>
  </si>
  <si>
    <t>bemestarfinanceiro educaçãofinanceira redeasdavida capacitaec</t>
  </si>
  <si>
    <t>brasil iptv news apple btc criptomoedas blockchain investimentos aprenda mudesuavida economia finanças educaçaofinanceira investidor iniciante sucesso rico bitcoin token web3 metaverso cripto liberdadefinanceira brasil criptoativos defi web3 crypto nf</t>
  </si>
  <si>
    <t>finançaspessoais liçõesbíblicas</t>
  </si>
  <si>
    <t>inflação finanças educaçãofinanceira</t>
  </si>
  <si>
    <t>economia investimentos financaspessoais financas educacaofinanceira roboadvisor</t>
  </si>
  <si>
    <t>investimentos planejamentofinanceiro educacaofinanceira objetivos metas metasfinanceiras assessordeinvestimentos xp xpinvestimentos nortus nortusinvestimentos</t>
  </si>
  <si>
    <t>podcast entrevista investimentos inteligenciafinanceira educaçãofinanceira financas financaspessoais investimentosinteligentes investimentofinanceiro nortus nortusinvestimentos xp xpinvestimentos xpinc</t>
  </si>
  <si>
    <t>economia investimentos mercados dinheiro finançaspessoais frasedodia pensamentos financas educaçãofinanceira comportamento results resultados xp xpinvestimentos xpinc finanças maurohalfeld</t>
  </si>
  <si>
    <t>assessordeinvestimentos inteligenciafinanceira investimentos investimentosinteligentes planejamento mercadofinanceiro futuro metas longoprazo objetivos economia dinheiro educacaofinanceira finanças financialadvisor</t>
  </si>
  <si>
    <t>economia investimentos dinheiro mercadofinanceiro frasedodia pensamentos financas educaçãofinanceira comportamento bolsadevalores acoes xp finanças peterlynch</t>
  </si>
  <si>
    <t>investimentos mercados dinheiro finançaspessoais frasedodia pensamentos financas educaçãofinanceira comportamento resultados xp xpinvestimentos xpinc nortus nortusinvestimentos</t>
  </si>
  <si>
    <t>roberttkiyosaki robertkyosakiquote penseeenriqueça dinheiro money finanças conhecimento investimentos financaspessoais dicadelivro pairicopaipobre</t>
  </si>
  <si>
    <t>aynrand aynranduotes penseeenriqueça dinheiro money finanças conhecimento investimentos financaspessoais dicadelivro objetivismo arevoltadeatlas atlasshrugged</t>
  </si>
  <si>
    <t>investimentos dinheiro mercadofinanceiro frasedodia pensamentos educaçãofinanceira comportamento elonmusk tesla twitter</t>
  </si>
  <si>
    <t>ganhardinheiro investimentos trading finanças empreendedorismo negócios marketingdigital rendaextra dinheiro sucesso liberdadefinanceira foco motivação economia investir oportunidades trabalharemcasa dinheiroextra independenciafinanceira educacaofinanceira</t>
  </si>
  <si>
    <t>educacaofinanceira investimentos desmentindofakenews informação correta gratuita</t>
  </si>
  <si>
    <t>investimento investimentoobjetivo conhecimento confiança finançaspessoais tomandodecisões</t>
  </si>
  <si>
    <t>investimento investimentoobjetivo ganância prudência finançaspessoais tomandodecisões</t>
  </si>
  <si>
    <t>planejamentodeinvestimentos finançaspessoais investimentos estrtégiafinanceira investimentosinteligentes crescimentopatrimonial sucessofinanceiro</t>
  </si>
  <si>
    <t>investimento investimentoobjetivo preocupação planejamentofinanceiro finançaspessoais tomandodecisões</t>
  </si>
  <si>
    <t>investimento investimentoobjetivo esperança crescimento finançaspessoais tomandodecisões</t>
  </si>
  <si>
    <t>liberdadefinanceira educacaofinanceira investimentos dinheiro mudancadevida</t>
  </si>
  <si>
    <t>endividamento investimentoobjetivo liberdadefinanceira aposentadoria planejamentofinanceiro educaçãofinanceira</t>
  </si>
  <si>
    <t>controlefinanceiro investimentoobjetivo finançaspessoais educaçãofinanceira metasfinanceiras planejamentofinanceiro</t>
  </si>
  <si>
    <t>planejamentofinanceiro investimentoobjetivo finançaspessoais educaçãofinanceira investimentos crecimentopatrimonial</t>
  </si>
  <si>
    <t>investimento investimentoobjetivo frustração persistência finançaspessoais tomandodecisões</t>
  </si>
  <si>
    <t>liberdadefinanceira finançaspessoais investimentos planejamentofinanceiro investimentoobjetivo</t>
  </si>
  <si>
    <t>liberdadefinanceira educacaofinanceira orçamentopessoal planejamentofinanceiro</t>
  </si>
  <si>
    <t>metasfinanceiras liberdadefinanceira finançaspessoais mentoriailf</t>
  </si>
  <si>
    <t>diversificação investimentoobjetivo investimento rendafixa rendavariavel fundosdeinvestimentos educaçãofinanceira</t>
  </si>
  <si>
    <t>medodeinvestir investimentoobjetivo liberdadefinanceira aposentadoria educaçãofinanceira investimentos</t>
  </si>
  <si>
    <t>endividamento investimentoobjetivo educacaofinanceira controlefinanceiro vidafinanceira comportamento gatilhosmentais planejamentofinanceiro</t>
  </si>
  <si>
    <t>finançaspessoais educaçãofinanceira planejamentofinanceiro liberdadefinanceira</t>
  </si>
  <si>
    <t>investimentos investimentoobjetivo mentoriafinanceira liberdadefinanceira aposentadoria educaçãofinanceira</t>
  </si>
  <si>
    <t>investimento investimentoobjetivo semmedo medofinanceiro finançaspessoais tomandodecisões</t>
  </si>
  <si>
    <t>endividamento investimentoobjetivo finançaspessoais educaçãofinanceira</t>
  </si>
  <si>
    <t>carronovo escolhasinteligentes finançaspessoais educandoseubolso</t>
  </si>
  <si>
    <t>educaçãofinanceira eletricista eletrificacao embudasartes</t>
  </si>
  <si>
    <t>rh recursoshumanos trabalho educaçãofinanceira enfermagem obras autozone byd</t>
  </si>
  <si>
    <t>educaçãofinanceira eletricista eletrificacao embudasartes empatia empreendedor</t>
  </si>
  <si>
    <t>ead eafelino ebramec ecoinovação economia ecossistema educação educaçãofinanceira eg eletricista eletrificacao eletromecanica</t>
  </si>
  <si>
    <t>filosofia filosofiadevida financaspessoais financeiro</t>
  </si>
  <si>
    <t>educacaofinanceira financas</t>
  </si>
  <si>
    <t>financas educacaofinanceira parabens</t>
  </si>
  <si>
    <t>entrevista tv educacaofinanceira</t>
  </si>
  <si>
    <t>mônica educacaofinanceira matematicafinanceira</t>
  </si>
  <si>
    <t>controledegastos saúdefinanceira metasfinanceiras planejamentofinanceiro educaçãofinanceira dicasfinanceiras vidafinanceira equilíbriofinanceiro organizaçãofinanceira independênciafinanceira</t>
  </si>
  <si>
    <t>finançaspessoais gestãofinanceira</t>
  </si>
  <si>
    <t>psicologiafinanceira educaçãofinanceira</t>
  </si>
  <si>
    <t>angola cmc cmc mercadodecapitais educaçãofinanceira concursocientífico</t>
  </si>
  <si>
    <t>bitcoin investimento enzo tujaparouprapensar crypto educacaofinanceira criancasendo crianca</t>
  </si>
  <si>
    <t>educaçãofinanceira liberdadefinanceira</t>
  </si>
  <si>
    <t>investimentos mercadofinanceiro liberdadegeográfica liberdadefinanceira oportunidades crescimento prosperidade conhecimento educaçãofinanceira trabalhoremoto flexibilidade persistência independênciafinanceira realizaçãodesonhos apoioprofissional</t>
  </si>
  <si>
    <t>superrico finançaspessoais</t>
  </si>
  <si>
    <t>superrico finançaspessoais investimentos planejadoresfinanceiros independênciafinanceira</t>
  </si>
  <si>
    <t>superrico finançaspessoais investimentos planejadoresfinanceiros independênciafinanceira saúdefinanceira</t>
  </si>
  <si>
    <t>superrico finançaspessoais investimentos planejadoresfinanceiros saúdefinanceira</t>
  </si>
  <si>
    <t>superrico finançaspessoais planejadoresfinanceiros independênciafinanceira saúdefinanceira</t>
  </si>
  <si>
    <t>superrico finançaspessoais investimentos planejadoresfinanceiros independênciafinanceira saudefinanceira</t>
  </si>
  <si>
    <t>keepgrowingmentoria desenvolvimentopessoal liberdadefinanceira educaçãofinanceira dinheiro menor mentoria objetivos metas</t>
  </si>
  <si>
    <t>keepgrowingmentoria educaçãofinanceira mentalidadevencedora mentalidadederiqueza mentalidade poderdohábito</t>
  </si>
  <si>
    <t>keepgrowingmentoria desenvolvimentopessoal casaisinteligentesenriquecem finançasadois dinheiro educaçãofinanceira casalinteligenteenriquecejuntos diadosnamorados amor futuro</t>
  </si>
  <si>
    <t>keepgrowing mentoria educaçãofinanceira investir dinheiro inteligenciafinanceira investiemntos futuro</t>
  </si>
  <si>
    <t>keepgrowingmentoria makeyourfuture desenvolvimentopessoal realização liberdadefinanceira educaçãofinanceira mentoria inteligenciafinanceira dinheiro investir investimentos ações investidoresiniciantes</t>
  </si>
  <si>
    <t>keepgrowingmentoria realização liberdadefinanceira educaçãofinanceira mentoria inteligenciafinanceira dinheiro investir investimentos ações</t>
  </si>
  <si>
    <t>keepgrowing keepgrowingmentoria makeyourfuture educaçãofinanceira educaçãofinanceiraparacrianças dinheiro liberdadefinanceira napoleonhill novasideias mudanças triunfo evolução conquistas</t>
  </si>
  <si>
    <t>keepgrowing podcast finanças liberdadefinanceira dinheiro educaçãofinanceira</t>
  </si>
  <si>
    <t>keepgrowingmentoria realização liberdadefinanceira aposentadoria inteligenciafinanceira dinheiro investir investimentos ações inss dinheiro velhice educaçãofinanceira inteligenciafinanceira</t>
  </si>
  <si>
    <t>keepgrowing keepgrowingmentoria makeyourfuture desenvolvimentopessoal disciplina iteligenciafinanceira gastos controlandogastos educaçãofinanceira dinheiro economia economize invista investimentos liberdadefinanceira</t>
  </si>
  <si>
    <t>keepgrowing keepgrowingmentoria makeyourfuture desenvolvimentopessoal liberdadefinanceira liberdade inteligenciafinanceira educaçãofinanceira desenvolvimentofinanceiro organizaçãofinanceira</t>
  </si>
  <si>
    <t>profricardoviana matematica financeira educacaofinanceira dicadelivro ficaadica leiamais finanças</t>
  </si>
  <si>
    <t>profricardoviana matematica financeira educacaofinanceira concursopublico concursos enem bb2023 cef2023 brb2023 basa2023 bc2023 bacen2023</t>
  </si>
  <si>
    <t>educaçãofinanceira finançaspessoais orgazinesuasfinanças</t>
  </si>
  <si>
    <t>profricardoviana matematica financeira educacaofinanceira financas economia dicadelivro ficaadica livrofinancas leiamais</t>
  </si>
  <si>
    <t>profricardoviana matematica financeira educacaofinanceira metas2023 resolucaoanonovo resolucoes vidanova</t>
  </si>
  <si>
    <t>profricardoviana matematica financeira diadoamigo educaçãofinanceira amigosqueseapoiam crescendojuntos</t>
  </si>
  <si>
    <t>profricardoviana diadopiquenique educaçãofinanceira vidasimples valorizandoexperiências desacelerando</t>
  </si>
  <si>
    <t>diadopiquenique educaçãofinanceira vidasimples valorizandoexperiências desacelerando</t>
  </si>
  <si>
    <t>profricardoviana matematica financeira financas investimentos educacaofinanceira graduacao posgraduacao concursopublico concursos</t>
  </si>
  <si>
    <t>educaçãofinanceira sabadou</t>
  </si>
  <si>
    <t>profricardoviana educaçãofinanceira responsabilidadefinanceira vidanoorçamento organizesuasfinanças</t>
  </si>
  <si>
    <t>dicadelivro ficaadica leiamais economia livrodefinanças educaçãofinanceira profricardoviana</t>
  </si>
  <si>
    <t>profricardoviana matemáticafinanceira educaçãofinanceira</t>
  </si>
  <si>
    <t>100kseguidores educaçãofinanceira matemáticafinanceira</t>
  </si>
  <si>
    <t>amoremequilíbrio educacaofinanceira</t>
  </si>
  <si>
    <t>dicadelivro educaçãofinanceira profricardoviana</t>
  </si>
  <si>
    <t>errosfinanceiros aprendercomoserros educaçãofinanceira</t>
  </si>
  <si>
    <t>profricardoviana matematica financeira educacaofinanceira diadoamigo</t>
  </si>
  <si>
    <t>profricardoviana educacaofinanceira financaspessoais planejamentofinanceiro liberdadefinanceira organizesuasfinanças</t>
  </si>
  <si>
    <t>educaçãofinanceira investimentopessoal liberdadefinanceira</t>
  </si>
  <si>
    <t>independênciadobrasil educaçãofinanceira liberdadefinanceira matemáticafinanceira profricardoviana</t>
  </si>
  <si>
    <t>educaçãofinanceira prosperidadefinanceira matemáticafinanceira profricardoviana</t>
  </si>
  <si>
    <t>profricardoviana matemáticafinanceira educaçãofinanceira concursopúblico concursos</t>
  </si>
  <si>
    <t>profricardoviana matematica financeira educacaofinanceira concursopublico dicadelivro ficaadica leiamais livrofinancas</t>
  </si>
  <si>
    <t>educaçãofinanceira sonhosemrealidade matemáticafinanceira profricardoviana</t>
  </si>
  <si>
    <t>matemática financeira educaçãofinanceira profricardoviana</t>
  </si>
  <si>
    <t>profricardoviana matemáticafinanceira educaçãofinanceira concursopúblico empréstimos planejamentofinanceiro dicasdefinanças</t>
  </si>
  <si>
    <t>matematica financeira educaçãofinanceira concursopublico concursos brb2023 basa2023 bc2023 bacen2023 profricardoviana</t>
  </si>
  <si>
    <t>profricardoviana matematica financeira educacaofinanceira concursopublico concursos enem bb2023 cef2023 brb2023 basa2023 bc2023 bacen2023 análiseinvestimentos</t>
  </si>
  <si>
    <t>controledegastos educaçãofinanceira equilíbriofinanceiro investimentos planejamentofinanceiro</t>
  </si>
  <si>
    <t>finançaspessoais investimentos orçamento planejamentofinanceiro poupança</t>
  </si>
  <si>
    <t>bolsadevalores educaçãofinanceira estratégia investimento segurança</t>
  </si>
  <si>
    <t>diversificação finançaspessoais fundosdeinvestimento investimentos rentabilidade</t>
  </si>
  <si>
    <t>economiadoméstica finançaspessoais gestãofinanceira orçamentopessoal planejamentofinanceiro</t>
  </si>
  <si>
    <t>educaçãofinanceira bitcoinblackpill</t>
  </si>
  <si>
    <t>investimento finançaspessoais riquezafutura</t>
  </si>
  <si>
    <t>mercadofinanceiro investimentos dicasfinanceiras educaçãofinanceira</t>
  </si>
  <si>
    <t>finance libertadfinanciera liberdadefinanceira finances personalfinance financetips mercadofinanceiro educacionfinanciera educacaofinanceira planejamentofinanceiro independenciafinanceira educaçãofinanceira</t>
  </si>
  <si>
    <t>resenhadelivros educacaofinanceira investimentos oinvestidorinteligente</t>
  </si>
  <si>
    <t>jeitobbank independenciafinanceira educacaofinanceira bancodigital vidafinanceira</t>
  </si>
  <si>
    <t>ativos investimentos investidor educacaofinanceira finanças</t>
  </si>
  <si>
    <t>investimentos mercadodeações educaçãofinanceira</t>
  </si>
  <si>
    <t>financas educacaofinanceira inadimplenia investimento economia investidor grafico</t>
  </si>
  <si>
    <t>educacaofinanceira money</t>
  </si>
  <si>
    <t>poupança educaçãofinanceira</t>
  </si>
  <si>
    <t>educaçãofinanceira finançasparacasais</t>
  </si>
  <si>
    <t>maisquedinheiro educaçãofinanceira finançasparacasais</t>
  </si>
  <si>
    <t>diadosnamorados poupança educaçãofinanceira</t>
  </si>
  <si>
    <t>educaçãofinanceira poupança</t>
  </si>
  <si>
    <t>maisquedinheiro finançasparacasais educaçãofinanceira</t>
  </si>
  <si>
    <t>educaçãofinanceira livros</t>
  </si>
  <si>
    <t>diadosnamorados educaçãofinanceira poupanca</t>
  </si>
  <si>
    <t>educaçãofinanceira reforma diadopai</t>
  </si>
  <si>
    <t>poupança reforma educaçãofinanceira</t>
  </si>
  <si>
    <t>educaçãofinanceira sicoobcoopmil semanaenef2023 sicoob institutosicoob</t>
  </si>
  <si>
    <t>semanadocooperativismo educaçãofinanceira</t>
  </si>
  <si>
    <t>educaçãofinanceira resiliênciafinanceira sicoobcoopmil semanaenef2023 sicoob institutosicoob</t>
  </si>
  <si>
    <t>educaçãofinanceira sicoobcoopmil semanaenef2023 sicoob</t>
  </si>
  <si>
    <t>educaçãofinanceira sicoobcoopmil semanaenef2023</t>
  </si>
  <si>
    <t>financaspessoais finançasempresariais finanças</t>
  </si>
  <si>
    <t>financaspessoais finance orcamento gastos planejamento</t>
  </si>
  <si>
    <t>educacaofinanceira semanaenef</t>
  </si>
  <si>
    <t>finançaspessoais poupar investir</t>
  </si>
  <si>
    <t>cdlsaocaetano cdl gmw globalmoneyweek gmw2023 educaçãofinanceira economia</t>
  </si>
  <si>
    <t>bna educacaofinanceira</t>
  </si>
  <si>
    <t>colaboradores financeira negócio synerhgon consultoria educaçaofinanceira</t>
  </si>
  <si>
    <t>educacaofinanceira financas cursossuperiores</t>
  </si>
  <si>
    <t>invertir finanzas finanzaspersonales inversionista gdl mty cdmx feelgood ingresosonline dinero finanzaspersonales educacaofinanceira ingresosresiduales bienesraices invertirenbolsa</t>
  </si>
  <si>
    <t>investimentos mercadofinanceiro educacaofinanceira</t>
  </si>
  <si>
    <t>educacaofinanceira brasil americanas</t>
  </si>
  <si>
    <t>educaçãofinanceira seligafinançason semanaenef</t>
  </si>
  <si>
    <t>educaçãofinanceira semanaenef2023 sicoob institutosicoob</t>
  </si>
  <si>
    <t>educaçãofinanceira sicoob semanaenef</t>
  </si>
  <si>
    <t>gestãofinanceira educacaofinanceira economia investspace economia gestãofinanceira investimentos</t>
  </si>
  <si>
    <t>gestãofinanceira educacaofinanceira economia</t>
  </si>
  <si>
    <t>economia educacaofinanceira futurodasenergias investspace economia gestãofinanceira investimentos</t>
  </si>
  <si>
    <t>crisedeenergia investimento educaçãofinanceira investspace economia gestãofinanceira investimentos</t>
  </si>
  <si>
    <t>criseenergeticamundial investimento educaçãofinanceira</t>
  </si>
  <si>
    <t>investimentos energiaslimpas energiasrenovaveis educacaofinanceira</t>
  </si>
  <si>
    <t>energialimpa investimentos educacaofinanceira</t>
  </si>
  <si>
    <t>energialimpa educacaofinanceira investspace economia gestãofinanceira investimentos</t>
  </si>
  <si>
    <t>investimento economia educaçãofinanceira investspace economia gestãofinanceira investimentos</t>
  </si>
  <si>
    <t>investimentos educacaofinanceira energiasrenovaveis</t>
  </si>
  <si>
    <t>criseeconomica bolsadevalores educacaofinanceira</t>
  </si>
  <si>
    <t>educacaofinanceira investspace economia gestãofinanceira investimentos</t>
  </si>
  <si>
    <t>educacaofinanceira etftrading investimentos</t>
  </si>
  <si>
    <t>investimento etftrading educacaofinanceira investspace economia gestãofinanceira investimentos</t>
  </si>
  <si>
    <t>investimento etftrading educacaofinanceira</t>
  </si>
  <si>
    <t>economia educacaofinanceira investimentos gestaofinanceira</t>
  </si>
  <si>
    <t>economia educacaofinanceira investir investspace economia gestãofinanceira investimentos</t>
  </si>
  <si>
    <t>investimento gestãofinanceira educacaofinanceira investspace economia gestãofinanceira investimentos</t>
  </si>
  <si>
    <t>investimento gestãofinanceira educacaofinanceira</t>
  </si>
  <si>
    <t>economia educacaofinanceira investspace economia gestãofinanceira investimentos</t>
  </si>
  <si>
    <t>investimentos educaçãofinanceira</t>
  </si>
  <si>
    <t>educaçãofinanceira educaçãotecnológica defi</t>
  </si>
  <si>
    <t>fdd caed aprendervalor educacaofinanceira cidadaniafinanceira</t>
  </si>
  <si>
    <t>semanaenef enef educaçãofinanceira</t>
  </si>
  <si>
    <t>livebc economia bancocentral educaçãofinanceira livebc pix</t>
  </si>
  <si>
    <t>economia bancocentral educaçãofinanceira livebc pix</t>
  </si>
  <si>
    <t>economia bancocentral educaçãofinanceira livebc pix golpe</t>
  </si>
  <si>
    <t>aprendervalor educacaofinanceira cidadaniafinanceira bancocentraldobrasil educacaobasica educacaofinanceiranasescolas ensinofundamental escolaspublicas financas financasparacriancas economiaparacriancas undime consed</t>
  </si>
  <si>
    <t>fdd caed fgc undime consed aprendervalor educacaofinanceira cidadaniafinanceira bancocentraldobrasil educacaobasica educacaofinanceiranasescolas ensinofundamental escolaspublicas</t>
  </si>
  <si>
    <t>aprendervalor educacaofinanceira cidadaniafinanceira bancocentraldobrasil educacaobasica educacaofinanceiranasescolas ensinofundamental</t>
  </si>
  <si>
    <t>reservafinanceira reserva insight rendafixa financaspessoais roberto_jefferson</t>
  </si>
  <si>
    <t>finançaspessoais planejamentofinanceiro cfp planejar</t>
  </si>
  <si>
    <t>educaçãofinanceira finançaspessoais planejamentofinanceiro liberdadefinanceira investimentos</t>
  </si>
  <si>
    <t>educaçãofinanceira introduçãoaodireito ética cidadania cursostécnicos todos</t>
  </si>
  <si>
    <t>motivação educaçãofinanceira crescimento</t>
  </si>
  <si>
    <t>webitcoin robertkiyosaki charliemunger berkshire bitcoin criptomoedas investimentos finanças educaçãofinanceira rico pobre riquezapessoal estratégiadeinvestimento economia tecnologia blockchain ouro prata ativosdigitais mercadosfinanceiros usd</t>
  </si>
  <si>
    <t>webitcoin cryptonews notíciascripto bitcoin michaelnovogratz criptomoedas investimentos mercadofinanceiro mercadocripto futurodobitcoin economiadigital novosinvestidores diversificação fidelitycrypto inovaçãofinanceira finançaspessoais lucro</t>
  </si>
  <si>
    <t>webitcoin publi cryptonews notíciascripto educaçãofinanceira avatrade exchange plataforma criptomoedas moedadigital investimento</t>
  </si>
  <si>
    <t>webitcoin cryptonews notíciascriptomoedas bancosantander bitcoin btc cripto criptomoedas etf educaçãofinanceira santander investimentocripto moedadigital</t>
  </si>
  <si>
    <t>leve levetoken leveinvest sejaleve token btc educacaofinanceira appleve certik investimento webitcoin</t>
  </si>
  <si>
    <t>leve levetoken leveinvest sejaleve token bitcoincash bch btc educacaofinanceira appleve boasemana certik bscnews ama twitter</t>
  </si>
  <si>
    <t>leve leveinvest token bitcoincash bch btc educacaofinanceira appleve certik</t>
  </si>
  <si>
    <t>leve leveinvest token bitcoincash bch btc educacaofinanceira appleve</t>
  </si>
  <si>
    <t>leve levetoken leveinvest sejaleve token bitcoincash bch btc educacaofinanceira appleve certik investimento spacemoney</t>
  </si>
  <si>
    <t>leve levetoken leveinvest sejaleve token bitcoincash bch btc educacaofinanceira appleve certik investimento portalcripto</t>
  </si>
  <si>
    <t>leve levetoken leveinvest sejaleve bitcoincash bch btc educacaofinanceira appleve feliz2023</t>
  </si>
  <si>
    <t>leve levetoken leveinvest sejaleve token bitcoincash bch btc educacaofinanceira appleve boasemana feliz2023</t>
  </si>
  <si>
    <t>leve levetoken leveinvest sejaleve token bitcoincash bch btc educacaofinanceira appleve</t>
  </si>
  <si>
    <t>leve levetoken leveinvest sejaleve token bitcoincash bch btc educacaofinanceira appleve certik investimento</t>
  </si>
  <si>
    <t>leve levetoken leveinvest sejaleve token bitcoincash bch btc bnb educacaofinanceira appleve certik</t>
  </si>
  <si>
    <t>leve levetoken leveinvest sejaleve token bitcoincash bch btc bitcoin educacaofinanceira appleve certik investimento educacao educacaofinanceira defi blockchain tokenizacao</t>
  </si>
  <si>
    <t>bitcoin criptomoedas mercadofinanceiro finançaspessoais investimentos blockchain economia bancos etopsaber</t>
  </si>
  <si>
    <t>poupança finançaspessoais educaçãofinanceira investimentos dinheiro economia</t>
  </si>
  <si>
    <t>dinheiro educaçãofinanceira abundância</t>
  </si>
  <si>
    <t>cartaodecredito controledegastos educacaofinanceira verde</t>
  </si>
  <si>
    <t>ganhedinheirobrincando educaçãofinanceira diversãoelucro ideiasinovadoras criatividadeempreendedora jogosparanegócios sucessoediversão estratégiasempreendedoras empreendedorismocriativo aprendabrincando</t>
  </si>
  <si>
    <t>economia financaspessoais impostos</t>
  </si>
  <si>
    <t>mercadofinanceiro ações indice ibovespa educaçãofinanceira crescimentofinanceiro investircompropósito jornadafinanceira investmente</t>
  </si>
  <si>
    <t>morganhousel apsicologiadodinheiro finançaspessoais</t>
  </si>
  <si>
    <t>finance liberdadefinanceira personalfinance mercadofinanceiro finances educacaofinanceira independenciafinanceira planejamentofinanceiro refinance sucessofinanceiro financeiro financetips inteligenciafinanceira</t>
  </si>
  <si>
    <t>dinheiro finanças economia educação educaçãofinanceira crianças</t>
  </si>
  <si>
    <t>financaspessoais inteligenciaemocional</t>
  </si>
  <si>
    <t>educacaofinanceira dinheiro paisefilhos financas consciencia vida</t>
  </si>
  <si>
    <t>finançaspessoais investimentoemvocê</t>
  </si>
  <si>
    <t>finançaspessoais crençaslimitantes</t>
  </si>
  <si>
    <t>fido investimentos p2p investidores fidocomvocê vemprafido educaçãofinanceira</t>
  </si>
  <si>
    <t>fido fidocomvocê fidocomvc vemprafido educaçãofinanceira investimentos</t>
  </si>
  <si>
    <t>ibovespa ibov educacaofinanceira</t>
  </si>
  <si>
    <t>ibovespa açoes acoes educaçãofinanceira bolsadevalores</t>
  </si>
  <si>
    <t>qualidadedevida educaçãofinanceira</t>
  </si>
  <si>
    <t>gamecoins educacaofinanceira gamificação games</t>
  </si>
  <si>
    <t>neosprevidenciacomplementar finanças economia aposentadoria educaçãofinanceira futuro investimentos conecteseaonovo</t>
  </si>
  <si>
    <t>finanças economia aposentadoria educaçãofinanceira futuro investimentos</t>
  </si>
  <si>
    <t>educacaofinanceira educacao paternidade</t>
  </si>
  <si>
    <t>taxadeinadimplência controlefinanceiro planejamentofinanceiro endividamento saúdefinanceira crédito dívidas negociação finançaspessoais scoredecrédito</t>
  </si>
  <si>
    <t>dinheiro investimento ações educaçãofinanceira bolsadevalores imposto lucro</t>
  </si>
  <si>
    <t>irpf irpf2023 daytrade swingtrade educacaofinanceira investimentos b3 bmf bolsadevalores dinheiro impostoderenda finanças façavocemesmo</t>
  </si>
  <si>
    <t>investidor investindonabolsa investimento finanças educação educaçãofinanceira b3 irpf23 irpf economia declaraçãoirpf meme trade daytrade governofederal</t>
  </si>
  <si>
    <t>começarainvestir investimento ações fundosdeinvestimento educaçãofinanceira corretoras taxas corretagem custódia operações</t>
  </si>
  <si>
    <t>investimento juros dinheiro investir snowball finanças educaçãofinanceira invista economia</t>
  </si>
  <si>
    <t>estilodevida dinheiro finanças educaçãofinanceira objeitvos rendapassiva rendaextra reservadeemergência saúde investimentos investir empreendedorismo negócios ações fundosdeinvestimento economia</t>
  </si>
  <si>
    <t>investimento investir educaçãofinanceira fii mercadofinanceira bolsadevalores fundosdeinvestimentoimobiliario investidor dividendos rentabilidade</t>
  </si>
  <si>
    <t>fundosdeinvestimento fundosdeinvestimentoimobiliario fundosdeinvestimentoagricola fii fiagro irpf irpf2023 declaraçãodoimpostoderenda educaçãofinanceira bolsa b3 finanças</t>
  </si>
  <si>
    <t>taxaselic selic tesouro investimento investidor investir economia juroscompostos juros crédito financas educaçãofinanceira governofederal governo dinheiro consumo poderdecompra bancos instituiçõesfinanceiras</t>
  </si>
  <si>
    <t>inflação juros economia taxaselic tesourodireto ações fundosdeinvestimento ativos títulos educaçãofinanceira mercadofinanceiro</t>
  </si>
  <si>
    <t>habitos dinheiro pobreza riqueza gastos lifestyle estilodevida economia investimento investir mudança crenças educaçãofinanceira</t>
  </si>
  <si>
    <t>dinheiro economia investir poupar concretizarsonhos metas objetivos educaçãofinanceira finanças disciplina</t>
  </si>
  <si>
    <t>irpf irpf23 irpf2023 bolsadevalores acoes educacaofinanceira dinheiro finanças economia mercadofinanceira impostoderenda imposto trade swingtrade</t>
  </si>
  <si>
    <t>criptomoedas drex dinheiro finanças economia realdigital educaçãofinanceira</t>
  </si>
  <si>
    <t>investir taxadejuros jurossimples juroscompostos ações fii dividendos educaçãofinanceira finanças economia ativos</t>
  </si>
  <si>
    <t>aposentadoria investimento rendapassiva inss tetodoinss educaçãofinanceira ações fundosdeinvestimentoimobiliário fii</t>
  </si>
  <si>
    <t>ações investir investimento sociedade analisefundamentalista análisetécncia bolsadevalores educaçãofinanceira</t>
  </si>
  <si>
    <t>dinheiro economia mercado compras educaçãofinanceira investir finanças mindset</t>
  </si>
  <si>
    <t>score serasa score3 economia finanças dinheiro credito educaçãofinanceira</t>
  </si>
  <si>
    <t>threads meta twitter elonmusk markzuckerberg redesocial aplicativo educaçãofinanceira facebook whatsapp</t>
  </si>
  <si>
    <t>golpenosbancosdigitais golpedopix educacaofinanceira dinheiro finanças fraude hackers segurançadedados senhadeacesso economia bancosdigitais bancos</t>
  </si>
  <si>
    <t>investir investimento educaçãofinanceira darf taxasdecorretagem ações fii etf dinheiro mercadofinanceiro bolsadevalores economia</t>
  </si>
  <si>
    <t>economia dinheiro compras mercado educaçãofinanceira finanças</t>
  </si>
  <si>
    <t>dinheiro economia investimentos ativos ações educaçãofinanceira rendapassiva mercadofinanceiro bolsadevalores</t>
  </si>
  <si>
    <t>investir investimento rendafixa rendimentos dinheiro economia finanças educaçãofinanceira juros corretora ipca cdb cdi</t>
  </si>
  <si>
    <t>investir investimento ações mercadofinanceiro ativos renda educaçãofinanceira</t>
  </si>
  <si>
    <t>inscritos númerodeinscritos youtube educaçãofinanceira dinheiro gratisão mercadofinanceiro</t>
  </si>
  <si>
    <t>dividas finaciamento amortização dinheiro economia educaçãofinanceira poupar casaprópria</t>
  </si>
  <si>
    <t>investimento dinheiro economia finanças educaçãofinanceira fiis dividendos taxa isenção voto negociações políticas</t>
  </si>
  <si>
    <t>dinheiroextra educaçãofinanceira economia mindset dicasfinanceiras finanças gastos economizar juntardinheiro</t>
  </si>
  <si>
    <t>dinheiro dinheiroextra educaçãofinanceira educação economia investimento investir titulos titulospublicos dicas inteligencia</t>
  </si>
  <si>
    <t>alenotícias educaçãofinanceira educação avozdopovo</t>
  </si>
  <si>
    <t>feefixo feebased remuneracao conflitodeinteresses assessordeinvestimentos consultor gerente planejadorfinanceiro tesourodireto educacaofinanceira</t>
  </si>
  <si>
    <t>financaspessoais educacaofinanceiranasescolas educacaofinanceira</t>
  </si>
  <si>
    <t>cavukajoséamaral importante registro educaçãofinanceira crianças jovens planyourmoney plantyourfuture gmw2023 b3 b3educacao</t>
  </si>
  <si>
    <t>cavukajoséamaral inteligenciafinanceira dinheiro financas financaspessoais educacaofinanceira investimento finançaspessoais planejamentofinanceiro financaparatodos sonhos gestãofinanceira vamosconversando</t>
  </si>
  <si>
    <t>cavukajoséamaral educaçãofinanceira comunicação escrita soicedade impactosocial emprego voluntariadocorporativo voluntariado ubagestao remandojuntos sepreparai projetoviela favelinhas oportunidades educadores empreendedorismo mercadodetr</t>
  </si>
  <si>
    <t>benefícios beneficiosflexiveis finanças educacaofinanceira</t>
  </si>
  <si>
    <t>educaçãofinanceira finanças bitcoin cri</t>
  </si>
  <si>
    <t>ajax educacaofinanceira bitcoin financaspessoais dinheiro</t>
  </si>
  <si>
    <t>finanças educaçãofinanceira selic tesourodireto investimentos dinheiro bitcoin criptomoedas blockchain</t>
  </si>
  <si>
    <t>educaçãofinanceira shortsviral iphone14 finanças</t>
  </si>
  <si>
    <t>livelo milhas smiles latampass milhasaereas pontos cartaodecredito rendaextra educaçãofinanceira finanças israelpimentel_investe</t>
  </si>
  <si>
    <t>dicasfinanceiras educacionfinanciera cartaoclonado golpes financas criptomoedas fnafmovie golpecartao cartaodecredito educacaofinanceira</t>
  </si>
  <si>
    <t>educacaofinanceira dinheiro rendaextra realidadenubank nucoin fofocalizandonosbt</t>
  </si>
  <si>
    <t>educaçãofinanceira fundosimobiliarios</t>
  </si>
  <si>
    <t>fofocalizandonosbt educacaofinanceira bitcoin bancocentral lula7desetembro</t>
  </si>
  <si>
    <t>meli fofocalizandonosbt bancocentral educacaofinanceira financaspessoais bitcoinetf pobresincero</t>
  </si>
  <si>
    <t>financas investimentos dolar educacaofinanceira</t>
  </si>
  <si>
    <t>humor financas educacaofinanceira nubank cartaodecredito</t>
  </si>
  <si>
    <t>comoinvestir financaspessoais gatilhosmentais marketingdigitalbrasil educacaofinanceira</t>
  </si>
  <si>
    <t>rsm rsmmz rsmmocambique takechargeofchange smalltalks formação educaçãofinanceira</t>
  </si>
  <si>
    <t>finsiders startups fintechs educaçãofinanceira notícias negócios</t>
  </si>
  <si>
    <t>mercadofuturo mercadodeopções derivativos investimentos educaçãofinanceira finanças prosperidade prosperidadefinanceira liberdadefinanceira macroeconomia bolsadechicago mercadoamericano</t>
  </si>
  <si>
    <t>mercadofuturo mercadodeopções derivativos investimentos educaçãofinanceira finanças prosperidade prosperidadefinanceira liberdadefinanceira macroeconomia</t>
  </si>
  <si>
    <t>mercadodeopções derivativos investimentos educaçãofinanceira finanças prosperidade prosperidadefinanceira liberdadefinanceira macroeconomia bolsadechicago mercadoamericano</t>
  </si>
  <si>
    <t>mercadofinanceiro mercadofuturo mercadodeopções derivativos investimentos educaçãofinanceira finanças prosperidade prosperidadefinanceira liberdadefinanceira macroeconomia</t>
  </si>
  <si>
    <t>mercadofinanceiro mercadofuturo mercadodeopções derivativos investimentos educaçãofinanceira finanças prosperidade prosperidadefinanceira liberdadefinanceira macroeconomia bolsadechicago mercadoamericano</t>
  </si>
  <si>
    <t>mercadodeopções derivativos investimentos educaçãofinanceira finanças prosperidade prosperidadefinanceira liberdadefinanceira macroeconomia</t>
  </si>
  <si>
    <t>investimentos educaçãofinanceira finanças prosperidade prosperidadefinanceira liberdadefinanceira macroeconomia</t>
  </si>
  <si>
    <t>investimentos educaçãofinanceira finanças prosperidade prosperidadefinanceira liberdadefinanceira macroeconomia bolsadechicago mercadoamericano</t>
  </si>
  <si>
    <t>educaçãofinanceira finanças prosperidade prosperidadefinanceira liberdadefinanceira macroeconomia reformatributaria</t>
  </si>
  <si>
    <t>guerreirinhasgrenas educaçaofinanceira</t>
  </si>
  <si>
    <t>pesquisas dividas saudefinanceira educacaofinanceira rh sp</t>
  </si>
  <si>
    <t>tedxlisboa bárbarabarroso educaçãofinanceira poupança</t>
  </si>
  <si>
    <t>carreira educaçãofinanceira literaciafinanceira aposentadoria</t>
  </si>
  <si>
    <t>csf cultivarseufuturo investimento investimentos educacao_financeira educacaofinanceira desenvolvimento_pessoal desenvolvimentopessoal rendapassiva dividendos ações acoes investimentoparainiciantes futuro</t>
  </si>
  <si>
    <t>opa edp impostoderenda csf cultivarseufuturo investimento investimentos educacaofinanceira educaçãofinanceira</t>
  </si>
  <si>
    <t>rentabilidade csf cultivarseufuturo investimento investimentos educaçãofinanceira desenvolvimentopessoal renda rendapassiva dividendos ações acoes</t>
  </si>
  <si>
    <t>educaçãofinanceiranasescolas educaçãofinanceira financas dinheiro investimentos</t>
  </si>
  <si>
    <t>educaçãofinanceira pixtv pixnasredes brasília holanda rainha educação escolaspúblicas</t>
  </si>
  <si>
    <t>educaçãofinanceira filhospreparados</t>
  </si>
  <si>
    <t>repost liberdadefinanceira rendavariavel rendapassiva educacaofinanceira investimento independênnciafinanceira economia criptomoedas motivação atualidades desenvolvimentopessoal</t>
  </si>
  <si>
    <t>finançaspessoais investimento felicidade</t>
  </si>
  <si>
    <t>ibovespa ibov mercadofinanceiro artigo educacaofinanceira</t>
  </si>
  <si>
    <t>cdb rendafixa investimentos dicasdeinvestimentos educacaofinanceira</t>
  </si>
  <si>
    <t>pacorabanne educaçãofinanceira empreendedorismo</t>
  </si>
  <si>
    <t>flypodcast educacaofinanceira</t>
  </si>
  <si>
    <t>papoincerto lgbtpodcasters bixarica investimentos educacaofinanceira ativosfinanceiros</t>
  </si>
  <si>
    <t>ativooupassivo papoincerto bixarica educaçãofinanceira lgbtpodcasters</t>
  </si>
  <si>
    <t>educaçãofinanceira cidadaniafiscal novoensinomédio cejk</t>
  </si>
  <si>
    <t>novoensinomedio educaçãofinanceira</t>
  </si>
  <si>
    <t>saláriomínimo reajuste finançaspessoais</t>
  </si>
  <si>
    <t>tesourodireto educacaofinanceira investimentos</t>
  </si>
  <si>
    <t>desenrola educaçãofinanceira planejamento</t>
  </si>
  <si>
    <t>cryptosight crypto cripto criptomoedas moedadigital bitcoin finançaspessoais poderdecompra</t>
  </si>
  <si>
    <t>educacaofinanceira marcasmaisfortes investimentos dinheiro conscienciafinanceira voceviunagvn beneficio consignado</t>
  </si>
  <si>
    <t>educacaofinanceira marcasmaisfortes investimentos dinheiro conscienciafinanceira voceviunagvn beneficio consignad</t>
  </si>
  <si>
    <t>financaspessoais dinheiro</t>
  </si>
  <si>
    <t>investimento financaspessoais rendaextra rendapassiva comoinvestir comoinvestirdozero</t>
  </si>
  <si>
    <t>dívidas investimentos finanças finançaspessoais rendaextra</t>
  </si>
  <si>
    <t>investir financaspessoais empreender ação zonadeconforto</t>
  </si>
  <si>
    <t>estágiodojogador educaçãofinanceira</t>
  </si>
  <si>
    <t>concurso educaçãofinanceira candidaturas</t>
  </si>
  <si>
    <t>pratodosverem pracegover educacaofinanceira impostoderenda ir</t>
  </si>
  <si>
    <t>pratodosverem pracegover educaçãofinanceira ir impostoderenda</t>
  </si>
  <si>
    <t>pratodosverem pracegover educacaofinanceira fundos</t>
  </si>
  <si>
    <t>pracegover pratodosverem educacaofinanceira ir impostoderenda leilao</t>
  </si>
  <si>
    <t>pratodosverem pracegover educacaofinanceira ir impostoderenda</t>
  </si>
  <si>
    <t>pratodosverem pracegover educacaofinanceira bdr dividendos</t>
  </si>
  <si>
    <t>pratodosverem pracegover educacaofinanceira reservadeoportunidade</t>
  </si>
  <si>
    <t>minutob3 educacaofinanceira</t>
  </si>
  <si>
    <t>minutob3 educacaofinanceira papeldab3</t>
  </si>
  <si>
    <t>minutob3 educacaofinanceira derivativos minicontratos</t>
  </si>
  <si>
    <t>pratodosverem pracegover educacaofinanceira bsm</t>
  </si>
  <si>
    <t>pracegover pratodosverem educacaofinanceira açoes rendavariavel</t>
  </si>
  <si>
    <t>pratodosverem pracegover educacaofinanceira esg</t>
  </si>
  <si>
    <t>pratodosverem pracegover educaçãofinanceira websummit ir impostoderenda</t>
  </si>
  <si>
    <t>minutob3 educacaofinanceira bdr impostoderenda</t>
  </si>
  <si>
    <t>minutob3 educacaofinanceira tesourodireto</t>
  </si>
  <si>
    <t>pracegover pratodosverem educacaofinanceira inflacao ipca</t>
  </si>
  <si>
    <t>pratodosverem pracegover educacaofinanceira recuperaçãojudicial</t>
  </si>
  <si>
    <t>pratodosverem pracegover educacaofinanceira museu patrocínio mub3 semanaenef</t>
  </si>
  <si>
    <t>minutob3 papeldab3 educaçãofinanceira tesourodireto</t>
  </si>
  <si>
    <t>pratodosverem pracegover educacaofinanceira</t>
  </si>
  <si>
    <t>pracegover pratodosverem educacaofinanceira ifixb3 derivativo fii</t>
  </si>
  <si>
    <t>pracegover pratodosverem educacaofinanceira poupança ir impostoderenda</t>
  </si>
  <si>
    <t>pratodosverem pracegover educacaofinanceira rendafixa rendavariavel</t>
  </si>
  <si>
    <t>pratodosverem pracegover educaçãofinanceira ir impostoderenda ipca inflacao</t>
  </si>
  <si>
    <t>pratodosverem pracegover educacaofinanceira ibovespa</t>
  </si>
  <si>
    <t>pracegover pratodosverem educacaofinanceira</t>
  </si>
  <si>
    <t>minutob3 educacaofinanceira papeldab3 rendavariavel</t>
  </si>
  <si>
    <t>minutob3 educacaofinanceira lca cra fiagro</t>
  </si>
  <si>
    <t>pratodosverem pracegover educacaofinanceira rendafixa rendavariavel bookpf rendamais</t>
  </si>
  <si>
    <t>pratodosverem pracegover educacaofinanceira contratosfuturos opçoes</t>
  </si>
  <si>
    <t>pratodosverem pracegover educacaofinanceira diadosnamorados</t>
  </si>
  <si>
    <t>pratodosverem pracegover educacaofinanceira bdr</t>
  </si>
  <si>
    <t>pratodosverem pracegover educacaofinanceira ibovespa tesourorendamais</t>
  </si>
  <si>
    <t>pracegover pratodosverem educacaofinanceira tecnologia</t>
  </si>
  <si>
    <t>pracegover pratodosverem educacaofinanceira sustentabilidade ipo</t>
  </si>
  <si>
    <t>educacaofinanceira pratodosverem pracegover</t>
  </si>
  <si>
    <t>minutob3 impostoderenda fii educaçãofinanceira</t>
  </si>
  <si>
    <t>minutob3 educacaofinanceira cdb tesourodireto fii</t>
  </si>
  <si>
    <t>pratodosverem pracegover educaçãofinanceira rendafixa rendavariavel</t>
  </si>
  <si>
    <t>minutob3 educacaofinanceira opcoes</t>
  </si>
  <si>
    <t>pratodosverem pracegover educacaofinanceira dividendos</t>
  </si>
  <si>
    <t>pratodosverem pracegover educacaofinanceira mub3 patrocinio</t>
  </si>
  <si>
    <t>minutob3 educacaofinanceira fii</t>
  </si>
  <si>
    <t>pratodosverem pracegover educacaofinanceira impostoderenda fii</t>
  </si>
  <si>
    <t>minutob3 educacaofinanceira etf</t>
  </si>
  <si>
    <t>aprenderfinanças educaçãofinanceira</t>
  </si>
  <si>
    <t>fumep cepp capacitaçãofuncional finançaspessoais cursosincompany</t>
  </si>
  <si>
    <t>financeiras estresse ansiedade depressão diadotrabalho educacaofinanceira blogimpacto dicadeleiturafgv</t>
  </si>
  <si>
    <t>atitudesconscientes carreira educacaofinanceira saudemental comportamento anapaulahornos</t>
  </si>
  <si>
    <t>analistademercado investimentos finançaspessoais cnpi</t>
  </si>
  <si>
    <t>corretoras dinheiro investimentos finançaspessoais ações ouro</t>
  </si>
  <si>
    <t>investimentos investimento horizontetemporal longoprazo bolsa bolsadevalores finançaspessoais ações</t>
  </si>
  <si>
    <t>portfoliosmodelo etfs finançaspessoais investimentos ações obrigações ouro investir dinheiro riqueza portefolio bolsadevalores</t>
  </si>
  <si>
    <t>dinheiro bolsadevalores investimentos finançaspessoais investir riqueza</t>
  </si>
  <si>
    <t>investir investimentos longoprazo finançaspessoais dinheiro bolsa ursos</t>
  </si>
  <si>
    <t>investimentos longoprazo financaspessoais dinheiro</t>
  </si>
  <si>
    <t>poupar investir investimentos longoprazo finançaspessoais financaspessoais dinheiro bolsa liberdadefinanceira habitosfinanceiros sucesso mentalidade frugalidade</t>
  </si>
  <si>
    <t>investimentos ações finançaspessoais bolsadevalores dinheiro riqueza investir educaçãofinanceira</t>
  </si>
  <si>
    <t>finançaspessoais literaciafinanceira dinheiro investimento riqueza investimentos investir bolsa</t>
  </si>
  <si>
    <t>investimentos investir longoprazo bolsadevalores dinheiro riqueza mentalidade finançaspessoais</t>
  </si>
  <si>
    <t>investir trabalho finançaspessoais dinheiro</t>
  </si>
  <si>
    <t>portfoliosmodelo etfs finançaspessoais investimentos ações obrigações ouro investir dinheiro</t>
  </si>
  <si>
    <t>investimentos longoprazo finançaspessoais investir riqueza dinheiro sucesso</t>
  </si>
  <si>
    <t>financaspessoais finançaspessoais literaciafinanceira dinheiro investimento investimentos investir bolsadevalores bolsa</t>
  </si>
  <si>
    <t>investimentos investir ações dinheiro riqueza finançaspessoais</t>
  </si>
  <si>
    <t>investimentos finançaspessoais dinheiro</t>
  </si>
  <si>
    <t>finançaspessoais frugalidade dinheiro riqueza liberdade</t>
  </si>
  <si>
    <t>portfoliosmodelo etfs finançaspessoais investimentos ações obrigações ouro investir dinheiro riqueza portefolio</t>
  </si>
  <si>
    <t>investimentos dinheiro finançaspessoais começar</t>
  </si>
  <si>
    <t>finançaspessoais investimentos dinheiro frugalidade</t>
  </si>
  <si>
    <t>educaçãofinanceira diversificaçãodecarteira</t>
  </si>
  <si>
    <t>diversificaçãodecarteira educaçãofinanceira</t>
  </si>
  <si>
    <t>ferroviario fertilizante festa festacigana festiva fibraoptica fibrasil fii filmeindustrial filosofiadevida financaspessoais financeiro</t>
  </si>
  <si>
    <t>educaçãofinanceira eletricista eletrificacao embalagem embalagens embudasartes</t>
  </si>
  <si>
    <t>eafelino ebramec ecoinovação economia ecossistema educação educaçãofinanceira eg</t>
  </si>
  <si>
    <t>pix pixinternacional finanças bancocentral noticias financaspessoais</t>
  </si>
  <si>
    <t>inflação celic inpg juros copom financaspessoais dinheiro rendaonline governolula</t>
  </si>
  <si>
    <t>educaçãofinanceira dinheiro investimentos</t>
  </si>
  <si>
    <t>larissamanoela curiosidades famosos educaçãofinanceira transformationtuesday</t>
  </si>
  <si>
    <t>livrosdeeducaçãofinanceira educaçãofinanceira livros finançaspessoais planejamentofinanceiro finançaspessoais seubolsonodivã vivendoasuarealidadefinanceira evertonlopeseconomista</t>
  </si>
  <si>
    <t>planosemetas sonhos planejamentofinanceiro finançaspessoais educaçãofinanceira objetivosemetas evertonlopesinvestidor</t>
  </si>
  <si>
    <t>objetivosemetas sonhos rendapassiva educacaofinanceira</t>
  </si>
  <si>
    <t>educacaofinanceira finançaspessoais</t>
  </si>
  <si>
    <t>meuprimeiroinvestimentolucrativo investimentos educaçaofinanceira financaspessoais</t>
  </si>
  <si>
    <t>organizacaofinanceira semanaenef resilienciafinanciera planejamentofinanceiro financaspessoais economiacomportamental sustentabilidade evertonlopesinvestidor</t>
  </si>
  <si>
    <t>educaçãofinanceira evertonlopesinvestidor moneysul planejamentofinanceiro finançaspessoais pensecadasegundocomoummilionário</t>
  </si>
  <si>
    <t>pensecadasegundocomoummilionário evertonlopesinvestidor rendapassiva investimentos educaçãofinanceira planejamentofinanceiro</t>
  </si>
  <si>
    <t>investimentos warrenbuffett finançaspessoais</t>
  </si>
  <si>
    <t>prevcom educacaofinanceira</t>
  </si>
  <si>
    <t>contacomigo educaçãofinanceira</t>
  </si>
  <si>
    <t>prevcom educaçãofinanceira contacomigo</t>
  </si>
  <si>
    <t>mercadofinanceiro educaçãofinanceira mindset criptomoedas investimentos</t>
  </si>
  <si>
    <t>opções investimentos mercadofinanceiro rnaresearch educaçãofinanceira guiacompleto</t>
  </si>
  <si>
    <t>investimentos rendafixa educacaofinanceira sucesso finanças rnainvest</t>
  </si>
  <si>
    <t>investimentos livrosdeinvestimentos mercadofinanceiro educaçãofinanceira</t>
  </si>
  <si>
    <t>investimentos tesourodireto finanças educacaofinanceira planejamentofinanceiro rentabilidade segurança</t>
  </si>
  <si>
    <t>rendafixa investimentos educaçãofinanceira sucessofinanceiro diversificação invistaagora</t>
  </si>
  <si>
    <t>investimentosimobiliários fundosimobiliários taxaszero diversificação finançaspessoais rnablog</t>
  </si>
  <si>
    <t>contadigital finançaspessoais bancosdigitais economia rnainvest</t>
  </si>
  <si>
    <t>investimentos tarifasbancárias maximizeseusretornos finançaspessoais rnainvest</t>
  </si>
  <si>
    <t>debêntures investimentos rendafixa educaçãofinanceira rnavestimentos</t>
  </si>
  <si>
    <t>investimentos fundosdeinvestimento riscosebenefícios educaçãofinanceira rnainvest</t>
  </si>
  <si>
    <t>investimentos finançaspessoais rnainvest</t>
  </si>
  <si>
    <t>rating investimentos mercadofinanceiro educaçãofinanceira blogdarna</t>
  </si>
  <si>
    <t>investimentos rendavariável assessoriafinanceira rnainvest finanças educaçãofinanceira</t>
  </si>
  <si>
    <t>finançaspessoais cartãodecréditosemanuidade educaçãofinanceira</t>
  </si>
  <si>
    <t>investimentos xpinvestimentos diversificação sucessofinanceiro rnainvest educaçãofinanceira</t>
  </si>
  <si>
    <t>vereadorhelderpereira educacaofinanceira paulínia</t>
  </si>
  <si>
    <t>dinheiro finançaspessoais finanças seudinheiro atrairdinheiro comoatrairdinheiro</t>
  </si>
  <si>
    <t>milionarios educacaofinanceira investimentos</t>
  </si>
  <si>
    <t>economia educaçãofinanceira páscoa</t>
  </si>
  <si>
    <t>bussola inadimplencia educacaofinanceira financas ambientecorporativo</t>
  </si>
  <si>
    <t>bussola educacaofinanceira mozper financas</t>
  </si>
  <si>
    <t>studiomadehits investidoresdaquebrada tvmadehits investidoresbrasil investimento educaçãofinanceira fyp</t>
  </si>
  <si>
    <t>financaspessoais oportunidades empresarios dinheiroextra empresas quebrada dosquebradas quebradavenceu podcastshow newpodcast podcast reelsmemes viral fyp trendingvideos viralposts</t>
  </si>
  <si>
    <t>economia empreendedorismo finançaspessoais</t>
  </si>
  <si>
    <t>empreendedorismo feedprincipal finançaspessoais</t>
  </si>
  <si>
    <t>carreiras feedprincipal finançaspessoais</t>
  </si>
  <si>
    <t>feedprincipal finançaspessoais impostoderenda</t>
  </si>
  <si>
    <t>apostas caixaeconômicafederal finançaspessoais</t>
  </si>
  <si>
    <t>caixaeconômicafederal finançaspessoais jogosdeazar</t>
  </si>
  <si>
    <t>caixaeconômicafederal finançaspessoais investimentos</t>
  </si>
  <si>
    <t>bancos caixaeconômicafederal finançaspessoais</t>
  </si>
  <si>
    <t>carreiras empresas finançaspessoais</t>
  </si>
  <si>
    <t>caixaeconômicafederal finançaspessoais loterias</t>
  </si>
  <si>
    <t>brasil feedprincipal finançaspessoais</t>
  </si>
  <si>
    <t>apostas corinthians finançaspessoais</t>
  </si>
  <si>
    <t>ações finançaspessoais impostoderenda</t>
  </si>
  <si>
    <t>economia educaçãofinanceira finançaspessoais</t>
  </si>
  <si>
    <t>bdr finançaspessoais impostoderenda</t>
  </si>
  <si>
    <t>finançaspessoais impostoderenda impostoderenda2023</t>
  </si>
  <si>
    <t>brasil economia finançaspessoais</t>
  </si>
  <si>
    <t>bilionários empresas finançaspessoais</t>
  </si>
  <si>
    <t>economia feedprincipal finançaspessoais</t>
  </si>
  <si>
    <t>aposentadoria economia finançaspessoais</t>
  </si>
  <si>
    <t>bancos finançaspessoais impostoderenda</t>
  </si>
  <si>
    <t>educaçãofinanceira finançaspessoais impostoderenda</t>
  </si>
  <si>
    <t>economia fgv finançaspessoais</t>
  </si>
  <si>
    <t>aplicativo finançaspessoais impostoderenda</t>
  </si>
  <si>
    <t>colunadovicenteguimarães colunistas finançaspessoais</t>
  </si>
  <si>
    <t>economia finançaspessoais impostoderenda</t>
  </si>
  <si>
    <t>brasil finançaspessoais impostoderenda</t>
  </si>
  <si>
    <t>aluguéis brasil finançaspessoais</t>
  </si>
  <si>
    <t>aluguéis finançaspessoais florianópolis</t>
  </si>
  <si>
    <t>caixaeconômicafederal economia finançaspessoais</t>
  </si>
  <si>
    <t>bancos finançaspessoais fintech</t>
  </si>
  <si>
    <t>bbb entretenimento finançaspessoais</t>
  </si>
  <si>
    <t>feedprincipal fiis finançaspessoais</t>
  </si>
  <si>
    <t>carreiras finançaspessoais globo</t>
  </si>
  <si>
    <t>dívidas economia finançaspessoais</t>
  </si>
  <si>
    <t>finançaspessoais fundosdeinvestimento gestorasderecursos</t>
  </si>
  <si>
    <t>finançaspessoais impostoderenda impostos</t>
  </si>
  <si>
    <t>bancos crédito finançaspessoais</t>
  </si>
  <si>
    <t>conteúdoempiricus finançaspessoais</t>
  </si>
  <si>
    <t>automóveis carros finançaspessoais</t>
  </si>
  <si>
    <t>economia finançaspessoais impostoderenda2023</t>
  </si>
  <si>
    <t>finançaspessoais loterias mega</t>
  </si>
  <si>
    <t>azul empresas finançaspessoais</t>
  </si>
  <si>
    <t>empresas feedprincipal finançaspessoais</t>
  </si>
  <si>
    <t>bilionários feedprincipal finançaspessoais</t>
  </si>
  <si>
    <t>dívidas finançaspessoais saneamento</t>
  </si>
  <si>
    <t>educaçãofinanceira finançaspessoais mercados</t>
  </si>
  <si>
    <t>bilionários finançaspessoais forbes</t>
  </si>
  <si>
    <t>aposentadoria feedprincipal finançaspessoais</t>
  </si>
  <si>
    <t>economia finançaspessoais governofederal</t>
  </si>
  <si>
    <t>bancocentral feedprincipal finançaspessoais</t>
  </si>
  <si>
    <t>feedprincipal finançaspessoais governofederal</t>
  </si>
  <si>
    <t>educação feedprincipal finançaspessoais</t>
  </si>
  <si>
    <t>caixaeconômicafederal fgts finançaspessoais</t>
  </si>
  <si>
    <t>finançaspessoais geral sãopaulo</t>
  </si>
  <si>
    <t>ações educaçãofinanceira fundosdeinvestimento</t>
  </si>
  <si>
    <t>cdi feedprincipal finançaspessoais</t>
  </si>
  <si>
    <t>colunadapriscillamendonça educaçãofinanceira finançaspessoais</t>
  </si>
  <si>
    <t>agênciabrasil finançaspessoais loterias</t>
  </si>
  <si>
    <t>anbima economia educaçãofinanceira</t>
  </si>
  <si>
    <t>colunadaanapauladebiazi colunistas educaçãofinanceira</t>
  </si>
  <si>
    <t>aplicativo economia finançaspessoais</t>
  </si>
  <si>
    <t>consumo economia finançaspessoais</t>
  </si>
  <si>
    <t>economia fiis finançaspessoais</t>
  </si>
  <si>
    <t>agênciabrasil economia finançaspessoais</t>
  </si>
  <si>
    <t>cnh dívidas finançaspessoais</t>
  </si>
  <si>
    <t>carnaval cartõesdecrédito finançaspessoais</t>
  </si>
  <si>
    <t>educaçãofinanceira finançaspessoais investimentos</t>
  </si>
  <si>
    <t>finançaspessoais geral</t>
  </si>
  <si>
    <t>agênciacâmara economia finançaspessoais</t>
  </si>
  <si>
    <t>anbima educação educaçãofinanceira</t>
  </si>
  <si>
    <t>economia educaçãofinanceira feedprincipal</t>
  </si>
  <si>
    <t>carreiras finançaspessoais trabalho</t>
  </si>
  <si>
    <t>empresas finançaspessoais leilões</t>
  </si>
  <si>
    <t>carros finançaspessoais ipva</t>
  </si>
  <si>
    <t>dividendos feedprincipal finançaspessoais</t>
  </si>
  <si>
    <t>carreiras finançaspessoais internacional</t>
  </si>
  <si>
    <t>colunadayolandafordelone colunistas finançaspessoais</t>
  </si>
  <si>
    <t>bbseguridade finançaspessoais impostoderenda</t>
  </si>
  <si>
    <t>empreendedorismo finançaspessoais internet</t>
  </si>
  <si>
    <t>empresas finançaspessoais impostoderenda</t>
  </si>
  <si>
    <t>b3 bolsadevalores finançaspessoais</t>
  </si>
  <si>
    <t>auxílioemergencial finançaspessoais impostoderenda2023</t>
  </si>
  <si>
    <t>colunadaalessandravelloso educaçãofinanceira</t>
  </si>
  <si>
    <t>brasil empresas finançaspessoais</t>
  </si>
  <si>
    <t>bolsadevalores brasil finançaspessoais</t>
  </si>
  <si>
    <t>feedprincipal finançaspessoais investimentos</t>
  </si>
  <si>
    <t>entretenimento feedprincipal finançaspessoais</t>
  </si>
  <si>
    <t>estadosunidos finançaspessoais loterias</t>
  </si>
  <si>
    <t>c6bank educaçãofinanceira empiricusresearch</t>
  </si>
  <si>
    <t>europa finançaspessoais geral</t>
  </si>
  <si>
    <t>bancos finançaspessoais inss</t>
  </si>
  <si>
    <t>aposentadoria finançaspessoais impostoderenda</t>
  </si>
  <si>
    <t>finançaspessoais imóveis leilões</t>
  </si>
  <si>
    <t>bancodobrasil emgea finançaspessoais</t>
  </si>
  <si>
    <t>finançaspessoais imóveis impostoderenda</t>
  </si>
  <si>
    <t>fiis finançaspessoais fundosdefundos</t>
  </si>
  <si>
    <t>politica investimento economia educacaofinanceira dolar bancocentral</t>
  </si>
  <si>
    <t>semanaenef educacaofinanceira resiliência institutosicoob oportunidade</t>
  </si>
  <si>
    <t>poupança thembani thembaniafrica mocambique alfabetizaçãofinanceira educacaofinanceira literaciafinanceira</t>
  </si>
  <si>
    <t>dinheiroeletronico thembani thembaniafrica mocambique alfabetizaçãofinanceira educacaofinanceira literaciafinanceira</t>
  </si>
  <si>
    <t>educaçãofinanceira compartilhamento</t>
  </si>
  <si>
    <t>riqueza educaçãofinanceira babilônia sucessofinanceiro prosperidade</t>
  </si>
  <si>
    <t>inteligencia artificial venezuela barquisimeto tecnologia innovation bitcoins markentingdigital finanzas educacaofinanceira</t>
  </si>
  <si>
    <t>finançaspessoais poupar</t>
  </si>
  <si>
    <t>créditorotativo finançaspessoais educaçãofinanceira</t>
  </si>
  <si>
    <t>finançaspessoais investimentos valueinvesting poupança ações casadeinvestimentos saveandgrow ppr</t>
  </si>
  <si>
    <t>educacaofinanceira juroscompostos rendapassiva</t>
  </si>
  <si>
    <t>finançaspessoais planejamentofinanceiro contasonline pagardívidas</t>
  </si>
  <si>
    <t>educacaofinanceira educacoinfantil empreendedorismo</t>
  </si>
  <si>
    <t>poupex liquidaçãodeinverno educaçãofinanceira</t>
  </si>
  <si>
    <t>poupançapoupex poupex educaçãofinanceira</t>
  </si>
  <si>
    <t>educaçãofinanceira poupex poupança</t>
  </si>
  <si>
    <t>poupex economia férias educaçãofinanceira</t>
  </si>
  <si>
    <t>poupex finançaspessoais</t>
  </si>
  <si>
    <t>finançaspessoais peixes poupex</t>
  </si>
  <si>
    <t>finançaspessoais aquário poupex</t>
  </si>
  <si>
    <t>finançaspessoais capricórnio poupex</t>
  </si>
  <si>
    <t>finançaspessoais sagitário poupex</t>
  </si>
  <si>
    <t>finançaspessoais escorpião poupex</t>
  </si>
  <si>
    <t>finançaspessoais libra poupex</t>
  </si>
  <si>
    <t>finançaspessoais virgem poupex</t>
  </si>
  <si>
    <t>finançaspessoais leão poupex</t>
  </si>
  <si>
    <t>finançaspessoais câncer poupex</t>
  </si>
  <si>
    <t>finançaspessoais gêmeos poupex</t>
  </si>
  <si>
    <t>finançaspessoais touro poupex</t>
  </si>
  <si>
    <t>finançaspessoais áries poupex</t>
  </si>
  <si>
    <t>finanças educaçãofinanceira organizaçãofinanceira</t>
  </si>
  <si>
    <t>educaçãofinanceira investimentos orçamento</t>
  </si>
  <si>
    <t>psicologiafinanceira finançaspessoais educaçãofinanceira</t>
  </si>
  <si>
    <t>analisegrafica analisetecnica grafistas mercadofinanceiro bolsadevalores trade trader educacaofinanceira educaçãofinanceira</t>
  </si>
  <si>
    <t>portalchicosabetudo finanças educaçãofinanceira dívidas</t>
  </si>
  <si>
    <t>https://lnkd.in/dd_wBzuJ https://lnkd.in/dAB8-pku</t>
  </si>
  <si>
    <t>https://youtu.be/cVpA13U7YvM https://www.instagram.com/danielguido https://www.facebook.com/danielguidot</t>
  </si>
  <si>
    <t>http://humanprogress.org https://www.instagram.com/p/CoVlP09pnjh/?igshid=YTgzYjQ4ZTY=</t>
  </si>
  <si>
    <t>https://www.instagram.com/gera.lider/ http://www.geracaolider.com.br</t>
  </si>
  <si>
    <t>https://contate.me/edilsonfti https://www.instagram.com/p/CssdA5dMjUP/?igshid=MTVlNTYxMjY2ZQ==</t>
  </si>
  <si>
    <t>http://www.investalk.bb.com.br https://bit.ly/443oFb1</t>
  </si>
  <si>
    <t>https://lnkd.in/dXS7bv6i https://lnkd.in/dQM9xfTH</t>
  </si>
  <si>
    <t>http://youtube.com/UmBlogQualquer https://www.twitch.tv/umblogqualquer</t>
  </si>
  <si>
    <t>https://amzn.to/40wgK4O https://amzn.to/40wgK4O</t>
  </si>
  <si>
    <t>https://www.youtube.com/watch?v=H6BMYxzVgxM&amp;list=PLBeaxGVsgNiO0-tICLp1lrxB2h03hD2v2&amp;index=15&amp;t=1914s https://www.youtube.com/watch?v=o-BlIGE_zoQ&amp;list=PLBeaxGVsgNiO0-tICLp1lrxB2h03hD2v2&amp;index=16</t>
  </si>
  <si>
    <t>https://youtu.be/YfF3OikJhwg https://ziontradeplatform.com/estrate</t>
  </si>
  <si>
    <t>https://chat.whatsapp.com/E60WctlpgTH16244c4vVkS https://discord.gg/QJB4AsdF</t>
  </si>
  <si>
    <t>http://Feedspot.com https://blog.feedspot.com/european_personal_finance_blogs/</t>
  </si>
  <si>
    <t>instagram.com</t>
  </si>
  <si>
    <t>blogspot.com</t>
  </si>
  <si>
    <t>com.br</t>
  </si>
  <si>
    <t>youtu.be</t>
  </si>
  <si>
    <t>bit.ly</t>
  </si>
  <si>
    <t>medium.com</t>
  </si>
  <si>
    <t>youtube.com</t>
  </si>
  <si>
    <t>org.br</t>
  </si>
  <si>
    <t>lnkd.in lnkd.in</t>
  </si>
  <si>
    <t>ocapital.digital</t>
  </si>
  <si>
    <t>com.ar</t>
  </si>
  <si>
    <t>rb.gy</t>
  </si>
  <si>
    <t>correiopopular.news</t>
  </si>
  <si>
    <t>shope.ee</t>
  </si>
  <si>
    <t>lnkd.in</t>
  </si>
  <si>
    <t>youtu.be instagram.com facebook.com</t>
  </si>
  <si>
    <t>humanprogress.org instagram.com</t>
  </si>
  <si>
    <t>wagnergeremia.com</t>
  </si>
  <si>
    <t>instagram.com com.br</t>
  </si>
  <si>
    <t>contate.me instagram.com</t>
  </si>
  <si>
    <t>exame.com</t>
  </si>
  <si>
    <t>linkedin.com</t>
  </si>
  <si>
    <t>instagr.am</t>
  </si>
  <si>
    <t>hotmart.com</t>
  </si>
  <si>
    <t>segon.pt</t>
  </si>
  <si>
    <t>zurl.co</t>
  </si>
  <si>
    <t>zcu.io</t>
  </si>
  <si>
    <t>islamicbfs.com</t>
  </si>
  <si>
    <t>binance.com</t>
  </si>
  <si>
    <t>wordpress.com</t>
  </si>
  <si>
    <t>mla.bs</t>
  </si>
  <si>
    <t>com.br bit.ly</t>
  </si>
  <si>
    <t>blogueiroconvidado.com</t>
  </si>
  <si>
    <t>avidamaisrica.com</t>
  </si>
  <si>
    <t>spotify.com</t>
  </si>
  <si>
    <t>dinheirovivo.pt</t>
  </si>
  <si>
    <t>tinyurl.com</t>
  </si>
  <si>
    <t>globo.com</t>
  </si>
  <si>
    <t>page.link</t>
  </si>
  <si>
    <t>eln.one</t>
  </si>
  <si>
    <t>tiktok.com</t>
  </si>
  <si>
    <t>facebook.com</t>
  </si>
  <si>
    <t>ens.vc</t>
  </si>
  <si>
    <t>amzn.to</t>
  </si>
  <si>
    <t>modelodevida.com</t>
  </si>
  <si>
    <t>webnode.page</t>
  </si>
  <si>
    <t>acesse.one</t>
  </si>
  <si>
    <t>urbanitae.com</t>
  </si>
  <si>
    <t>ift.tt</t>
  </si>
  <si>
    <t>academiabolsa.pt</t>
  </si>
  <si>
    <t>substack.com</t>
  </si>
  <si>
    <t>eduzz.com</t>
  </si>
  <si>
    <t>linktr.ee</t>
  </si>
  <si>
    <t>brazencap.com</t>
  </si>
  <si>
    <t>brainev.com</t>
  </si>
  <si>
    <t>portalunico.com</t>
  </si>
  <si>
    <t>qquest.pt</t>
  </si>
  <si>
    <t>multimidiainfo.com</t>
  </si>
  <si>
    <t>homem-mais-rico.com</t>
  </si>
  <si>
    <t>office.com</t>
  </si>
  <si>
    <t>tmblr.co</t>
  </si>
  <si>
    <t>humana.org</t>
  </si>
  <si>
    <t>twitter.com</t>
  </si>
  <si>
    <t>linkbio.co</t>
  </si>
  <si>
    <t>jornaldocomercio.com</t>
  </si>
  <si>
    <t>borafalardeguito.com</t>
  </si>
  <si>
    <t>cutt.ly</t>
  </si>
  <si>
    <t>abre.ai</t>
  </si>
  <si>
    <t>bityli.com</t>
  </si>
  <si>
    <t>shre.ink</t>
  </si>
  <si>
    <t>youtube.com twitch.tv</t>
  </si>
  <si>
    <t>dinheirando.net</t>
  </si>
  <si>
    <t>google.com</t>
  </si>
  <si>
    <t>revolut.com</t>
  </si>
  <si>
    <t>gov.br</t>
  </si>
  <si>
    <t>surveymonkey.com</t>
  </si>
  <si>
    <t>paivapiovesan.com</t>
  </si>
  <si>
    <t>cnnbr.app</t>
  </si>
  <si>
    <t>tsf.pt</t>
  </si>
  <si>
    <t>jornaldenegocios.pt</t>
  </si>
  <si>
    <t>caminhodoinvestimento.com</t>
  </si>
  <si>
    <t>trilhacerta.com</t>
  </si>
  <si>
    <t>short.gy</t>
  </si>
  <si>
    <t>amzn.to amzn.to</t>
  </si>
  <si>
    <t>wix.to</t>
  </si>
  <si>
    <t>produtive.me</t>
  </si>
  <si>
    <t>odysee.com</t>
  </si>
  <si>
    <t>ivipcoin.com</t>
  </si>
  <si>
    <t>4et.us</t>
  </si>
  <si>
    <t>dlvr.it</t>
  </si>
  <si>
    <t>richpoorapp.com</t>
  </si>
  <si>
    <t>penedagerestv.com</t>
  </si>
  <si>
    <t>inf.br</t>
  </si>
  <si>
    <t>revistaoeste.com</t>
  </si>
  <si>
    <t>wixsite.com</t>
  </si>
  <si>
    <t>youtube.com youtube.com</t>
  </si>
  <si>
    <t>sincronizze.com</t>
  </si>
  <si>
    <t>youtu.be ziontradeplatform.com</t>
  </si>
  <si>
    <t>calendly.com</t>
  </si>
  <si>
    <t>pugnaculum.com</t>
  </si>
  <si>
    <t>kambarico.com</t>
  </si>
  <si>
    <t>list-manage.com</t>
  </si>
  <si>
    <t>dicasdelongevidade.com</t>
  </si>
  <si>
    <t>cryptic.pt</t>
  </si>
  <si>
    <t>kiwify.app</t>
  </si>
  <si>
    <t>whatsapp.com discord.gg</t>
  </si>
  <si>
    <t>economiaefinancas.pt</t>
  </si>
  <si>
    <t>netlify.app</t>
  </si>
  <si>
    <t>com.vc</t>
  </si>
  <si>
    <t>boqnews.com</t>
  </si>
  <si>
    <t>pod.link</t>
  </si>
  <si>
    <t>hirenda.com</t>
  </si>
  <si>
    <t>edu.br</t>
  </si>
  <si>
    <t>investidorfrugal.com</t>
  </si>
  <si>
    <t>feedspot.com feedspot.com</t>
  </si>
  <si>
    <t>wp.me</t>
  </si>
  <si>
    <t>clinicawashingtonamancio.com</t>
  </si>
  <si>
    <t>net.br</t>
  </si>
  <si>
    <t>admleogaspar.com</t>
  </si>
  <si>
    <t>obeconomia jcorreiodopovo</t>
  </si>
  <si>
    <t>gcerbasi comoreinventar</t>
  </si>
  <si>
    <t>undime consedbr</t>
  </si>
  <si>
    <t>realpolkabridge polkadot cz_binance</t>
  </si>
  <si>
    <t>crescat_capital tavicosta</t>
  </si>
  <si>
    <t>globonews cesartralli</t>
  </si>
  <si>
    <t>lulaoficial haddad_fernando miltonneves</t>
  </si>
  <si>
    <t>nonoinvestidor miltonneves</t>
  </si>
  <si>
    <t>ourbooksbr marcesemasch</t>
  </si>
  <si>
    <t>ourbooksbr ourbooksbr marcesemasch</t>
  </si>
  <si>
    <t>ourbooksbr ourbooksbr</t>
  </si>
  <si>
    <t>einvestidor agoracorretora</t>
  </si>
  <si>
    <t>jornaldagazeta tvgazetaoficial</t>
  </si>
  <si>
    <t>choquei darlantd</t>
  </si>
  <si>
    <t>globonews ceciliaflesch</t>
  </si>
  <si>
    <t>aod_cunha pfnery</t>
  </si>
  <si>
    <t>globonews valoreconomico</t>
  </si>
  <si>
    <t>einvestidor estadao</t>
  </si>
  <si>
    <t>stealthelook amagalhaesana</t>
  </si>
  <si>
    <t>tarcisiogdf governosp</t>
  </si>
  <si>
    <t>inescoficial afocefe ijfiscal justiciafiscal</t>
  </si>
  <si>
    <t>disneyplusbr disney</t>
  </si>
  <si>
    <t>workshopdantas roxmo</t>
  </si>
  <si>
    <t>lulaoficial workshopdantas</t>
  </si>
  <si>
    <t>workshopdantas rmotta2</t>
  </si>
  <si>
    <t>fgc_br consedbr</t>
  </si>
  <si>
    <t>institutosicoob</t>
  </si>
  <si>
    <t>https://t.co/QtLJY8toN7 https://pbs.twimg.com/media/Fs9NDGLWAAM__wS.jpg</t>
  </si>
  <si>
    <t>https://t.co/C8WWX1ahBD https://pbs.twimg.com/media/Fz4Lhk_aMAUtQ0q.jpg</t>
  </si>
  <si>
    <t>https://t.co/Fcno8y58at https://pbs.twimg.com/media/FxIuTgaWwAA-TwX.jpg</t>
  </si>
  <si>
    <t>https://t.co/FWCY2NEnSE https://pbs.twimg.com/media/FvYF92YWYAI-Bw8.jpg</t>
  </si>
  <si>
    <t>https://t.co/n6LW00kbUU https://pbs.twimg.com/ext_tw_video_thumb/1658563187422253086/pu/img/AvwTDms224GcQNGa.jpg</t>
  </si>
  <si>
    <t>https://t.co/z7dvnm0glV https://pbs.twimg.com/media/FygaC-BaIAUP84v.jpg</t>
  </si>
  <si>
    <t>https://t.co/3ymYecsPn6 https://pbs.twimg.com/media/F0UGK6BXgAABSIY.jpg</t>
  </si>
  <si>
    <t>https://t.co/LQGb5pviQC https://pbs.twimg.com/media/Fl5OsKUWIAgJoiI.jpg</t>
  </si>
  <si>
    <t>https://t.co/yKetaVU79F https://pbs.twimg.com/media/FloM9zLWIAAnsag.jpg</t>
  </si>
  <si>
    <t>https://t.co/1crHKWdX0f https://pbs.twimg.com/media/Fx5NKqSaMAAEmZM.jpg</t>
  </si>
  <si>
    <t>https://t.co/9hB5KaORqu https://pbs.twimg.com/media/Fm8oNt3XgAAyJMp.jpg</t>
  </si>
  <si>
    <t>https://t.co/QVElKhtz53 https://pbs.twimg.com/ext_tw_video_thumb/1699896402552201217/pu/img/oVSQJpOOLH19tUR3.jpg</t>
  </si>
  <si>
    <t>https://t.co/Okpio186uR https://pbs.twimg.com/media/FvtZImBXgAU0dv8.jpg</t>
  </si>
  <si>
    <t>https://t.co/w78jEsZapP https://pbs.twimg.com/media/FoPL5fFXwAMquVg.jpg</t>
  </si>
  <si>
    <t>https://t.co/0DrxseJvZY https://t.co/0DrxseJvZY https://pbs.twimg.com/media/Fofx858X0AAiMFT.jpg https://pbs.twimg.com/media/Fofx86BX0AUBfey.jpg</t>
  </si>
  <si>
    <t>https://t.co/c3mMBPcRB7 https://pbs.twimg.com/ext_tw_video_thumb/1680756966430326785/pu/img/St0olVtCuCUSH_tR.jpg</t>
  </si>
  <si>
    <t>https://t.co/uZUoFPdAlp https://pbs.twimg.com/ext_tw_video_thumb/1624453938832461826/pu/img/-rGrAd71NBdtcRb_.jpg</t>
  </si>
  <si>
    <t>https://t.co/nPtD8RldzQ https://pbs.twimg.com/media/F01z_PxXwCAnTGx.jpg</t>
  </si>
  <si>
    <t>https://t.co/ZLRUH2AVXP https://pbs.twimg.com/media/FnbzEZ8XgAEXlFO.jpg</t>
  </si>
  <si>
    <t>https://t.co/47UxrMGQiK https://pbs.twimg.com/ext_tw_video_thumb/1697614102573490176/pu/img/DdsRG702fAMN3iyJ.jpg</t>
  </si>
  <si>
    <t>https://t.co/7PbvRBqTmb https://pbs.twimg.com/media/Fq3qZ2raEAQ4HFY.jpg</t>
  </si>
  <si>
    <t>https://t.co/er5KQBhF0q https://pbs.twimg.com/media/F4nKB8nWkAAvwyS.jpg</t>
  </si>
  <si>
    <t>https://t.co/ytUJ5VFsx9 https://pbs.twimg.com/media/F4dNgcvXcAA71Kw.jpg</t>
  </si>
  <si>
    <t>https://t.co/fg5Bg5eIzc https://pbs.twimg.com/media/F4dNan8XQAA1Y9R.jpg</t>
  </si>
  <si>
    <t>https://t.co/nt4T6RdvCo https://pbs.twimg.com/media/F4NOyHDXsAA6rhu.jpg</t>
  </si>
  <si>
    <t>https://t.co/y9Dub6Nbcs https://pbs.twimg.com/media/F4KjBCtXwAAXMmf.jpg</t>
  </si>
  <si>
    <t>https://t.co/rtWYTlf3Pg https://pbs.twimg.com/media/F4IDj6BWcAAYgk9.jpg</t>
  </si>
  <si>
    <t>https://t.co/jBLqxfaKoZ https://pbs.twimg.com/media/F4DW9eVXIAA-Pam.jpg</t>
  </si>
  <si>
    <t>https://t.co/3WSeJ8D1zn https://pbs.twimg.com/media/F4C3vqZXIAA2hUB.jpg</t>
  </si>
  <si>
    <t>https://t.co/eujYJY0t93 https://pbs.twimg.com/media/F3ma73VWIAAtCi0.jpg</t>
  </si>
  <si>
    <t>https://t.co/DQttnibT9p https://pbs.twimg.com/media/F3e0fqPW0AAAYoL.jpg</t>
  </si>
  <si>
    <t>https://t.co/5DVy6MtVhN https://pbs.twimg.com/media/F3e0WizWoAADvQB.jpg</t>
  </si>
  <si>
    <t>https://t.co/t1ah6Sr42S https://pbs.twimg.com/media/F0_FJOgXoAENy_4.jpg</t>
  </si>
  <si>
    <t>https://t.co/HuMryW3c51 https://pbs.twimg.com/media/F4sFIk4WgAA8A37.jpg</t>
  </si>
  <si>
    <t>https://t.co/zuzmiocNmi https://pbs.twimg.com/media/F4nbDFDWoAE5Zgq.jpg</t>
  </si>
  <si>
    <t>https://t.co/ufJiNQxbiC https://pbs.twimg.com/media/F4NPGBIXoAEJIFi.jpg</t>
  </si>
  <si>
    <t>https://t.co/N1knwtR6p1 https://pbs.twimg.com/media/F4NO2TTXgAEjYak.jpg</t>
  </si>
  <si>
    <t>https://t.co/jm3JyKRhzs https://pbs.twimg.com/media/F4IDeyuWAAAcpbD.jpg</t>
  </si>
  <si>
    <t>https://t.co/Xvv0GWZN9u https://pbs.twimg.com/media/F4IDZXTWMAAN0Je.jpg</t>
  </si>
  <si>
    <t>https://t.co/sW5fYVI7jT https://pbs.twimg.com/media/F4C3ra2WUAA4mF_.jpg</t>
  </si>
  <si>
    <t>https://t.co/CYeoE4yldf https://pbs.twimg.com/media/F35IOaTWUAA5RcI.jpg</t>
  </si>
  <si>
    <t>https://t.co/OwCxUISoqS https://pbs.twimg.com/media/F3kBl0VWAAA1Uio.jpg</t>
  </si>
  <si>
    <t>https://t.co/OlGiOh3Mt6 https://pbs.twimg.com/media/F3kBd9HXYAAzSPE.jpg</t>
  </si>
  <si>
    <t>https://t.co/lNvwkKMgW9 https://pbs.twimg.com/media/F3kBYVBWYAAYTJv.jpg</t>
  </si>
  <si>
    <t>https://t.co/M8epzi0HAj https://pbs.twimg.com/media/F3hPyd0XIAAvLqA.jpg</t>
  </si>
  <si>
    <t>https://t.co/qwdcuAmXYK https://pbs.twimg.com/media/F3aYz8LWcAAAblg.jpg</t>
  </si>
  <si>
    <t>https://t.co/zNleLzMzsW https://pbs.twimg.com/media/F4um0K0XkAAMd-M.jpg</t>
  </si>
  <si>
    <t>https://t.co/3629AUMvXz https://pbs.twimg.com/media/F4sFTYiWUAAQWjq.jpg</t>
  </si>
  <si>
    <t>https://t.co/Fweenpp9B2 https://pbs.twimg.com/media/F4sFNQuWAAEX_v2.jpg</t>
  </si>
  <si>
    <t>https://t.co/7rVgcZ6xCY https://pbs.twimg.com/media/F4pYo0tXkAAxQ0A.jpg</t>
  </si>
  <si>
    <t>https://t.co/9ASR4eILOc https://pbs.twimg.com/media/F4nJ9WJXcAA3_QG.jpg</t>
  </si>
  <si>
    <t>https://t.co/XljYc6DLq1 https://pbs.twimg.com/media/F4FbXPHWIAADWT-.jpg</t>
  </si>
  <si>
    <t>https://t.co/MNeDVWPW65 https://pbs.twimg.com/media/F35IKKTXgAAuDpi.jpg</t>
  </si>
  <si>
    <t>https://t.co/ceZgbM3FLZ https://pbs.twimg.com/media/F31_WWRXsAAiB4k.jpg</t>
  </si>
  <si>
    <t>https://t.co/TIF3kRVDtC https://pbs.twimg.com/media/F3zlHHDXAAAxZTy.jpg</t>
  </si>
  <si>
    <t>https://t.co/rUjRMD0R7h https://pbs.twimg.com/media/F3zlBdlWMAELvs6.jpg</t>
  </si>
  <si>
    <t>https://t.co/UkMxtmo0GQ https://pbs.twimg.com/media/F3fRVxJXwAA7kZJ.jpg</t>
  </si>
  <si>
    <t>https://t.co/dIMDcKWksX https://pbs.twimg.com/media/F44_cFRXUAAVxvM.jpg</t>
  </si>
  <si>
    <t>https://t.co/SCKv8skUPp https://pbs.twimg.com/media/F42cYPLWoAAGf5x.jpg</t>
  </si>
  <si>
    <t>https://t.co/l3O9RvAyej https://pbs.twimg.com/media/F42cTzyXgAEQJxc.jpg</t>
  </si>
  <si>
    <t>https://t.co/pVKvJlquoY https://pbs.twimg.com/media/F42cOBbWEAATTT1.jpg</t>
  </si>
  <si>
    <t>https://t.co/ufUCHBEh0o https://pbs.twimg.com/media/F4zrXO9W4AAdISJ.jpg</t>
  </si>
  <si>
    <t>https://t.co/68L1ChqnZb https://pbs.twimg.com/media/F4aAGuwWgAAu-DQ.jpg</t>
  </si>
  <si>
    <t>https://t.co/apqGfeeYyC https://pbs.twimg.com/media/F4XjlEyXEAAthuf.jpg</t>
  </si>
  <si>
    <t>https://t.co/hGpuuHz2hc https://pbs.twimg.com/media/F4XjfcXXUAAZihk.jpg</t>
  </si>
  <si>
    <t>https://t.co/jGRpvHwr1y https://pbs.twimg.com/media/F4Xja4JWAAA5Sgg.jpg</t>
  </si>
  <si>
    <t>https://t.co/9sGqAQzwMa https://pbs.twimg.com/media/F4UypLbXIAA8rBa.jpg</t>
  </si>
  <si>
    <t>https://t.co/RFx4gAQ0GI https://pbs.twimg.com/media/F4SaJd0WAAAZRP3.jpg</t>
  </si>
  <si>
    <t>https://t.co/DeQwnuOuvO https://pbs.twimg.com/media/F4SZ-eIXsAEnhQu.jpg</t>
  </si>
  <si>
    <t>https://t.co/NlBIcah3L5 https://pbs.twimg.com/media/F4PtvpOXAAAYWeJ.jpg</t>
  </si>
  <si>
    <t>https://t.co/L7v6t9Nh0I https://pbs.twimg.com/media/F3VQUovXkAAOsgM.jpg</t>
  </si>
  <si>
    <t>https://t.co/wgJdV5syyV https://pbs.twimg.com/media/F3VQPatW4AA0sIs.jpg</t>
  </si>
  <si>
    <t>https://t.co/Ce74biMv8F https://pbs.twimg.com/media/F47o8owWoAAphcY.jpg</t>
  </si>
  <si>
    <t>https://t.co/KEna3KS2jH https://pbs.twimg.com/media/F47o2VsXkAAaVgP.jpg</t>
  </si>
  <si>
    <t>https://t.co/P4PwkCcP52 https://pbs.twimg.com/media/F47oxjcWYAAiwe1.jpg</t>
  </si>
  <si>
    <t>https://t.co/RKL5vBS9xq https://pbs.twimg.com/media/F4xKG_HWEAAje5Z.jpg</t>
  </si>
  <si>
    <t>https://t.co/FBnqkA4QZS https://pbs.twimg.com/media/F4xKBp9XMAA00lQ.jpg</t>
  </si>
  <si>
    <t>https://t.co/FXWk2uzd8c https://pbs.twimg.com/media/F4xJ9ihXEAAT8Ic.jpg</t>
  </si>
  <si>
    <t>https://t.co/PjqFHjeLDK https://pbs.twimg.com/media/F3zk9AIWMAAs6Tz.jpg</t>
  </si>
  <si>
    <t>https://t.co/qOpXuaeSN6 https://pbs.twimg.com/media/F3w87u3WYAApcPA.jpg</t>
  </si>
  <si>
    <t>https://t.co/mWoQnQS3rn https://pbs.twimg.com/media/F3uYU17WoAIByY5.jpg</t>
  </si>
  <si>
    <t>https://t.co/v5JYo7WGma https://pbs.twimg.com/media/F3uYJoOW8AIN3xn.jpg</t>
  </si>
  <si>
    <t>https://t.co/TJU0Z64Anh https://pbs.twimg.com/media/F3uYBWhXMAMuMtZ.jpg</t>
  </si>
  <si>
    <t>https://t.co/RnzqMYnK1V https://pbs.twimg.com/media/F3rpOZnXwAAZ2Vy.jpg</t>
  </si>
  <si>
    <t>https://t.co/4mjgthDGDh https://pbs.twimg.com/media/F3pPO1cXcAAVo-h.jpg</t>
  </si>
  <si>
    <t>https://t.co/jjXTtVcoEJ https://pbs.twimg.com/media/F3pPJVNXcAABRCt.jpg</t>
  </si>
  <si>
    <t>https://t.co/dd8QBSv1Tj https://pbs.twimg.com/media/F3pO9VlWUAAIsPr.jpg</t>
  </si>
  <si>
    <t>https://t.co/ikrTucnFYE https://pbs.twimg.com/media/F0v7NiQXoAArGMg.jpg</t>
  </si>
  <si>
    <t>https://t.co/MjKA7oYV4A https://pbs.twimg.com/media/FzVw4KGWAAAq0uS.jpg</t>
  </si>
  <si>
    <t>https://t.co/DdnDqz4uO7 https://pbs.twimg.com/media/Fqp8VR2XgAYJC3o.jpg</t>
  </si>
  <si>
    <t>https://t.co/1YymPD3bdF https://pbs.twimg.com/ext_tw_video_thumb/1656427514066026497/pu/img/sNPW6PHXTWhNaOMf.jpg</t>
  </si>
  <si>
    <t>https://t.co/EL6Zlg7Xb7 https://pbs.twimg.com/ext_tw_video_thumb/1615825723842863107/pu/img/WsMnxJHAVN5y2uCF.jpg</t>
  </si>
  <si>
    <t>https://t.co/dN7zHSkcCw https://pbs.twimg.com/media/Fs5To-GX0AkHzDX.jpg</t>
  </si>
  <si>
    <t>https://t.co/TA2FEoM5yQ https://pbs.twimg.com/media/FsfjtopWIBE0XUR.jpg</t>
  </si>
  <si>
    <t>https://t.co/WN7gjLQ9Ow https://pbs.twimg.com/media/FsaaG2NXgAcW63_.jpg</t>
  </si>
  <si>
    <t>https://t.co/D8VwE5BZaN https://pbs.twimg.com/media/FsVQc0tX0Akg7U9.jpg</t>
  </si>
  <si>
    <t>https://t.co/rxL89cZKuQ https://pbs.twimg.com/media/Fr6LYyYWAAke6vl.jpg</t>
  </si>
  <si>
    <t>https://t.co/Fq9d4Dhg56 https://pbs.twimg.com/media/EmPeaPZU4AQJG5v.jpg</t>
  </si>
  <si>
    <t>https://t.co/iHDcn3vwA8 https://pbs.twimg.com/media/F3Gw1WmWEAAICwO.jpg</t>
  </si>
  <si>
    <t>https://t.co/rKZj7Mz5TJ https://pbs.twimg.com/media/FyyN2S0XoAMOWph.jpg</t>
  </si>
  <si>
    <t>https://t.co/lg0I5UZCli https://pbs.twimg.com/media/FwRfDqZXgAIsFCz.jpg</t>
  </si>
  <si>
    <t>https://t.co/Pfsy9HQu85 https://pbs.twimg.com/media/FyYc6mRWAAc2Ith.jpg</t>
  </si>
  <si>
    <t>https://t.co/WD67faE7eb https://pbs.twimg.com/media/F3sFXEcWIAAScC9.jpg</t>
  </si>
  <si>
    <t>https://t.co/HNJLbOBllH https://pbs.twimg.com/media/FwRtR9PX0AQ8IK0.jpg</t>
  </si>
  <si>
    <t>https://t.co/W252zk4SeX https://pbs.twimg.com/ext_tw_video_thumb/1682773371174436864/pu/img/b7C6U_d-P02M93Um.jpg</t>
  </si>
  <si>
    <t>https://t.co/GuKfqWKmd9 https://t.co/GuKfqWKmd9 https://pbs.twimg.com/media/FqUS-NSXoAwu8UC.jpg https://pbs.twimg.com/media/FqUS-NXXoCIHj2P.jpg</t>
  </si>
  <si>
    <t>https://t.co/8s1xd4WD3G https://pbs.twimg.com/tweet_video_thumb/F4eLxx-XIAAoSGf.jpg</t>
  </si>
  <si>
    <t>https://t.co/Ctycse0la0 https://pbs.twimg.com/ext_tw_video_thumb/1644020527802073088/pu/img/JiSq9fT8Aam3F1hN.jpg</t>
  </si>
  <si>
    <t>https://t.co/ldInzvLCDP https://pbs.twimg.com/media/FurNDz8WAAIYYf2.jpg</t>
  </si>
  <si>
    <t>https://t.co/jpNNmLSgoM https://pbs.twimg.com/media/Fxn3geWXwAIHmtS.jpg</t>
  </si>
  <si>
    <t>https://t.co/FGZ5lLcLac https://pbs.twimg.com/media/FrrNPvZWcAQ-KM5.jpg</t>
  </si>
  <si>
    <t>https://t.co/aI2iOEpMhH https://pbs.twimg.com/media/FwMuUFdWAAEfJ0j.jpg</t>
  </si>
  <si>
    <t>https://t.co/7h9jaT9G3h https://pbs.twimg.com/media/FuWhlqxWcAYEkGi.jpg</t>
  </si>
  <si>
    <t>https://t.co/cZ5HXwC351 https://pbs.twimg.com/amplify_video_thumb/1643755338544582658/img/mTORyWa5w_wSG7oj.jpg</t>
  </si>
  <si>
    <t>https://t.co/5PPurVJWCd https://pbs.twimg.com/media/FtmBiXHWIAERWdM.jpg</t>
  </si>
  <si>
    <t>https://t.co/IOjzVhLXVZ https://pbs.twimg.com/ext_tw_video_thumb/1683066568647819264/pu/img/i9pTq2SIDOqSa2bU.jpg</t>
  </si>
  <si>
    <t>https://t.co/GjASyJaFs2 https://pbs.twimg.com/media/FufPnTmXoAI7qb5.jpg</t>
  </si>
  <si>
    <t>https://t.co/5UqIbwNLLM https://pbs.twimg.com/media/FwQqzdAXsAYTp7q.jpg</t>
  </si>
  <si>
    <t>https://t.co/v5z63hQhq2 https://pbs.twimg.com/media/FwQqPJuXsAAvy7F.jpg</t>
  </si>
  <si>
    <t>https://t.co/6ysy49z66m https://pbs.twimg.com/media/FvS3f83XoAMijUj.jpg</t>
  </si>
  <si>
    <t>https://t.co/icYO4L3oeP https://pbs.twimg.com/media/FvS1ZljWwAIJq2J.jpg</t>
  </si>
  <si>
    <t>https://t.co/IdMtA6ac8K https://pbs.twimg.com/media/FzvC4nPXgAIkXo2.jpg</t>
  </si>
  <si>
    <t>https://t.co/Qv56YES6WB https://pbs.twimg.com/media/FrTBfPbWYAA14S2.jpg</t>
  </si>
  <si>
    <t>https://t.co/jufjzy2bOS https://pbs.twimg.com/media/FrTBQ66XsAEkuBo.jpg</t>
  </si>
  <si>
    <t>https://t.co/cNZPCnSnPw https://pbs.twimg.com/media/FrSh7bDXsAgKdF0.jpg</t>
  </si>
  <si>
    <t>https://t.co/0rJ1Pl6fm1 https://pbs.twimg.com/media/FrScpPcWAAICBb-.jpg</t>
  </si>
  <si>
    <t>https://t.co/d2u1OzCE31 https://pbs.twimg.com/media/FrScko7WwAABt8Q.jpg</t>
  </si>
  <si>
    <t>https://t.co/zLeFLZTqVe https://pbs.twimg.com/ext_tw_video_thumb/1690483581439643648/pu/img/p8v-f986tgh5sH-t.jpg</t>
  </si>
  <si>
    <t>https://t.co/1FU4IwDKm0 https://pbs.twimg.com/ext_tw_video_thumb/1690121452182200323/pu/img/5PFnLZcBa4ZIa8J0.jpg</t>
  </si>
  <si>
    <t>https://t.co/mVClkI8kFn https://pbs.twimg.com/media/FxYNzfsXoAEqOXx.jpg</t>
  </si>
  <si>
    <t>https://t.co/ymV4R4lEio https://pbs.twimg.com/ext_tw_video_thumb/1692189804895612929/pu/img/vMh9BGT5hSEkrCQ5.jpg</t>
  </si>
  <si>
    <t>https://t.co/OHkfI68NJ3 https://pbs.twimg.com/ext_tw_video_thumb/1691933186232590336/pu/img/VenX2vQsCluu4veP.jpg</t>
  </si>
  <si>
    <t>https://t.co/b2i47Cj1Y2 https://pbs.twimg.com/media/Fr12mVJXoBQ6tms.jpg</t>
  </si>
  <si>
    <t>https://t.co/GNN3zHtSpx https://pbs.twimg.com/ext_tw_video_thumb/1693579192544202752/pu/img/k_RIEX688F86AaYR.jpg</t>
  </si>
  <si>
    <t>https://t.co/1AXqOzfm3V https://pbs.twimg.com/ext_tw_video_thumb/1691570778842533888/pu/img/UD-yibBYHf9uuUEW.jpg</t>
  </si>
  <si>
    <t>https://t.co/RE2TGI5Dpg https://pbs.twimg.com/ext_tw_video_thumb/1688935095657218049/pu/img/CRopdIfiv1mmOeY8.jpg</t>
  </si>
  <si>
    <t>https://t.co/Q047no7NxE https://pbs.twimg.com/ext_tw_video_thumb/1688933588631220225/pu/img/9RzfRZ5Om08plN7M.jpg</t>
  </si>
  <si>
    <t>https://t.co/VISaS8xWbK https://pbs.twimg.com/ext_tw_video_thumb/1693397762308517888/pu/img/m_2E5h0LiMN_3lZa.jpg</t>
  </si>
  <si>
    <t>https://t.co/JMEYvMRL4k https://pbs.twimg.com/ext_tw_video_thumb/1691208345284157440/pu/img/E18eOZZA4fu9iD2K.jpg</t>
  </si>
  <si>
    <t>https://t.co/2FMkHTTNyD https://pbs.twimg.com/ext_tw_video_thumb/1690845973180719107/pu/img/vwlx3B-oLy_LkTzQ.jpg</t>
  </si>
  <si>
    <t>https://t.co/FmbEOUgfD9 https://pbs.twimg.com/media/FxuuY9sXwAcxYdo.jpg</t>
  </si>
  <si>
    <t>https://t.co/JRSqletqE0 https://pbs.twimg.com/media/FsbQ8U-XoAI4fPs.jpg</t>
  </si>
  <si>
    <t>https://t.co/gRrGhaHx3e https://pbs.twimg.com/ext_tw_video_thumb/1694047058934534144/pu/img/lKpzEalAAmLSMvEk.jpg</t>
  </si>
  <si>
    <t>https://t.co/PGKVPn3uxM https://pbs.twimg.com/ext_tw_video_thumb/1692869299180908544/pu/img/tigv2WerEzryBGMI.jpg</t>
  </si>
  <si>
    <t>https://t.co/UEue72P6Nd https://pbs.twimg.com/ext_tw_video_thumb/1689381784767660032/pu/img/8aQg8OzWm-UJeL9J.jpg</t>
  </si>
  <si>
    <t>https://t.co/e6JQY6ak4Q https://pbs.twimg.com/media/FsGqk2UWIDklCac.jpg</t>
  </si>
  <si>
    <t>https://t.co/fDOmbZU9BN https://pbs.twimg.com/media/Fr5WOPNXgAQSWNS.jpg</t>
  </si>
  <si>
    <t>https://t.co/6rLCL3eeNY https://t.co/6rLCL3eeNY https://t.co/6rLCL3eeNY https://t.co/6rLCL3eeNY https://pbs.twimg.com/media/FmI2h-ZXEAEpbjC.jpg https://pbs.twimg.com/media/FmI2iSNWIAgkTfY.jpg https://pbs.twimg.com/media/FmI2incWIBkP2M0.jpg https://pbs.twimg.com/media/FmI2i7aXoAEMyln.jpg</t>
  </si>
  <si>
    <t>https://t.co/oJbXsaqSAH https://pbs.twimg.com/ext_tw_video_thumb/1638173957512900618/pu/img/8Y_dK3fiiXUHrThD.jpg</t>
  </si>
  <si>
    <t>https://t.co/iZ8MQfw1MV https://pbs.twimg.com/media/F2Ci3VYXgAEWQjJ.jpg</t>
  </si>
  <si>
    <t>https://t.co/y6MOphElkS https://pbs.twimg.com/media/FyLx5XGWcAAiGtu.jpg</t>
  </si>
  <si>
    <t>https://t.co/UL4eGhVIIc https://pbs.twimg.com/media/FojJFFjXgAIlNtx.jpg</t>
  </si>
  <si>
    <t>https://t.co/VNe5PIPABu https://pbs.twimg.com/media/FqPCY8iX0AECJYR.jpg</t>
  </si>
  <si>
    <t>https://t.co/lE2FqgKEtU https://pbs.twimg.com/media/FqPCEJZWYA813-D.jpg</t>
  </si>
  <si>
    <t>https://t.co/t2tihJHhml https://pbs.twimg.com/media/FqKoZm6XgAAzoyw.jpg</t>
  </si>
  <si>
    <t>https://t.co/KM837eTZJP https://pbs.twimg.com/media/FqKoN7iXwAE-RJm.jpg</t>
  </si>
  <si>
    <t>https://t.co/axXwOmMecZ https://pbs.twimg.com/media/FoZWkbhXwAQzr9i.jpg</t>
  </si>
  <si>
    <t>https://t.co/2jAVTmQ7w6 https://pbs.twimg.com/media/FoZWVhjXsAIeupK.jpg</t>
  </si>
  <si>
    <t>https://t.co/1gg6CWSZe5 https://pbs.twimg.com/media/FoZU4GRXwAAoiPN.jpg</t>
  </si>
  <si>
    <t>https://t.co/zSN4NTAGHR https://pbs.twimg.com/ext_tw_video_thumb/1632788525371236352/pu/img/bXHKi11zall6hX3v.jpg</t>
  </si>
  <si>
    <t>https://t.co/r8U6z0CJpr https://pbs.twimg.com/media/FnfxTw5akAACIFA.jpg</t>
  </si>
  <si>
    <t>https://t.co/1F7mPIndJF https://pbs.twimg.com/media/FrSi000XoAAavq1.jpg</t>
  </si>
  <si>
    <t>https://t.co/LlRoMeQGVS https://pbs.twimg.com/media/FvcZnuNWcAER5pb.jpg</t>
  </si>
  <si>
    <t>https://t.co/dAdNRr7shM https://pbs.twimg.com/ext_tw_video_thumb/1695787472104402945/pu/img/TtQ4YZo3vr7VV2UO.jpg</t>
  </si>
  <si>
    <t>https://t.co/6kmMt38R5g https://pbs.twimg.com/media/FpwvLPRXsAA5WPt.jpg</t>
  </si>
  <si>
    <t>https://t.co/n740ME4pwH https://pbs.twimg.com/media/FryV8G8WAAAl0VK.jpg</t>
  </si>
  <si>
    <t>https://t.co/UWAbfrjpiU https://pbs.twimg.com/media/FvD7DXpWcAE6BwN.jpg</t>
  </si>
  <si>
    <t>https://t.co/IGBFkpsyg1 https://pbs.twimg.com/media/FuLO1fPWAAQHekN.jpg</t>
  </si>
  <si>
    <t>https://t.co/DjzN8PWGJz https://t.co/DjzN8PWGJz https://t.co/DjzN8PWGJz https://pbs.twimg.com/media/FtdONjLWIAApxwj.jpg https://pbs.twimg.com/media/FtdONjKXgAYn39A.jpg https://pbs.twimg.com/media/FtdONjKWcAE47qx.jpg</t>
  </si>
  <si>
    <t>https://t.co/owl8ie6beY https://pbs.twimg.com/media/FmB4IJ3XoAAiVEN.jpg</t>
  </si>
  <si>
    <t>https://t.co/PLqfIM8Fi4 https://pbs.twimg.com/media/Fwhl-lfWIAMqoP4.jpg</t>
  </si>
  <si>
    <t>https://t.co/eDN5GtBvAi https://pbs.twimg.com/media/FuLhjbiWcA0elMd.jpg</t>
  </si>
  <si>
    <t>https://t.co/liCCdhF1v8 https://pbs.twimg.com/media/FtmhCeQXsAE8-iG.jpg</t>
  </si>
  <si>
    <t>https://t.co/jIOAaMGHvF https://t.co/jIOAaMGHvF https://pbs.twimg.com/media/FtNua8rWwAMLsAJ.jpg https://pbs.twimg.com/media/FtNua8qWwAc_xAO.jpg</t>
  </si>
  <si>
    <t>https://t.co/zwi1VxUpLC https://t.co/zwi1VxUpLC https://pbs.twimg.com/media/FrHc8kqXoCM1lnH.jpg https://pbs.twimg.com/media/FrHc8koXoAYrHka.jpg</t>
  </si>
  <si>
    <t>https://t.co/JHS5t33x6N https://pbs.twimg.com/media/Fp_IffiX0AMrhxy.jpg</t>
  </si>
  <si>
    <t>https://t.co/9ohYlbS8tv https://pbs.twimg.com/media/Fp-0VgFWcAIKT00.jpg</t>
  </si>
  <si>
    <t>https://t.co/o4RRZt2JCu https://pbs.twimg.com/media/Fp2RblMXoAAN2sA.jpg</t>
  </si>
  <si>
    <t>https://t.co/TFIWMflrLI https://pbs.twimg.com/media/Fpk7zVaXsAEgy74.jpg</t>
  </si>
  <si>
    <t>https://t.co/9iBtpSUPyP https://pbs.twimg.com/media/F1BPQGHWwAo4wOI.jpg</t>
  </si>
  <si>
    <t>https://t.co/PJ61jCR6zI https://pbs.twimg.com/media/FzA5StbWAAAZ9ex.jpg</t>
  </si>
  <si>
    <t>https://t.co/GDPmFbopGp https://pbs.twimg.com/media/FyG-XYaaMAIBWTj.jpg</t>
  </si>
  <si>
    <t>https://t.co/SmhJhejSOA https://pbs.twimg.com/media/FyG47aYaMAAZax7.jpg</t>
  </si>
  <si>
    <t>https://t.co/fDS4QD7GjH https://pbs.twimg.com/media/FvD2xnAWYA84OIZ.jpg</t>
  </si>
  <si>
    <t>https://t.co/pzWldZGeqB https://pbs.twimg.com/media/FvDahdUXgAA3awb.jpg</t>
  </si>
  <si>
    <t>https://t.co/QjL1i7Mk5A https://pbs.twimg.com/media/FuK66kdX0AE9uxJ.jpg</t>
  </si>
  <si>
    <t>https://t.co/5ZlWFIgLO5 https://pbs.twimg.com/media/FrROOutXoAQkKDg.jpg</t>
  </si>
  <si>
    <t>https://t.co/w8lndJN4wJ https://pbs.twimg.com/media/FmwvGiIXwAIHC9P.jpg</t>
  </si>
  <si>
    <t>https://t.co/mz4NRbkK37 https://t.co/mz4NRbkK37 https://pbs.twimg.com/media/Fmmc04BXwAEB9iJ.jpg https://pbs.twimg.com/media/Fmmc04BWYAg7Cjf.jpg</t>
  </si>
  <si>
    <t>https://t.co/BqHelhj4ww https://t.co/BqHelhj4ww https://t.co/BqHelhj4ww https://t.co/BqHelhj4ww https://pbs.twimg.com/media/FmYL8x1XEAMGqN3.jpg https://pbs.twimg.com/media/FmYL8x3XEAEoXPh.jpg https://pbs.twimg.com/media/FmYL8x2XEAkZ9LV.jpg https://pbs.twimg.com/media/FmYL8x4XEBEVvFc.jpg</t>
  </si>
  <si>
    <t>https://t.co/FkCiVbIxN1 https://pbs.twimg.com/media/FmWpmBHXEAEnBAj.jpg</t>
  </si>
  <si>
    <t>https://t.co/zM0gNlsQpx https://t.co/zM0gNlsQpx https://pbs.twimg.com/media/F3BNQmIXwAA87Gb.jpg https://pbs.twimg.com/media/F3BNQmKX0AIvYN4.jpg</t>
  </si>
  <si>
    <t>https://t.co/gj3PlDPjBo https://pbs.twimg.com/media/F1lhk60WwAA34Oj.jpg</t>
  </si>
  <si>
    <t>https://t.co/UkcNjyqkuA https://pbs.twimg.com/media/F1Bo-gMWcAMjssd.jpg</t>
  </si>
  <si>
    <t>https://t.co/5na7jwjVof https://pbs.twimg.com/media/F0dhBSOXoAAauci.jpg</t>
  </si>
  <si>
    <t>https://t.co/PKlrSIvf26 https://t.co/PKlrSIvf26 https://t.co/PKlrSIvf26 https://pbs.twimg.com/media/FxpSWaRX0AACwqa.jpg https://pbs.twimg.com/media/FxpSWaQXwAU0x9Q.jpg https://pbs.twimg.com/media/FxpSWaQXwAM24L6.jpg</t>
  </si>
  <si>
    <t>https://t.co/Jc3XEF1ZcF https://pbs.twimg.com/media/FxpCW4rWYAAtS6l.jpg</t>
  </si>
  <si>
    <t>https://t.co/BbeZGrlrVX https://pbs.twimg.com/media/FwSF3deXoAA3ZES.jpg</t>
  </si>
  <si>
    <t>https://t.co/UB4hF5C64D https://t.co/UB4hF5C64D https://t.co/UB4hF5C64D https://pbs.twimg.com/media/Fv4A4nbX0AACx8d.jpg https://pbs.twimg.com/media/Fv4A4ndWcAAXObv.jpg https://pbs.twimg.com/media/Fv4A4ngXoAA_BjK.jpg</t>
  </si>
  <si>
    <t>https://t.co/c9vX65ALYO https://pbs.twimg.com/media/FtYUXO0XgB0_ZFc.jpg</t>
  </si>
  <si>
    <t>https://t.co/e5L4MH70Ls https://pbs.twimg.com/media/FtHFXRLWcAIpILN.jpg</t>
  </si>
  <si>
    <t>https://t.co/ge3yfNjdDg https://pbs.twimg.com/media/Fs9bQyNXsAANI6e.jpg</t>
  </si>
  <si>
    <t>https://t.co/U4iQ8HYGEw https://t.co/U4iQ8HYGEw https://t.co/U4iQ8HYGEw https://t.co/U4iQ8HYGEw https://pbs.twimg.com/media/FonbtPFWcAMZdXq.jpg https://pbs.twimg.com/media/FonbtPDXEAEJUXw.jpg https://pbs.twimg.com/media/FonbtPCXwAITQrM.jpg https://pbs.twimg.com/media/FonbtPmX0AAHr8q.jpg</t>
  </si>
  <si>
    <t>https://t.co/mVDX7z0BQ1 https://pbs.twimg.com/media/F3hg3lxWQAAymPr.jpg</t>
  </si>
  <si>
    <t>https://t.co/K22T2HH3xR https://t.co/K22T2HH3xR https://pbs.twimg.com/media/F2EbA_dW4AEG2QV.jpg https://pbs.twimg.com/media/F2EbA_rXQAA8Cix.jpg</t>
  </si>
  <si>
    <t>https://t.co/yfMEmR8IKx https://pbs.twimg.com/media/F1BZf-8XgAAGjC7.jpg</t>
  </si>
  <si>
    <t>https://t.co/e1IOa5kSMb https://pbs.twimg.com/media/Fz52Xg2XsAA6yEY.jpg</t>
  </si>
  <si>
    <t>https://t.co/9aBnM6csdl https://pbs.twimg.com/media/FyHvcFUWAAETjuh.jpg</t>
  </si>
  <si>
    <t>https://t.co/Sb50Gm0DZw https://pbs.twimg.com/media/FxJxztWWYAMT-BB.jpg</t>
  </si>
  <si>
    <t>https://t.co/v3NoSj91xX https://pbs.twimg.com/media/FszAhJkXoAEh2fk.jpg</t>
  </si>
  <si>
    <t>https://t.co/k8jkbULCnM https://pbs.twimg.com/media/Fsjibi2XgAEBNsu.jpg</t>
  </si>
  <si>
    <t>https://t.co/JK7PnW7nfi https://t.co/JK7PnW7nfi https://pbs.twimg.com/media/FpLR2lXaMAcF8LJ.jpg https://pbs.twimg.com/media/FpLR2lZacAMWqsd.jpg</t>
  </si>
  <si>
    <t>https://t.co/OCnouV8m4C https://t.co/OCnouV8m4C https://t.co/OCnouV8m4C https://t.co/OCnouV8m4C https://pbs.twimg.com/media/F490g10W8AAhEev.jpg https://pbs.twimg.com/media/F490g10WwAA56yA.jpg https://pbs.twimg.com/media/F490g1yWEAAA-HG.jpg https://pbs.twimg.com/media/F490g1zX0AArjDI.jpg</t>
  </si>
  <si>
    <t>https://t.co/9S7YlsYdwG https://pbs.twimg.com/media/F3havjJWMAAz6a7.jpg</t>
  </si>
  <si>
    <t>https://t.co/yZoWwLAnuU https://pbs.twimg.com/media/F1ls8YCWAAAR3F9.jpg</t>
  </si>
  <si>
    <t>https://t.co/V83S5Hr9yo https://pbs.twimg.com/media/F1GthTjWYAUZb36.jpg</t>
  </si>
  <si>
    <t>https://t.co/FSP9Bzvjz4 https://pbs.twimg.com/media/Fz5xjKQXwAAXGEp.jpg</t>
  </si>
  <si>
    <t>https://t.co/tmOm217hb1 https://pbs.twimg.com/media/Fz5tIh5XgAUhWNk.jpg</t>
  </si>
  <si>
    <t>https://t.co/CpMwY7iMgk https://pbs.twimg.com/media/Fw13OLmWIBwiQ1d.jpg</t>
  </si>
  <si>
    <t>https://t.co/5r568lEF01 https://pbs.twimg.com/media/FuKf34-XgAIazsP.jpg</t>
  </si>
  <si>
    <t>https://t.co/KaXWjVFbK7 https://pbs.twimg.com/media/FtnxNH7X0AAC4Zv.jpg</t>
  </si>
  <si>
    <t>https://t.co/ZbIW43yXIh https://pbs.twimg.com/media/FqtUdHEXsAAfgqY.jpg</t>
  </si>
  <si>
    <t>https://t.co/476rDxtB8r https://pbs.twimg.com/media/Fqipjs6WYAMZEfm.jpg</t>
  </si>
  <si>
    <t>https://t.co/aHKboa5Nw0 https://pbs.twimg.com/media/Fqikn6KWYAEEPfK.jpg</t>
  </si>
  <si>
    <t>https://t.co/wjlLNTZiu7 https://pbs.twimg.com/media/FqULOwwXoBkEdD5.jpg</t>
  </si>
  <si>
    <t>https://t.co/FXhKYZxxpo https://t.co/FXhKYZxxpo https://t.co/FXhKYZxxpo https://t.co/FXhKYZxxpo https://pbs.twimg.com/media/FqO7YUuWAAAZh-4.jpg https://pbs.twimg.com/media/FqO7YUvWwAECVrL.jpg https://pbs.twimg.com/media/FqO7YUtWYAgZNwK.jpg https://pbs.twimg.com/media/FqO7YU8WYBQni9p.jpg</t>
  </si>
  <si>
    <t>https://t.co/JejgIlqvlF https://pbs.twimg.com/media/FqJPjzAWwAI_J8y.jpg</t>
  </si>
  <si>
    <t>https://t.co/hoQELwttl8 https://t.co/hoQELwttl8 https://t.co/hoQELwttl8 https://t.co/hoQELwttl8 https://pbs.twimg.com/media/FqJN7OqX0AABd5O.jpg https://pbs.twimg.com/media/FqJN7OwXgAEvP-t.jpg https://pbs.twimg.com/media/FqJN7OsWAAAhQnL.jpg https://pbs.twimg.com/media/FqJN7OqXgAAOYq1.jpg</t>
  </si>
  <si>
    <t>https://t.co/QXqXOau39M https://t.co/QXqXOau39M https://pbs.twimg.com/media/F49qt6QXIAA5uj1.jpg https://pbs.twimg.com/media/F49qt6PXwAA6ye4.jpg</t>
  </si>
  <si>
    <t>https://t.co/mg7IQMrWEw https://pbs.twimg.com/media/F49lRqaW4AAkxoy.jpg</t>
  </si>
  <si>
    <t>https://t.co/qQOiGt62hf https://pbs.twimg.com/media/F48VFn9WAAIoeiY.jpg</t>
  </si>
  <si>
    <t>https://t.co/GgVFUSt9UN https://pbs.twimg.com/media/F4KGNypWgAA7JqG.jpg</t>
  </si>
  <si>
    <t>https://t.co/b2ax2nYFUa https://pbs.twimg.com/media/F4J9BTsWIAALn-j.jpg</t>
  </si>
  <si>
    <t>https://t.co/gkSeFG5SPr https://pbs.twimg.com/media/F3gygA8XgAAqJlH.jpg</t>
  </si>
  <si>
    <t>https://t.co/A0bMzDtxgf https://pbs.twimg.com/media/F2D-u3aXQAAEkH-.jpg</t>
  </si>
  <si>
    <t>https://t.co/nUNNYzp4za https://pbs.twimg.com/media/Fz5-0O8XsAEZZUN.jpg</t>
  </si>
  <si>
    <t>https://t.co/nEA2FZNjNP https://pbs.twimg.com/media/FyxFu1IWAAE9i7k.jpg</t>
  </si>
  <si>
    <t>https://t.co/7MpLAVw8ZX https://pbs.twimg.com/media/FyIPEhKWIAY3GPh.jpg</t>
  </si>
  <si>
    <t>https://t.co/KJzdM82oFU https://t.co/KJzdM82oFU https://t.co/KJzdM82oFU https://t.co/KJzdM82oFU https://pbs.twimg.com/media/FvxLJyMXsAI5Icn.jpg https://pbs.twimg.com/media/FvxLJyLXsA06Ssq.jpg https://pbs.twimg.com/media/FvxLJyMXgAMsaA2.jpg https://pbs.twimg.com/media/FvxLJyNWIAECxGA.jpg</t>
  </si>
  <si>
    <t>https://t.co/PN34SYeqJY https://pbs.twimg.com/media/FvJAfHHWACAkdXW.jpg</t>
  </si>
  <si>
    <t>https://t.co/YXYqLBO441 https://pbs.twimg.com/media/Fr1MLWGXwAEApMG.jpg</t>
  </si>
  <si>
    <t>https://t.co/9AzxPljqwY https://t.co/9AzxPljqwY https://pbs.twimg.com/media/FrrzFKNWAAAru39.jpg https://pbs.twimg.com/media/FrrzFKNWcAEGbPK.jpg</t>
  </si>
  <si>
    <t>https://t.co/1hvMbRKV5B https://t.co/1hvMbRKV5B https://t.co/1hvMbRKV5B https://pbs.twimg.com/media/Fnzxmd9WAAMIza0.jpg https://pbs.twimg.com/media/FnzxmeBWAAA48Y4.jpg https://pbs.twimg.com/media/FnzxmeKXkAEGw0O.jpg</t>
  </si>
  <si>
    <t>https://t.co/eso2R2Udpb https://pbs.twimg.com/media/FnfmqcqXkBAbH8o.jpg</t>
  </si>
  <si>
    <t>https://t.co/FcNFCDP3bv https://pbs.twimg.com/media/FnKsb1qXwAURZ1s.jpg</t>
  </si>
  <si>
    <t>https://t.co/tgfUOynwB8 https://pbs.twimg.com/media/F5NgI5MXIAAf6Em.jpg</t>
  </si>
  <si>
    <t>https://t.co/FhVOtufwr8 https://pbs.twimg.com/media/F3BvZlaXEAEal3I.jpg</t>
  </si>
  <si>
    <t>https://t.co/Q7Md3TIk2p https://pbs.twimg.com/media/F2Epw19XYAE_L1Z.jpg</t>
  </si>
  <si>
    <t>https://t.co/Q1VMmjGBYN https://pbs.twimg.com/media/FzE0X5JWAAECM92.jpg</t>
  </si>
  <si>
    <t>https://t.co/74O6SAe4nl https://pbs.twimg.com/media/FyGsYjoWcAIwRaa.jpg</t>
  </si>
  <si>
    <t>https://t.co/TBCim3axNP https://pbs.twimg.com/media/Fv33mvfWcBU4Txc.jpg</t>
  </si>
  <si>
    <t>https://t.co/LASLxYe9wA https://t.co/LASLxYe9wA https://pbs.twimg.com/media/Fv2R5uZXgAAK-Re.jpg https://pbs.twimg.com/media/Fv2R5udWcAA_x2A.jpg</t>
  </si>
  <si>
    <t>https://t.co/OgjhsJRcpN https://t.co/OgjhsJRcpN https://pbs.twimg.com/media/FsPJ8xjWIAA0xyk.jpg https://pbs.twimg.com/media/FsPJ8xhXoAIQKH_.jpg</t>
  </si>
  <si>
    <t>https://t.co/g6rIVNyqWY https://t.co/g6rIVNyqWY https://t.co/g6rIVNyqWY https://t.co/g6rIVNyqWY https://pbs.twimg.com/media/Fr_lvLYXsAEKAxJ.jpg https://pbs.twimg.com/media/Fr_lvLZXwAYhOTQ.jpg https://pbs.twimg.com/media/Fr_lvLbX0AUf4rX.jpg https://pbs.twimg.com/media/Fr_lvLYXwAQdB8m.jpg</t>
  </si>
  <si>
    <t>https://t.co/xIC6JJzcEr https://pbs.twimg.com/media/FpJtHVAXwAMjcFA.jpg</t>
  </si>
  <si>
    <t>https://t.co/sDfr8P2nRF https://pbs.twimg.com/media/FqhzPbMXoAA7vqP.jpg</t>
  </si>
  <si>
    <t>https://t.co/wQ8fNJgq2j https://pbs.twimg.com/tweet_video_thumb/Fn8e6deXEAEnI9O.jpg</t>
  </si>
  <si>
    <t>https://t.co/4mVtVBEvgn https://pbs.twimg.com/media/Fn3b7XKXwAA_YCh.jpg</t>
  </si>
  <si>
    <t>https://t.co/xVcHb7zpAq https://pbs.twimg.com/media/FnumI3WXEAIOgPB.jpg</t>
  </si>
  <si>
    <t>https://t.co/vsRqS3O68w https://pbs.twimg.com/media/Fq7spjsWYAEgWiU.jpg</t>
  </si>
  <si>
    <t>https://t.co/Zvb3k6lMVi https://pbs.twimg.com/media/Fr-Yv7JWwAEose1.jpg</t>
  </si>
  <si>
    <t>https://t.co/DitXy7n3Sd https://pbs.twimg.com/tweet_video_thumb/FrVLIG-XwAUVC5L.jpg</t>
  </si>
  <si>
    <t>https://t.co/TXztSGUoaz https://pbs.twimg.com/media/FmllsVgXEAAP6pH.jpg</t>
  </si>
  <si>
    <t>https://t.co/XHOQBno6D1 https://pbs.twimg.com/media/FtV94sKWIAM0wlN.jpg</t>
  </si>
  <si>
    <t>https://t.co/yZR0kKTQRP https://pbs.twimg.com/media/FtA0T60XoAA1k6M.jpg</t>
  </si>
  <si>
    <t>https://t.co/A9pg21K41E https://pbs.twimg.com/media/FrprhalWIAARSRP.jpg</t>
  </si>
  <si>
    <t>https://t.co/ZgaBsNG38h https://pbs.twimg.com/media/F2JspL-XAAAA-kf.jpg</t>
  </si>
  <si>
    <t>https://t.co/AEN0evNit9 https://pbs.twimg.com/ext_tw_video_thumb/1660960564460281858/pu/img/g1-4D96DnMxhfaxQ.jpg</t>
  </si>
  <si>
    <t>https://t.co/o6EyTHSNaB https://pbs.twimg.com/ext_tw_video_thumb/1661323792537321472/pu/img/dUxhbVKoUPXTDf6z.jpg</t>
  </si>
  <si>
    <t>https://t.co/ylqZm55lN0 https://pbs.twimg.com/media/FnDi45BX0AIsd6u.jpg</t>
  </si>
  <si>
    <t>https://t.co/wVkDavFlZM https://pbs.twimg.com/media/FtYCRKaWwAMTexv.jpg</t>
  </si>
  <si>
    <t>https://t.co/EN3dz3DAFV https://pbs.twimg.com/media/Fvx0vg2WIAADyL5.jpg</t>
  </si>
  <si>
    <t>https://t.co/h5M5CH3l3l https://pbs.twimg.com/ext_tw_video_thumb/1631617947406942211/pu/img/kNQHpY08uSHy30ON.jpg</t>
  </si>
  <si>
    <t>https://t.co/1EQ6r9O2lo https://t.co/1EQ6r9O2lo https://pbs.twimg.com/media/Fq3C4MlX0AAPG4X.jpg https://pbs.twimg.com/media/Fq3C4ohWYAAxAbv.jpg</t>
  </si>
  <si>
    <t>https://t.co/Gc23NGl4Lx https://pbs.twimg.com/media/FoJQADKXEAAS2dj.jpg</t>
  </si>
  <si>
    <t>https://t.co/9O1wDt0WtY https://pbs.twimg.com/media/FouSTlyXoAMNPeA.jpg</t>
  </si>
  <si>
    <t>https://t.co/sxvHaoZwg7 https://pbs.twimg.com/media/FoEGbw5XoAcJ4bm.jpg</t>
  </si>
  <si>
    <t>https://t.co/eXueennieX https://pbs.twimg.com/ext_tw_video_thumb/1620585150311550976/pu/img/s7I1ef1Vv4EySB2Z.jpg</t>
  </si>
  <si>
    <t>https://t.co/JHNOthzHWi https://pbs.twimg.com/ext_tw_video_thumb/1620583432173617153/pu/img/NcEWxQEhLWThjP1z.jpg</t>
  </si>
  <si>
    <t>https://t.co/EMWXuqYciO https://pbs.twimg.com/ext_tw_video_thumb/1620582977766924289/pu/img/1RE7LK1IWGD7B9Ts.jpg</t>
  </si>
  <si>
    <t>https://t.co/Hi7dBFDJUk https://pbs.twimg.com/ext_tw_video_thumb/1620582130144231424/pu/img/gh_0kVmKAgqPn21v.jpg</t>
  </si>
  <si>
    <t>https://t.co/xIgWlqEExK https://pbs.twimg.com/ext_tw_video_thumb/1620578375621279745/pu/img/fWWDnaSUfcxFhuEU.jpg</t>
  </si>
  <si>
    <t>https://t.co/KrB2QotxIt https://pbs.twimg.com/ext_tw_video_thumb/1620578111443156994/pu/img/CGfsz4vX70xqSyi0.jpg</t>
  </si>
  <si>
    <t>https://t.co/30HKmC0B2F https://pbs.twimg.com/ext_tw_video_thumb/1620573466696028161/pu/img/WRYEwMrGFAQH3LiG.jpg</t>
  </si>
  <si>
    <t>https://t.co/zQJbvrWMfZ https://pbs.twimg.com/media/Fu-LmkVWYAIti51.jpg</t>
  </si>
  <si>
    <t>https://t.co/ChK00V8S0o https://pbs.twimg.com/media/FnHiX2BWAAMdJGv.jpg</t>
  </si>
  <si>
    <t>https://t.co/Su0TR1Q9wU https://t.co/Su0TR1Q9wU https://t.co/Su0TR1Q9wU https://t.co/Su0TR1Q9wU https://pbs.twimg.com/media/FojrjvsXoAAUKgG.jpg https://pbs.twimg.com/media/Fojrj-GWIAARls5.jpg https://pbs.twimg.com/media/FojrkP-XsAE8wuf.jpg https://pbs.twimg.com/media/FojrkjzWYAEC71z.jpg</t>
  </si>
  <si>
    <t>https://t.co/8gChdFJ5KM https://pbs.twimg.com/tweet_video_thumb/FnzdFxJaIAAw2th.jpg</t>
  </si>
  <si>
    <t>https://t.co/yciCTp10Th https://pbs.twimg.com/media/Fzu72lFWAAApY6H.jpg</t>
  </si>
  <si>
    <t>https://t.co/L4vV3v2hYR https://pbs.twimg.com/media/F3LfwvFWMAA3cui.jpg</t>
  </si>
  <si>
    <t>https://t.co/cwLn3aMWUN https://pbs.twimg.com/media/FwSEA0qXgAI0UPo.jpg</t>
  </si>
  <si>
    <t>https://t.co/NXl7HgdvyP https://pbs.twimg.com/media/FqpP78BaQAAhhBr.jpg</t>
  </si>
  <si>
    <t>https://t.co/V2izjsYINM https://pbs.twimg.com/ext_tw_video_thumb/1666468989218828288/pu/img/4EYnLVmsQChh0HW4.jpg</t>
  </si>
  <si>
    <t>https://t.co/stwidY8dNi https://pbs.twimg.com/ext_tw_video_thumb/1666474818454126592/pu/img/vzBrbd1nevmfwxO9.jpg</t>
  </si>
  <si>
    <t>https://t.co/tqE3hAkjT7 https://pbs.twimg.com/ext_tw_video_thumb/1664341273342361600/pu/img/-aNSP3rVASadM_zw.jpg</t>
  </si>
  <si>
    <t>https://t.co/hb2gvNgwxl https://pbs.twimg.com/ext_tw_video_thumb/1695526429952233472/pu/img/KKSuQVnU0LE4t8Ud.jpg</t>
  </si>
  <si>
    <t>https://t.co/mxCoVJNauR https://pbs.twimg.com/media/F3NchL8XQAIQH5d.jpg</t>
  </si>
  <si>
    <t>https://t.co/IbbrWDFixT https://pbs.twimg.com/media/F3IoDjBWMAAe4aq.jpg</t>
  </si>
  <si>
    <t>https://t.co/BC2miUkCly https://t.co/BC2miUkCly https://t.co/BC2miUkCly https://pbs.twimg.com/media/F3DBrF_X0AAeuHJ.png https://pbs.twimg.com/media/F3DBrGBWoAA2sPk.jpg https://pbs.twimg.com/media/F3DBrF8XsAAn2y_.jpg</t>
  </si>
  <si>
    <t>https://t.co/ur7vlZ3Sfp https://pbs.twimg.com/media/F0IW7NQWIBciZG0.jpg</t>
  </si>
  <si>
    <t>https://t.co/LWoDKj7nHd https://pbs.twimg.com/media/FwkyGmjX0AANlbs.jpg</t>
  </si>
  <si>
    <t>https://t.co/MauajAeUNo https://pbs.twimg.com/media/FwafIJvWwAAQwGB.jpg</t>
  </si>
  <si>
    <t>https://t.co/KTMmpUUIWq https://pbs.twimg.com/media/FuztBQsX0AAj89A.jpg</t>
  </si>
  <si>
    <t>https://t.co/x2bevTyyBR https://pbs.twimg.com/media/Fuzf3VzWAAczxlo.jpg</t>
  </si>
  <si>
    <t>https://t.co/6hQORcjQDZ https://pbs.twimg.com/media/FuujRtKXoAA6xcD.jpg</t>
  </si>
  <si>
    <t>https://t.co/vg4yMxrOKg https://pbs.twimg.com/media/FwVVPcGWAAss_te.jpg</t>
  </si>
  <si>
    <t>https://t.co/0U3DArZPNS https://pbs.twimg.com/media/FwQMFY1XoAE9du5.jpg</t>
  </si>
  <si>
    <t>https://t.co/32T3wsDYoE https://pbs.twimg.com/media/FwLCfAOWcAIQlFv.jpg</t>
  </si>
  <si>
    <t>https://t.co/YnvGplSHT0 https://pbs.twimg.com/media/FvsItiUWIAMOEaD.jpg</t>
  </si>
  <si>
    <t>https://t.co/ODLTGQUi3N https://pbs.twimg.com/media/Fvm-_REXsAIxAhu.jpg</t>
  </si>
  <si>
    <t>https://t.co/YuGJbEC7Ee https://pbs.twimg.com/media/Fvh1ZuaXsAEqRql.jpg</t>
  </si>
  <si>
    <t>https://t.co/TA47UO1HTs https://pbs.twimg.com/media/FvcrvC-WIAI0ieB.jpg</t>
  </si>
  <si>
    <t>https://t.co/1bYbzja06d https://pbs.twimg.com/media/FvC8ELuXwAA3-r-.jpg</t>
  </si>
  <si>
    <t>https://t.co/xPDjAs4xL3 https://pbs.twimg.com/media/Fu42rFZXsAE7aca.jpg</t>
  </si>
  <si>
    <t>https://t.co/pk5I4yIALR https://pbs.twimg.com/media/FupZjP4WcAIC8nC.jpg</t>
  </si>
  <si>
    <t>https://t.co/anOFtrTPVE https://pbs.twimg.com/media/FukQG2NWwAArrkd.jpg</t>
  </si>
  <si>
    <t>https://t.co/cVVG3sB9nf https://pbs.twimg.com/media/FvNPBG7X0AE_ETX.jpg</t>
  </si>
  <si>
    <t>https://t.co/v0FNaMc3CT https://pbs.twimg.com/media/FvIFXngWwAEcp3H.jpg</t>
  </si>
  <si>
    <t>https://t.co/D2JHscXrHT https://pbs.twimg.com/media/FufGq0dWYAAJKBM.jpg</t>
  </si>
  <si>
    <t>https://t.co/sT2nwN4DlV https://pbs.twimg.com/media/FuZ9GGwXwAEGaMr.jpg</t>
  </si>
  <si>
    <t>https://t.co/Fu9QqpSoHb https://pbs.twimg.com/media/FuUzTYOX0AAbACz.jpg</t>
  </si>
  <si>
    <t>https://t.co/KqZtnVfYz9 https://pbs.twimg.com/media/FwGGhewWYAQ9V6a.jpg</t>
  </si>
  <si>
    <t>https://t.co/c1QaTmE8nc https://pbs.twimg.com/media/FwAvFFZWcAEESJG.jpg</t>
  </si>
  <si>
    <t>https://t.co/w01vKTH6Xw https://pbs.twimg.com/media/Fv7zXLjXwAgkwbo.jpg</t>
  </si>
  <si>
    <t>https://t.co/owduGPEixW https://pbs.twimg.com/media/Fv2cKZLWIAMAuLs.jpg</t>
  </si>
  <si>
    <t>https://t.co/dL2tR7O6QL https://pbs.twimg.com/media/FvxSFTRXoAIRNtS.jpg</t>
  </si>
  <si>
    <t>https://t.co/2jcOorc106 https://pbs.twimg.com/media/F2J82TzW4AA3zLg.jpg</t>
  </si>
  <si>
    <t>https://t.co/roJk2SQQMG https://pbs.twimg.com/media/Fx3bKYFWAAIYx3B.jpg</t>
  </si>
  <si>
    <t>https://t.co/dIrZs5m5aM https://pbs.twimg.com/media/F0i3LHsWcAAolqh.jpg</t>
  </si>
  <si>
    <t>https://t.co/mQTMe9JD1L https://pbs.twimg.com/media/F0dxYbqXwAMdkBF.jpg</t>
  </si>
  <si>
    <t>https://t.co/1hGf7uorXq https://pbs.twimg.com/media/F0bI32fX0AEmjuF.jpg</t>
  </si>
  <si>
    <t>https://t.co/5W5vcqgDsd https://pbs.twimg.com/media/Fr8enLAWcAEv1YI.jpg</t>
  </si>
  <si>
    <t>https://t.co/VkHs3D7ce9 https://pbs.twimg.com/media/Fs6b7IqXsAQPW8l.jpg</t>
  </si>
  <si>
    <t>https://t.co/8ABylUWSqV https://pbs.twimg.com/media/FrQhFLRWwAEAlRu.jpg</t>
  </si>
  <si>
    <t>https://t.co/e6VJ6BojnK https://pbs.twimg.com/media/Fr2uJOtX0AAKSnZ.jpg</t>
  </si>
  <si>
    <t>https://t.co/CpOSeQZniw https://pbs.twimg.com/media/FwaB9OiXsAEO-wj.jpg</t>
  </si>
  <si>
    <t>https://t.co/Nc9ylvKXs4 https://pbs.twimg.com/ext_tw_video_thumb/1671158386942160914/pu/img/pcvLcZQMfEYDVF_7.jpg</t>
  </si>
  <si>
    <t>https://t.co/KrywuFKW3z https://pbs.twimg.com/ext_tw_video_thumb/1683546051272122381/pu/img/TYaO_Znp67NLfRXu.jpg</t>
  </si>
  <si>
    <t>https://t.co/9BkPSzJA2s https://pbs.twimg.com/ext_tw_video_thumb/1694787022127271936/pu/img/PFLBrG254EABgI5s.jpg</t>
  </si>
  <si>
    <t>https://t.co/iljk510XL6 https://pbs.twimg.com/ext_tw_video_thumb/1688943679140929536/pu/img/o4Pq64oKkwrNaizY.jpg</t>
  </si>
  <si>
    <t>https://t.co/7Xd6RgqpP1 https://pbs.twimg.com/ext_tw_video_thumb/1658593741823696901/pu/img/zbDHpsgsidS7kbN-.jpg</t>
  </si>
  <si>
    <t>https://t.co/amb6zY6PNY https://pbs.twimg.com/media/Fo-HS4OXsAcPSe8.jpg</t>
  </si>
  <si>
    <t>https://t.co/GqHLOvU8sv https://pbs.twimg.com/media/FppyJOAWcAACbfg.jpg</t>
  </si>
  <si>
    <t>https://t.co/6jvckWC1IP https://pbs.twimg.com/ext_tw_video_thumb/1686105854960099329/pu/img/fygw8Ngog1Spdemi.jpg</t>
  </si>
  <si>
    <t>https://t.co/PqruhQ2ZL6 https://pbs.twimg.com/media/FmHxiwjWAAATJM2.jpg</t>
  </si>
  <si>
    <t>https://t.co/5uDOv3o0ax https://pbs.twimg.com/media/F2s77xrXoAobbEw.jpg</t>
  </si>
  <si>
    <t>https://t.co/SVG2uZiUbt https://pbs.twimg.com/media/FnfCSKSX0AE6uFo.jpg</t>
  </si>
  <si>
    <t>https://t.co/h1kaFs7qhT https://pbs.twimg.com/media/F3LjJ-FWUAIUfKi.jpg</t>
  </si>
  <si>
    <t>https://t.co/QsapAu7eoF https://pbs.twimg.com/media/F28wo6jXIAAHJ0_.jpg</t>
  </si>
  <si>
    <t>https://t.co/7qiu0yOPv5 https://pbs.twimg.com/media/F27pmlvWkAEIRVh.jpg</t>
  </si>
  <si>
    <t>https://t.co/9DQU6Zgkqu https://pbs.twimg.com/ext_tw_video_thumb/1624425631617323010/pu/img/izmLlVGo1nzpw6ey.jpg</t>
  </si>
  <si>
    <t>https://t.co/AzCuLhMr60 https://pbs.twimg.com/media/FoePIlCWAAclwv4.jpg</t>
  </si>
  <si>
    <t>https://t.co/X3cZ1ygJnP https://pbs.twimg.com/ext_tw_video_thumb/1622292968479625219/pu/img/ldEzm-6wxjffxS12.jpg</t>
  </si>
  <si>
    <t>https://t.co/imi1osH2wn https://pbs.twimg.com/ext_tw_video_thumb/1633231606105161728/pu/img/vJhdT4JZfRYAhNFZ.jpg</t>
  </si>
  <si>
    <t>https://t.co/amyiQ2xUUa https://pbs.twimg.com/ext_tw_video_thumb/1669475633397653504/pu/img/UPKVcc8kXQfAwHH3.jpg</t>
  </si>
  <si>
    <t>https://t.co/EaalDsAfRj https://pbs.twimg.com/ext_tw_video_thumb/1630002167120576512/pu/img/pWi7tv_a-MgAqHw4.jpg</t>
  </si>
  <si>
    <t>https://t.co/VeWeQkM39e https://pbs.twimg.com/media/Fxi7ELVakAIeNl-.jpg</t>
  </si>
  <si>
    <t>https://t.co/uJttH82Lic https://pbs.twimg.com/ext_tw_video_thumb/1685621331214127104/pu/img/7tUdBvQazNI1IimW.jpg</t>
  </si>
  <si>
    <t>https://t.co/vrhNWuiCgP https://pbs.twimg.com/ext_tw_video_thumb/1687569202050207744/pu/img/YZeMzqahtoaT0qug.jpg</t>
  </si>
  <si>
    <t>https://t.co/pIHzjuoOlL https://pbs.twimg.com/ext_tw_video_thumb/1654607233068548096/pu/img/yYPKVsVBKLLLJRYM.jpg</t>
  </si>
  <si>
    <t>https://t.co/3srNRV208N https://pbs.twimg.com/ext_tw_video_thumb/1690105934280863745/pu/img/NVVJpYPTvCKFjiev.jpg</t>
  </si>
  <si>
    <t>https://t.co/iEYF5kboBW https://pbs.twimg.com/ext_tw_video_thumb/1677422348725518336/pu/img/9NYDS7owewzzyGpI.jpg</t>
  </si>
  <si>
    <t>https://t.co/crFGDZab2g https://pbs.twimg.com/media/FtDIO0QXwAAa1Ks.jpg</t>
  </si>
  <si>
    <t>https://t.co/4jNvebuq6O https://pbs.twimg.com/media/FrsYUJ7WwAIgCYk.png</t>
  </si>
  <si>
    <t>https://t.co/rTJQHGZLkT https://t.co/rTJQHGZLkT https://t.co/rTJQHGZLkT https://t.co/rTJQHGZLkT https://pbs.twimg.com/media/FrsYM-gXsAAlX0U.png https://pbs.twimg.com/media/FrsYM_oXsAUyMhK.png https://pbs.twimg.com/media/FrsYNA8XsAQN5b7.png https://pbs.twimg.com/media/FrsYNCOXgAA7NoP.png</t>
  </si>
  <si>
    <t>https://t.co/opnB7Et1sF https://t.co/opnB7Et1sF https://t.co/opnB7Et1sF https://t.co/opnB7Et1sF https://pbs.twimg.com/media/FrsYHnoX0AE__72.png https://pbs.twimg.com/media/FrsYHnqWIAAlaz9.png https://pbs.twimg.com/media/FrsYHoEWcAETdhP.png https://pbs.twimg.com/media/FrsYHo1WAAURlTd.png</t>
  </si>
  <si>
    <t>https://t.co/hxbFioBXB6 https://pbs.twimg.com/ext_tw_video_thumb/1689070694133313537/pu/img/DE89PyY5TmnolQRf.jpg</t>
  </si>
  <si>
    <t>https://t.co/wLCELYSqZu https://pbs.twimg.com/media/FvSFeUOXoAA7VzA.png</t>
  </si>
  <si>
    <t>https://t.co/Gl2xJKxTva https://t.co/Gl2xJKxTva https://pbs.twimg.com/media/Frbc7ToXwAAZumk.jpg https://pbs.twimg.com/media/Frbc7m2WYAISBND.jpg</t>
  </si>
  <si>
    <t>https://t.co/rk6w0WjosT https://pbs.twimg.com/media/F03SGMHWwAEH7HK.jpg</t>
  </si>
  <si>
    <t>https://t.co/Rky7wzNImL https://pbs.twimg.com/media/F017sJUXoAMI0Ty.jpg</t>
  </si>
  <si>
    <t>https://t.co/MqEk98sVlp https://pbs.twimg.com/media/F2dvpmFWIAA-zCX.jpg</t>
  </si>
  <si>
    <t>https://t.co/BNppKyYr2c https://pbs.twimg.com/media/F1kZ-CqXgAQuH9a.jpg</t>
  </si>
  <si>
    <t>https://t.co/g4lZqBYoet https://pbs.twimg.com/media/F3Ruzo_WkAAAkoE.jpg</t>
  </si>
  <si>
    <t>https://t.co/ZZhWKWsQta https://pbs.twimg.com/media/F3RKwdiWoBUxw6c.jpg</t>
  </si>
  <si>
    <t>https://t.co/EaGlNjDV13 https://pbs.twimg.com/media/F0cPmSdXgAEKC91.jpg</t>
  </si>
  <si>
    <t>https://t.co/rOOgAUs2kz https://pbs.twimg.com/media/F3HhF0CWMAANVZ7.jpg</t>
  </si>
  <si>
    <t>https://t.co/I60B8VX9Wx https://pbs.twimg.com/media/F3FigBKWoAE3jct.jpg</t>
  </si>
  <si>
    <t>https://t.co/ybtsHLw6dJ https://pbs.twimg.com/media/F3BTlZZXsAA0B1w.jpg</t>
  </si>
  <si>
    <t>https://t.co/X9w0CQO5iz https://pbs.twimg.com/ext_tw_video_thumb/1647223726541291526/pu/img/pYN23xPZW2L3Whw7.jpg</t>
  </si>
  <si>
    <t>https://t.co/8kzhjCuyMu https://pbs.twimg.com/media/Fv1zt8FXgAMkrlu.jpg</t>
  </si>
  <si>
    <t>https://t.co/bdwn3rsYSd https://pbs.twimg.com/media/Fqa9zCcWIAAut0h.jpg</t>
  </si>
  <si>
    <t>https://t.co/YeVDFNXM8g https://pbs.twimg.com/media/Fsdt_LMWAAAAOAq.jpg</t>
  </si>
  <si>
    <t>https://t.co/UFpOzIEd6P https://t.co/UFpOzIEd6P https://t.co/UFpOzIEd6P https://t.co/UFpOzIEd6P https://pbs.twimg.com/media/FpGdmnWXEAcOYAT.jpg https://pbs.twimg.com/media/FpGdmnWXgAQtkPO.jpg https://pbs.twimg.com/media/FpGdmnUWcAUONcn.jpg https://pbs.twimg.com/media/FpGdmnUXgAAxdv5.jpg</t>
  </si>
  <si>
    <t>https://t.co/FjdMhtoMn0 https://pbs.twimg.com/media/FpDkU1AXsAA_KrL.jpg</t>
  </si>
  <si>
    <t>https://t.co/EREvYEQILe https://t.co/EREvYEQILe https://t.co/EREvYEQILe https://t.co/EREvYEQILe https://pbs.twimg.com/media/FriW4YbWwAIDyPF.jpg https://pbs.twimg.com/media/FriW4YeWYAE0sxa.jpg https://pbs.twimg.com/media/FriW4YaXgAMbtc8.jpg https://pbs.twimg.com/media/FriW4YdWcAEagdv.jpg</t>
  </si>
  <si>
    <t>https://t.co/GtfmFLlkO3 https://pbs.twimg.com/media/FwcWZ4XWAAA1Pff.jpg</t>
  </si>
  <si>
    <t>https://t.co/kqnuK71ySu https://t.co/kqnuK71ySu https://t.co/kqnuK71ySu https://t.co/kqnuK71ySu https://pbs.twimg.com/media/FwYb8fMWwAAd_rZ.jpg https://pbs.twimg.com/media/FwYb8fGWYAI5fjw.jpg https://pbs.twimg.com/media/FwYb8fFXsAAXoXM.jpg https://pbs.twimg.com/media/FwYb8fFWIAERxAf.jpg</t>
  </si>
  <si>
    <t>https://t.co/EDL4DEynWq https://pbs.twimg.com/media/FyRw0PZXsAITL5N.jpg</t>
  </si>
  <si>
    <t>https://t.co/kRI1lGfnLw https://pbs.twimg.com/ext_tw_video_thumb/1672376991293620225/pu/img/hjzxHlzJXrDjPr9T.jpg</t>
  </si>
  <si>
    <t>https://t.co/RSWvpxbv2x https://pbs.twimg.com/media/Frw6AdQWcA0FU1O.jpg</t>
  </si>
  <si>
    <t>https://t.co/1GEKBXPVKj https://pbs.twimg.com/ext_tw_video_thumb/1675126595663667206/pu/img/JFqoTfPmfKOVgET_.jpg</t>
  </si>
  <si>
    <t>https://t.co/49bcKq1hw3 https://pbs.twimg.com/media/Fu1uX8jWAAEqO7Q.jpg</t>
  </si>
  <si>
    <t>https://t.co/Cenvex5CMG https://pbs.twimg.com/media/FrAlXdCWAAAEgYw.jpg</t>
  </si>
  <si>
    <t>https://t.co/IfZPczpioV https://pbs.twimg.com/media/FpmcH8fWcAEYxAO.jpg</t>
  </si>
  <si>
    <t>https://t.co/zuxfQPa8m8 https://pbs.twimg.com/media/Fm1vM-BaYAYG4kx.jpg</t>
  </si>
  <si>
    <t>https://t.co/rLxhuCNAuJ https://pbs.twimg.com/media/FnMTIBzaUAAahzH.png</t>
  </si>
  <si>
    <t>https://t.co/VkrIN80D4Z https://pbs.twimg.com/media/FzEncuXacAQv-U3.jpg</t>
  </si>
  <si>
    <t>https://t.co/jS5Ft7ncLM https://pbs.twimg.com/media/F1Peo1bX0AALrkO.jpg</t>
  </si>
  <si>
    <t>https://t.co/OpzZFb7LHr https://pbs.twimg.com/media/FzpJmaFWIAMBA7C.jpg</t>
  </si>
  <si>
    <t>https://t.co/4uaY15sYwu https://pbs.twimg.com/media/F0ryo3OX0AQuBaB.jpg</t>
  </si>
  <si>
    <t>https://t.co/EYADRa8KMj https://pbs.twimg.com/media/F48VmnLXwAARAak.jpg</t>
  </si>
  <si>
    <t>https://t.co/aYYwQ8Rnjt https://t.co/aYYwQ8Rnjt https://t.co/aYYwQ8Rnjt https://t.co/aYYwQ8Rnjt https://pbs.twimg.com/media/F458kx_WkAEyjAq.png https://pbs.twimg.com/media/F458kzEXIAAMzMP.png https://pbs.twimg.com/media/F458k1UXsAA92ie.png https://pbs.twimg.com/media/F458k30WwAAWoJU.png</t>
  </si>
  <si>
    <t>https://t.co/OAyBPzZpoj https://pbs.twimg.com/media/F48S0AFW8AALKQM.jpg</t>
  </si>
  <si>
    <t>https://t.co/GrRjecIFjW https://pbs.twimg.com/media/F5F0v-xW4AAUtvQ.jpg</t>
  </si>
  <si>
    <t>https://t.co/RaMzWkKoOB https://pbs.twimg.com/media/F5mPZBFXEAAdOn8.jpg</t>
  </si>
  <si>
    <t>https://t.co/4RfNiEvP2L https://pbs.twimg.com/media/F5MhPDXXMAAZVCO.jpg</t>
  </si>
  <si>
    <t>https://t.co/nFOYHdZWkh https://pbs.twimg.com/media/F29fMMoXQAEvhdz.jpg</t>
  </si>
  <si>
    <t>https://t.co/hH2j0TyIK1 https://pbs.twimg.com/media/FqJqIE0WABgVdxH.jpg</t>
  </si>
  <si>
    <t>https://t.co/4BUqN8omyr https://pbs.twimg.com/media/Frrq5GHXwAESUvU.jpg</t>
  </si>
  <si>
    <t>https://t.co/J2t344NBWV https://t.co/J2t344NBWV https://t.co/J2t344NBWV https://t.co/J2t344NBWV https://pbs.twimg.com/media/Fq9EtEGWAAkdjKW.jpg https://pbs.twimg.com/media/Fq9EtECXsAIpyXm.jpg https://pbs.twimg.com/media/Fq9EtEsXgAIvruH.jpg https://pbs.twimg.com/media/Fq9EtFwWcAkFlpO.jpg</t>
  </si>
  <si>
    <t>https://t.co/kjbdjMOagF https://pbs.twimg.com/media/Fp2bp2KXwAEpu3P.jpg</t>
  </si>
  <si>
    <t>https://t.co/eWr3TyLLui https://t.co/eWr3TyLLui https://t.co/eWr3TyLLui https://t.co/eWr3TyLLui https://pbs.twimg.com/media/Fq37xiSWwBUUD1d.jpg https://pbs.twimg.com/media/Fq37xiUWwBoRtIL.jpg https://pbs.twimg.com/media/Fq37xigWwAsoUiI.jpg https://pbs.twimg.com/media/Fq37xjLWwBcPQRZ.jpg</t>
  </si>
  <si>
    <t>https://t.co/oIyVAYsM1d https://pbs.twimg.com/media/FsjnCJ_WcAECcoy.jpg</t>
  </si>
  <si>
    <t>https://t.co/SawaDaqzeR https://t.co/SawaDaqzeR https://t.co/SawaDaqzeR https://t.co/SawaDaqzeR https://pbs.twimg.com/media/FrRs8hRXoAEnIrS.jpg https://pbs.twimg.com/media/FrRs8hRXgAIN8oW.jpg https://pbs.twimg.com/media/FrRs8iPWAAILxQX.jpg https://pbs.twimg.com/media/FrRs8jSXgAMoQ77.jpg</t>
  </si>
  <si>
    <t>https://t.co/WF7gYowo30 https://t.co/WF7gYowo30 https://t.co/WF7gYowo30 https://pbs.twimg.com/media/FtXkvJnWAAY5eNA.jpg https://pbs.twimg.com/media/FtXkvKGWAAshNJ-.jpg https://pbs.twimg.com/media/FtXkvKUXgAAm6Gu.jpg</t>
  </si>
  <si>
    <t>https://t.co/GfanUUHdHF https://pbs.twimg.com/media/FtM_WpxX0AYiFOl.jpg</t>
  </si>
  <si>
    <t>https://t.co/eHhmvLDLD1 https://pbs.twimg.com/ext_tw_video_thumb/1625255946304860161/pu/img/1QmLkub6elB2lRCt.jpg</t>
  </si>
  <si>
    <t>https://t.co/vZKScJpnjY https://pbs.twimg.com/ext_tw_video_thumb/1624458257686306818/pu/img/tszYIBqTPsIx1fcm.jpg</t>
  </si>
  <si>
    <t>https://t.co/nstiMyHpxg https://pbs.twimg.com/media/FsZf1z1WAAM3W4s.jpg</t>
  </si>
  <si>
    <t>https://t.co/tg6YX1WGmF https://pbs.twimg.com/ext_tw_video_thumb/1623783921363083264/pu/img/UPXgoTO1bygdMkNW.jpg</t>
  </si>
  <si>
    <t>https://t.co/EMkv9JOUfv https://pbs.twimg.com/ext_tw_video_thumb/1662965022228721664/pu/img/Y8gI_JT7_8V5z_VO.jpg</t>
  </si>
  <si>
    <t>https://t.co/mUSkBVapoV https://pbs.twimg.com/ext_tw_video_thumb/1658030958606516225/pu/img/XZpxDUZv6ulxGiRT.jpg</t>
  </si>
  <si>
    <t>https://t.co/ZLrC0BuJPG https://pbs.twimg.com/ext_tw_video_thumb/1656620162697633794/pu/img/xSsY-tpvyiVUOBod.jpg</t>
  </si>
  <si>
    <t>https://t.co/Md6OBZsfzE https://pbs.twimg.com/ext_tw_video_thumb/1660989953654882309/pu/img/IaUqWKdgB9_OSNF2.jpg</t>
  </si>
  <si>
    <t>https://t.co/FImDSs0xHv https://pbs.twimg.com/ext_tw_video_thumb/1643652465428930560/pu/img/ZT_BXGP9bzV5xHv_.jpg</t>
  </si>
  <si>
    <t>https://t.co/3OGJoYzjuR https://pbs.twimg.com/media/F2PRSfWWwAAmPpb.jpg</t>
  </si>
  <si>
    <t>https://t.co/OIQzqcAKjs https://pbs.twimg.com/ext_tw_video_thumb/1653822575443681283/pu/img/1BfkzgsgfMzrPLDF.jpg</t>
  </si>
  <si>
    <t>https://t.co/Jvq4C3VRJz https://pbs.twimg.com/ext_tw_video_thumb/1694704019741286400/pu/img/CxnGfAoln7XNZ9Lm.jpg</t>
  </si>
  <si>
    <t>https://t.co/GLN6lcvu0B https://pbs.twimg.com/media/FtHCjRFXoAId4mX.jpg</t>
  </si>
  <si>
    <t>https://t.co/IdGVwNwouF https://t.co/IdGVwNwouF https://t.co/IdGVwNwouF https://t.co/IdGVwNwouF https://pbs.twimg.com/media/FuA8giCWIAkFYrI.jpg https://pbs.twimg.com/media/FuA8gitXsAIwLQv.jpg https://pbs.twimg.com/media/FuA8kftWIAwtPwf.jpg https://pbs.twimg.com/media/FuA8mhKWIAohaEN.jpg</t>
  </si>
  <si>
    <t>https://t.co/wFZoF6X5R3 https://t.co/wFZoF6X5R3 https://t.co/wFZoF6X5R3 https://t.co/wFZoF6X5R3 https://pbs.twimg.com/media/F56COyGWsAE_uel.jpg https://pbs.twimg.com/media/F56B8I-WIAAxmSJ.jpg https://pbs.twimg.com/media/F56B-kZW0AA8jMH.png https://pbs.twimg.com/media/F56B_ptW8AAjRlC.jpg</t>
  </si>
  <si>
    <t>https://t.co/r1yECR6Omb https://pbs.twimg.com/media/F5uJdHMawAALVRC.jpg</t>
  </si>
  <si>
    <t>https://t.co/OYb5O2HDsb https://t.co/OYb5O2HDsb https://pbs.twimg.com/media/FqVGnfSXgAE8CKl.jpg https://pbs.twimg.com/media/FqVGn4JXgAAfr2I.jpg</t>
  </si>
  <si>
    <t>https://t.co/1ekBguTDvs https://pbs.twimg.com/ext_tw_video_thumb/1696149636543655936/pu/img/vV-NxWBWicqD0q3m.jpg</t>
  </si>
  <si>
    <t>https://t.co/j4P7TiN5KW https://pbs.twimg.com/media/FpCTUu0WcAA9kaY.jpg</t>
  </si>
  <si>
    <t>https://t.co/mwrC0WKxA8 https://t.co/mwrC0WKxA8 https://pbs.twimg.com/media/Floah1EWAAEtZbh.jpg https://pbs.twimg.com/media/Floah3EXkAA-bSg.jpg</t>
  </si>
  <si>
    <t>https://t.co/kDECEQM0dB https://pbs.twimg.com/media/FoD9exAWYAMCqoj.jpg</t>
  </si>
  <si>
    <t>https://t.co/AnsoMJ7Uox https://pbs.twimg.com/media/FqXtqLNXoAIPAdi.jpg</t>
  </si>
  <si>
    <t>https://t.co/e8oogMXTyM https://pbs.twimg.com/ext_tw_video_thumb/1639300450171207680/pu/img/V5_INLAgsZdDRJpC.jpg</t>
  </si>
  <si>
    <t>https://t.co/fhDpGBykTu https://pbs.twimg.com/ext_tw_video_thumb/1639300440859746306/pu/img/Fa99Hf4HxpBtiMa6.jpg</t>
  </si>
  <si>
    <t>https://t.co/8yKaTzvOQg https://pbs.twimg.com/ext_tw_video_thumb/1639300432143998976/pu/img/-LEiJ8s0QvcJlvAj.jpg</t>
  </si>
  <si>
    <t>https://t.co/GObdiNMk5g https://pbs.twimg.com/ext_tw_video_thumb/1639300424208449537/pu/img/Dh4iy0Zqn9z7H9lx.jpg</t>
  </si>
  <si>
    <t>https://t.co/XMnYrjgCn0 https://pbs.twimg.com/ext_tw_video_thumb/1639300411617079296/pu/img/I8F8diWgR6FZUn23.jpg</t>
  </si>
  <si>
    <t>https://t.co/G4Jbe2x2cm https://pbs.twimg.com/ext_tw_video_thumb/1639299945952862208/pu/img/eFw07DWyGrsypJP9.jpg</t>
  </si>
  <si>
    <t>https://t.co/mgB1GvFDce https://pbs.twimg.com/media/FuVfrbcXsAEj4Gc.jpg</t>
  </si>
  <si>
    <t>https://t.co/iwLeOiWLXU https://pbs.twimg.com/media/FuQ374MWwAEBdxx.jpg</t>
  </si>
  <si>
    <t>https://t.co/mZZ0UGoH8b https://pbs.twimg.com/media/FuLaqEPWAAkE3ot.jpg</t>
  </si>
  <si>
    <t>https://t.co/11nKeCIdTC https://t.co/11nKeCIdTC https://pbs.twimg.com/media/FlqRmWBXEAcfMN8.jpg https://pbs.twimg.com/media/FlqRmV6XEBEwWYv.jpg</t>
  </si>
  <si>
    <t>https://t.co/D19J9OGTup https://pbs.twimg.com/media/F3Qnvb7XgAAWuHt.jpg</t>
  </si>
  <si>
    <t>https://t.co/WFt2Nrps60 https://t.co/WFt2Nrps60 https://t.co/WFt2Nrps60 https://t.co/WFt2Nrps60 https://pbs.twimg.com/media/F0cuZXWXoBo7eJf.jpg https://pbs.twimg.com/media/F0cuZ7JXoBEC3nn.jpg https://pbs.twimg.com/media/F0cuaUnWAAAF75T.jpg https://pbs.twimg.com/media/F0cuawSXoAAk-19.jpg</t>
  </si>
  <si>
    <t>https://t.co/T95LLuMCBt https://pbs.twimg.com/media/FulJiPoWIBIg-tH.jpg</t>
  </si>
  <si>
    <t>https://t.co/1oEj0FDkJ9 https://pbs.twimg.com/ext_tw_video_thumb/1672377150672969729/pu/img/B3FJRdeco3RQ7beW.jpg</t>
  </si>
  <si>
    <t>https://t.co/7QaTtFcbKm https://pbs.twimg.com/media/F2jE0A-XoAAumKX.jpg</t>
  </si>
  <si>
    <t>https://t.co/oxpqkWkCMX https://pbs.twimg.com/media/F24LrHaX0AELI6-.jpg</t>
  </si>
  <si>
    <t>https://t.co/qnYeE90TC8 https://pbs.twimg.com/media/FtiHFtNWABAHZmG.jpg</t>
  </si>
  <si>
    <t>https://t.co/MOYXaDr8BJ https://pbs.twimg.com/media/Fs0eE8NX0AQX2fe.jpg</t>
  </si>
  <si>
    <t>https://t.co/6gLlg6INGf https://pbs.twimg.com/media/FsKbRpXXgAEhhp8.jpg</t>
  </si>
  <si>
    <t>https://t.co/jkncAmrT1c https://pbs.twimg.com/media/F3uRuF7WsAAMBYI.jpg</t>
  </si>
  <si>
    <t>https://t.co/thlm8iMz61 https://t.co/thlm8iMz61 https://t.co/thlm8iMz61 https://t.co/thlm8iMz61 https://pbs.twimg.com/media/FpWxOW2XwAAEneF.jpg https://pbs.twimg.com/media/FpWxOW1WcAAm_D4.jpg https://pbs.twimg.com/media/FpWxOW1XwAAA84c.jpg https://pbs.twimg.com/media/FpWxOW6XgAAZd2e.jpg</t>
  </si>
  <si>
    <t>https://t.co/Eslkf00cvl https://pbs.twimg.com/media/FsU72AJWIBkkLnB.jpg</t>
  </si>
  <si>
    <t>https://t.co/bab8SRWhMX https://pbs.twimg.com/media/FuenjwpX0AAXSxl.jpg</t>
  </si>
  <si>
    <t>https://t.co/yHZMJ2PcsV https://pbs.twimg.com/media/FzqeSB9XwAMipE4.jpg</t>
  </si>
  <si>
    <t>https://t.co/9S6IhXqtQf https://pbs.twimg.com/ext_tw_video_thumb/1671601030507708422/pu/img/zIhVQ5MeekixO4Fd.jpg</t>
  </si>
  <si>
    <t>https://t.co/EAnjs5Do6L https://pbs.twimg.com/media/F1fTboOacAAjUIH.jpg</t>
  </si>
  <si>
    <t>https://t.co/znGjKwT20d https://pbs.twimg.com/ext_tw_video_thumb/1641572220727181313/pu/img/ULtDrrhpQF1kGpoi.jpg</t>
  </si>
  <si>
    <t>https://t.co/HR0LsUWpxy https://pbs.twimg.com/media/FqOFn5FXsAADjgc.jpg</t>
  </si>
  <si>
    <t>https://t.co/tConM8axZR https://pbs.twimg.com/ext_tw_video_thumb/1682089242883661834/pu/img/dBUuLfkKvgJii2fQ.jpg</t>
  </si>
  <si>
    <t>https://t.co/BU24SlFMGb https://pbs.twimg.com/media/FqSPRfzXoAEtTrt.jpg</t>
  </si>
  <si>
    <t>https://t.co/mgeSttbe0a https://pbs.twimg.com/media/F147jbwWIAAF885.png</t>
  </si>
  <si>
    <t>https://t.co/oDZdT6uMxZ https://pbs.twimg.com/ext_tw_video_thumb/1684561616283766784/pu/img/wa7BfRGX3TR8StAg.jpg</t>
  </si>
  <si>
    <t>https://t.co/D9gcxTuvam https://pbs.twimg.com/ext_tw_video_thumb/1652789336075649024/pu/img/wSMqlp_ocvU7Zvn2.jpg</t>
  </si>
  <si>
    <t>https://t.co/Z3rSVYRa5G https://pbs.twimg.com/media/F505EvxWgAAPZzo.png</t>
  </si>
  <si>
    <t>https://t.co/vVs0hjOw65 https://t.co/vVs0hjOw65 https://t.co/vVs0hjOw65 https://pbs.twimg.com/media/F2eviL3bQAYEMiZ.jpg https://pbs.twimg.com/media/F2eviXZaAAA5LRh.jpg https://pbs.twimg.com/media/F2evikEaAAMWTjN.jpg</t>
  </si>
  <si>
    <t>https://t.co/rTXK6ndsfe https://pbs.twimg.com/media/FqJkWBvWABEKT9V.jpg</t>
  </si>
  <si>
    <t>https://t.co/w0Vdp2vje9 https://t.co/w0Vdp2vje9 https://t.co/w0Vdp2vje9 https://t.co/w0Vdp2vje9 https://pbs.twimg.com/media/FuqY6fUWABwObNq.jpg https://pbs.twimg.com/media/FuqY6fUWABQ5tpV.jpg https://pbs.twimg.com/media/FuqY6fUWABMe1h6.jpg https://pbs.twimg.com/media/FuqY6epWcAEFnKF.jpg</t>
  </si>
  <si>
    <t>https://t.co/oV3KJfHwkZ https://pbs.twimg.com/media/Ful1wEPWcAcR-5G.png</t>
  </si>
  <si>
    <t>https://t.co/xfpTUN5ZIx https://pbs.twimg.com/ext_tw_video_thumb/1671246749774561286/pu/img/DbV499CxwqPDAk-_.jpg</t>
  </si>
  <si>
    <t>https://t.co/7wrQTW2RJA https://pbs.twimg.com/media/FsZjGKlWwAQgy6w.jpg</t>
  </si>
  <si>
    <t>https://t.co/8fnqV5D07A https://t.co/8fnqV5D07A https://t.co/8fnqV5D07A https://pbs.twimg.com/media/F4umlESWwAAzVpK.jpg https://pbs.twimg.com/media/F4umlEUWkAEd33c.jpg https://pbs.twimg.com/media/F4umlFzW8AAIJt_.jpg</t>
  </si>
  <si>
    <t>https://t.co/vlyTzvBAU0 https://pbs.twimg.com/media/FtYa76UWIAA2Ve8.png</t>
  </si>
  <si>
    <t>https://t.co/ZClb5pfddV https://pbs.twimg.com/media/FsArUHyWYBYhF0l.jpg</t>
  </si>
  <si>
    <t>https://t.co/WeoW8hF3gD https://pbs.twimg.com/ext_tw_video_thumb/1625555160846983168/pu/img/99qsoWb9lxibbGeY.jpg</t>
  </si>
  <si>
    <t>https://t.co/IE8Oke4bhL https://pbs.twimg.com/ext_tw_video_thumb/1641258356009467907/pu/img/aTcfLhr-tqNflqQw.jpg</t>
  </si>
  <si>
    <t>https://t.co/NAzwT0LlTz https://t.co/NAzwT0LlTz https://t.co/NAzwT0LlTz https://t.co/NAzwT0LlTz https://pbs.twimg.com/media/FvxYTlkXsAIKmgp.jpg https://pbs.twimg.com/media/FvxYUWpXsAQ4qge.jpg https://pbs.twimg.com/media/FvxYVO8XoAUfuGM.jpg https://pbs.twimg.com/media/FvxYWU2X0AM4ZAX.jpg</t>
  </si>
  <si>
    <t>https://t.co/jtQfiUQJVc https://pbs.twimg.com/media/FwMCuKkWwAAELe0.jpg</t>
  </si>
  <si>
    <t>https://t.co/X9jgaVZo4T https://pbs.twimg.com/media/FqPym2SWAAM1VRN.jpg</t>
  </si>
  <si>
    <t>https://t.co/0mF0D3half https://pbs.twimg.com/ext_tw_video_thumb/1624141263812366362/pu/img/3nk5_fqnR8auj0xm.jpg</t>
  </si>
  <si>
    <t>https://t.co/2nVC5JfbsK https://pbs.twimg.com/media/Fs28L9iWcAASf_f.jpg</t>
  </si>
  <si>
    <t>https://t.co/GgaZ6zJjOE https://pbs.twimg.com/media/FtXJ2dlXoAAjbSU.jpg</t>
  </si>
  <si>
    <t>https://t.co/K8NXWAEKu6 https://pbs.twimg.com/media/FtVvA3iX0AALS8s.jpg</t>
  </si>
  <si>
    <t>https://t.co/gWFCIQoNmm https://pbs.twimg.com/media/Fupgnf0WcAIXMsz.jpg</t>
  </si>
  <si>
    <t>https://t.co/ANgEU9IWEO https://pbs.twimg.com/ext_tw_video_thumb/1652852599253524480/pu/img/4J_ORPnlthqOMteV.jpg</t>
  </si>
  <si>
    <t>https://t.co/dbTIujl2dJ https://pbs.twimg.com/media/FvOA0gpXsAYP2n4.jpg</t>
  </si>
  <si>
    <t>https://t.co/tYxD5GJa0I https://pbs.twimg.com/media/FvN-tIVX0AAUXIM.jpg</t>
  </si>
  <si>
    <t>https://t.co/PynxCn3uon https://pbs.twimg.com/media/FvNxOykXoAUSYCq.jpg</t>
  </si>
  <si>
    <t>https://t.co/oZoaiyhwX9 https://pbs.twimg.com/ext_tw_video_thumb/1662117619921563648/pu/img/IWkq9mXIav5nbefB.jpg</t>
  </si>
  <si>
    <t>https://t.co/iqu9SiZoTn https://pbs.twimg.com/ext_tw_video_thumb/1653395372633468930/pu/img/sRPPjqAXJeyl7D5z.jpg</t>
  </si>
  <si>
    <t>https://t.co/btIjhtDl72 https://pbs.twimg.com/ext_tw_video_thumb/1653839387438751784/pu/img/Nr4SiF0mkLTtmVlD.jpg</t>
  </si>
  <si>
    <t>https://t.co/3DoJh3zvYT https://pbs.twimg.com/ext_tw_video_thumb/1653810647933628430/pu/img/LcOftbPwyZYsp41k.jpg</t>
  </si>
  <si>
    <t>https://t.co/0VfB019G44 https://pbs.twimg.com/ext_tw_video_thumb/1651927648191361027/pu/img/atCFUFTJBF0rIPGY.jpg</t>
  </si>
  <si>
    <t>https://t.co/EmIXGqiMP8 https://pbs.twimg.com/ext_tw_video_thumb/1657006127236653057/pu/img/K3N1n3_eZQxuLejz.jpg</t>
  </si>
  <si>
    <t>https://t.co/ZmOPtXuQU6 https://pbs.twimg.com/ext_tw_video_thumb/1658887291274657827/pu/img/vJDzuw4gGn4Og16P.jpg</t>
  </si>
  <si>
    <t>https://t.co/g5FZBaG809 https://pbs.twimg.com/ext_tw_video_thumb/1658438744041570307/pu/img/ufZZAFuZf5vs9Hq5.jpg</t>
  </si>
  <si>
    <t>https://t.co/htZnPrz6Tj https://pbs.twimg.com/ext_tw_video_thumb/1658097529009963008/pu/img/jyurvbrrBuK3ed3A.jpg</t>
  </si>
  <si>
    <t>https://t.co/1TgYJkWKQM https://pbs.twimg.com/media/F2r7mdIWQAAYBrn.jpg</t>
  </si>
  <si>
    <t>https://t.co/YY08OdeWnr https://pbs.twimg.com/ext_tw_video_thumb/1655547930722332672/pu/img/WxtiMk64_w6i72Bm.jpg</t>
  </si>
  <si>
    <t>https://t.co/NeX7aFdFxM https://pbs.twimg.com/ext_tw_video_thumb/1654467078475116545/pu/img/6TnrDNeuMXMPXkF_.jpg</t>
  </si>
  <si>
    <t>https://t.co/dRl8syXrI6 https://t.co/dRl8syXrI6 https://t.co/dRl8syXrI6 https://t.co/dRl8syXrI6 https://pbs.twimg.com/media/Fng6UZYagAAwixD.jpg https://pbs.twimg.com/media/Fng6UZMaYAE4vWu.jpg https://pbs.twimg.com/media/Fng6UZLagAALtur.jpg https://pbs.twimg.com/media/Fng6UaBaAAE5-Qs.jpg</t>
  </si>
  <si>
    <t>https://t.co/GMydwaPsdm https://t.co/GMydwaPsdm https://t.co/GMydwaPsdm https://t.co/GMydwaPsdm https://pbs.twimg.com/media/FoY6zcbaIAAdWkg.jpg https://pbs.twimg.com/media/FoY6zZsaYAAjaVL.jpg https://pbs.twimg.com/media/FoY6zaraUAIm4hO.jpg https://pbs.twimg.com/media/FoY6zbIaYAM1FpN.jpg</t>
  </si>
  <si>
    <t>https://t.co/lrz3H5cqCU https://t.co/lrz3H5cqCU https://t.co/lrz3H5cqCU https://t.co/lrz3H5cqCU https://pbs.twimg.com/media/FoH9onvaEAIcsYT.jpg https://pbs.twimg.com/media/FoH9oojagAADKji.jpg https://pbs.twimg.com/media/FoH9opTaQAEI2OK.jpg https://pbs.twimg.com/media/FoH9oqDacAId27r.jpg</t>
  </si>
  <si>
    <t>https://t.co/6avkNQAqfS https://t.co/6avkNQAqfS https://t.co/6avkNQAqfS https://t.co/6avkNQAqfS https://pbs.twimg.com/media/FpLXinQaIAMnqA4.jpg https://pbs.twimg.com/media/FpLXin2aYAQ_tgl.jpg https://pbs.twimg.com/media/FpLXinaakAIpNXq.jpg https://pbs.twimg.com/media/FpLXin7aUBAjRlS.jpg</t>
  </si>
  <si>
    <t>https://t.co/FEMcBrKFrV https://t.co/FEMcBrKFrV https://t.co/FEMcBrKFrV https://t.co/FEMcBrKFrV https://pbs.twimg.com/media/FpLII36aYAg2JAP.jpg https://pbs.twimg.com/media/FpLII43aMAQUlxJ.jpg https://pbs.twimg.com/media/FpLII4FaIAEi1Ee.jpg https://pbs.twimg.com/media/FpLII4SacAYvk05.jpg</t>
  </si>
  <si>
    <t>https://t.co/o2cwbCaiZE https://t.co/o2cwbCaiZE https://pbs.twimg.com/media/FrQ7Y5zagAAsFIc.jpg https://pbs.twimg.com/media/FrQ7Y6hakAAf765.jpg</t>
  </si>
  <si>
    <t>https://t.co/fRzsvgY3Mu https://t.co/fRzsvgY3Mu https://t.co/fRzsvgY3Mu https://t.co/fRzsvgY3Mu https://pbs.twimg.com/media/Fu96x8aakAEomBp.jpg https://pbs.twimg.com/media/Fu96x_HacAI7acA.jpg https://pbs.twimg.com/media/Fu96x99akAIXbPM.jpg https://pbs.twimg.com/media/Fu96x-zaUAA8YoP.jpg</t>
  </si>
  <si>
    <t>https://t.co/TWFTm87jM3 https://t.co/TWFTm87jM3 https://t.co/TWFTm87jM3 https://t.co/TWFTm87jM3 https://pbs.twimg.com/media/FuliDWNaEAAhZE9.jpg https://pbs.twimg.com/media/FuliDWIaQAAhN1A.jpg https://pbs.twimg.com/media/FuliDWLaUAAgS30.jpg https://pbs.twimg.com/media/FuliDWSagAAy8zU.jpg</t>
  </si>
  <si>
    <t>https://t.co/3BNCJkSsYJ https://t.co/3BNCJkSsYJ https://t.co/3BNCJkSsYJ https://t.co/3BNCJkSsYJ https://pbs.twimg.com/media/FvO21E0aYAAUW3E.jpg https://pbs.twimg.com/media/FvO21FDaQAA1ll6.jpg https://pbs.twimg.com/media/FvO21FUaAAApU-N.jpg https://pbs.twimg.com/media/FvO21E2aMAESL7-.jpg</t>
  </si>
  <si>
    <t>https://t.co/sa3myJUrL5 https://t.co/sa3myJUrL5 https://t.co/sa3myJUrL5 https://t.co/sa3myJUrL5 https://pbs.twimg.com/media/Fuqxx8IaIAAm0Ja.jpg https://pbs.twimg.com/media/Fuqxx8HaEAIrEmU.jpg https://pbs.twimg.com/media/Fuqxx8haYAM5EMB.jpg https://pbs.twimg.com/media/Fuqxx8iakAA0P9s.jpg</t>
  </si>
  <si>
    <t>https://t.co/3ESEmQkL7M https://t.co/3ESEmQkL7M https://t.co/3ESEmQkL7M https://t.co/3ESEmQkL7M https://pbs.twimg.com/media/Fpu9aJlaUAE9oJ8.jpg https://pbs.twimg.com/media/Fpu9aKtaMAA9KF-.jpg https://pbs.twimg.com/media/Fpu9aJ7aAAEdN-I.jpg https://pbs.twimg.com/media/Fpu9aKZakAA4gI3.jpg</t>
  </si>
  <si>
    <t>https://t.co/IKkFUWLb1w https://t.co/IKkFUWLb1w https://pbs.twimg.com/media/F0b5V8wagAA_8eU.jpg https://pbs.twimg.com/media/F0b5V8QaAAELW5G.jpg</t>
  </si>
  <si>
    <t>https://t.co/i88c1x1lis https://pbs.twimg.com/media/FnKUq-jacAYCAIr.jpg</t>
  </si>
  <si>
    <t>https://t.co/jA9400a20C https://pbs.twimg.com/ext_tw_video_thumb/1630379683752583169/pu/img/fNiWd7k6BrdPSdnk.jpg</t>
  </si>
  <si>
    <t>https://t.co/TTUcdYh0iz https://pbs.twimg.com/media/FrRQ-DhWIAEcKvP.jpg</t>
  </si>
  <si>
    <t>https://t.co/PYBr9LjCBI https://pbs.twimg.com/media/FmXRKmKWQAIz5NP.jpg</t>
  </si>
  <si>
    <t>https://t.co/o5D9WvIupF https://pbs.twimg.com/media/Ft6UpncXoAA37eS.jpg</t>
  </si>
  <si>
    <t>https://t.co/JgUUrAjEvS https://pbs.twimg.com/media/Fp_vxVCXgAA33i4.jpg</t>
  </si>
  <si>
    <t>https://t.co/Qt5JTXojsN https://pbs.twimg.com/media/FoEB_L1WQAEQFRc.jpg</t>
  </si>
  <si>
    <t>https://t.co/Fw9WL5z130 https://pbs.twimg.com/media/FoD9oaLWYAAOorj.jpg</t>
  </si>
  <si>
    <t>https://t.co/d1Onr4v6F0 https://pbs.twimg.com/media/FtmNZ7BWYAYp576.jpg</t>
  </si>
  <si>
    <t>https://t.co/vzt2jGbXF0 https://pbs.twimg.com/media/FszmR2oXwBgJdiU.jpg</t>
  </si>
  <si>
    <t>https://t.co/qP1SGBDQ7q https://pbs.twimg.com/media/FrcQOAqWAAkU-7f.jpg</t>
  </si>
  <si>
    <t>https://t.co/elshKCESEG https://pbs.twimg.com/media/Fp_tynQWcAAZjfk.jpg</t>
  </si>
  <si>
    <t>https://t.co/v6VUEaHNLe https://pbs.twimg.com/media/FlpXHRfXwAEdV08.jpg</t>
  </si>
  <si>
    <t>https://t.co/ZD3bDPYQoh https://pbs.twimg.com/media/FlujRycWQAEJFVz.jpg</t>
  </si>
  <si>
    <t>https://t.co/KhLny1cVtP https://pbs.twimg.com/media/Fufn_XCXwAAjhQd.jpg</t>
  </si>
  <si>
    <t>https://t.co/xKYvJ1Fp3F https://pbs.twimg.com/media/Fufim3sWIAEQQzI.jpg</t>
  </si>
  <si>
    <t>https://t.co/aF0hZyrNtA https://pbs.twimg.com/media/Fufh9ybXsAQUCmI.jpg</t>
  </si>
  <si>
    <t>https://t.co/Pu1zUApKkR https://pbs.twimg.com/media/Fr7Ms9UWwAExJKs.jpg</t>
  </si>
  <si>
    <t>https://t.co/F9I2v0e0oh https://pbs.twimg.com/media/Fr7KoHbWcAgunJ9.jpg</t>
  </si>
  <si>
    <t>https://t.co/yBkIG8Ab5O https://pbs.twimg.com/media/FrrYBo7WYBEUjIN.jpg</t>
  </si>
  <si>
    <t>https://t.co/a6vkEggVPe https://pbs.twimg.com/media/FpLyg22WAAsPMLd.jpg</t>
  </si>
  <si>
    <t>https://t.co/To3Ign0iao https://pbs.twimg.com/media/FoD5TfVXwAEEvgw.jpg</t>
  </si>
  <si>
    <t>https://t.co/KJXroDGDuW https://pbs.twimg.com/media/FoD3_LpXgAUjeV6.jpg</t>
  </si>
  <si>
    <t>https://t.co/s1kKnLeqXW https://pbs.twimg.com/media/Fw541aZWwAE0PeG.jpg</t>
  </si>
  <si>
    <t>https://t.co/8HFIsFJpq6 https://pbs.twimg.com/media/FufkWWyXsAc3zt3.jpg</t>
  </si>
  <si>
    <t>https://t.co/lygB7ve2ON https://pbs.twimg.com/media/FsPFHEuXsAA8XOK.jpg</t>
  </si>
  <si>
    <t>https://t.co/MoZp0scIzm https://pbs.twimg.com/media/FojHILfX0AAQwAU.jpg</t>
  </si>
  <si>
    <t>https://t.co/6d00LIf2aD https://pbs.twimg.com/media/F2XSqukXYAAF5IT.jpg</t>
  </si>
  <si>
    <t>https://t.co/QOWNIEepVQ https://pbs.twimg.com/media/F2H0eHMWQAIz0ak.jpg</t>
  </si>
  <si>
    <t>https://t.co/XoB7o1vKEf https://pbs.twimg.com/media/FwZ-wVIWIAAMiEH.jpg</t>
  </si>
  <si>
    <t>https://t.co/YwICIPLNbX https://pbs.twimg.com/media/FufdIV9XsAInaYr.jpg</t>
  </si>
  <si>
    <t>https://t.co/lh0ERwUrVw https://pbs.twimg.com/media/Fp_rP9DXwAMLPtA.jpg</t>
  </si>
  <si>
    <t>https://t.co/0imlsb1Zgs https://pbs.twimg.com/media/Fp_oBUeXwAYO8Hl.jpg</t>
  </si>
  <si>
    <t>https://t.co/EcuEWaQGlX https://pbs.twimg.com/media/Fp_DwtSXgAYLkig.jpg</t>
  </si>
  <si>
    <t>https://t.co/hZjzbWxYVT https://pbs.twimg.com/media/F3LmgYzXUAEzUUH.jpg</t>
  </si>
  <si>
    <t>https://t.co/FglA8R0Rsu https://pbs.twimg.com/media/FrrRLekXwAI-9Q9.jpg</t>
  </si>
  <si>
    <t>https://t.co/usIZf7eUxT https://pbs.twimg.com/media/FnVnQTcXgAAeE8v.jpg</t>
  </si>
  <si>
    <t>https://t.co/n98Lx76Da9 https://pbs.twimg.com/media/FnVHmqKXkAAFy2a.jpg</t>
  </si>
  <si>
    <t>https://t.co/THExZWhKZs https://pbs.twimg.com/media/F2su9UXWYAEPr9h.jpg</t>
  </si>
  <si>
    <t>https://t.co/PVoRkFSRIh https://pbs.twimg.com/media/F2HvUOPboAAgJKl.jpg</t>
  </si>
  <si>
    <t>https://t.co/V9UJwJ6AVs https://pbs.twimg.com/media/FufsXyJWcAA8wDn.jpg</t>
  </si>
  <si>
    <t>https://t.co/BaCGVfX77O https://pbs.twimg.com/media/FrrO2_7XwAMF6Wu.jpg</t>
  </si>
  <si>
    <t>https://t.co/XxzqZWvVpl https://pbs.twimg.com/media/FrqX158WwAMfVx6.jpg</t>
  </si>
  <si>
    <t>https://t.co/za4JZTmXxD https://pbs.twimg.com/media/FnVKqDnXoAAyjqC.jpg</t>
  </si>
  <si>
    <t>https://t.co/RlMWMR8XF2 https://pbs.twimg.com/media/Fm7o1l9WABcNmuK.jpg</t>
  </si>
  <si>
    <t>https://t.co/ESd9J7jxhK https://pbs.twimg.com/media/Fm7yBgkWAAIrJz8.jpg</t>
  </si>
  <si>
    <t>https://t.co/cLOMgQyBce https://pbs.twimg.com/media/F53Di2iXgAA1uva.jpg</t>
  </si>
  <si>
    <t>https://t.co/vnRcAYaqVp https://pbs.twimg.com/media/FqyV3BQWcAA5Ndk.jpg</t>
  </si>
  <si>
    <t>https://t.co/IPQS0Mp9kg https://pbs.twimg.com/media/F45EpKVWQAADBYl.jpg</t>
  </si>
  <si>
    <t>https://t.co/ev3aBfjVIO https://pbs.twimg.com/ext_tw_video_thumb/1632565943997014016/pu/img/7qpXkN8ncrIhP_o9.jpg</t>
  </si>
  <si>
    <t>https://t.co/Mz6lpx1ofu https://pbs.twimg.com/media/Flk8FjCX0AM6jNa.jpg</t>
  </si>
  <si>
    <t>https://t.co/pNpHg9IlOs https://pbs.twimg.com/media/Flk70AHXwAQLpeK.jpg</t>
  </si>
  <si>
    <t>https://t.co/Vhge5v2W4g https://pbs.twimg.com/media/FqnpbLnWYAYYys_.jpg</t>
  </si>
  <si>
    <t>https://t.co/157Xyvs4QB https://pbs.twimg.com/media/FqiWCICWIAEHNnI.jpg</t>
  </si>
  <si>
    <t>https://t.co/MKPWo6y9x7 https://pbs.twimg.com/media/FtIFXaRWcAEMkPw.jpg</t>
  </si>
  <si>
    <t>https://t.co/blOQxW63v3 https://pbs.twimg.com/media/FtB2KOAX0AATpHJ.jpg</t>
  </si>
  <si>
    <t>https://t.co/8zDaVre76g https://pbs.twimg.com/media/FtB1q1kWAAEMiZ1.jpg</t>
  </si>
  <si>
    <t>https://t.co/I99fqlroAc https://pbs.twimg.com/ext_tw_video_thumb/1650872455446003713/pu/img/PaXyunS4alEDkhWG.jpg</t>
  </si>
  <si>
    <t>https://t.co/PjqDgAicDY https://pbs.twimg.com/media/FmMKNIwWQAIZX6j.jpg</t>
  </si>
  <si>
    <t>https://t.co/JfG84oaBzY https://pbs.twimg.com/media/FlyYq4YXoAMRdi5.jpg</t>
  </si>
  <si>
    <t>https://t.co/d35Ixa0ZVI https://pbs.twimg.com/media/F1Z-Ex3XgAABGk0.jpg</t>
  </si>
  <si>
    <t>https://t.co/rt416ASdF4 https://pbs.twimg.com/media/F10XTTFWwAorpE8.jpg</t>
  </si>
  <si>
    <t>https://t.co/ATIDtM4S3Y https://pbs.twimg.com/media/FyLbAy_WYAI71K3.jpg</t>
  </si>
  <si>
    <t>https://t.co/DVDYQVZeIZ https://pbs.twimg.com/media/Fod_X_DWYAMyAvy.jpg</t>
  </si>
  <si>
    <t>https://t.co/6bZqAs7FNs https://pbs.twimg.com/media/F4xwXrcXsAAIYpH.jpg</t>
  </si>
  <si>
    <t>https://t.co/y5QdE5xWnv https://pbs.twimg.com/media/F4xvtvWXUAAVRiQ.jpg</t>
  </si>
  <si>
    <t>https://t.co/H6b4QVdnn9 https://pbs.twimg.com/media/F4xvRoXWEAAitZI.jpg</t>
  </si>
  <si>
    <t>https://t.co/r6Sc1BdCaE https://pbs.twimg.com/media/FzEm2-8aEAkR-2b.jpg</t>
  </si>
  <si>
    <t>https://t.co/lBSBJeF4MJ https://pbs.twimg.com/media/FnuNl-vXoAIsDCs.jpg</t>
  </si>
  <si>
    <t>https://t.co/j1dz8BDuOE https://pbs.twimg.com/media/Fnf8O6kXoAATBzB.jpg</t>
  </si>
  <si>
    <t>https://t.co/6lmD0F0KMr https://pbs.twimg.com/media/F4tO-V8bUAAhyfF.jpg</t>
  </si>
  <si>
    <t>https://t.co/IVwqVYYttL https://pbs.twimg.com/media/Fy-61c5X0AIPIh2.jpg</t>
  </si>
  <si>
    <t>https://t.co/JQcqpLSJ9U https://pbs.twimg.com/media/FyNnx-fWIAAbFcd.jpg</t>
  </si>
  <si>
    <t>https://t.co/AJT4VzT8CX https://pbs.twimg.com/media/Fw0k3yvaEAEAIms.jpg</t>
  </si>
  <si>
    <t>https://t.co/AVtNliXIHk https://pbs.twimg.com/media/FxVbZSCWwAEjR-h.jpg</t>
  </si>
  <si>
    <t>https://t.co/z5XJiVrV0u https://pbs.twimg.com/media/FxU34YtWAAIcs46.jpg</t>
  </si>
  <si>
    <t>https://t.co/CPyg6Gb7bP https://pbs.twimg.com/media/FxFfiNjXgAMVJuw.jpg</t>
  </si>
  <si>
    <t>https://t.co/NyDnvPSDyQ https://pbs.twimg.com/media/FxA2crxWcAAdQlF.jpg</t>
  </si>
  <si>
    <t>https://t.co/oko1Lxl5a5 https://pbs.twimg.com/media/Fxa49gGXgAEJ4FB.jpg</t>
  </si>
  <si>
    <t>https://t.co/BfcTHDTLRJ https://pbs.twimg.com/media/FxZyZPtWIAAmNV9.jpg</t>
  </si>
  <si>
    <t>https://t.co/KG5RfFuLNk https://pbs.twimg.com/media/Fw_LNoXWcAErMeG.jpg</t>
  </si>
  <si>
    <t>https://t.co/nujEPytUto https://pbs.twimg.com/media/Fw-cUKXWYAAurK_.jpg</t>
  </si>
  <si>
    <t>https://t.co/n3miMpzFxf https://pbs.twimg.com/media/Fw2W8APWYAARrVU.jpg</t>
  </si>
  <si>
    <t>https://t.co/m5wkDcLtHl https://pbs.twimg.com/media/Fw1HxHRXwBgSDmG.jpg</t>
  </si>
  <si>
    <t>https://t.co/zYdaVT4Pgq https://pbs.twimg.com/ext_tw_video_thumb/1672342514857025536/pu/img/Vt2ICpCEBPwpA6mf.jpg</t>
  </si>
  <si>
    <t>https://t.co/jW7zoWZTPG https://pbs.twimg.com/ext_tw_video_thumb/1672004093638762497/pu/img/DTWB5Rj_3jHsP_YB.jpg</t>
  </si>
  <si>
    <t>https://t.co/uJN0YWSbha https://pbs.twimg.com/ext_tw_video_thumb/1671628605103788032/pu/img/C13JxIQGf_gbrEna.jpg</t>
  </si>
  <si>
    <t>https://t.co/vxZnZKlidu https://pbs.twimg.com/ext_tw_video_thumb/1671252370875990017/pu/img/9XIA8krPotZP1BAU.jpg</t>
  </si>
  <si>
    <t>https://t.co/fIbQRV0M2J https://pbs.twimg.com/ext_tw_video_thumb/1670242751978323971/pu/img/24riaQEGemu-1JR1.jpg</t>
  </si>
  <si>
    <t>https://t.co/mnaQmWKPgA https://pbs.twimg.com/media/FxsLkvtWIAE3eGy.jpg</t>
  </si>
  <si>
    <t>https://t.co/p1FnnP6mqM https://pbs.twimg.com/media/Fxifsc9WYAA-n7o.jpg</t>
  </si>
  <si>
    <t>https://t.co/f9uQdujUv4 https://pbs.twimg.com/ext_tw_video_thumb/1673790611277611008/pu/img/aaahc9_I6go9HJYH.jpg</t>
  </si>
  <si>
    <t>https://t.co/Gs3CZYc9jp https://pbs.twimg.com/ext_tw_video_thumb/1673477521667399686/pu/img/grWFTQV_SIb9nL-I.jpg</t>
  </si>
  <si>
    <t>https://t.co/mFrcHK3tVd https://pbs.twimg.com/ext_tw_video_thumb/1673436486589399040/pu/img/VaJ7xu2tHlV6ZluY.jpg</t>
  </si>
  <si>
    <t>https://t.co/9Qr1YjuDrw https://pbs.twimg.com/media/Fx36_uWWAAMlqxH.jpg</t>
  </si>
  <si>
    <t>https://t.co/BGVlTYPLNw https://pbs.twimg.com/media/Fx0Vt1zXwAAjatg.jpg</t>
  </si>
  <si>
    <t>https://t.co/JAcagEwrFT https://pbs.twimg.com/media/FwnIV1ZWwAIqJYH.jpg</t>
  </si>
  <si>
    <t>https://t.co/DGJcRAuA0t https://pbs.twimg.com/media/FwlVjn_WIAAD2G4.jpg</t>
  </si>
  <si>
    <t>https://t.co/FSCEufEwvs https://pbs.twimg.com/media/Fwc9968XwAY7MOp.jpg</t>
  </si>
  <si>
    <t>https://t.co/iAhsjzZ8is https://pbs.twimg.com/media/FwbCdlRXgAEEEh2.jpg</t>
  </si>
  <si>
    <t>https://t.co/sfcKh4GOGA https://pbs.twimg.com/ext_tw_video_thumb/1674956626996998146/pu/img/Bn3iEa8Rlty8mvr_.jpg</t>
  </si>
  <si>
    <t>https://t.co/mjjlKjlmbB https://pbs.twimg.com/media/FyG3hbVaYAA1RiU.jpg</t>
  </si>
  <si>
    <t>https://t.co/DjJYLCWHRj https://pbs.twimg.com/media/FyDCpxYWwAMmtHs.jpg</t>
  </si>
  <si>
    <t>https://t.co/28W2tn3POt https://pbs.twimg.com/media/FyCNlyAXoAAo6Rj.jpg</t>
  </si>
  <si>
    <t>https://t.co/CiaByhFzZO https://pbs.twimg.com/media/FwXuEEBX0AAIage.jpg</t>
  </si>
  <si>
    <t>https://t.co/qqTrjeCkOg https://pbs.twimg.com/media/FwU9QzzXoAEJ9rH.jpg</t>
  </si>
  <si>
    <t>https://t.co/tcpDqu0bD1 https://pbs.twimg.com/media/FwShSqTWcAMi5Lq.jpg</t>
  </si>
  <si>
    <t>https://t.co/tB0Q36KaLH https://pbs.twimg.com/media/FwQ2SspXsAAnHnL.jpg</t>
  </si>
  <si>
    <t>https://t.co/1ofETxFFMA https://pbs.twimg.com/ext_tw_video_thumb/1670959688123392001/pu/img/7mi-Y8tpwahYBFPd.jpg</t>
  </si>
  <si>
    <t>https://t.co/rB6aX4ULEI https://pbs.twimg.com/ext_tw_video_thumb/1669298087729168385/pu/img/54IDMSM7vwQ9GHQH.jpg</t>
  </si>
  <si>
    <t>https://t.co/60Fomi2udT https://pbs.twimg.com/media/FyiCYhYXsAUYag-.jpg</t>
  </si>
  <si>
    <t>https://t.co/BvjYPC0PGu https://pbs.twimg.com/media/FyggnJwaEAIXqu4.jpg</t>
  </si>
  <si>
    <t>https://t.co/9gRKfFz5BC https://pbs.twimg.com/media/FxfiOsgWAAA-mwb.jpg</t>
  </si>
  <si>
    <t>https://t.co/ugaNO8eMTZ https://pbs.twimg.com/media/Fxe7VuCWcAMIcJe.jpg</t>
  </si>
  <si>
    <t>https://t.co/ulwFzRW1J0 https://pbs.twimg.com/ext_tw_video_thumb/1674221409076224005/pu/img/47LyARPpsydyX8xU.jpg</t>
  </si>
  <si>
    <t>https://t.co/mfLBrbdeWf https://pbs.twimg.com/ext_tw_video_thumb/1669082980076093448/pu/img/sfV6jmzne7XqGpSd.jpg</t>
  </si>
  <si>
    <t>https://t.co/tyPBymcfMJ https://pbs.twimg.com/ext_tw_video_thumb/1668946421892956160/pu/img/SndseRHyZMGKq3T0.jpg</t>
  </si>
  <si>
    <t>https://t.co/lXp6bRM9pv https://pbs.twimg.com/ext_tw_video_thumb/1668351933415841814/pu/img/7PZG1FCmETGPQTNy.jpg</t>
  </si>
  <si>
    <t>https://t.co/JzszS4gx6A https://pbs.twimg.com/media/FyTrqqgWAAIHXoF.jpg</t>
  </si>
  <si>
    <t>https://t.co/VYhm0Mieo9 https://pbs.twimg.com/media/FyNQo1pWwAAGOw8.jpg</t>
  </si>
  <si>
    <t>https://t.co/BxIazxxP1i https://pbs.twimg.com/media/F2XfCiEXYAEvcYC.jpg</t>
  </si>
  <si>
    <t>https://t.co/98UfxvsNsY https://pbs.twimg.com/media/FlwUCOZXkAEza0k.png</t>
  </si>
  <si>
    <t>https://t.co/730IU9ugDj https://t.co/730IU9ugDj https://t.co/730IU9ugDj https://pbs.twimg.com/media/FjY3PO-XwAI5Owq.jpg https://pbs.twimg.com/media/FjY3PPEX0AAo9Fn.jpg https://pbs.twimg.com/media/FjY3PPEXkAErZnC.jpg</t>
  </si>
  <si>
    <t>https://t.co/PvERNKFN1F https://pbs.twimg.com/ext_tw_video_thumb/1615436110284394498/pu/img/bZLKdtV0NWVRbkH-.jpg</t>
  </si>
  <si>
    <t>https://t.co/5MogcRURlu https://t.co/5MogcRURlu https://t.co/5MogcRURlu https://t.co/5MogcRURlu https://pbs.twimg.com/media/FmDAS9zXwAALNmn.jpg https://pbs.twimg.com/media/FmDAS_AXEBMbsw5.jpg https://pbs.twimg.com/media/FmDATAAXEBo9XJQ.jpg https://pbs.twimg.com/media/FmDATArXEAwtQNn.jpg</t>
  </si>
  <si>
    <t>https://t.co/VmqIyKo5E8 https://pbs.twimg.com/ext_tw_video_thumb/1600525520294264834/pu/img/dfvnAbVdnRD3KsL1.jpg</t>
  </si>
  <si>
    <t>https://t.co/4SCFAiiOqq https://t.co/4SCFAiiOqq https://pbs.twimg.com/media/FjTu6wnXkAEMqQH.jpg https://pbs.twimg.com/media/FjTu6xJWYAcVmyX.jpg</t>
  </si>
  <si>
    <t>https://t.co/n6XtdODFRq https://pbs.twimg.com/ext_tw_video_thumb/1624036915430232066/pu/img/XC59S2cxOaSvc8W6.jpg</t>
  </si>
  <si>
    <t>https://t.co/WbzFXfXL6R https://t.co/WbzFXfXL6R https://t.co/WbzFXfXL6R https://t.co/WbzFXfXL6R https://pbs.twimg.com/media/Fn5oySiWAAgs_d0.jpg https://pbs.twimg.com/media/Fn5oyWbXgAA4vgq.jpg https://pbs.twimg.com/media/Fn5oyXdWAAwYrBV.jpg https://pbs.twimg.com/media/Fn5oyapWAAkKCRd.jpg</t>
  </si>
  <si>
    <t>https://t.co/MyRmXLu7qa https://pbs.twimg.com/ext_tw_video_thumb/1613901027605880832/pu/img/9uMM4mTxrvx3pRIR.jpg</t>
  </si>
  <si>
    <t>https://t.co/da2wfHhUk0 https://pbs.twimg.com/media/Fp1vE9qWAAAYpIy.jpg</t>
  </si>
  <si>
    <t>https://t.co/bnnxHgh5Mh https://pbs.twimg.com/ext_tw_video_thumb/1648840425506054144/pu/img/EDhXlTBJembsdWbZ.jpg</t>
  </si>
  <si>
    <t>https://t.co/vUHSfpXaOM https://pbs.twimg.com/media/FzFvAaFXgAAShr9.jpg</t>
  </si>
  <si>
    <t>https://t.co/MFAHmCmYFu https://pbs.twimg.com/ext_tw_video_thumb/1668751059844493313/pu/img/xFTDkm1z2yUj73gs.jpg</t>
  </si>
  <si>
    <t>https://t.co/RB53r7gKCy https://t.co/RB53r7gKCy https://pbs.twimg.com/media/Fr60C86XgAA_j64.jpg https://pbs.twimg.com/media/Fr60C85WIAYDuit.jpg</t>
  </si>
  <si>
    <t>https://t.co/mpMn1L0BDc https://pbs.twimg.com/media/FpHe50xXoAMAQRw.jpg</t>
  </si>
  <si>
    <t>https://t.co/YVrCxqufM3 https://pbs.twimg.com/media/Fmrj7q2X0AAKHHK.jpg</t>
  </si>
  <si>
    <t>https://t.co/vgVuKH1Xhx https://pbs.twimg.com/media/FmrDtm0WAAMQ3xY.jpg</t>
  </si>
  <si>
    <t>https://t.co/5aVaCsS5ko https://pbs.twimg.com/media/FmniQUrXwAEHlpG.jpg</t>
  </si>
  <si>
    <t>https://t.co/P2ccj3fYFU https://pbs.twimg.com/media/FmnMZLxXEAwGXTP.jpg</t>
  </si>
  <si>
    <t>https://t.co/WTaniqN731 https://pbs.twimg.com/media/FmhsXhzWQAETJp3.jpg</t>
  </si>
  <si>
    <t>https://t.co/NBCZlQX0FO https://pbs.twimg.com/media/Fo65ZTVXoAI2W_O.jpg</t>
  </si>
  <si>
    <t>https://t.co/fvi4xOBlAg https://pbs.twimg.com/media/FoxEn2KWYAA9tH_.jpg</t>
  </si>
  <si>
    <t>https://t.co/FNQ1kXOrsF https://pbs.twimg.com/media/FotFJzuWYAAKShJ.jpg</t>
  </si>
  <si>
    <t>https://t.co/vv2IiCassp https://pbs.twimg.com/media/For5coqWIAISOrc.jpg</t>
  </si>
  <si>
    <t>https://t.co/AtST8XN7vt https://pbs.twimg.com/ext_tw_video_thumb/1623698899658502144/pu/img/jX0_pqNiIlsj3s7l.jpg</t>
  </si>
  <si>
    <t>https://t.co/7R0FqIGg2Z https://pbs.twimg.com/media/FocD1V9XgAEnL-G.jpg</t>
  </si>
  <si>
    <t>https://t.co/YvlQt4x9Jx https://pbs.twimg.com/media/FoXCjJzXEAAg_13.jpg</t>
  </si>
  <si>
    <t>https://t.co/ZUWwzCfwWM https://pbs.twimg.com/media/FoSE-KSXEAASjGB.jpg</t>
  </si>
  <si>
    <t>https://t.co/AQOzSSSv8l https://pbs.twimg.com/media/FoFNK9QWIAIUMRa.jpg</t>
  </si>
  <si>
    <t>https://t.co/8MWH0YkpOu https://pbs.twimg.com/media/Fn395GNWYAArfhU.jpg</t>
  </si>
  <si>
    <t>https://t.co/WgUOUD4Ujs https://pbs.twimg.com/media/Fn1qlkhX0AANWIh.jpg</t>
  </si>
  <si>
    <t>https://t.co/FRYdNR3lUU https://pbs.twimg.com/ext_tw_video_thumb/1620536563984646145/pu/img/ZitSVYHa-hPtfjph.jpg</t>
  </si>
  <si>
    <t>https://t.co/hpu4Hc491F https://pbs.twimg.com/ext_tw_video_thumb/1620429256483274755/pu/img/vFQuviFMqqDlquw9.jpg</t>
  </si>
  <si>
    <t>https://t.co/BpCYgBSZ2E https://pbs.twimg.com/media/FnzISOwXwAA8d_h.jpg</t>
  </si>
  <si>
    <t>https://t.co/3373j15Pe4 https://pbs.twimg.com/media/FnwKoZZXwAMn3Pr.jpg</t>
  </si>
  <si>
    <t>https://t.co/3WZMHaUV6m https://pbs.twimg.com/ext_tw_video_thumb/1620095703518248960/pu/img/Qy5Ny9Xj4hJZw4Fi.jpg</t>
  </si>
  <si>
    <t>https://t.co/J1kRbkxqmv https://pbs.twimg.com/ext_tw_video_thumb/1620049205547909120/pu/img/IVbud7qTMFv96dHC.jpg</t>
  </si>
  <si>
    <t>https://t.co/RaM1iivTkR https://pbs.twimg.com/media/FntvjfzXkAAVsrB.jpg</t>
  </si>
  <si>
    <t>https://t.co/MJbATXixli https://pbs.twimg.com/media/Fno6ohkXwAE2teU.jpg</t>
  </si>
  <si>
    <t>https://t.co/W5Pr1ph1Jv https://pbs.twimg.com/media/FnegkEqWYAInOSm.jpg</t>
  </si>
  <si>
    <t>https://t.co/FI0THmX9ip https://pbs.twimg.com/media/FnRX2oXXkAIs5LY.jpg</t>
  </si>
  <si>
    <t>https://t.co/rPyATKaXCM https://pbs.twimg.com/media/FnPEaWGXEAEDhfH.jpg</t>
  </si>
  <si>
    <t>https://t.co/4TuXNzN9eL https://pbs.twimg.com/media/FnKoJkgX0AIQOre.jpg</t>
  </si>
  <si>
    <t>https://t.co/zdapx3kwyB https://pbs.twimg.com/media/FnFoJNTWIAAdTrd.jpg</t>
  </si>
  <si>
    <t>https://t.co/zH0X9TVSyp https://pbs.twimg.com/ext_tw_video_thumb/1628415722039742468/pu/img/uh88DKFlg4i4I9kM.jpg</t>
  </si>
  <si>
    <t>https://t.co/AE1LFgkDPI https://pbs.twimg.com/media/FvXT0WMWYAMK1fh.jpg</t>
  </si>
  <si>
    <t>https://t.co/S0Y6GV7pf6 https://pbs.twimg.com/media/FvC1nsJX0AAkoMx.jpg</t>
  </si>
  <si>
    <t>https://t.co/e6oeBEHbj8 https://pbs.twimg.com/media/Fuo_hPHWAAMTcyN.jpg</t>
  </si>
  <si>
    <t>https://t.co/XYf1pYCsfG https://pbs.twimg.com/media/Fuj2qzNX0AA1EeM.jpg</t>
  </si>
  <si>
    <t>https://t.co/bSsn77dzVv https://pbs.twimg.com/media/Ft6oZbgWIAEACUf.jpg</t>
  </si>
  <si>
    <t>https://t.co/AcPi0IfshT https://pbs.twimg.com/media/F0MUtF_XwAATcEG.jpg</t>
  </si>
  <si>
    <t>https://t.co/kit6owGc5Y https://pbs.twimg.com/media/FxYIxunWAAIa5v_.jpg</t>
  </si>
  <si>
    <t>https://t.co/Tj0lHUdYYz https://pbs.twimg.com/media/FxTLp-cXgAA1RX3.jpg</t>
  </si>
  <si>
    <t>https://t.co/nyHVtKUqag https://pbs.twimg.com/media/FxS-TLtWcAkD--s.jpg</t>
  </si>
  <si>
    <t>https://t.co/7XB4SG0yAP https://pbs.twimg.com/media/FxDiSmpXsAADGJv.jpg</t>
  </si>
  <si>
    <t>https://t.co/faf0pLvnXJ https://pbs.twimg.com/media/FuPVfjGXwA0z1Db.jpg</t>
  </si>
  <si>
    <t>https://t.co/wRIF26K8Tl https://pbs.twimg.com/media/FuKME5_WYAE75gt.jpg</t>
  </si>
  <si>
    <t>https://t.co/j5TeRmE2So https://pbs.twimg.com/media/FuE7RlSWcAE498o.jpg</t>
  </si>
  <si>
    <t>https://t.co/KUoxD9rzDp https://pbs.twimg.com/media/Ft_7bdaXsAACyj-.jpg</t>
  </si>
  <si>
    <t>https://t.co/2b0xJDvpd3 https://pbs.twimg.com/media/FyqZHYNX0AAEzw6.jpg</t>
  </si>
  <si>
    <t>https://t.co/vPtlDBF5dI https://pbs.twimg.com/media/FygSvCiWAAA-Quu.jpg</t>
  </si>
  <si>
    <t>https://t.co/cJOMTosWSD https://pbs.twimg.com/media/FxdUH-nWcAEn-xt.jpg</t>
  </si>
  <si>
    <t>https://t.co/PNMDUZzS1F https://pbs.twimg.com/media/Fw5MshqXgAAncyf.jpg</t>
  </si>
  <si>
    <t>https://t.co/1hLwr4t6OW https://pbs.twimg.com/media/FvSJbwZXoAYIWdO.jpg</t>
  </si>
  <si>
    <t>https://t.co/bBQjSDkecD https://pbs.twimg.com/media/FuzSdKXWAAAyqdI.jpg</t>
  </si>
  <si>
    <t>https://t.co/ednLotyzNw https://pbs.twimg.com/media/FuuK7jrXwAAuptl.jpg</t>
  </si>
  <si>
    <t>https://t.co/m2ELI5ojG5 https://pbs.twimg.com/media/FtrJwCHXsAEhVRs.jpg</t>
  </si>
  <si>
    <t>https://t.co/zKlQb1uwvj https://pbs.twimg.com/media/FtnNh8rWAAAN9nq.jpg</t>
  </si>
  <si>
    <t>https://t.co/VvezshV4Pq https://pbs.twimg.com/media/FtnLWDUXoAERTxV.jpg</t>
  </si>
  <si>
    <t>https://t.co/Ylu8Naltip https://pbs.twimg.com/media/Ftm65aJX0AAxadJ.jpg</t>
  </si>
  <si>
    <t>https://t.co/5LgbQZDR2P https://pbs.twimg.com/media/FtiJkagXgAAntg7.jpg</t>
  </si>
  <si>
    <t>https://t.co/xAsDB998SJ https://pbs.twimg.com/media/F0HIjllX0AUts9Q.jpg</t>
  </si>
  <si>
    <t>https://t.co/oZkE7HG93l https://pbs.twimg.com/media/FylVDXrWcAAoymb.jpg</t>
  </si>
  <si>
    <t>https://t.co/JBlrRXU236 https://pbs.twimg.com/media/FybDi0tWYAEuumf.jpg</t>
  </si>
  <si>
    <t>https://t.co/5soPuiZG0V https://pbs.twimg.com/media/FvM_DBxX0AI1sTr.jpg</t>
  </si>
  <si>
    <t>https://t.co/mdWBPCasuT https://pbs.twimg.com/media/FvHz-0FXgAE_BYh.jpg</t>
  </si>
  <si>
    <t>https://t.co/Kc06gWt9YC https://pbs.twimg.com/media/FueyxuJXsAInqlA.jpg</t>
  </si>
  <si>
    <t>https://t.co/wlerBWfD1D https://pbs.twimg.com/media/F01cgB1WIAAh1JX.jpg</t>
  </si>
  <si>
    <t>https://t.co/XBPcccw4RK https://pbs.twimg.com/media/F0weavkWIAAKZoM.jpg</t>
  </si>
  <si>
    <t>https://t.co/nYhNE2CrJk https://pbs.twimg.com/media/FvxFyOWXsAAStx2.jpg</t>
  </si>
  <si>
    <t>https://t.co/9e2lGhZuFF https://pbs.twimg.com/media/Fvr7YeGXwAEAoBr.jpg</t>
  </si>
  <si>
    <t>https://t.co/mL665Xqs9l https://pbs.twimg.com/media/FvmwHY0XoAkdfRx.jpg</t>
  </si>
  <si>
    <t>https://t.co/AEjzDowLU4 https://pbs.twimg.com/media/F0rTK6NWYAED9lx.jpg</t>
  </si>
  <si>
    <t>https://t.co/17ua4B95ll https://pbs.twimg.com/media/FyvjGHaWYAIpjRl.jpg</t>
  </si>
  <si>
    <t>https://t.co/oOqE3drE6h https://pbs.twimg.com/media/FxubkaKWAAAVdGi.jpg</t>
  </si>
  <si>
    <t>https://t.co/Upb12OPdoA https://pbs.twimg.com/media/FxuM6KWWwAAQH6_.jpg</t>
  </si>
  <si>
    <t>https://t.co/lCkSAud7Kk https://pbs.twimg.com/media/Fxndt_gWYAITpZH.jpg</t>
  </si>
  <si>
    <t>https://t.co/eCWNm9PtNz https://pbs.twimg.com/media/FxiSa13WAAMZsGg.jpg</t>
  </si>
  <si>
    <t>https://t.co/2uXQD98oQ1 https://pbs.twimg.com/media/Fv7c1GyWcAAf9OG.jpg</t>
  </si>
  <si>
    <t>https://t.co/ALp8y2tsIp https://pbs.twimg.com/media/Fv2SbDcXsAMOfBK.jpg</t>
  </si>
  <si>
    <t>https://t.co/OMrlsshEyK https://pbs.twimg.com/media/F0_x0NxX0AAqSzx.jpg</t>
  </si>
  <si>
    <t>https://t.co/unp5tvC53P https://pbs.twimg.com/media/F06mdf3WAAEVS7W.jpg</t>
  </si>
  <si>
    <t>https://t.co/8XRTeilU1u https://pbs.twimg.com/media/FyBNTbTXoAA6JGE.jpg</t>
  </si>
  <si>
    <t>https://t.co/TET5oe66hF https://pbs.twimg.com/media/Fx8OrYWXgAAPVhT.jpg</t>
  </si>
  <si>
    <t>https://t.co/DVIVn7wdW1 https://pbs.twimg.com/media/Fx3Brm7WcAIOSrZ.jpg</t>
  </si>
  <si>
    <t>https://t.co/z5NhwtOh5p https://pbs.twimg.com/media/Fwu1zSQWIAEUXgp.jpg</t>
  </si>
  <si>
    <t>https://t.co/QHIoJvOFlF https://pbs.twimg.com/media/FwfWwSJXsAIpWkX.jpg</t>
  </si>
  <si>
    <t>https://t.co/XSiZWkf4ZE https://pbs.twimg.com/media/F1UUQH6WcAcp9vQ.jpg</t>
  </si>
  <si>
    <t>https://t.co/bRZhdBSj3f https://pbs.twimg.com/media/Fz3t8wcXgAAXYDX.jpg</t>
  </si>
  <si>
    <t>https://t.co/PT1iqp5dYB https://pbs.twimg.com/media/Fzyw4yAaIAMny4E.jpg</t>
  </si>
  <si>
    <t>https://t.co/VNvIM8ZjX5 https://pbs.twimg.com/media/FyLmuv5WAAIgfey.jpg</t>
  </si>
  <si>
    <t>https://t.co/aYmG6he1RU https://pbs.twimg.com/media/FyI--UYWYAAHCRZ.jpg</t>
  </si>
  <si>
    <t>https://t.co/KjStm8WjGe https://pbs.twimg.com/media/FyGdTkbWYAI6HPY.jpg</t>
  </si>
  <si>
    <t>https://t.co/UkRfUyS9j6 https://pbs.twimg.com/media/FwVPChJXsAA49yV.jpg</t>
  </si>
  <si>
    <t>https://t.co/Tg36ueXwvx https://pbs.twimg.com/media/FwKw-lMWIAUGAf1.jpg</t>
  </si>
  <si>
    <t>https://t.co/3c85yYBhoQ https://pbs.twimg.com/media/Fqjh-bBXsAAsqEi.jpg</t>
  </si>
  <si>
    <t>https://t.co/ln6maP9qN2 https://pbs.twimg.com/ext_tw_video_thumb/1631370131417755649/pu/img/Dca4KtC32r_bZXAA.jpg</t>
  </si>
  <si>
    <t>https://t.co/gNKp6sSVmj https://pbs.twimg.com/ext_tw_video_thumb/1647262165240369153/pu/img/BnZeK_YHhURoWzur.jpg</t>
  </si>
  <si>
    <t>https://t.co/srfStmPqMo https://pbs.twimg.com/ext_tw_video_thumb/1662439591998115840/pu/img/qDTt8qHXBMESzvCn.jpg</t>
  </si>
  <si>
    <t>https://t.co/zXaPBnzEXf https://pbs.twimg.com/media/FmOt4G9WAAItoo7.jpg</t>
  </si>
  <si>
    <t>https://t.co/2ahv9sN3Jk https://pbs.twimg.com/ext_tw_video_thumb/1615418682133385246/pu/img/UkMDTBaSUlv5p0kA.jpg</t>
  </si>
  <si>
    <t>https://t.co/crCPKAnHhw https://pbs.twimg.com/media/FtPOgirXsAA5h_V.png</t>
  </si>
  <si>
    <t>https://t.co/x6IRre9275 https://pbs.twimg.com/media/FwPyarYXsAIKtHm.jpg</t>
  </si>
  <si>
    <t>https://t.co/vmlvi4v9Yl https://pbs.twimg.com/ext_tw_video_thumb/1660420956861485058/pu/img/u9DionHS4L6jk1pB.jpg</t>
  </si>
  <si>
    <t>https://t.co/BaHDwnHaVR https://pbs.twimg.com/ext_tw_video_thumb/1660373558973943808/pu/img/48UKz7M5oCrvpss5.jpg</t>
  </si>
  <si>
    <t>https://t.co/gwnebuNdqf https://pbs.twimg.com/media/Fw08ZblXwAsBnIT.jpg</t>
  </si>
  <si>
    <t>https://t.co/wOlMUUVyxM https://pbs.twimg.com/media/FzgT14iWAAAst8r.jpg</t>
  </si>
  <si>
    <t>https://t.co/Y7c5fSwqXd https://pbs.twimg.com/ext_tw_video_thumb/1626240279153094656/pu/img/WqpBvGUeabWXu7Bd.jpg</t>
  </si>
  <si>
    <t>https://t.co/yKbA9RG2vp https://pbs.twimg.com/media/FyNvrBFWYAE_4KY.jpg</t>
  </si>
  <si>
    <t>https://t.co/WFwuKS8QXN https://pbs.twimg.com/media/F0NZ-G4WIAIe2Tk.jpg</t>
  </si>
  <si>
    <t>https://t.co/1uEh26J2j5 https://pbs.twimg.com/media/F27Px10X0AAopYJ.jpg</t>
  </si>
  <si>
    <t>https://t.co/ZNFEQuEJhm https://pbs.twimg.com/ext_tw_video_thumb/1676942781061775361/pu/img/mG_c81_Z3jsNTtnn.jpg</t>
  </si>
  <si>
    <t>https://t.co/Teg9bizTX4 https://pbs.twimg.com/ext_tw_video_thumb/1685008540807704578/pu/img/8RUAnWzJ-ZBCaoct.jpg</t>
  </si>
  <si>
    <t>https://t.co/bvJfGFUpdN https://pbs.twimg.com/ext_tw_video_thumb/1681730922901544961/pu/img/jJfYiodjkgCFeeHP.jpg</t>
  </si>
  <si>
    <t>https://t.co/o2mYlpfJKK https://pbs.twimg.com/ext_tw_video_thumb/1677444259127984128/pu/img/RQsEjzUzJAliqLBv.jpg</t>
  </si>
  <si>
    <t>https://t.co/gaD2Omb2el https://pbs.twimg.com/ext_tw_video_thumb/1686150868574343168/pu/img/wZm0hCQE8UPyzUzo.jpg</t>
  </si>
  <si>
    <t>https://t.co/c0mdG6CYUM https://pbs.twimg.com/ext_tw_video_thumb/1678402120138072065/pu/img/x9Cf_q0af-Q6n1c_.jpg</t>
  </si>
  <si>
    <t>https://t.co/23vMVRd1pB https://pbs.twimg.com/ext_tw_video_thumb/1678163190851465216/pu/img/K7YU9XdQehput9J5.jpg</t>
  </si>
  <si>
    <t>https://t.co/s9YVPrV79M https://pbs.twimg.com/ext_tw_video_thumb/1678153036634501121/pu/img/gtgsw6F9wmYkdwnv.jpg</t>
  </si>
  <si>
    <t>https://t.co/iqKeF9Gdxb https://pbs.twimg.com/ext_tw_video_thumb/1678110070842744833/pu/img/GDSpPP6nQF43xWNA.jpg</t>
  </si>
  <si>
    <t>https://t.co/bRKGSndM9U https://pbs.twimg.com/ext_tw_video_thumb/1678101582276173825/pu/img/nE4MSW-eern-TmrV.jpg</t>
  </si>
  <si>
    <t>https://t.co/5qiuEvFmkW https://pbs.twimg.com/media/F0m8aFeWYAA5VGm.jpg</t>
  </si>
  <si>
    <t>https://t.co/eJ291Why9G https://pbs.twimg.com/ext_tw_video_thumb/1688931342564683776/pu/img/KMD6CXv-2PCSZuWf.jpg</t>
  </si>
  <si>
    <t>https://t.co/aWNZMbQrK7 https://pbs.twimg.com/ext_tw_video_thumb/1688919133944160258/pu/img/OSx05my6uLWwYCMC.jpg</t>
  </si>
  <si>
    <t>https://t.co/81czwoKLeG https://pbs.twimg.com/media/F2Uu-0xXcAAPMHO.jpg</t>
  </si>
  <si>
    <t>https://t.co/vsu4q90sUG https://pbs.twimg.com/ext_tw_video_thumb/1682916964996464640/pu/img/IGgSY3ztiLjzevom.jpg</t>
  </si>
  <si>
    <t>https://t.co/YRBKS00fnF https://pbs.twimg.com/ext_tw_video_thumb/1694058516091133955/pu/img/IDPWCkNs3lwegN6L.jpg</t>
  </si>
  <si>
    <t>https://t.co/ojN8q8Wcnq https://pbs.twimg.com/ext_tw_video_thumb/1689027040601677825/pu/img/77hILMR02qFmtNDA.jpg</t>
  </si>
  <si>
    <t>https://t.co/5cQNiyNlNr https://pbs.twimg.com/ext_tw_video_thumb/1688941613274353664/pu/img/m9s1CkXx8OXqXfVQ.jpg</t>
  </si>
  <si>
    <t>https://t.co/LQjd1f5lrR https://pbs.twimg.com/media/F2e8L47XsAAo7OA.jpg</t>
  </si>
  <si>
    <t>https://t.co/67VHr1eMwL https://pbs.twimg.com/ext_tw_video_thumb/1681077830048776192/pu/img/H8HL3JkoJdW0SNxP.jpg</t>
  </si>
  <si>
    <t>https://t.co/hgjxy28GRK https://pbs.twimg.com/ext_tw_video_thumb/1698654179915390976/pu/img/2wVcPCzRCYJtlVD_.jpg</t>
  </si>
  <si>
    <t>https://t.co/JnrCyCeETA https://pbs.twimg.com/ext_tw_video_thumb/1698436176691011584/pu/img/hDKdrvOy0l8Wd-XR.jpg</t>
  </si>
  <si>
    <t>https://t.co/7MeITHfWjr https://pbs.twimg.com/ext_tw_video_thumb/1698401581442465792/pu/img/7cO4Ps2I41G7U4oh.jpg</t>
  </si>
  <si>
    <t>https://t.co/4v7OwkxkFs https://pbs.twimg.com/ext_tw_video_thumb/1698367030489948160/pu/img/acfrjsiaLTFFXpes.jpg</t>
  </si>
  <si>
    <t>https://t.co/8Y8l8WRdeQ https://pbs.twimg.com/ext_tw_video_thumb/1684613540122853392/pu/img/_XJz67IRK4dP8BQd.jpg</t>
  </si>
  <si>
    <t>https://t.co/XNclEet1a4 https://pbs.twimg.com/ext_tw_video_thumb/1683976485160321026/pu/img/5oZ9V4XsJFMSQcoe.jpg</t>
  </si>
  <si>
    <t>https://t.co/2c08Y7lCJv https://pbs.twimg.com/media/Fw_dhqQXgAUyyEo.jpg</t>
  </si>
  <si>
    <t>https://t.co/4U05n7vpfR https://pbs.twimg.com/media/FwVITKjXgAIOj5Q.jpg</t>
  </si>
  <si>
    <t>https://t.co/aiVPwBDLNb https://pbs.twimg.com/media/F2cox1tXYAARjYM.jpg</t>
  </si>
  <si>
    <t>https://t.co/7SxM9bBHxo https://pbs.twimg.com/media/FvlxCgBWcAAVd8U.jpg</t>
  </si>
  <si>
    <t>https://t.co/xdXkQTNFwL https://t.co/xdXkQTNFwL https://pbs.twimg.com/media/F4p2OgMXoAEbB7f.jpg https://pbs.twimg.com/media/F4p2PNOXsAA-jSo.jpg</t>
  </si>
  <si>
    <t>https://t.co/Ed0HBmhSrd https://pbs.twimg.com/media/F2TGCBnWAAEU0A_.jpg</t>
  </si>
  <si>
    <t>https://t.co/U0XU9or9K7 https://pbs.twimg.com/media/F5SEFxzXQAAF3Y2.jpg</t>
  </si>
  <si>
    <t>https://t.co/QyymU0zuRL https://pbs.twimg.com/media/FltCZ4wWAAATRcl.jpg</t>
  </si>
  <si>
    <t>https://t.co/k7ql7V0b0h https://pbs.twimg.com/media/FmwsltBXkAEDe9g.jpg</t>
  </si>
  <si>
    <t>https://t.co/m3nztI1IlY https://pbs.twimg.com/media/Fski90JXgAIlwUq.jpg</t>
  </si>
  <si>
    <t>https://t.co/Cd2qJjvivJ https://pbs.twimg.com/media/FrGRvXaWAAIHyqf.jpg</t>
  </si>
  <si>
    <t>https://t.co/VNcv0NdwCP https://t.co/VNcv0NdwCP https://t.co/VNcv0NdwCP https://t.co/VNcv0NdwCP https://pbs.twimg.com/media/FpkwTEdWAAElr__.jpg https://pbs.twimg.com/media/FpkwTEhXwAEnXnO.jpg https://pbs.twimg.com/media/FpkwTEiXgAEsFVe.jpg https://pbs.twimg.com/media/FpkwTEcXsAMQBDp.jpg</t>
  </si>
  <si>
    <t>https://t.co/Lk3LOpZTkC https://pbs.twimg.com/media/F15FjZMXsAA2m6w.jpg</t>
  </si>
  <si>
    <t>https://t.co/385OMrK1iI https://pbs.twimg.com/media/Fm1fk79XgAAMn6m.jpg</t>
  </si>
  <si>
    <t>https://t.co/MM8hnslqRh https://pbs.twimg.com/media/Fls63E6XwAIOJ4s.jpg</t>
  </si>
  <si>
    <t>https://t.co/JlYi77ZwQk https://t.co/JlYi77ZwQk https://t.co/JlYi77ZwQk https://t.co/JlYi77ZwQk https://pbs.twimg.com/media/Fr6cvCJWIAQ_HJB.jpg https://pbs.twimg.com/media/Fr6cvCLX0AgZMoy.jpg https://pbs.twimg.com/media/Fr6cvCLXoAAFAU1.jpg https://pbs.twimg.com/media/Fr6cvCMX0AAbYSu.jpg</t>
  </si>
  <si>
    <t>https://t.co/V3G9WB7pA3 https://pbs.twimg.com/media/Fr6b-tVWYAMPJjv.jpg</t>
  </si>
  <si>
    <t>https://t.co/ADkJN4xNT7 https://pbs.twimg.com/media/Fmm_knVWAAYx0Sd.jpg</t>
  </si>
  <si>
    <t>https://t.co/NAQmqUd1fH https://pbs.twimg.com/ext_tw_video_thumb/1613949693330952199/pu/img/3mkVOryvvwl4ynZC.jpg</t>
  </si>
  <si>
    <t>https://t.co/KtXWnHdw2n https://pbs.twimg.com/media/FlkpW2iXwAEcQ7n.jpg</t>
  </si>
  <si>
    <t>https://t.co/dw1qRDaLfi https://pbs.twimg.com/media/Fn_j7oKWIAQjDK_.jpg</t>
  </si>
  <si>
    <t>https://t.co/PHjekqHST9 https://pbs.twimg.com/media/FqTWdXOWAAECsVl.jpg</t>
  </si>
  <si>
    <t>https://t.co/IbhWGNUl5S https://pbs.twimg.com/media/Frqm6OnWIAISXrH.jpg</t>
  </si>
  <si>
    <t>https://t.co/qho5HvLBaK https://pbs.twimg.com/media/Fn5crFaXEAAL8i_.png</t>
  </si>
  <si>
    <t>https://t.co/yb4kEaXgFK https://pbs.twimg.com/media/Fn4tTf3WQAcCE6P.jpg</t>
  </si>
  <si>
    <t>https://t.co/JNz68gmynW https://pbs.twimg.com/media/FmsneF1WYAUxFHB.jpg</t>
  </si>
  <si>
    <t>https://t.co/ZjqudJER5t https://pbs.twimg.com/media/FsjeZlVWcAI6ZF9.jpg</t>
  </si>
  <si>
    <t>https://t.co/rtrMq1kBcE https://pbs.twimg.com/media/FoETU_2XEAEo6sQ.jpg</t>
  </si>
  <si>
    <t>https://t.co/28FLq4h0aF https://pbs.twimg.com/media/FrGX1dhWYAAvnBW.jpg</t>
  </si>
  <si>
    <t>https://t.co/arHjEU3Nwm https://pbs.twimg.com/media/FksTd1GWYAEs2dx.jpg</t>
  </si>
  <si>
    <t>https://t.co/1OUfzQloQs https://t.co/1OUfzQloQs https://t.co/1OUfzQloQs https://t.co/1OUfzQloQs https://pbs.twimg.com/media/FzAxPjDWcAMZr-X.png https://pbs.twimg.com/media/FzAxRttWcBo74cy.png https://pbs.twimg.com/media/FzAxSejWcBouLTi.jpg https://pbs.twimg.com/media/FzAxTTuWcBEMoUX.jpg</t>
  </si>
  <si>
    <t>https://t.co/V5k25d80Ap https://pbs.twimg.com/ext_tw_video_thumb/1700164543001825280/pu/img/_1hjTi_x_qzzqB9u.jpg</t>
  </si>
  <si>
    <t>https://t.co/dzR5av43XW https://pbs.twimg.com/ext_tw_video_thumb/1630637029158469650/pu/img/SH88QaO4d--Zfa6o.jpg</t>
  </si>
  <si>
    <t>https://t.co/OZD2lXKuzo https://pbs.twimg.com/ext_tw_video_thumb/1649420025269305347/pu/img/wa_JqpyRrSbFUUqO.jpg</t>
  </si>
  <si>
    <t>https://t.co/kYjdOfXwSg https://pbs.twimg.com/ext_tw_video_thumb/1667527801920954369/pu/img/gPmllSYpAavWMAS9.jpg</t>
  </si>
  <si>
    <t>https://t.co/rxKAZ1eQOV https://pbs.twimg.com/ext_tw_video_thumb/1653489112408530946/pu/img/Y2Ufg57VosWfOQey.jpg</t>
  </si>
  <si>
    <t>https://t.co/IrTfluXrJ4 https://pbs.twimg.com/ext_tw_video_thumb/1649860961795284995/pu/img/eLIzt2JWo2M25zt-.jpg</t>
  </si>
  <si>
    <t>https://t.co/9ec32vVZKz https://pbs.twimg.com/media/FngtTjAWIAAMAV_.jpg</t>
  </si>
  <si>
    <t>https://t.co/3OOMgczDAA https://pbs.twimg.com/media/F0XEGR3aAAAI4AM.jpg</t>
  </si>
  <si>
    <t>https://t.co/1S7QHEu0mN https://pbs.twimg.com/media/F5F6kN5WgAAPvMd.jpg</t>
  </si>
  <si>
    <t>https://t.co/m27bKhQxdz https://pbs.twimg.com/ext_tw_video_thumb/1624926430327865344/pu/img/kZIphdJFWw3xCUpC.jpg</t>
  </si>
  <si>
    <t>https://t.co/9LwHrCdFVf https://pbs.twimg.com/media/Fpnhg9gX0AYg76d.jpg</t>
  </si>
  <si>
    <t>https://t.co/DoEt0unBVk https://pbs.twimg.com/media/FuigtWLWwAEvw-6.jpg</t>
  </si>
  <si>
    <t>https://t.co/rlB0uOBMck https://pbs.twimg.com/media/FwtPa-2XgAEBjOb.jpg</t>
  </si>
  <si>
    <t>https://t.co/sfjIqBaXGb https://t.co/sfjIqBaXGb https://t.co/sfjIqBaXGb https://pbs.twimg.com/media/FwfzGChXwAEl1XR.jpg https://pbs.twimg.com/media/FwfzGBlXoAUqBHR.jpg https://pbs.twimg.com/media/FwfzGCMWwAAcHVc.jpg</t>
  </si>
  <si>
    <t>https://t.co/7LdAIW7cMK https://t.co/7LdAIW7cMK https://t.co/7LdAIW7cMK https://t.co/7LdAIW7cMK https://pbs.twimg.com/media/FwaZljyWIAUbUWY.jpg https://pbs.twimg.com/media/FwaZljwXgAEXgmn.jpg https://pbs.twimg.com/media/FwaZlinWcAYDi23.jpg https://pbs.twimg.com/media/FwaZliUXwAAjJry.jpg</t>
  </si>
  <si>
    <t>https://t.co/XRkfHg4V0r https://pbs.twimg.com/media/FwVa5_dWIAMqO2A.jpg</t>
  </si>
  <si>
    <t>https://t.co/IdtNiNxHNe https://pbs.twimg.com/media/FwQHJ5VWAAAuzPL.jpg</t>
  </si>
  <si>
    <t>https://t.co/wZNZnFSNWX https://pbs.twimg.com/tweet_video_thumb/FzOnPXhWIAQvg-2.jpg</t>
  </si>
  <si>
    <t>https://t.co/eOgjHsMyYa https://t.co/eOgjHsMyYa https://t.co/eOgjHsMyYa https://t.co/eOgjHsMyYa https://pbs.twimg.com/media/F0Mp4klWAAEQggX.jpg https://pbs.twimg.com/media/F0Mp4kgWcAIF-VD.jpg https://pbs.twimg.com/media/F0Mp4k4WAAMgKC3.jpg https://pbs.twimg.com/media/F0Mp4k4XsAEpMmm.jpg</t>
  </si>
  <si>
    <t>https://t.co/v6OpYmeoes https://pbs.twimg.com/media/Fs4sctxX0AAFQMX.jpg</t>
  </si>
  <si>
    <t>https://t.co/pvaYYdN7Fd https://pbs.twimg.com/media/Fs4pKUvWYAgQj4-.jpg</t>
  </si>
  <si>
    <t>https://t.co/cZebpA7qtV https://t.co/cZebpA7qtV https://t.co/cZebpA7qtV https://t.co/cZebpA7qtV https://pbs.twimg.com/media/F10HxxoXoAEcAE8.jpg https://pbs.twimg.com/media/F10HxxoWcAAA00m.jpg https://pbs.twimg.com/media/F10HxxoWIAIraxa.jpg https://pbs.twimg.com/media/F10HxxrWwAM5NED.jpg</t>
  </si>
  <si>
    <t>https://t.co/NHRhhGAU4n https://pbs.twimg.com/ext_tw_video_thumb/1609870604915597313/pu/img/WLjJpiFoe0zM4kJo.jpg</t>
  </si>
  <si>
    <t>https://t.co/t6hTbjTpM3 https://pbs.twimg.com/ext_tw_video_thumb/1613139896301928449/pu/img/gPk9SbmgaEi_hdLl.jpg</t>
  </si>
  <si>
    <t>https://t.co/CKUz95qiFy https://pbs.twimg.com/ext_tw_video_thumb/1610598981905661952/pu/img/FUWpDlrtR8K2JrJE.jpg</t>
  </si>
  <si>
    <t>https://t.co/OLKcQL4x30 https://pbs.twimg.com/ext_tw_video_thumb/1613014931506434053/pu/img/v7fMz5GPl5rCLCXL.jpg</t>
  </si>
  <si>
    <t>https://t.co/8a3bXU62Nl https://pbs.twimg.com/ext_tw_video_thumb/1616541182904991773/pu/img/07xOPDa8YizEk8H_.jpg</t>
  </si>
  <si>
    <t>https://t.co/HnRy2Bi9AH https://t.co/HnRy2Bi9AH https://t.co/HnRy2Bi9AH https://t.co/HnRy2Bi9AH https://pbs.twimg.com/media/FthKi8GWwAAYRXX.jpg https://pbs.twimg.com/media/FthKi_vWYAAlC_n.jpg https://pbs.twimg.com/media/FthKjDEWwAA1iXe.jpg https://pbs.twimg.com/media/FthKjHwWcAAgSkN.jpg</t>
  </si>
  <si>
    <t>https://t.co/Zp9RGKJiVb https://pbs.twimg.com/media/F01o5qWX0AIBV_u.jpg</t>
  </si>
  <si>
    <t>https://t.co/WvWBPr7wKb https://pbs.twimg.com/media/FzvXQ_6XsAEhQOB.jpg</t>
  </si>
  <si>
    <t>https://t.co/vSW4haabR5 https://pbs.twimg.com/media/F1lDzemX0BQx9a5.jpg</t>
  </si>
  <si>
    <t>https://t.co/vuTSaw7ZEY https://pbs.twimg.com/media/F31QUaQW8AAVN2k.jpg</t>
  </si>
  <si>
    <t>https://t.co/kNiFw3Tw96 https://pbs.twimg.com/media/F49WjzBW4AATk5F.jpg</t>
  </si>
  <si>
    <t>https://t.co/acF6EtZBi1 https://pbs.twimg.com/media/F3rtLuwWoAASXIJ.jpg</t>
  </si>
  <si>
    <t>https://t.co/yMrobcOtZ9 https://pbs.twimg.com/media/F2tKDvMXUAUH7Vw.jpg</t>
  </si>
  <si>
    <t>https://t.co/rtkYwsqpnE https://pbs.twimg.com/media/F5hZq6vXkAAwSjI.jpg</t>
  </si>
  <si>
    <t>https://t.co/dqaPdPilZO https://pbs.twimg.com/media/F5X2jJKWMAAoEct.jpg</t>
  </si>
  <si>
    <t>https://t.co/8r7FQalB6z https://pbs.twimg.com/media/F4ZTcJsXsAAfmdi.jpg</t>
  </si>
  <si>
    <t>https://t.co/skOijRblN8 https://pbs.twimg.com/media/F3RNL9SX0AAme-M.jpg</t>
  </si>
  <si>
    <t>https://t.co/HXH3Q78Kdi https://pbs.twimg.com/media/F2JG7O0WsAQ8wQ4.jpg</t>
  </si>
  <si>
    <t>https://t.co/qqqVBWgXR4 https://pbs.twimg.com/media/F0c9hfHWYA4Wgdw.jpg</t>
  </si>
  <si>
    <t>https://t.co/cVONk3BBKv https://pbs.twimg.com/media/F0TaY_VWcAIK0_f.jpg</t>
  </si>
  <si>
    <t>https://t.co/lKQunrHshQ https://pbs.twimg.com/ext_tw_video_thumb/1688933612358701056/pu/img/FnbElbsG3EiyQGPf.jpg</t>
  </si>
  <si>
    <t>https://t.co/QHKgP6ELWR https://pbs.twimg.com/media/FojI35CXwAEL076.jpg</t>
  </si>
  <si>
    <t>https://t.co/FBFrIsrOnA https://pbs.twimg.com/ext_tw_video_thumb/1613527474918285312/pu/img/KGV1g--KQEjUBysf.jpg</t>
  </si>
  <si>
    <t>https://t.co/xPHIORnvNi https://pbs.twimg.com/ext_tw_video_thumb/1613268291056705536/pu/img/TZSgxFe1udNTNzx7.jpg</t>
  </si>
  <si>
    <t>https://t.co/Fy9lQ7uFgK https://pbs.twimg.com/ext_tw_video_thumb/1612902375836061696/pu/img/BBAD4-Nz7yMnFQFC.jpg</t>
  </si>
  <si>
    <t>https://t.co/2O5JNKEMx2 https://pbs.twimg.com/ext_tw_video_thumb/1612539852880216065/pu/img/2bPh9ibubsFyRRdT.jpg</t>
  </si>
  <si>
    <t>https://t.co/s6fomC6GIB https://pbs.twimg.com/media/FvUt1VHXsAAYqWa.jpg</t>
  </si>
  <si>
    <t>https://t.co/xsFTV9XgpV https://pbs.twimg.com/media/FvUHDBmXoAM4UVW.jpg</t>
  </si>
  <si>
    <t>https://t.co/uCMFXveaQi https://pbs.twimg.com/ext_tw_video_thumb/1654616998704234500/pu/img/uM8fCjwoIzRAHGgp.jpg</t>
  </si>
  <si>
    <t>https://t.co/jYLLTtWaGk https://pbs.twimg.com/media/FvTO_gEWABov4aT.jpg</t>
  </si>
  <si>
    <t>https://t.co/iM7rE8eiL3 https://pbs.twimg.com/media/F4AitexXIAAMtpy.jpg</t>
  </si>
  <si>
    <t>https://t.co/jVtwQKTKln https://t.co/jVtwQKTKln https://pbs.twimg.com/media/Fv9WpmxXgAA3IzS.jpg https://pbs.twimg.com/media/Fv9WpmbX0AEvpim.jpg</t>
  </si>
  <si>
    <t>https://t.co/gEZ0YkP7aq https://pbs.twimg.com/media/F4FhsjwXUAA0ABI.jpg</t>
  </si>
  <si>
    <t>https://t.co/pC89IYx0qK https://pbs.twimg.com/media/F0XK1fBagAASN-D.jpg</t>
  </si>
  <si>
    <t>https://t.co/Z5vzer4thU https://pbs.twimg.com/media/F0MObh4WcAEyK-V.jpg</t>
  </si>
  <si>
    <t>https://t.co/SU20fSzoLb https://pbs.twimg.com/media/F06kv6CXoAYRYL-.jpg</t>
  </si>
  <si>
    <t>https://t.co/6HEQBsX9t1 https://pbs.twimg.com/media/F0x6k7pX0AAT9dG.jpg</t>
  </si>
  <si>
    <t>https://t.co/dpX8zgISi6 https://pbs.twimg.com/media/F0r0uVjXwAIPE6l.jpg</t>
  </si>
  <si>
    <t>https://t.co/9ycXigogXK https://pbs.twimg.com/media/F1V59WxWAAoO64s.jpg</t>
  </si>
  <si>
    <t>https://t.co/Z0qF5RDAIQ https://pbs.twimg.com/media/FzyeesDWcAcWXEd.jpg</t>
  </si>
  <si>
    <t>https://t.co/gfENkRORfs https://pbs.twimg.com/media/F1aTAuDWYAAFYOo.jpg</t>
  </si>
  <si>
    <t>https://t.co/m74VtF1Mxb https://pbs.twimg.com/media/Fw0E7K8XwAEDiRq.jpg</t>
  </si>
  <si>
    <t>https://t.co/zjdD8eEgUC https://pbs.twimg.com/media/FocGhGyWIAMXSMu.jpg</t>
  </si>
  <si>
    <t>https://t.co/duhZLFkMtx https://pbs.twimg.com/media/FmRegN0X0AMlcRt.jpg</t>
  </si>
  <si>
    <t>https://t.co/dGjS4xPkS3 https://pbs.twimg.com/media/Fr_XxnpWIAICw-q.jpg</t>
  </si>
  <si>
    <t>https://t.co/aiWzUImPAv https://pbs.twimg.com/media/FyklFFNWcAMZdwK.jpg</t>
  </si>
  <si>
    <t>https://t.co/xibJdXNIId https://pbs.twimg.com/media/FocuCWcXwAIBprQ.jpg</t>
  </si>
  <si>
    <t>https://t.co/iiwQDEMKGU https://pbs.twimg.com/media/F5mT2W1WgAALbYK.jpg</t>
  </si>
  <si>
    <t>https://t.co/iz8bRPiRAH https://pbs.twimg.com/media/F5mYUO9WUAAsQl0.jpg</t>
  </si>
  <si>
    <t>https://t.co/F8NFUacomr https://pbs.twimg.com/media/F5mRd-nW8AADpB2.jpg</t>
  </si>
  <si>
    <t>https://t.co/Fly63nrFCw https://pbs.twimg.com/media/F5mSwqoWEAA9Wje.jpg</t>
  </si>
  <si>
    <t>https://t.co/XkxYtWVWdc https://pbs.twimg.com/media/F5mWzKwW0AAGzvZ.jpg</t>
  </si>
  <si>
    <t>https://t.co/28mshDVCjX https://pbs.twimg.com/media/FtIHKzRWABwqfPr.jpg</t>
  </si>
  <si>
    <t>https://t.co/jtQBhuc5MW https://pbs.twimg.com/media/FuAwq57XsAAAysD.jpg</t>
  </si>
  <si>
    <t>https://t.co/eExIEJCjS5 https://pbs.twimg.com/ext_tw_video_thumb/1661462311356317697/pu/img/k1Qwe-_FabwgR2Lm.jpg</t>
  </si>
  <si>
    <t>https://t.co/mZ90eJ5OJt https://pbs.twimg.com/media/FleSlrtXgAE-rgJ.jpg</t>
  </si>
  <si>
    <t>https://t.co/JJJFOngvbh https://pbs.twimg.com/media/F0b9WVLWIAEJyPr.jpg</t>
  </si>
  <si>
    <t>https://t.co/Pl6YCKQzeQ https://pbs.twimg.com/media/F3Us5KrXYAE8boZ.jpg</t>
  </si>
  <si>
    <t>https://t.co/2v06hd9rZE https://t.co/2v06hd9rZE https://pbs.twimg.com/media/F3SfioAXYAAYIO_.jpg https://pbs.twimg.com/tweet_video_thumb/F3SfiyYWYAAnF7Y.jpg</t>
  </si>
  <si>
    <t>https://t.co/OjXoPLHUaG https://pbs.twimg.com/ext_tw_video_thumb/1638992401594195968/pu/img/dG63TqIXti9YdDXd.jpg</t>
  </si>
  <si>
    <t>https://t.co/HojdmMNIDn https://pbs.twimg.com/ext_tw_video_thumb/1631648106797498369/pu/img/JVjGdHVHGpw4kmjJ.jpg</t>
  </si>
  <si>
    <t>https://t.co/ACMExe545L https://pbs.twimg.com/ext_tw_video_thumb/1633885619179929602/pu/img/t09IO_zOby0E2Wit.jpg</t>
  </si>
  <si>
    <t>https://t.co/ifpNnMyYXa https://pbs.twimg.com/ext_tw_video_thumb/1634588579312566273/pu/img/EKhNiU8u1I51hJqh.jpg</t>
  </si>
  <si>
    <t>https://t.co/Z0BDGd1Ytz https://pbs.twimg.com/ext_tw_video_thumb/1643324480477904901/pu/img/U5YEcE9vkDcGLzVU.jpg</t>
  </si>
  <si>
    <t>https://t.co/dgSFO2lPgD https://pbs.twimg.com/ext_tw_video_thumb/1650212943714308099/pu/img/xcQNyXzcmWxHHOTP.jpg</t>
  </si>
  <si>
    <t>https://t.co/Y8BsgWRsQJ https://pbs.twimg.com/ext_tw_video_thumb/1617652906404057088/pu/img/hxLggFpDJHlnL7cO.jpg</t>
  </si>
  <si>
    <t>https://t.co/o2L0GYovWa https://pbs.twimg.com/media/Fxzp_3UWAAAEq6M.jpg</t>
  </si>
  <si>
    <t>https://t.co/ymD3XdSvA9 https://pbs.twimg.com/media/FwgUQcXXwBcXhlx.jpg</t>
  </si>
  <si>
    <t>https://t.co/1CcozsnUDg https://t.co/1CcozsnUDg https://t.co/1CcozsnUDg https://pbs.twimg.com/media/FoUFiY-XgAU_yI3.jpg https://pbs.twimg.com/media/FoUFiY6XgBArjsF.jpg https://pbs.twimg.com/media/FoUFiY4XwAA_zCn.jpg</t>
  </si>
  <si>
    <t>https://t.co/GsODfAWaXs https://t.co/GsODfAWaXs https://pbs.twimg.com/media/FpHccDJX0AUY48Y.jpg https://pbs.twimg.com/media/FpHccC_WAAImmMk.jpg</t>
  </si>
  <si>
    <t>https://t.co/PKK0Y4ADW1 https://t.co/PKK0Y4ADW1 https://t.co/PKK0Y4ADW1 https://pbs.twimg.com/media/Fo9xi-BXsAA17C1.jpg https://pbs.twimg.com/media/Fo9xi99WIAE8YV3.jpg https://pbs.twimg.com/media/Fo9xi9-WYAA5zC3.jpg</t>
  </si>
  <si>
    <t>https://t.co/pOYDELGWRw https://t.co/pOYDELGWRw https://pbs.twimg.com/media/Fm30ddIXwAEgJ2X.jpg https://pbs.twimg.com/media/Fm30ddGWYAE6ejL.jpg</t>
  </si>
  <si>
    <t>https://t.co/NgHD2K4XYx https://t.co/NgHD2K4XYx https://pbs.twimg.com/media/Fmymq5gXwAE7aux.jpg https://pbs.twimg.com/media/Fmymq5eXwAIXg5N.jpg</t>
  </si>
  <si>
    <t>https://t.co/uJ46WEpRbO https://pbs.twimg.com/media/FmNjUNxWYAE8EVL.jpg</t>
  </si>
  <si>
    <t>https://t.co/3TZ9vZj1un https://pbs.twimg.com/media/FluASDhWQAEKLCb.jpg</t>
  </si>
  <si>
    <t>https://t.co/S3mBb5BTDz https://pbs.twimg.com/media/FlqRb1oXEAoWkVH.jpg</t>
  </si>
  <si>
    <t>https://t.co/fWxy6z339u https://t.co/fWxy6z339u https://t.co/fWxy6z339u https://t.co/fWxy6z339u https://pbs.twimg.com/media/Fms--pUXoBsGZyV.jpg https://pbs.twimg.com/media/Fms--pVXoAwsLQ_.jpg https://pbs.twimg.com/media/Fms--pWXoB0JIki.jpg https://pbs.twimg.com/media/Fms--pSXgAEXhva.jpg</t>
  </si>
  <si>
    <t>https://t.co/TAarOcgHj4 https://t.co/TAarOcgHj4 https://t.co/TAarOcgHj4 https://pbs.twimg.com/media/Fms--ODXoBY9h8g.jpg https://pbs.twimg.com/media/Fms--N_XoAURmQR.jpg https://pbs.twimg.com/media/Fms--OIXoAYOMoc.jpg</t>
  </si>
  <si>
    <t>https://t.co/TgsiWsyO05 https://t.co/TgsiWsyO05 https://t.co/TgsiWsyO05 https://t.co/TgsiWsyO05 https://pbs.twimg.com/media/Fpw0cw_WIAAyCDW.jpg https://pbs.twimg.com/media/Fpw0cw8WAAEjjLc.jpg https://pbs.twimg.com/media/Fpw0czMWcAISN8O.jpg https://pbs.twimg.com/media/Fpw0czKXgAMPo6_.jpg</t>
  </si>
  <si>
    <t>https://t.co/LCmuvY13Q6 https://pbs.twimg.com/media/Fpw0bqYXoAAmsGs.jpg</t>
  </si>
  <si>
    <t>https://t.co/kLuxNsSavj https://t.co/kLuxNsSavj https://pbs.twimg.com/media/Fprp4W_XEAEe2FQ.jpg https://pbs.twimg.com/media/Fprp4W9WcAEiSp1.jpg</t>
  </si>
  <si>
    <t>https://t.co/OWC0to0q9S https://pbs.twimg.com/media/Flf5W5gXwAA-LJZ.jpg</t>
  </si>
  <si>
    <t>https://t.co/FsvgsLqvwC https://t.co/FsvgsLqvwC https://t.co/FsvgsLqvwC https://t.co/FsvgsLqvwC https://pbs.twimg.com/media/Fn_plqIWIAAAUrL.jpg https://pbs.twimg.com/media/Fn_plqHXEAE1JjK.jpg https://pbs.twimg.com/media/Fn_plqLXwAI9kXl.jpg https://pbs.twimg.com/media/Fn_plqMWIAEaS7E.jpg</t>
  </si>
  <si>
    <t>https://t.co/H3RtEZvd4B https://t.co/H3RtEZvd4B https://t.co/H3RtEZvd4B https://t.co/H3RtEZvd4B https://pbs.twimg.com/media/Fn1ue6LX0AIAk2I.jpg https://pbs.twimg.com/media/Fn1ue6NWAAQaJ24.jpg https://pbs.twimg.com/media/Fn1ue6PWQAEEcfM.jpg https://pbs.twimg.com/media/Fn1ue6NX0AUxrra.jpg</t>
  </si>
  <si>
    <t>https://t.co/KpgGvy5Ua7 https://t.co/KpgGvy5Ua7 https://t.co/KpgGvy5Ua7 https://pbs.twimg.com/media/Fn1ueWZXgAUJ5ss.jpg https://pbs.twimg.com/media/Fn1ueWeXwAQ07Jd.jpg https://pbs.twimg.com/media/Fn1ueWbXEAEzYcj.jpg</t>
  </si>
  <si>
    <t>https://t.co/TA0CbaiGet https://t.co/TA0CbaiGet https://t.co/TA0CbaiGet https://t.co/TA0CbaiGet https://pbs.twimg.com/media/FnRJ0hKX0CEepkL.jpg https://pbs.twimg.com/media/FnRJ0grX0AEQyEz.jpg https://pbs.twimg.com/media/FnRJ0hHX0A0g27Z.jpg https://pbs.twimg.com/media/FnRJ0gvX0AMDhDE.jpg</t>
  </si>
  <si>
    <t>https://t.co/08OJIGysAQ https://t.co/08OJIGysAQ https://t.co/08OJIGysAQ https://pbs.twimg.com/media/FnRJz_vX0B4NobG.jpg https://pbs.twimg.com/media/FnRJz_uX0BsKFYZ.jpg https://pbs.twimg.com/media/FnRJz_tX0BogXAg.jpg</t>
  </si>
  <si>
    <t>https://t.co/pCes9JIXRh https://t.co/pCes9JIXRh https://t.co/pCes9JIXRh https://pbs.twimg.com/media/Fo9xiZTX0AAXsCY.jpg https://pbs.twimg.com/media/Fo9xiZWWYAA3F_X.jpg https://pbs.twimg.com/media/Fo9xiZTWAAAmmLz.jpg</t>
  </si>
  <si>
    <t>https://t.co/bcpZrCPFcN https://pbs.twimg.com/media/FnCkEz2WYAEL2a-.jpg</t>
  </si>
  <si>
    <t>https://t.co/jl1gVdUfSu https://pbs.twimg.com/tweet_video_thumb/FsnomMSXgAAGUWi.jpg</t>
  </si>
  <si>
    <t>https://t.co/bEcyFSJAh2 https://t.co/bEcyFSJAh2 https://pbs.twimg.com/media/FspA3DCWwAIfsXl.jpg https://pbs.twimg.com/media/FspA3C8XoAAatxX.jpg</t>
  </si>
  <si>
    <t>https://t.co/7JE1QvEKq2 https://t.co/7JE1QvEKq2 https://pbs.twimg.com/media/FvTngmyX0AI7ioC.jpg https://pbs.twimg.com/media/FvTniaQX0Bkvluz.jpg</t>
  </si>
  <si>
    <t>https://t.co/1NwzUnMwkH https://t.co/1NwzUnMwkH https://pbs.twimg.com/media/Frg_1PxWIAEbnVo.jpg https://pbs.twimg.com/media/Frg_2CFWYAgOtI9.jpg</t>
  </si>
  <si>
    <t>https://t.co/6bt76ngZR8 https://t.co/6bt76ngZR8 https://pbs.twimg.com/media/FrCSs7pWIAQWZHw.jpg https://pbs.twimg.com/media/FrCSs7sWYAA0vaA.jpg</t>
  </si>
  <si>
    <t>https://t.co/OfkxRygByR https://t.co/OfkxRygByR https://pbs.twimg.com/media/Fr7Ap_VWcBEfQtw.jpg https://pbs.twimg.com/media/Fr7Ap_UWcBgSlz5.jpg</t>
  </si>
  <si>
    <t>https://t.co/Vez0N9F2S3 https://t.co/Vez0N9F2S3 https://pbs.twimg.com/media/FuLXWy5WAAwDUnT.jpg https://pbs.twimg.com/media/FuLXXWqWAAEXOcQ.jpg</t>
  </si>
  <si>
    <t>https://t.co/bzU5nfnZwT https://t.co/bzU5nfnZwT https://pbs.twimg.com/media/F3BS42OWAAAASY9.jpg https://pbs.twimg.com/media/F3BS42PXYAE0ecw.jpg</t>
  </si>
  <si>
    <t>https://t.co/aRPblFlLCp https://t.co/aRPblFlLCp https://pbs.twimg.com/media/Fx4hiSOXsAA-tIW.jpg https://pbs.twimg.com/media/Fx4hiSNWYAAIMVv.jpg</t>
  </si>
  <si>
    <t>https://t.co/PFjZCJugjo https://t.co/PFjZCJugjo https://t.co/PFjZCJugjo https://t.co/PFjZCJugjo https://pbs.twimg.com/media/FyhbJgIWcAAeuDo.jpg https://pbs.twimg.com/media/FyhbSLhXsAE5qvf.jpg https://pbs.twimg.com/media/FyhbW8VWIA48Ybz.jpg https://pbs.twimg.com/media/FyhbXtCWIAwJIhG.jpg</t>
  </si>
  <si>
    <t>https://t.co/BPxCnG3z1n https://t.co/BPxCnG3z1n https://t.co/BPxCnG3z1n https://pbs.twimg.com/media/F0yAFgwWAAc-_OF.jpg https://pbs.twimg.com/media/F0yAFgvXsAIr7QF.png https://pbs.twimg.com/media/F0yAFgxWwAArn6K.png</t>
  </si>
  <si>
    <t>https://t.co/mUlm0cfy7v https://t.co/mUlm0cfy7v https://t.co/mUlm0cfy7v https://t.co/mUlm0cfy7v https://pbs.twimg.com/media/Frwy13uWcAwXX2M.jpg https://pbs.twimg.com/media/Frwy132WcAgC9y7.jpg https://pbs.twimg.com/media/Frwy13zXsAEuSii.jpg https://pbs.twimg.com/media/Frwy13xX0AAw8sK.jpg</t>
  </si>
  <si>
    <t>https://t.co/BBq4E8YF18 https://t.co/BBq4E8YF18 https://t.co/BBq4E8YF18 https://pbs.twimg.com/media/F1QSwwgXsAATD85.jpg https://pbs.twimg.com/media/F1QSwwfWwAIb29M.png https://pbs.twimg.com/media/F1QSysPWIAAqYFA.png</t>
  </si>
  <si>
    <t>https://t.co/s6VyrLZLEa https://pbs.twimg.com/media/F1kkWUWX0AEvWP8.jpg</t>
  </si>
  <si>
    <t>https://t.co/pnZSb7wxGH https://pbs.twimg.com/media/F0rrlL1WAAARj-i.jpg</t>
  </si>
  <si>
    <t>https://t.co/eU5UfrLwXv https://t.co/eU5UfrLwXv https://t.co/eU5UfrLwXv https://pbs.twimg.com/media/Fs4k_tiWYAgcxBG.jpg https://pbs.twimg.com/media/Fs4k_tcX0AMXmWm.jpg https://pbs.twimg.com/media/Fs4k_tfWYAgEq-d.jpg</t>
  </si>
  <si>
    <t>https://t.co/stpeOGgeiK https://t.co/stpeOGgeiK https://t.co/stpeOGgeiK https://t.co/stpeOGgeiK https://pbs.twimg.com/media/FsjritLXgAIUTkX.jpg https://pbs.twimg.com/media/FsjritKWIAEcfpy.jpg https://pbs.twimg.com/media/FsjritMWYAERSpp.jpg https://pbs.twimg.com/media/FsjritOWYAAG6ih.jpg</t>
  </si>
  <si>
    <t>https://t.co/Q2kAEZvy7c https://t.co/Q2kAEZvy7c https://t.co/Q2kAEZvy7c https://t.co/Q2kAEZvy7c https://pbs.twimg.com/media/F3LhIhEXQAASpzO.jpg https://pbs.twimg.com/media/F3LhIhDWYAANN_Z.png https://pbs.twimg.com/media/F3LhIhGWgAENqha.png https://pbs.twimg.com/media/F3LhK1gXsAAwy_c.png</t>
  </si>
  <si>
    <t>https://t.co/3PFT2FjFnO https://t.co/3PFT2FjFnO https://pbs.twimg.com/media/F0NaN0MWIAcD9bu.jpg https://pbs.twimg.com/media/F0NaN0SXoAA1Fx5.jpg</t>
  </si>
  <si>
    <t>https://t.co/N9Pt9Nknpg https://pbs.twimg.com/media/F08okELXsAAvUGx.jpg</t>
  </si>
  <si>
    <t>https://t.co/wrWyiqgIJB https://pbs.twimg.com/media/FzjuWKbX0AAsDG7.jpg</t>
  </si>
  <si>
    <t>https://t.co/eCWYZIotBk https://pbs.twimg.com/media/FwbVCP8WAB8gKI0.jpg</t>
  </si>
  <si>
    <t>https://t.co/GPa30DhgVq https://pbs.twimg.com/media/F4pF6jdWgAAx2AI.jpg</t>
  </si>
  <si>
    <t>https://t.co/XvautMeYy9 https://pbs.twimg.com/media/FmCLTjjWIAAe8aU.jpg</t>
  </si>
  <si>
    <t>https://t.co/NxQOHlJjCo https://pbs.twimg.com/media/FlYtL0mWIAAtTcj.jpg</t>
  </si>
  <si>
    <t>https://t.co/Qg36tDBNZP https://pbs.twimg.com/media/FkgmH2DWYAApQzW.jpg</t>
  </si>
  <si>
    <t>https://t.co/4GuZ0ZisSO https://pbs.twimg.com/media/Fo71jeaWYAE3mIJ.jpg</t>
  </si>
  <si>
    <t>https://t.co/K72gXNqMbK https://t.co/K72gXNqMbK https://pbs.twimg.com/media/FnRFZPpX0BsJm9_.jpg https://pbs.twimg.com/media/FnRFZPVWQAAJj7i.jpg</t>
  </si>
  <si>
    <t>https://t.co/hUYjWHXABf https://pbs.twimg.com/ext_tw_video_thumb/1624056962575998976/pu/img/E8ERUyDJv4Rxe5-E.jpg</t>
  </si>
  <si>
    <t>https://t.co/kPCL1mQMPE https://pbs.twimg.com/media/FvxCNEXWYAMZmlY.jpg</t>
  </si>
  <si>
    <t>https://t.co/Ug1ifGcziR https://pbs.twimg.com/media/F0X7JJ6WYBUhs4l.jpg</t>
  </si>
  <si>
    <t>https://t.co/S5DEci0wxn https://pbs.twimg.com/media/FmMUCGrWIAAwVgf.jpg</t>
  </si>
  <si>
    <t>https://t.co/2j72s95JbS https://pbs.twimg.com/ext_tw_video_thumb/1612524727121108993/pu/img/-1nz8ddinBEXenDO.jpg</t>
  </si>
  <si>
    <t>https://t.co/qerqdSGlqT https://pbs.twimg.com/ext_tw_video_thumb/1612162266853527557/pu/img/w0FfGSA83uKODBmh.jpg</t>
  </si>
  <si>
    <t>https://t.co/3Fhnhhy0Zc https://pbs.twimg.com/media/FvlX-_HXwAAKhnE.jpg</t>
  </si>
  <si>
    <t>https://t.co/peNihUNTTg https://pbs.twimg.com/media/Fv89oP2X0BkzxH4.jpg</t>
  </si>
  <si>
    <t>https://t.co/DWvaiNKMCm https://pbs.twimg.com/amplify_video_thumb/1674185878233833473/img/OhppG6LTU2pvYG-T.jpg</t>
  </si>
  <si>
    <t>https://t.co/JUj9vhf8zg https://pbs.twimg.com/media/Fs5vrp-XwAI5tOq.jpg</t>
  </si>
  <si>
    <t>https://t.co/4ykJpq6fSL https://pbs.twimg.com/media/FmVvlpeXEAEFD1X.jpg</t>
  </si>
  <si>
    <t>https://t.co/C4PBrmLgYz https://t.co/C4PBrmLgYz https://t.co/C4PBrmLgYz https://t.co/C4PBrmLgYz https://pbs.twimg.com/media/FtXVVl4WYAESDTF.jpg https://pbs.twimg.com/media/FtXVVmHWcAIG1DY.jpg https://pbs.twimg.com/media/FtXVVmhX0AAd1Fx.jpg https://pbs.twimg.com/media/FtXVVm0XsAA933E.jpg</t>
  </si>
  <si>
    <t>https://t.co/hGSQPYyvJD https://pbs.twimg.com/media/FsqGUHhXoAMHUAu.jpg</t>
  </si>
  <si>
    <t>https://t.co/CbEeaSTQgt https://pbs.twimg.com/media/FyCge0UXgAElloj.jpg</t>
  </si>
  <si>
    <t>https://t.co/84Lx8E7M7N https://pbs.twimg.com/media/F1UUstvXgAMuKB7.jpg</t>
  </si>
  <si>
    <t>https://t.co/q0Ihm4XX5Y https://pbs.twimg.com/media/F1QUO73XsAAbDxJ.jpg</t>
  </si>
  <si>
    <t>https://t.co/3wz2xx52bG https://pbs.twimg.com/media/FzO9nl3aYAMm07e.jpg</t>
  </si>
  <si>
    <t>https://t.co/xI72SdRukt https://t.co/xI72SdRukt https://t.co/xI72SdRukt https://t.co/xI72SdRukt https://pbs.twimg.com/media/FsPCe0mWIAAP4nM.jpg https://pbs.twimg.com/media/FsPCfAiWAAEyTKd.jpg https://pbs.twimg.com/media/FsPCfKZWAAAM05u.jpg https://pbs.twimg.com/media/FsPCfV8WAAAgZie.jpg</t>
  </si>
  <si>
    <t>https://t.co/PYzy11nlo9 https://pbs.twimg.com/ext_tw_video_thumb/1643266546951659521/pu/img/ol-wC5psAlAp5a4P.jpg</t>
  </si>
  <si>
    <t>https://t.co/LJXgEBQhFv https://pbs.twimg.com/media/FrfZa4LWYAECiIK.jpg</t>
  </si>
  <si>
    <t>https://t.co/7C2idqxgM0 https://pbs.twimg.com/ext_tw_video_thumb/1669770813107478528/pu/img/kD8re_u4j2kgGa-h.jpg</t>
  </si>
  <si>
    <t>https://t.co/crpNzxTr7z https://pbs.twimg.com/media/F1_W7JqXsAATJfA.jpg</t>
  </si>
  <si>
    <t>https://t.co/rOZ0AcDgi8 https://pbs.twimg.com/media/Fxop3peXoAAmavn.jpg</t>
  </si>
  <si>
    <t>https://t.co/oEJHmjjOeC https://t.co/oEJHmjjOeC https://pbs.twimg.com/media/Fp5CB9xXwAMJXbz.jpg https://pbs.twimg.com/media/Fp5CCOfXgAkAZJm.jpg</t>
  </si>
  <si>
    <t>https://t.co/f64ytkWtwN https://t.co/f64ytkWtwN https://pbs.twimg.com/media/FpmLNurWIAA76FA.jpg https://pbs.twimg.com/media/FpmLN_NXsAc12_r.jpg</t>
  </si>
  <si>
    <t>https://t.co/LC2WJZC2Dl https://t.co/LC2WJZC2Dl https://pbs.twimg.com/media/FpfxgvLWYAI6JtK.jpg https://pbs.twimg.com/media/FpfxhLtXEAsaVH9.jpg</t>
  </si>
  <si>
    <t>https://t.co/DOASkWAjp4 https://t.co/DOASkWAjp4 https://pbs.twimg.com/media/F10LjFGXoA47YSO.jpg https://pbs.twimg.com/media/F10LjFIXoAA8kfx.jpg</t>
  </si>
  <si>
    <t>https://t.co/HetxNZwxMZ https://pbs.twimg.com/media/Fq5NdhIXwAMITMu.jpg</t>
  </si>
  <si>
    <t>https://t.co/t4T4IldCO8 https://pbs.twimg.com/media/FrHBT4UakAIk8e-.jpg</t>
  </si>
  <si>
    <t>https://t.co/7iN6oK942A https://pbs.twimg.com/media/FwbNl8YWYAU5dtR.jpg</t>
  </si>
  <si>
    <t>https://t.co/6ZUXUVHeLZ https://pbs.twimg.com/media/FuGeIGGWIAMBm9y.jpg</t>
  </si>
  <si>
    <t>https://t.co/LBzaj9Yg1c https://pbs.twimg.com/media/FuGbcCUXwAAWkA8.jpg</t>
  </si>
  <si>
    <t>https://t.co/t8ZPRa4W8E https://pbs.twimg.com/media/Fv3NHNhXoAA7gc4.jpg</t>
  </si>
  <si>
    <t>https://t.co/2NK2kRuJdE https://pbs.twimg.com/media/Fv3M3R5XwAQn_4T.jpg</t>
  </si>
  <si>
    <t>https://t.co/B6svkRcaSf https://pbs.twimg.com/media/Fv3MnzaXwBo6gVS.jpg</t>
  </si>
  <si>
    <t>https://t.co/jzHP2gigEF https://pbs.twimg.com/media/FrslCHpWwAA2Z4I.jpg</t>
  </si>
  <si>
    <t>https://t.co/yjtJpUyQI7 https://pbs.twimg.com/ext_tw_video_thumb/1623088767304187904/pu/img/28LKc5E9G-AHiCCq.jpg</t>
  </si>
  <si>
    <t>https://t.co/zNH2RhRwWL https://pbs.twimg.com/media/FoYKkewaEAAlT-y.jpg</t>
  </si>
  <si>
    <t>https://t.co/dxYtXdSSrl https://pbs.twimg.com/media/FuPe1AnWIAIm-wG.jpg</t>
  </si>
  <si>
    <t>https://t.co/AtoktoXVwP https://pbs.twimg.com/ext_tw_video_thumb/1666883448374427655/pu/img/_yMDDAXZ5co3vy6a.jpg</t>
  </si>
  <si>
    <t>https://t.co/P3bhbNmJle https://pbs.twimg.com/ext_tw_video_thumb/1620596808417247235/pu/img/hFvANWRuKcfXqe3t.jpg</t>
  </si>
  <si>
    <t>https://t.co/feXa1FOZaN https://pbs.twimg.com/media/Fx8xGPtXgAEcrcm.png</t>
  </si>
  <si>
    <t>https://t.co/8UjtAK4rBu https://pbs.twimg.com/media/FpBXxC_XsAk6xbG.jpg</t>
  </si>
  <si>
    <t>https://t.co/fNaTedaBLl https://pbs.twimg.com/media/Fz9BPrVXsAEAna9.jpg</t>
  </si>
  <si>
    <t>https://t.co/aRHKhf44ig https://pbs.twimg.com/media/Fveh-_TXgAAW64y.jpg</t>
  </si>
  <si>
    <t>https://t.co/o7Z2D5171v https://t.co/o7Z2D5171v https://pbs.twimg.com/media/FoiPfu6WcAU0N1q.jpg https://pbs.twimg.com/media/FoiPf9gWcAIEKlp.jpg</t>
  </si>
  <si>
    <t>https://t.co/I8R89TFhY3 https://pbs.twimg.com/media/FuvfNJYWIAsrDmu.jpg</t>
  </si>
  <si>
    <t>https://t.co/GQPmVkaMgo https://t.co/GQPmVkaMgo https://t.co/GQPmVkaMgo https://t.co/GQPmVkaMgo https://pbs.twimg.com/media/FvzMwnaWwAY1GfD.jpg https://pbs.twimg.com/media/FvzMwx4XgAMPJlM.jpg https://pbs.twimg.com/media/FvzMw8mWwAEs1Jc.jpg https://pbs.twimg.com/media/FvzMxJiWIAIbvwt.jpg</t>
  </si>
  <si>
    <t>https://t.co/KdZ6VuR6FQ https://pbs.twimg.com/media/FuPhHuuX0AQzcQJ.jpg</t>
  </si>
  <si>
    <t>https://t.co/l2zs22BYiX https://pbs.twimg.com/ext_tw_video_thumb/1653456048836038657/pu/img/Q6bAkSKbrbKs4UO8.jpg</t>
  </si>
  <si>
    <t>https://t.co/QIVUemvUal https://pbs.twimg.com/ext_tw_video_thumb/1637040153632858113/pu/img/9hZ5zSb-yBOb8BIk.jpg</t>
  </si>
  <si>
    <t>https://t.co/uczGLoUAhQ https://pbs.twimg.com/media/Fs44P-lWAAIwIaE.jpg</t>
  </si>
  <si>
    <t>https://t.co/BWIbIvBqvT https://pbs.twimg.com/media/FtD44CbWIAU2IX6.jpg</t>
  </si>
  <si>
    <t>https://t.co/qQl4Ji2QZb https://pbs.twimg.com/media/Fs-1o6eXoAA4INi.jpg</t>
  </si>
  <si>
    <t>https://t.co/aFcdLAaKQ3 https://pbs.twimg.com/media/FtXWpzBWwAgHWqp.jpg</t>
  </si>
  <si>
    <t>https://t.co/d1Tgct5Sno https://pbs.twimg.com/media/FtnPiW4XgAgHhbI.jpg</t>
  </si>
  <si>
    <t>https://t.co/h5FhwwY0dg https://pbs.twimg.com/media/FyDAbUTXoAc2fhN.jpg</t>
  </si>
  <si>
    <t>https://t.co/sekduty4yc https://pbs.twimg.com/media/FtR1A36XsAAXmmJ.jpg</t>
  </si>
  <si>
    <t>https://t.co/tUzCAIeNIv https://pbs.twimg.com/media/FsqVcqOXgAQjz35.jpg</t>
  </si>
  <si>
    <t>https://t.co/CESgjbyblT https://pbs.twimg.com/media/Fr5vN5hX0AEgLEH.jpg</t>
  </si>
  <si>
    <t>https://t.co/OUbP1hpR5L https://pbs.twimg.com/media/FyFve6xX0Acpzma.png</t>
  </si>
  <si>
    <t>https://t.co/vHT4cQCp7x https://pbs.twimg.com/media/Fr6cjaNWAAEd2xm.jpg</t>
  </si>
  <si>
    <t>https://t.co/sq1bEAr2xH https://pbs.twimg.com/media/F3HpffKWQAIV0U-.jpg</t>
  </si>
  <si>
    <t>https://t.co/fjEZFV9Dwl https://pbs.twimg.com/media/FrwknjcWAAAmQDI.jpg</t>
  </si>
  <si>
    <t>https://t.co/vca07jHko3 https://pbs.twimg.com/media/FytI26OXwAANs-9.jpg</t>
  </si>
  <si>
    <t>https://t.co/n58LFIvBR2 https://pbs.twimg.com/media/F02akVqXwAEWj-w.jpg</t>
  </si>
  <si>
    <t>https://t.co/15qyvlMXbv https://t.co/15qyvlMXbv https://pbs.twimg.com/media/Fv4LEjTWwAI1ixq.jpg https://pbs.twimg.com/media/Fv4LEi1WwAEyfL2.png</t>
  </si>
  <si>
    <t>https://t.co/vP0u1kBJaM https://pbs.twimg.com/media/F28AdhNXoAE4Ufc.jpg</t>
  </si>
  <si>
    <t>https://t.co/MR6YHdcQL1 https://pbs.twimg.com/ext_tw_video_thumb/1678388365467480065/pu/img/z8Zja2HIhn6tPUmf.jpg</t>
  </si>
  <si>
    <t>https://t.co/WAJ6UpJQhc https://pbs.twimg.com/ext_tw_video_thumb/1693648054392410112/pu/img/8Ex1An2LW3PAprV8.jpg</t>
  </si>
  <si>
    <t>https://t.co/INlDlkNxDb https://pbs.twimg.com/ext_tw_video_thumb/1673738417048256512/pu/img/GhNe3CSGTZzSyOy7.jpg</t>
  </si>
  <si>
    <t>https://t.co/cM4Rc1NBur https://pbs.twimg.com/ext_tw_video_thumb/1666181825989861376/pu/img/GBePWDVUDRijdVSW.jpg</t>
  </si>
  <si>
    <t>https://t.co/tZjSIh0ykV https://pbs.twimg.com/ext_tw_video_thumb/1660403601636831237/pu/img/O3i-dg2UILN7osfB.jpg</t>
  </si>
  <si>
    <t>https://t.co/NWpSzZh8uQ https://pbs.twimg.com/ext_tw_video_thumb/1673011083118891008/pu/img/sWgTRtEJSg_hQLLV.jpg</t>
  </si>
  <si>
    <t>https://t.co/vpDx1DPxA4 https://t.co/vpDx1DPxA4 https://t.co/vpDx1DPxA4 https://t.co/vpDx1DPxA4 https://pbs.twimg.com/media/F3WIUb7XIAAx6Gf.jpg https://pbs.twimg.com/media/F3WIUb9W8AIzQ3o.jpg https://pbs.twimg.com/media/F3WIUciWsAMkCWy.jpg https://pbs.twimg.com/media/F3WIUdoWsAA3nER.jpg</t>
  </si>
  <si>
    <t>https://t.co/Hgsd1RmCn9 https://pbs.twimg.com/media/Fy9AfWyXgAAfOON.jpg</t>
  </si>
  <si>
    <t>https://t.co/XbZREPSU6v https://pbs.twimg.com/media/F2JcvxfW4AEtAIN.jpg</t>
  </si>
  <si>
    <t>https://t.co/jtOrvS4039 https://pbs.twimg.com/ext_tw_video_thumb/1688671713138003969/pu/img/dgwo6zaUi6eBUymN.jpg</t>
  </si>
  <si>
    <t>https://t.co/nMgBLC0oKQ https://pbs.twimg.com/ext_tw_video_thumb/1690111104318320642/pu/img/FrZtw001jwu9camu.jpg</t>
  </si>
  <si>
    <t>https://t.co/7j10YOQB0s https://pbs.twimg.com/ext_tw_video_thumb/1665524877078544387/pu/img/h25JLHEHZlceiP2V.jpg</t>
  </si>
  <si>
    <t>https://t.co/kdxx2vIWS6 https://pbs.twimg.com/ext_tw_video_thumb/1668386423211212800/pu/img/OSnK6GhwXogWtQLZ.jpg</t>
  </si>
  <si>
    <t>https://t.co/ifkpmQRYRC https://pbs.twimg.com/media/FwQ6HuCWAAEFBca.jpg</t>
  </si>
  <si>
    <t>https://t.co/nQm404FjNH https://pbs.twimg.com/media/FwvigLnX0AEo4iS.jpg</t>
  </si>
  <si>
    <t>https://t.co/aFezuenzvO https://pbs.twimg.com/media/FtHr8GMWYAEL1W8.jpg</t>
  </si>
  <si>
    <t>https://t.co/iSvdt6DDMv https://t.co/iSvdt6DDMv https://pbs.twimg.com/media/Fw16cM0WIBgYV2i.jpg https://pbs.twimg.com/media/Fw16cY2WICQvyvh.jpg</t>
  </si>
  <si>
    <t>https://t.co/TtXsFaf9JO https://pbs.twimg.com/media/FzBIs-7WwAM5NDv.jpg</t>
  </si>
  <si>
    <t>https://t.co/Yu4ZEBbd3A https://pbs.twimg.com/media/F285Wo5W8AE_B1K.jpg</t>
  </si>
  <si>
    <t>https://t.co/zdBvWChsYt https://pbs.twimg.com/media/FyLzRfUWAAECnpH.jpg</t>
  </si>
  <si>
    <t>https://t.co/Z3IVUGkeda https://pbs.twimg.com/ext_tw_video_thumb/1676205722646839297/pu/img/IUr4kwmB-K7r4ovM.jpg</t>
  </si>
  <si>
    <t>https://t.co/P06vSxShbY https://pbs.twimg.com/media/Fx2h5g7WIAIQB_m.jpg</t>
  </si>
  <si>
    <t>https://t.co/leleSbjjyR https://pbs.twimg.com/media/FyHl4HoWYAAZDHG.jpg</t>
  </si>
  <si>
    <t>https://t.co/93yAcgAtic https://pbs.twimg.com/media/Fz85_TOaUAEwlp4.jpg</t>
  </si>
  <si>
    <t>https://t.co/GVuhtEE4QQ https://pbs.twimg.com/ext_tw_video_thumb/1665469865728131074/pu/img/ZznTvifBd8Tk0KNB.jpg</t>
  </si>
  <si>
    <t>https://t.co/QIP03VoTFh https://pbs.twimg.com/media/F1a95hAWAAA8KT2.jpg</t>
  </si>
  <si>
    <t>https://t.co/jwwAXMD7Zv https://pbs.twimg.com/ext_tw_video_thumb/1685794940545052673/pu/img/NgwRp6keZMDV_FEa.jpg</t>
  </si>
  <si>
    <t>https://t.co/Hu9vhzxpsd https://pbs.twimg.com/ext_tw_video_thumb/1664696055798149120/pu/img/3J_FbkSYSW39DC8l.jpg</t>
  </si>
  <si>
    <t>https://t.co/TaDMadlJ0N https://pbs.twimg.com/ext_tw_video_thumb/1687934589967228929/pu/img/dOaJwE3A_Y3_ueAi.jpg</t>
  </si>
  <si>
    <t>https://t.co/LYhbgB7pCq https://pbs.twimg.com/ext_tw_video_thumb/1686792035397758997/pu/img/rJkFyUwnJ-g_lnmY.jpg</t>
  </si>
  <si>
    <t>https://t.co/FFZbPItQy8 https://pbs.twimg.com/ext_tw_video_thumb/1681329755667177473/pu/img/U9CtMrF84c0fzAmM.jpg</t>
  </si>
  <si>
    <t>https://t.co/FbpsK971ll https://pbs.twimg.com/media/FmYrbvFXEAQUYct.jpg</t>
  </si>
  <si>
    <t>https://t.co/bkp5XXHbvw https://pbs.twimg.com/ext_tw_video_thumb/1655538258669981697/pu/img/tO38AR0946YhoUbw.jpg</t>
  </si>
  <si>
    <t>https://t.co/UR93Oud0AM https://pbs.twimg.com/ext_tw_video_thumb/1655281073226383360/pu/img/jS7cfKXgDb0_QqSa.jpg</t>
  </si>
  <si>
    <t>https://t.co/fFuN7Q6HMb https://pbs.twimg.com/media/FnZIdi5WAAAOReQ.jpg</t>
  </si>
  <si>
    <t>https://t.co/GTy1YEm4h1 https://pbs.twimg.com/media/FmI3mPrWIBYrLAP.jpg</t>
  </si>
  <si>
    <t>https://t.co/3wwDmYUHTQ https://pbs.twimg.com/media/FybbB5MXgAIop4y.jpg</t>
  </si>
  <si>
    <t>https://t.co/PCqoTfqSlA https://pbs.twimg.com/media/F4Qx0UOXkAABW9u.jpg</t>
  </si>
  <si>
    <t>https://t.co/axe0HPQ1Rw https://pbs.twimg.com/ext_tw_video_thumb/1661311477003833347/pu/img/5PZqa_IWJSX9kamX.jpg</t>
  </si>
  <si>
    <t>https://t.co/pyUDXBzdOy https://pbs.twimg.com/ext_tw_video_thumb/1679427360976777218/pu/img/TrA8mANbLhZb6sus.jpg</t>
  </si>
  <si>
    <t>https://t.co/B1BF2rsjU9 https://pbs.twimg.com/ext_tw_video_thumb/1659552773556297728/pu/img/isbWogtIh6oDbIUJ.jpg</t>
  </si>
  <si>
    <t>https://t.co/JwA55qCDEe https://pbs.twimg.com/ext_tw_video_thumb/1659552728874377216/pu/img/LgOKLH8Wy1ns5lAS.jpg</t>
  </si>
  <si>
    <t>https://t.co/F94Gmp4FGu https://pbs.twimg.com/ext_tw_video_thumb/1694347873322745856/pu/img/q6rhzElQe6NA_meS.jpg</t>
  </si>
  <si>
    <t>https://t.co/cPGlFE1xvO https://pbs.twimg.com/media/F2jnbIHXAAMwf1E.jpg</t>
  </si>
  <si>
    <t>https://t.co/WdF3eI7tz6 https://pbs.twimg.com/media/Fv3dpXZWAAMcfNf.png</t>
  </si>
  <si>
    <t>https://t.co/iMKekhUGDh https://pbs.twimg.com/media/F0jh3FkWIAEYh2x.jpg</t>
  </si>
  <si>
    <t>https://t.co/nDUY7tUOWJ https://pbs.twimg.com/ext_tw_video_thumb/1650857131543875584/pu/img/5OnHjrpPSNj0iSh4.jpg</t>
  </si>
  <si>
    <t>https://t.co/BFhgvYkXZX https://pbs.twimg.com/media/F3I-HdaXEAEmkMM.jpg</t>
  </si>
  <si>
    <t>https://t.co/e918olPglA https://pbs.twimg.com/ext_tw_video_thumb/1648065573593534494/pu/img/hVHrYIuzP-z0cvEq.jpg</t>
  </si>
  <si>
    <t>https://t.co/UkkHhQ1964 https://pbs.twimg.com/media/FmStOZGWAAYBS6Z.jpg</t>
  </si>
  <si>
    <t>https://t.co/h77ENH3bVq https://pbs.twimg.com/media/F3ay9wTWIAAk5WO.jpg</t>
  </si>
  <si>
    <t>https://t.co/tHAmkxuyeM https://pbs.twimg.com/media/FyRSzP_XsAYUHWC.jpg</t>
  </si>
  <si>
    <t>https://t.co/nfQrWA63Rm https://pbs.twimg.com/media/FyOsnKpXwAE8rzy.jpg</t>
  </si>
  <si>
    <t>https://t.co/QuRe2obZ1v https://pbs.twimg.com/media/FtJffVWWwAIpDBc.jpg</t>
  </si>
  <si>
    <t>https://t.co/9y9LDd2y96 https://pbs.twimg.com/media/FtjtfMFXgAAmv3s.jpg</t>
  </si>
  <si>
    <t>https://t.co/WYohpRR0g6 https://pbs.twimg.com/ext_tw_video_thumb/1649023001080340481/pu/img/6N63QBLNGJBLe7A-.jpg</t>
  </si>
  <si>
    <t>https://t.co/Q1ucx4Xvon https://pbs.twimg.com/media/F2HmMekbcAAuTpe.jpg</t>
  </si>
  <si>
    <t>https://t.co/JLBv6RNJnv https://pbs.twimg.com/media/F1wTODlXgAMFYga.jpg</t>
  </si>
  <si>
    <t>https://t.co/bMIoHTQCnE https://pbs.twimg.com/media/F01T9MnWYAAqxnf.jpg</t>
  </si>
  <si>
    <t>https://t.co/8MUedB9RJ9 https://pbs.twimg.com/media/FzD9fIBXsAAwroE.jpg</t>
  </si>
  <si>
    <t>https://t.co/ZsOl04FZD0 https://pbs.twimg.com/media/F2RxRFJXEAAV5Yx.jpg</t>
  </si>
  <si>
    <t>https://t.co/XfZPoGBbdQ https://pbs.twimg.com/media/F2M0xBNW4AAMNrh.jpg</t>
  </si>
  <si>
    <t>https://t.co/KZEUlt17Qz https://pbs.twimg.com/ext_tw_video_thumb/1685117722953179136/pu/img/XBpb-CvjoiirR5pg.jpg</t>
  </si>
  <si>
    <t>https://t.co/yJerz5PDMz https://pbs.twimg.com/media/F16uwbPWAAA4hfA.jpg</t>
  </si>
  <si>
    <t>https://t.co/pzdSPQPiTy https://pbs.twimg.com/media/F1efxZDXoAErfdA.jpg</t>
  </si>
  <si>
    <t>https://t.co/HYrgcHys3x https://pbs.twimg.com/media/F1ePUiIXgAANAOY.jpg</t>
  </si>
  <si>
    <t>https://t.co/7ba0naLJQC https://pbs.twimg.com/media/F1ZZZ27WAAA_Nxe.jpg</t>
  </si>
  <si>
    <t>https://t.co/WwEr4p8MMp https://pbs.twimg.com/media/F0Gw5NjX0AAk8vG.jpg</t>
  </si>
  <si>
    <t>https://t.co/brVp3APExQ https://pbs.twimg.com/ext_tw_video_thumb/1674153873194229760/pu/img/JblQkNM2jhDEjpFw.jpg</t>
  </si>
  <si>
    <t>https://t.co/mk7D9lamHX https://pbs.twimg.com/media/FztMI9aXoAU9pde.jpg</t>
  </si>
  <si>
    <t>https://t.co/AHvfbl4sBc https://pbs.twimg.com/media/F3GgkWGXQAAI-1T.jpg</t>
  </si>
  <si>
    <t>https://t.co/H5bSnoCzZD https://pbs.twimg.com/media/F2iMcENW4AE12lX.jpg</t>
  </si>
  <si>
    <t>https://t.co/4sdslZVVN3 https://pbs.twimg.com/media/F2hAjCnXwAAM6pR.jpg</t>
  </si>
  <si>
    <t>https://t.co/QWEhCvKbMf https://pbs.twimg.com/media/F14w0dgaMAANj2-.jpg</t>
  </si>
  <si>
    <t>https://t.co/0FR5hn7BHP https://pbs.twimg.com/media/F1169YDXgAAyuwc.jpg</t>
  </si>
  <si>
    <t>https://t.co/qLp0p8Xgvn https://pbs.twimg.com/media/F1UDR-MXsAA3UbA.jpg</t>
  </si>
  <si>
    <t>https://t.co/hI3pMbtUNM https://pbs.twimg.com/media/F1ScKvvWAAArolX.jpg</t>
  </si>
  <si>
    <t>https://t.co/QfJutJsScH https://pbs.twimg.com/media/F1PIDcPXwAAgzmT.jpg</t>
  </si>
  <si>
    <t>https://t.co/39V33Y0wvI https://pbs.twimg.com/media/F1MXbF0XsAEWAGV.jpg</t>
  </si>
  <si>
    <t>https://t.co/pv17et6z0Q https://pbs.twimg.com/media/F1Jr5-1XsAESfrn.jpg</t>
  </si>
  <si>
    <t>https://t.co/3gYllBrYbZ https://pbs.twimg.com/media/Fz3KWAtXoAArD1O.jpg</t>
  </si>
  <si>
    <t>https://t.co/olpgFNo4dR https://pbs.twimg.com/media/Fzye3WCX0AE_wN-.jpg</t>
  </si>
  <si>
    <t>https://t.co/w22YiR058r https://pbs.twimg.com/media/F4TFw6BWcAAhAvN.jpg</t>
  </si>
  <si>
    <t>https://t.co/M1axAkuVVR https://pbs.twimg.com/media/F3UwL6kWgAAAQYg.jpg</t>
  </si>
  <si>
    <t>https://t.co/HBe3QMGOW6 https://pbs.twimg.com/media/F3PpWvdW4AAeNNE.jpg</t>
  </si>
  <si>
    <t>https://t.co/1VgJPPkbNY https://pbs.twimg.com/media/F3KxXYuWYAEAa0A.jpg</t>
  </si>
  <si>
    <t>https://t.co/LLEz2CNBya https://pbs.twimg.com/media/F2Iwz7cXoAkzpzv.jpg</t>
  </si>
  <si>
    <t>https://t.co/BOgCe1KnUc https://pbs.twimg.com/ext_tw_video_thumb/1684621704830586880/pu/img/9DW4swX3XfeDqdNM.jpg</t>
  </si>
  <si>
    <t>https://t.co/QGidm7SUaC https://pbs.twimg.com/media/F2Cn0h_WIAAxorE.jpg</t>
  </si>
  <si>
    <t>https://t.co/8ygoC1WdQ9 https://pbs.twimg.com/media/F1-wXV2XoAUNk18.jpg</t>
  </si>
  <si>
    <t>https://t.co/HbVKbLncHa https://pbs.twimg.com/media/F0ckDzjWYAIpJEN.jpg</t>
  </si>
  <si>
    <t>https://t.co/phozslIZpe https://pbs.twimg.com/media/F0WgG-YX0AApQpp.jpg</t>
  </si>
  <si>
    <t>https://t.co/3P9O2p6kce https://pbs.twimg.com/media/F0RQVXnWcAIZOSy.jpg</t>
  </si>
  <si>
    <t>https://t.co/QgrVi6s1kc https://pbs.twimg.com/media/F3mfXLPXsAEEL6x.jpg</t>
  </si>
  <si>
    <t>https://t.co/wSVLk5ibYI https://pbs.twimg.com/media/F3AcSdrXEAAZwWO.jpg</t>
  </si>
  <si>
    <t>https://t.co/LNDpkgoFgZ https://pbs.twimg.com/media/F3AE1xHXYAE8eQv.jpg</t>
  </si>
  <si>
    <t>https://t.co/U7OfwrZvZp https://pbs.twimg.com/media/F2XC8X8XsAAy_l4.jpg</t>
  </si>
  <si>
    <t>https://t.co/mGZx1rbjbV https://pbs.twimg.com/media/F1wmw3dWwAAjpDX.jpg</t>
  </si>
  <si>
    <t>https://t.co/X4ZhSGxw7u https://pbs.twimg.com/media/F1wcVU5XsAI1OnQ.jpg</t>
  </si>
  <si>
    <t>https://t.co/MSYQGHXQor https://pbs.twimg.com/media/F1vomguWIAkOUZW.jpg</t>
  </si>
  <si>
    <t>https://t.co/yQlK9Pfwdw https://pbs.twimg.com/media/F1t9oKRX0AE6DHn.jpg</t>
  </si>
  <si>
    <t>https://t.co/CBEI5bLasz https://pbs.twimg.com/ext_tw_video_thumb/1682915081007316996/pu/img/_R0T8r5SvfIyIpis.jpg</t>
  </si>
  <si>
    <t>https://t.co/yx7kaVzD8F https://pbs.twimg.com/media/F1EQExvX0AAVqQo.jpg</t>
  </si>
  <si>
    <t>https://t.co/9rMmEdzSt9 https://pbs.twimg.com/media/F0_P4OVXsAQbkoE.jpg</t>
  </si>
  <si>
    <t>https://t.co/80ysJ9Ga0m https://pbs.twimg.com/media/F06ExcgX0AAz6sS.jpg</t>
  </si>
  <si>
    <t>https://t.co/G8LmEkZWIQ https://pbs.twimg.com/media/FzoK5EgXwAI7Q1A.jpg</t>
  </si>
  <si>
    <t>https://t.co/PVF2LSsSrw https://pbs.twimg.com/media/Fzl6-4UWcAAWWqo.jpg</t>
  </si>
  <si>
    <t>https://t.co/44MEbmkRoT https://pbs.twimg.com/media/F3kU0VWWUAA5nDy.jpg</t>
  </si>
  <si>
    <t>https://t.co/m1GM6gexab https://pbs.twimg.com/media/F3hWuRAXUAE7LuQ.jpg</t>
  </si>
  <si>
    <t>https://t.co/nTW40XR362 https://pbs.twimg.com/media/F3cPNk_WcAIp2Sm.jpg</t>
  </si>
  <si>
    <t>https://t.co/AgXvRGuFIX https://pbs.twimg.com/media/F27UCmLXsAAGT9W.jpg</t>
  </si>
  <si>
    <t>https://t.co/oNWeDRsO47 https://pbs.twimg.com/media/F2cXtRaWUAAhdOr.jpg</t>
  </si>
  <si>
    <t>https://t.co/qNCe3beKsP https://pbs.twimg.com/media/F1o-zhCWcAAz-7f.jpg</t>
  </si>
  <si>
    <t>https://t.co/FCGrdEF1HL https://pbs.twimg.com/media/F1j1kr7XgAAPksI.jpg</t>
  </si>
  <si>
    <t>https://t.co/rQvpgHi6vD https://pbs.twimg.com/media/F0sKijNXoAATLUe.jpg</t>
  </si>
  <si>
    <t>https://t.co/ZX0NO8bTfX https://pbs.twimg.com/media/Fy_JaLFWcAAWGjX.jpg</t>
  </si>
  <si>
    <t>https://t.co/fsySUfWg3J https://pbs.twimg.com/media/Fy5fU4nXwAIEtjP.jpg</t>
  </si>
  <si>
    <t>https://t.co/BdFaEeUQhe https://pbs.twimg.com/media/Fy19Oh0XwAEUNxz.jpg</t>
  </si>
  <si>
    <t>https://t.co/A11lLP9JrJ https://pbs.twimg.com/media/F5wRX0UWUAAzjhO.jpg</t>
  </si>
  <si>
    <t>https://t.co/Jo6RZLA8jS https://pbs.twimg.com/media/F3urOcmW8AAv6ne.jpg</t>
  </si>
  <si>
    <t>https://t.co/5FbUtjhRXk https://pbs.twimg.com/media/F226OYvWoAEWj6j.jpg</t>
  </si>
  <si>
    <t>https://t.co/6yfeGDGsNo https://pbs.twimg.com/media/F2wluzZWEAEWi3e.jpg</t>
  </si>
  <si>
    <t>https://t.co/cC6hPViO2z https://pbs.twimg.com/ext_tw_video_thumb/1687406431551537152/pu/img/9DRrA9kzcJOfw7Wy.jpg</t>
  </si>
  <si>
    <t>https://t.co/bLlSGdUTrw https://pbs.twimg.com/media/F2rYXgNX0AATnXw.jpg</t>
  </si>
  <si>
    <t>https://t.co/onzICNYviI https://pbs.twimg.com/media/F2mjKDRXwAIkqKU.jpg</t>
  </si>
  <si>
    <t>https://t.co/uDs0hcEdKc https://pbs.twimg.com/media/F04D-mEX0AEh8IS.jpg</t>
  </si>
  <si>
    <t>https://t.co/vTfq9tvjZw https://pbs.twimg.com/ext_tw_video_thumb/1678886707507212289/pu/img/VVtxTuAu53Qg3REh.jpg</t>
  </si>
  <si>
    <t>https://t.co/iKIHJNmSA7 https://pbs.twimg.com/media/F0wNyURXsAEjUmQ.jpg</t>
  </si>
  <si>
    <t>https://t.co/gzLoYiY7Zq https://pbs.twimg.com/media/Fzi97ssXoAExEo1.jpg</t>
  </si>
  <si>
    <t>https://t.co/eXb61y5lGE https://pbs.twimg.com/media/FzerwLJWcAApsxs.jpg</t>
  </si>
  <si>
    <t>https://t.co/T76eN7uZIK https://pbs.twimg.com/media/FzZEsBZWwAcBJoJ.jpg</t>
  </si>
  <si>
    <t>https://t.co/wXI2khBtvt https://pbs.twimg.com/media/FzPiDMeXwBsPfbe.jpg</t>
  </si>
  <si>
    <t>https://t.co/X42fy69Tpj https://pbs.twimg.com/ext_tw_video_thumb/1695142611172937728/pu/img/dsM94Pk_0THmVJWF.jpg</t>
  </si>
  <si>
    <t>https://t.co/3OcQ6agMtI https://pbs.twimg.com/ext_tw_video_thumb/1696521382627258368/pu/img/ifQB7pA4d0A8CAck.jpg</t>
  </si>
  <si>
    <t>https://t.co/aZAEguaVNY https://pbs.twimg.com/media/FmeH_nRWAAAcIgS.jpg</t>
  </si>
  <si>
    <t>https://t.co/wtKAo6j1Kf https://pbs.twimg.com/ext_tw_video_thumb/1690740247468908544/pu/img/k00cBq67maMrPaZ8.jpg</t>
  </si>
  <si>
    <t>https://t.co/lziHebYwC5 https://pbs.twimg.com/media/FurQqS8WIAI2C5s.jpg</t>
  </si>
  <si>
    <t>https://t.co/pQJn88jc5M https://pbs.twimg.com/media/FrgGgN8WwAUcNlr.jpg</t>
  </si>
  <si>
    <t>https://t.co/8fvHT2x9uc https://pbs.twimg.com/media/FqEJw4RXwAA1hYm.jpg</t>
  </si>
  <si>
    <t>https://t.co/u2eAJhiKy8 https://pbs.twimg.com/media/FxfLA7hWIAAkV9p.jpg</t>
  </si>
  <si>
    <t>https://t.co/82gWSgI4JZ https://pbs.twimg.com/media/FppoZu-XoAM1Y_z.jpg</t>
  </si>
  <si>
    <t>https://t.co/10jMaKKVR2 https://pbs.twimg.com/media/FzpLPdhXoAAnN67.jpg</t>
  </si>
  <si>
    <t>https://t.co/GbtbPHCoEa https://pbs.twimg.com/media/F1VFDPrXwAA-zqL.jpg</t>
  </si>
  <si>
    <t>https://t.co/WVIhKURZOv https://pbs.twimg.com/media/FwQ918iXwAApSDw.jpg</t>
  </si>
  <si>
    <t>https://t.co/tshnZVARFm https://pbs.twimg.com/ext_tw_video_thumb/1629271989163634689/pu/img/z6m76oChO9iV90iG.jpg</t>
  </si>
  <si>
    <t>https://t.co/N8nlpobedM https://pbs.twimg.com/media/Fw-4EDSaEAAWUyd.jpg</t>
  </si>
  <si>
    <t>https://t.co/aAgERKkWBX https://pbs.twimg.com/ext_tw_video_thumb/1661069703404572672/pu/img/SN4ThnZ8wUfBti1w.jpg</t>
  </si>
  <si>
    <t>https://t.co/EWKWVzdO0A https://pbs.twimg.com/media/Fw0ymNgWIAAXp3b.jpg</t>
  </si>
  <si>
    <t>https://t.co/WqBe6dj7ue https://pbs.twimg.com/ext_tw_video_thumb/1616541185434157088/pu/img/XGH5aFB9Z3oDoDgO.jpg</t>
  </si>
  <si>
    <t>https://t.co/Vj3rISua3o https://pbs.twimg.com/ext_tw_video_thumb/1663606385861353473/pu/img/4gJgfFWIL8lNwv6Z.jpg</t>
  </si>
  <si>
    <t>https://t.co/Q9m3Hi27D0 https://pbs.twimg.com/media/FxJLQQ5XwAMfPDw.jpg</t>
  </si>
  <si>
    <t>https://t.co/wVZPFcmmm8 https://pbs.twimg.com/media/FxEBrt5WIAEUYv8.jpg</t>
  </si>
  <si>
    <t>https://t.co/3X10DS9ySZ https://pbs.twimg.com/ext_tw_video_thumb/1648023712954810368/pu/img/kJjLmkTN9neYntCd.jpg</t>
  </si>
  <si>
    <t>https://t.co/qzqhmwVYbM https://pbs.twimg.com/ext_tw_video_thumb/1675127287082041345/pu/img/GL6xMLrcfaUkck6e.jpg</t>
  </si>
  <si>
    <t>https://t.co/9qk1GC0vAo https://pbs.twimg.com/ext_tw_video_thumb/1669440951574581269/pu/img/wMkHNRJEt4jNF8Hn.jpg</t>
  </si>
  <si>
    <t>https://t.co/QLk3X1VYnv https://pbs.twimg.com/ext_tw_video_thumb/1663878240337899521/pu/img/K9uklS9iQids7o1n.jpg</t>
  </si>
  <si>
    <t>https://t.co/Nup0sHBTsq https://pbs.twimg.com/media/Fw5ud1UXsAMshO7.jpg</t>
  </si>
  <si>
    <t>https://t.co/L99JggNgmL https://pbs.twimg.com/ext_tw_video_thumb/1652010002314346502/pu/img/wnnoMERieLdLMTDq.jpg</t>
  </si>
  <si>
    <t>https://t.co/j5itusENPv https://pbs.twimg.com/ext_tw_video_thumb/1651647610640277527/pu/img/LTy4rWoOUXL1-ayr.jpg</t>
  </si>
  <si>
    <t>https://t.co/SKDrlr8bvw https://pbs.twimg.com/media/Fp6-c2FXwAEJaBe.jpg</t>
  </si>
  <si>
    <t>https://t.co/1LzXON9QTv https://pbs.twimg.com/ext_tw_video_thumb/1680200763488731137/pu/img/Cqbrl-913M5Op2rQ.jpg</t>
  </si>
  <si>
    <t>https://t.co/FdWzfGwo52 https://pbs.twimg.com/ext_tw_video_thumb/1674749821230407680/pu/img/U9lNIxKdZ_W2hmSp.jpg</t>
  </si>
  <si>
    <t>https://t.co/RcElFo2eyi https://pbs.twimg.com/ext_tw_video_thumb/1674372341575438336/pu/img/9jD5u_J0lFtmC-8t.jpg</t>
  </si>
  <si>
    <t>https://t.co/RywgyU1yHI https://pbs.twimg.com/ext_tw_video_thumb/1675474592050102274/pu/img/jQMRj01J3IB9DaNz.jpg</t>
  </si>
  <si>
    <t>https://t.co/AfIW9U0JWk https://pbs.twimg.com/ext_tw_video_thumb/1674055249055690753/pu/img/gDTgytdL4_MReIQs.jpg</t>
  </si>
  <si>
    <t>https://t.co/O3NTWszN3q https://pbs.twimg.com/ext_tw_video_thumb/1674025031695843331/pu/img/_xW3K7nwr40fnII-.jpg</t>
  </si>
  <si>
    <t>https://t.co/MqNwZjoDhg https://pbs.twimg.com/ext_tw_video_thumb/1653097180473827329/pu/img/MpYdW1C2dOH7VaKV.jpg</t>
  </si>
  <si>
    <t>https://t.co/U4MMEEKy9F https://pbs.twimg.com/ext_tw_video_thumb/1649518586824728580/pu/img/mWA5Nppyys6XcjnI.jpg</t>
  </si>
  <si>
    <t>https://t.co/IH20SriaLp https://pbs.twimg.com/ext_tw_video_thumb/1679898735701106688/pu/img/lzmGCPmtlMwZ3No3.jpg</t>
  </si>
  <si>
    <t>https://t.co/6aZqb46qSA https://pbs.twimg.com/ext_tw_video_thumb/1679883613398073346/pu/img/EOiit1ARxaDiArJ8.jpg</t>
  </si>
  <si>
    <t>https://t.co/c4usCUschR https://pbs.twimg.com/ext_tw_video_thumb/1679868542479482881/pu/img/mAbTg7Jxa2V_ZSSD.jpg</t>
  </si>
  <si>
    <t>https://t.co/T9g9Y1aQre https://pbs.twimg.com/ext_tw_video_thumb/1679566530676158464/pu/img/a7CasQ2AlXuvdG7-.jpg</t>
  </si>
  <si>
    <t>https://t.co/gxIZR1Qhru https://pbs.twimg.com/ext_tw_video_thumb/1679521219299639298/pu/img/A2ATy9qJ0Gi3erSK.jpg</t>
  </si>
  <si>
    <t>https://t.co/GDbQTaWfxu https://pbs.twimg.com/ext_tw_video_thumb/1679506136364359681/pu/img/q1ZWx73Aid-Nqsj_.jpg</t>
  </si>
  <si>
    <t>https://t.co/H7FildPPkD https://pbs.twimg.com/ext_tw_video_thumb/1679475949123796992/pu/img/PqW4YLKpq7NT-X0A.jpg</t>
  </si>
  <si>
    <t>https://t.co/OnGkPCOF1w https://pbs.twimg.com/ext_tw_video_thumb/1673828727703085057/pu/img/9fhyL2gfrEHwIyGp.jpg</t>
  </si>
  <si>
    <t>https://t.co/ESrIgYyssk https://pbs.twimg.com/ext_tw_video_thumb/1673707936277831682/pu/img/Yq7Z5Ft0HlKUDk4s.jpg</t>
  </si>
  <si>
    <t>https://t.co/T0o30nPLij https://pbs.twimg.com/ext_tw_video_thumb/1673677740841607172/pu/img/hJA_uWErEvAHvhKM.jpg</t>
  </si>
  <si>
    <t>https://t.co/vdECnOz8tc https://pbs.twimg.com/ext_tw_video_thumb/1673451312636125185/pu/img/vX8WzZi138XAUE2M.jpg</t>
  </si>
  <si>
    <t>https://t.co/upWtWOGH4Q https://pbs.twimg.com/ext_tw_video_thumb/1673330472179453954/pu/img/8FqKClYUFVzMr87J.jpg</t>
  </si>
  <si>
    <t>https://t.co/QpxccABxXd https://pbs.twimg.com/ext_tw_video_thumb/1673300261362708482/pu/img/zWB-_moqc9WSWUoK.jpg</t>
  </si>
  <si>
    <t>https://t.co/3UkP0yhkvL https://pbs.twimg.com/media/FwvbSQPXoAQwxXC.jpg</t>
  </si>
  <si>
    <t>https://t.co/3D4YMqKMVP https://pbs.twimg.com/ext_tw_video_thumb/1679173959516930067/pu/img/ogK_ZRRFnXOYlyAc.jpg</t>
  </si>
  <si>
    <t>https://t.co/Ra6mVVzLXs https://pbs.twimg.com/ext_tw_video_thumb/1679143754005897219/pu/img/K4xEMvzywLCwFkbH.jpg</t>
  </si>
  <si>
    <t>https://t.co/S2HqEXMP9J https://pbs.twimg.com/ext_tw_video_thumb/1679128662292021251/pu/img/cppU97J3pH6C0iut.jpg</t>
  </si>
  <si>
    <t>https://t.co/HhZonVwvwv https://pbs.twimg.com/ext_tw_video_thumb/1679113574025768973/pu/img/pzm3nSvgpO0BWk_h.jpg</t>
  </si>
  <si>
    <t>https://t.co/vJ5kjZ5q4T https://pbs.twimg.com/ext_tw_video_thumb/1678796443182682112/pu/img/vwm-Ht8djM0BP18X.jpg</t>
  </si>
  <si>
    <t>https://t.co/fYVhURtx3c https://pbs.twimg.com/ext_tw_video_thumb/1678781386013155329/pu/img/GZjfzm81iINhjmhI.jpg</t>
  </si>
  <si>
    <t>https://t.co/n2QPcC9YyW https://pbs.twimg.com/ext_tw_video_thumb/1678751173753425920/pu/img/OO742CjF_OTvdcQv.jpg</t>
  </si>
  <si>
    <t>https://t.co/fSSDLl0XDb https://pbs.twimg.com/ext_tw_video_thumb/1673073768242053124/pu/img/Yh8SyPYEeyfmYZBw.jpg</t>
  </si>
  <si>
    <t>https://t.co/uTEw9sGUeC https://pbs.twimg.com/ext_tw_video_thumb/1672952989605142539/pu/img/wepS9MmnSFTYw3og.jpg</t>
  </si>
  <si>
    <t>https://t.co/MSxc0XukWa https://pbs.twimg.com/ext_tw_video_thumb/1672922781669810178/pu/img/rV1uK8iVRzKh-TbB.jpg</t>
  </si>
  <si>
    <t>https://t.co/JJ7quKZ8OI https://pbs.twimg.com/ext_tw_video_thumb/1672575456413974528/pu/img/C12kv4FudRHMF_tn.jpg</t>
  </si>
  <si>
    <t>https://t.co/sHj5sh812e https://pbs.twimg.com/ext_tw_video_thumb/1654546686851653632/pu/img/hDPmLO-u3e2XQR8L.jpg</t>
  </si>
  <si>
    <t>https://t.co/j97sii4FL7 https://pbs.twimg.com/ext_tw_video_thumb/1678449160519917568/pu/img/lRFPh_tsKRTnkKxn.jpg</t>
  </si>
  <si>
    <t>https://t.co/FyDzjkNFVB https://pbs.twimg.com/ext_tw_video_thumb/1678434088024244224/pu/img/h17YnJSyNvRMkM4D.jpg</t>
  </si>
  <si>
    <t>https://t.co/bHx50s42Ov https://pbs.twimg.com/ext_tw_video_thumb/1678418970846560260/pu/img/WWetEiSzf55rwDae.jpg</t>
  </si>
  <si>
    <t>https://t.co/Y511BxDs2B https://pbs.twimg.com/media/FsqZv6pWcAE-J1s.jpg</t>
  </si>
  <si>
    <t>https://t.co/l6pm6M6t5H https://pbs.twimg.com/ext_tw_video_thumb/1625547827072974879/pu/img/74mCsfpASwlLu5Yb.jpg</t>
  </si>
  <si>
    <t>https://t.co/nwyAbD6VL8 https://pbs.twimg.com/media/FonKIsRWIAsCnQc.jpg</t>
  </si>
  <si>
    <t>https://t.co/lRelvjamPH https://pbs.twimg.com/media/FzRJDg5XsAMVyrc.jpg</t>
  </si>
  <si>
    <t>https://t.co/saF0yfxgwX https://pbs.twimg.com/media/Fmw2-q2WYAIFHEN.jpg</t>
  </si>
  <si>
    <t>https://t.co/Amsu4X9kSi https://pbs.twimg.com/ext_tw_video_thumb/1693136233004679169/pu/img/alPiw8o4ZRd8F2JL.jpg</t>
  </si>
  <si>
    <t>https://t.co/tKj71SIg4w https://pbs.twimg.com/media/FxXf9zzWYAA1yt4.jpg</t>
  </si>
  <si>
    <t>https://t.co/iFDZ9zp7LA https://pbs.twimg.com/ext_tw_video_thumb/1610394536647221249/pu/img/HplV8RlAZQG8t67Y.jpg</t>
  </si>
  <si>
    <t>https://t.co/tdKzbelYFN https://t.co/tdKzbelYFN https://t.co/tdKzbelYFN https://t.co/tdKzbelYFN https://pbs.twimg.com/media/Fpbd_x3XEAAsICo.jpg https://pbs.twimg.com/media/Fpbd_xxXgAAsghf.jpg https://pbs.twimg.com/media/Fpbd_x2XsAAIRik.jpg https://pbs.twimg.com/media/Fpbd_xxXEA8JZBQ.jpg</t>
  </si>
  <si>
    <t>https://t.co/rm8fYvdSfg https://t.co/rm8fYvdSfg https://t.co/rm8fYvdSfg https://t.co/rm8fYvdSfg https://pbs.twimg.com/media/FpRzOmfXsAArFEE.jpg https://pbs.twimg.com/media/FpRzOmeXwAAbNuA.jpg https://pbs.twimg.com/media/FpRzOmdWAAAHrU9.jpg https://pbs.twimg.com/media/FpRzOmaXEAAiDYT.jpg</t>
  </si>
  <si>
    <t>https://t.co/i1nXh3ufwY https://t.co/i1nXh3ufwY https://t.co/i1nXh3ufwY https://t.co/i1nXh3ufwY https://pbs.twimg.com/media/FtNDr7XWYAIz1lE.jpg https://pbs.twimg.com/media/FtNDr7VXwAAAUBu.jpg https://pbs.twimg.com/media/FtNDr7VXsAElLcc.jpg https://pbs.twimg.com/media/FtNDr7YXgAAD9e-.jpg</t>
  </si>
  <si>
    <t>https://t.co/nAonOUKwuO https://t.co/nAonOUKwuO https://t.co/nAonOUKwuO https://t.co/nAonOUKwuO https://pbs.twimg.com/media/FosMkxEXsAEMdGe.jpg https://pbs.twimg.com/media/FosMkxEWcAEHJ29.jpg https://pbs.twimg.com/media/FosMkxGXoAAmGB2.jpg https://pbs.twimg.com/media/FosMkxKXwAIaNeV.jpg</t>
  </si>
  <si>
    <t>https://t.co/oh78kfJ7uv https://t.co/oh78kfJ7uv https://t.co/oh78kfJ7uv https://t.co/oh78kfJ7uv https://pbs.twimg.com/media/FvPkIUPWcAEUcrA.jpg https://pbs.twimg.com/media/FvPkIUSX0AA-Rm1.jpg https://pbs.twimg.com/media/FvPkIUPWYAAVYh0.jpg https://pbs.twimg.com/media/FvPkIURXsAQeMNc.jpg</t>
  </si>
  <si>
    <t>https://t.co/5kGt6nfDfI https://t.co/5kGt6nfDfI https://t.co/5kGt6nfDfI https://t.co/5kGt6nfDfI https://pbs.twimg.com/media/FurhOkxWIAMPniR.jpg https://pbs.twimg.com/media/FurhOk6WwAc9Ddk.jpg https://pbs.twimg.com/media/FurhOkuXgAAW4Mg.jpg https://pbs.twimg.com/media/FurhOkvWAAAMCGF.jpg</t>
  </si>
  <si>
    <t>https://t.co/joYOskaU4L https://t.co/joYOskaU4L https://t.co/joYOskaU4L https://t.co/joYOskaU4L https://pbs.twimg.com/media/Fq9mR-sXoAArJ-T.jpg https://pbs.twimg.com/media/Fq9mR-wXoAIzyPI.jpg https://pbs.twimg.com/media/Fq9mR-tXsAAuu2D.jpg https://pbs.twimg.com/media/Fq9mR-sWcAIrW7F.jpg</t>
  </si>
  <si>
    <t>https://t.co/DtefBy52lw https://t.co/DtefBy52lw https://t.co/DtefBy52lw https://t.co/DtefBy52lw https://pbs.twimg.com/media/Fp0yeutXsAElQrf.jpg https://pbs.twimg.com/media/Fp0yeuuXgAImIOj.jpg https://pbs.twimg.com/media/Fp0yeutXgAAr9qw.jpg https://pbs.twimg.com/media/Fp0yeuwWYAEZvQo.jpg</t>
  </si>
  <si>
    <t>https://t.co/2TUIRfRjgY https://pbs.twimg.com/ext_tw_video_thumb/1661178498881409028/pu/img/5c_dCp-geHqs7x6E.jpg</t>
  </si>
  <si>
    <t>https://t.co/MdKdZRo31Q https://pbs.twimg.com/ext_tw_video_thumb/1647041500759437312/pu/img/meM20XQajkygUT_5.jpg</t>
  </si>
  <si>
    <t>https://t.co/vysX1CtHB8 https://t.co/vysX1CtHB8 https://t.co/vysX1CtHB8 https://t.co/vysX1CtHB8 https://pbs.twimg.com/media/FrhT6qWWYAIZvZj.jpg https://pbs.twimg.com/media/FrhT6qXX0AE7i8E.jpg https://pbs.twimg.com/media/FrhT6qVX0AAnXwe.jpg https://pbs.twimg.com/media/FrhT6qYX0AEmZTd.jpg</t>
  </si>
  <si>
    <t>https://t.co/1qNKCDwbAN https://t.co/1qNKCDwbAN https://t.co/1qNKCDwbAN https://t.co/1qNKCDwbAN https://pbs.twimg.com/media/FyLsmYnXwAAsLvQ.jpg https://pbs.twimg.com/media/FyLsmYnWYAM6nsF.jpg https://pbs.twimg.com/media/FyLsmYlXoAEVcPE.jpg https://pbs.twimg.com/media/FyLsmYmWcAAeAZK.jpg</t>
  </si>
  <si>
    <t>https://t.co/13iK0afFtv https://t.co/13iK0afFtv https://t.co/13iK0afFtv https://t.co/13iK0afFtv https://pbs.twimg.com/media/FoI_HuDXgAMwI2O.jpg https://pbs.twimg.com/media/FoI_HuGX0AA-KaX.jpg https://pbs.twimg.com/media/FoI_HuSXkAEz9nK.jpg https://pbs.twimg.com/media/FoI_HuFWQAAJQT-.jpg</t>
  </si>
  <si>
    <t>https://t.co/uqL9aDDjOW https://pbs.twimg.com/media/F1-WQTlXsAIPboN.jpg</t>
  </si>
  <si>
    <t>https://t.co/gMo5x1PVH0 https://pbs.twimg.com/ext_tw_video_thumb/1648986816547045377/pu/img/KWR3bv8huTVLJJgp.jpg</t>
  </si>
  <si>
    <t>https://t.co/WmOZXWjQ92 https://t.co/WmOZXWjQ92 https://t.co/WmOZXWjQ92 https://t.co/WmOZXWjQ92 https://pbs.twimg.com/media/FqZsO29XwAEKHM8.jpg https://pbs.twimg.com/media/FqZsO28XsAIiJ77.jpg https://pbs.twimg.com/media/FqZsO27XoAEhmxV.jpg https://pbs.twimg.com/media/FqZsO25XgAIgFk3.jpg</t>
  </si>
  <si>
    <t>https://t.co/9l5wr3BPLp https://pbs.twimg.com/media/FymRKogXoAg48JC.jpg</t>
  </si>
  <si>
    <t>https://t.co/OpyboQF0pm https://pbs.twimg.com/media/Fy_aeslWcAcH3Zy.jpg</t>
  </si>
  <si>
    <t>https://t.co/of4IUdsHGb https://pbs.twimg.com/media/F4ySfR4W4AE-bKf.jpg</t>
  </si>
  <si>
    <t>https://t.co/aAK1JhZo72 https://pbs.twimg.com/media/F3vgAUCWIAAiFH7.jpg</t>
  </si>
  <si>
    <t>https://t.co/CYY5DgK4P8 https://pbs.twimg.com/media/F02okcBWIAAG9Qw.jpg</t>
  </si>
  <si>
    <t>https://t.co/R0C99iJG8r https://pbs.twimg.com/media/FvChzVLWwAM9rPR.jpg</t>
  </si>
  <si>
    <t>https://t.co/ikxzFtDHij https://pbs.twimg.com/ext_tw_video_thumb/1647985911207014402/pu/img/SP2UCzy5XJElixkz.jpg</t>
  </si>
  <si>
    <t>https://t.co/ZdoCAT2a34 https://pbs.twimg.com/ext_tw_video_thumb/1612471902957608960/pu/img/8tBUU37cnCUYUGXa.jpg</t>
  </si>
  <si>
    <t>https://t.co/vD884GqQGl https://pbs.twimg.com/ext_tw_video_thumb/1668574124141101057/pu/img/WF6as6WH3-v_2oLG.jpg</t>
  </si>
  <si>
    <t>https://t.co/yvxuI5FCXx https://pbs.twimg.com/ext_tw_video_thumb/1630232545676738561/pu/img/uvISmXv25rr8Q9G9.jpg</t>
  </si>
  <si>
    <t>https://t.co/hprOZpKjmu https://pbs.twimg.com/media/FldpCrZWAAEqz4g.jpg</t>
  </si>
  <si>
    <t>https://t.co/KHkWcAHEKB https://pbs.twimg.com/ext_tw_video_thumb/1609863337688408064/pu/img/mQgFZYkIIMrrRDHP.jpg</t>
  </si>
  <si>
    <t>https://t.co/QU1rq9ZDhb https://pbs.twimg.com/ext_tw_video_thumb/1682094225347715074/pu/img/62DzU3Z2K9LzdnUB.jpg</t>
  </si>
  <si>
    <t>https://t.co/ijQOGe1HXR https://pbs.twimg.com/ext_tw_video_thumb/1670023712081338368/pu/img/ABcAunWNuHncycpJ.jpg</t>
  </si>
  <si>
    <t>https://t.co/BGX0AlmG2d https://pbs.twimg.com/media/FyvUFizXsAAFyZ4.jpg</t>
  </si>
  <si>
    <t>https://t.co/3lrZzjHt61 https://pbs.twimg.com/ext_tw_video_thumb/1665320094107328512/pu/img/8kogt1LCszVHCVZa.jpg</t>
  </si>
  <si>
    <t>https://t.co/2dJixeg4eD https://pbs.twimg.com/media/F0gnCUsX0AAGPaz.jpg</t>
  </si>
  <si>
    <t>https://t.co/0Zk3D7NU9e https://pbs.twimg.com/media/F0G3HYvXwAExX7_.jpg</t>
  </si>
  <si>
    <t>https://t.co/6CGGBA9fIt https://pbs.twimg.com/ext_tw_video_thumb/1674009943567900673/pu/img/-v4CezKNwJjbt4-W.jpg</t>
  </si>
  <si>
    <t>https://t.co/WxmyEdZBvV https://pbs.twimg.com/media/FylA57lWwAEcWqT.jpg</t>
  </si>
  <si>
    <t>https://t.co/In5klwon9x https://pbs.twimg.com/media/Fyara7LXwAAxXoC.jpg</t>
  </si>
  <si>
    <t>https://t.co/fmCxN9ZkbP https://pbs.twimg.com/ext_tw_video_thumb/1650817158484578305/pu/img/g9vDaDcU_lK9Sj19.jpg</t>
  </si>
  <si>
    <t>https://t.co/fVeGVdx6ha https://pbs.twimg.com/ext_tw_video_thumb/1635415556600877057/pu/img/DOrxTdzY9UA3MLhd.jpg</t>
  </si>
  <si>
    <t>https://t.co/LTGXUO8Kft https://pbs.twimg.com/ext_tw_video_thumb/1615008594822402049/pu/img/__IA5bWWhhoEhJ5Z.jpg</t>
  </si>
  <si>
    <t>https://t.co/y7xcQaTIUS https://pbs.twimg.com/media/F2e1-u7bQAEt-e4.jpg</t>
  </si>
  <si>
    <t>https://t.co/3xs5zuuWx6 https://pbs.twimg.com/media/F1zbYCHXsAAy2xs.jpg</t>
  </si>
  <si>
    <t>https://t.co/DvbzhtrlEo https://pbs.twimg.com/media/F1O53d8XwAEGkv_.jpg</t>
  </si>
  <si>
    <t>https://t.co/Wt5npzUBX0 https://pbs.twimg.com/media/Fz8j7zaWwAAJqL8.jpg</t>
  </si>
  <si>
    <t>https://t.co/QR3YgyeFBp https://pbs.twimg.com/media/F4izdn6XsAAY9sB.jpg</t>
  </si>
  <si>
    <t>https://t.co/CYPdvVBhS1 https://pbs.twimg.com/media/F2e3NmWaQAEHBgH.jpg</t>
  </si>
  <si>
    <t>https://t.co/5z3a3k4XP9 https://pbs.twimg.com/media/F1EqPFUX0AEGxIn.jpg</t>
  </si>
  <si>
    <t>https://t.co/5Sd1z16zJJ https://pbs.twimg.com/ext_tw_video_thumb/1645381311928979458/pu/img/fISGjD6QgK859bC5.jpg</t>
  </si>
  <si>
    <t>https://t.co/I7zbinp7ew https://pbs.twimg.com/ext_tw_video_thumb/1625087508936638464/pu/img/j5sxpImM66nEJgjG.jpg</t>
  </si>
  <si>
    <t>https://t.co/hwGk18ZNQP https://pbs.twimg.com/media/F4jO31PXAAAsA-J.jpg</t>
  </si>
  <si>
    <t>https://t.co/07Sj1SGlE8 https://pbs.twimg.com/media/F4i3Y5CXMAE2K-U.jpg</t>
  </si>
  <si>
    <t>https://t.co/wkBY5eXTEu https://pbs.twimg.com/ext_tw_video_thumb/1676546658547499008/pu/img/R-TKfL3sTxM7i2qP.jpg</t>
  </si>
  <si>
    <t>https://t.co/H4UgZuuxwo https://pbs.twimg.com/media/FqkfuzCXgAYjsla.jpg</t>
  </si>
  <si>
    <t>https://t.co/NLWEAbLvEf https://pbs.twimg.com/media/F4i6FlvWMAAt8BX.jpg</t>
  </si>
  <si>
    <t>https://t.co/XXX9mphUdN https://pbs.twimg.com/media/F3iaj6kXsAAXWkB.jpg</t>
  </si>
  <si>
    <t>https://t.co/eTMNQAobzc https://pbs.twimg.com/media/F3iSh9vXIAIpfD1.jpg</t>
  </si>
  <si>
    <t>https://t.co/Aq1zd1d2fu https://pbs.twimg.com/ext_tw_video_thumb/1678532203452432388/pu/img/k8Aq4WCDavi_A2uJ.jpg</t>
  </si>
  <si>
    <t>https://t.co/KXvOpci2Vx https://pbs.twimg.com/ext_tw_video_thumb/1672001714520576000/pu/img/IcZQ-N4GFs5wVcGy.jpg</t>
  </si>
  <si>
    <t>https://t.co/vIULrfWFBH https://pbs.twimg.com/ext_tw_video_thumb/1671473208602640388/pu/img/QJWqt6uo8JUg4lyx.jpg</t>
  </si>
  <si>
    <t>https://t.co/DyGExfKnDa https://pbs.twimg.com/media/FvcK5ocXgAMLKsj.jpg</t>
  </si>
  <si>
    <t>https://t.co/2TeL009Wi9 https://pbs.twimg.com/ext_tw_video_thumb/1638322277187026946/pu/img/OfrkgdBthvjRoFrj.jpg</t>
  </si>
  <si>
    <t>https://t.co/jtt8IrX1aL https://pbs.twimg.com/ext_tw_video_thumb/1617545289362989056/pu/img/HeFzMpDX3hDCQRS9.jpg</t>
  </si>
  <si>
    <t>https://t.co/BKcaEZ70Lz https://pbs.twimg.com/media/FuGImyuWYAUVdSJ.jpg</t>
  </si>
  <si>
    <t>https://t.co/ltpHCoycnb https://pbs.twimg.com/media/F0z3GWlWwAEx-kT.png</t>
  </si>
  <si>
    <t>https://t.co/jHfo3dtRPv https://pbs.twimg.com/media/Fs8wtMYXwAEsHWT.jpg</t>
  </si>
  <si>
    <t>https://t.co/ugV1oYcttJ https://pbs.twimg.com/media/FrRPHT6XoAEVYTz.jpg</t>
  </si>
  <si>
    <t>https://t.co/EpsCRRWio5 https://pbs.twimg.com/media/FwGKc0JXsAEi9vY.jpg</t>
  </si>
  <si>
    <t>https://t.co/SSRQkhSkfS https://pbs.twimg.com/media/F0WW92TaIAI8p8h.jpg</t>
  </si>
  <si>
    <t>https://t.co/EMOtdK9GGQ https://pbs.twimg.com/media/FqhUsy_XwAAuFMi.jpg</t>
  </si>
  <si>
    <t>https://t.co/idkKuDF2Tt https://pbs.twimg.com/media/FqHfN3oX0AAokI3.jpg</t>
  </si>
  <si>
    <t>https://t.co/AYVP9h8WZs https://pbs.twimg.com/media/F2hkkvqawAA-eSy.jpg</t>
  </si>
  <si>
    <t>https://t.co/wEDR56XtW1 https://pbs.twimg.com/ext_tw_video_thumb/1658739712188620801/pu/img/p5Pz40OdPqM7R6i_.jpg</t>
  </si>
  <si>
    <t>https://t.co/9x4KCFOTcp https://pbs.twimg.com/ext_tw_video_thumb/1692201693461512192/pu/img/uKxAIFrFZJoLMamT.jpg</t>
  </si>
  <si>
    <t>https://t.co/ZL07QRR2vG https://pbs.twimg.com/media/Frz4-k6XwAIqTLU.jpg</t>
  </si>
  <si>
    <t>https://t.co/HGmpofy19d https://pbs.twimg.com/media/FwfVyyBWwAEx8jm.jpg</t>
  </si>
  <si>
    <t>https://t.co/GoDWx77Qhh https://pbs.twimg.com/media/Fzye3ZcWIAAQ65j.jpg</t>
  </si>
  <si>
    <t>https://t.co/8wjAjBO6jy https://pbs.twimg.com/media/FwaMkXXWwAArbgr.jpg</t>
  </si>
  <si>
    <t>https://t.co/4tfdzAhSxX https://pbs.twimg.com/media/FwQh5tyaAAQVr0i.jpg</t>
  </si>
  <si>
    <t>https://t.co/PYBhtL85sb https://pbs.twimg.com/media/FwLY_kEXoAACTca.jpg</t>
  </si>
  <si>
    <t>https://t.co/c3MBhZLF7i https://pbs.twimg.com/ext_tw_video_thumb/1658173204098105346/pu/img/ddDXNbhyHZQ2ARzM.jpg</t>
  </si>
  <si>
    <t>https://t.co/F9rnRRVPTY https://pbs.twimg.com/media/Fr02xIzWYAALacT.jpg</t>
  </si>
  <si>
    <t>https://t.co/ZDUt8D7cLQ https://t.co/ZDUt8D7cLQ https://t.co/ZDUt8D7cLQ https://pbs.twimg.com/media/F0IOq13acAErIFU.jpg https://pbs.twimg.com/media/F0IOq2HaEAEpQHt.jpg https://pbs.twimg.com/media/F0IOq15aEAAJTCa.jpg</t>
  </si>
  <si>
    <t>https://t.co/PCRJhTPtkw https://pbs.twimg.com/media/Foh7hrfWcAIjM8m.jpg</t>
  </si>
  <si>
    <t>https://t.co/VfHPYsWQjA https://pbs.twimg.com/ext_tw_video_thumb/1621299156361822208/pu/img/dWkeg8y4ELUBIMGN.jpg</t>
  </si>
  <si>
    <t>https://t.co/0dOITGmgiX https://pbs.twimg.com/ext_tw_video_thumb/1672430839966187520/pu/img/kFnVSnq2PrCMYX2D.jpg</t>
  </si>
  <si>
    <t>https://t.co/RUDrlPjwBa https://pbs.twimg.com/media/FwMbna_WcAA0XaP.jpg</t>
  </si>
  <si>
    <t>https://t.co/f4PLNaG8BH https://pbs.twimg.com/ext_tw_video_thumb/1635670948257955841/pu/img/wY8uroAKah4bIgtv.jpg</t>
  </si>
  <si>
    <t>https://t.co/QNgAR68qcH https://pbs.twimg.com/ext_tw_video_thumb/1633123193182474241/pu/img/3YDX5O_BVr9w4JVH.jpg</t>
  </si>
  <si>
    <t>https://t.co/EUp0XDX0SK https://pbs.twimg.com/ext_tw_video_thumb/1631384235331166213/pu/img/ZsDELt2ELoIYiS9D.jpg</t>
  </si>
  <si>
    <t>https://t.co/6ze8pIrjOn https://pbs.twimg.com/ext_tw_video_thumb/1630662990914527252/pu/img/-FlKF0jySPnkLjbH.jpg</t>
  </si>
  <si>
    <t>https://t.co/rqOIkJJbf5 https://pbs.twimg.com/ext_tw_video_thumb/1630342376521703424/pu/img/cecbaLe_8EQxG3xv.jpg</t>
  </si>
  <si>
    <t>https://t.co/PfEhrhi2Gf https://pbs.twimg.com/ext_tw_video_thumb/1635295938012123136/pu/img/uXcj8GAQv27KCa-x.jpg</t>
  </si>
  <si>
    <t>https://t.co/zl4Z6TRouQ https://pbs.twimg.com/ext_tw_video_thumb/1634977943242915850/pu/img/QyG2bTfsFOFCjcG0.jpg</t>
  </si>
  <si>
    <t>https://t.co/OIACWT8m23 https://pbs.twimg.com/ext_tw_video_thumb/1634615535873785857/pu/img/2rnquwb0CCwblxp8.jpg</t>
  </si>
  <si>
    <t>https://t.co/g5zHi0Lmi3 https://pbs.twimg.com/ext_tw_video_thumb/1638556472513556483/pu/img/g2IHM_9vxTVGiqbV.jpg</t>
  </si>
  <si>
    <t>https://t.co/nUhCyEvbEt https://pbs.twimg.com/ext_tw_video_thumb/1638193855693553664/pu/img/MEi9_VuHq3ts7VWj.jpg</t>
  </si>
  <si>
    <t>https://t.co/Xm1irHKPtp https://pbs.twimg.com/ext_tw_video_thumb/1637106660656259075/pu/img/1exYd7iDlM1TqpFB.jpg</t>
  </si>
  <si>
    <t>https://t.co/mZJz1jVnim https://pbs.twimg.com/media/Fq4nbjCWwAAeIlx.jpg</t>
  </si>
  <si>
    <t>https://t.co/Siq3WaJ4Hc https://pbs.twimg.com/media/FmBwsjvX0AE7l0G.png</t>
  </si>
  <si>
    <t>https://t.co/km1I8jwHyC https://pbs.twimg.com/media/FvnVWppXsAIfKyZ.png</t>
  </si>
  <si>
    <t>https://t.co/PK5UViHY24 https://pbs.twimg.com/media/F4O8wprWAAES5EY.jpg</t>
  </si>
  <si>
    <t>https://t.co/LIFkC2ysWN https://pbs.twimg.com/media/FwMciksWIAcWjUN.jpg</t>
  </si>
  <si>
    <t>https://t.co/Ua3rvmKa2S https://pbs.twimg.com/media/Fvxv1A6aMAETcGY.jpg</t>
  </si>
  <si>
    <t>https://t.co/Iav12KFDpz https://pbs.twimg.com/media/FtdaU3CWwAA0Y1C.jpg</t>
  </si>
  <si>
    <t>https://t.co/OywTfz3hR6 https://pbs.twimg.com/media/FujvQSNXsAQuT9C.jpg</t>
  </si>
  <si>
    <t>https://t.co/Ls8ebNiiWh https://t.co/Ls8ebNiiWh https://pbs.twimg.com/media/FqizVH3WcAIJ_IH.jpg https://pbs.twimg.com/media/FqizVH2XgAMBOM-.jpg</t>
  </si>
  <si>
    <t>https://t.co/MXX4r0UpbP https://t.co/MXX4r0UpbP https://pbs.twimg.com/media/Fs8u1J6WYAExsy8.jpg https://pbs.twimg.com/media/Fs8u1KNWIAUB0RP.jpg</t>
  </si>
  <si>
    <t>https://t.co/irVbOrQM70 https://t.co/irVbOrQM70 https://pbs.twimg.com/media/Fs8uIt9WcAQzmIT.jpg https://pbs.twimg.com/media/Fs8uIuSWcAEyhBL.jpg</t>
  </si>
  <si>
    <t>https://t.co/USrsC7zxcr https://pbs.twimg.com/media/FslE4TaWcAcmLlo.jpg</t>
  </si>
  <si>
    <t>https://t.co/yd70jp0daB https://pbs.twimg.com/media/FsflpC2WIAQ1IYc.jpg</t>
  </si>
  <si>
    <t>https://t.co/cQDmjsDImo https://pbs.twimg.com/media/FleIRozWAAIOIEu.jpg</t>
  </si>
  <si>
    <t>https://t.co/JsSMXmCPhh https://pbs.twimg.com/ext_tw_video_thumb/1609904580745207809/pu/img/LQ234SxsWXrSPLJA.jpg</t>
  </si>
  <si>
    <t>https://t.co/lsS54fsVzM https://pbs.twimg.com/media/Fu6cTV8XsAIbXb9.jpg</t>
  </si>
  <si>
    <t>https://t.co/ioscEpoImG https://pbs.twimg.com/ext_tw_video_thumb/1636784038189973517/pu/img/gxK0jDgN28cOCgXT.jpg</t>
  </si>
  <si>
    <t>https://t.co/5xKcEoumDs https://pbs.twimg.com/ext_tw_video_thumb/1613235779051872258/pu/img/c6Mw82mITEatMbp-.jpg</t>
  </si>
  <si>
    <t>https://t.co/5hdMkoPYNc https://pbs.twimg.com/media/F5bUpHlaQAAdPPI.jpg</t>
  </si>
  <si>
    <t>https://t.co/2OJt2EVAXO https://t.co/2OJt2EVAXO https://pbs.twimg.com/media/FrrtbL4XgAICNvV.jpg https://pbs.twimg.com/media/FrrtbLrWIA07E4A.jpg</t>
  </si>
  <si>
    <t>https://t.co/U86mQ7TxCt https://pbs.twimg.com/media/FrIgY77XsAEGtjL.jpg</t>
  </si>
  <si>
    <t>https://t.co/clh2F0yZUG https://pbs.twimg.com/ext_tw_video_thumb/1648509607701270529/pu/img/y_ecv5G_JQK6kl_s.jpg</t>
  </si>
  <si>
    <t>https://t.co/2sMtgxofqf https://pbs.twimg.com/media/F4EEsMBWkAE6AKU.jpg</t>
  </si>
  <si>
    <t>https://t.co/zp1QiuD8QP https://pbs.twimg.com/media/FoNTVPwXwAE2hYn.jpg</t>
  </si>
  <si>
    <t>https://t.co/sHBvnifPD6 https://pbs.twimg.com/media/Fmcd_2wXwAA3Dgx.jpg</t>
  </si>
  <si>
    <t>https://t.co/n6K6oZLRRn https://pbs.twimg.com/media/F5naKBQXQAAP9BK.jpg</t>
  </si>
  <si>
    <t>https://t.co/d7fV7zdh0t https://pbs.twimg.com/media/F0_S-6FWYAABd9w.jpg</t>
  </si>
  <si>
    <t>https://t.co/ptbbH38y5T https://t.co/ptbbH38y5T https://t.co/ptbbH38y5T https://pbs.twimg.com/media/FlqQ_KHWAAA9P04.jpg https://pbs.twimg.com/media/FlqQ_JTXEAo2NYX.png https://pbs.twimg.com/media/FlqQ_I_XEBk3vsG.png</t>
  </si>
  <si>
    <t>https://t.co/HoyNZ0Es7S https://t.co/HoyNZ0Es7S https://t.co/HoyNZ0Es7S https://pbs.twimg.com/media/FmmAgp-XEAQX_h2.jpg https://pbs.twimg.com/media/FmmAgoEWYAM7xOl.jpg https://pbs.twimg.com/media/FmmAgoEXgAElNf7.jpg</t>
  </si>
  <si>
    <t>https://t.co/kGUWRP9UsY https://pbs.twimg.com/ext_tw_video_thumb/1674153058161377283/pu/img/ofT-SsOgaHcAIsdv.jpg</t>
  </si>
  <si>
    <t>https://t.co/RtLJLv7weK https://pbs.twimg.com/ext_tw_video_thumb/1701689301145141248/pu/img/NWIQNHtQtcK7OQdL.jpg</t>
  </si>
  <si>
    <t>https://t.co/tUiU0Oqwez https://pbs.twimg.com/ext_tw_video_thumb/1632866220058738694/pu/img/rp3_3Mes5mSt17aL.jpg</t>
  </si>
  <si>
    <t>https://t.co/4ecTEqCBs1 https://t.co/4ecTEqCBs1 https://t.co/4ecTEqCBs1 https://pbs.twimg.com/media/Fr1LP_rWcAQeHoX.jpg https://pbs.twimg.com/media/Fr1LP_wWAAAIzvF.jpg https://pbs.twimg.com/media/Fr1LP_rWIAMiPRC.jpg</t>
  </si>
  <si>
    <t>https://t.co/Z72bkTjg0h https://t.co/Z72bkTjg0h https://t.co/Z72bkTjg0h https://t.co/Z72bkTjg0h https://pbs.twimg.com/media/Fnvz6QaXoAcIzxy.jpg https://pbs.twimg.com/media/Fnvz6QdXwAMgewd.jpg https://pbs.twimg.com/media/Fnvz6QZXoAgL5YK.jpg https://pbs.twimg.com/media/Fnvz6QYX0AMTfw5.jpg</t>
  </si>
  <si>
    <t>https://t.co/kW1YsoeoiL https://pbs.twimg.com/media/FuGVIm9XsAEanRo.jpg</t>
  </si>
  <si>
    <t>https://t.co/mol9adOGAI https://t.co/mol9adOGAI https://pbs.twimg.com/media/FyDIhdfWYAIVheh.jpg https://pbs.twimg.com/media/FyDIhddWYAk_Jt4.jpg</t>
  </si>
  <si>
    <t>https://t.co/reAY8A6wMI https://pbs.twimg.com/ext_tw_video_thumb/1641056362615517188/pu/img/b_wW0UVkyUBRMsD7.jpg</t>
  </si>
  <si>
    <t>https://t.co/nQBkz1rVO2 https://pbs.twimg.com/media/F2jtc1qX0AArbcL.jpg</t>
  </si>
  <si>
    <t>https://t.co/xbep2oTWGv https://pbs.twimg.com/media/F5OqDwzW0AATT-D.jpg</t>
  </si>
  <si>
    <t>https://t.co/VYpLBcTZOe https://pbs.twimg.com/amplify_video_thumb/1650264956233711616/img/HIrwLSVGOu6CLhf1.jpg</t>
  </si>
  <si>
    <t>https://t.co/Vr9t5VBNlj https://pbs.twimg.com/media/Fvz85H2WAAEQ0fh.jpg</t>
  </si>
  <si>
    <t>https://t.co/gUdLBgstJX https://pbs.twimg.com/amplify_video_thumb/1651046591342452736/img/rVnH9gjuzHIGLjY6.jpg</t>
  </si>
  <si>
    <t>https://t.co/7arIYO8D3m https://pbs.twimg.com/amplify_video_thumb/1651046591342452736/img/rVnH9gjuzHIGLjY6.jpg</t>
  </si>
  <si>
    <t>https://t.co/Pymolx76RI https://pbs.twimg.com/amplify_video_thumb/1659011495068409856/img/GsKjhQVgZgq8Jkg2.jpg</t>
  </si>
  <si>
    <t>https://t.co/QMBfqWKJBK https://pbs.twimg.com/ext_tw_video_thumb/1662244606593978370/pu/img/g4xnu_bHoNN7eTC_.jpg</t>
  </si>
  <si>
    <t>https://t.co/DyJQVOWWy6 https://pbs.twimg.com/amplify_video_thumb/1633118288677830658/img/aacE2lFlp03bR4NV.jpg</t>
  </si>
  <si>
    <t>https://t.co/TEUxAeLwBY https://t.co/TEUxAeLwBY https://pbs.twimg.com/media/F2sMm12XgAAjypT.jpg https://pbs.twimg.com/media/F2sMm12WMAAwGJ5.jpg</t>
  </si>
  <si>
    <t>https://t.co/94zq7iGjGF https://t.co/94zq7iGjGF https://pbs.twimg.com/media/F2JAnEiWsAAhVuQ.jpg https://pbs.twimg.com/media/F2JAnEiWsAkGrMp.jpg</t>
  </si>
  <si>
    <t>https://t.co/ujMI2XmDXi https://pbs.twimg.com/tweet_video_thumb/Fy1aOH0WcAAvImA.jpg</t>
  </si>
  <si>
    <t>https://t.co/QxUvzcedIh https://pbs.twimg.com/media/F1grgFhX0AEq5bO.jpg</t>
  </si>
  <si>
    <t>https://t.co/E5dmqTv8qg https://pbs.twimg.com/media/F56Lsi9WoAAFRKR.jpg</t>
  </si>
  <si>
    <t>https://t.co/LUFLplyX2U https://pbs.twimg.com/media/Fwvd6FFXoAcuWHc.jpg</t>
  </si>
  <si>
    <t>https://t.co/9Fz2QxxwIT https://pbs.twimg.com/media/FyV64XKWYAIJNsv.jpg</t>
  </si>
  <si>
    <t>https://t.co/a9M6QKNToc https://pbs.twimg.com/media/FyL908SWwAUVg3q.jpg</t>
  </si>
  <si>
    <t>https://t.co/quKjeBnrfV https://pbs.twimg.com/media/FpxHxNqXwAE79-a.jpg</t>
  </si>
  <si>
    <t>https://t.co/kQgzID2Fqn https://pbs.twimg.com/tweet_video_thumb/F3MA0cIWsAELGyU.jpg</t>
  </si>
  <si>
    <t>https://t.co/dlIvPSdHch https://pbs.twimg.com/ext_tw_video_thumb/1661725228966244352/pu/img/nr3mRzvbXo0WZx8W.jpg</t>
  </si>
  <si>
    <t>https://t.co/79nVM7UX5d https://pbs.twimg.com/media/FoIhLanX0AActYG.jpg</t>
  </si>
  <si>
    <t>https://t.co/0Uql0q79kZ https://pbs.twimg.com/ext_tw_video_thumb/1684565714005536769/pu/img/4doOkB1WbtsxCeHC.jpg</t>
  </si>
  <si>
    <t>https://t.co/uTzWWi8lzL https://pbs.twimg.com/ext_tw_video_thumb/1684578010467549188/pu/img/1HYvZEzhyL824Km3.jpg</t>
  </si>
  <si>
    <t>https://t.co/ZepgqJobKy https://t.co/ZepgqJobKy https://t.co/ZepgqJobKy https://t.co/ZepgqJobKy https://pbs.twimg.com/media/F4JDU06bEAEr4xI.jpg https://pbs.twimg.com/media/F4JDVS0aAAAknFT.jpg https://pbs.twimg.com/media/F4JDVu6aQAEqK6T.jpg https://pbs.twimg.com/media/F4JDWLpaAAAcq_8.jpg</t>
  </si>
  <si>
    <t>https://t.co/iXVfcfGwK9 https://t.co/iXVfcfGwK9 https://t.co/iXVfcfGwK9 https://t.co/iXVfcfGwK9 https://pbs.twimg.com/media/FqGkTHZWcAI63Wj.jpg https://pbs.twimg.com/media/FqGkTxzXsAElsuB.jpg https://pbs.twimg.com/media/FqGkUZXWAAI-dmI.jpg https://pbs.twimg.com/media/FqGkWByXoAIyy6z.jpg</t>
  </si>
  <si>
    <t>https://t.co/EwmnvUhb5V https://pbs.twimg.com/media/FvJtNm2X0AwC-bk.jpg</t>
  </si>
  <si>
    <t>https://t.co/3dVup0taYw https://pbs.twimg.com/amplify_video_thumb/1682392379901313024/img/mDzOaVq4eAZ_GEgH.jpg</t>
  </si>
  <si>
    <t>https://t.co/rkjmv8jYWf https://pbs.twimg.com/media/FpGak2WaYAIkM-B.jpg</t>
  </si>
  <si>
    <t>https://t.co/52sRZH4Jf0 https://pbs.twimg.com/media/FpF4VWuaYAERDqf.jpg</t>
  </si>
  <si>
    <t>https://t.co/fvvyiV6sPD https://pbs.twimg.com/media/FqjT-wBXwAADoUp.jpg</t>
  </si>
  <si>
    <t>https://t.co/8zshgKPNXY https://pbs.twimg.com/media/FqS9-4oWAAQpXep.jpg</t>
  </si>
  <si>
    <t>https://t.co/X6WQ9r4hxk https://pbs.twimg.com/media/FqJ-V1gXgAorY7l.jpg</t>
  </si>
  <si>
    <t>https://t.co/0jTnOpRjfi https://pbs.twimg.com/media/FqJnPeZWAAwnGqh.jpg</t>
  </si>
  <si>
    <t>https://t.co/B9GJRjYdkx https://pbs.twimg.com/media/Fo8AZEXXoAEByOK.jpg</t>
  </si>
  <si>
    <t>https://t.co/pGBZ75L985 https://pbs.twimg.com/media/Fo7Q0xtXEAM0pp-.jpg</t>
  </si>
  <si>
    <t>https://t.co/ltth6MEpcs https://pbs.twimg.com/media/Fo3-XV4WcBsGhkW.jpg</t>
  </si>
  <si>
    <t>https://t.co/94jAts1DhO https://pbs.twimg.com/media/Fo3hQAHWcAIiGwx.jpg</t>
  </si>
  <si>
    <t>https://t.co/PHGdNJcxuN https://pbs.twimg.com/media/Fo2q__UagAEtI3C.jpg</t>
  </si>
  <si>
    <t>https://t.co/FdzhWP3064 https://pbs.twimg.com/media/Fo2ayBMXoAMxJ2k.jpg</t>
  </si>
  <si>
    <t>https://t.co/auod5KJGhi https://pbs.twimg.com/media/Fo2LTULXsAAfepw.jpg</t>
  </si>
  <si>
    <t>https://t.co/AvEpaVodyr https://pbs.twimg.com/media/FomcgqlXgAIOrK-.jpg</t>
  </si>
  <si>
    <t>https://t.co/EiRgdy5ODV https://pbs.twimg.com/media/Fq5Cr1QWYAA5vE8.jpg</t>
  </si>
  <si>
    <t>https://t.co/Ujto6K4PuG https://pbs.twimg.com/media/Fq4YUxmXsAAivFD.jpg</t>
  </si>
  <si>
    <t>https://t.co/9Ah8qc3kGb https://pbs.twimg.com/media/Fqz2KArWYAgfAL7.jpg</t>
  </si>
  <si>
    <t>https://t.co/MkiJvTodOE https://pbs.twimg.com/media/FqzhvzbXgAMKWTp.jpg</t>
  </si>
  <si>
    <t>https://t.co/58OIC5SIoE https://pbs.twimg.com/media/FqzJ9QuWwAMFrP5.jpg</t>
  </si>
  <si>
    <t>https://t.co/ZLUxFSmZkn https://pbs.twimg.com/media/FmIyTTNWIBECnVk.jpg</t>
  </si>
  <si>
    <t>https://t.co/3kNUONmR5W https://pbs.twimg.com/media/FmDYeX4WYA8Elcf.jpg</t>
  </si>
  <si>
    <t>https://t.co/zUkwJdXFsb https://pbs.twimg.com/media/FrSVToyWYAAQ7tx.jpg</t>
  </si>
  <si>
    <t>https://t.co/QVuTq34y20 https://pbs.twimg.com/media/FrMKwOrXgAM27XR.jpg</t>
  </si>
  <si>
    <t>https://t.co/hVG1ZvfIPt https://pbs.twimg.com/media/FrLabUQWwAEtVqp.jpg</t>
  </si>
  <si>
    <t>https://t.co/qaizpviDm7 https://pbs.twimg.com/media/FrILVn2XgAE4ECu.jpg</t>
  </si>
  <si>
    <t>https://t.co/wbHorWbL8S https://pbs.twimg.com/media/FrH5rqSWcAQz0xD.jpg</t>
  </si>
  <si>
    <t>https://t.co/1tKqC61daJ https://pbs.twimg.com/media/FrG_UcfX0AI2fon.jpg</t>
  </si>
  <si>
    <t>https://t.co/IuJp51iZsA https://pbs.twimg.com/media/FrGkTJlWAAAaWva.jpg</t>
  </si>
  <si>
    <t>https://t.co/4n3HvakV7s https://pbs.twimg.com/media/Fq71MTVXwAAX20v.jpg</t>
  </si>
  <si>
    <t>https://t.co/DbT5LSNrdO https://pbs.twimg.com/media/FprU1OCXoAUURTN.jpg</t>
  </si>
  <si>
    <t>https://t.co/IlzDkoyMUy https://pbs.twimg.com/media/FpktybfWcAAI7Jb.jpg</t>
  </si>
  <si>
    <t>https://t.co/cLsMdzj79W https://pbs.twimg.com/media/Fpkje3DX0AE8TJ_.jpg</t>
  </si>
  <si>
    <t>https://t.co/pRJoLahPOM https://pbs.twimg.com/media/FleFswsWYAQDxd_.jpg</t>
  </si>
  <si>
    <t>https://t.co/8s3mBbXIu3 https://pbs.twimg.com/media/Fr25xynXwAE4Kxd.jpg</t>
  </si>
  <si>
    <t>https://t.co/tGu2mTUaPq https://pbs.twimg.com/media/Fr2c7OAXsAElIU3.jpg</t>
  </si>
  <si>
    <t>https://t.co/GK1NcdDuhM https://pbs.twimg.com/media/FrsSQgLXsAExQgV.jpg</t>
  </si>
  <si>
    <t>https://t.co/b3smBuULuh https://pbs.twimg.com/media/Frr8_yPXsAYWMyV.jpg</t>
  </si>
  <si>
    <t>https://t.co/OnDr0IqjPe https://pbs.twimg.com/media/FrqrHWzWIAEJCWO.jpg</t>
  </si>
  <si>
    <t>https://t.co/JuPJG4qizl https://pbs.twimg.com/media/FrqcAeSXwAUbf8h.jpg</t>
  </si>
  <si>
    <t>https://t.co/iitrJX2f39 https://pbs.twimg.com/media/Fn97sL9aMAAj3RJ.jpg</t>
  </si>
  <si>
    <t>https://t.co/22xf4XH2Fi https://pbs.twimg.com/media/Fn6O8SmWYAEZKD_.jpg</t>
  </si>
  <si>
    <t>https://t.co/i3NDS6q8vz https://pbs.twimg.com/media/FnfxqBwacAYBCde.jpg</t>
  </si>
  <si>
    <t>https://t.co/j2OzdhGrnM https://pbs.twimg.com/media/FsVcvIQXgAcOSUY.jpg</t>
  </si>
  <si>
    <t>https://t.co/ESReRV3EO2 https://pbs.twimg.com/media/FsVbLeyXwAMSc-B.jpg</t>
  </si>
  <si>
    <t>https://t.co/KvLZLauszq https://pbs.twimg.com/media/FsUv4LDWIAoX9f8.jpg</t>
  </si>
  <si>
    <t>https://t.co/6kSsme2q2U https://pbs.twimg.com/media/FsUM4b2XoAM1f5c.jpg</t>
  </si>
  <si>
    <t>https://t.co/YerT3QZ0cy https://pbs.twimg.com/media/FsT0LojWwAEldWf.jpg</t>
  </si>
  <si>
    <t>https://t.co/bBVP3JYhuM https://pbs.twimg.com/media/FohS6NUXsAAN8ti.jpg</t>
  </si>
  <si>
    <t>https://t.co/S6u5w4ub0Z https://pbs.twimg.com/media/FoZEhl9WcA8O4lC.jpg</t>
  </si>
  <si>
    <t>https://t.co/mG4fFF5GQQ https://pbs.twimg.com/media/Fx4VcvmaEAA-4Uc.jpg</t>
  </si>
  <si>
    <t>https://t.co/FEsKs7mxl5 https://pbs.twimg.com/media/FllrEsQXgAErd__.jpg</t>
  </si>
  <si>
    <t>https://t.co/0Qm14VstL4 https://pbs.twimg.com/media/FqnwVgJXsAEpCdM.jpg</t>
  </si>
  <si>
    <t>https://t.co/ZQKtika9qT https://pbs.twimg.com/media/FqiiuzCWwAEM-Pu.jpg</t>
  </si>
  <si>
    <t>https://t.co/VvoZtrOGx7 https://pbs.twimg.com/ext_tw_video_thumb/1631416169423831040/pu/img/Ui2aBohEeGLKGlRd.jpg</t>
  </si>
  <si>
    <t>https://t.co/d45Pv90QKA https://pbs.twimg.com/ext_tw_video_thumb/1631052360943386626/pu/img/1DRZvtj-Nv8toeF4.jpg</t>
  </si>
  <si>
    <t>https://t.co/CC0MVVuzxC https://pbs.twimg.com/ext_tw_video_thumb/1638684127166713856/pu/img/uvf6fQmInDPculWR.jpg</t>
  </si>
  <si>
    <t>https://t.co/u5SA12bfke https://pbs.twimg.com/media/FrxjEmAXwAAuZz4.jpg</t>
  </si>
  <si>
    <t>https://t.co/gPxRAUKmLJ https://pbs.twimg.com/ext_tw_video_thumb/1621266048988200961/pu/img/2kolVj6HrFGSXePB.jpg</t>
  </si>
  <si>
    <t>https://t.co/xhNbbY6Rfj https://pbs.twimg.com/ext_tw_video_thumb/1620917681384718338/pu/img/8Je7BkHuq30GxviB.jpg</t>
  </si>
  <si>
    <t>https://t.co/3gEbvLG8jI https://pbs.twimg.com/ext_tw_video_thumb/1620191770041585666/pu/img/SBWkugO4ebOmKGEp.jpg</t>
  </si>
  <si>
    <t>https://t.co/wevvTFYCqq https://pbs.twimg.com/ext_tw_video_thumb/1619108790074331137/pu/img/2bOpdJv9cfzH1Myc.jpg</t>
  </si>
  <si>
    <t>https://t.co/0rJYqa5ziU https://pbs.twimg.com/ext_tw_video_thumb/1618742636218667010/pu/img/M5PaYwWAjbcyDeT4.jpg</t>
  </si>
  <si>
    <t>https://t.co/D71A4rQX9a https://pbs.twimg.com/ext_tw_video_thumb/1639382088674582528/pu/img/4AshUH3SrdjzRH1c.jpg</t>
  </si>
  <si>
    <t>https://t.co/6nUOiuKD3J https://pbs.twimg.com/media/Fr75NMTX0AEjMZw.jpg</t>
  </si>
  <si>
    <t>https://t.co/c4Nfiml76B https://pbs.twimg.com/ext_tw_video_thumb/1622719791327809543/pu/img/Yl95mipxEq7c6M45.jpg</t>
  </si>
  <si>
    <t>https://t.co/DPA6YUqnvu https://pbs.twimg.com/ext_tw_video_thumb/1621660583585005571/pu/img/MHr-hQuTHTGA7cL-.jpg</t>
  </si>
  <si>
    <t>https://t.co/dTDuBJ1TvJ https://pbs.twimg.com/ext_tw_video_thumb/1636871745121427457/pu/img/rzaxlU8tUoJsq_TU.jpg</t>
  </si>
  <si>
    <t>https://t.co/T8ykNcTA1H https://pbs.twimg.com/ext_tw_video_thumb/1633957977425158144/pu/img/4L6RHxac22KfaDxE.jpg</t>
  </si>
  <si>
    <t>https://t.co/U4cHVZTTVP https://pbs.twimg.com/media/FrX0oVOXoAESsjf.jpg</t>
  </si>
  <si>
    <t>https://t.co/ivK0FnJXi5 https://pbs.twimg.com/media/FrSiY_RWwAE2pLe.jpg</t>
  </si>
  <si>
    <t>https://t.co/DtLohLMZDj https://pbs.twimg.com/media/FrNkP_EXsAIuWQE.jpg</t>
  </si>
  <si>
    <t>https://t.co/mMDCaoDQyT https://pbs.twimg.com/media/FrIn5XKWAAA3I6h.jpg</t>
  </si>
  <si>
    <t>https://t.co/9tUxiFxb0N https://pbs.twimg.com/media/FteB_mTXgAAsomc.jpg</t>
  </si>
  <si>
    <t>https://t.co/xcvSmQgdLw https://pbs.twimg.com/ext_tw_video_thumb/1634331334939230208/pu/img/7hXCdmkSngtnP6ad.jpg</t>
  </si>
  <si>
    <t>https://t.co/MGDPuFYqRK https://pbs.twimg.com/ext_tw_video_thumb/1629250684087304192/pu/img/DVsBfkBXS3Xa-49n.jpg</t>
  </si>
  <si>
    <t>https://t.co/jxLk9NWmwb https://pbs.twimg.com/ext_tw_video_thumb/1628523612096307216/pu/img/Rjs3asoaiCgMSl3D.jpg</t>
  </si>
  <si>
    <t>https://t.co/B6ezfGmpWm https://pbs.twimg.com/ext_tw_video_thumb/1626714679304126465/pu/img/ZO-DQxhUUH7Xes-n.jpg</t>
  </si>
  <si>
    <t>https://t.co/xjW42Is5uE https://pbs.twimg.com/ext_tw_video_thumb/1626338988062658560/pu/img/Pf6qDqtG1KOvxkJ-.jpg</t>
  </si>
  <si>
    <t>https://t.co/eK9Gv3UR7a https://pbs.twimg.com/ext_tw_video_thumb/1645547985982435329/pu/img/A04W_iWywv8yOMNw.jpg</t>
  </si>
  <si>
    <t>https://t.co/mLdXfvzmi6 https://pbs.twimg.com/ext_tw_video_thumb/1625625125121933312/pu/img/CQanUVY5x5UrN6D-.jpg</t>
  </si>
  <si>
    <t>https://t.co/36xgep0Bow https://pbs.twimg.com/ext_tw_video_thumb/1625266021413097472/pu/img/8wSfcmM9XJrrecqL.jpg</t>
  </si>
  <si>
    <t>https://t.co/fstOOurZM8 https://pbs.twimg.com/ext_tw_video_thumb/1624186885089140736/pu/img/nKfZ6I-zaRvekTnt.jpg</t>
  </si>
  <si>
    <t>https://t.co/uPRm5XaP02 https://pbs.twimg.com/ext_tw_video_thumb/1623812367002787841/pu/img/gP3sKAw9Fh3g99es.jpg</t>
  </si>
  <si>
    <t>https://t.co/dv2PccHMmI https://pbs.twimg.com/media/FvN1VmlWYAQscay.jpg</t>
  </si>
  <si>
    <t>https://t.co/ksE7PgXYbD https://pbs.twimg.com/media/FpvJ4RMXsAEXmrp.jpg</t>
  </si>
  <si>
    <t>https://t.co/zD8Rptxdke https://pbs.twimg.com/media/Fuq_IQ3X0AM1cnt.jpg</t>
  </si>
  <si>
    <t>https://t.co/53rzq4Qphk https://pbs.twimg.com/media/Fxh5CEAWcAAG0uC.jpg</t>
  </si>
  <si>
    <t>https://t.co/CxE9OEw6hB https://pbs.twimg.com/media/FxTMD7gXwAEiokm.jpg</t>
  </si>
  <si>
    <t>https://t.co/4ltPnIlFIm https://pbs.twimg.com/media/FtH7c3SXwAEjW-W.jpg</t>
  </si>
  <si>
    <t>https://t.co/tcjazyJUha https://pbs.twimg.com/media/Fu8QVBUWIAEpNrX.png</t>
  </si>
  <si>
    <t>https://t.co/Ask45F8Q70 https://pbs.twimg.com/media/FmxakvlWAAsCgXc.jpg</t>
  </si>
  <si>
    <t>https://t.co/EmFzldT8zm https://pbs.twimg.com/media/Flzn_EOWQBg4Hp3.jpg</t>
  </si>
  <si>
    <t>https://t.co/063oSUpI7M https://pbs.twimg.com/media/FygfQ2uaYAE2jvl.png</t>
  </si>
  <si>
    <t>https://t.co/wLctZT2aHh https://pbs.twimg.com/media/FpwBEqMX0AIhS94.jpg</t>
  </si>
  <si>
    <t>https://t.co/O8AIvsfmZb https://pbs.twimg.com/media/FzKhrgLWYAEY4A-.jpg</t>
  </si>
  <si>
    <t>https://t.co/q93nBmYHdF https://pbs.twimg.com/media/FvYUe6rWIAEFOrf.jpg</t>
  </si>
  <si>
    <t>https://t.co/4IovlWI5iA https://pbs.twimg.com/media/F1G1QZbX0AAFXWo.png</t>
  </si>
  <si>
    <t>https://t.co/0FNTJ7N0qz https://pbs.twimg.com/media/FsUT6ckXoAMQ46c.jpg</t>
  </si>
  <si>
    <t>https://t.co/3IlivlYWju https://pbs.twimg.com/media/FoGA8HMXwAYTfyS.jpg</t>
  </si>
  <si>
    <t>https://t.co/dyBzfMGrKa https://pbs.twimg.com/media/F2cwo2FagAAtJoi.png</t>
  </si>
  <si>
    <t>https://t.co/b32vSUHooY https://pbs.twimg.com/media/Fs4tXKYWYAcdxfG.jpg</t>
  </si>
  <si>
    <t>https://t.co/MlOVrMPfC5 https://t.co/MlOVrMPfC5 https://pbs.twimg.com/media/Fska0ThWAAE-QBY.jpg https://pbs.twimg.com/media/Fska0UNWYBUjQK4.jpg</t>
  </si>
  <si>
    <t>https://t.co/CxmxbmV7pn https://pbs.twimg.com/media/F5llzeoXcAA8TBm.png</t>
  </si>
  <si>
    <t>https://t.co/pyzKCZAymE https://pbs.twimg.com/media/F5VS__VXIAAmJOY.jpg</t>
  </si>
  <si>
    <t>https://t.co/fmJ3aw2xPo https://pbs.twimg.com/media/F2BoLFBXgAEjwYM.jpg</t>
  </si>
  <si>
    <t>https://t.co/WaOLhl6km1 https://pbs.twimg.com/media/FuOiqJuWYAIaScy.jpg</t>
  </si>
  <si>
    <t>https://t.co/FP5LDeUI16 https://pbs.twimg.com/media/FuAq_6CXwAIQELp.jpg</t>
  </si>
  <si>
    <t>https://t.co/zJeOv94fN9 https://pbs.twimg.com/media/FqOr93wXoAMC6SM.jpg</t>
  </si>
  <si>
    <t>https://t.co/qCAd0zQP0h https://pbs.twimg.com/media/FriI6RZWYAIvWwc.jpg</t>
  </si>
  <si>
    <t>https://t.co/UfECmKGl1N https://pbs.twimg.com/media/F24m-z_WgAAgVP0.jpg</t>
  </si>
  <si>
    <t>https://t.co/ErQ4epUdOn https://pbs.twimg.com/media/F0s9i_BWcAcsg_-.jpg</t>
  </si>
  <si>
    <t>https://t.co/qNr2TqNqsI https://pbs.twimg.com/media/F5WHrSmXgAAqHYs.jpg</t>
  </si>
  <si>
    <t>https://t.co/SCtbDHiLok https://pbs.twimg.com/media/Fqo4KWwXoAMgVTg.jpg</t>
  </si>
  <si>
    <t>https://t.co/CPpgGZSWra https://pbs.twimg.com/media/F3k8U2WakAAyQAz.jpg</t>
  </si>
  <si>
    <t>https://t.co/C8V3ibJLJT https://pbs.twimg.com/media/FzGGMwhWwAQeRI9.jpg</t>
  </si>
  <si>
    <t>https://t.co/mUIz9oqWxe https://pbs.twimg.com/media/FxYLbxtXsAAOt49.jpg</t>
  </si>
  <si>
    <t>https://t.co/aQZv3CqKrV https://pbs.twimg.com/media/Fzl55OpXgAQOPU5.jpg</t>
  </si>
  <si>
    <t>https://t.co/R4zpPZlZLr https://pbs.twimg.com/ext_tw_video_thumb/1665874003309875201/pu/img/V73YGL0APkvqn5gE.jpg</t>
  </si>
  <si>
    <t>https://t.co/Mzzsk8im3w https://pbs.twimg.com/media/Fwed7i_XsAMnwbo.jpg</t>
  </si>
  <si>
    <t>https://t.co/JAnsvlsgEN https://pbs.twimg.com/media/F4qS67TWQAA6qdh.jpg</t>
  </si>
  <si>
    <t>https://t.co/DP4hGkYlta https://pbs.twimg.com/media/F1l26cLXsAAESKT.jpg</t>
  </si>
  <si>
    <t>https://t.co/OvLdLd1MuY https://pbs.twimg.com/media/FnlOs5MXgAEIwkv.jpg</t>
  </si>
  <si>
    <t>https://t.co/slKbk7XmNv https://pbs.twimg.com/media/Fn-zqCfX0AIJS-5.jpg</t>
  </si>
  <si>
    <t>https://t.co/y5vrTkXifs https://pbs.twimg.com/ext_tw_video_thumb/1647989218243739649/pu/img/EYbQb5ZATMp5P6t0.jpg</t>
  </si>
  <si>
    <t>https://t.co/Bl55wWm6H4 https://pbs.twimg.com/media/F4nrnlxWAAAVFEd.jpg</t>
  </si>
  <si>
    <t>https://t.co/hSxA7MWX9P https://pbs.twimg.com/media/F4jBDRNX0AAYo8F.jpg</t>
  </si>
  <si>
    <t>https://t.co/8xdpziqbBb https://pbs.twimg.com/media/Fw-lmgZaYAQ-eGa.jpg</t>
  </si>
  <si>
    <t>https://t.co/rgJHh0ynVA https://pbs.twimg.com/media/FzyeesrWwAEi7q-.jpg</t>
  </si>
  <si>
    <t>https://t.co/BrBcUMagAU https://pbs.twimg.com/media/FwP4hMsWIAEUnYG.jpg</t>
  </si>
  <si>
    <t>https://t.co/PjDJaqbz4a https://pbs.twimg.com/media/FwK5L7IWIAAD9jf.jpg</t>
  </si>
  <si>
    <t>https://t.co/HfBUhHOE1d https://pbs.twimg.com/media/Fyqia7MWIAcD02S.jpg</t>
  </si>
  <si>
    <t>https://t.co/PyRtJNNbRh https://pbs.twimg.com/media/F0WhmaWWcAU3OK3.jpg</t>
  </si>
  <si>
    <t>https://t.co/8la85flPdy https://pbs.twimg.com/media/F0RYCNIXgAA62_l.jpg</t>
  </si>
  <si>
    <t>https://t.co/5Fpz810hNz https://pbs.twimg.com/media/F0MOb5cWwAAmIZS.jpg</t>
  </si>
  <si>
    <t>https://t.co/Oys4B7W0cf https://pbs.twimg.com/media/FxX-1y1WwAIKd9O.jpg</t>
  </si>
  <si>
    <t>https://t.co/wkdacvNauU https://pbs.twimg.com/media/F1AlQHDWAAMr6Z2.jpg</t>
  </si>
  <si>
    <t>https://t.co/cBZlfQkSxa https://pbs.twimg.com/media/FyBLgdHX0AEu6H7.jpg</t>
  </si>
  <si>
    <t>https://t.co/O2QZeRfd0N https://pbs.twimg.com/media/Fx3bsOMWYAE3-9o.jpg</t>
  </si>
  <si>
    <t>https://t.co/XmrsDo55Fk https://pbs.twimg.com/media/F1aJs0gWwAIu-4P.png</t>
  </si>
  <si>
    <t>https://t.co/ayBXzzYGIP https://pbs.twimg.com/media/F0HGp9AWYAArCb3.jpg</t>
  </si>
  <si>
    <t>https://t.co/tPe9X50CaV https://pbs.twimg.com/media/F2Xs2-PWAAAGT5_.jpg</t>
  </si>
  <si>
    <t>https://t.co/EtMDKUct4i https://pbs.twimg.com/media/Fv7tq-9X0AYagK9.jpg</t>
  </si>
  <si>
    <t>https://t.co/OBWYT1xczL https://pbs.twimg.com/media/Fp58BPOWIA0vWbE.jpg</t>
  </si>
  <si>
    <t>https://t.co/HchCjZI0zv https://pbs.twimg.com/media/FoiP4tBXoAEIXOj.jpg</t>
  </si>
  <si>
    <t>https://t.co/Dk4MdJKRLF https://pbs.twimg.com/media/Focj_6wXEAMVcrb.jpg</t>
  </si>
  <si>
    <t>https://t.co/bbfUxiQZRY https://t.co/bbfUxiQZRY https://t.co/bbfUxiQZRY https://pbs.twimg.com/media/F5HCHjKWUAETWua.jpg https://pbs.twimg.com/media/F5HCHySXAAAEzMC.jpg https://pbs.twimg.com/media/F5HCID7WAAAwdBn.jpg</t>
  </si>
  <si>
    <t>https://t.co/r8tcMYnBmM https://pbs.twimg.com/ext_tw_video_thumb/1699397156237418496/pu/img/Zr1WAWd5Sfe0qnBH.jpg</t>
  </si>
  <si>
    <t>https://t.co/N44GBiha4e https://pbs.twimg.com/media/F07DNuMWcAc9dCG.jpg</t>
  </si>
  <si>
    <t>https://t.co/wx7c5NCmkb https://pbs.twimg.com/media/F1PbFs3XsAA3X-V.jpg</t>
  </si>
  <si>
    <t>https://t.co/g6FCXgirFw https://pbs.twimg.com/media/F0HRS2cWIAUn7jk.jpg</t>
  </si>
  <si>
    <t>https://t.co/1yGJrpo1nw https://pbs.twimg.com/media/FrqW6FNXwAAOg5m.png</t>
  </si>
  <si>
    <t>https://t.co/poaOJFDS0s https://pbs.twimg.com/ext_tw_video_thumb/1616541184339447808/pu/img/UKBwQSY51xe4AuwT.jpg</t>
  </si>
  <si>
    <t>https://t.co/X0SrzBsdC4 https://t.co/X0SrzBsdC4 https://t.co/X0SrzBsdC4 https://t.co/X0SrzBsdC4 https://pbs.twimg.com/media/F5Rq3KKXYAMsB2v.jpg https://pbs.twimg.com/media/F5Rq4CkXYAAcW0s.jpg https://pbs.twimg.com/media/F5Rq5DqXYAQn9Wh.jpg https://pbs.twimg.com/media/F5Rq6ABXYAQYgkq.jpg</t>
  </si>
  <si>
    <t>https://t.co/n2MCrDaKKP https://t.co/n2MCrDaKKP https://t.co/n2MCrDaKKP https://t.co/n2MCrDaKKP https://pbs.twimg.com/media/Fq7_kFtWIAEVWuV.jpg https://pbs.twimg.com/media/Fq7_kGWWAAEdoKt.jpg https://pbs.twimg.com/media/Fq7_kFqWYAEwiBe.jpg https://pbs.twimg.com/media/Fq7_kGWX0AAwnxD.jpg</t>
  </si>
  <si>
    <t>https://t.co/1CkCiBmQWd https://pbs.twimg.com/media/F1Z5aLSWcAEYPgP.jpg</t>
  </si>
  <si>
    <t>https://t.co/fNMsh2YHGl https://pbs.twimg.com/media/FtWlYSNWwAAchP9.jpg</t>
  </si>
  <si>
    <t>https://t.co/D9htJ7g7ST https://pbs.twimg.com/media/F0wKCEpXgAABycD.jpg</t>
  </si>
  <si>
    <t>https://t.co/EvP6QqEcAz https://pbs.twimg.com/media/Fmw2oylWQAA2qAk.jpg</t>
  </si>
  <si>
    <t>photo</t>
  </si>
  <si>
    <t>video</t>
  </si>
  <si>
    <t>photo photo</t>
  </si>
  <si>
    <t>animated_gif</t>
  </si>
  <si>
    <t>photo photo photo photo</t>
  </si>
  <si>
    <t>photo photo photo</t>
  </si>
  <si>
    <t>photo animated_gif</t>
  </si>
  <si>
    <t>Buffer</t>
  </si>
  <si>
    <t>Instagram</t>
  </si>
  <si>
    <t>Twitter for iPhone</t>
  </si>
  <si>
    <t>Twitter Web App</t>
  </si>
  <si>
    <t>Twitter for Android</t>
  </si>
  <si>
    <t>mLabs - Gestão de Redes Sociais</t>
  </si>
  <si>
    <t>Zoho Social</t>
  </si>
  <si>
    <t>Blog2Social APP</t>
  </si>
  <si>
    <t>Jetpack.com</t>
  </si>
  <si>
    <t>GIP SG 01 a App</t>
  </si>
  <si>
    <t>TweetDeck Web App</t>
  </si>
  <si>
    <t>erased1527685_zgJTnfooX7</t>
  </si>
  <si>
    <t>Hootsuite Inc.</t>
  </si>
  <si>
    <t>Etus Brasil</t>
  </si>
  <si>
    <t>Twitter for Mac</t>
  </si>
  <si>
    <t>Zapier.com</t>
  </si>
  <si>
    <t>IFTTT</t>
  </si>
  <si>
    <t>LinkedIn</t>
  </si>
  <si>
    <t>erased21172478_wwjC1hTmu5</t>
  </si>
  <si>
    <t>LaterMedia</t>
  </si>
  <si>
    <t>Canva</t>
  </si>
  <si>
    <t>RD Station</t>
  </si>
  <si>
    <t>Metricool</t>
  </si>
  <si>
    <t>1661635854656217089ajouve27047</t>
  </si>
  <si>
    <t>GoDaddy Social App</t>
  </si>
  <si>
    <t>Revive Social App</t>
  </si>
  <si>
    <t>Tumblr</t>
  </si>
  <si>
    <t>1662267944577949713invistafina</t>
  </si>
  <si>
    <t>TweetDeck</t>
  </si>
  <si>
    <t>erased24995540_QC9LnJfFh8</t>
  </si>
  <si>
    <t>Periscope</t>
  </si>
  <si>
    <t>Twitter Media Studio</t>
  </si>
  <si>
    <t>Wix Apps</t>
  </si>
  <si>
    <t>Twitter for iPad</t>
  </si>
  <si>
    <t>Dev Informado</t>
  </si>
  <si>
    <t>Jornal de Negócios</t>
  </si>
  <si>
    <t>Economic News Brasil</t>
  </si>
  <si>
    <t>erased798042_pt1GJ5YGQo</t>
  </si>
  <si>
    <t>tidomundo_app</t>
  </si>
  <si>
    <t>erased21529778_5J6CwNKpyF</t>
  </si>
  <si>
    <t>aleatoriando.com.br</t>
  </si>
  <si>
    <t>giovani</t>
  </si>
  <si>
    <t>pt</t>
  </si>
  <si>
    <t>qme</t>
  </si>
  <si>
    <t>en</t>
  </si>
  <si>
    <t>qht</t>
  </si>
  <si>
    <t>da</t>
  </si>
  <si>
    <t>und</t>
  </si>
  <si>
    <t>es</t>
  </si>
  <si>
    <t>it</t>
  </si>
  <si>
    <t>zxx</t>
  </si>
  <si>
    <t>ro</t>
  </si>
  <si>
    <t>in</t>
  </si>
  <si>
    <t>20:00:46</t>
  </si>
  <si>
    <t>22:44:06</t>
  </si>
  <si>
    <t>14:10:31</t>
  </si>
  <si>
    <t>14:38:26</t>
  </si>
  <si>
    <t>23:58:09</t>
  </si>
  <si>
    <t>12:54:24</t>
  </si>
  <si>
    <t>16:00:41</t>
  </si>
  <si>
    <t>20:01:09</t>
  </si>
  <si>
    <t>13:32:30</t>
  </si>
  <si>
    <t>00:41:36</t>
  </si>
  <si>
    <t>19:55:49</t>
  </si>
  <si>
    <t>12:28:57</t>
  </si>
  <si>
    <t>22:51:00</t>
  </si>
  <si>
    <t>13:44:44</t>
  </si>
  <si>
    <t>18:28:07</t>
  </si>
  <si>
    <t>18:26:57</t>
  </si>
  <si>
    <t>22:26:39</t>
  </si>
  <si>
    <t>00:27:11</t>
  </si>
  <si>
    <t>21:56:01</t>
  </si>
  <si>
    <t>13:58:43</t>
  </si>
  <si>
    <t>19:38:59</t>
  </si>
  <si>
    <t>18:47:20</t>
  </si>
  <si>
    <t>21:24:41</t>
  </si>
  <si>
    <t>19:16:29</t>
  </si>
  <si>
    <t>22:40:09</t>
  </si>
  <si>
    <t>01:54:46</t>
  </si>
  <si>
    <t>16:08:41</t>
  </si>
  <si>
    <t>20:34:25</t>
  </si>
  <si>
    <t>23:12:02</t>
  </si>
  <si>
    <t>19:17:16</t>
  </si>
  <si>
    <t>23:12:05</t>
  </si>
  <si>
    <t>23:12:03</t>
  </si>
  <si>
    <t>14:28:15</t>
  </si>
  <si>
    <t>21:00:30</t>
  </si>
  <si>
    <t>04:00:22</t>
  </si>
  <si>
    <t>01:52:06</t>
  </si>
  <si>
    <t>16:09:16</t>
  </si>
  <si>
    <t>13:47:53</t>
  </si>
  <si>
    <t>17:03:11</t>
  </si>
  <si>
    <t>17:32:18</t>
  </si>
  <si>
    <t>22:29:53</t>
  </si>
  <si>
    <t>22:29:39</t>
  </si>
  <si>
    <t>18:23:08</t>
  </si>
  <si>
    <t>18:22:48</t>
  </si>
  <si>
    <t>18:22:29</t>
  </si>
  <si>
    <t>13:49:14</t>
  </si>
  <si>
    <t>23:11:02</t>
  </si>
  <si>
    <t>22:08:08</t>
  </si>
  <si>
    <t>14:17:04</t>
  </si>
  <si>
    <t>15:49:38</t>
  </si>
  <si>
    <t>18:12:03</t>
  </si>
  <si>
    <t>10:34:02</t>
  </si>
  <si>
    <t>12:13:01</t>
  </si>
  <si>
    <t>12:12:37</t>
  </si>
  <si>
    <t>09:44:40</t>
  </si>
  <si>
    <t>21:14:14</t>
  </si>
  <si>
    <t>09:37:32</t>
  </si>
  <si>
    <t>11:44:11</t>
  </si>
  <si>
    <t>09:27:49</t>
  </si>
  <si>
    <t>20:52:35</t>
  </si>
  <si>
    <t>09:27:17</t>
  </si>
  <si>
    <t>09:26:39</t>
  </si>
  <si>
    <t>09:00:47</t>
  </si>
  <si>
    <t>09:30:44</t>
  </si>
  <si>
    <t>11:48:23</t>
  </si>
  <si>
    <t>09:46:02</t>
  </si>
  <si>
    <t>09:44:57</t>
  </si>
  <si>
    <t>09:37:11</t>
  </si>
  <si>
    <t>09:36:49</t>
  </si>
  <si>
    <t>09:27:31</t>
  </si>
  <si>
    <t>12:03:37</t>
  </si>
  <si>
    <t>09:42:36</t>
  </si>
  <si>
    <t>09:42:04</t>
  </si>
  <si>
    <t>09:41:41</t>
  </si>
  <si>
    <t>20:45:46</t>
  </si>
  <si>
    <t>12:47:51</t>
  </si>
  <si>
    <t>21:17:08</t>
  </si>
  <si>
    <t>09:31:28</t>
  </si>
  <si>
    <t>09:31:03</t>
  </si>
  <si>
    <t>20:57:06</t>
  </si>
  <si>
    <t>10:33:43</t>
  </si>
  <si>
    <t>21:22:41</t>
  </si>
  <si>
    <t>12:03:20</t>
  </si>
  <si>
    <t>21:25:59</t>
  </si>
  <si>
    <t>10:12:06</t>
  </si>
  <si>
    <t>10:11:43</t>
  </si>
  <si>
    <t>11:33:18</t>
  </si>
  <si>
    <t>21:40:56</t>
  </si>
  <si>
    <t>09:48:30</t>
  </si>
  <si>
    <t>09:48:12</t>
  </si>
  <si>
    <t>09:47:48</t>
  </si>
  <si>
    <t>20:55:06</t>
  </si>
  <si>
    <t>21:15:38</t>
  </si>
  <si>
    <t>09:51:44</t>
  </si>
  <si>
    <t>09:51:21</t>
  </si>
  <si>
    <t>09:51:02</t>
  </si>
  <si>
    <t>20:58:44</t>
  </si>
  <si>
    <t>09:52:25</t>
  </si>
  <si>
    <t>09:51:40</t>
  </si>
  <si>
    <t>21:19:11</t>
  </si>
  <si>
    <t>12:52:40</t>
  </si>
  <si>
    <t>12:52:18</t>
  </si>
  <si>
    <t>10:01:32</t>
  </si>
  <si>
    <t>10:01:05</t>
  </si>
  <si>
    <t>10:00:47</t>
  </si>
  <si>
    <t>09:10:35</t>
  </si>
  <si>
    <t>09:10:13</t>
  </si>
  <si>
    <t>09:09:56</t>
  </si>
  <si>
    <t>10:11:25</t>
  </si>
  <si>
    <t>21:57:19</t>
  </si>
  <si>
    <t>09:58:08</t>
  </si>
  <si>
    <t>09:57:22</t>
  </si>
  <si>
    <t>09:56:48</t>
  </si>
  <si>
    <t>21:13:08</t>
  </si>
  <si>
    <t>10:00:18</t>
  </si>
  <si>
    <t>09:59:56</t>
  </si>
  <si>
    <t>09:59:06</t>
  </si>
  <si>
    <t>10:23:05</t>
  </si>
  <si>
    <t>22:12:07</t>
  </si>
  <si>
    <t>23:53:17</t>
  </si>
  <si>
    <t>21:52:06</t>
  </si>
  <si>
    <t>19:35:54</t>
  </si>
  <si>
    <t>21:06:03</t>
  </si>
  <si>
    <t>17:43:40</t>
  </si>
  <si>
    <t>00:18:30</t>
  </si>
  <si>
    <t>22:34:46</t>
  </si>
  <si>
    <t>00:22:34</t>
  </si>
  <si>
    <t>14:15:09</t>
  </si>
  <si>
    <t>01:41:10</t>
  </si>
  <si>
    <t>13:35:48</t>
  </si>
  <si>
    <t>22:06:03</t>
  </si>
  <si>
    <t>23:09:26</t>
  </si>
  <si>
    <t>15:11:01</t>
  </si>
  <si>
    <t>15:55:42</t>
  </si>
  <si>
    <t>20:50:56</t>
  </si>
  <si>
    <t>19:14:29</t>
  </si>
  <si>
    <t>20:06:33</t>
  </si>
  <si>
    <t>23:35:27</t>
  </si>
  <si>
    <t>20:00:48</t>
  </si>
  <si>
    <t>20:00:54</t>
  </si>
  <si>
    <t>20:00:50</t>
  </si>
  <si>
    <t>20:00:32</t>
  </si>
  <si>
    <t>13:48:42</t>
  </si>
  <si>
    <t>16:01:51</t>
  </si>
  <si>
    <t>15:36:21</t>
  </si>
  <si>
    <t>17:20:25</t>
  </si>
  <si>
    <t>17:40:12</t>
  </si>
  <si>
    <t>00:32:22</t>
  </si>
  <si>
    <t>16:15:00</t>
  </si>
  <si>
    <t>11:43:00</t>
  </si>
  <si>
    <t>21:58:00</t>
  </si>
  <si>
    <t>16:03:00</t>
  </si>
  <si>
    <t>11:55:00</t>
  </si>
  <si>
    <t>22:07:00</t>
  </si>
  <si>
    <t>16:02:00</t>
  </si>
  <si>
    <t>22:03:00</t>
  </si>
  <si>
    <t>20:58:00</t>
  </si>
  <si>
    <t>16:56:00</t>
  </si>
  <si>
    <t>22:13:00</t>
  </si>
  <si>
    <t>16:11:00</t>
  </si>
  <si>
    <t>12:10:00</t>
  </si>
  <si>
    <t>22:08:00</t>
  </si>
  <si>
    <t>16:07:00</t>
  </si>
  <si>
    <t>12:05:00</t>
  </si>
  <si>
    <t>11:28:00</t>
  </si>
  <si>
    <t>22:00:02</t>
  </si>
  <si>
    <t>16:00:01</t>
  </si>
  <si>
    <t>12:00:01</t>
  </si>
  <si>
    <t>22:22:00</t>
  </si>
  <si>
    <t>16:21:00</t>
  </si>
  <si>
    <t>12:19:00</t>
  </si>
  <si>
    <t>19:29:01</t>
  </si>
  <si>
    <t>22:01:00</t>
  </si>
  <si>
    <t>11:35:00</t>
  </si>
  <si>
    <t>22:04:00</t>
  </si>
  <si>
    <t>16:00:02</t>
  </si>
  <si>
    <t>11:31:00</t>
  </si>
  <si>
    <t>22:17:00</t>
  </si>
  <si>
    <t>16:16:00</t>
  </si>
  <si>
    <t>12:14:00</t>
  </si>
  <si>
    <t>00:28:07</t>
  </si>
  <si>
    <t>02:43:38</t>
  </si>
  <si>
    <t>15:30:50</t>
  </si>
  <si>
    <t>01:26:14</t>
  </si>
  <si>
    <t>06:23:13</t>
  </si>
  <si>
    <t>12:22:19</t>
  </si>
  <si>
    <t>12:22:18</t>
  </si>
  <si>
    <t>12:22:17</t>
  </si>
  <si>
    <t>12:22:16</t>
  </si>
  <si>
    <t>12:22:13</t>
  </si>
  <si>
    <t>23:16:02</t>
  </si>
  <si>
    <t>20:30:49</t>
  </si>
  <si>
    <t>16:26:44</t>
  </si>
  <si>
    <t>18:00:02</t>
  </si>
  <si>
    <t>01:15:25</t>
  </si>
  <si>
    <t>05:11:34</t>
  </si>
  <si>
    <t>15:23:39</t>
  </si>
  <si>
    <t>19:00:33</t>
  </si>
  <si>
    <t>17:12:54</t>
  </si>
  <si>
    <t>13:54:24</t>
  </si>
  <si>
    <t>09:42:43</t>
  </si>
  <si>
    <t>16:45:06</t>
  </si>
  <si>
    <t>11:25:35</t>
  </si>
  <si>
    <t>14:06:42</t>
  </si>
  <si>
    <t>17:58:30</t>
  </si>
  <si>
    <t>15:49:42</t>
  </si>
  <si>
    <t>22:03:11</t>
  </si>
  <si>
    <t>06:52:38</t>
  </si>
  <si>
    <t>17:46:40</t>
  </si>
  <si>
    <t>16:54:42</t>
  </si>
  <si>
    <t>09:03:26</t>
  </si>
  <si>
    <t>01:56:32</t>
  </si>
  <si>
    <t>22:48:47</t>
  </si>
  <si>
    <t>14:02:51</t>
  </si>
  <si>
    <t>16:02:30</t>
  </si>
  <si>
    <t>20:08:28</t>
  </si>
  <si>
    <t>21:17:51</t>
  </si>
  <si>
    <t>10:00:00</t>
  </si>
  <si>
    <t>22:00:01</t>
  </si>
  <si>
    <t>01:02:00</t>
  </si>
  <si>
    <t>21:44:39</t>
  </si>
  <si>
    <t>21:31:16</t>
  </si>
  <si>
    <t>20:45:09</t>
  </si>
  <si>
    <t>21:16:23</t>
  </si>
  <si>
    <t>21:10:13</t>
  </si>
  <si>
    <t>21:34:59</t>
  </si>
  <si>
    <t>19:09:50</t>
  </si>
  <si>
    <t>19:58:17</t>
  </si>
  <si>
    <t>21:40:48</t>
  </si>
  <si>
    <t>21:26:56</t>
  </si>
  <si>
    <t>20:43:27</t>
  </si>
  <si>
    <t>14:03:26</t>
  </si>
  <si>
    <t>21:36:41</t>
  </si>
  <si>
    <t>20:10:46</t>
  </si>
  <si>
    <t>21:31:40</t>
  </si>
  <si>
    <t>21:26:54</t>
  </si>
  <si>
    <t>22:20:06</t>
  </si>
  <si>
    <t>20:05:56</t>
  </si>
  <si>
    <t>21:02:45</t>
  </si>
  <si>
    <t>20:48:04</t>
  </si>
  <si>
    <t>21:32:15</t>
  </si>
  <si>
    <t>20:26:16</t>
  </si>
  <si>
    <t>20:21:30</t>
  </si>
  <si>
    <t>19:38:13</t>
  </si>
  <si>
    <t>21:34:56</t>
  </si>
  <si>
    <t>21:38:46</t>
  </si>
  <si>
    <t>21:00:58</t>
  </si>
  <si>
    <t>23:20:44</t>
  </si>
  <si>
    <t>12:28:08</t>
  </si>
  <si>
    <t>14:00:34</t>
  </si>
  <si>
    <t>17:00:01</t>
  </si>
  <si>
    <t>12:54:01</t>
  </si>
  <si>
    <t>09:42:41</t>
  </si>
  <si>
    <t>21:48:05</t>
  </si>
  <si>
    <t>15:45:55</t>
  </si>
  <si>
    <t>10:48:44</t>
  </si>
  <si>
    <t>19:19:47</t>
  </si>
  <si>
    <t>12:18:20</t>
  </si>
  <si>
    <t>15:04:29</t>
  </si>
  <si>
    <t>15:40:23</t>
  </si>
  <si>
    <t>15:37:54</t>
  </si>
  <si>
    <t>15:39:23</t>
  </si>
  <si>
    <t>15:30:13</t>
  </si>
  <si>
    <t>00:46:18</t>
  </si>
  <si>
    <t>21:47:05</t>
  </si>
  <si>
    <t>22:10:48</t>
  </si>
  <si>
    <t>09:54:57</t>
  </si>
  <si>
    <t>20:38:48</t>
  </si>
  <si>
    <t>18:54:02</t>
  </si>
  <si>
    <t>20:01:17</t>
  </si>
  <si>
    <t>23:20:14</t>
  </si>
  <si>
    <t>23:19:15</t>
  </si>
  <si>
    <t>21:02:21</t>
  </si>
  <si>
    <t>20:39:16</t>
  </si>
  <si>
    <t>20:38:57</t>
  </si>
  <si>
    <t>22:01:24</t>
  </si>
  <si>
    <t>22:02:25</t>
  </si>
  <si>
    <t>13:06:20</t>
  </si>
  <si>
    <t>15:01:17</t>
  </si>
  <si>
    <t>22:01:47</t>
  </si>
  <si>
    <t>17:39:22</t>
  </si>
  <si>
    <t>11:02:13</t>
  </si>
  <si>
    <t>22:01:33</t>
  </si>
  <si>
    <t>15:28:26</t>
  </si>
  <si>
    <t>15:22:30</t>
  </si>
  <si>
    <t>23:01:17</t>
  </si>
  <si>
    <t>22:01:30</t>
  </si>
  <si>
    <t>22:01:35</t>
  </si>
  <si>
    <t>22:00:21</t>
  </si>
  <si>
    <t>18:55:05</t>
  </si>
  <si>
    <t>00:00:25</t>
  </si>
  <si>
    <t>18:01:23</t>
  </si>
  <si>
    <t>12:01:23</t>
  </si>
  <si>
    <t>21:03:16</t>
  </si>
  <si>
    <t>00:00:23</t>
  </si>
  <si>
    <t>09:56:24</t>
  </si>
  <si>
    <t>15:41:01</t>
  </si>
  <si>
    <t>14:07:31</t>
  </si>
  <si>
    <t>15:06:23</t>
  </si>
  <si>
    <t>15:06:25</t>
  </si>
  <si>
    <t>15:35:22</t>
  </si>
  <si>
    <t>17:32:10</t>
  </si>
  <si>
    <t>20:37:44</t>
  </si>
  <si>
    <t>18:53:04</t>
  </si>
  <si>
    <t>11:25:11</t>
  </si>
  <si>
    <t>12:57:44</t>
  </si>
  <si>
    <t>13:45:27</t>
  </si>
  <si>
    <t>18:48:17</t>
  </si>
  <si>
    <t>14:10:24</t>
  </si>
  <si>
    <t>21:22:49</t>
  </si>
  <si>
    <t>00:24:07</t>
  </si>
  <si>
    <t>17:43:18</t>
  </si>
  <si>
    <t>13:24:39</t>
  </si>
  <si>
    <t>18:48:01</t>
  </si>
  <si>
    <t>10:44:14</t>
  </si>
  <si>
    <t>10:37:08</t>
  </si>
  <si>
    <t>12:37:49</t>
  </si>
  <si>
    <t>19:40:14</t>
  </si>
  <si>
    <t>05:32:52</t>
  </si>
  <si>
    <t>03:11:57</t>
  </si>
  <si>
    <t>20:11:49</t>
  </si>
  <si>
    <t>23:12:20</t>
  </si>
  <si>
    <t>23:11:37</t>
  </si>
  <si>
    <t>21:21:37</t>
  </si>
  <si>
    <t>18:31:24</t>
  </si>
  <si>
    <t>18:29:33</t>
  </si>
  <si>
    <t>21:59:24</t>
  </si>
  <si>
    <t>21:57:12</t>
  </si>
  <si>
    <t>22:04:29</t>
  </si>
  <si>
    <t>22:02:06</t>
  </si>
  <si>
    <t>21:55:41</t>
  </si>
  <si>
    <t>22:09:00</t>
  </si>
  <si>
    <t>23:51:31</t>
  </si>
  <si>
    <t>12:24:41</t>
  </si>
  <si>
    <t>18:29:59</t>
  </si>
  <si>
    <t>18:17:38</t>
  </si>
  <si>
    <t>17:02:11</t>
  </si>
  <si>
    <t>21:50:12</t>
  </si>
  <si>
    <t>01:19:14</t>
  </si>
  <si>
    <t>17:41:51</t>
  </si>
  <si>
    <t>21:06:16</t>
  </si>
  <si>
    <t>13:53:44</t>
  </si>
  <si>
    <t>13:15:11</t>
  </si>
  <si>
    <t>17:32:42</t>
  </si>
  <si>
    <t>17:32:29</t>
  </si>
  <si>
    <t>20:27:16</t>
  </si>
  <si>
    <t>20:09:16</t>
  </si>
  <si>
    <t>20:46:20</t>
  </si>
  <si>
    <t>18:10:39</t>
  </si>
  <si>
    <t>14:40:35</t>
  </si>
  <si>
    <t>16:22:16</t>
  </si>
  <si>
    <t>12:09:23</t>
  </si>
  <si>
    <t>12:05:04</t>
  </si>
  <si>
    <t>14:43:45</t>
  </si>
  <si>
    <t>12:23:03</t>
  </si>
  <si>
    <t>19:47:18</t>
  </si>
  <si>
    <t>19:32:43</t>
  </si>
  <si>
    <t>18:13:49</t>
  </si>
  <si>
    <t>21:03:05</t>
  </si>
  <si>
    <t>21:02:36</t>
  </si>
  <si>
    <t>21:01:07</t>
  </si>
  <si>
    <t>18:52:13</t>
  </si>
  <si>
    <t>14:25:03</t>
  </si>
  <si>
    <t>13:17:04</t>
  </si>
  <si>
    <t>17:06:04</t>
  </si>
  <si>
    <t>18:49:05</t>
  </si>
  <si>
    <t>18:49:04</t>
  </si>
  <si>
    <t>21:17:26</t>
  </si>
  <si>
    <t>21:00:04</t>
  </si>
  <si>
    <t>01:17:49</t>
  </si>
  <si>
    <t>02:41:56</t>
  </si>
  <si>
    <t>02:40:44</t>
  </si>
  <si>
    <t>12:00:02</t>
  </si>
  <si>
    <t>14:30:00</t>
  </si>
  <si>
    <t>12:07:30</t>
  </si>
  <si>
    <t>12:00:03</t>
  </si>
  <si>
    <t>17:25:07</t>
  </si>
  <si>
    <t>16:23:04</t>
  </si>
  <si>
    <t>14:54:51</t>
  </si>
  <si>
    <t>23:05:46</t>
  </si>
  <si>
    <t>14:17:28</t>
  </si>
  <si>
    <t>15:39:19</t>
  </si>
  <si>
    <t>14:56:48</t>
  </si>
  <si>
    <t>14:30:04</t>
  </si>
  <si>
    <t>14:34:09</t>
  </si>
  <si>
    <t>20:05:38</t>
  </si>
  <si>
    <t>12:56:01</t>
  </si>
  <si>
    <t>12:00:00</t>
  </si>
  <si>
    <t>20:32:25</t>
  </si>
  <si>
    <t>12:13:31</t>
  </si>
  <si>
    <t>15:13:10</t>
  </si>
  <si>
    <t>15:40:56</t>
  </si>
  <si>
    <t>14:40:10</t>
  </si>
  <si>
    <t>14:34:07</t>
  </si>
  <si>
    <t>14:43:47</t>
  </si>
  <si>
    <t>15:38:00</t>
  </si>
  <si>
    <t>13:54:20</t>
  </si>
  <si>
    <t>13:32:46</t>
  </si>
  <si>
    <t>18:26:58</t>
  </si>
  <si>
    <t>17:59:40</t>
  </si>
  <si>
    <t>15:30:34</t>
  </si>
  <si>
    <t>15:22:44</t>
  </si>
  <si>
    <t>13:14:44</t>
  </si>
  <si>
    <t>12:53:53</t>
  </si>
  <si>
    <t>14:34:25</t>
  </si>
  <si>
    <t>18:51:07</t>
  </si>
  <si>
    <t>14:55:35</t>
  </si>
  <si>
    <t>16:55:26</t>
  </si>
  <si>
    <t>15:28:43</t>
  </si>
  <si>
    <t>15:34:36</t>
  </si>
  <si>
    <t>15:02:06</t>
  </si>
  <si>
    <t>17:09:31</t>
  </si>
  <si>
    <t>07:23:15</t>
  </si>
  <si>
    <t>09:56:36</t>
  </si>
  <si>
    <t>07:52:00</t>
  </si>
  <si>
    <t>07:59:17</t>
  </si>
  <si>
    <t>14:47:19</t>
  </si>
  <si>
    <t>10:37:55</t>
  </si>
  <si>
    <t>09:25:32</t>
  </si>
  <si>
    <t>09:21:35</t>
  </si>
  <si>
    <t>10:33:05</t>
  </si>
  <si>
    <t>09:34:45</t>
  </si>
  <si>
    <t>07:00:54</t>
  </si>
  <si>
    <t>08:55:32</t>
  </si>
  <si>
    <t>20:45:15</t>
  </si>
  <si>
    <t>10:47:39</t>
  </si>
  <si>
    <t>10:50:57</t>
  </si>
  <si>
    <t>19:20:42</t>
  </si>
  <si>
    <t>06:12:10</t>
  </si>
  <si>
    <t>19:13:18</t>
  </si>
  <si>
    <t>15:56:16</t>
  </si>
  <si>
    <t>11:30:24</t>
  </si>
  <si>
    <t>12:56:58</t>
  </si>
  <si>
    <t>00:57:55</t>
  </si>
  <si>
    <t>22:44:01</t>
  </si>
  <si>
    <t>14:52:59</t>
  </si>
  <si>
    <t>19:00:21</t>
  </si>
  <si>
    <t>23:36:38</t>
  </si>
  <si>
    <t>19:00:27</t>
  </si>
  <si>
    <t>00:51:01</t>
  </si>
  <si>
    <t>00:44:10</t>
  </si>
  <si>
    <t>00:42:13</t>
  </si>
  <si>
    <t>00:39:21</t>
  </si>
  <si>
    <t>00:23:26</t>
  </si>
  <si>
    <t>00:07:13</t>
  </si>
  <si>
    <t>19:31:11</t>
  </si>
  <si>
    <t>23:20:10</t>
  </si>
  <si>
    <t>15:15:11</t>
  </si>
  <si>
    <t>00:45:41</t>
  </si>
  <si>
    <t>22:10:56</t>
  </si>
  <si>
    <t>13:25:57</t>
  </si>
  <si>
    <t>22:54:11</t>
  </si>
  <si>
    <t>16:48:47</t>
  </si>
  <si>
    <t>16:40:03</t>
  </si>
  <si>
    <t>04:21:01</t>
  </si>
  <si>
    <t>18:58:12</t>
  </si>
  <si>
    <t>16:08:46</t>
  </si>
  <si>
    <t>14:01:12</t>
  </si>
  <si>
    <t>19:30:33</t>
  </si>
  <si>
    <t>15:29:13</t>
  </si>
  <si>
    <t>00:26:32</t>
  </si>
  <si>
    <t>11:53:12</t>
  </si>
  <si>
    <t>20:58:24</t>
  </si>
  <si>
    <t>22:10:08</t>
  </si>
  <si>
    <t>20:39:19</t>
  </si>
  <si>
    <t>14:48:46</t>
  </si>
  <si>
    <t>16:34:22</t>
  </si>
  <si>
    <t>15:35:50</t>
  </si>
  <si>
    <t>15:59:05</t>
  </si>
  <si>
    <t>18:41:02</t>
  </si>
  <si>
    <t>20:00:27</t>
  </si>
  <si>
    <t>00:33:15</t>
  </si>
  <si>
    <t>02:01:33</t>
  </si>
  <si>
    <t>23:55:58</t>
  </si>
  <si>
    <t>09:28:06</t>
  </si>
  <si>
    <t>14:24:33</t>
  </si>
  <si>
    <t>17:59:21</t>
  </si>
  <si>
    <t>13:24:40</t>
  </si>
  <si>
    <t>13:25:33</t>
  </si>
  <si>
    <t>14:25:22</t>
  </si>
  <si>
    <t>13:27:53</t>
  </si>
  <si>
    <t>14:24:42</t>
  </si>
  <si>
    <t>13:24:16</t>
  </si>
  <si>
    <t>13:26:09</t>
  </si>
  <si>
    <t>13:26:07</t>
  </si>
  <si>
    <t>13:25:05</t>
  </si>
  <si>
    <t>13:24:30</t>
  </si>
  <si>
    <t>13:24:31</t>
  </si>
  <si>
    <t>13:24:11</t>
  </si>
  <si>
    <t>13:25:24</t>
  </si>
  <si>
    <t>14:25:38</t>
  </si>
  <si>
    <t>14:24:07</t>
  </si>
  <si>
    <t>14:24:45</t>
  </si>
  <si>
    <t>13:24:24</t>
  </si>
  <si>
    <t>13:24:09</t>
  </si>
  <si>
    <t>14:25:24</t>
  </si>
  <si>
    <t>14:25:28</t>
  </si>
  <si>
    <t>14:24:35</t>
  </si>
  <si>
    <t>14:25:39</t>
  </si>
  <si>
    <t>13:25:08</t>
  </si>
  <si>
    <t>14:25:44</t>
  </si>
  <si>
    <t>13:26:16</t>
  </si>
  <si>
    <t>13:24:08</t>
  </si>
  <si>
    <t>21:56:03</t>
  </si>
  <si>
    <t>14:49:48</t>
  </si>
  <si>
    <t>21:30:22</t>
  </si>
  <si>
    <t>21:46:58</t>
  </si>
  <si>
    <t>00:31:55</t>
  </si>
  <si>
    <t>02:09:07</t>
  </si>
  <si>
    <t>01:16:38</t>
  </si>
  <si>
    <t>11:39:24</t>
  </si>
  <si>
    <t>21:42:04</t>
  </si>
  <si>
    <t>11:18:08</t>
  </si>
  <si>
    <t>13:13:32</t>
  </si>
  <si>
    <t>15:19:22</t>
  </si>
  <si>
    <t>09:54:41</t>
  </si>
  <si>
    <t>19:19:44</t>
  </si>
  <si>
    <t>21:30:00</t>
  </si>
  <si>
    <t>22:56:00</t>
  </si>
  <si>
    <t>23:02:00</t>
  </si>
  <si>
    <t>00:19:39</t>
  </si>
  <si>
    <t>22:02:47</t>
  </si>
  <si>
    <t>14:52:10</t>
  </si>
  <si>
    <t>01:22:28</t>
  </si>
  <si>
    <t>12:53:05</t>
  </si>
  <si>
    <t>20:06:48</t>
  </si>
  <si>
    <t>15:37:55</t>
  </si>
  <si>
    <t>16:59:43</t>
  </si>
  <si>
    <t>14:16:23</t>
  </si>
  <si>
    <t>15:38:44</t>
  </si>
  <si>
    <t>18:44:19</t>
  </si>
  <si>
    <t>13:32:59</t>
  </si>
  <si>
    <t>22:00:47</t>
  </si>
  <si>
    <t>15:56:12</t>
  </si>
  <si>
    <t>15:46:29</t>
  </si>
  <si>
    <t>15:10:33</t>
  </si>
  <si>
    <t>20:48:37</t>
  </si>
  <si>
    <t>17:56:10</t>
  </si>
  <si>
    <t>15:25:03</t>
  </si>
  <si>
    <t>12:26:17</t>
  </si>
  <si>
    <t>17:38:44</t>
  </si>
  <si>
    <t>11:43:18</t>
  </si>
  <si>
    <t>10:44:27</t>
  </si>
  <si>
    <t>22:22:33</t>
  </si>
  <si>
    <t>22:44:21</t>
  </si>
  <si>
    <t>00:29:43</t>
  </si>
  <si>
    <t>12:30:00</t>
  </si>
  <si>
    <t>15:01:34</t>
  </si>
  <si>
    <t>12:01:00</t>
  </si>
  <si>
    <t>21:01:02</t>
  </si>
  <si>
    <t>22:02:02</t>
  </si>
  <si>
    <t>21:01:10</t>
  </si>
  <si>
    <t>21:01:06</t>
  </si>
  <si>
    <t>21:06:22</t>
  </si>
  <si>
    <t>13:00:05</t>
  </si>
  <si>
    <t>17:33:35</t>
  </si>
  <si>
    <t>23:47:52</t>
  </si>
  <si>
    <t>19:55:09</t>
  </si>
  <si>
    <t>02:04:29</t>
  </si>
  <si>
    <t>11:48:11</t>
  </si>
  <si>
    <t>17:54:32</t>
  </si>
  <si>
    <t>17:48:10</t>
  </si>
  <si>
    <t>21:30:30</t>
  </si>
  <si>
    <t>21:29:39</t>
  </si>
  <si>
    <t>00:27:18</t>
  </si>
  <si>
    <t>13:00:51</t>
  </si>
  <si>
    <t>10:32:13</t>
  </si>
  <si>
    <t>19:00:45</t>
  </si>
  <si>
    <t>12:00:36</t>
  </si>
  <si>
    <t>14:30:37</t>
  </si>
  <si>
    <t>14:00:48</t>
  </si>
  <si>
    <t>17:21:51</t>
  </si>
  <si>
    <t>13:27:36</t>
  </si>
  <si>
    <t>13:06:12</t>
  </si>
  <si>
    <t>17:38:20</t>
  </si>
  <si>
    <t>12:00:49</t>
  </si>
  <si>
    <t>12:55:38</t>
  </si>
  <si>
    <t>16:00:56</t>
  </si>
  <si>
    <t>12:43:04</t>
  </si>
  <si>
    <t>13:19:17</t>
  </si>
  <si>
    <t>14:50:11</t>
  </si>
  <si>
    <t>14:37:06</t>
  </si>
  <si>
    <t>01:30:00</t>
  </si>
  <si>
    <t>13:34:24</t>
  </si>
  <si>
    <t>15:00:02</t>
  </si>
  <si>
    <t>06:06:43</t>
  </si>
  <si>
    <t>13:14:54</t>
  </si>
  <si>
    <t>20:40:30</t>
  </si>
  <si>
    <t>14:23:06</t>
  </si>
  <si>
    <t>18:10:49</t>
  </si>
  <si>
    <t>14:57:44</t>
  </si>
  <si>
    <t>20:27:24</t>
  </si>
  <si>
    <t>17:49:54</t>
  </si>
  <si>
    <t>14:39:59</t>
  </si>
  <si>
    <t>20:51:15</t>
  </si>
  <si>
    <t>11:38:10</t>
  </si>
  <si>
    <t>15:54:32</t>
  </si>
  <si>
    <t>13:02:16</t>
  </si>
  <si>
    <t>21:31:19</t>
  </si>
  <si>
    <t>15:40:45</t>
  </si>
  <si>
    <t>10:29:37</t>
  </si>
  <si>
    <t>02:05:23</t>
  </si>
  <si>
    <t>11:26:34</t>
  </si>
  <si>
    <t>16:16:39</t>
  </si>
  <si>
    <t>02:47:08</t>
  </si>
  <si>
    <t>22:48:02</t>
  </si>
  <si>
    <t>22:06:43</t>
  </si>
  <si>
    <t>03:52:27</t>
  </si>
  <si>
    <t>17:17:40</t>
  </si>
  <si>
    <t>22:52:17</t>
  </si>
  <si>
    <t>18:36:12</t>
  </si>
  <si>
    <t>12:58:15</t>
  </si>
  <si>
    <t>23:50:32</t>
  </si>
  <si>
    <t>09:24:13</t>
  </si>
  <si>
    <t>21:18:01</t>
  </si>
  <si>
    <t>13:52:10</t>
  </si>
  <si>
    <t>13:04:17</t>
  </si>
  <si>
    <t>18:44:04</t>
  </si>
  <si>
    <t>02:22:48</t>
  </si>
  <si>
    <t>17:42:35</t>
  </si>
  <si>
    <t>19:31:46</t>
  </si>
  <si>
    <t>22:57:12</t>
  </si>
  <si>
    <t>09:00:00</t>
  </si>
  <si>
    <t>13:26:27</t>
  </si>
  <si>
    <t>09:00:02</t>
  </si>
  <si>
    <t>15:07:19</t>
  </si>
  <si>
    <t>23:00:00</t>
  </si>
  <si>
    <t>02:15:59</t>
  </si>
  <si>
    <t>09:20:00</t>
  </si>
  <si>
    <t>15:41:25</t>
  </si>
  <si>
    <t>09:29:16</t>
  </si>
  <si>
    <t>16:33:31</t>
  </si>
  <si>
    <t>16:42:54</t>
  </si>
  <si>
    <t>22:16:44</t>
  </si>
  <si>
    <t>16:10:01</t>
  </si>
  <si>
    <t>22:17:58</t>
  </si>
  <si>
    <t>19:24:00</t>
  </si>
  <si>
    <t>17:25:59</t>
  </si>
  <si>
    <t>18:12:05</t>
  </si>
  <si>
    <t>17:03:13</t>
  </si>
  <si>
    <t>23:49:54</t>
  </si>
  <si>
    <t>17:05:35</t>
  </si>
  <si>
    <t>14:53:55</t>
  </si>
  <si>
    <t>17:10:53</t>
  </si>
  <si>
    <t>17:04:09</t>
  </si>
  <si>
    <t>15:44:38</t>
  </si>
  <si>
    <t>22:10:23</t>
  </si>
  <si>
    <t>17:20:21</t>
  </si>
  <si>
    <t>15:46:17</t>
  </si>
  <si>
    <t>20:42:27</t>
  </si>
  <si>
    <t>23:32:18</t>
  </si>
  <si>
    <t>08:46:03</t>
  </si>
  <si>
    <t>11:20:05</t>
  </si>
  <si>
    <t>12:44:03</t>
  </si>
  <si>
    <t>16:31:20</t>
  </si>
  <si>
    <t>22:43:27</t>
  </si>
  <si>
    <t>18:03:26</t>
  </si>
  <si>
    <t>23:21:45</t>
  </si>
  <si>
    <t>19:02:59</t>
  </si>
  <si>
    <t>13:32:15</t>
  </si>
  <si>
    <t>13:12:11</t>
  </si>
  <si>
    <t>21:19:33</t>
  </si>
  <si>
    <t>12:00:50</t>
  </si>
  <si>
    <t>14:48:12</t>
  </si>
  <si>
    <t>15:31:04</t>
  </si>
  <si>
    <t>12:53:00</t>
  </si>
  <si>
    <t>12:50:59</t>
  </si>
  <si>
    <t>05:24:58</t>
  </si>
  <si>
    <t>22:46:13</t>
  </si>
  <si>
    <t>13:16:12</t>
  </si>
  <si>
    <t>10:40:37</t>
  </si>
  <si>
    <t>01:51:59</t>
  </si>
  <si>
    <t>01:50:28</t>
  </si>
  <si>
    <t>00:10:41</t>
  </si>
  <si>
    <t>11:42:50</t>
  </si>
  <si>
    <t>02:54:53</t>
  </si>
  <si>
    <t>20:56:44</t>
  </si>
  <si>
    <t>13:27:44</t>
  </si>
  <si>
    <t>13:47:17</t>
  </si>
  <si>
    <t>18:21:27</t>
  </si>
  <si>
    <t>19:32:26</t>
  </si>
  <si>
    <t>10:56:41</t>
  </si>
  <si>
    <t>14:00:01</t>
  </si>
  <si>
    <t>14:00:02</t>
  </si>
  <si>
    <t>14:00:03</t>
  </si>
  <si>
    <t>14:00:00</t>
  </si>
  <si>
    <t>16:17:43</t>
  </si>
  <si>
    <t>20:36:54</t>
  </si>
  <si>
    <t>17:38:31</t>
  </si>
  <si>
    <t>20:06:31</t>
  </si>
  <si>
    <t>18:40:22</t>
  </si>
  <si>
    <t>01:57:11</t>
  </si>
  <si>
    <t>22:07:43</t>
  </si>
  <si>
    <t>15:16:56</t>
  </si>
  <si>
    <t>16:54:24</t>
  </si>
  <si>
    <t>15:02:41</t>
  </si>
  <si>
    <t>15:51:18</t>
  </si>
  <si>
    <t>20:02:09</t>
  </si>
  <si>
    <t>14:23:41</t>
  </si>
  <si>
    <t>14:47:09</t>
  </si>
  <si>
    <t>12:18:03</t>
  </si>
  <si>
    <t>18:35:39</t>
  </si>
  <si>
    <t>22:53:24</t>
  </si>
  <si>
    <t>19:01:21</t>
  </si>
  <si>
    <t>10:30:28</t>
  </si>
  <si>
    <t>21:24:04</t>
  </si>
  <si>
    <t>18:21:16</t>
  </si>
  <si>
    <t>11:36:56</t>
  </si>
  <si>
    <t>18:10:24</t>
  </si>
  <si>
    <t>12:07:27</t>
  </si>
  <si>
    <t>21:28:27</t>
  </si>
  <si>
    <t>17:24:53</t>
  </si>
  <si>
    <t>17:43:16</t>
  </si>
  <si>
    <t>22:53:08</t>
  </si>
  <si>
    <t>01:29:12</t>
  </si>
  <si>
    <t>12:02:46</t>
  </si>
  <si>
    <t>09:30:28</t>
  </si>
  <si>
    <t>14:12:53</t>
  </si>
  <si>
    <t>20:16:19</t>
  </si>
  <si>
    <t>18:30:32</t>
  </si>
  <si>
    <t>12:09:29</t>
  </si>
  <si>
    <t>22:42:53</t>
  </si>
  <si>
    <t>19:28:52</t>
  </si>
  <si>
    <t>15:11:03</t>
  </si>
  <si>
    <t>22:45:01</t>
  </si>
  <si>
    <t>20:58:31</t>
  </si>
  <si>
    <t>11:01:29</t>
  </si>
  <si>
    <t>15:59:42</t>
  </si>
  <si>
    <t>21:50:05</t>
  </si>
  <si>
    <t>22:44:18</t>
  </si>
  <si>
    <t>10:11:22</t>
  </si>
  <si>
    <t>23:00:51</t>
  </si>
  <si>
    <t>23:04:40</t>
  </si>
  <si>
    <t>14:04:32</t>
  </si>
  <si>
    <t>09:21:46</t>
  </si>
  <si>
    <t>07:21:46</t>
  </si>
  <si>
    <t>18:05:33</t>
  </si>
  <si>
    <t>09:25:27</t>
  </si>
  <si>
    <t>16:33:04</t>
  </si>
  <si>
    <t>07:47:06</t>
  </si>
  <si>
    <t>14:37:24</t>
  </si>
  <si>
    <t>22:43:51</t>
  </si>
  <si>
    <t>13:50:45</t>
  </si>
  <si>
    <t>01:35:10</t>
  </si>
  <si>
    <t>21:18:48</t>
  </si>
  <si>
    <t>21:37:44</t>
  </si>
  <si>
    <t>12:50:29</t>
  </si>
  <si>
    <t>22:49:57</t>
  </si>
  <si>
    <t>17:00:37</t>
  </si>
  <si>
    <t>19:00:56</t>
  </si>
  <si>
    <t>21:48:50</t>
  </si>
  <si>
    <t>17:48:24</t>
  </si>
  <si>
    <t>20:01:02</t>
  </si>
  <si>
    <t>19:42:27</t>
  </si>
  <si>
    <t>16:00:29</t>
  </si>
  <si>
    <t>21:16:09</t>
  </si>
  <si>
    <t>21:00:55</t>
  </si>
  <si>
    <t>12:01:09</t>
  </si>
  <si>
    <t>14:18:29</t>
  </si>
  <si>
    <t>12:48:30</t>
  </si>
  <si>
    <t>14:57:16</t>
  </si>
  <si>
    <t>17:59:05</t>
  </si>
  <si>
    <t>02:00:44</t>
  </si>
  <si>
    <t>17:11:07</t>
  </si>
  <si>
    <t>21:03:57</t>
  </si>
  <si>
    <t>20:58:02</t>
  </si>
  <si>
    <t>23:17:00</t>
  </si>
  <si>
    <t>05:01:19</t>
  </si>
  <si>
    <t>10:46:53</t>
  </si>
  <si>
    <t>18:07:16</t>
  </si>
  <si>
    <t>22:00:39</t>
  </si>
  <si>
    <t>20:20:44</t>
  </si>
  <si>
    <t>18:36:20</t>
  </si>
  <si>
    <t>09:02:16</t>
  </si>
  <si>
    <t>15:07:20</t>
  </si>
  <si>
    <t>08:29:50</t>
  </si>
  <si>
    <t>06:00:00</t>
  </si>
  <si>
    <t>01:49:19</t>
  </si>
  <si>
    <t>17:02:15</t>
  </si>
  <si>
    <t>16:53:49</t>
  </si>
  <si>
    <t>15:54:12</t>
  </si>
  <si>
    <t>03:07:17</t>
  </si>
  <si>
    <t>20:06:27</t>
  </si>
  <si>
    <t>11:00:02</t>
  </si>
  <si>
    <t>13:46:54</t>
  </si>
  <si>
    <t>10:00:03</t>
  </si>
  <si>
    <t>21:00:02</t>
  </si>
  <si>
    <t>12:34:59</t>
  </si>
  <si>
    <t>10:00:01</t>
  </si>
  <si>
    <t>12:17:53</t>
  </si>
  <si>
    <t>13:30:00</t>
  </si>
  <si>
    <t>21:00:01</t>
  </si>
  <si>
    <t>14:04:13</t>
  </si>
  <si>
    <t>15:24:42</t>
  </si>
  <si>
    <t>00:54:20</t>
  </si>
  <si>
    <t>23:00:49</t>
  </si>
  <si>
    <t>20:01:40</t>
  </si>
  <si>
    <t>13:00:31</t>
  </si>
  <si>
    <t>15:08:14</t>
  </si>
  <si>
    <t>14:00:57</t>
  </si>
  <si>
    <t>13:34:21</t>
  </si>
  <si>
    <t>14:01:42</t>
  </si>
  <si>
    <t>20:22:46</t>
  </si>
  <si>
    <t>20:57:58</t>
  </si>
  <si>
    <t>20:49:35</t>
  </si>
  <si>
    <t>13:00:24</t>
  </si>
  <si>
    <t>13:02:30</t>
  </si>
  <si>
    <t>13:45:22</t>
  </si>
  <si>
    <t>11:41:46</t>
  </si>
  <si>
    <t>01:29:58</t>
  </si>
  <si>
    <t>13:42:39</t>
  </si>
  <si>
    <t>19:30:00</t>
  </si>
  <si>
    <t>18:30:30</t>
  </si>
  <si>
    <t>19:00:01</t>
  </si>
  <si>
    <t>11:00:03</t>
  </si>
  <si>
    <t>18:30:00</t>
  </si>
  <si>
    <t>09:30:00</t>
  </si>
  <si>
    <t>17:30:00</t>
  </si>
  <si>
    <t>18:40:00</t>
  </si>
  <si>
    <t>20:30:00</t>
  </si>
  <si>
    <t>11:00:30</t>
  </si>
  <si>
    <t>09:00:03</t>
  </si>
  <si>
    <t>20:00:00</t>
  </si>
  <si>
    <t>18:00:01</t>
  </si>
  <si>
    <t>10:30:00</t>
  </si>
  <si>
    <t>10:00:02</t>
  </si>
  <si>
    <t>21:24:00</t>
  </si>
  <si>
    <t>19:00:00</t>
  </si>
  <si>
    <t>01:58:55</t>
  </si>
  <si>
    <t>22:55:40</t>
  </si>
  <si>
    <t>19:54:22</t>
  </si>
  <si>
    <t>15:01:46</t>
  </si>
  <si>
    <t>22:04:12</t>
  </si>
  <si>
    <t>02:19:00</t>
  </si>
  <si>
    <t>21:16:51</t>
  </si>
  <si>
    <t>21:14:30</t>
  </si>
  <si>
    <t>13:11:26</t>
  </si>
  <si>
    <t>12:28:36</t>
  </si>
  <si>
    <t>16:54:39</t>
  </si>
  <si>
    <t>11:48:36</t>
  </si>
  <si>
    <t>11:46:27</t>
  </si>
  <si>
    <t>14:40:47</t>
  </si>
  <si>
    <t>12:02:29</t>
  </si>
  <si>
    <t>11:57:42</t>
  </si>
  <si>
    <t>14:19:38</t>
  </si>
  <si>
    <t>17:19:59</t>
  </si>
  <si>
    <t>11:44:40</t>
  </si>
  <si>
    <t>19:39:44</t>
  </si>
  <si>
    <t>11:57:44</t>
  </si>
  <si>
    <t>11:54:52</t>
  </si>
  <si>
    <t>11:52:57</t>
  </si>
  <si>
    <t>14:14:47</t>
  </si>
  <si>
    <t>13:00:14</t>
  </si>
  <si>
    <t>18:30:57</t>
  </si>
  <si>
    <t>14:53:20</t>
  </si>
  <si>
    <t>11:44:20</t>
  </si>
  <si>
    <t>11:20:40</t>
  </si>
  <si>
    <t>06:18:10</t>
  </si>
  <si>
    <t>04:13:12</t>
  </si>
  <si>
    <t>05:36:53</t>
  </si>
  <si>
    <t>06:18:08</t>
  </si>
  <si>
    <t>13:43:09</t>
  </si>
  <si>
    <t>09:13:20</t>
  </si>
  <si>
    <t>06:18:14</t>
  </si>
  <si>
    <t>06:18:09</t>
  </si>
  <si>
    <t>06:18:15</t>
  </si>
  <si>
    <t>19:59:57</t>
  </si>
  <si>
    <t>21:59:42</t>
  </si>
  <si>
    <t>15:00:47</t>
  </si>
  <si>
    <t>00:06:51</t>
  </si>
  <si>
    <t>21:31:41</t>
  </si>
  <si>
    <t>21:51:01</t>
  </si>
  <si>
    <t>00:13:01</t>
  </si>
  <si>
    <t>01:34:07</t>
  </si>
  <si>
    <t>20:25:49</t>
  </si>
  <si>
    <t>16:24:30</t>
  </si>
  <si>
    <t>12:59:36</t>
  </si>
  <si>
    <t>23:19:09</t>
  </si>
  <si>
    <t>17:33:15</t>
  </si>
  <si>
    <t>20:35:05</t>
  </si>
  <si>
    <t>22:10:22</t>
  </si>
  <si>
    <t>21:18:15</t>
  </si>
  <si>
    <t>20:23:15</t>
  </si>
  <si>
    <t>01:31:24</t>
  </si>
  <si>
    <t>10:08:59</t>
  </si>
  <si>
    <t>13:00:42</t>
  </si>
  <si>
    <t>20:29:39</t>
  </si>
  <si>
    <t>23:45:10</t>
  </si>
  <si>
    <t>21:02:09</t>
  </si>
  <si>
    <t>16:52:00</t>
  </si>
  <si>
    <t>00:10:17</t>
  </si>
  <si>
    <t>00:21:04</t>
  </si>
  <si>
    <t>15:59:34</t>
  </si>
  <si>
    <t>00:59:32</t>
  </si>
  <si>
    <t>15:59:56</t>
  </si>
  <si>
    <t>01:42:38</t>
  </si>
  <si>
    <t>14:31:08</t>
  </si>
  <si>
    <t>20:41:17</t>
  </si>
  <si>
    <t>16:49:27</t>
  </si>
  <si>
    <t>00:31:57</t>
  </si>
  <si>
    <t>11:39:30</t>
  </si>
  <si>
    <t>00:18:03</t>
  </si>
  <si>
    <t>16:30:34</t>
  </si>
  <si>
    <t>01:00:12</t>
  </si>
  <si>
    <t>10:57:40</t>
  </si>
  <si>
    <t>21:08:20</t>
  </si>
  <si>
    <t>14:01:10</t>
  </si>
  <si>
    <t>23:12:55</t>
  </si>
  <si>
    <t>20:23:00</t>
  </si>
  <si>
    <t>01:01:09</t>
  </si>
  <si>
    <t>20:42:53</t>
  </si>
  <si>
    <t>11:40:15</t>
  </si>
  <si>
    <t>20:17:57</t>
  </si>
  <si>
    <t>02:14:24</t>
  </si>
  <si>
    <t>20:18:35</t>
  </si>
  <si>
    <t>13:00:30</t>
  </si>
  <si>
    <t>02:16:04</t>
  </si>
  <si>
    <t>20:22:39</t>
  </si>
  <si>
    <t>13:31:03</t>
  </si>
  <si>
    <t>18:13:04</t>
  </si>
  <si>
    <t>21:00:31</t>
  </si>
  <si>
    <t>21:00:00</t>
  </si>
  <si>
    <t>14:57:26</t>
  </si>
  <si>
    <t>20:35:07</t>
  </si>
  <si>
    <t>17:47:26</t>
  </si>
  <si>
    <t>17:49:23</t>
  </si>
  <si>
    <t>18:59:25</t>
  </si>
  <si>
    <t>03:06:33</t>
  </si>
  <si>
    <t>00:08:13</t>
  </si>
  <si>
    <t>13:34:32</t>
  </si>
  <si>
    <t>22:44:00</t>
  </si>
  <si>
    <t>23:26:27</t>
  </si>
  <si>
    <t>10:17:07</t>
  </si>
  <si>
    <t>13:13:49</t>
  </si>
  <si>
    <t>01:30:25</t>
  </si>
  <si>
    <t>14:49:54</t>
  </si>
  <si>
    <t>16:46:49</t>
  </si>
  <si>
    <t>19:35:13</t>
  </si>
  <si>
    <t>19:34:17</t>
  </si>
  <si>
    <t>19:32:53</t>
  </si>
  <si>
    <t>21:01:55</t>
  </si>
  <si>
    <t>12:04:57</t>
  </si>
  <si>
    <t>14:23:08</t>
  </si>
  <si>
    <t>13:28:20</t>
  </si>
  <si>
    <t>12:02:21</t>
  </si>
  <si>
    <t>00:56:24</t>
  </si>
  <si>
    <t>21:07:02</t>
  </si>
  <si>
    <t>19:37:19</t>
  </si>
  <si>
    <t>18:01:48</t>
  </si>
  <si>
    <t>22:06:06</t>
  </si>
  <si>
    <t>16:23:47</t>
  </si>
  <si>
    <t>10:22:36</t>
  </si>
  <si>
    <t>12:35:27</t>
  </si>
  <si>
    <t>17:59:17</t>
  </si>
  <si>
    <t>12:28:31</t>
  </si>
  <si>
    <t>15:02:58</t>
  </si>
  <si>
    <t>10:39:58</t>
  </si>
  <si>
    <t>11:16:16</t>
  </si>
  <si>
    <t>12:08:45</t>
  </si>
  <si>
    <t>00:09:30</t>
  </si>
  <si>
    <t>11:11:16</t>
  </si>
  <si>
    <t>18:14:10</t>
  </si>
  <si>
    <t>10:27:41</t>
  </si>
  <si>
    <t>23:44:06</t>
  </si>
  <si>
    <t>21:36:52</t>
  </si>
  <si>
    <t>14:30:27</t>
  </si>
  <si>
    <t>22:06:23</t>
  </si>
  <si>
    <t>16:25:00</t>
  </si>
  <si>
    <t>13:20:19</t>
  </si>
  <si>
    <t>10:48:51</t>
  </si>
  <si>
    <t>12:19:09</t>
  </si>
  <si>
    <t>11:49:03</t>
  </si>
  <si>
    <t>22:35:56</t>
  </si>
  <si>
    <t>11:51:44</t>
  </si>
  <si>
    <t>15:09:47</t>
  </si>
  <si>
    <t>15:51:39</t>
  </si>
  <si>
    <t>15:25:55</t>
  </si>
  <si>
    <t>02:39:28</t>
  </si>
  <si>
    <t>11:19:01</t>
  </si>
  <si>
    <t>12:21:35</t>
  </si>
  <si>
    <t>12:57:15</t>
  </si>
  <si>
    <t>12:30:22</t>
  </si>
  <si>
    <t>12:33:36</t>
  </si>
  <si>
    <t>12:26:49</t>
  </si>
  <si>
    <t>12:28:07</t>
  </si>
  <si>
    <t>12:44:22</t>
  </si>
  <si>
    <t>13:38:50</t>
  </si>
  <si>
    <t>12:40:29</t>
  </si>
  <si>
    <t>12:43:49</t>
  </si>
  <si>
    <t>12:56:15</t>
  </si>
  <si>
    <t>12:57:00</t>
  </si>
  <si>
    <t>12:25:30</t>
  </si>
  <si>
    <t>13:08:04</t>
  </si>
  <si>
    <t>12:04:36</t>
  </si>
  <si>
    <t>13:00:32</t>
  </si>
  <si>
    <t>12:52:02</t>
  </si>
  <si>
    <t>12:33:15</t>
  </si>
  <si>
    <t>12:18:07</t>
  </si>
  <si>
    <t>12:29:18</t>
  </si>
  <si>
    <t>12:38:19</t>
  </si>
  <si>
    <t>12:18:37</t>
  </si>
  <si>
    <t>17:56:39</t>
  </si>
  <si>
    <t>17:47:06</t>
  </si>
  <si>
    <t>16:35:14</t>
  </si>
  <si>
    <t>18:21:14</t>
  </si>
  <si>
    <t>12:16:57</t>
  </si>
  <si>
    <t>12:28:45</t>
  </si>
  <si>
    <t>12:36:03</t>
  </si>
  <si>
    <t>12:14:38</t>
  </si>
  <si>
    <t>12:08:11</t>
  </si>
  <si>
    <t>12:58:30</t>
  </si>
  <si>
    <t>12:06:37</t>
  </si>
  <si>
    <t>12:56:54</t>
  </si>
  <si>
    <t>12:30:24</t>
  </si>
  <si>
    <t>12:26:51</t>
  </si>
  <si>
    <t>12:19:31</t>
  </si>
  <si>
    <t>12:49:39</t>
  </si>
  <si>
    <t>12:06:19</t>
  </si>
  <si>
    <t>20:38:07</t>
  </si>
  <si>
    <t>19:34:04</t>
  </si>
  <si>
    <t>12:10:10</t>
  </si>
  <si>
    <t>12:02:42</t>
  </si>
  <si>
    <t>12:47:17</t>
  </si>
  <si>
    <t>12:43:43</t>
  </si>
  <si>
    <t>12:15:57</t>
  </si>
  <si>
    <t>12:08:14</t>
  </si>
  <si>
    <t>12:08:34</t>
  </si>
  <si>
    <t>12:56:28</t>
  </si>
  <si>
    <t>12:41:35</t>
  </si>
  <si>
    <t>12:17:01</t>
  </si>
  <si>
    <t>12:07:04</t>
  </si>
  <si>
    <t>11:58:48</t>
  </si>
  <si>
    <t>12:26:24</t>
  </si>
  <si>
    <t>13:21:08</t>
  </si>
  <si>
    <t>12:35:52</t>
  </si>
  <si>
    <t>00:22:56</t>
  </si>
  <si>
    <t>12:36:35</t>
  </si>
  <si>
    <t>12:57:10</t>
  </si>
  <si>
    <t>12:09:37</t>
  </si>
  <si>
    <t>18:00:24</t>
  </si>
  <si>
    <t>19:05:34</t>
  </si>
  <si>
    <t>15:35:40</t>
  </si>
  <si>
    <t>13:07:11</t>
  </si>
  <si>
    <t>18:00:54</t>
  </si>
  <si>
    <t>12:44:28</t>
  </si>
  <si>
    <t>23:57:37</t>
  </si>
  <si>
    <t>18:40:16</t>
  </si>
  <si>
    <t>16:22:10</t>
  </si>
  <si>
    <t>02:10:02</t>
  </si>
  <si>
    <t>17:45:10</t>
  </si>
  <si>
    <t>11:34:02</t>
  </si>
  <si>
    <t>23:03:10</t>
  </si>
  <si>
    <t>19:54:50</t>
  </si>
  <si>
    <t>16:43:38</t>
  </si>
  <si>
    <t>23:21:05</t>
  </si>
  <si>
    <t>17:45:12</t>
  </si>
  <si>
    <t>21:25:05</t>
  </si>
  <si>
    <t>20:20:00</t>
  </si>
  <si>
    <t>15:21:19</t>
  </si>
  <si>
    <t>00:35:43</t>
  </si>
  <si>
    <t>00:35:39</t>
  </si>
  <si>
    <t>15:16:08</t>
  </si>
  <si>
    <t>14:00:32</t>
  </si>
  <si>
    <t>15:06:59</t>
  </si>
  <si>
    <t>14:05:11</t>
  </si>
  <si>
    <t>15:36:35</t>
  </si>
  <si>
    <t>13:58:16</t>
  </si>
  <si>
    <t>14:12:55</t>
  </si>
  <si>
    <t>22:34:22</t>
  </si>
  <si>
    <t>16:36:56</t>
  </si>
  <si>
    <t>15:50:56</t>
  </si>
  <si>
    <t>15:47:59</t>
  </si>
  <si>
    <t>17:30:45</t>
  </si>
  <si>
    <t>11:40:09</t>
  </si>
  <si>
    <t>13:15:32</t>
  </si>
  <si>
    <t>16:25:12</t>
  </si>
  <si>
    <t>19:25:37</t>
  </si>
  <si>
    <t>18:21:25</t>
  </si>
  <si>
    <t>22:27:57</t>
  </si>
  <si>
    <t>23:04:42</t>
  </si>
  <si>
    <t>13:54:10</t>
  </si>
  <si>
    <t>22:04:38</t>
  </si>
  <si>
    <t>21:24:19</t>
  </si>
  <si>
    <t>18:33:35</t>
  </si>
  <si>
    <t>17:59:52</t>
  </si>
  <si>
    <t>16:31:44</t>
  </si>
  <si>
    <t>15:13:16</t>
  </si>
  <si>
    <t>14:24:59</t>
  </si>
  <si>
    <t>00:11:18</t>
  </si>
  <si>
    <t>00:54:42</t>
  </si>
  <si>
    <t>18:47:01</t>
  </si>
  <si>
    <t>21:33:39</t>
  </si>
  <si>
    <t>15:54:14</t>
  </si>
  <si>
    <t>23:45:12</t>
  </si>
  <si>
    <t>23:06:18</t>
  </si>
  <si>
    <t>11:08:32</t>
  </si>
  <si>
    <t>20:42:13</t>
  </si>
  <si>
    <t>18:24:51</t>
  </si>
  <si>
    <t>16:07:31</t>
  </si>
  <si>
    <t>17:16:00</t>
  </si>
  <si>
    <t>23:05:16</t>
  </si>
  <si>
    <t>00:00:31</t>
  </si>
  <si>
    <t>00:05:00</t>
  </si>
  <si>
    <t>18:05:00</t>
  </si>
  <si>
    <t>10:30:01</t>
  </si>
  <si>
    <t>13:01:09</t>
  </si>
  <si>
    <t>22:04:34</t>
  </si>
  <si>
    <t>19:46:27</t>
  </si>
  <si>
    <t>01:04:05</t>
  </si>
  <si>
    <t>20:00:01</t>
  </si>
  <si>
    <t>06:54:10</t>
  </si>
  <si>
    <t>07:45:40</t>
  </si>
  <si>
    <t>17:45:53</t>
  </si>
  <si>
    <t>11:00:00</t>
  </si>
  <si>
    <t>16:32:45</t>
  </si>
  <si>
    <t>19:22:29</t>
  </si>
  <si>
    <t>17:29:47</t>
  </si>
  <si>
    <t>20:45:01</t>
  </si>
  <si>
    <t>00:53:07</t>
  </si>
  <si>
    <t>00:07:16</t>
  </si>
  <si>
    <t>00:06:27</t>
  </si>
  <si>
    <t>23:31:29</t>
  </si>
  <si>
    <t>22:41:20</t>
  </si>
  <si>
    <t>22:39:11</t>
  </si>
  <si>
    <t>22:30:24</t>
  </si>
  <si>
    <t>22:29:36</t>
  </si>
  <si>
    <t>23:15:00</t>
  </si>
  <si>
    <t>01:08:49</t>
  </si>
  <si>
    <t>11:00:11</t>
  </si>
  <si>
    <t>14:21:36</t>
  </si>
  <si>
    <t>19:16:45</t>
  </si>
  <si>
    <t>11:57:06</t>
  </si>
  <si>
    <t>13:26:57</t>
  </si>
  <si>
    <t>15:20:43</t>
  </si>
  <si>
    <t>15:30:36</t>
  </si>
  <si>
    <t>12:40:20</t>
  </si>
  <si>
    <t>10:27:15</t>
  </si>
  <si>
    <t>15:04:30</t>
  </si>
  <si>
    <t>15:01:23</t>
  </si>
  <si>
    <t>15:01:12</t>
  </si>
  <si>
    <t>11:52:30</t>
  </si>
  <si>
    <t>17:05:56</t>
  </si>
  <si>
    <t>17:23:55</t>
  </si>
  <si>
    <t>14:59:00</t>
  </si>
  <si>
    <t>14:59:30</t>
  </si>
  <si>
    <t>13:35:32</t>
  </si>
  <si>
    <t>13:28:12</t>
  </si>
  <si>
    <t>13:27:21</t>
  </si>
  <si>
    <t>20:27:46</t>
  </si>
  <si>
    <t>10:56:26</t>
  </si>
  <si>
    <t>22:05:12</t>
  </si>
  <si>
    <t>01:14:03</t>
  </si>
  <si>
    <t>13:39:48</t>
  </si>
  <si>
    <t>13:39:01</t>
  </si>
  <si>
    <t>15:11:11</t>
  </si>
  <si>
    <t>18:39:41</t>
  </si>
  <si>
    <t>14:29:52</t>
  </si>
  <si>
    <t>17:24:30</t>
  </si>
  <si>
    <t>13:43:14</t>
  </si>
  <si>
    <t>19:58:35</t>
  </si>
  <si>
    <t>19:41:54</t>
  </si>
  <si>
    <t>22:03:57</t>
  </si>
  <si>
    <t>14:31:24</t>
  </si>
  <si>
    <t>14:44:47</t>
  </si>
  <si>
    <t>00:41:53</t>
  </si>
  <si>
    <t>00:20:36</t>
  </si>
  <si>
    <t>02:21:11</t>
  </si>
  <si>
    <t>22:38:55</t>
  </si>
  <si>
    <t>06:18:03</t>
  </si>
  <si>
    <t>04:49:43</t>
  </si>
  <si>
    <t>14:10:54</t>
  </si>
  <si>
    <t>13:01:21</t>
  </si>
  <si>
    <t>13:49:01</t>
  </si>
  <si>
    <t>13:04:37</t>
  </si>
  <si>
    <t>12:52:45</t>
  </si>
  <si>
    <t>14:00:40</t>
  </si>
  <si>
    <t>15:12:14</t>
  </si>
  <si>
    <t>17:09:38</t>
  </si>
  <si>
    <t>16:55:16</t>
  </si>
  <si>
    <t>02:56:42</t>
  </si>
  <si>
    <t>16:12:10</t>
  </si>
  <si>
    <t>11:14:12</t>
  </si>
  <si>
    <t>11:45:11</t>
  </si>
  <si>
    <t>11:28:27</t>
  </si>
  <si>
    <t>03:28:36</t>
  </si>
  <si>
    <t>19:03:51</t>
  </si>
  <si>
    <t>18:39:01</t>
  </si>
  <si>
    <t>21:00:37</t>
  </si>
  <si>
    <t>22:50:02</t>
  </si>
  <si>
    <t>17:17:25</t>
  </si>
  <si>
    <t>13:45:57</t>
  </si>
  <si>
    <t>13:00:48</t>
  </si>
  <si>
    <t>21:30:19</t>
  </si>
  <si>
    <t>18:00:29</t>
  </si>
  <si>
    <t>18:00:25</t>
  </si>
  <si>
    <t>21:30:24</t>
  </si>
  <si>
    <t>18:00:28</t>
  </si>
  <si>
    <t>18:00:20</t>
  </si>
  <si>
    <t>21:30:18</t>
  </si>
  <si>
    <t>18:00:27</t>
  </si>
  <si>
    <t>18:00:23</t>
  </si>
  <si>
    <t>15:22:26</t>
  </si>
  <si>
    <t>15:24:21</t>
  </si>
  <si>
    <t>19:39:20</t>
  </si>
  <si>
    <t>20:15:31</t>
  </si>
  <si>
    <t>20:01:24</t>
  </si>
  <si>
    <t>00:45:44</t>
  </si>
  <si>
    <t>16:19:10</t>
  </si>
  <si>
    <t>23:08:47</t>
  </si>
  <si>
    <t>00:16:25</t>
  </si>
  <si>
    <t>21:26:57</t>
  </si>
  <si>
    <t>22:40:16</t>
  </si>
  <si>
    <t>17:22:02</t>
  </si>
  <si>
    <t>22:36:41</t>
  </si>
  <si>
    <t>16:12:13</t>
  </si>
  <si>
    <t>21:39:35</t>
  </si>
  <si>
    <t>21:50:23</t>
  </si>
  <si>
    <t>15:00:50</t>
  </si>
  <si>
    <t>12:00:43</t>
  </si>
  <si>
    <t>12:00:45</t>
  </si>
  <si>
    <t>19:39:32</t>
  </si>
  <si>
    <t>15:16:15</t>
  </si>
  <si>
    <t>19:23:10</t>
  </si>
  <si>
    <t>12:00:42</t>
  </si>
  <si>
    <t>15:51:06</t>
  </si>
  <si>
    <t>13:02:42</t>
  </si>
  <si>
    <t>12:49:34</t>
  </si>
  <si>
    <t>13:45:26</t>
  </si>
  <si>
    <t>17:53:47</t>
  </si>
  <si>
    <t>20:00:57</t>
  </si>
  <si>
    <t>12:41:32</t>
  </si>
  <si>
    <t>10:51:43</t>
  </si>
  <si>
    <t>12:49:23</t>
  </si>
  <si>
    <t>14:00:54</t>
  </si>
  <si>
    <t>20:25:02</t>
  </si>
  <si>
    <t>08:59:11</t>
  </si>
  <si>
    <t>00:21:54</t>
  </si>
  <si>
    <t>13:44:25</t>
  </si>
  <si>
    <t>14:40:13</t>
  </si>
  <si>
    <t>14:50:24</t>
  </si>
  <si>
    <t>15:30:00</t>
  </si>
  <si>
    <t>00:00:00</t>
  </si>
  <si>
    <t>13:30:52</t>
  </si>
  <si>
    <t>18:19:23</t>
  </si>
  <si>
    <t>19:56:32</t>
  </si>
  <si>
    <t>17:00:41</t>
  </si>
  <si>
    <t>20:01:22</t>
  </si>
  <si>
    <t>13:08:33</t>
  </si>
  <si>
    <t>14:16:35</t>
  </si>
  <si>
    <t>13:20:48</t>
  </si>
  <si>
    <t>17:29:27</t>
  </si>
  <si>
    <t>14:30:24</t>
  </si>
  <si>
    <t>19:00:49</t>
  </si>
  <si>
    <t>10:17:52</t>
  </si>
  <si>
    <t>00:00:19</t>
  </si>
  <si>
    <t>02:35:18</t>
  </si>
  <si>
    <t>22:41:07</t>
  </si>
  <si>
    <t>22:56:32</t>
  </si>
  <si>
    <t>17:51:10</t>
  </si>
  <si>
    <t>19:54:02</t>
  </si>
  <si>
    <t>13:30:15</t>
  </si>
  <si>
    <t>17:41:30</t>
  </si>
  <si>
    <t>16:14:40</t>
  </si>
  <si>
    <t>18:48:10</t>
  </si>
  <si>
    <t>13:42:28</t>
  </si>
  <si>
    <t>22:38:14</t>
  </si>
  <si>
    <t>21:13:57</t>
  </si>
  <si>
    <t>15:54:37</t>
  </si>
  <si>
    <t>01:54:57</t>
  </si>
  <si>
    <t>20:59:19</t>
  </si>
  <si>
    <t>16:36:12</t>
  </si>
  <si>
    <t>21:30:29</t>
  </si>
  <si>
    <t>20:51:10</t>
  </si>
  <si>
    <t>23:47:10</t>
  </si>
  <si>
    <t>23:30:49</t>
  </si>
  <si>
    <t>23:12:27</t>
  </si>
  <si>
    <t>18:31:50</t>
  </si>
  <si>
    <t>15:30:32</t>
  </si>
  <si>
    <t>21:00:53</t>
  </si>
  <si>
    <t>21:40:33</t>
  </si>
  <si>
    <t>21:40:27</t>
  </si>
  <si>
    <t>21:36:13</t>
  </si>
  <si>
    <t>21:45:36</t>
  </si>
  <si>
    <t>22:15:57</t>
  </si>
  <si>
    <t>00:01:08</t>
  </si>
  <si>
    <t>00:01:06</t>
  </si>
  <si>
    <t>21:34:38</t>
  </si>
  <si>
    <t>21:34:35</t>
  </si>
  <si>
    <t>23:47:09</t>
  </si>
  <si>
    <t>01:35:01</t>
  </si>
  <si>
    <t>09:40:15</t>
  </si>
  <si>
    <t>16:06:25</t>
  </si>
  <si>
    <t>19:09:48</t>
  </si>
  <si>
    <t>16:27:58</t>
  </si>
  <si>
    <t>17:24:25</t>
  </si>
  <si>
    <t>17:42:08</t>
  </si>
  <si>
    <t>18:26:15</t>
  </si>
  <si>
    <t>15:51:32</t>
  </si>
  <si>
    <t>19:45:04</t>
  </si>
  <si>
    <t>18:22:47</t>
  </si>
  <si>
    <t>20:04:23</t>
  </si>
  <si>
    <t>18:05:06</t>
  </si>
  <si>
    <t>17:15:05</t>
  </si>
  <si>
    <t>17:54:22</t>
  </si>
  <si>
    <t>15:43:32</t>
  </si>
  <si>
    <t>14:36:19</t>
  </si>
  <si>
    <t>16:37:20</t>
  </si>
  <si>
    <t>15:18:05</t>
  </si>
  <si>
    <t>15:30:28</t>
  </si>
  <si>
    <t>15:32:36</t>
  </si>
  <si>
    <t>17:32:09</t>
  </si>
  <si>
    <t>16:24:23</t>
  </si>
  <si>
    <t>21:36:40</t>
  </si>
  <si>
    <t>15:17:48</t>
  </si>
  <si>
    <t>17:21:24</t>
  </si>
  <si>
    <t>14:48:18</t>
  </si>
  <si>
    <t>19:36:48</t>
  </si>
  <si>
    <t>13:31:06</t>
  </si>
  <si>
    <t>12:15:04</t>
  </si>
  <si>
    <t>14:45:28</t>
  </si>
  <si>
    <t>14:45:26</t>
  </si>
  <si>
    <t>21:15:16</t>
  </si>
  <si>
    <t>14:45:34</t>
  </si>
  <si>
    <t>13:00:03</t>
  </si>
  <si>
    <t>16:59:35</t>
  </si>
  <si>
    <t>18:31:54</t>
  </si>
  <si>
    <t>12:45:26</t>
  </si>
  <si>
    <t>19:00:52</t>
  </si>
  <si>
    <t>19:00:37</t>
  </si>
  <si>
    <t>15:51:57</t>
  </si>
  <si>
    <t>17:57:38</t>
  </si>
  <si>
    <t>18:07:43</t>
  </si>
  <si>
    <t>03:16:14</t>
  </si>
  <si>
    <t>05:54:29</t>
  </si>
  <si>
    <t>19:50:15</t>
  </si>
  <si>
    <t>16:56:10</t>
  </si>
  <si>
    <t>12:15:42</t>
  </si>
  <si>
    <t>22:40:40</t>
  </si>
  <si>
    <t>10:27:27</t>
  </si>
  <si>
    <t>10:39:54</t>
  </si>
  <si>
    <t>22:03:21</t>
  </si>
  <si>
    <t>10:41:55</t>
  </si>
  <si>
    <t>12:24:30</t>
  </si>
  <si>
    <t>08:42:25</t>
  </si>
  <si>
    <t>16:16:29</t>
  </si>
  <si>
    <t>14:47:03</t>
  </si>
  <si>
    <t>15:15:07</t>
  </si>
  <si>
    <t>13:42:50</t>
  </si>
  <si>
    <t>15:57:14</t>
  </si>
  <si>
    <t>21:07:43</t>
  </si>
  <si>
    <t>21:08:17</t>
  </si>
  <si>
    <t>18:11:59</t>
  </si>
  <si>
    <t>12:00:46</t>
  </si>
  <si>
    <t>17:20:15</t>
  </si>
  <si>
    <t>19:01:07</t>
  </si>
  <si>
    <t>18:45:48</t>
  </si>
  <si>
    <t>23:24:44</t>
  </si>
  <si>
    <t>13:28:13</t>
  </si>
  <si>
    <t>15:01:50</t>
  </si>
  <si>
    <t>21:17:58</t>
  </si>
  <si>
    <t>14:57:52</t>
  </si>
  <si>
    <t>03:04:59</t>
  </si>
  <si>
    <t>19:04:23</t>
  </si>
  <si>
    <t>20:17:54</t>
  </si>
  <si>
    <t>02:00:00</t>
  </si>
  <si>
    <t>09:00:14</t>
  </si>
  <si>
    <t>17:56:38</t>
  </si>
  <si>
    <t>11:45:58</t>
  </si>
  <si>
    <t>02:00:01</t>
  </si>
  <si>
    <t>00:00:01</t>
  </si>
  <si>
    <t>20:34:11</t>
  </si>
  <si>
    <t>19:06:03</t>
  </si>
  <si>
    <t>17:00:00</t>
  </si>
  <si>
    <t>09:58:30</t>
  </si>
  <si>
    <t>19:35:24</t>
  </si>
  <si>
    <t>09:51:58</t>
  </si>
  <si>
    <t>10:59:46</t>
  </si>
  <si>
    <t>11:07:52</t>
  </si>
  <si>
    <t>10:50:13</t>
  </si>
  <si>
    <t>10:53:47</t>
  </si>
  <si>
    <t>11:10:57</t>
  </si>
  <si>
    <t>10:25:15</t>
  </si>
  <si>
    <t>20:39:51</t>
  </si>
  <si>
    <t>10:04:06</t>
  </si>
  <si>
    <t>12:43:26</t>
  </si>
  <si>
    <t>11:52:12</t>
  </si>
  <si>
    <t>14:37:03</t>
  </si>
  <si>
    <t>10:12:30</t>
  </si>
  <si>
    <t>15:33:09</t>
  </si>
  <si>
    <t>11:20:57</t>
  </si>
  <si>
    <t>10:24:04</t>
  </si>
  <si>
    <t>13:22:59</t>
  </si>
  <si>
    <t>11:29:05</t>
  </si>
  <si>
    <t>11:12:08</t>
  </si>
  <si>
    <t>10:13:00</t>
  </si>
  <si>
    <t>10:26:04</t>
  </si>
  <si>
    <t>11:41:44</t>
  </si>
  <si>
    <t>10:37:31</t>
  </si>
  <si>
    <t>19:03:14</t>
  </si>
  <si>
    <t>11:43:05</t>
  </si>
  <si>
    <t>11:26:50</t>
  </si>
  <si>
    <t>11:56:48</t>
  </si>
  <si>
    <t>20:04:08</t>
  </si>
  <si>
    <t>14:14:08</t>
  </si>
  <si>
    <t>16:29:41</t>
  </si>
  <si>
    <t>18:41:01</t>
  </si>
  <si>
    <t>17:47:00</t>
  </si>
  <si>
    <t>23:53:59</t>
  </si>
  <si>
    <t>13:30:16</t>
  </si>
  <si>
    <t>16:19:59</t>
  </si>
  <si>
    <t>19:12:20</t>
  </si>
  <si>
    <t>14:02:27</t>
  </si>
  <si>
    <t>15:17:22</t>
  </si>
  <si>
    <t>02:45:34</t>
  </si>
  <si>
    <t>23:02:26</t>
  </si>
  <si>
    <t>15:25:14</t>
  </si>
  <si>
    <t>16:50:20</t>
  </si>
  <si>
    <t>13:00:01</t>
  </si>
  <si>
    <t>17:06:47</t>
  </si>
  <si>
    <t>17:06:46</t>
  </si>
  <si>
    <t>22:24:28</t>
  </si>
  <si>
    <t>22:39:53</t>
  </si>
  <si>
    <t>23:17:49</t>
  </si>
  <si>
    <t>16:30:56</t>
  </si>
  <si>
    <t>13:38:00</t>
  </si>
  <si>
    <t>19:10:05</t>
  </si>
  <si>
    <t>01:36:46</t>
  </si>
  <si>
    <t>10:46:35</t>
  </si>
  <si>
    <t>15:29:16</t>
  </si>
  <si>
    <t>16:34:30</t>
  </si>
  <si>
    <t>13:09:05</t>
  </si>
  <si>
    <t>22:00:25</t>
  </si>
  <si>
    <t>17:00:45</t>
  </si>
  <si>
    <t>19:00:42</t>
  </si>
  <si>
    <t>20:00:25</t>
  </si>
  <si>
    <t>13:15:08</t>
  </si>
  <si>
    <t>11:30:49</t>
  </si>
  <si>
    <t>14:00:51</t>
  </si>
  <si>
    <t>13:00:45</t>
  </si>
  <si>
    <t>21:00:44</t>
  </si>
  <si>
    <t>14:00:52</t>
  </si>
  <si>
    <t>22:00:45</t>
  </si>
  <si>
    <t>10:00:35</t>
  </si>
  <si>
    <t>22:00:29</t>
  </si>
  <si>
    <t>09:30:01</t>
  </si>
  <si>
    <t>10:35:53</t>
  </si>
  <si>
    <t>17:00:34</t>
  </si>
  <si>
    <t>10:31:37</t>
  </si>
  <si>
    <t>11:00:45</t>
  </si>
  <si>
    <t>10:00:30</t>
  </si>
  <si>
    <t>12:00:30</t>
  </si>
  <si>
    <t>22:00:00</t>
  </si>
  <si>
    <t>16:45:00</t>
  </si>
  <si>
    <t>18:05:51</t>
  </si>
  <si>
    <t>18:03:40</t>
  </si>
  <si>
    <t>17:19:35</t>
  </si>
  <si>
    <t>10:15:16</t>
  </si>
  <si>
    <t>14:20:00</t>
  </si>
  <si>
    <t>10:35:46</t>
  </si>
  <si>
    <t>13:00:38</t>
  </si>
  <si>
    <t>10:24:39</t>
  </si>
  <si>
    <t>03:00:11</t>
  </si>
  <si>
    <t>12:30:27</t>
  </si>
  <si>
    <t>16:00:00</t>
  </si>
  <si>
    <t>18:46:42</t>
  </si>
  <si>
    <t>18:00:38</t>
  </si>
  <si>
    <t>13:30:41</t>
  </si>
  <si>
    <t>10:54:31</t>
  </si>
  <si>
    <t>22:00:50</t>
  </si>
  <si>
    <t>18:00:36</t>
  </si>
  <si>
    <t>14:00:33</t>
  </si>
  <si>
    <t>13:03:26</t>
  </si>
  <si>
    <t>19:14:55</t>
  </si>
  <si>
    <t>15:28:40</t>
  </si>
  <si>
    <t>18:47:50</t>
  </si>
  <si>
    <t>11:12:04</t>
  </si>
  <si>
    <t>10:53:12</t>
  </si>
  <si>
    <t>13:36:18</t>
  </si>
  <si>
    <t>10:52:33</t>
  </si>
  <si>
    <t>10:08:36</t>
  </si>
  <si>
    <t>09:28:46</t>
  </si>
  <si>
    <t>10:59:31</t>
  </si>
  <si>
    <t>19:48:04</t>
  </si>
  <si>
    <t>10:56:47</t>
  </si>
  <si>
    <t>22:20:09</t>
  </si>
  <si>
    <t>13:47:03</t>
  </si>
  <si>
    <t>17:47:10</t>
  </si>
  <si>
    <t>18:32:30</t>
  </si>
  <si>
    <t>00:10:49</t>
  </si>
  <si>
    <t>10:36:12</t>
  </si>
  <si>
    <t>00:01:36</t>
  </si>
  <si>
    <t>20:44:45</t>
  </si>
  <si>
    <t>18:01:32</t>
  </si>
  <si>
    <t>01:13:50</t>
  </si>
  <si>
    <t>21:19:45</t>
  </si>
  <si>
    <t>21:47:36</t>
  </si>
  <si>
    <t>05:07:14</t>
  </si>
  <si>
    <t>02:08:21</t>
  </si>
  <si>
    <t>03:09:36</t>
  </si>
  <si>
    <t>22:59:41</t>
  </si>
  <si>
    <t>16:02:37</t>
  </si>
  <si>
    <t>18:05:28</t>
  </si>
  <si>
    <t>20:31:36</t>
  </si>
  <si>
    <t>14:17:46</t>
  </si>
  <si>
    <t>22:14:00</t>
  </si>
  <si>
    <t>11:45:44</t>
  </si>
  <si>
    <t>16:17:00</t>
  </si>
  <si>
    <t>12:52:11</t>
  </si>
  <si>
    <t>15:05:20</t>
  </si>
  <si>
    <t>11:42:17</t>
  </si>
  <si>
    <t>21:28:10</t>
  </si>
  <si>
    <t>14:32:49</t>
  </si>
  <si>
    <t>21:59:06</t>
  </si>
  <si>
    <t>17:55:02</t>
  </si>
  <si>
    <t>09:15:20</t>
  </si>
  <si>
    <t>09:08:38</t>
  </si>
  <si>
    <t>17:02:42</t>
  </si>
  <si>
    <t>13:01:51</t>
  </si>
  <si>
    <t>00:52:51</t>
  </si>
  <si>
    <t>16:37:50</t>
  </si>
  <si>
    <t>21:30:50</t>
  </si>
  <si>
    <t>15:12:59</t>
  </si>
  <si>
    <t>11:55:29</t>
  </si>
  <si>
    <t>16:13:23</t>
  </si>
  <si>
    <t>13:00:29</t>
  </si>
  <si>
    <t>05:48:21</t>
  </si>
  <si>
    <t>16:21:30</t>
  </si>
  <si>
    <t>01:25:03</t>
  </si>
  <si>
    <t>14:12:20</t>
  </si>
  <si>
    <t>15:01:11</t>
  </si>
  <si>
    <t>13:53:41</t>
  </si>
  <si>
    <t>17:45:51</t>
  </si>
  <si>
    <t>15:35:54</t>
  </si>
  <si>
    <t>13:12:57</t>
  </si>
  <si>
    <t>12:32:38</t>
  </si>
  <si>
    <t>00:31:09</t>
  </si>
  <si>
    <t>02:25:05</t>
  </si>
  <si>
    <t>20:43:00</t>
  </si>
  <si>
    <t>13:48:00</t>
  </si>
  <si>
    <t>18:47:00</t>
  </si>
  <si>
    <t>17:02:10</t>
  </si>
  <si>
    <t>20:35:02</t>
  </si>
  <si>
    <t>21:54:35</t>
  </si>
  <si>
    <t>11:52:48</t>
  </si>
  <si>
    <t>16:52:31</t>
  </si>
  <si>
    <t>12:57:22</t>
  </si>
  <si>
    <t>13:44:41</t>
  </si>
  <si>
    <t>16:58:28</t>
  </si>
  <si>
    <t>00:26:36</t>
  </si>
  <si>
    <t>06:26:51</t>
  </si>
  <si>
    <t>04:00:31</t>
  </si>
  <si>
    <t>14:18:26</t>
  </si>
  <si>
    <t>17:22:14</t>
  </si>
  <si>
    <t>10:21:01</t>
  </si>
  <si>
    <t>13:19:28</t>
  </si>
  <si>
    <t>17:51:31</t>
  </si>
  <si>
    <t>02:50:03</t>
  </si>
  <si>
    <t>19:59:53</t>
  </si>
  <si>
    <t>22:01:57</t>
  </si>
  <si>
    <t>21:28:13</t>
  </si>
  <si>
    <t>15:33:01</t>
  </si>
  <si>
    <t>01:04:32</t>
  </si>
  <si>
    <t>22:35:25</t>
  </si>
  <si>
    <t>11:32:22</t>
  </si>
  <si>
    <t>16:47:18</t>
  </si>
  <si>
    <t>15:32:20</t>
  </si>
  <si>
    <t>15:01:39</t>
  </si>
  <si>
    <t>00:05:50</t>
  </si>
  <si>
    <t>21:14:41</t>
  </si>
  <si>
    <t>20:54:50</t>
  </si>
  <si>
    <t>22:29:12</t>
  </si>
  <si>
    <t>22:09:54</t>
  </si>
  <si>
    <t>05:18:51</t>
  </si>
  <si>
    <t>22:04:10</t>
  </si>
  <si>
    <t>22:39:47</t>
  </si>
  <si>
    <t>22:24:10</t>
  </si>
  <si>
    <t>05:15:14</t>
  </si>
  <si>
    <t>22:22:23</t>
  </si>
  <si>
    <t>17:16:27</t>
  </si>
  <si>
    <t>19:46:07</t>
  </si>
  <si>
    <t>20:39:42</t>
  </si>
  <si>
    <t>19:23:00</t>
  </si>
  <si>
    <t>19:21:25</t>
  </si>
  <si>
    <t>21:13:21</t>
  </si>
  <si>
    <t>22:57:13</t>
  </si>
  <si>
    <t>13:30:40</t>
  </si>
  <si>
    <t>05:11:49</t>
  </si>
  <si>
    <t>20:28:34</t>
  </si>
  <si>
    <t>14:53:04</t>
  </si>
  <si>
    <t>13:04:30</t>
  </si>
  <si>
    <t>12:26:22</t>
  </si>
  <si>
    <t>19:30:02</t>
  </si>
  <si>
    <t>23:30:09</t>
  </si>
  <si>
    <t>12:37:11</t>
  </si>
  <si>
    <t>21:25:51</t>
  </si>
  <si>
    <t>18:58:29</t>
  </si>
  <si>
    <t>23:42:22</t>
  </si>
  <si>
    <t>23:30:19</t>
  </si>
  <si>
    <t>18:11:02</t>
  </si>
  <si>
    <t>21:12:37</t>
  </si>
  <si>
    <t>17:32:32</t>
  </si>
  <si>
    <t>15:47:23</t>
  </si>
  <si>
    <t>10:25:03</t>
  </si>
  <si>
    <t>11:02:03</t>
  </si>
  <si>
    <t>11:03:55</t>
  </si>
  <si>
    <t>10:42:18</t>
  </si>
  <si>
    <t>10:23:59</t>
  </si>
  <si>
    <t>10:49:12</t>
  </si>
  <si>
    <t>10:13:36</t>
  </si>
  <si>
    <t>11:15:06</t>
  </si>
  <si>
    <t>12:13:27</t>
  </si>
  <si>
    <t>10:23:46</t>
  </si>
  <si>
    <t>11:04:36</t>
  </si>
  <si>
    <t>11:16:29</t>
  </si>
  <si>
    <t>10:42:44</t>
  </si>
  <si>
    <t>10:46:57</t>
  </si>
  <si>
    <t>10:50:51</t>
  </si>
  <si>
    <t>13:49:24</t>
  </si>
  <si>
    <t>11:27:44</t>
  </si>
  <si>
    <t>11:11:07</t>
  </si>
  <si>
    <t>10:41:15</t>
  </si>
  <si>
    <t>10:33:14</t>
  </si>
  <si>
    <t>10:51:16</t>
  </si>
  <si>
    <t>15:11:54</t>
  </si>
  <si>
    <t>10:52:45</t>
  </si>
  <si>
    <t>10:55:43</t>
  </si>
  <si>
    <t>11:22:35</t>
  </si>
  <si>
    <t>13:28:32</t>
  </si>
  <si>
    <t>11:11:19</t>
  </si>
  <si>
    <t>11:08:48</t>
  </si>
  <si>
    <t>10:52:52</t>
  </si>
  <si>
    <t>10:47:27</t>
  </si>
  <si>
    <t>11:03:11</t>
  </si>
  <si>
    <t>10:59:58</t>
  </si>
  <si>
    <t>10:29:55</t>
  </si>
  <si>
    <t>12:56:11</t>
  </si>
  <si>
    <t>11:20:46</t>
  </si>
  <si>
    <t>10:46:36</t>
  </si>
  <si>
    <t>09:53:15</t>
  </si>
  <si>
    <t>12:00:56</t>
  </si>
  <si>
    <t>11:08:56</t>
  </si>
  <si>
    <t>10:56:27</t>
  </si>
  <si>
    <t>11:08:00</t>
  </si>
  <si>
    <t>11:05:24</t>
  </si>
  <si>
    <t>10:37:52</t>
  </si>
  <si>
    <t>10:34:27</t>
  </si>
  <si>
    <t>10:52:28</t>
  </si>
  <si>
    <t>11:14:20</t>
  </si>
  <si>
    <t>10:43:58</t>
  </si>
  <si>
    <t>11:52:42</t>
  </si>
  <si>
    <t>11:33:27</t>
  </si>
  <si>
    <t>13:17:21</t>
  </si>
  <si>
    <t>11:08:47</t>
  </si>
  <si>
    <t>11:18:16</t>
  </si>
  <si>
    <t>11:11:17</t>
  </si>
  <si>
    <t>12:10:47</t>
  </si>
  <si>
    <t>10:38:58</t>
  </si>
  <si>
    <t>11:09:15</t>
  </si>
  <si>
    <t>10:26:03</t>
  </si>
  <si>
    <t>10:34:50</t>
  </si>
  <si>
    <t>10:56:20</t>
  </si>
  <si>
    <t>11:08:50</t>
  </si>
  <si>
    <t>12:09:03</t>
  </si>
  <si>
    <t>11:54:48</t>
  </si>
  <si>
    <t>11:12:06</t>
  </si>
  <si>
    <t>11:40:44</t>
  </si>
  <si>
    <t>10:38:34</t>
  </si>
  <si>
    <t>10:52:11</t>
  </si>
  <si>
    <t>09:29:36</t>
  </si>
  <si>
    <t>10:46:45</t>
  </si>
  <si>
    <t>11:10:01</t>
  </si>
  <si>
    <t>11:07:09</t>
  </si>
  <si>
    <t>10:52:59</t>
  </si>
  <si>
    <t>11:24:08</t>
  </si>
  <si>
    <t>10:38:42</t>
  </si>
  <si>
    <t>08:44:42</t>
  </si>
  <si>
    <t>11:16:45</t>
  </si>
  <si>
    <t>10:32:26</t>
  </si>
  <si>
    <t>10:44:58</t>
  </si>
  <si>
    <t>10:41:02</t>
  </si>
  <si>
    <t>10:31:29</t>
  </si>
  <si>
    <t>10:31:17</t>
  </si>
  <si>
    <t>10:21:52</t>
  </si>
  <si>
    <t>11:31:04</t>
  </si>
  <si>
    <t>10:27:09</t>
  </si>
  <si>
    <t>10:51:14</t>
  </si>
  <si>
    <t>11:02:08</t>
  </si>
  <si>
    <t>11:26:08</t>
  </si>
  <si>
    <t>13:06:28</t>
  </si>
  <si>
    <t>10:09:26</t>
  </si>
  <si>
    <t>11:05:01</t>
  </si>
  <si>
    <t>09:30:13</t>
  </si>
  <si>
    <t>11:25:25</t>
  </si>
  <si>
    <t>09:55:02</t>
  </si>
  <si>
    <t>11:09:41</t>
  </si>
  <si>
    <t>11:06:42</t>
  </si>
  <si>
    <t>11:00:36</t>
  </si>
  <si>
    <t>11:04:46</t>
  </si>
  <si>
    <t>14:20:05</t>
  </si>
  <si>
    <t>10:17:57</t>
  </si>
  <si>
    <t>10:26:15</t>
  </si>
  <si>
    <t>10:20:27</t>
  </si>
  <si>
    <t>11:14:45</t>
  </si>
  <si>
    <t>11:25:40</t>
  </si>
  <si>
    <t>10:38:41</t>
  </si>
  <si>
    <t>11:03:16</t>
  </si>
  <si>
    <t>10:43:29</t>
  </si>
  <si>
    <t>10:20:18</t>
  </si>
  <si>
    <t>10:06:57</t>
  </si>
  <si>
    <t>11:10:55</t>
  </si>
  <si>
    <t>11:18:26</t>
  </si>
  <si>
    <t>10:18:27</t>
  </si>
  <si>
    <t>12:36:30</t>
  </si>
  <si>
    <t>10:07:05</t>
  </si>
  <si>
    <t>10:52:39</t>
  </si>
  <si>
    <t>10:49:54</t>
  </si>
  <si>
    <t>12:16:30</t>
  </si>
  <si>
    <t>12:21:45</t>
  </si>
  <si>
    <t>10:29:27</t>
  </si>
  <si>
    <t>10:18:47</t>
  </si>
  <si>
    <t>10:49:38</t>
  </si>
  <si>
    <t>10:41:43</t>
  </si>
  <si>
    <t>10:29:46</t>
  </si>
  <si>
    <t>11:02:51</t>
  </si>
  <si>
    <t>10:57:05</t>
  </si>
  <si>
    <t>11:04:12</t>
  </si>
  <si>
    <t>10:46:16</t>
  </si>
  <si>
    <t>11:09:24</t>
  </si>
  <si>
    <t>12:14:53</t>
  </si>
  <si>
    <t>10:45:23</t>
  </si>
  <si>
    <t>11:54:40</t>
  </si>
  <si>
    <t>11:13:43</t>
  </si>
  <si>
    <t>10:53:24</t>
  </si>
  <si>
    <t>12:11:32</t>
  </si>
  <si>
    <t>10:48:39</t>
  </si>
  <si>
    <t>10:46:09</t>
  </si>
  <si>
    <t>10:56:29</t>
  </si>
  <si>
    <t>10:19:35</t>
  </si>
  <si>
    <t>11:36:29</t>
  </si>
  <si>
    <t>10:37:53</t>
  </si>
  <si>
    <t>10:21:58</t>
  </si>
  <si>
    <t>10:56:04</t>
  </si>
  <si>
    <t>11:18:04</t>
  </si>
  <si>
    <t>11:24:24</t>
  </si>
  <si>
    <t>11:25:53</t>
  </si>
  <si>
    <t>10:38:55</t>
  </si>
  <si>
    <t>12:28:10</t>
  </si>
  <si>
    <t>20:00:12</t>
  </si>
  <si>
    <t>17:00:30</t>
  </si>
  <si>
    <t>22:23:07</t>
  </si>
  <si>
    <t>11:41:02</t>
  </si>
  <si>
    <t>18:39:05</t>
  </si>
  <si>
    <t>10:45:40</t>
  </si>
  <si>
    <t>20:45:32</t>
  </si>
  <si>
    <t>14:18:42</t>
  </si>
  <si>
    <t>02:18:12</t>
  </si>
  <si>
    <t>12:46:18</t>
  </si>
  <si>
    <t>10:01:51</t>
  </si>
  <si>
    <t>09:47:55</t>
  </si>
  <si>
    <t>13:33:24</t>
  </si>
  <si>
    <t>13:33:19</t>
  </si>
  <si>
    <t>13:56:45</t>
  </si>
  <si>
    <t>01:11:56</t>
  </si>
  <si>
    <t>11:18:43</t>
  </si>
  <si>
    <t>14:03:29</t>
  </si>
  <si>
    <t>12:03:11</t>
  </si>
  <si>
    <t>20:14:28</t>
  </si>
  <si>
    <t>21:33:20</t>
  </si>
  <si>
    <t>19:04:16</t>
  </si>
  <si>
    <t>18:59:55</t>
  </si>
  <si>
    <t>15:06:19</t>
  </si>
  <si>
    <t>21:19:00</t>
  </si>
  <si>
    <t>21:18:00</t>
  </si>
  <si>
    <t>00:44:35</t>
  </si>
  <si>
    <t>02:21:47</t>
  </si>
  <si>
    <t>16:52:36</t>
  </si>
  <si>
    <t>00:04:00</t>
  </si>
  <si>
    <t>21:01:00</t>
  </si>
  <si>
    <t>19:30:14</t>
  </si>
  <si>
    <t>04:07:57</t>
  </si>
  <si>
    <t>00:36:55</t>
  </si>
  <si>
    <t>13:39:58</t>
  </si>
  <si>
    <t>03:37:51</t>
  </si>
  <si>
    <t>19:05:44</t>
  </si>
  <si>
    <t>20:47:41</t>
  </si>
  <si>
    <t>02:23:49</t>
  </si>
  <si>
    <t>19:41:36</t>
  </si>
  <si>
    <t>14:01:18</t>
  </si>
  <si>
    <t>10:06:00</t>
  </si>
  <si>
    <t>10:05:00</t>
  </si>
  <si>
    <t>17:37:52</t>
  </si>
  <si>
    <t>09:55:00</t>
  </si>
  <si>
    <t>10:53:00</t>
  </si>
  <si>
    <t>16:58:41</t>
  </si>
  <si>
    <t>09:58:00</t>
  </si>
  <si>
    <t>18:33:13</t>
  </si>
  <si>
    <t>23:03:33</t>
  </si>
  <si>
    <t>14:42:00</t>
  </si>
  <si>
    <t>15:06:31</t>
  </si>
  <si>
    <t>03:00:25</t>
  </si>
  <si>
    <t>23:26:30</t>
  </si>
  <si>
    <t>01:37:47</t>
  </si>
  <si>
    <t>12:12:29</t>
  </si>
  <si>
    <t>14:57:18</t>
  </si>
  <si>
    <t>13:37:40</t>
  </si>
  <si>
    <t>13:33:00</t>
  </si>
  <si>
    <t>03:10:55</t>
  </si>
  <si>
    <t>10:35:47</t>
  </si>
  <si>
    <t>00:35:50</t>
  </si>
  <si>
    <t>10:57:50</t>
  </si>
  <si>
    <t>22:23:41</t>
  </si>
  <si>
    <t>11:29:17</t>
  </si>
  <si>
    <t>11:14:01</t>
  </si>
  <si>
    <t>10:22:25</t>
  </si>
  <si>
    <t>11:19:36</t>
  </si>
  <si>
    <t>02:39:26</t>
  </si>
  <si>
    <t>23:00:12</t>
  </si>
  <si>
    <t>11:25:20</t>
  </si>
  <si>
    <t>10:13:28</t>
  </si>
  <si>
    <t>11:39:25</t>
  </si>
  <si>
    <t>10:33:34</t>
  </si>
  <si>
    <t>20:32:50</t>
  </si>
  <si>
    <t>11:22:29</t>
  </si>
  <si>
    <t>16:09:19</t>
  </si>
  <si>
    <t>14:55:04</t>
  </si>
  <si>
    <t>09:23:29</t>
  </si>
  <si>
    <t>13:49:57</t>
  </si>
  <si>
    <t>00:35:25</t>
  </si>
  <si>
    <t>10:44:40</t>
  </si>
  <si>
    <t>03:14:09</t>
  </si>
  <si>
    <t>11:47:25</t>
  </si>
  <si>
    <t>22:55:42</t>
  </si>
  <si>
    <t>10:26:20</t>
  </si>
  <si>
    <t>09:50:50</t>
  </si>
  <si>
    <t>12:02:23</t>
  </si>
  <si>
    <t>13:02:59</t>
  </si>
  <si>
    <t>10:32:15</t>
  </si>
  <si>
    <t>10:44:18</t>
  </si>
  <si>
    <t>12:01:12</t>
  </si>
  <si>
    <t>16:23:51</t>
  </si>
  <si>
    <t>17:48:20</t>
  </si>
  <si>
    <t>11:46:51</t>
  </si>
  <si>
    <t>17:45:41</t>
  </si>
  <si>
    <t>16:09:10</t>
  </si>
  <si>
    <t>11:54:09</t>
  </si>
  <si>
    <t>11:27:08</t>
  </si>
  <si>
    <t>21:11:54</t>
  </si>
  <si>
    <t>11:52:54</t>
  </si>
  <si>
    <t>10:10:28</t>
  </si>
  <si>
    <t>10:57:45</t>
  </si>
  <si>
    <t>23:49:04</t>
  </si>
  <si>
    <t>23:03:30</t>
  </si>
  <si>
    <t>19:17:37</t>
  </si>
  <si>
    <t>11:30:05</t>
  </si>
  <si>
    <t>00:46:50</t>
  </si>
  <si>
    <t>09:06:38</t>
  </si>
  <si>
    <t>09:47:40</t>
  </si>
  <si>
    <t>09:41:03</t>
  </si>
  <si>
    <t>11:58:56</t>
  </si>
  <si>
    <t>01:30:12</t>
  </si>
  <si>
    <t>11:06:36</t>
  </si>
  <si>
    <t>21:16:05</t>
  </si>
  <si>
    <t>21:25:10</t>
  </si>
  <si>
    <t>11:58:46</t>
  </si>
  <si>
    <t>11:46:34</t>
  </si>
  <si>
    <t>12:17:08</t>
  </si>
  <si>
    <t>12:18:42</t>
  </si>
  <si>
    <t>16:51:35</t>
  </si>
  <si>
    <t>12:48:01</t>
  </si>
  <si>
    <t>17:58:12</t>
  </si>
  <si>
    <t>15:18:23</t>
  </si>
  <si>
    <t>11:20:42</t>
  </si>
  <si>
    <t>15:27:31</t>
  </si>
  <si>
    <t>10:00:14</t>
  </si>
  <si>
    <t>10:13:48</t>
  </si>
  <si>
    <t>09:43:45</t>
  </si>
  <si>
    <t>11:12:47</t>
  </si>
  <si>
    <t>00:18:22</t>
  </si>
  <si>
    <t>21:59:35</t>
  </si>
  <si>
    <t>11:44:14</t>
  </si>
  <si>
    <t>11:44:12</t>
  </si>
  <si>
    <t>13:37:31</t>
  </si>
  <si>
    <t>17:09:37</t>
  </si>
  <si>
    <t>18:34:40</t>
  </si>
  <si>
    <t>13:53:23</t>
  </si>
  <si>
    <t>19:30:12</t>
  </si>
  <si>
    <t>23:46:00</t>
  </si>
  <si>
    <t>15:01:18</t>
  </si>
  <si>
    <t>23:04:30</t>
  </si>
  <si>
    <t>12:19:25</t>
  </si>
  <si>
    <t>11:50:00</t>
  </si>
  <si>
    <t>19:52:33</t>
  </si>
  <si>
    <t>12:17:35</t>
  </si>
  <si>
    <t>14:58:33</t>
  </si>
  <si>
    <t>12:24:17</t>
  </si>
  <si>
    <t>14:24:23</t>
  </si>
  <si>
    <t>14:44:50</t>
  </si>
  <si>
    <t>15:46:24</t>
  </si>
  <si>
    <t>12:52:21</t>
  </si>
  <si>
    <t>21:31:31</t>
  </si>
  <si>
    <t>12:10:31</t>
  </si>
  <si>
    <t>16:40:04</t>
  </si>
  <si>
    <t>15:32:00</t>
  </si>
  <si>
    <t>17:03:33</t>
  </si>
  <si>
    <t>00:08:16</t>
  </si>
  <si>
    <t>13:07:42</t>
  </si>
  <si>
    <t>18:00:59</t>
  </si>
  <si>
    <t>16:00:45</t>
  </si>
  <si>
    <t>21:00:38</t>
  </si>
  <si>
    <t>18:00:56</t>
  </si>
  <si>
    <t>15:00:53</t>
  </si>
  <si>
    <t>15:00:58</t>
  </si>
  <si>
    <t>18:00:58</t>
  </si>
  <si>
    <t>13:00:47</t>
  </si>
  <si>
    <t>20:25:26</t>
  </si>
  <si>
    <t>12:01:07</t>
  </si>
  <si>
    <t>15:00:48</t>
  </si>
  <si>
    <t>18:00:57</t>
  </si>
  <si>
    <t>18:01:02</t>
  </si>
  <si>
    <t>21:00:23</t>
  </si>
  <si>
    <t>12:00:52</t>
  </si>
  <si>
    <t>11:00:54</t>
  </si>
  <si>
    <t>12:00:51</t>
  </si>
  <si>
    <t>14:00:59</t>
  </si>
  <si>
    <t>18:01:01</t>
  </si>
  <si>
    <t>21:01:03</t>
  </si>
  <si>
    <t>17:01:00</t>
  </si>
  <si>
    <t>16:01:00</t>
  </si>
  <si>
    <t>15:01:01</t>
  </si>
  <si>
    <t>16:00:53</t>
  </si>
  <si>
    <t>15:00:52</t>
  </si>
  <si>
    <t>13:01:00</t>
  </si>
  <si>
    <t>23:00:47</t>
  </si>
  <si>
    <t>13:00:49</t>
  </si>
  <si>
    <t>22:01:04</t>
  </si>
  <si>
    <t>14:00:53</t>
  </si>
  <si>
    <t>15:00:54</t>
  </si>
  <si>
    <t>14:01:00</t>
  </si>
  <si>
    <t>13:01:03</t>
  </si>
  <si>
    <t>15:01:10</t>
  </si>
  <si>
    <t>21:00:50</t>
  </si>
  <si>
    <t>13:00:54</t>
  </si>
  <si>
    <t>11:00:52</t>
  </si>
  <si>
    <t>18:00:50</t>
  </si>
  <si>
    <t>17:01:06</t>
  </si>
  <si>
    <t>16:01:01</t>
  </si>
  <si>
    <t>15:00:51</t>
  </si>
  <si>
    <t>18:53:06</t>
  </si>
  <si>
    <t>23:40:58</t>
  </si>
  <si>
    <t>01:57:10</t>
  </si>
  <si>
    <t>12:38:44</t>
  </si>
  <si>
    <t>04:25:48</t>
  </si>
  <si>
    <t>11:15:55</t>
  </si>
  <si>
    <t>10:56:13</t>
  </si>
  <si>
    <t>22:33:12</t>
  </si>
  <si>
    <t>17:29:46</t>
  </si>
  <si>
    <t>14:23:20</t>
  </si>
  <si>
    <t>00:39:39</t>
  </si>
  <si>
    <t>15:04:27</t>
  </si>
  <si>
    <t>21:08:42</t>
  </si>
  <si>
    <t>18:09:38</t>
  </si>
  <si>
    <t>23:10:00</t>
  </si>
  <si>
    <t>09:52:53</t>
  </si>
  <si>
    <t>21:56:10</t>
  </si>
  <si>
    <t>12:28:17</t>
  </si>
  <si>
    <t>15:58:29</t>
  </si>
  <si>
    <t>18:10:30</t>
  </si>
  <si>
    <t>21:06:56</t>
  </si>
  <si>
    <t>16:03:31</t>
  </si>
  <si>
    <t>13:52:08</t>
  </si>
  <si>
    <t>00:15:56</t>
  </si>
  <si>
    <t>00:16:54</t>
  </si>
  <si>
    <t>19:29:22</t>
  </si>
  <si>
    <t>16:10:22</t>
  </si>
  <si>
    <t>01:13:23</t>
  </si>
  <si>
    <t>00:58:18</t>
  </si>
  <si>
    <t>17:55:27</t>
  </si>
  <si>
    <t>13:01:41</t>
  </si>
  <si>
    <t>17:46:48</t>
  </si>
  <si>
    <t>15:51:37</t>
  </si>
  <si>
    <t>09:47:58</t>
  </si>
  <si>
    <t>20:09:02</t>
  </si>
  <si>
    <t>18:33:05</t>
  </si>
  <si>
    <t>16:51:25</t>
  </si>
  <si>
    <t>19:10:08</t>
  </si>
  <si>
    <t>13:30:45</t>
  </si>
  <si>
    <t>19:58:05</t>
  </si>
  <si>
    <t>14:02:50</t>
  </si>
  <si>
    <t>16:48:33</t>
  </si>
  <si>
    <t>14:26:49</t>
  </si>
  <si>
    <t>15:11:21</t>
  </si>
  <si>
    <t>17:38:59</t>
  </si>
  <si>
    <t>11:30:40</t>
  </si>
  <si>
    <t>15:30:40</t>
  </si>
  <si>
    <t>15:30:41</t>
  </si>
  <si>
    <t>13:49:13</t>
  </si>
  <si>
    <t>11:00:53</t>
  </si>
  <si>
    <t>15:45:08</t>
  </si>
  <si>
    <t>11:15:04</t>
  </si>
  <si>
    <t>10:45:21</t>
  </si>
  <si>
    <t>18:24:57</t>
  </si>
  <si>
    <t>11:01:02</t>
  </si>
  <si>
    <t>11:30:38</t>
  </si>
  <si>
    <t>10:57:41</t>
  </si>
  <si>
    <t>11:00:37</t>
  </si>
  <si>
    <t>11:00:44</t>
  </si>
  <si>
    <t>10:50:40</t>
  </si>
  <si>
    <t>23:00:34</t>
  </si>
  <si>
    <t>15:30:35</t>
  </si>
  <si>
    <t>19:09:55</t>
  </si>
  <si>
    <t>11:00:01</t>
  </si>
  <si>
    <t>12:58:10</t>
  </si>
  <si>
    <t>10:45:26</t>
  </si>
  <si>
    <t>10:45:00</t>
  </si>
  <si>
    <t>15:18:51</t>
  </si>
  <si>
    <t>11:00:56</t>
  </si>
  <si>
    <t>11:00:55</t>
  </si>
  <si>
    <t>11:00:35</t>
  </si>
  <si>
    <t>10:55:00</t>
  </si>
  <si>
    <t>22:30:13</t>
  </si>
  <si>
    <t>22:30:49</t>
  </si>
  <si>
    <t>22:00:54</t>
  </si>
  <si>
    <t>11:00:48</t>
  </si>
  <si>
    <t>23:30:50</t>
  </si>
  <si>
    <t>15:30:30</t>
  </si>
  <si>
    <t>03:52:37</t>
  </si>
  <si>
    <t>08:54:21</t>
  </si>
  <si>
    <t>08:53:54</t>
  </si>
  <si>
    <t>08:53:55</t>
  </si>
  <si>
    <t>08:54:32</t>
  </si>
  <si>
    <t>08:54:03</t>
  </si>
  <si>
    <t>11:14:59</t>
  </si>
  <si>
    <t>07:58:28</t>
  </si>
  <si>
    <t>18:04:26</t>
  </si>
  <si>
    <t>01:47:47</t>
  </si>
  <si>
    <t>02:30:06</t>
  </si>
  <si>
    <t>04:43:45</t>
  </si>
  <si>
    <t>13:24:46</t>
  </si>
  <si>
    <t>00:49:39</t>
  </si>
  <si>
    <t>00:00:51</t>
  </si>
  <si>
    <t>12:18:00</t>
  </si>
  <si>
    <t>12:06:42</t>
  </si>
  <si>
    <t>15:00:31</t>
  </si>
  <si>
    <t>14:42:53</t>
  </si>
  <si>
    <t>10:52:30</t>
  </si>
  <si>
    <t>16:18:19</t>
  </si>
  <si>
    <t>07:48:52</t>
  </si>
  <si>
    <t>11:14:26</t>
  </si>
  <si>
    <t>07:43:12</t>
  </si>
  <si>
    <t>07:47:37</t>
  </si>
  <si>
    <t>07:19:00</t>
  </si>
  <si>
    <t>07:43:51</t>
  </si>
  <si>
    <t>14:11:56</t>
  </si>
  <si>
    <t>10:13:07</t>
  </si>
  <si>
    <t>11:08:52</t>
  </si>
  <si>
    <t>12:33:39</t>
  </si>
  <si>
    <t>15:48:39</t>
  </si>
  <si>
    <t>08:30:33</t>
  </si>
  <si>
    <t>11:48:47</t>
  </si>
  <si>
    <t>11:25:55</t>
  </si>
  <si>
    <t>08:57:23</t>
  </si>
  <si>
    <t>16:12:32</t>
  </si>
  <si>
    <t>06:37:31</t>
  </si>
  <si>
    <t>07:53:05</t>
  </si>
  <si>
    <t>11:22:40</t>
  </si>
  <si>
    <t>10:42:09</t>
  </si>
  <si>
    <t>10:48:59</t>
  </si>
  <si>
    <t>14:29:43</t>
  </si>
  <si>
    <t>10:09:37</t>
  </si>
  <si>
    <t>16:11:35</t>
  </si>
  <si>
    <t>13:36:57</t>
  </si>
  <si>
    <t>07:40:43</t>
  </si>
  <si>
    <t>10:02:51</t>
  </si>
  <si>
    <t>11:10:53</t>
  </si>
  <si>
    <t>15:11:43</t>
  </si>
  <si>
    <t>07:40:08</t>
  </si>
  <si>
    <t>12:02:53</t>
  </si>
  <si>
    <t>12:04:28</t>
  </si>
  <si>
    <t>15:01:29</t>
  </si>
  <si>
    <t>18:24:59</t>
  </si>
  <si>
    <t>16:20:48</t>
  </si>
  <si>
    <t>18:18:20</t>
  </si>
  <si>
    <t>23:58:27</t>
  </si>
  <si>
    <t>17:23:20</t>
  </si>
  <si>
    <t>14:01:24</t>
  </si>
  <si>
    <t>00:07:26</t>
  </si>
  <si>
    <t>02:26:38</t>
  </si>
  <si>
    <t>18:16:10</t>
  </si>
  <si>
    <t>18:23:58</t>
  </si>
  <si>
    <t>12:23:27</t>
  </si>
  <si>
    <t>13:11:16</t>
  </si>
  <si>
    <t>19:57:29</t>
  </si>
  <si>
    <t>20:44:21</t>
  </si>
  <si>
    <t>15:55:28</t>
  </si>
  <si>
    <t>17:06:37</t>
  </si>
  <si>
    <t>20:09:19</t>
  </si>
  <si>
    <t>15:11:37</t>
  </si>
  <si>
    <t>20:01:37</t>
  </si>
  <si>
    <t>20:15:39</t>
  </si>
  <si>
    <t>20:10:41</t>
  </si>
  <si>
    <t>19:54:00</t>
  </si>
  <si>
    <t>23:01:38</t>
  </si>
  <si>
    <t>15:05:42</t>
  </si>
  <si>
    <t>18:08:00</t>
  </si>
  <si>
    <t>18:01:44</t>
  </si>
  <si>
    <t>20:00:45</t>
  </si>
  <si>
    <t>18:01:39</t>
  </si>
  <si>
    <t>15:01:32</t>
  </si>
  <si>
    <t>20:09:09</t>
  </si>
  <si>
    <t>15:00:37</t>
  </si>
  <si>
    <t>20:35:21</t>
  </si>
  <si>
    <t>15:00:29</t>
  </si>
  <si>
    <t>20:02:28</t>
  </si>
  <si>
    <t>19:45:23</t>
  </si>
  <si>
    <t>18:56:22</t>
  </si>
  <si>
    <t>20:24:17</t>
  </si>
  <si>
    <t>20:14:56</t>
  </si>
  <si>
    <t>11:34:53</t>
  </si>
  <si>
    <t>15:03:20</t>
  </si>
  <si>
    <t>19:19:15</t>
  </si>
  <si>
    <t>19:12:14</t>
  </si>
  <si>
    <t>13:08:29</t>
  </si>
  <si>
    <t>20:01:00</t>
  </si>
  <si>
    <t>20:38:43</t>
  </si>
  <si>
    <t>18:00:34</t>
  </si>
  <si>
    <t>20:57:49</t>
  </si>
  <si>
    <t>18:00:35</t>
  </si>
  <si>
    <t>18:51:12</t>
  </si>
  <si>
    <t>16:22:42</t>
  </si>
  <si>
    <t>20:01:08</t>
  </si>
  <si>
    <t>14:32:23</t>
  </si>
  <si>
    <t>15:49:15</t>
  </si>
  <si>
    <t>10:25:20</t>
  </si>
  <si>
    <t>17:52:26</t>
  </si>
  <si>
    <t>15:34:05</t>
  </si>
  <si>
    <t>14:39:38</t>
  </si>
  <si>
    <t>16:01:43</t>
  </si>
  <si>
    <t>13:45:32</t>
  </si>
  <si>
    <t>14:13:49</t>
  </si>
  <si>
    <t>17:30:47</t>
  </si>
  <si>
    <t>16:43:22</t>
  </si>
  <si>
    <t>20:57:38</t>
  </si>
  <si>
    <t>23:17:53</t>
  </si>
  <si>
    <t>12:32:57</t>
  </si>
  <si>
    <t>20:19:57</t>
  </si>
  <si>
    <t>12:02:11</t>
  </si>
  <si>
    <t>14:37:17</t>
  </si>
  <si>
    <t>11:59:34</t>
  </si>
  <si>
    <t>11:57:33</t>
  </si>
  <si>
    <t>21:44:27</t>
  </si>
  <si>
    <t>20:10:01</t>
  </si>
  <si>
    <t>13:32:06</t>
  </si>
  <si>
    <t>13:31:25</t>
  </si>
  <si>
    <t>21:50:18</t>
  </si>
  <si>
    <t>17:41:12</t>
  </si>
  <si>
    <t>18:07:03</t>
  </si>
  <si>
    <t>13:41:25</t>
  </si>
  <si>
    <t>18:23:38</t>
  </si>
  <si>
    <t>03:00:01</t>
  </si>
  <si>
    <t>22:19:25</t>
  </si>
  <si>
    <t>08:03:12</t>
  </si>
  <si>
    <t>17:00:11</t>
  </si>
  <si>
    <t>02:11:40</t>
  </si>
  <si>
    <t>13:34:02</t>
  </si>
  <si>
    <t>23:22:04</t>
  </si>
  <si>
    <t>23:58:36</t>
  </si>
  <si>
    <t>15:04:05</t>
  </si>
  <si>
    <t>15:36:48</t>
  </si>
  <si>
    <t>13:53:49</t>
  </si>
  <si>
    <t>20:14:26</t>
  </si>
  <si>
    <t>13:37:59</t>
  </si>
  <si>
    <t>13:24:17</t>
  </si>
  <si>
    <t>23:22:06</t>
  </si>
  <si>
    <t>23:21:52</t>
  </si>
  <si>
    <t>16:02:53</t>
  </si>
  <si>
    <t>22:00:11</t>
  </si>
  <si>
    <t>10:01:16</t>
  </si>
  <si>
    <t>02:08:08</t>
  </si>
  <si>
    <t>02:08:04</t>
  </si>
  <si>
    <t>01:32:06</t>
  </si>
  <si>
    <t>22:05:02</t>
  </si>
  <si>
    <t>12:30:16</t>
  </si>
  <si>
    <t>20:29:54</t>
  </si>
  <si>
    <t>20:08:57</t>
  </si>
  <si>
    <t>22:14:15</t>
  </si>
  <si>
    <t>13:56:44</t>
  </si>
  <si>
    <t>14:30:07</t>
  </si>
  <si>
    <t>20:27:13</t>
  </si>
  <si>
    <t>18:58:10</t>
  </si>
  <si>
    <t>18:57:45</t>
  </si>
  <si>
    <t>21:07:01</t>
  </si>
  <si>
    <t>12:36:05</t>
  </si>
  <si>
    <t>17:21:35</t>
  </si>
  <si>
    <t>17:20:06</t>
  </si>
  <si>
    <t>00:34:08</t>
  </si>
  <si>
    <t>23:37:57</t>
  </si>
  <si>
    <t>16:12:57</t>
  </si>
  <si>
    <t>00:01:39</t>
  </si>
  <si>
    <t>15:59:59</t>
  </si>
  <si>
    <t>00:10:30</t>
  </si>
  <si>
    <t>16:35:50</t>
  </si>
  <si>
    <t>16:33:18</t>
  </si>
  <si>
    <t>01:00:53</t>
  </si>
  <si>
    <t>00:56:34</t>
  </si>
  <si>
    <t>01:21:28</t>
  </si>
  <si>
    <t>00:59:55</t>
  </si>
  <si>
    <t>00:14:53</t>
  </si>
  <si>
    <t>23:57:31</t>
  </si>
  <si>
    <t>23:39:40</t>
  </si>
  <si>
    <t>23:44:18</t>
  </si>
  <si>
    <t>16:20:35</t>
  </si>
  <si>
    <t>00:05:03</t>
  </si>
  <si>
    <t>00:23:33</t>
  </si>
  <si>
    <t>23:58:54</t>
  </si>
  <si>
    <t>23:58:45</t>
  </si>
  <si>
    <t>01:00:09</t>
  </si>
  <si>
    <t>00:17:38</t>
  </si>
  <si>
    <t>00:09:59</t>
  </si>
  <si>
    <t>00:18:07</t>
  </si>
  <si>
    <t>00:00:04</t>
  </si>
  <si>
    <t>00:42:55</t>
  </si>
  <si>
    <t>16:05:56</t>
  </si>
  <si>
    <t>00:33:12</t>
  </si>
  <si>
    <t>01:22:03</t>
  </si>
  <si>
    <t>21:59:11</t>
  </si>
  <si>
    <t>20:31:41</t>
  </si>
  <si>
    <t>01:31:41</t>
  </si>
  <si>
    <t>13:13:58</t>
  </si>
  <si>
    <t>20:55:55</t>
  </si>
  <si>
    <t>18:19:43</t>
  </si>
  <si>
    <t>17:44:39</t>
  </si>
  <si>
    <t>02:39:13</t>
  </si>
  <si>
    <t>02:12:55</t>
  </si>
  <si>
    <t>22:27:11</t>
  </si>
  <si>
    <t>01:50:46</t>
  </si>
  <si>
    <t>23:34:10</t>
  </si>
  <si>
    <t>02:13:32</t>
  </si>
  <si>
    <t>02:13:14</t>
  </si>
  <si>
    <t>01:43:06</t>
  </si>
  <si>
    <t>19:26:47</t>
  </si>
  <si>
    <t>23:47:03</t>
  </si>
  <si>
    <t>23:45:33</t>
  </si>
  <si>
    <t>01:25:35</t>
  </si>
  <si>
    <t>16:59:50</t>
  </si>
  <si>
    <t>23:50:07</t>
  </si>
  <si>
    <t>14:52:52</t>
  </si>
  <si>
    <t>20:23:31</t>
  </si>
  <si>
    <t>13:36:06</t>
  </si>
  <si>
    <t>18:37:43</t>
  </si>
  <si>
    <t>12:32:58</t>
  </si>
  <si>
    <t>13:44:59</t>
  </si>
  <si>
    <t>18:18:17</t>
  </si>
  <si>
    <t>11:40:05</t>
  </si>
  <si>
    <t>12:10:42</t>
  </si>
  <si>
    <t>00:08:38</t>
  </si>
  <si>
    <t>13:03:27</t>
  </si>
  <si>
    <t>12:05:43</t>
  </si>
  <si>
    <t>11:34:15</t>
  </si>
  <si>
    <t>12:56:16</t>
  </si>
  <si>
    <t>11:56:13</t>
  </si>
  <si>
    <t>12:15:36</t>
  </si>
  <si>
    <t>11:56:49</t>
  </si>
  <si>
    <t>11:50:52</t>
  </si>
  <si>
    <t>11:43:01</t>
  </si>
  <si>
    <t>12:12:06</t>
  </si>
  <si>
    <t>11:45:10</t>
  </si>
  <si>
    <t>12:14:03</t>
  </si>
  <si>
    <t>15:33:57</t>
  </si>
  <si>
    <t>14:10:42</t>
  </si>
  <si>
    <t>11:55:38</t>
  </si>
  <si>
    <t>11:40:02</t>
  </si>
  <si>
    <t>11:45:43</t>
  </si>
  <si>
    <t>01:15:43</t>
  </si>
  <si>
    <t>12:30:52</t>
  </si>
  <si>
    <t>12:32:20</t>
  </si>
  <si>
    <t>13:29:18</t>
  </si>
  <si>
    <t>11:50:01</t>
  </si>
  <si>
    <t>11:09:54</t>
  </si>
  <si>
    <t>11:11:21</t>
  </si>
  <si>
    <t>11:11:25</t>
  </si>
  <si>
    <t>12:14:24</t>
  </si>
  <si>
    <t>12:12:00</t>
  </si>
  <si>
    <t>11:46:33</t>
  </si>
  <si>
    <t>12:13:59</t>
  </si>
  <si>
    <t>15:10:14</t>
  </si>
  <si>
    <t>12:36:33</t>
  </si>
  <si>
    <t>12:08:57</t>
  </si>
  <si>
    <t>17:32:52</t>
  </si>
  <si>
    <t>22:07:24</t>
  </si>
  <si>
    <t>15:25:17</t>
  </si>
  <si>
    <t>21:35:56</t>
  </si>
  <si>
    <t>13:30:35</t>
  </si>
  <si>
    <t>07:53:06</t>
  </si>
  <si>
    <t>15:13:53</t>
  </si>
  <si>
    <t>12:40:59</t>
  </si>
  <si>
    <t>14:18:31</t>
  </si>
  <si>
    <t>23:05:02</t>
  </si>
  <si>
    <t>15:41:06</t>
  </si>
  <si>
    <t>19:53:50</t>
  </si>
  <si>
    <t>17:48:22</t>
  </si>
  <si>
    <t>22:24:17</t>
  </si>
  <si>
    <t>23:03:31</t>
  </si>
  <si>
    <t>01:38:21</t>
  </si>
  <si>
    <t>15:39:38</t>
  </si>
  <si>
    <t>10:01:02</t>
  </si>
  <si>
    <t>17:20:00</t>
  </si>
  <si>
    <t>15:00:01</t>
  </si>
  <si>
    <t>14:16:14</t>
  </si>
  <si>
    <t>03:01:46</t>
  </si>
  <si>
    <t>20:57:51</t>
  </si>
  <si>
    <t>15:26:05</t>
  </si>
  <si>
    <t>14:10:00</t>
  </si>
  <si>
    <t>21:30:23</t>
  </si>
  <si>
    <t>16:03:24</t>
  </si>
  <si>
    <t>13:33:48</t>
  </si>
  <si>
    <t>16:59:15</t>
  </si>
  <si>
    <t>12:49:13</t>
  </si>
  <si>
    <t>18:54:12</t>
  </si>
  <si>
    <t>17:13:17</t>
  </si>
  <si>
    <t>15:32:47</t>
  </si>
  <si>
    <t>12:04:58</t>
  </si>
  <si>
    <t>20:45:27</t>
  </si>
  <si>
    <t>18:38:15</t>
  </si>
  <si>
    <t>14:41:14</t>
  </si>
  <si>
    <t>13:30:22</t>
  </si>
  <si>
    <t>12:22:44</t>
  </si>
  <si>
    <t>11:03:59</t>
  </si>
  <si>
    <t>22:15:20</t>
  </si>
  <si>
    <t>19:10:15</t>
  </si>
  <si>
    <t>22:02:30</t>
  </si>
  <si>
    <t>20:33:19</t>
  </si>
  <si>
    <t>18:49:23</t>
  </si>
  <si>
    <t>20:19:12</t>
  </si>
  <si>
    <t>19:08:15</t>
  </si>
  <si>
    <t>20:07:12</t>
  </si>
  <si>
    <t>15:23:22</t>
  </si>
  <si>
    <t>11:52:14</t>
  </si>
  <si>
    <t>20:47:27</t>
  </si>
  <si>
    <t>19:30:18</t>
  </si>
  <si>
    <t>15:15:19</t>
  </si>
  <si>
    <t>13:17:16</t>
  </si>
  <si>
    <t>11:15:15</t>
  </si>
  <si>
    <t>20:04:14</t>
  </si>
  <si>
    <t>13:15:56</t>
  </si>
  <si>
    <t>12:30:55</t>
  </si>
  <si>
    <t>13:20:16</t>
  </si>
  <si>
    <t>22:32:53</t>
  </si>
  <si>
    <t>20:26:49</t>
  </si>
  <si>
    <t>21:04:01</t>
  </si>
  <si>
    <t>19:31:07</t>
  </si>
  <si>
    <t>13:33:22</t>
  </si>
  <si>
    <t>12:27:22</t>
  </si>
  <si>
    <t>14:15:47</t>
  </si>
  <si>
    <t>21:01:25</t>
  </si>
  <si>
    <t>17:43:21</t>
  </si>
  <si>
    <t>20:54:13</t>
  </si>
  <si>
    <t>20:47:25</t>
  </si>
  <si>
    <t>17:38:14</t>
  </si>
  <si>
    <t>13:17:25</t>
  </si>
  <si>
    <t>11:03:56</t>
  </si>
  <si>
    <t>20:44:08</t>
  </si>
  <si>
    <t>18:47:35</t>
  </si>
  <si>
    <t>16:58:51</t>
  </si>
  <si>
    <t>00:40:54</t>
  </si>
  <si>
    <t>16:21:38</t>
  </si>
  <si>
    <t>17:49:57</t>
  </si>
  <si>
    <t>11:00:13</t>
  </si>
  <si>
    <t>21:40:19</t>
  </si>
  <si>
    <t>22:33:18</t>
  </si>
  <si>
    <t>00:14:39</t>
  </si>
  <si>
    <t>22:48:50</t>
  </si>
  <si>
    <t>22:09:10</t>
  </si>
  <si>
    <t>21:58:51</t>
  </si>
  <si>
    <t>22:41:47</t>
  </si>
  <si>
    <t>22:58:00</t>
  </si>
  <si>
    <t>22:38:29</t>
  </si>
  <si>
    <t>22:08:51</t>
  </si>
  <si>
    <t>22:18:31</t>
  </si>
  <si>
    <t>00:18:27</t>
  </si>
  <si>
    <t>22:03:06</t>
  </si>
  <si>
    <t>22:54:40</t>
  </si>
  <si>
    <t>23:29:17</t>
  </si>
  <si>
    <t>21:35:06</t>
  </si>
  <si>
    <t>21:55:44</t>
  </si>
  <si>
    <t>22:51:21</t>
  </si>
  <si>
    <t>22:46:59</t>
  </si>
  <si>
    <t>23:03:46</t>
  </si>
  <si>
    <t>22:50:19</t>
  </si>
  <si>
    <t>22:44:23</t>
  </si>
  <si>
    <t>22:17:48</t>
  </si>
  <si>
    <t>23:58:18</t>
  </si>
  <si>
    <t>22:44:42</t>
  </si>
  <si>
    <t>21:42:30</t>
  </si>
  <si>
    <t>21:48:04</t>
  </si>
  <si>
    <t>22:12:25</t>
  </si>
  <si>
    <t>00:03:37</t>
  </si>
  <si>
    <t>22:09:49</t>
  </si>
  <si>
    <t>22:36:02</t>
  </si>
  <si>
    <t>22:45:53</t>
  </si>
  <si>
    <t>00:02:08</t>
  </si>
  <si>
    <t>22:42:48</t>
  </si>
  <si>
    <t>23:27:22</t>
  </si>
  <si>
    <t>22:29:04</t>
  </si>
  <si>
    <t>23:05:19</t>
  </si>
  <si>
    <t>22:51:17</t>
  </si>
  <si>
    <t>22:07:25</t>
  </si>
  <si>
    <t>21:55:20</t>
  </si>
  <si>
    <t>21:36:15</t>
  </si>
  <si>
    <t>21:04:07</t>
  </si>
  <si>
    <t>21:53:58</t>
  </si>
  <si>
    <t>22:51:46</t>
  </si>
  <si>
    <t>22:25:54</t>
  </si>
  <si>
    <t>22:05:14</t>
  </si>
  <si>
    <t>22:10:15</t>
  </si>
  <si>
    <t>23:34:48</t>
  </si>
  <si>
    <t>22:58:22</t>
  </si>
  <si>
    <t>00:34:01</t>
  </si>
  <si>
    <t>23:54:38</t>
  </si>
  <si>
    <t>22:21:30</t>
  </si>
  <si>
    <t>22:25:18</t>
  </si>
  <si>
    <t>23:11:27</t>
  </si>
  <si>
    <t>23:13:53</t>
  </si>
  <si>
    <t>22:43:57</t>
  </si>
  <si>
    <t>22:34:53</t>
  </si>
  <si>
    <t>22:02:56</t>
  </si>
  <si>
    <t>22:55:19</t>
  </si>
  <si>
    <t>22:37:28</t>
  </si>
  <si>
    <t>22:22:57</t>
  </si>
  <si>
    <t>22:46:42</t>
  </si>
  <si>
    <t>21:53:49</t>
  </si>
  <si>
    <t>21:31:45</t>
  </si>
  <si>
    <t>22:49:21</t>
  </si>
  <si>
    <t>22:57:25</t>
  </si>
  <si>
    <t>22:49:12</t>
  </si>
  <si>
    <t>22:34:28</t>
  </si>
  <si>
    <t>22:03:40</t>
  </si>
  <si>
    <t>22:11:04</t>
  </si>
  <si>
    <t>22:42:15</t>
  </si>
  <si>
    <t>22:50:24</t>
  </si>
  <si>
    <t>23:22:13</t>
  </si>
  <si>
    <t>22:34:04</t>
  </si>
  <si>
    <t>12:26:56</t>
  </si>
  <si>
    <t>16:12:31</t>
  </si>
  <si>
    <t>13:54:56</t>
  </si>
  <si>
    <t>18:00:00</t>
  </si>
  <si>
    <t>11:18:51</t>
  </si>
  <si>
    <t>10:17:02</t>
  </si>
  <si>
    <t>13:40:37</t>
  </si>
  <si>
    <t>05:09:39</t>
  </si>
  <si>
    <t>16:09:29</t>
  </si>
  <si>
    <t>06:16:55</t>
  </si>
  <si>
    <t>15:13:09</t>
  </si>
  <si>
    <t>17:39:59</t>
  </si>
  <si>
    <t>17:42:09</t>
  </si>
  <si>
    <t>13:55:18</t>
  </si>
  <si>
    <t>17:56:04</t>
  </si>
  <si>
    <t>17:39:10</t>
  </si>
  <si>
    <t>21:42:51</t>
  </si>
  <si>
    <t>17:50:00</t>
  </si>
  <si>
    <t>17:04:11</t>
  </si>
  <si>
    <t>21:08:23</t>
  </si>
  <si>
    <t>16:15:21</t>
  </si>
  <si>
    <t>15:36:07</t>
  </si>
  <si>
    <t>03:55:43</t>
  </si>
  <si>
    <t>13:35:40</t>
  </si>
  <si>
    <t>17:14:07</t>
  </si>
  <si>
    <t>18:40:14</t>
  </si>
  <si>
    <t>07:59:24</t>
  </si>
  <si>
    <t>13:31:56</t>
  </si>
  <si>
    <t>09:35:47</t>
  </si>
  <si>
    <t>07:09:21</t>
  </si>
  <si>
    <t>09:14:10</t>
  </si>
  <si>
    <t>16:35:55</t>
  </si>
  <si>
    <t>18:01:03</t>
  </si>
  <si>
    <t>16:52:04</t>
  </si>
  <si>
    <t>04:30:03</t>
  </si>
  <si>
    <t>20:30:03</t>
  </si>
  <si>
    <t>23:24:15</t>
  </si>
  <si>
    <t>20:34:44</t>
  </si>
  <si>
    <t>13:26:42</t>
  </si>
  <si>
    <t>18:55:28</t>
  </si>
  <si>
    <t>15:47:06</t>
  </si>
  <si>
    <t>03:34:56</t>
  </si>
  <si>
    <t>14:09:59</t>
  </si>
  <si>
    <t>22:26:20</t>
  </si>
  <si>
    <t>20:03:50</t>
  </si>
  <si>
    <t>16:49:36</t>
  </si>
  <si>
    <t>13:59:21</t>
  </si>
  <si>
    <t>11:46:28</t>
  </si>
  <si>
    <t>21:11:21</t>
  </si>
  <si>
    <t>12:56:00</t>
  </si>
  <si>
    <t>01:25:26</t>
  </si>
  <si>
    <t>00:11:34</t>
  </si>
  <si>
    <t>07:58:49</t>
  </si>
  <si>
    <t>01:11:45</t>
  </si>
  <si>
    <t>21:43:48</t>
  </si>
  <si>
    <t>19:09:03</t>
  </si>
  <si>
    <t>18:20:18</t>
  </si>
  <si>
    <t>15:43:57</t>
  </si>
  <si>
    <t>13:00:46</t>
  </si>
  <si>
    <t>15:21:59</t>
  </si>
  <si>
    <t>15:21:58</t>
  </si>
  <si>
    <t>13:40:10</t>
  </si>
  <si>
    <t>12:00:40</t>
  </si>
  <si>
    <t>12:45:29</t>
  </si>
  <si>
    <t>12:45:16</t>
  </si>
  <si>
    <t>12:00:47</t>
  </si>
  <si>
    <t>12:00:44</t>
  </si>
  <si>
    <t>12:00:57</t>
  </si>
  <si>
    <t>14:35:14</t>
  </si>
  <si>
    <t>15:10:26</t>
  </si>
  <si>
    <t>12:08:38</t>
  </si>
  <si>
    <t>16:34:05</t>
  </si>
  <si>
    <t>23:32:57</t>
  </si>
  <si>
    <t>18:50:49</t>
  </si>
  <si>
    <t>16:10:08</t>
  </si>
  <si>
    <t>14:37:04</t>
  </si>
  <si>
    <t>15:30:21</t>
  </si>
  <si>
    <t>12:22:15</t>
  </si>
  <si>
    <t>23:37:22</t>
  </si>
  <si>
    <t>10:02:36</t>
  </si>
  <si>
    <t>09:31:52</t>
  </si>
  <si>
    <t>13:35:22</t>
  </si>
  <si>
    <t>14:13:17</t>
  </si>
  <si>
    <t>23:53:11</t>
  </si>
  <si>
    <t>18:06:19</t>
  </si>
  <si>
    <t>17:22:56</t>
  </si>
  <si>
    <t>15:01:48</t>
  </si>
  <si>
    <t>13:31:33</t>
  </si>
  <si>
    <t>20:49:57</t>
  </si>
  <si>
    <t>11:02:44</t>
  </si>
  <si>
    <t>16:01:06</t>
  </si>
  <si>
    <t>15:48:37</t>
  </si>
  <si>
    <t>19:18:54</t>
  </si>
  <si>
    <t>21:36:05</t>
  </si>
  <si>
    <t>13:36:41</t>
  </si>
  <si>
    <t>11:11:06</t>
  </si>
  <si>
    <t>20:15:40</t>
  </si>
  <si>
    <t>18:59:07</t>
  </si>
  <si>
    <t>17:52:36</t>
  </si>
  <si>
    <t>14:19:00</t>
  </si>
  <si>
    <t>12:32:31</t>
  </si>
  <si>
    <t>17:40:10</t>
  </si>
  <si>
    <t>14:28:17</t>
  </si>
  <si>
    <t>20:10:05</t>
  </si>
  <si>
    <t>13:53:55</t>
  </si>
  <si>
    <t>21:01:42</t>
  </si>
  <si>
    <t>15:25:46</t>
  </si>
  <si>
    <t>14:29:26</t>
  </si>
  <si>
    <t>14:54:46</t>
  </si>
  <si>
    <t>13:50:42</t>
  </si>
  <si>
    <t>09:51:09</t>
  </si>
  <si>
    <t>20:40:53</t>
  </si>
  <si>
    <t>15:08:04</t>
  </si>
  <si>
    <t>21:05:30</t>
  </si>
  <si>
    <t>13:46:24</t>
  </si>
  <si>
    <t>09:51:06</t>
  </si>
  <si>
    <t>23:55:10</t>
  </si>
  <si>
    <t>19:33:47</t>
  </si>
  <si>
    <t>15:43:39</t>
  </si>
  <si>
    <t>14:01:43</t>
  </si>
  <si>
    <t>12:01:08</t>
  </si>
  <si>
    <t>20:31:49</t>
  </si>
  <si>
    <t>19:45:35</t>
  </si>
  <si>
    <t>19:41:20</t>
  </si>
  <si>
    <t>17:41:08</t>
  </si>
  <si>
    <t>12:53:38</t>
  </si>
  <si>
    <t>14:38:27</t>
  </si>
  <si>
    <t>18:26:41</t>
  </si>
  <si>
    <t>15:39:33</t>
  </si>
  <si>
    <t>13:01:08</t>
  </si>
  <si>
    <t>09:01:08</t>
  </si>
  <si>
    <t>20:37:41</t>
  </si>
  <si>
    <t>20:10:24</t>
  </si>
  <si>
    <t>19:41:14</t>
  </si>
  <si>
    <t>14:32:35</t>
  </si>
  <si>
    <t>20:02:03</t>
  </si>
  <si>
    <t>14:44:56</t>
  </si>
  <si>
    <t>19:33:56</t>
  </si>
  <si>
    <t>19:17:02</t>
  </si>
  <si>
    <t>14:02:13</t>
  </si>
  <si>
    <t>17:25:18</t>
  </si>
  <si>
    <t>10:00:28</t>
  </si>
  <si>
    <t>17:55:28</t>
  </si>
  <si>
    <t>15:06:57</t>
  </si>
  <si>
    <t>13:01:06</t>
  </si>
  <si>
    <t>12:46:13</t>
  </si>
  <si>
    <t>10:01:08</t>
  </si>
  <si>
    <t>18:52:15</t>
  </si>
  <si>
    <t>14:45:44</t>
  </si>
  <si>
    <t>13:25:14</t>
  </si>
  <si>
    <t>13:12:49</t>
  </si>
  <si>
    <t>18:49:22</t>
  </si>
  <si>
    <t>16:19:53</t>
  </si>
  <si>
    <t>12:45:15</t>
  </si>
  <si>
    <t>20:01:14</t>
  </si>
  <si>
    <t>14:32:13</t>
  </si>
  <si>
    <t>12:44:08</t>
  </si>
  <si>
    <t>11:01:09</t>
  </si>
  <si>
    <t>17:37:19</t>
  </si>
  <si>
    <t>12:03:04</t>
  </si>
  <si>
    <t>19:51:16</t>
  </si>
  <si>
    <t>18:23:52</t>
  </si>
  <si>
    <t>13:51:12</t>
  </si>
  <si>
    <t>22:02:22</t>
  </si>
  <si>
    <t>22:04:35</t>
  </si>
  <si>
    <t>16:31:19</t>
  </si>
  <si>
    <t>16:43:15</t>
  </si>
  <si>
    <t>12:59:56</t>
  </si>
  <si>
    <t>12:02:13</t>
  </si>
  <si>
    <t>15:22:48</t>
  </si>
  <si>
    <t>20:35:49</t>
  </si>
  <si>
    <t>17:50:58</t>
  </si>
  <si>
    <t>11:38:42</t>
  </si>
  <si>
    <t>13:02:50</t>
  </si>
  <si>
    <t>18:36:37</t>
  </si>
  <si>
    <t>18:06:33</t>
  </si>
  <si>
    <t>17:58:26</t>
  </si>
  <si>
    <t>18:25:39</t>
  </si>
  <si>
    <t>14:01:06</t>
  </si>
  <si>
    <t>18:24:41</t>
  </si>
  <si>
    <t>18:15:41</t>
  </si>
  <si>
    <t>19:53:54</t>
  </si>
  <si>
    <t>17:04:52</t>
  </si>
  <si>
    <t>17:19:07</t>
  </si>
  <si>
    <t>11:01:08</t>
  </si>
  <si>
    <t>16:41:29</t>
  </si>
  <si>
    <t>15:20:35</t>
  </si>
  <si>
    <t>13:00:55</t>
  </si>
  <si>
    <t>11:38:28</t>
  </si>
  <si>
    <t>16:01:52</t>
  </si>
  <si>
    <t>15:51:54</t>
  </si>
  <si>
    <t>16:40:02</t>
  </si>
  <si>
    <t>19:54:40</t>
  </si>
  <si>
    <t>16:51:23</t>
  </si>
  <si>
    <t>12:01:10</t>
  </si>
  <si>
    <t>19:04:29</t>
  </si>
  <si>
    <t>20:49:31</t>
  </si>
  <si>
    <t>13:53:16</t>
  </si>
  <si>
    <t>15:15:29</t>
  </si>
  <si>
    <t>13:59:10</t>
  </si>
  <si>
    <t>18:29:38</t>
  </si>
  <si>
    <t>14:39:23</t>
  </si>
  <si>
    <t>14:32:17</t>
  </si>
  <si>
    <t>19:22:47</t>
  </si>
  <si>
    <t>12:39:25</t>
  </si>
  <si>
    <t>11:01:10</t>
  </si>
  <si>
    <t>14:00:38</t>
  </si>
  <si>
    <t>12:02:14</t>
  </si>
  <si>
    <t>21:02:15</t>
  </si>
  <si>
    <t>19:07:29</t>
  </si>
  <si>
    <t>11:47:50</t>
  </si>
  <si>
    <t>15:50:17</t>
  </si>
  <si>
    <t>09:32:32</t>
  </si>
  <si>
    <t>18:38:29</t>
  </si>
  <si>
    <t>20:23:50</t>
  </si>
  <si>
    <t>09:11:47</t>
  </si>
  <si>
    <t>18:32:16</t>
  </si>
  <si>
    <t>16:03:16</t>
  </si>
  <si>
    <t>09:51:08</t>
  </si>
  <si>
    <t>17:02:55</t>
  </si>
  <si>
    <t>17:20:34</t>
  </si>
  <si>
    <t>12:16:36</t>
  </si>
  <si>
    <t>17:50:51</t>
  </si>
  <si>
    <t>18:37:59</t>
  </si>
  <si>
    <t>20:01:07</t>
  </si>
  <si>
    <t>11:59:19</t>
  </si>
  <si>
    <t>19:59:14</t>
  </si>
  <si>
    <t>16:32:26</t>
  </si>
  <si>
    <t>16:11:40</t>
  </si>
  <si>
    <t>13:55:56</t>
  </si>
  <si>
    <t>15:01:07</t>
  </si>
  <si>
    <t>18:59:15</t>
  </si>
  <si>
    <t>13:59:13</t>
  </si>
  <si>
    <t>15:38:51</t>
  </si>
  <si>
    <t>18:40:02</t>
  </si>
  <si>
    <t>17:35:25</t>
  </si>
  <si>
    <t>21:58:18</t>
  </si>
  <si>
    <t>18:56:05</t>
  </si>
  <si>
    <t>12:49:14</t>
  </si>
  <si>
    <t>09:18:24</t>
  </si>
  <si>
    <t>13:01:11</t>
  </si>
  <si>
    <t>12:56:27</t>
  </si>
  <si>
    <t>15:01:58</t>
  </si>
  <si>
    <t>11:57:48</t>
  </si>
  <si>
    <t>13:30:59</t>
  </si>
  <si>
    <t>09:51:39</t>
  </si>
  <si>
    <t>20:02:27</t>
  </si>
  <si>
    <t>19:56:23</t>
  </si>
  <si>
    <t>18:40:37</t>
  </si>
  <si>
    <t>13:02:40</t>
  </si>
  <si>
    <t>12:00:15</t>
  </si>
  <si>
    <t>09:11:05</t>
  </si>
  <si>
    <t>12:00:37</t>
  </si>
  <si>
    <t>21:00:29</t>
  </si>
  <si>
    <t>19:02:26</t>
  </si>
  <si>
    <t>18:05:26</t>
  </si>
  <si>
    <t>19:36:30</t>
  </si>
  <si>
    <t>12:01:06</t>
  </si>
  <si>
    <t>15:46:16</t>
  </si>
  <si>
    <t>19:20:12</t>
  </si>
  <si>
    <t>14:47:05</t>
  </si>
  <si>
    <t>19:50:33</t>
  </si>
  <si>
    <t>18:54:20</t>
  </si>
  <si>
    <t>18:41:32</t>
  </si>
  <si>
    <t>18:16:21</t>
  </si>
  <si>
    <t>18:06:09</t>
  </si>
  <si>
    <t>12:58:36</t>
  </si>
  <si>
    <t>17:06:36</t>
  </si>
  <si>
    <t>15:40:10</t>
  </si>
  <si>
    <t>13:57:37</t>
  </si>
  <si>
    <t>14:05:29</t>
  </si>
  <si>
    <t>20:51:07</t>
  </si>
  <si>
    <t>20:05:41</t>
  </si>
  <si>
    <t>12:40:27</t>
  </si>
  <si>
    <t>12:02:36</t>
  </si>
  <si>
    <t>13:01:01</t>
  </si>
  <si>
    <t>19:13:26</t>
  </si>
  <si>
    <t>21:01:50</t>
  </si>
  <si>
    <t>15:30:04</t>
  </si>
  <si>
    <t>13:02:54</t>
  </si>
  <si>
    <t>21:25:04</t>
  </si>
  <si>
    <t>20:03:41</t>
  </si>
  <si>
    <t>16:01:07</t>
  </si>
  <si>
    <t>18:30:12</t>
  </si>
  <si>
    <t>10:31:07</t>
  </si>
  <si>
    <t>18:28:39</t>
  </si>
  <si>
    <t>12:31:09</t>
  </si>
  <si>
    <t>09:15:58</t>
  </si>
  <si>
    <t>16:31:08</t>
  </si>
  <si>
    <t>18:10:47</t>
  </si>
  <si>
    <t>13:16:40</t>
  </si>
  <si>
    <t>21:41:56</t>
  </si>
  <si>
    <t>14:14:02</t>
  </si>
  <si>
    <t>13:10:54</t>
  </si>
  <si>
    <t>12:55:13</t>
  </si>
  <si>
    <t>11:03:18</t>
  </si>
  <si>
    <t>11:13:33</t>
  </si>
  <si>
    <t>11:47:20</t>
  </si>
  <si>
    <t>15:27:10</t>
  </si>
  <si>
    <t>10:10:19</t>
  </si>
  <si>
    <t>21:51:41</t>
  </si>
  <si>
    <t>22:39:40</t>
  </si>
  <si>
    <t>12:05:13</t>
  </si>
  <si>
    <t>02:29:46</t>
  </si>
  <si>
    <t>16:41:54</t>
  </si>
  <si>
    <t>12:00:34</t>
  </si>
  <si>
    <t>14:50:00</t>
  </si>
  <si>
    <t>17:09:30</t>
  </si>
  <si>
    <t>17:44:45</t>
  </si>
  <si>
    <t>18:07:30</t>
  </si>
  <si>
    <t>12:03:40</t>
  </si>
  <si>
    <t>12:03:39</t>
  </si>
  <si>
    <t>12:03:38</t>
  </si>
  <si>
    <t>12:03:36</t>
  </si>
  <si>
    <t>12:03:35</t>
  </si>
  <si>
    <t>12:03:34</t>
  </si>
  <si>
    <t>12:33:24</t>
  </si>
  <si>
    <t>12:27:19</t>
  </si>
  <si>
    <t>11:28:01</t>
  </si>
  <si>
    <t>00:56:37</t>
  </si>
  <si>
    <t>15:02:57</t>
  </si>
  <si>
    <t>17:35:06</t>
  </si>
  <si>
    <t>23:41:44</t>
  </si>
  <si>
    <t>15:31:18</t>
  </si>
  <si>
    <t>-48,285982,-16,0524045 
-48,285982,-15,5001029 
-47,307264,-15,5001029 
-47,307264,-16,0524045</t>
  </si>
  <si>
    <t>-38,995238,-3,971387 
-38,995238,-3,543514 
-38,587347,-3,543514 
-38,587347,-3,971387</t>
  </si>
  <si>
    <t>-48,585145,-27,221369 
-48,585145,-27,109758 
-48,397834,-27,109758 
-48,397834,-27,221369</t>
  </si>
  <si>
    <t>-46,826039,-24,008814 
-46,826039,-23,356792 
-46,365052,-23,356792 
-46,365052,-24,008814</t>
  </si>
  <si>
    <t>-46,383216,-23,744544 
-46,383216,-23,488594 
-46,254435,-23,488594 
-46,254435,-23,744544</t>
  </si>
  <si>
    <t>42,3150577,18,1271666 
42,3150577,18,4804647 
42,7516524,18,4804647 
42,7516524,18,1271666</t>
  </si>
  <si>
    <t>-39,357533,-7,2681337 
-39,357533,-7,093853 
-39,193568,-7,093853 
-39,193568,-7,2681337</t>
  </si>
  <si>
    <t>-34,9738347,-7,243257 
-34,9738347,-7,055696 
-34,792907,-7,055696 
-34,792907,-7,243257</t>
  </si>
  <si>
    <t>-38,9223532,-4,9383746 
-38,9223532,-4,6158424 
-38,5197051,-4,6158424 
-38,5197051,-4,9383746</t>
  </si>
  <si>
    <t>-46,63094,-23,493163 
-46,63094,-23,460073 
-46,583005,-23,460073 
-46,583005,-23,493163</t>
  </si>
  <si>
    <t>-49,3916434,-25,6447517 
-49,3916434,-25,3457471 
-49,1852775,-25,3457471 
-49,1852775,-25,6447517</t>
  </si>
  <si>
    <t>-48,6103127,-27,8389356 
-48,6103127,-27,3804458 
-48,3474853,-27,3804458 
-48,3474853,-27,8389356</t>
  </si>
  <si>
    <t>-43,795449,-23,08302 
-43,795449,-22,7398234 
-43,0877068,-22,7398234 
-43,0877068,-23,08302</t>
  </si>
  <si>
    <t>-44,062789,-20,059816 
-44,062789,-19,777568 
-43,856856,-19,777568 
-43,856856,-20,059816</t>
  </si>
  <si>
    <t>-47,2450492,-23,06071 
-47,2450492,-22,729279 
-46,815387,-22,729279 
-46,815387,-23,06071</t>
  </si>
  <si>
    <t>-46,619529,-24,089757 
-46,619529,-23,946209 
-46,383547,-23,946209 
-46,383547,-24,089757</t>
  </si>
  <si>
    <t>-51,3061478,-30,2688069 
-51,3061478,-29,9308654 
-51,012471,-29,9308654 
-51,012471,-30,2688069</t>
  </si>
  <si>
    <t>-42,368063,-18,987545 
-42,368063,-18,807749 
-42,256342,-18,807749 
-42,256342,-18,987545</t>
  </si>
  <si>
    <t>-49,2714742,-25,831372 
-49,2714742,-25,4629523 
-48,842915,-25,4629523 
-48,842915,-25,831372</t>
  </si>
  <si>
    <t>-8,2320179,37,0104436 
-8,2320179,37,4182841 
-7,878277,37,4182841 
-7,878277,37,0104436</t>
  </si>
  <si>
    <t>-43,930519,-20,80119 
-43,930519,-20,538043 
-43,6783263,-20,538043 
-43,6783263,-20,80119</t>
  </si>
  <si>
    <t>-46,567276,-23,815924 
-46,567276,-23,605615 
-46,278106,-23,605615 
-46,278106,-23,815924</t>
  </si>
  <si>
    <t>-46,6521812,-23,7397611 
-46,6521812,-23,657623 
-46,577683,-23,657623 
-46,577683,-23,7397611</t>
  </si>
  <si>
    <t>-46,702073,-23,626481 
-46,702073,-23,576938 
-46,6686213,-23,576938 
-46,6686213,-23,626481</t>
  </si>
  <si>
    <t>-35,019805,-8,157554 
-35,019805,-7,929652 
-34,858893,-7,929652 
-34,858893,-8,157554</t>
  </si>
  <si>
    <t>-41,358419,-9,482947 
-41,358419,-3,804604 
-32,378186,-3,804604 
-32,378186,-9,482947</t>
  </si>
  <si>
    <t>-35,338403,-9,1576977 
-35,338403,-9,028479 
-35,238402,-9,028479 
-35,238402,-9,1576977</t>
  </si>
  <si>
    <t>-73,991482,-33,7510506 
-73,991482,5,27192 
-32,378186,5,27192 
-32,378186,-33,7510506</t>
  </si>
  <si>
    <t>-46,999579,-23,12121 
-46,999579,-23,044774 
-46,865704,-23,044774 
-46,865704,-23,12121</t>
  </si>
  <si>
    <t>-43,717183,-22,586877 
-43,717183,-22,456636 
-43,55858,-22,456636 
-43,55858,-22,586877</t>
  </si>
  <si>
    <t>-47,218359,-22,8156233 
-47,218359,-22,6778679 
-47,059508,-22,6778679 
-47,059508,-22,8156233</t>
  </si>
  <si>
    <t>Brasil</t>
  </si>
  <si>
    <t>Reino da Arábia Saudita</t>
  </si>
  <si>
    <t>Portugal</t>
  </si>
  <si>
    <t>BR</t>
  </si>
  <si>
    <t>SA</t>
  </si>
  <si>
    <t>PT</t>
  </si>
  <si>
    <t>Brasília, Brasil</t>
  </si>
  <si>
    <t>Caucaia, Brasil</t>
  </si>
  <si>
    <t>Bombinhas, Brasil</t>
  </si>
  <si>
    <t>São Paulo, Brasil</t>
  </si>
  <si>
    <t>Suzano, Brasil</t>
  </si>
  <si>
    <t>ابها, المملكة العربية السعودية</t>
  </si>
  <si>
    <t>Juazeiro do Norte, Brasil</t>
  </si>
  <si>
    <t>João Pessoa, Brasil</t>
  </si>
  <si>
    <t>Ibaretama, Brasil</t>
  </si>
  <si>
    <t>Tucuruvi, São Paulo</t>
  </si>
  <si>
    <t>Curitiba, Brasil</t>
  </si>
  <si>
    <t>Florianópolis, Brasil</t>
  </si>
  <si>
    <t>Rio de Janeiro, Brasil</t>
  </si>
  <si>
    <t>Belo Horizonte, Brasil</t>
  </si>
  <si>
    <t>Campinas, Brasil</t>
  </si>
  <si>
    <t>Praia Grande, Brasil</t>
  </si>
  <si>
    <t>Porto Alegre, Brasil</t>
  </si>
  <si>
    <t>São Geraldo da Piedade, Brasil</t>
  </si>
  <si>
    <t>São José dos Pinhais, Brasil</t>
  </si>
  <si>
    <t>Loulé, Portugal</t>
  </si>
  <si>
    <t>Conselheiro Lafaiete, Brasil</t>
  </si>
  <si>
    <t>Santo André, Brasil</t>
  </si>
  <si>
    <t>Diadema, Brasil</t>
  </si>
  <si>
    <t>Itaim Bibi, São Paulo</t>
  </si>
  <si>
    <t>Recife, Brasil</t>
  </si>
  <si>
    <t>Pernambuco, Brasil</t>
  </si>
  <si>
    <t>Japaratinga, Brasil</t>
  </si>
  <si>
    <t>Louveira, Brasil</t>
  </si>
  <si>
    <t>Engenheiro Paulo de Frontin, Brasil</t>
  </si>
  <si>
    <t>Paulínia, Brasil</t>
  </si>
  <si>
    <t>5722ff20ba67083b</t>
  </si>
  <si>
    <t>4b0320ab49dc0134</t>
  </si>
  <si>
    <t>f06b10f3950c9ec1</t>
  </si>
  <si>
    <t>68e019afec7d0ba5</t>
  </si>
  <si>
    <t>16033d44e2a52bd1</t>
  </si>
  <si>
    <t>0003e09b4cd38206</t>
  </si>
  <si>
    <t>54f0f25fc166ccb9</t>
  </si>
  <si>
    <t>c9f2f46c0d1b963d</t>
  </si>
  <si>
    <t>3f10df2a0d65f12c</t>
  </si>
  <si>
    <t>753da57dfdd52978</t>
  </si>
  <si>
    <t>6d5542f8d837770d</t>
  </si>
  <si>
    <t>c44302d542084bfe</t>
  </si>
  <si>
    <t>97bcdfca1a2dca59</t>
  </si>
  <si>
    <t>d9d978b087a92583</t>
  </si>
  <si>
    <t>0933c11f6b472a2b</t>
  </si>
  <si>
    <t>e2e743f3f58bd158</t>
  </si>
  <si>
    <t>894146230dd1d42d</t>
  </si>
  <si>
    <t>3fc4395d8440c485</t>
  </si>
  <si>
    <t>e4f3ef6fbde53075</t>
  </si>
  <si>
    <t>9bb3ff5feb410f60</t>
  </si>
  <si>
    <t>dcdb417053af045a</t>
  </si>
  <si>
    <t>35e1542602b65f19</t>
  </si>
  <si>
    <t>792ce72d0ea47349</t>
  </si>
  <si>
    <t>5e6560355f7dfe0d</t>
  </si>
  <si>
    <t>f207b85be9f1513e</t>
  </si>
  <si>
    <t>6f6c3cc945b95a32</t>
  </si>
  <si>
    <t>63a1829e2baaca6f</t>
  </si>
  <si>
    <t>1b107df3ccc0aaa1</t>
  </si>
  <si>
    <t>7678e5ce65117300</t>
  </si>
  <si>
    <t>a0fe6b6b14ccbf76</t>
  </si>
  <si>
    <t>8bb53315fb45b9ec</t>
  </si>
  <si>
    <t>Brasília</t>
  </si>
  <si>
    <t>Caucaia</t>
  </si>
  <si>
    <t>Bombinhas</t>
  </si>
  <si>
    <t>São Paulo</t>
  </si>
  <si>
    <t>Suzano</t>
  </si>
  <si>
    <t>ابها</t>
  </si>
  <si>
    <t>Juazeiro do Norte</t>
  </si>
  <si>
    <t>João Pessoa</t>
  </si>
  <si>
    <t>Ibaretama</t>
  </si>
  <si>
    <t>Tucuruvi</t>
  </si>
  <si>
    <t>Curitiba</t>
  </si>
  <si>
    <t>Florianópolis</t>
  </si>
  <si>
    <t>Rio de Janeiro</t>
  </si>
  <si>
    <t>Belo Horizonte</t>
  </si>
  <si>
    <t>Campinas</t>
  </si>
  <si>
    <t>Praia Grande</t>
  </si>
  <si>
    <t>Porto Alegre</t>
  </si>
  <si>
    <t>São Geraldo da Piedade</t>
  </si>
  <si>
    <t>São José dos Pinhais</t>
  </si>
  <si>
    <t>Loulé</t>
  </si>
  <si>
    <t>Conselheiro Lafaiete</t>
  </si>
  <si>
    <t>Santo André</t>
  </si>
  <si>
    <t>Diadema</t>
  </si>
  <si>
    <t>Itaim Bibi</t>
  </si>
  <si>
    <t>Recife</t>
  </si>
  <si>
    <t>Pernambuco</t>
  </si>
  <si>
    <t>Japaratinga</t>
  </si>
  <si>
    <t>Louveira</t>
  </si>
  <si>
    <t>Engenheiro Paulo de Frontin</t>
  </si>
  <si>
    <t>Paulínia</t>
  </si>
  <si>
    <t>city</t>
  </si>
  <si>
    <t>neighborhood</t>
  </si>
  <si>
    <t>admin</t>
  </si>
  <si>
    <t>country</t>
  </si>
  <si>
    <t>3_1643617104606658563</t>
  </si>
  <si>
    <t>3_1674788782921625605</t>
  </si>
  <si>
    <t>3_1662442125106003968</t>
  </si>
  <si>
    <t>3_1654516473233039362</t>
  </si>
  <si>
    <t>7_1658563187422253086</t>
  </si>
  <si>
    <t>3_1668612300251734021</t>
  </si>
  <si>
    <t>3_1676753220708827136</t>
  </si>
  <si>
    <t>3_1611812237236117512</t>
  </si>
  <si>
    <t>3_1610614072587722752</t>
  </si>
  <si>
    <t>3_1665853757719195648</t>
  </si>
  <si>
    <t>3_1616555007364530176</t>
  </si>
  <si>
    <t>7_1699896402552201217</t>
  </si>
  <si>
    <t>3_1656015292168896517</t>
  </si>
  <si>
    <t>3_1622364479240519683</t>
  </si>
  <si>
    <t>3_1623532219338838016 3_1623532219359809541</t>
  </si>
  <si>
    <t>7_1680756966430326785</t>
  </si>
  <si>
    <t>7_1624453938832461826</t>
  </si>
  <si>
    <t>3_1679125766481625120</t>
  </si>
  <si>
    <t>3_1618748373095383041</t>
  </si>
  <si>
    <t>7_1697614102573490176</t>
  </si>
  <si>
    <t>3_1634219969700564996</t>
  </si>
  <si>
    <t>3_1696108869481566208</t>
  </si>
  <si>
    <t>3_1695409004594294784</t>
  </si>
  <si>
    <t>3_1695408904522383360</t>
  </si>
  <si>
    <t>3_1694284507615047680</t>
  </si>
  <si>
    <t>3_1694095648147095552</t>
  </si>
  <si>
    <t>3_1693920325249953792</t>
  </si>
  <si>
    <t>3_1693589811494330368</t>
  </si>
  <si>
    <t>3_1693555489353703424</t>
  </si>
  <si>
    <t>3_1691553488310771712</t>
  </si>
  <si>
    <t>3_1691018641108553728</t>
  </si>
  <si>
    <t>3_1691018484493230080</t>
  </si>
  <si>
    <t>3_1679777948335841281</t>
  </si>
  <si>
    <t>3_1696455329532248064</t>
  </si>
  <si>
    <t>3_1696127580624035841</t>
  </si>
  <si>
    <t>3_1694284849622786049</t>
  </si>
  <si>
    <t>3_1694284579622846465</t>
  </si>
  <si>
    <t>3_1693920237391839232</t>
  </si>
  <si>
    <t>3_1693920144131502080</t>
  </si>
  <si>
    <t>3_1693555416460840960</t>
  </si>
  <si>
    <t>3_1692869922353729536</t>
  </si>
  <si>
    <t>3_1691384884269285376</t>
  </si>
  <si>
    <t>3_1691384749187620864</t>
  </si>
  <si>
    <t>3_1691384652525625344</t>
  </si>
  <si>
    <t>3_1691189388493922304</t>
  </si>
  <si>
    <t>3_1690706728218685440</t>
  </si>
  <si>
    <t>3_1696633099822534656</t>
  </si>
  <si>
    <t>3_1696455515197296640</t>
  </si>
  <si>
    <t>3_1696455410020909057</t>
  </si>
  <si>
    <t>3_1696265668025356288</t>
  </si>
  <si>
    <t>3_1696108790435770368</t>
  </si>
  <si>
    <t>3_1693735389620477952</t>
  </si>
  <si>
    <t>3_1692869849339363328</t>
  </si>
  <si>
    <t>3_1692649056873459712</t>
  </si>
  <si>
    <t>3_1692479470299447296</t>
  </si>
  <si>
    <t>3_1692479373268365313</t>
  </si>
  <si>
    <t>3_1691050357001011200</t>
  </si>
  <si>
    <t>3_1697363861249150976</t>
  </si>
  <si>
    <t>3_1697184574793490432</t>
  </si>
  <si>
    <t>3_1697184498721456129</t>
  </si>
  <si>
    <t>3_1697184399303774208</t>
  </si>
  <si>
    <t>3_1696989943996801024</t>
  </si>
  <si>
    <t>3_1695183162869972992</t>
  </si>
  <si>
    <t>3_1695011060854493184</t>
  </si>
  <si>
    <t>3_1695010964104499200</t>
  </si>
  <si>
    <t>3_1695010885662539776</t>
  </si>
  <si>
    <t>3_1694816517798436864</t>
  </si>
  <si>
    <t>3_1694648847211823104</t>
  </si>
  <si>
    <t>3_1694648658317258753</t>
  </si>
  <si>
    <t>3_1694459287597154304</t>
  </si>
  <si>
    <t>3_1690345550611189760</t>
  </si>
  <si>
    <t>3_1690345460945313792</t>
  </si>
  <si>
    <t>3_1697550237995278336</t>
  </si>
  <si>
    <t>3_1697550129799073792</t>
  </si>
  <si>
    <t>3_1697550047590637568</t>
  </si>
  <si>
    <t>3_1696812643493744640</t>
  </si>
  <si>
    <t>3_1696812551915384832</t>
  </si>
  <si>
    <t>3_1696812481199411200</t>
  </si>
  <si>
    <t>3_1692479296642625536</t>
  </si>
  <si>
    <t>3_1692294556874596352</t>
  </si>
  <si>
    <t>3_1692113568848584706</t>
  </si>
  <si>
    <t>3_1692113376191639554</t>
  </si>
  <si>
    <t>3_1692113234000556035</t>
  </si>
  <si>
    <t>3_1691921043634503680</t>
  </si>
  <si>
    <t>3_1691751726313861120</t>
  </si>
  <si>
    <t>3_1691751631761666048</t>
  </si>
  <si>
    <t>3_1691751425703825408</t>
  </si>
  <si>
    <t>3_1678711496077975552</t>
  </si>
  <si>
    <t>3_1672366946723954688</t>
  </si>
  <si>
    <t>3_1633254519885758470</t>
  </si>
  <si>
    <t>7_1656427514066026497</t>
  </si>
  <si>
    <t>7_1615825723842863107</t>
  </si>
  <si>
    <t>3_1643342877366407177</t>
  </si>
  <si>
    <t>3_1641530962344288273</t>
  </si>
  <si>
    <t>3_1641168556644597767</t>
  </si>
  <si>
    <t>3_1640806095361921033</t>
  </si>
  <si>
    <t>3_1638900572366438409</t>
  </si>
  <si>
    <t>3_1325147257767780356</t>
  </si>
  <si>
    <t>3_1689325765886611456</t>
  </si>
  <si>
    <t>3_1669865525751554051</t>
  </si>
  <si>
    <t>3_1658555079304118274</t>
  </si>
  <si>
    <t>3_1668052505018630151</t>
  </si>
  <si>
    <t>3_1691951978895515648</t>
  </si>
  <si>
    <t>3_1658570718043426820</t>
  </si>
  <si>
    <t>7_1682773371174436864</t>
  </si>
  <si>
    <t>3_1631731299919568908 3_1631731299940540450</t>
  </si>
  <si>
    <t>16_1695477472073031680</t>
  </si>
  <si>
    <t>7_1644020527802073088</t>
  </si>
  <si>
    <t>3_1651357678751318018</t>
  </si>
  <si>
    <t>3_1664633674564878338</t>
  </si>
  <si>
    <t>3_1637847084807122948</t>
  </si>
  <si>
    <t>3_1658220010399989761</t>
  </si>
  <si>
    <t>3_1649902507009667078</t>
  </si>
  <si>
    <t>13_1643755338544582658</t>
  </si>
  <si>
    <t>3_1646489566100987905</t>
  </si>
  <si>
    <t>7_1683066568647819264</t>
  </si>
  <si>
    <t>3_1650516062637629442</t>
  </si>
  <si>
    <t>3_1658497626227060742</t>
  </si>
  <si>
    <t>3_1658497002575998976</t>
  </si>
  <si>
    <t>3_1654148722694004739</t>
  </si>
  <si>
    <t>3_1654146414333575170</t>
  </si>
  <si>
    <t>3_1674145964360171522</t>
  </si>
  <si>
    <t>3_1636145307103682560</t>
  </si>
  <si>
    <t>3_1636145061078478849</t>
  </si>
  <si>
    <t>3_1636110606888579080</t>
  </si>
  <si>
    <t>3_1636104796976316418</t>
  </si>
  <si>
    <t>3_1636104717917929472</t>
  </si>
  <si>
    <t>7_1690483581439643648</t>
  </si>
  <si>
    <t>7_1690121452182200323</t>
  </si>
  <si>
    <t>3_1663532290692063233</t>
  </si>
  <si>
    <t>7_1692189804895612929</t>
  </si>
  <si>
    <t>7_1691933186232590336</t>
  </si>
  <si>
    <t>3_1638596240316276756</t>
  </si>
  <si>
    <t>7_1693579192544202752</t>
  </si>
  <si>
    <t>7_1691570778842533888</t>
  </si>
  <si>
    <t>7_1688935095657218049</t>
  </si>
  <si>
    <t>7_1688933588631220225</t>
  </si>
  <si>
    <t>7_1693397762308517888</t>
  </si>
  <si>
    <t>7_1691208345284157440</t>
  </si>
  <si>
    <t>7_1690845973180719107</t>
  </si>
  <si>
    <t>3_1665116231144292359</t>
  </si>
  <si>
    <t>3_1641228849064157186</t>
  </si>
  <si>
    <t>7_1694047058934534144</t>
  </si>
  <si>
    <t>7_1692869299180908544</t>
  </si>
  <si>
    <t>7_1689381784767660032</t>
  </si>
  <si>
    <t>3_1639779289372434489</t>
  </si>
  <si>
    <t>3_1638842117010194436</t>
  </si>
  <si>
    <t>3_1612911573865009153 3_1612911579183325192 3_1612911584883384345 3_1612911590243803137</t>
  </si>
  <si>
    <t>7_1638173957512900618</t>
  </si>
  <si>
    <t>3_1684525332152418305</t>
  </si>
  <si>
    <t>3_1667160779835994112</t>
  </si>
  <si>
    <t>3_1623768754894110722</t>
  </si>
  <si>
    <t>3_1631361223861194753</t>
  </si>
  <si>
    <t>3_1631360866535759887</t>
  </si>
  <si>
    <t>3_1631051172957093888</t>
  </si>
  <si>
    <t>3_1631050972335161345</t>
  </si>
  <si>
    <t>3_1623079899576647684</t>
  </si>
  <si>
    <t>3_1623079643497607170</t>
  </si>
  <si>
    <t>3_1623078038446522368</t>
  </si>
  <si>
    <t>7_1632788525371236352</t>
  </si>
  <si>
    <t>3_1619027912908509184</t>
  </si>
  <si>
    <t>3_1636111593057525760</t>
  </si>
  <si>
    <t>3_1654819558291566593</t>
  </si>
  <si>
    <t>7_1695787472104402945</t>
  </si>
  <si>
    <t>3_1629229035325730816</t>
  </si>
  <si>
    <t>3_1638349224344420352</t>
  </si>
  <si>
    <t>3_1653097098550603777</t>
  </si>
  <si>
    <t>3_1649107831885266948</t>
  </si>
  <si>
    <t>3_1645870183515299840 3_1645870183511195654 3_1645870183511126017</t>
  </si>
  <si>
    <t>3_1612420748081078272</t>
  </si>
  <si>
    <t>3_1659688588575907843</t>
  </si>
  <si>
    <t>3_1649128412374528013</t>
  </si>
  <si>
    <t>3_1646524202634162177</t>
  </si>
  <si>
    <t>3_1644779698163990531 3_1644779698159796231</t>
  </si>
  <si>
    <t>3_1635331072903847971 3_1635331072895459334</t>
  </si>
  <si>
    <t>3_1630242033498574851</t>
  </si>
  <si>
    <t>3_1630219871614038018</t>
  </si>
  <si>
    <t>3_1629618543204474880</t>
  </si>
  <si>
    <t>3_1628398493378260993</t>
  </si>
  <si>
    <t>3_1679929798947160074</t>
  </si>
  <si>
    <t>3_1670898455349166080</t>
  </si>
  <si>
    <t>3_1666822646003281922</t>
  </si>
  <si>
    <t>3_1666816667937288192</t>
  </si>
  <si>
    <t>3_1653092395389444111</t>
  </si>
  <si>
    <t>3_1653061331585564672</t>
  </si>
  <si>
    <t>3_1649085928953073665</t>
  </si>
  <si>
    <t>3_1636018579605790724</t>
  </si>
  <si>
    <t>3_1615718155606802434</t>
  </si>
  <si>
    <t>3_1614994373594300417 3_1614994373594210312</t>
  </si>
  <si>
    <t>3_1613990655256104963 3_1613990655264493569 3_1613990655260299273 3_1613990655268687889</t>
  </si>
  <si>
    <t>3_1613882512081620993</t>
  </si>
  <si>
    <t>3_1688934807772839936 3_1688934807781232642</t>
  </si>
  <si>
    <t>3_1682483222691627008</t>
  </si>
  <si>
    <t>3_1679958084012109827</t>
  </si>
  <si>
    <t>3_1677416060918669312</t>
  </si>
  <si>
    <t>3_1664733557229604864 3_1664733557225406469 3_1664733557225406467</t>
  </si>
  <si>
    <t>3_1664715973205581824</t>
  </si>
  <si>
    <t>3_1658597750630490112</t>
  </si>
  <si>
    <t>3_1656762685575385088 3_1656762685583683584 3_1656762685596344320</t>
  </si>
  <si>
    <t>3_1645525103197782045</t>
  </si>
  <si>
    <t>3_1644312342505615362</t>
  </si>
  <si>
    <t>3_1643632732927406080</t>
  </si>
  <si>
    <t>3_1624070710833344515 3_1624070710824996865 3_1624070710820847618 3_1624070710971846656</t>
  </si>
  <si>
    <t>3_1691208168225783808</t>
  </si>
  <si>
    <t>3_1684657439461793793 3_1684657439520538624</t>
  </si>
  <si>
    <t>3_1679941067016208384</t>
  </si>
  <si>
    <t>3_1674906257755451392</t>
  </si>
  <si>
    <t>3_1666876602846674945</t>
  </si>
  <si>
    <t>3_1662516345613737987</t>
  </si>
  <si>
    <t>3_1642899639820066817</t>
  </si>
  <si>
    <t>3_1641811027015729153</t>
  </si>
  <si>
    <t>3_1626593151107608583 3_1626593151116013571</t>
  </si>
  <si>
    <t>3_1697703692093288448 3_1697703692093276160 3_1697703692084842496 3_1697703692089151488</t>
  </si>
  <si>
    <t>3_1691201433012416512</t>
  </si>
  <si>
    <t>3_1682495720299823104</t>
  </si>
  <si>
    <t>3_1680314923681734661</t>
  </si>
  <si>
    <t>3_1674900960290783232</t>
  </si>
  <si>
    <t>3_1674896104733769733</t>
  </si>
  <si>
    <t>3_1661114923085078556</t>
  </si>
  <si>
    <t>3_1649056196106616834</t>
  </si>
  <si>
    <t>3_1646612346549293056</t>
  </si>
  <si>
    <t>3_1633492148942254080</t>
  </si>
  <si>
    <t>3_1632741295738216451</t>
  </si>
  <si>
    <t>3_1632735870456324097</t>
  </si>
  <si>
    <t>3_1631722788225523737</t>
  </si>
  <si>
    <t>3_1631353516592594944 3_1631353516596838401 3_1631353516588425224 3_1631353516651339796</t>
  </si>
  <si>
    <t>3_1630953491467255810</t>
  </si>
  <si>
    <t>3_1630951695004979200 3_1630951695030124545 3_1630951695013249024 3_1630951695004958720</t>
  </si>
  <si>
    <t>3_1697692921506504704 3_1697692921502351360</t>
  </si>
  <si>
    <t>3_1697686938658988032</t>
  </si>
  <si>
    <t>3_1697598770911772674</t>
  </si>
  <si>
    <t>3_1694063981336363008</t>
  </si>
  <si>
    <t>3_1694053871264342016</t>
  </si>
  <si>
    <t>3_1691157185668022272</t>
  </si>
  <si>
    <t>3_1684626341738528768</t>
  </si>
  <si>
    <t>3_1674915547258007553</t>
  </si>
  <si>
    <t>3_1669786232685985793</t>
  </si>
  <si>
    <t>3_1666911382376161286</t>
  </si>
  <si>
    <t>3_1656281394430062594 3_1656281394425868301 3_1656281394430050307 3_1656281394434154497</t>
  </si>
  <si>
    <t>3_1653454916428365856</t>
  </si>
  <si>
    <t>3_1638549597227302913</t>
  </si>
  <si>
    <t>3_1637888684467814400 3_1637888684467843073</t>
  </si>
  <si>
    <t>3_1620435609125781507 3_1620435609142558720 3_1620435609180409857</t>
  </si>
  <si>
    <t>3_1619016207985774608</t>
  </si>
  <si>
    <t>3_1617544810440671237</t>
  </si>
  <si>
    <t>3_1698807190356697088</t>
  </si>
  <si>
    <t>3_1688972345594023937</t>
  </si>
  <si>
    <t>3_1684673654708199425</t>
  </si>
  <si>
    <t>3_1671174521812811777</t>
  </si>
  <si>
    <t>3_1666802874985115650</t>
  </si>
  <si>
    <t>3_1656752482897260565</t>
  </si>
  <si>
    <t>3_1656640658835210240 3_1656640658851917824</t>
  </si>
  <si>
    <t>3_1640376735223914496 3_1640376735215624194</t>
  </si>
  <si>
    <t>3_1639281388057767937 3_1639281388061966342 3_1639281388070359045 3_1639281388057772036</t>
  </si>
  <si>
    <t>3_1626482388099383299</t>
  </si>
  <si>
    <t>3_1632681573756674048</t>
  </si>
  <si>
    <t>16_1621048380569882625</t>
  </si>
  <si>
    <t>3_1620693253799526400</t>
  </si>
  <si>
    <t>3_1620071162196725762</t>
  </si>
  <si>
    <t>3_1634503913482117121</t>
  </si>
  <si>
    <t>3_1639196738484355073</t>
  </si>
  <si>
    <t>16_1636296642302296069</t>
  </si>
  <si>
    <t>3_1614933753750556672</t>
  </si>
  <si>
    <t>3_1645359651754483715</t>
  </si>
  <si>
    <t>3_1643871380801298432</t>
  </si>
  <si>
    <t>3_1637739636318412800</t>
  </si>
  <si>
    <t>3_1685028665434767360</t>
  </si>
  <si>
    <t>7_1660960564460281858</t>
  </si>
  <si>
    <t>7_1661323792537321472</t>
  </si>
  <si>
    <t>3_1617041733233135618</t>
  </si>
  <si>
    <t>3_1645505207726424067</t>
  </si>
  <si>
    <t>3_1656327122586050560</t>
  </si>
  <si>
    <t>7_1631617947406942211</t>
  </si>
  <si>
    <t>3_1634176510511796224 3_1634176518011117568</t>
  </si>
  <si>
    <t>3_1621946777585782784</t>
  </si>
  <si>
    <t>3_1624552955855740931</t>
  </si>
  <si>
    <t>3_1621584414881849351</t>
  </si>
  <si>
    <t>7_1620585150311550976</t>
  </si>
  <si>
    <t>7_1620583432173617153</t>
  </si>
  <si>
    <t>7_1620582977766924289</t>
  </si>
  <si>
    <t>7_1620582130144231424</t>
  </si>
  <si>
    <t>7_1620578375621279745</t>
  </si>
  <si>
    <t>7_1620578111443156994</t>
  </si>
  <si>
    <t>7_1620573466696028161</t>
  </si>
  <si>
    <t>3_1652693082972774402</t>
  </si>
  <si>
    <t>3_1617322640468738051</t>
  </si>
  <si>
    <t>3_1623806664997576704 3_1623806668864626688 3_1623806673663012865 3_1623806678985498625</t>
  </si>
  <si>
    <t>16_1620413057108418560</t>
  </si>
  <si>
    <t>3_1674138232840126464</t>
  </si>
  <si>
    <t>3_1689658838582964224</t>
  </si>
  <si>
    <t>3_1658595712450396162</t>
  </si>
  <si>
    <t>3_1633205706018144256</t>
  </si>
  <si>
    <t>7_1666468989218828288</t>
  </si>
  <si>
    <t>7_1666474818454126592</t>
  </si>
  <si>
    <t>7_1664341273342361600</t>
  </si>
  <si>
    <t>7_1695526429952233472</t>
  </si>
  <si>
    <t>3_1689796010405478402</t>
  </si>
  <si>
    <t>3_1689456851622965248</t>
  </si>
  <si>
    <t>3_1689062806350450688 3_1689062806358761472 3_1689062806337859584</t>
  </si>
  <si>
    <t>3_1675927217761558551</t>
  </si>
  <si>
    <t>3_1659913026672250880</t>
  </si>
  <si>
    <t>3_1659188475134918656</t>
  </si>
  <si>
    <t>3_1651955769254858752</t>
  </si>
  <si>
    <t>3_1651941305176424455</t>
  </si>
  <si>
    <t>3_1651593212937609216</t>
  </si>
  <si>
    <t>3_1658825761485094923</t>
  </si>
  <si>
    <t>3_1658463849484361729</t>
  </si>
  <si>
    <t>3_1658101450717687810</t>
  </si>
  <si>
    <t>3_1655926866388066307</t>
  </si>
  <si>
    <t>3_1655564332158136322</t>
  </si>
  <si>
    <t>3_1655201947874471937</t>
  </si>
  <si>
    <t>3_1654839475334160386</t>
  </si>
  <si>
    <t>3_1653027843297755136</t>
  </si>
  <si>
    <t>3_1652318227102412801</t>
  </si>
  <si>
    <t>3_1651230675477884930</t>
  </si>
  <si>
    <t>3_1650868448224788480</t>
  </si>
  <si>
    <t>3_1653752368633204737</t>
  </si>
  <si>
    <t>3_1653389916498214913</t>
  </si>
  <si>
    <t>3_1650506227393126400</t>
  </si>
  <si>
    <t>3_1650143857324048385</t>
  </si>
  <si>
    <t>3_1649781246514417664</t>
  </si>
  <si>
    <t>3_1657754047598714884</t>
  </si>
  <si>
    <t>3_1657376427266699265</t>
  </si>
  <si>
    <t>3_1657029292482609160</t>
  </si>
  <si>
    <t>3_1656651940313309187</t>
  </si>
  <si>
    <t>3_1656289013991448578</t>
  </si>
  <si>
    <t>3_1685046483060449280</t>
  </si>
  <si>
    <t>3_1665728408506990594</t>
  </si>
  <si>
    <t>3_1677792262867021824</t>
  </si>
  <si>
    <t>3_1677434050775072771</t>
  </si>
  <si>
    <t>3_1677248773087547393</t>
  </si>
  <si>
    <t>3_1639062447704141825</t>
  </si>
  <si>
    <t>3_1643422354276593668</t>
  </si>
  <si>
    <t>3_1635968937450979329</t>
  </si>
  <si>
    <t>3_1638657313023184896</t>
  </si>
  <si>
    <t>3_1659156401606864897</t>
  </si>
  <si>
    <t>7_1671158386942160914</t>
  </si>
  <si>
    <t>7_1683546051272122381</t>
  </si>
  <si>
    <t>7_1694787022127271936</t>
  </si>
  <si>
    <t>7_1688943679140929536</t>
  </si>
  <si>
    <t>7_1658593741823696901</t>
  </si>
  <si>
    <t>3_1625666748904091655</t>
  </si>
  <si>
    <t>3_1628739717951811584</t>
  </si>
  <si>
    <t>7_1686105854960099329</t>
  </si>
  <si>
    <t>3_1612835721026338816</t>
  </si>
  <si>
    <t>3_1687508383513944074</t>
  </si>
  <si>
    <t>3_1618976208317829121</t>
  </si>
  <si>
    <t>3_1689662570641117186</t>
  </si>
  <si>
    <t>3_1688621864757698560</t>
  </si>
  <si>
    <t>3_1688543759485538305</t>
  </si>
  <si>
    <t>7_1624425631617323010</t>
  </si>
  <si>
    <t>3_1623423568234020871</t>
  </si>
  <si>
    <t>7_1622292968479625219</t>
  </si>
  <si>
    <t>7_1633231606105161728</t>
  </si>
  <si>
    <t>7_1669475633397653504</t>
  </si>
  <si>
    <t>7_1630002167120576512</t>
  </si>
  <si>
    <t>3_1664285742749880322</t>
  </si>
  <si>
    <t>7_1685621331214127104</t>
  </si>
  <si>
    <t>7_1687569202050207744</t>
  </si>
  <si>
    <t>7_1654607233068548096</t>
  </si>
  <si>
    <t>7_1690105934280863745</t>
  </si>
  <si>
    <t>7_1677422348725518336</t>
  </si>
  <si>
    <t>3_1644034020861263872</t>
  </si>
  <si>
    <t>3_1637929624020631554</t>
  </si>
  <si>
    <t>3_1637929500695572480 3_1637929500997562373 3_1637929501349883908 3_1637929501693804544</t>
  </si>
  <si>
    <t>3_1637929408655773697 3_1637929408664051712 3_1637929408773124097 3_1637929408978616325</t>
  </si>
  <si>
    <t>7_1689070694133313537</t>
  </si>
  <si>
    <t>3_1654093719023362048</t>
  </si>
  <si>
    <t>3_1636738426035748864 3_1636738431194652674</t>
  </si>
  <si>
    <t>3_1679229239852187649</t>
  </si>
  <si>
    <t>3_1679134234424877059</t>
  </si>
  <si>
    <t>3_1686439345861828608</t>
  </si>
  <si>
    <t>3_1682404489456746500</t>
  </si>
  <si>
    <t>3_1690097593626300416</t>
  </si>
  <si>
    <t>3_1690057956593672213</t>
  </si>
  <si>
    <t>3_1677326536683257857</t>
  </si>
  <si>
    <t>3_1689378825224728576</t>
  </si>
  <si>
    <t>3_1689239637447843841</t>
  </si>
  <si>
    <t>3_1688941762201497600</t>
  </si>
  <si>
    <t>7_1647223726541291526</t>
  </si>
  <si>
    <t>3_1656607471002157059</t>
  </si>
  <si>
    <t>3_1632200599495122944</t>
  </si>
  <si>
    <t>3_1641401521303584768</t>
  </si>
  <si>
    <t>3_1626254227180818439 3_1626254227180847108 3_1626254227172388869 3_1626254227172458496</t>
  </si>
  <si>
    <t>3_1626050511957897216</t>
  </si>
  <si>
    <t>3_1637224359923204098 3_1637224359935762433 3_1637224359919058947 3_1637224359931572225</t>
  </si>
  <si>
    <t>3_1659319621592154112</t>
  </si>
  <si>
    <t>3_1659044238712029184 3_1659044238686838786 3_1659044238682730496 3_1659044238682628097</t>
  </si>
  <si>
    <t>3_1667581804822376450</t>
  </si>
  <si>
    <t>7_1672376991293620225</t>
  </si>
  <si>
    <t>3_1638248143983636493</t>
  </si>
  <si>
    <t>7_1675126595663667206</t>
  </si>
  <si>
    <t>3_1652097995985256449</t>
  </si>
  <si>
    <t>3_1634847749597167616</t>
  </si>
  <si>
    <t>3_1628504400581783553</t>
  </si>
  <si>
    <t>3_1616070109893910534</t>
  </si>
  <si>
    <t>3_1617657719800090624</t>
  </si>
  <si>
    <t>3_1671160311167217668</t>
  </si>
  <si>
    <t>3_1680931879057346560</t>
  </si>
  <si>
    <t>3_1673731135707160579</t>
  </si>
  <si>
    <t>3_1678420594981851140</t>
  </si>
  <si>
    <t>3_1697599337637855232</t>
  </si>
  <si>
    <t>3_1697431080901447681 3_1697431081190891520 3_1697431081794908160 3_1697431082465935360</t>
  </si>
  <si>
    <t>3_1697596269126938624</t>
  </si>
  <si>
    <t>3_1698266902148079616</t>
  </si>
  <si>
    <t>3_1700547994259492864</t>
  </si>
  <si>
    <t>3_1698738026933858304</t>
  </si>
  <si>
    <t>3_1688673048440815617</t>
  </si>
  <si>
    <t>3_1630982702026326040</t>
  </si>
  <si>
    <t>3_1637879681117569025</t>
  </si>
  <si>
    <t>3_1634600730743930889 3_1634600730727264258 3_1634600730903412738 3_1634600731188555785</t>
  </si>
  <si>
    <t>3_1629629783393943553</t>
  </si>
  <si>
    <t>3_1634239068241313813 3_1634239068249702426 3_1634239068300034059 3_1634239068480389143</t>
  </si>
  <si>
    <t>3_1641816088403931137</t>
  </si>
  <si>
    <t>3_1636052351621505025 3_1636052351621496834 3_1636052351881445378 3_1636052352162562051</t>
  </si>
  <si>
    <t>3_1645472737559707654 3_1645472737689731083 3_1645472737748549632</t>
  </si>
  <si>
    <t>3_1644727947322970118</t>
  </si>
  <si>
    <t>7_1625255946304860161</t>
  </si>
  <si>
    <t>7_1624458257686306818</t>
  </si>
  <si>
    <t>3_1641104492274778115</t>
  </si>
  <si>
    <t>7_1623783921363083264</t>
  </si>
  <si>
    <t>7_1662965022228721664</t>
  </si>
  <si>
    <t>7_1658030958606516225</t>
  </si>
  <si>
    <t>7_1656620162697633794</t>
  </si>
  <si>
    <t>7_1660989953654882309</t>
  </si>
  <si>
    <t>7_1643652465428930560</t>
  </si>
  <si>
    <t>3_1685420801149812736</t>
  </si>
  <si>
    <t>7_1653822575443681283</t>
  </si>
  <si>
    <t>7_1694704019741286400</t>
  </si>
  <si>
    <t>3_1644309250104074242</t>
  </si>
  <si>
    <t>3_1648383993207726089 3_1648383993388183554 3_1648384061302251532 3_1648384096052060170</t>
  </si>
  <si>
    <t>3_1701940899670831105 3_1701940579393740800 3_1701940621114527744 3_1701940639720468480</t>
  </si>
  <si>
    <t>3_1701104417502838784</t>
  </si>
  <si>
    <t>3_1631788084219052033 3_1631788090892189696</t>
  </si>
  <si>
    <t>7_1696149636543655936</t>
  </si>
  <si>
    <t>3_1625961449855021056</t>
  </si>
  <si>
    <t>3_1610628985221677057 3_1610628985758650368</t>
  </si>
  <si>
    <t>3_1621574570846085123</t>
  </si>
  <si>
    <t>3_1631971748810825730</t>
  </si>
  <si>
    <t>7_1639300450171207680</t>
  </si>
  <si>
    <t>7_1639300440859746306</t>
  </si>
  <si>
    <t>7_1639300432143998976</t>
  </si>
  <si>
    <t>7_1639300424208449537</t>
  </si>
  <si>
    <t>7_1639300411617079296</t>
  </si>
  <si>
    <t>7_1639299945952862208</t>
  </si>
  <si>
    <t>3_1649830038206918657</t>
  </si>
  <si>
    <t>3_1649504865360461825</t>
  </si>
  <si>
    <t>3_1649120829798481929</t>
  </si>
  <si>
    <t>3_1610759904670715911 3_1610759904641355793</t>
  </si>
  <si>
    <t>3_1690019456074874880</t>
  </si>
  <si>
    <t>3_1677360399518244890 3_1677360409127395345 3_1677360415964004352 3_1677360423392223232</t>
  </si>
  <si>
    <t>3_1650931591068131346</t>
  </si>
  <si>
    <t>7_1672377150672969729</t>
  </si>
  <si>
    <t>3_1686814458344087552</t>
  </si>
  <si>
    <t>3_1688299745662455809</t>
  </si>
  <si>
    <t>3_1646214195908575248</t>
  </si>
  <si>
    <t>3_1643002509290622980</t>
  </si>
  <si>
    <t>3_1640043941780226049</t>
  </si>
  <si>
    <t>3_1692106306058891264</t>
  </si>
  <si>
    <t>3_1627401700574216192 3_1627401700569935872 3_1627401700570021888 3_1627401700590977024</t>
  </si>
  <si>
    <t>3_1640783438184587289</t>
  </si>
  <si>
    <t>3_1650472021250265088</t>
  </si>
  <si>
    <t>3_1673824244122238979</t>
  </si>
  <si>
    <t>7_1671601030507708422</t>
  </si>
  <si>
    <t>3_1682045457453969408</t>
  </si>
  <si>
    <t>7_1641572220727181313</t>
  </si>
  <si>
    <t>3_1631294410422988800</t>
  </si>
  <si>
    <t>7_1682089242883661834</t>
  </si>
  <si>
    <t>3_1631586495772467201</t>
  </si>
  <si>
    <t>3_1683848790615138304</t>
  </si>
  <si>
    <t>7_1684561616283766784</t>
  </si>
  <si>
    <t>7_1652789336075649024</t>
  </si>
  <si>
    <t>3_1701578987921637376</t>
  </si>
  <si>
    <t>3_1686509587309215750 3_1686509590404530176 3_1686509593806110723</t>
  </si>
  <si>
    <t>3_1630976344648450065</t>
  </si>
  <si>
    <t>3_1651300343991369756 3_1651300343991369748 3_1651300343991369747 3_1651300343811043329</t>
  </si>
  <si>
    <t>3_1650980207040294919</t>
  </si>
  <si>
    <t>7_1671246749774561286</t>
  </si>
  <si>
    <t>3_1641108071794524164</t>
  </si>
  <si>
    <t>3_1696632840371224576 3_1696632840379600897 3_1696632840778084352</t>
  </si>
  <si>
    <t>3_1645532330419691520</t>
  </si>
  <si>
    <t>3_1639357889050468374</t>
  </si>
  <si>
    <t>7_1625555160846983168</t>
  </si>
  <si>
    <t>7_1641258356009467907</t>
  </si>
  <si>
    <t>3_1656295856490917890 3_1656295869665226756 3_1656295884777299973 3_1656295903542628355</t>
  </si>
  <si>
    <t>3_1658172079936552960</t>
  </si>
  <si>
    <t>3_1631414239259656195</t>
  </si>
  <si>
    <t>7_1624141263812366362</t>
  </si>
  <si>
    <t>3_1643176352743321600</t>
  </si>
  <si>
    <t>3_1645443176365268992</t>
  </si>
  <si>
    <t>3_1645343299572584448</t>
  </si>
  <si>
    <t>3_1651238445056946178</t>
  </si>
  <si>
    <t>7_1652852599253524480</t>
  </si>
  <si>
    <t>3_1653807127780110342</t>
  </si>
  <si>
    <t>3_1653804801971441664</t>
  </si>
  <si>
    <t>3_1653789987081527301</t>
  </si>
  <si>
    <t>7_1662117619921563648</t>
  </si>
  <si>
    <t>7_1653395372633468930</t>
  </si>
  <si>
    <t>7_1653839387438751784</t>
  </si>
  <si>
    <t>7_1653810647933628430</t>
  </si>
  <si>
    <t>7_1651927648191361027</t>
  </si>
  <si>
    <t>7_1657006127236653057</t>
  </si>
  <si>
    <t>7_1658887291274657827</t>
  </si>
  <si>
    <t>7_1658438744041570307</t>
  </si>
  <si>
    <t>7_1658097529009963008</t>
  </si>
  <si>
    <t>3_1687437648476913664</t>
  </si>
  <si>
    <t>7_1655547930722332672</t>
  </si>
  <si>
    <t>7_1654467078475116545</t>
  </si>
  <si>
    <t>3_1619108188124774400 3_1619108188074434561 3_1619108188070248448 3_1619108188296708097</t>
  </si>
  <si>
    <t>3_1623049371192532992 3_1623049370458546176 3_1623049370722783234 3_1623049370844422147</t>
  </si>
  <si>
    <t>3_1621856215134507010 3_1621856215352639488 3_1621856215553949697 3_1621856215755288578</t>
  </si>
  <si>
    <t>3_1626599405087498243 3_1626599405246898180 3_1626599405129469954 3_1626599405267865616</t>
  </si>
  <si>
    <t>3_1626582470207627272 3_1626582470463467524 3_1626582470253748225 3_1626582470308294662</t>
  </si>
  <si>
    <t>3_1635997863661699072 3_1635997863854641152</t>
  </si>
  <si>
    <t>3_1652674586717360129 3_1652674587442966530 3_1652674587132596226 3_1652674587359072256</t>
  </si>
  <si>
    <t>3_1650958548048941056 3_1650958548027981824 3_1650958548040568832 3_1650958548069941248</t>
  </si>
  <si>
    <t>3_1653866511118000128 3_1653866511180906496 3_1653866511252193280 3_1653866511126376449</t>
  </si>
  <si>
    <t>3_1651327684897808384 3_1651327684893609986 3_1651327685002682371 3_1651327685006888960</t>
  </si>
  <si>
    <t>3_1629103947171647489 3_1629103947473629184 3_1629103947263901697 3_1629103947389767680</t>
  </si>
  <si>
    <t>3_1677302066723848192 3_1677302066589597697</t>
  </si>
  <si>
    <t>3_1617518682246377478</t>
  </si>
  <si>
    <t>7_1630379683752583169</t>
  </si>
  <si>
    <t>3_1636021591669612545</t>
  </si>
  <si>
    <t>3_1613926021455036418</t>
  </si>
  <si>
    <t>3_1647917956347699200</t>
  </si>
  <si>
    <t>3_1630285220871110656</t>
  </si>
  <si>
    <t>3_1621579525850021889</t>
  </si>
  <si>
    <t>3_1621574736516898816</t>
  </si>
  <si>
    <t>3_1646502615260225542</t>
  </si>
  <si>
    <t>3_1642941158480396312</t>
  </si>
  <si>
    <t>3_1636794822454280201</t>
  </si>
  <si>
    <t>3_1630283043918213120</t>
  </si>
  <si>
    <t>3_1610695599204057089</t>
  </si>
  <si>
    <t>3_1611060817708859393</t>
  </si>
  <si>
    <t>3_1650542864156311552</t>
  </si>
  <si>
    <t>3_1650536945867431937</t>
  </si>
  <si>
    <t>3_1650536240079417348</t>
  </si>
  <si>
    <t>3_1638972387155689473</t>
  </si>
  <si>
    <t>3_1638970104946782216</t>
  </si>
  <si>
    <t>3_1637858937180413969</t>
  </si>
  <si>
    <t>3_1626629061727354891</t>
  </si>
  <si>
    <t>3_1621569979077345281</t>
  </si>
  <si>
    <t>3_1621568530683494405</t>
  </si>
  <si>
    <t>3_1661398171560361985</t>
  </si>
  <si>
    <t>3_1650538861179678727</t>
  </si>
  <si>
    <t>3_1640371414610980864</t>
  </si>
  <si>
    <t>3_1623766609004318720</t>
  </si>
  <si>
    <t>3_1685985267017015296</t>
  </si>
  <si>
    <t>3_1684896533777367042</t>
  </si>
  <si>
    <t>3_1659152881503576064</t>
  </si>
  <si>
    <t>3_1650530923857817602</t>
  </si>
  <si>
    <t>3_1630280249450676227</t>
  </si>
  <si>
    <t>3_1630276699505016838</t>
  </si>
  <si>
    <t>3_1630236831689179142</t>
  </si>
  <si>
    <t>3_1689666254305447937</t>
  </si>
  <si>
    <t>3_1637851409616977922</t>
  </si>
  <si>
    <t>3_1618313170904383488</t>
  </si>
  <si>
    <t>3_1618278370587938816</t>
  </si>
  <si>
    <t>3_1687494116353925121</t>
  </si>
  <si>
    <t>3_1684890866312519680</t>
  </si>
  <si>
    <t>3_1650547681796714496</t>
  </si>
  <si>
    <t>3_1637848858771308547</t>
  </si>
  <si>
    <t>3_1637788366845427715</t>
  </si>
  <si>
    <t>3_1618281727494955008</t>
  </si>
  <si>
    <t>3_1616485323692703767</t>
  </si>
  <si>
    <t>3_1616495424008749058</t>
  </si>
  <si>
    <t>3_1701731237738545152</t>
  </si>
  <si>
    <t>3_1633845537291005952</t>
  </si>
  <si>
    <t>3_1697369583504474112</t>
  </si>
  <si>
    <t>7_1632565943997014016</t>
  </si>
  <si>
    <t>3_1610384407763865603</t>
  </si>
  <si>
    <t>3_1610384106331815940</t>
  </si>
  <si>
    <t>3_1633092993082089478</t>
  </si>
  <si>
    <t>3_1632719828183031809</t>
  </si>
  <si>
    <t>3_1644382713690877953</t>
  </si>
  <si>
    <t>3_1643943781920657408</t>
  </si>
  <si>
    <t>3_1643943242784702465</t>
  </si>
  <si>
    <t>7_1650872455446003713</t>
  </si>
  <si>
    <t>3_1613144312333615106</t>
  </si>
  <si>
    <t>3_1611330629148319747</t>
  </si>
  <si>
    <t>3_1681670131439599616</t>
  </si>
  <si>
    <t>3_1683527456014123018</t>
  </si>
  <si>
    <t>3_1667135618814468098</t>
  </si>
  <si>
    <t>3_1623406240729554947</t>
  </si>
  <si>
    <t>3_1696854711712854016</t>
  </si>
  <si>
    <t>3_1696853991206899712</t>
  </si>
  <si>
    <t>3_1696853508295626752</t>
  </si>
  <si>
    <t>3_1671159662782320649</t>
  </si>
  <si>
    <t>3_1620044174606180354</t>
  </si>
  <si>
    <t>3_1619039924233150464</t>
  </si>
  <si>
    <t>3_1696536517584572416</t>
  </si>
  <si>
    <t>3_1670759414230405122</t>
  </si>
  <si>
    <t>3_1667290395342938112</t>
  </si>
  <si>
    <t>3_1661024378501599233</t>
  </si>
  <si>
    <t>3_1663336127279841281</t>
  </si>
  <si>
    <t>3_1663297079228104706</t>
  </si>
  <si>
    <t>3_1662214778834616323</t>
  </si>
  <si>
    <t>3_1661888128913666048</t>
  </si>
  <si>
    <t>3_1663720479088148481</t>
  </si>
  <si>
    <t>3_1663642890398998528</t>
  </si>
  <si>
    <t>3_1661770222557097985</t>
  </si>
  <si>
    <t>3_1661718657716609024</t>
  </si>
  <si>
    <t>3_1661149795170279424</t>
  </si>
  <si>
    <t>3_1661062746660651032</t>
  </si>
  <si>
    <t>7_1672342514857025536</t>
  </si>
  <si>
    <t>7_1672004093638762497</t>
  </si>
  <si>
    <t>7_1671628605103788032</t>
  </si>
  <si>
    <t>7_1671252370875990017</t>
  </si>
  <si>
    <t>7_1670242751978323971</t>
  </si>
  <si>
    <t>3_1664937213153386497</t>
  </si>
  <si>
    <t>3_1664255648349970432</t>
  </si>
  <si>
    <t>7_1673790611277611008</t>
  </si>
  <si>
    <t>7_1673477521667399686</t>
  </si>
  <si>
    <t>7_1673436486589399040</t>
  </si>
  <si>
    <t>3_1665763409877401603</t>
  </si>
  <si>
    <t>3_1665511314477793280</t>
  </si>
  <si>
    <t>3_1660078215098974210</t>
  </si>
  <si>
    <t>3_1659952008181194752</t>
  </si>
  <si>
    <t>3_1659363121713102854</t>
  </si>
  <si>
    <t>3_1659227326209556481</t>
  </si>
  <si>
    <t>7_1674956626996998146</t>
  </si>
  <si>
    <t>3_1666815122004926464</t>
  </si>
  <si>
    <t>3_1666545885013000195</t>
  </si>
  <si>
    <t>3_1666487542345080832</t>
  </si>
  <si>
    <t>3_1658993791322279936</t>
  </si>
  <si>
    <t>3_1658799396748763137</t>
  </si>
  <si>
    <t>3_1658627904744353795</t>
  </si>
  <si>
    <t>3_1658510257629409280</t>
  </si>
  <si>
    <t>7_1670959688123392001</t>
  </si>
  <si>
    <t>7_1669298087729168385</t>
  </si>
  <si>
    <t>3_1668727019729825797</t>
  </si>
  <si>
    <t>3_1668619518946709506</t>
  </si>
  <si>
    <t>3_1664047329429553152</t>
  </si>
  <si>
    <t>3_1664004569146224643</t>
  </si>
  <si>
    <t>7_1674221409076224005</t>
  </si>
  <si>
    <t>7_1669082980076093448</t>
  </si>
  <si>
    <t>7_1668946421892956160</t>
  </si>
  <si>
    <t>7_1668351933415841814</t>
  </si>
  <si>
    <t>3_1667716880230907906</t>
  </si>
  <si>
    <t>3_1667264949582741504</t>
  </si>
  <si>
    <t>3_1685998870117965825</t>
  </si>
  <si>
    <t>3_1611184795148587009</t>
  </si>
  <si>
    <t>3_1600527452434055170 3_1600527452459225088 3_1600527452459208705</t>
  </si>
  <si>
    <t>7_1615436110284394498</t>
  </si>
  <si>
    <t>3_1612500098658844672 3_1612500098981761043 3_1612500099250196506 3_1612500099430551564</t>
  </si>
  <si>
    <t>7_1600525520294264834</t>
  </si>
  <si>
    <t>3_1600166460873216001 3_1600166461015744519</t>
  </si>
  <si>
    <t>7_1624036915430232066</t>
  </si>
  <si>
    <t>3_1620848129078591496 3_1620848130123071488 3_1620848130399797260 3_1620848131255435273</t>
  </si>
  <si>
    <t>7_1613901027605880832</t>
  </si>
  <si>
    <t>3_1629580771240312832</t>
  </si>
  <si>
    <t>7_1648840425506054144</t>
  </si>
  <si>
    <t>3_1671238989523681280</t>
  </si>
  <si>
    <t>7_1668751059844493313</t>
  </si>
  <si>
    <t>3_1638945277213114368 3_1638945277208829958</t>
  </si>
  <si>
    <t>3_1626326025457082371</t>
  </si>
  <si>
    <t>3_1615354030619873280</t>
  </si>
  <si>
    <t>3_1615318604647366659</t>
  </si>
  <si>
    <t>3_1615070711445438465</t>
  </si>
  <si>
    <t>3_1615046674417651724</t>
  </si>
  <si>
    <t>3_1614659617878851585</t>
  </si>
  <si>
    <t>3_1625440359865098242</t>
  </si>
  <si>
    <t>3_1624749016918417408</t>
  </si>
  <si>
    <t>3_1624468125402947584</t>
  </si>
  <si>
    <t>3_1624384885967167490</t>
  </si>
  <si>
    <t>7_1623698899658502144</t>
  </si>
  <si>
    <t>3_1623270405652840449</t>
  </si>
  <si>
    <t>3_1622917149919481856</t>
  </si>
  <si>
    <t>3_1622567969208340480</t>
  </si>
  <si>
    <t>3_1621662191467241474</t>
  </si>
  <si>
    <t>3_1620730598284222464</t>
  </si>
  <si>
    <t>3_1620568634614599680</t>
  </si>
  <si>
    <t>7_1620536563984646145</t>
  </si>
  <si>
    <t>7_1620429256483274755</t>
  </si>
  <si>
    <t>3_1620390181470715904</t>
  </si>
  <si>
    <t>3_1620181655074881539</t>
  </si>
  <si>
    <t>7_1620095703518248960</t>
  </si>
  <si>
    <t>7_1620049205547909120</t>
  </si>
  <si>
    <t>3_1620011146592882688</t>
  </si>
  <si>
    <t>3_1619671483873214465</t>
  </si>
  <si>
    <t>3_1618939132650086402</t>
  </si>
  <si>
    <t>3_1618014762192834562</t>
  </si>
  <si>
    <t>3_1617852648044040193</t>
  </si>
  <si>
    <t>3_1617540098551173122</t>
  </si>
  <si>
    <t>3_1617188248601632768</t>
  </si>
  <si>
    <t>7_1628415722039742468</t>
  </si>
  <si>
    <t>3_1654461334392561667</t>
  </si>
  <si>
    <t>3_1653020756714967040</t>
  </si>
  <si>
    <t>3_1651202053610274819</t>
  </si>
  <si>
    <t>3_1650840478592520192</t>
  </si>
  <si>
    <t>3_1647939668497801217</t>
  </si>
  <si>
    <t>3_1676206251246600192</t>
  </si>
  <si>
    <t>3_1663526762779639810</t>
  </si>
  <si>
    <t>3_1663178084403609600</t>
  </si>
  <si>
    <t>3_1663163399176351753</t>
  </si>
  <si>
    <t>3_1662077071739301888</t>
  </si>
  <si>
    <t>3_1649396626522357773</t>
  </si>
  <si>
    <t>3_1649034429484916737</t>
  </si>
  <si>
    <t>3_1648664111847206913</t>
  </si>
  <si>
    <t>3_1648312437811163136</t>
  </si>
  <si>
    <t>3_1669314963930861568</t>
  </si>
  <si>
    <t>3_1668604261284839424</t>
  </si>
  <si>
    <t>3_1663891083380551681</t>
  </si>
  <si>
    <t>3_1661349640380317696</t>
  </si>
  <si>
    <t>3_1654098073092595718</t>
  </si>
  <si>
    <t>3_1651926561778434048</t>
  </si>
  <si>
    <t>3_1651566444155486208</t>
  </si>
  <si>
    <t>3_1646850440796024833</t>
  </si>
  <si>
    <t>3_1646573121887928320</t>
  </si>
  <si>
    <t>3_1646570718488928257</t>
  </si>
  <si>
    <t>3_1646552634214567936</t>
  </si>
  <si>
    <t>3_1646216922487291904</t>
  </si>
  <si>
    <t>3_1675841050068373509</t>
  </si>
  <si>
    <t>3_1668958653301288960</t>
  </si>
  <si>
    <t>3_1668235715019169793</t>
  </si>
  <si>
    <t>3_1653734809422778370</t>
  </si>
  <si>
    <t>3_1653370798680276993</t>
  </si>
  <si>
    <t>3_1650484355725242370</t>
  </si>
  <si>
    <t>3_1679099941396815872</t>
  </si>
  <si>
    <t>3_1678750205896695808</t>
  </si>
  <si>
    <t>3_1656275492113199104</t>
  </si>
  <si>
    <t>3_1655912210827296769</t>
  </si>
  <si>
    <t>3_1655547979003043849</t>
  </si>
  <si>
    <t>3_1678385995526332417</t>
  </si>
  <si>
    <t>3_1669677781079187458</t>
  </si>
  <si>
    <t>3_1665095537043832832</t>
  </si>
  <si>
    <t>3_1665079418081951744</t>
  </si>
  <si>
    <t>3_1664605319501078530</t>
  </si>
  <si>
    <t>3_1664241052146860035</t>
  </si>
  <si>
    <t>3_1657004517831897088</t>
  </si>
  <si>
    <t>3_1656641231420633091</t>
  </si>
  <si>
    <t>3_1679827065384718336</t>
  </si>
  <si>
    <t>3_1679462736755818497</t>
  </si>
  <si>
    <t>3_1666416858268934144</t>
  </si>
  <si>
    <t>3_1666066525583802368</t>
  </si>
  <si>
    <t>3_1665700392124968962</t>
  </si>
  <si>
    <t>3_1660620780294512641</t>
  </si>
  <si>
    <t>3_1659531112702521346</t>
  </si>
  <si>
    <t>3_1681272303126999047</t>
  </si>
  <si>
    <t>3_1674756264503508992</t>
  </si>
  <si>
    <t>3_1674407651017629699</t>
  </si>
  <si>
    <t>3_1667148502885859330</t>
  </si>
  <si>
    <t>3_1666964052424155136</t>
  </si>
  <si>
    <t>3_1666786296625258498</t>
  </si>
  <si>
    <t>3_1658818942431899648</t>
  </si>
  <si>
    <t>3_1658082202008035333</t>
  </si>
  <si>
    <t>3_1632803327443447808</t>
  </si>
  <si>
    <t>7_1631370131417755649</t>
  </si>
  <si>
    <t>7_1647262165240369153</t>
  </si>
  <si>
    <t>7_1662439591998115840</t>
  </si>
  <si>
    <t>3_1613324270980956162</t>
  </si>
  <si>
    <t>7_1615418682133385246</t>
  </si>
  <si>
    <t>3_1644885347380211712</t>
  </si>
  <si>
    <t>3_1658435627937935362</t>
  </si>
  <si>
    <t>7_1660420956861485058</t>
  </si>
  <si>
    <t>7_1660373558973943808</t>
  </si>
  <si>
    <t>3_1661050245168480267</t>
  </si>
  <si>
    <t>3_1673109077998567424</t>
  </si>
  <si>
    <t>7_1626240279153094656</t>
  </si>
  <si>
    <t>3_1667299071873146881</t>
  </si>
  <si>
    <t>3_1676282409845661698</t>
  </si>
  <si>
    <t>3_1688515365477797888</t>
  </si>
  <si>
    <t>7_1676942781061775361</t>
  </si>
  <si>
    <t>7_1685008540807704578</t>
  </si>
  <si>
    <t>7_1681730922901544961</t>
  </si>
  <si>
    <t>7_1677444259127984128</t>
  </si>
  <si>
    <t>7_1686150868574343168</t>
  </si>
  <si>
    <t>7_1678402120138072065</t>
  </si>
  <si>
    <t>7_1678163190851465216</t>
  </si>
  <si>
    <t>7_1678153036634501121</t>
  </si>
  <si>
    <t>7_1678110070842744833</t>
  </si>
  <si>
    <t>7_1678101582276173825</t>
  </si>
  <si>
    <t>3_1678079492504313856</t>
  </si>
  <si>
    <t>7_1688931342564683776</t>
  </si>
  <si>
    <t>7_1688919133944160258</t>
  </si>
  <si>
    <t>3_1685805292372586496</t>
  </si>
  <si>
    <t>7_1682916964996464640</t>
  </si>
  <si>
    <t>7_1694058516091133955</t>
  </si>
  <si>
    <t>7_1689027040601677825</t>
  </si>
  <si>
    <t>7_1688941613274353664</t>
  </si>
  <si>
    <t>3_1686523497919524864</t>
  </si>
  <si>
    <t>7_1681077830048776192</t>
  </si>
  <si>
    <t>7_1698654179915390976</t>
  </si>
  <si>
    <t>7_1698436176691011584</t>
  </si>
  <si>
    <t>7_1698401581442465792</t>
  </si>
  <si>
    <t>7_1698367030489948160</t>
  </si>
  <si>
    <t>7_1684613540122853392</t>
  </si>
  <si>
    <t>7_1683976485160321026</t>
  </si>
  <si>
    <t>3_1661790357871362053</t>
  </si>
  <si>
    <t>3_1658811531843305474</t>
  </si>
  <si>
    <t>3_1686361422169595904</t>
  </si>
  <si>
    <t>3_1655478625804644352</t>
  </si>
  <si>
    <t>3_1696298201190473729 3_1696298213278461952</t>
  </si>
  <si>
    <t>3_1685689898638901249</t>
  </si>
  <si>
    <t>3_1699128194228502528</t>
  </si>
  <si>
    <t>3_1610954304214401024</t>
  </si>
  <si>
    <t>3_1615715392571281409</t>
  </si>
  <si>
    <t>3_1641881984518553602</t>
  </si>
  <si>
    <t>3_1635248382636589058</t>
  </si>
  <si>
    <t>3_1628385844443611137 3_1628385844460503041 3_1628385844464680961 3_1628385844439527427</t>
  </si>
  <si>
    <t>3_1683859785043652608</t>
  </si>
  <si>
    <t>3_1616052929470889984</t>
  </si>
  <si>
    <t>3_1610946009600868354</t>
  </si>
  <si>
    <t>3_1638919646253293572 3_1638919646261792776 3_1638919646261780480 3_1638919646265987072</t>
  </si>
  <si>
    <t>3_1638918816032776195</t>
  </si>
  <si>
    <t>3_1615032577143734278</t>
  </si>
  <si>
    <t>7_1613949693330952199</t>
  </si>
  <si>
    <t>3_1610363814335201281</t>
  </si>
  <si>
    <t>3_1621265004409266180</t>
  </si>
  <si>
    <t>3_1631664764953690113</t>
  </si>
  <si>
    <t>3_1637804933788344322</t>
  </si>
  <si>
    <t>3_1620834811156828160</t>
  </si>
  <si>
    <t>3_1620782728894365703</t>
  </si>
  <si>
    <t>3_1615428289257955333</t>
  </si>
  <si>
    <t>3_1641806595276304386</t>
  </si>
  <si>
    <t>3_1621598592287838209</t>
  </si>
  <si>
    <t>3_1635255084425568256</t>
  </si>
  <si>
    <t>3_1606399095278559233</t>
  </si>
  <si>
    <t>3_1670889604931547139 3_1670889642151800858 3_1670889655263195162 3_1670889669536411665</t>
  </si>
  <si>
    <t>7_1700164543001825280</t>
  </si>
  <si>
    <t>7_1630637029158469650</t>
  </si>
  <si>
    <t>7_1649420025269305347</t>
  </si>
  <si>
    <t>7_1667527801920954369</t>
  </si>
  <si>
    <t>7_1653489112408530946</t>
  </si>
  <si>
    <t>7_1649860961795284995</t>
  </si>
  <si>
    <t>3_1619093879877148672</t>
  </si>
  <si>
    <t>3_1676962048419430400</t>
  </si>
  <si>
    <t>3_1698273297119477760</t>
  </si>
  <si>
    <t>7_1624926430327865344</t>
  </si>
  <si>
    <t>3_1628580696653549574</t>
  </si>
  <si>
    <t>3_1650745964339052545</t>
  </si>
  <si>
    <t>3_1660508212582383617</t>
  </si>
  <si>
    <t>3_1659562272790921217 3_1659562272539254789 3_1659562272702775296</t>
  </si>
  <si>
    <t>3_1659182383273222149 3_1659182383264923649 3_1659182382958669830 3_1659182382879064064</t>
  </si>
  <si>
    <t>3_1658831990089457667</t>
  </si>
  <si>
    <t>3_1658458429369745408</t>
  </si>
  <si>
    <t>16_1671863769138339844</t>
  </si>
  <si>
    <t>3_1676229538181677057 3_1676229538160734210 3_1676229538261368835 3_1676229538261479425</t>
  </si>
  <si>
    <t>3_1643299785871446016</t>
  </si>
  <si>
    <t>3_1643296171379548168</t>
  </si>
  <si>
    <t>3_1683510387424075777 3_1683510387423997952 3_1683510387423977474 3_1683510387436601347</t>
  </si>
  <si>
    <t>7_1609870604915597313</t>
  </si>
  <si>
    <t>7_1613139896301928449</t>
  </si>
  <si>
    <t>7_1610598981905661952</t>
  </si>
  <si>
    <t>7_1613014931506434053</t>
  </si>
  <si>
    <t>7_1616541182904991773</t>
  </si>
  <si>
    <t>3_1646147627912708096 3_1646147628889956352 3_1646147629783367680 3_1646147631041638400</t>
  </si>
  <si>
    <t>3_1679113575909019650</t>
  </si>
  <si>
    <t>3_1674168373532405761</t>
  </si>
  <si>
    <t>3_1682450487465988116</t>
  </si>
  <si>
    <t>3_1692597346536714240</t>
  </si>
  <si>
    <t>3_1697670757533278208</t>
  </si>
  <si>
    <t>3_1691925395816226816</t>
  </si>
  <si>
    <t>3_1687523913448771589</t>
  </si>
  <si>
    <t>3_1700207453189672960</t>
  </si>
  <si>
    <t>3_1699535518017400832</t>
  </si>
  <si>
    <t>3_1695134052855033856</t>
  </si>
  <si>
    <t>3_1690060627996299264</t>
  </si>
  <si>
    <t>3_1684987193993900036</t>
  </si>
  <si>
    <t>3_1677377031716102158</t>
  </si>
  <si>
    <t>3_1676705084141367298</t>
  </si>
  <si>
    <t>7_1688933612358701056</t>
  </si>
  <si>
    <t>3_1623768528196190209</t>
  </si>
  <si>
    <t>7_1613527474918285312</t>
  </si>
  <si>
    <t>7_1613268291056705536</t>
  </si>
  <si>
    <t>7_1612902375836061696</t>
  </si>
  <si>
    <t>7_1612539852880216065</t>
  </si>
  <si>
    <t>3_1654278832352899072</t>
  </si>
  <si>
    <t>3_1654236186678894595</t>
  </si>
  <si>
    <t>7_1654616998704234500</t>
  </si>
  <si>
    <t>3_1654174553487048730</t>
  </si>
  <si>
    <t>3_1693391624640864256</t>
  </si>
  <si>
    <t>3_1657138460677865472 3_1657138460585611265</t>
  </si>
  <si>
    <t>3_1693742353008250880</t>
  </si>
  <si>
    <t>3_1676969456474685440</t>
  </si>
  <si>
    <t>3_1676199352425934849</t>
  </si>
  <si>
    <t>3_1679460853995773958</t>
  </si>
  <si>
    <t>3_1678851536007450624</t>
  </si>
  <si>
    <t>3_1678422888045592578</t>
  </si>
  <si>
    <t>3_1681384130884272138</t>
  </si>
  <si>
    <t>3_1674387411533459463</t>
  </si>
  <si>
    <t>3_1681693151440822272</t>
  </si>
  <si>
    <t>3_1660989252165943297</t>
  </si>
  <si>
    <t>3_1623273356517580803</t>
  </si>
  <si>
    <t>3_1613518474063630339</t>
  </si>
  <si>
    <t>3_1639266036842110978</t>
  </si>
  <si>
    <t>3_1668905906145226755</t>
  </si>
  <si>
    <t>3_1623316808609546242</t>
  </si>
  <si>
    <t>3_1700552896360644608</t>
  </si>
  <si>
    <t>3_1700557807689289728</t>
  </si>
  <si>
    <t>3_1700550278519386112</t>
  </si>
  <si>
    <t>3_1700551699083956224</t>
  </si>
  <si>
    <t>3_1700556140113743872</t>
  </si>
  <si>
    <t>3_1644384696086691868</t>
  </si>
  <si>
    <t>3_1648370977280077824</t>
  </si>
  <si>
    <t>7_1661462311356317697</t>
  </si>
  <si>
    <t>3_1609916567894065153</t>
  </si>
  <si>
    <t>3_1677306471325769729</t>
  </si>
  <si>
    <t>3_1690306595777896449</t>
  </si>
  <si>
    <t>3_1690151177374097408 16_1690151180159049728</t>
  </si>
  <si>
    <t>7_1638992401594195968</t>
  </si>
  <si>
    <t>7_1631648106797498369</t>
  </si>
  <si>
    <t>7_1633885619179929602</t>
  </si>
  <si>
    <t>7_1634588579312566273</t>
  </si>
  <si>
    <t>7_1643324480477904901</t>
  </si>
  <si>
    <t>7_1650212943714308099</t>
  </si>
  <si>
    <t>7_1617652906404057088</t>
  </si>
  <si>
    <t>3_1665463245610549248</t>
  </si>
  <si>
    <t>3_1659598735410708503</t>
  </si>
  <si>
    <t>3_1622709329114660869 3_1622709329097883664 3_1622709329089511424</t>
  </si>
  <si>
    <t>3_1626323314896523269 3_1626323314854461442</t>
  </si>
  <si>
    <t>3_1625642836082274304 3_1625642836065394689 3_1625642836069605376</t>
  </si>
  <si>
    <t>3_1616216628168998913 3_1616216628160520193</t>
  </si>
  <si>
    <t>3_1615849622240477185 3_1615849622232088578</t>
  </si>
  <si>
    <t>3_1613242290473951233</t>
  </si>
  <si>
    <t>3_1611022339386261505</t>
  </si>
  <si>
    <t>3_1610759724177231882</t>
  </si>
  <si>
    <t>3_1615454137306554395 3_1615454137310748684 3_1615454137314943005 3_1615454137298157569</t>
  </si>
  <si>
    <t>3_1615454129987493910 3_1615454129970716677 3_1615454130008465414</t>
  </si>
  <si>
    <t>3_1629234833992851456 3_1629234833980260353 3_1629234834584268802 3_1629234834575949827</t>
  </si>
  <si>
    <t>3_1629234815038889984</t>
  </si>
  <si>
    <t>3_1628871369701134337 3_1628871369692704769</t>
  </si>
  <si>
    <t>3_1610029563597275136</t>
  </si>
  <si>
    <t>3_1621271224050393088 3_1621271224046260225 3_1621271224063082498 3_1621271224067170305</t>
  </si>
  <si>
    <t>3_1620572918215331842 3_1620572918223601668 3_1620572918232006657 3_1620572918223720453</t>
  </si>
  <si>
    <t>3_1620572908610355205 3_1620572908631343108 3_1620572908618715137</t>
  </si>
  <si>
    <t>3_1617999332736749601 3_1617999332606726145 3_1617999332724166669 3_1617999332623503363</t>
  </si>
  <si>
    <t>3_1617999323765133342 3_1617999323760939035 3_1617999323756744730</t>
  </si>
  <si>
    <t>3_1625642826225668096 3_1625642826238156800 3_1625642826225549312</t>
  </si>
  <si>
    <t>3_1616972668770607105</t>
  </si>
  <si>
    <t>16_1642099281984192512</t>
  </si>
  <si>
    <t>3_1642196328582135810 3_1642196328557027328</t>
  </si>
  <si>
    <t>3_1654201510505467906 3_1654201541501374489</t>
  </si>
  <si>
    <t>3_1637128648548294657 3_1637128662053969928</t>
  </si>
  <si>
    <t>3_1634967965358497796 3_1634967965371097088</t>
  </si>
  <si>
    <t>3_1638959142017593361 3_1638959142013399064</t>
  </si>
  <si>
    <t>3_1649117200190406668 3_1649117209791168513</t>
  </si>
  <si>
    <t>3_1688940996845764608 3_1688940996850049025</t>
  </si>
  <si>
    <t>3_1665805785065041920 3_1665805785060761600</t>
  </si>
  <si>
    <t>3_1668683880742678528 3_1668684029829296129 3_1668684111651676174 3_1668684124725321740</t>
  </si>
  <si>
    <t>3_1678857593282756615 3_1678857593278672898 3_1678857593287000064</t>
  </si>
  <si>
    <t>3_1638240265528832012 3_1638240265562386440 3_1638240265549885441 3_1638240265541505024</t>
  </si>
  <si>
    <t>3_1680989189779730432 3_1680989189775474690 3_1680989222994321408</t>
  </si>
  <si>
    <t>3_1682415901637857281</t>
  </si>
  <si>
    <t>3_1678412835213148160</t>
  </si>
  <si>
    <t>3_1643291591010836488 3_1643291590985764867 3_1643291590998253576</t>
  </si>
  <si>
    <t>3_1641821045651898370 3_1641821045647613953 3_1641821045656018945 3_1641821045664407552</t>
  </si>
  <si>
    <t>3_1689660346649231360 3_1689660346644979712 3_1689660346657570817 3_1689660386495148032</t>
  </si>
  <si>
    <t>3_1676282679707181063 3_1676282679732445184</t>
  </si>
  <si>
    <t>3_1679605786094317568</t>
  </si>
  <si>
    <t>3_1673349326091833344</t>
  </si>
  <si>
    <t>3_1659247747348693023</t>
  </si>
  <si>
    <t>3_1696245081911492608</t>
  </si>
  <si>
    <t>3_1612441834675904512</t>
  </si>
  <si>
    <t>3_1609523597952819200</t>
  </si>
  <si>
    <t>3_1605575183368085504</t>
  </si>
  <si>
    <t>3_1625506505335136257</t>
  </si>
  <si>
    <t>3_1617994466131955739 3_1617994466047967232</t>
  </si>
  <si>
    <t>7_1624056962575998976</t>
  </si>
  <si>
    <t>3_1656271555242909699</t>
  </si>
  <si>
    <t>3_1677022570963427349</t>
  </si>
  <si>
    <t>3_1613155117913481216</t>
  </si>
  <si>
    <t>7_1612524727121108993</t>
  </si>
  <si>
    <t>7_1612162266853527557</t>
  </si>
  <si>
    <t>3_1655451077641224192</t>
  </si>
  <si>
    <t>3_1657110949554278425</t>
  </si>
  <si>
    <t>13_1674185878233833473</t>
  </si>
  <si>
    <t>3_1643373709829324802</t>
  </si>
  <si>
    <t>3_1613818734061228033</t>
  </si>
  <si>
    <t>3_1645455805796212737 3_1645455805859131394 3_1645455805968273408 3_1645455806047956992</t>
  </si>
  <si>
    <t>3_1642272694304481283</t>
  </si>
  <si>
    <t>3_1666508313427673089</t>
  </si>
  <si>
    <t>3_1681272794317815811</t>
  </si>
  <si>
    <t>3_1680990807736692736</t>
  </si>
  <si>
    <t>3_1671888374561660931</t>
  </si>
  <si>
    <t>3_1640368524064333824 3_1640368527268773889 3_1640368529915379712 3_1640368533014970368</t>
  </si>
  <si>
    <t>7_1643266546951659521</t>
  </si>
  <si>
    <t>3_1637016045352280065</t>
  </si>
  <si>
    <t>7_1669770813107478528</t>
  </si>
  <si>
    <t>3_1684301097354113024</t>
  </si>
  <si>
    <t>3_1664689048269594624</t>
  </si>
  <si>
    <t>3_1629812716683640835 3_1629812721171529737</t>
  </si>
  <si>
    <t>3_1628485808255541248 3_1628485812693217287</t>
  </si>
  <si>
    <t>3_1628035335039901698 3_1628035342698745867</t>
  </si>
  <si>
    <t>3_1683514532998651918 3_1683514533007040512</t>
  </si>
  <si>
    <t>3_1634328884287094787</t>
  </si>
  <si>
    <t>3_1635300686991888386</t>
  </si>
  <si>
    <t>3_1659239564479717381</t>
  </si>
  <si>
    <t>3_1648772800507682819</t>
  </si>
  <si>
    <t>3_1648769844555268096</t>
  </si>
  <si>
    <t>3_1656705761714610176</t>
  </si>
  <si>
    <t>3_1656705488011116548</t>
  </si>
  <si>
    <t>3_1656705222129991706</t>
  </si>
  <si>
    <t>7_1637942671560921090</t>
  </si>
  <si>
    <t>7_1623088767304187904</t>
  </si>
  <si>
    <t>3_1622996337561309184</t>
  </si>
  <si>
    <t>3_1649406890827194370</t>
  </si>
  <si>
    <t>7_1666883448374427655</t>
  </si>
  <si>
    <t>7_1620596808417247235</t>
  </si>
  <si>
    <t>3_1666104370516164609</t>
  </si>
  <si>
    <t>3_1625895965608620041</t>
  </si>
  <si>
    <t>3_1675129323991314433</t>
  </si>
  <si>
    <t>3_1654969491598573568</t>
  </si>
  <si>
    <t>3_1623705440998551557 3_1623705444916031490</t>
  </si>
  <si>
    <t>3_1651659105310744587</t>
  </si>
  <si>
    <t>3_1656423898550812678 3_1656423901361045507 3_1656423904238288897 3_1656423907711131650</t>
  </si>
  <si>
    <t>3_1649409411465596932</t>
  </si>
  <si>
    <t>7_1653456048836038657</t>
  </si>
  <si>
    <t>7_1637040153632858113</t>
  </si>
  <si>
    <t>3_1643312761185632258</t>
  </si>
  <si>
    <t>3_1644087505598160901</t>
  </si>
  <si>
    <t>3_1643732103509549056</t>
  </si>
  <si>
    <t>3_1645457252432658440</t>
  </si>
  <si>
    <t>3_1646575327945129992</t>
  </si>
  <si>
    <t>3_1666543437666033671</t>
  </si>
  <si>
    <t>3_1645068421766295552</t>
  </si>
  <si>
    <t>3_1642289333733392388</t>
  </si>
  <si>
    <t>3_1638869598979215361</t>
  </si>
  <si>
    <t>3_1666735914066890759</t>
  </si>
  <si>
    <t>3_1638919446554083329</t>
  </si>
  <si>
    <t>3_1689388062390763522</t>
  </si>
  <si>
    <t>3_1638224626403639296</t>
  </si>
  <si>
    <t>3_1669508195050569728</t>
  </si>
  <si>
    <t>3_1679168185159892993</t>
  </si>
  <si>
    <t>3_1656773885742727170 3_1656773885616898049</t>
  </si>
  <si>
    <t>3_1688568892417875969</t>
  </si>
  <si>
    <t>7_1678388365467480065</t>
  </si>
  <si>
    <t>7_1693648054392410112</t>
  </si>
  <si>
    <t>7_1673738417048256512</t>
  </si>
  <si>
    <t>7_1666181825989861376</t>
  </si>
  <si>
    <t>7_1660403601636831237</t>
  </si>
  <si>
    <t>7_1673011083118891008</t>
  </si>
  <si>
    <t>3_1690407119822987264 3_1690407119831363586 3_1690407119986536451 3_1690407120280137728</t>
  </si>
  <si>
    <t>3_1670624894214701056</t>
  </si>
  <si>
    <t>3_1685011186398453761</t>
  </si>
  <si>
    <t>7_1688671713138003969</t>
  </si>
  <si>
    <t>7_1690111104318320642</t>
  </si>
  <si>
    <t>7_1665524877078544387</t>
  </si>
  <si>
    <t>7_1668386423211212800</t>
  </si>
  <si>
    <t>3_1658514467070541825</t>
  </si>
  <si>
    <t>3_1660669930117779457</t>
  </si>
  <si>
    <t>3_1644354756654030849</t>
  </si>
  <si>
    <t>3_1661118462465286168 3_1661118465694900260</t>
  </si>
  <si>
    <t>3_1670915399397851139</t>
  </si>
  <si>
    <t>3_1688631446385127425</t>
  </si>
  <si>
    <t>3_1667162293870657537</t>
  </si>
  <si>
    <t>7_1676205722646839297</t>
  </si>
  <si>
    <t>3_1665665446660415490</t>
  </si>
  <si>
    <t>3_1666866089387515904</t>
  </si>
  <si>
    <t>3_1675121346060374017</t>
  </si>
  <si>
    <t>7_1665469865728131074</t>
  </si>
  <si>
    <t>3_1681740306679463936</t>
  </si>
  <si>
    <t>7_1685794940545052673</t>
  </si>
  <si>
    <t>7_1664696055798149120</t>
  </si>
  <si>
    <t>7_1687934589967228929</t>
  </si>
  <si>
    <t>7_1686792035397758997</t>
  </si>
  <si>
    <t>7_1681329755667177473</t>
  </si>
  <si>
    <t>3_1614025271954313220</t>
  </si>
  <si>
    <t>7_1655538258669981697</t>
  </si>
  <si>
    <t>7_1655281073226383360</t>
  </si>
  <si>
    <t>3_1618560788507000832</t>
  </si>
  <si>
    <t>3_1612912746734952470</t>
  </si>
  <si>
    <t>3_1668261537566392322</t>
  </si>
  <si>
    <t>3_1694534134650081280</t>
  </si>
  <si>
    <t>7_1661311477003833347</t>
  </si>
  <si>
    <t>7_1679427360976777218</t>
  </si>
  <si>
    <t>7_1659552773556297728</t>
  </si>
  <si>
    <t>7_1659552728874377216</t>
  </si>
  <si>
    <t>7_1694347873322745856</t>
  </si>
  <si>
    <t>3_1686852513671086083</t>
  </si>
  <si>
    <t>3_1656723940666900483</t>
  </si>
  <si>
    <t>3_1677839197699186689</t>
  </si>
  <si>
    <t>7_1650857131543875584</t>
  </si>
  <si>
    <t>3_1689481108092555265</t>
  </si>
  <si>
    <t>7_1648065573593534494</t>
  </si>
  <si>
    <t>3_1613605029272748038</t>
  </si>
  <si>
    <t>3_1690735484132007936</t>
  </si>
  <si>
    <t>3_1667548802453057542</t>
  </si>
  <si>
    <t>3_1667366075929968641</t>
  </si>
  <si>
    <t>3_1644481805855145986</t>
  </si>
  <si>
    <t>3_1646326783879380992</t>
  </si>
  <si>
    <t>7_1649023001080340481</t>
  </si>
  <si>
    <t>3_1684880837651951616</t>
  </si>
  <si>
    <t>3_1683241492930854915</t>
  </si>
  <si>
    <t>3_1679090546902458368</t>
  </si>
  <si>
    <t>3_1671114172925456384</t>
  </si>
  <si>
    <t>3_1685596698796560384</t>
  </si>
  <si>
    <t>3_1685248702309392384</t>
  </si>
  <si>
    <t>7_1685117722953179136</t>
  </si>
  <si>
    <t>3_1683975457652211712</t>
  </si>
  <si>
    <t>3_1681988656733593601</t>
  </si>
  <si>
    <t>3_1681970568768225280</t>
  </si>
  <si>
    <t>3_1681629811645480960</t>
  </si>
  <si>
    <t>3_1675815033295589376</t>
  </si>
  <si>
    <t>7_1674153873194229760</t>
  </si>
  <si>
    <t>3_1674015403306098693</t>
  </si>
  <si>
    <t>3_1689307881508651008</t>
  </si>
  <si>
    <t>3_1686752474244243457</t>
  </si>
  <si>
    <t>3_1686669031191855104</t>
  </si>
  <si>
    <t>3_1683836988515037184</t>
  </si>
  <si>
    <t>3_1683637030553616384</t>
  </si>
  <si>
    <t>3_1681253643180290048</t>
  </si>
  <si>
    <t>3_1681140269343703040</t>
  </si>
  <si>
    <t>3_1680907047385153536</t>
  </si>
  <si>
    <t>3_1680712840125067265</t>
  </si>
  <si>
    <t>3_1680524254826180609</t>
  </si>
  <si>
    <t>3_1674717115947917312</t>
  </si>
  <si>
    <t>3_1674387835120504833</t>
  </si>
  <si>
    <t>3_1694696803797463040</t>
  </si>
  <si>
    <t>3_1690310216405909504</t>
  </si>
  <si>
    <t>3_1689950862100062208</t>
  </si>
  <si>
    <t>3_1689607825549320193</t>
  </si>
  <si>
    <t>3_1684962879278129161</t>
  </si>
  <si>
    <t>7_1684621704830586880</t>
  </si>
  <si>
    <t>3_1684530781555662848</t>
  </si>
  <si>
    <t>3_1684258700708519941</t>
  </si>
  <si>
    <t>3_1677349034015481858</t>
  </si>
  <si>
    <t>3_1676922477950259200</t>
  </si>
  <si>
    <t>3_1676553289335205890</t>
  </si>
  <si>
    <t>3_1691558355557396481</t>
  </si>
  <si>
    <t>3_1688880963793653760</t>
  </si>
  <si>
    <t>3_1688855182027743233</t>
  </si>
  <si>
    <t>3_1685967977995284480</t>
  </si>
  <si>
    <t>3_1683262981692375040</t>
  </si>
  <si>
    <t>3_1683251513441890306</t>
  </si>
  <si>
    <t>3_1683194634070007817</t>
  </si>
  <si>
    <t>3_1683077014658469889</t>
  </si>
  <si>
    <t>7_1682915081007316996</t>
  </si>
  <si>
    <t>3_1680141810243457024</t>
  </si>
  <si>
    <t>3_1679789750859837444</t>
  </si>
  <si>
    <t>3_1679425696056201216</t>
  </si>
  <si>
    <t>3_1673662187099897858</t>
  </si>
  <si>
    <t>3_1673503957233070080</t>
  </si>
  <si>
    <t>3_1691406024370966528</t>
  </si>
  <si>
    <t>3_1691197012916523009</t>
  </si>
  <si>
    <t>3_1690836911043014658</t>
  </si>
  <si>
    <t>3_1688520051383578624</t>
  </si>
  <si>
    <t>3_1686342652009009152</t>
  </si>
  <si>
    <t>3_1682726465538781184</t>
  </si>
  <si>
    <t>3_1682364471438704640</t>
  </si>
  <si>
    <t>3_1678446874808786944</t>
  </si>
  <si>
    <t>3_1670775438266757120</t>
  </si>
  <si>
    <t>3_1670377324200574978</t>
  </si>
  <si>
    <t>3_1670128725373992961</t>
  </si>
  <si>
    <t>3_1701253860117860352</t>
  </si>
  <si>
    <t>3_1692134349691351040</t>
  </si>
  <si>
    <t>3_1688210191655804929</t>
  </si>
  <si>
    <t>3_1687765446357815297</t>
  </si>
  <si>
    <t>7_1687406431551537152</t>
  </si>
  <si>
    <t>3_1687398908698284032</t>
  </si>
  <si>
    <t>3_1687058928499146754</t>
  </si>
  <si>
    <t>3_1679284084961431553</t>
  </si>
  <si>
    <t>7_1678886707507212289</t>
  </si>
  <si>
    <t>3_1678731919188537345</t>
  </si>
  <si>
    <t>3_1673296094875328513</t>
  </si>
  <si>
    <t>3_1672994630705508352</t>
  </si>
  <si>
    <t>3_1672599834694434823</t>
  </si>
  <si>
    <t>3_1671928431200682011</t>
  </si>
  <si>
    <t>7_1695142611172937728</t>
  </si>
  <si>
    <t>7_1696521382627258368</t>
  </si>
  <si>
    <t>3_1614408518378848256</t>
  </si>
  <si>
    <t>7_1690740247468908544</t>
  </si>
  <si>
    <t>3_1651361638442737666</t>
  </si>
  <si>
    <t>3_1637065615117565957</t>
  </si>
  <si>
    <t>3_1630595275428446208</t>
  </si>
  <si>
    <t>3_1664021804174680064</t>
  </si>
  <si>
    <t>3_1628729006563500035</t>
  </si>
  <si>
    <t>3_1673732940516270080</t>
  </si>
  <si>
    <t>3_1681325957943115776</t>
  </si>
  <si>
    <t>3_1658518559771836416</t>
  </si>
  <si>
    <t>7_1629271989163634689</t>
  </si>
  <si>
    <t>3_1661749167264501760</t>
  </si>
  <si>
    <t>7_1661069703404572672</t>
  </si>
  <si>
    <t>3_1661039469611327488</t>
  </si>
  <si>
    <t>7_1616541185434157088</t>
  </si>
  <si>
    <t>7_1663606385861353473</t>
  </si>
  <si>
    <t>3_1662473955238723587</t>
  </si>
  <si>
    <t>3_1662111588042547201</t>
  </si>
  <si>
    <t>7_1648023712954810368</t>
  </si>
  <si>
    <t>7_1675127287082041345</t>
  </si>
  <si>
    <t>7_1669440951574581269</t>
  </si>
  <si>
    <t>7_1663878240337899521</t>
  </si>
  <si>
    <t>3_1661386771354071043</t>
  </si>
  <si>
    <t>7_1652010002314346502</t>
  </si>
  <si>
    <t>7_1651647610640277527</t>
  </si>
  <si>
    <t>3_1629949517918355457</t>
  </si>
  <si>
    <t>7_1680200763488731137</t>
  </si>
  <si>
    <t>7_1674749821230407680</t>
  </si>
  <si>
    <t>7_1674372341575438336</t>
  </si>
  <si>
    <t>7_1675474592050102274</t>
  </si>
  <si>
    <t>7_1674055249055690753</t>
  </si>
  <si>
    <t>7_1674025031695843331</t>
  </si>
  <si>
    <t>7_1653097180473827329</t>
  </si>
  <si>
    <t>7_1649518586824728580</t>
  </si>
  <si>
    <t>7_1679898735701106688</t>
  </si>
  <si>
    <t>7_1679883613398073346</t>
  </si>
  <si>
    <t>7_1679868542479482881</t>
  </si>
  <si>
    <t>7_1679566530676158464</t>
  </si>
  <si>
    <t>7_1679521219299639298</t>
  </si>
  <si>
    <t>7_1679506136364359681</t>
  </si>
  <si>
    <t>7_1679475949123796992</t>
  </si>
  <si>
    <t>7_1673828727703085057</t>
  </si>
  <si>
    <t>7_1673707936277831682</t>
  </si>
  <si>
    <t>7_1673677740841607172</t>
  </si>
  <si>
    <t>7_1673451312636125185</t>
  </si>
  <si>
    <t>7_1673330472179453954</t>
  </si>
  <si>
    <t>7_1673300261362708482</t>
  </si>
  <si>
    <t>3_1660661994259718148</t>
  </si>
  <si>
    <t>7_1679173959516930067</t>
  </si>
  <si>
    <t>7_1679143754005897219</t>
  </si>
  <si>
    <t>7_1679128662292021251</t>
  </si>
  <si>
    <t>7_1679113574025768973</t>
  </si>
  <si>
    <t>7_1678796443182682112</t>
  </si>
  <si>
    <t>7_1678781386013155329</t>
  </si>
  <si>
    <t>7_1678751173753425920</t>
  </si>
  <si>
    <t>7_1673073768242053124</t>
  </si>
  <si>
    <t>7_1672952989605142539</t>
  </si>
  <si>
    <t>7_1672922781669810178</t>
  </si>
  <si>
    <t>7_1672575456413974528</t>
  </si>
  <si>
    <t>7_1654546686851653632</t>
  </si>
  <si>
    <t>7_1678449160519917568</t>
  </si>
  <si>
    <t>7_1678434088024244224</t>
  </si>
  <si>
    <t>7_1678418970846560260</t>
  </si>
  <si>
    <t>3_1642294062605561857</t>
  </si>
  <si>
    <t>7_1625547827072974879</t>
  </si>
  <si>
    <t>3_1624051391315451915</t>
  </si>
  <si>
    <t>3_1672041686380294147</t>
  </si>
  <si>
    <t>3_1615726816601202690</t>
  </si>
  <si>
    <t>7_1693136233004679169</t>
  </si>
  <si>
    <t>3_1663481890353864704</t>
  </si>
  <si>
    <t>7_1610394536647221249</t>
  </si>
  <si>
    <t>3_1627732403128045568 3_1627732403102908416 3_1627732403123892224 3_1627732403102879759</t>
  </si>
  <si>
    <t>3_1627052060075077632 3_1627052060070887424 3_1627052060066578432 3_1627052060054065152</t>
  </si>
  <si>
    <t>3_1644732710869426178 3_1644732710861127680 3_1644732710861123585 3_1644732710873694208</t>
  </si>
  <si>
    <t>3_1624405916383686657 3_1624405916383604737 3_1624405916392071168 3_1624405916408856578</t>
  </si>
  <si>
    <t>3_1653916319698284545 3_1653916319710957568 3_1653916319698280448 3_1653916319706755076</t>
  </si>
  <si>
    <t>3_1651379853889773571 3_1651379853927563271 3_1651379853877280768 3_1651379853881376768</t>
  </si>
  <si>
    <t>3_1634637648831684608 3_1634637648848461826 3_1634637648835883008 3_1634637648831606786</t>
  </si>
  <si>
    <t>3_1629514143693778945 3_1629514143697960962 3_1629514143693766656 3_1629514143706275841</t>
  </si>
  <si>
    <t>7_1661178498881409028</t>
  </si>
  <si>
    <t>7_1647041500759437312</t>
  </si>
  <si>
    <t>3_1637150731814723586 3_1637150731819012097 3_1637150731810623488 3_1637150731823206401</t>
  </si>
  <si>
    <t>3_1667154956267274240 3_1667154956267184131 3_1667154956258877441 3_1667154956262993920</t>
  </si>
  <si>
    <t>3_1621928217660588035 3_1621928217673191424 3_1621928217723506689 3_1621928217668894720</t>
  </si>
  <si>
    <t>3_1684229992538943490</t>
  </si>
  <si>
    <t>7_1648986816547045377</t>
  </si>
  <si>
    <t>3_1632110917495275521 3_1632110917491077122 3_1632110917486878721 3_1632110917478481922</t>
  </si>
  <si>
    <t>3_1669024748775383048</t>
  </si>
  <si>
    <t>3_1670794207676493831</t>
  </si>
  <si>
    <t>3_1696892225685217281</t>
  </si>
  <si>
    <t>3_1692192380990922752</t>
  </si>
  <si>
    <t>3_1679183580029657088</t>
  </si>
  <si>
    <t>3_1652998966475145219</t>
  </si>
  <si>
    <t>7_1647985911207014402</t>
  </si>
  <si>
    <t>7_1612471902957608960</t>
  </si>
  <si>
    <t>7_1668574124141101057</t>
  </si>
  <si>
    <t>7_1630232545676738561</t>
  </si>
  <si>
    <t>3_1609870886537920513</t>
  </si>
  <si>
    <t>7_1609863337688408064</t>
  </si>
  <si>
    <t>7_1682094225347715074</t>
  </si>
  <si>
    <t>7_1670023712081338368</t>
  </si>
  <si>
    <t>3_1669661278577602560</t>
  </si>
  <si>
    <t>7_1665320094107328512</t>
  </si>
  <si>
    <t>3_1677633782063550464</t>
  </si>
  <si>
    <t>3_1675821873886642177</t>
  </si>
  <si>
    <t>7_1674009943567900673</t>
  </si>
  <si>
    <t>3_1668936500908572673</t>
  </si>
  <si>
    <t>3_1668209191037681664</t>
  </si>
  <si>
    <t>7_1650817158484578305</t>
  </si>
  <si>
    <t>7_1635415556600877057</t>
  </si>
  <si>
    <t>7_1615008594822402049</t>
  </si>
  <si>
    <t>3_1686516674827337729</t>
  </si>
  <si>
    <t>3_1683461566660849664</t>
  </si>
  <si>
    <t>3_1680891448521113601</t>
  </si>
  <si>
    <t>3_1675097096725118976</t>
  </si>
  <si>
    <t>3_1695802581216374784</t>
  </si>
  <si>
    <t>3_1686518029734264833</t>
  </si>
  <si>
    <t>3_1680170574599933953</t>
  </si>
  <si>
    <t>7_1645381311928979458</t>
  </si>
  <si>
    <t>7_1625087508936638464</t>
  </si>
  <si>
    <t>3_1695832718284619776</t>
  </si>
  <si>
    <t>3_1695806897960464385</t>
  </si>
  <si>
    <t>7_1676546658547499008</t>
  </si>
  <si>
    <t>3_1632871228733095942</t>
  </si>
  <si>
    <t>3_1695809864897802240</t>
  </si>
  <si>
    <t>3_1691271601885523968</t>
  </si>
  <si>
    <t>3_1691262772284170242</t>
  </si>
  <si>
    <t>7_1678532203452432388</t>
  </si>
  <si>
    <t>7_1672001714520576000</t>
  </si>
  <si>
    <t>7_1671473208602640388</t>
  </si>
  <si>
    <t>3_1654803373307166723</t>
  </si>
  <si>
    <t>7_1638322277187026946</t>
  </si>
  <si>
    <t>7_1617545289362989056</t>
  </si>
  <si>
    <t>3_1648749138626895877</t>
  </si>
  <si>
    <t>3_1678988449615888385</t>
  </si>
  <si>
    <t>3_1643585941989212161</t>
  </si>
  <si>
    <t>3_1636019551665102849</t>
  </si>
  <si>
    <t>3_1657758365487968257</t>
  </si>
  <si>
    <t>3_1676912425558482946</t>
  </si>
  <si>
    <t>3_1632647993500352512</t>
  </si>
  <si>
    <t>3_1630829969449406464</t>
  </si>
  <si>
    <t>3_1686708642882699264</t>
  </si>
  <si>
    <t>7_1658739712188620801</t>
  </si>
  <si>
    <t>7_1692201693461512192</t>
  </si>
  <si>
    <t>3_1638458118400098306</t>
  </si>
  <si>
    <t>3_1659530056106950657</t>
  </si>
  <si>
    <t>3_1674387836034752512</t>
  </si>
  <si>
    <t>3_1659168069107761152</t>
  </si>
  <si>
    <t>3_1658487838206459908</t>
  </si>
  <si>
    <t>3_1658126199351123968</t>
  </si>
  <si>
    <t>7_1658173204098105346</t>
  </si>
  <si>
    <t>3_1638526057237078016</t>
  </si>
  <si>
    <t>3_1675918140512038913 3_1675918140579123201 3_1675918140520402944</t>
  </si>
  <si>
    <t>3_1623683484207181826</t>
  </si>
  <si>
    <t>7_1621299156361822208</t>
  </si>
  <si>
    <t>7_1672430839966187520</t>
  </si>
  <si>
    <t>3_1658199451876356096</t>
  </si>
  <si>
    <t>7_1635670948257955841</t>
  </si>
  <si>
    <t>7_1633123193182474241</t>
  </si>
  <si>
    <t>7_1631384235331166213</t>
  </si>
  <si>
    <t>7_1630662990914527252</t>
  </si>
  <si>
    <t>7_1630342376521703424</t>
  </si>
  <si>
    <t>7_1635295938012123136</t>
  </si>
  <si>
    <t>7_1634977943242915850</t>
  </si>
  <si>
    <t>7_1634615535873785857</t>
  </si>
  <si>
    <t>7_1638556472513556483</t>
  </si>
  <si>
    <t>7_1638193855693553664</t>
  </si>
  <si>
    <t>7_1637106660656259075</t>
  </si>
  <si>
    <t>3_1634287068997140480</t>
  </si>
  <si>
    <t>3_1612412577409126401</t>
  </si>
  <si>
    <t>3_1655588923148578818</t>
  </si>
  <si>
    <t>3_1694405428828831745</t>
  </si>
  <si>
    <t>3_1658200468093280263</t>
  </si>
  <si>
    <t>3_1656321719534235649</t>
  </si>
  <si>
    <t>3_1645883503244918784</t>
  </si>
  <si>
    <t>3_1650832326476148740</t>
  </si>
  <si>
    <t>3_1632752040391634946 3_1632752040387510275</t>
  </si>
  <si>
    <t>3_1643583879742119937 3_1643583879821795333</t>
  </si>
  <si>
    <t>3_1643583116324270084 3_1643583116412350465</t>
  </si>
  <si>
    <t>3_1641919273227415559</t>
  </si>
  <si>
    <t>3_1641533082502045700</t>
  </si>
  <si>
    <t>3_1609905228400164866</t>
  </si>
  <si>
    <t>7_1609904580745207809</t>
  </si>
  <si>
    <t>3_1652429969413353474</t>
  </si>
  <si>
    <t>7_1636784038189973517</t>
  </si>
  <si>
    <t>7_1613235779051872258</t>
  </si>
  <si>
    <t>3_1699779712254623744</t>
  </si>
  <si>
    <t>3_1637882465804058626 3_1637882465749442573</t>
  </si>
  <si>
    <t>3_1635405227464568833</t>
  </si>
  <si>
    <t>7_1648509607701270529</t>
  </si>
  <si>
    <t>3_1693640092055670785</t>
  </si>
  <si>
    <t>3_1622231915255283713</t>
  </si>
  <si>
    <t>3_1614291974302973952</t>
  </si>
  <si>
    <t>3_1700630199979687936</t>
  </si>
  <si>
    <t>3_1679793164217901056</t>
  </si>
  <si>
    <t>3_1610759231459688448 3_1610759231241654282 3_1610759231157768217</t>
  </si>
  <si>
    <t>3_1614963239900614660 3_1614963239388864515 3_1614963239388938241</t>
  </si>
  <si>
    <t>7_1674153058161377283</t>
  </si>
  <si>
    <t>7_1701689301145141248</t>
  </si>
  <si>
    <t>7_1632866220058738694</t>
  </si>
  <si>
    <t>3_1638548577596108804 3_1638548577617051648 3_1638548577596088323</t>
  </si>
  <si>
    <t>3_1620156673133355015 3_1620156673145946115 3_1620156673129160712 3_1620156673124978691</t>
  </si>
  <si>
    <t>3_1648762913723756545</t>
  </si>
  <si>
    <t>3_1666552339304439810 3_1666552339296051209</t>
  </si>
  <si>
    <t>7_1641056362615517188</t>
  </si>
  <si>
    <t>3_1686859140147171328</t>
  </si>
  <si>
    <t>3_1698888466065444864</t>
  </si>
  <si>
    <t>13_1650264956233711616</t>
  </si>
  <si>
    <t>3_1656476821255225345</t>
  </si>
  <si>
    <t>13_1651046591342452736</t>
  </si>
  <si>
    <t>13_1659011495068409856</t>
  </si>
  <si>
    <t>7_1662244606593978370</t>
  </si>
  <si>
    <t>13_1633118288677830658</t>
  </si>
  <si>
    <t>3_1687456346810056704 3_1687456346809970688</t>
  </si>
  <si>
    <t>3_1684980250566897664 3_1684980250566897673</t>
  </si>
  <si>
    <t>16_1670090235487612928</t>
  </si>
  <si>
    <t>3_1682142291060838401</t>
  </si>
  <si>
    <t>3_1701951306607271936</t>
  </si>
  <si>
    <t>3_1660664877483008007</t>
  </si>
  <si>
    <t>3_1667874345719324674</t>
  </si>
  <si>
    <t>3_1667173898058645509</t>
  </si>
  <si>
    <t>3_1629256076007817217</t>
  </si>
  <si>
    <t>16_1689695186098499585</t>
  </si>
  <si>
    <t>7_1661725228966244352</t>
  </si>
  <si>
    <t>3_1621895295813537792</t>
  </si>
  <si>
    <t>7_1684565714005536769</t>
  </si>
  <si>
    <t>7_1684578010467549188</t>
  </si>
  <si>
    <t>3_1693990434924859393 3_1693990442952687616 3_1693990450494062593 3_1693990458207371264</t>
  </si>
  <si>
    <t>3_1630765188394676226 3_1630765199778099201 3_1630765210397966338 3_1630765238428606466</t>
  </si>
  <si>
    <t>3_1653504093732720652</t>
  </si>
  <si>
    <t>13_1682392379901313024</t>
  </si>
  <si>
    <t>3_1626250898312945666</t>
  </si>
  <si>
    <t>3_1626213248730292225</t>
  </si>
  <si>
    <t>3_1632787939917807616</t>
  </si>
  <si>
    <t>3_1631637853066100740</t>
  </si>
  <si>
    <t>3_1631004928666730506</t>
  </si>
  <si>
    <t>3_1630979530616602636</t>
  </si>
  <si>
    <t>3_1625518421172527105</t>
  </si>
  <si>
    <t>3_1625466120642695171</t>
  </si>
  <si>
    <t>3_1625234717514559515</t>
  </si>
  <si>
    <t>3_1625202705575604226</t>
  </si>
  <si>
    <t>3_1625143056856154113</t>
  </si>
  <si>
    <t>3_1625125224655069187</t>
  </si>
  <si>
    <t>3_1625108204500791296</t>
  </si>
  <si>
    <t>3_1624001225644539906</t>
  </si>
  <si>
    <t>3_1634317035579531264</t>
  </si>
  <si>
    <t>3_1634270459972792320</t>
  </si>
  <si>
    <t>3_1633951416669593608</t>
  </si>
  <si>
    <t>3_1633928976203743235</t>
  </si>
  <si>
    <t>3_1633902819127246851</t>
  </si>
  <si>
    <t>3_1612906923707211793</t>
  </si>
  <si>
    <t>3_1612526682916675599</t>
  </si>
  <si>
    <t>3_1636096729240985600</t>
  </si>
  <si>
    <t>3_1635662913355612163</t>
  </si>
  <si>
    <t>3_1635609777517543425</t>
  </si>
  <si>
    <t>3_1635382080791085057</t>
  </si>
  <si>
    <t>3_1635362668193148932</t>
  </si>
  <si>
    <t>3_1635298497678266370</t>
  </si>
  <si>
    <t>3_1635268788609220608</t>
  </si>
  <si>
    <t>3_1634513306479214592</t>
  </si>
  <si>
    <t>3_1628848226014044165</t>
  </si>
  <si>
    <t>3_1628383084667105280</t>
  </si>
  <si>
    <t>3_1628371753352286209</t>
  </si>
  <si>
    <t>3_1609902395839897604</t>
  </si>
  <si>
    <t>3_1638670104484364289</t>
  </si>
  <si>
    <t>3_1638638380618592257</t>
  </si>
  <si>
    <t>3_1637922964204138497</t>
  </si>
  <si>
    <t>3_1637899587250794502</t>
  </si>
  <si>
    <t>3_1637809557370970113</t>
  </si>
  <si>
    <t>3_1637792946446647301</t>
  </si>
  <si>
    <t>3_1621150389931487232</t>
  </si>
  <si>
    <t>3_1620890082335940609</t>
  </si>
  <si>
    <t>3_1619028295391277062</t>
  </si>
  <si>
    <t>3_1640819603986153479</t>
  </si>
  <si>
    <t>3_1640817892047437827</t>
  </si>
  <si>
    <t>3_1640770281332416522</t>
  </si>
  <si>
    <t>3_1640731802934419459</t>
  </si>
  <si>
    <t>3_1640704644971151361</t>
  </si>
  <si>
    <t>3_1623638825628053504</t>
  </si>
  <si>
    <t>3_1623060059629449231</t>
  </si>
  <si>
    <t>3_1665792495731740672</t>
  </si>
  <si>
    <t>3_1610436070105120769</t>
  </si>
  <si>
    <t>7_1632878102501048320</t>
  </si>
  <si>
    <t>7_1631786011494604802</t>
  </si>
  <si>
    <t>7_1631416169423831040</t>
  </si>
  <si>
    <t>7_1631052360943386626</t>
  </si>
  <si>
    <t>7_1638684127166713856</t>
  </si>
  <si>
    <t>7_1638290957681426432</t>
  </si>
  <si>
    <t>7_1621266048988200961</t>
  </si>
  <si>
    <t>7_1620917681384718338</t>
  </si>
  <si>
    <t>7_1620191770041585666</t>
  </si>
  <si>
    <t>7_1619108790074331137</t>
  </si>
  <si>
    <t>7_1618742636218667010</t>
  </si>
  <si>
    <t>7_1639382088674582528</t>
  </si>
  <si>
    <t>7_1639020526852096001</t>
  </si>
  <si>
    <t>7_1622719791327809543</t>
  </si>
  <si>
    <t>7_1621660583585005571</t>
  </si>
  <si>
    <t>7_1636871745121427457</t>
  </si>
  <si>
    <t>7_1633957977425158144</t>
  </si>
  <si>
    <t>7_1636480664672280576</t>
  </si>
  <si>
    <t>7_1636110623598682113</t>
  </si>
  <si>
    <t>7_1635760715817467904</t>
  </si>
  <si>
    <t>7_1635406048499494912</t>
  </si>
  <si>
    <t>13_1645926793122045952</t>
  </si>
  <si>
    <t>7_1634331334939230208</t>
  </si>
  <si>
    <t>7_1629250684087304192</t>
  </si>
  <si>
    <t>7_1628523612096307216</t>
  </si>
  <si>
    <t>7_1626714679304126465</t>
  </si>
  <si>
    <t>7_1626338988062658560</t>
  </si>
  <si>
    <t>7_1645547985982435329</t>
  </si>
  <si>
    <t>7_1625625125121933312</t>
  </si>
  <si>
    <t>7_1625266021413097472</t>
  </si>
  <si>
    <t>7_1624186885089140736</t>
  </si>
  <si>
    <t>7_1623812367002787841</t>
  </si>
  <si>
    <t>3_1653794502170009604</t>
  </si>
  <si>
    <t>3_1629117658749710337</t>
  </si>
  <si>
    <t>3_1651342362071781379</t>
  </si>
  <si>
    <t>3_1664213138655309824</t>
  </si>
  <si>
    <t>3_1663178530291695617</t>
  </si>
  <si>
    <t>3_1644371812262854657</t>
  </si>
  <si>
    <t>3_1652557541585330177</t>
  </si>
  <si>
    <t>3_1615765953614053387</t>
  </si>
  <si>
    <t>3_1611417837343490072</t>
  </si>
  <si>
    <t>3_1668618036369317889</t>
  </si>
  <si>
    <t>3_1629178344758562818</t>
  </si>
  <si>
    <t>3_1671576180451860481</t>
  </si>
  <si>
    <t>3_1654532434484928513</t>
  </si>
  <si>
    <t>3_1680323429294133248</t>
  </si>
  <si>
    <t>3_1640739534068490243</t>
  </si>
  <si>
    <t>3_1621719111041531910</t>
  </si>
  <si>
    <t>3_1686370063744663552</t>
  </si>
  <si>
    <t>3_1643300789983535111</t>
  </si>
  <si>
    <t>3_1641873025048903681 3_1641873025233477653</t>
  </si>
  <si>
    <t>3_1700502269379178496</t>
  </si>
  <si>
    <t>3_1699355693688496128</t>
  </si>
  <si>
    <t>3_1684460800172326913</t>
  </si>
  <si>
    <t>3_1649340733596262402</t>
  </si>
  <si>
    <t>3_1648364741016928258</t>
  </si>
  <si>
    <t>3_1631336569465446403</t>
  </si>
  <si>
    <t>3_1637208999232692226</t>
  </si>
  <si>
    <t>3_1688329770860183552</t>
  </si>
  <si>
    <t>3_1678502957367586823</t>
  </si>
  <si>
    <t>3_1699413612199116800</t>
  </si>
  <si>
    <t>3_1633179565433528323</t>
  </si>
  <si>
    <t>3_1691449463938912256</t>
  </si>
  <si>
    <t>3_1671264490472521732</t>
  </si>
  <si>
    <t>3_1663529684187983872</t>
  </si>
  <si>
    <t>3_1673502760635957252</t>
  </si>
  <si>
    <t>7_1665874003309875201</t>
  </si>
  <si>
    <t>3_1659468634039758851</t>
  </si>
  <si>
    <t>3_1696329750707322880</t>
  </si>
  <si>
    <t>3_1682506682167963648</t>
  </si>
  <si>
    <t>3_1619412074190307329</t>
  </si>
  <si>
    <t>3_1621211925681000450</t>
  </si>
  <si>
    <t>7_1647989218243739649</t>
  </si>
  <si>
    <t>3_1696145800068202496</t>
  </si>
  <si>
    <t>3_1695817521608249344</t>
  </si>
  <si>
    <t>3_1661728868473135108</t>
  </si>
  <si>
    <t>3_1674387411701252097</t>
  </si>
  <si>
    <t>3_1658442337029070849</t>
  </si>
  <si>
    <t>3_1658091227328159744</t>
  </si>
  <si>
    <t>3_1669325195343962119</t>
  </si>
  <si>
    <t>3_1676924117545545733</t>
  </si>
  <si>
    <t>3_1676561756196405248</t>
  </si>
  <si>
    <t>3_1676199358750965760</t>
  </si>
  <si>
    <t>3_1663515837515350018</t>
  </si>
  <si>
    <t>3_1679883619710402563</t>
  </si>
  <si>
    <t>3_1666414883070529537</t>
  </si>
  <si>
    <t>3_1665728989967572993</t>
  </si>
  <si>
    <t>3_1681682913971060738</t>
  </si>
  <si>
    <t>3_1675838960411500544</t>
  </si>
  <si>
    <t>3_1686014064684564480</t>
  </si>
  <si>
    <t>3_1657023035629621254</t>
  </si>
  <si>
    <t>3_1629876475863113741</t>
  </si>
  <si>
    <t>3_1623705869987848193</t>
  </si>
  <si>
    <t>3_1623305771701178371</t>
  </si>
  <si>
    <t>3_1698351969448906753 3_1698351973509038080 3_1698351978244341760</t>
  </si>
  <si>
    <t>7_1699397156237418496</t>
  </si>
  <si>
    <t>3_1679494351561322503</t>
  </si>
  <si>
    <t>3_1680927976928555008</t>
  </si>
  <si>
    <t>3_1675850658140790789</t>
  </si>
  <si>
    <t>3_1637787339077435392</t>
  </si>
  <si>
    <t>7_1616541184339447808</t>
  </si>
  <si>
    <t>3_1699100455278698499 3_1699100470420135936 3_1699100487893606404 3_1699100504096202756</t>
  </si>
  <si>
    <t>3_1634524710254813185 3_1634524710426771457 3_1634524710242246657 3_1634524710426890240</t>
  </si>
  <si>
    <t>3_1681665001482776577</t>
  </si>
  <si>
    <t>3_1645403075497082880</t>
  </si>
  <si>
    <t>3_1678727791825616896</t>
  </si>
  <si>
    <t>3_1615726440720252928</t>
  </si>
  <si>
    <t>1687191798853066752</t>
  </si>
  <si>
    <t>1613305781415198720</t>
  </si>
  <si>
    <t>1643617112152236032</t>
  </si>
  <si>
    <t>1674789496133685248</t>
  </si>
  <si>
    <t>1622746500848664579</t>
  </si>
  <si>
    <t>1662442128360841216</t>
  </si>
  <si>
    <t>1654516475351257091</t>
  </si>
  <si>
    <t>1658563256565354501</t>
  </si>
  <si>
    <t>1668612308137025542</t>
  </si>
  <si>
    <t>1676753226819936261</t>
  </si>
  <si>
    <t>1611813878953811969</t>
  </si>
  <si>
    <t>1610614259032940549</t>
  </si>
  <si>
    <t>1665853759120084993</t>
  </si>
  <si>
    <t>1631651824930373633</t>
  </si>
  <si>
    <t>1635347021514276865</t>
  </si>
  <si>
    <t>1635346726788960257</t>
  </si>
  <si>
    <t>1655338380710891520</t>
  </si>
  <si>
    <t>1616955601615028226</t>
  </si>
  <si>
    <t>1616555171747713034</t>
  </si>
  <si>
    <t>1610274459927171074</t>
  </si>
  <si>
    <t>1631016200904888327</t>
  </si>
  <si>
    <t>1636076631700676612</t>
  </si>
  <si>
    <t>1699896496001614110</t>
  </si>
  <si>
    <t>1656015298846236693</t>
  </si>
  <si>
    <t>1622364483984232449</t>
  </si>
  <si>
    <t>1699239686772781558</t>
  </si>
  <si>
    <t>1617192535209689091</t>
  </si>
  <si>
    <t>1610374042577510402</t>
  </si>
  <si>
    <t>1630707428898533377</t>
  </si>
  <si>
    <t>1631010733487018002</t>
  </si>
  <si>
    <t>1630707438667067393</t>
  </si>
  <si>
    <t>1630707431276675073</t>
  </si>
  <si>
    <t>1630575615253331968</t>
  </si>
  <si>
    <t>1612917320644435991</t>
  </si>
  <si>
    <t>1623532233620353024</t>
  </si>
  <si>
    <t>1680757234022621184</t>
  </si>
  <si>
    <t>1641110283060928513</t>
  </si>
  <si>
    <t>1647235294729519105</t>
  </si>
  <si>
    <t>1624454011221835779</t>
  </si>
  <si>
    <t>1658888185881952275</t>
  </si>
  <si>
    <t>1677807241175465985</t>
  </si>
  <si>
    <t>1677807184954941443</t>
  </si>
  <si>
    <t>1677745144366235653</t>
  </si>
  <si>
    <t>1677745062749302785</t>
  </si>
  <si>
    <t>1677744981883101185</t>
  </si>
  <si>
    <t>1679125769308569601</t>
  </si>
  <si>
    <t>1618748376090308608</t>
  </si>
  <si>
    <t>1656783273643720706</t>
  </si>
  <si>
    <t>1697614553419243652</t>
  </si>
  <si>
    <t>1634219972250722304</t>
  </si>
  <si>
    <t>1684627726706089985</t>
  </si>
  <si>
    <t>1696108873151549458</t>
  </si>
  <si>
    <t>1695409009824587818</t>
  </si>
  <si>
    <t>1695408910000132385</t>
  </si>
  <si>
    <t>1694284511540855028</t>
  </si>
  <si>
    <t>1694095657772913019</t>
  </si>
  <si>
    <t>1693920329435869365</t>
  </si>
  <si>
    <t>1693589814937850294</t>
  </si>
  <si>
    <t>1693555494063935685</t>
  </si>
  <si>
    <t>1691553494828716347</t>
  </si>
  <si>
    <t>1691018645504212992</t>
  </si>
  <si>
    <t>1691018487815094272</t>
  </si>
  <si>
    <t>1679777955076091904</t>
  </si>
  <si>
    <t>1696455333076418714</t>
  </si>
  <si>
    <t>1696127584830890047</t>
  </si>
  <si>
    <t>1694284854265774539</t>
  </si>
  <si>
    <t>1694284583183786487</t>
  </si>
  <si>
    <t>1693920240969650290</t>
  </si>
  <si>
    <t>1693920147772211373</t>
  </si>
  <si>
    <t>1693555420692955219</t>
  </si>
  <si>
    <t>1692869927588249984</t>
  </si>
  <si>
    <t>1691384887964569600</t>
  </si>
  <si>
    <t>1691384753545527296</t>
  </si>
  <si>
    <t>1691384657936318464</t>
  </si>
  <si>
    <t>1691189392977612801</t>
  </si>
  <si>
    <t>1690706733289672704</t>
  </si>
  <si>
    <t>1696633105073746360</t>
  </si>
  <si>
    <t>1696455518712135880</t>
  </si>
  <si>
    <t>1696455413376393547</t>
  </si>
  <si>
    <t>1696265672328937961</t>
  </si>
  <si>
    <t>1696108794692956364</t>
  </si>
  <si>
    <t>1693735396432114120</t>
  </si>
  <si>
    <t>1692869855714619858</t>
  </si>
  <si>
    <t>1692649062682546555</t>
  </si>
  <si>
    <t>1692479475332608028</t>
  </si>
  <si>
    <t>1692479378892939303</t>
  </si>
  <si>
    <t>1691050360851324929</t>
  </si>
  <si>
    <t>1697363867465081340</t>
  </si>
  <si>
    <t>1697184579184930870</t>
  </si>
  <si>
    <t>1697184503058280868</t>
  </si>
  <si>
    <t>1697184403875590597</t>
  </si>
  <si>
    <t>1696989947939406280</t>
  </si>
  <si>
    <t>1695183174106525979</t>
  </si>
  <si>
    <t>1695011065078161425</t>
  </si>
  <si>
    <t>1695010969745863088</t>
  </si>
  <si>
    <t>1695010889793933796</t>
  </si>
  <si>
    <t>1694816532017135658</t>
  </si>
  <si>
    <t>1694648851142001086</t>
  </si>
  <si>
    <t>1694648662775779631</t>
  </si>
  <si>
    <t>1694459292697428236</t>
  </si>
  <si>
    <t>1690345555145166848</t>
  </si>
  <si>
    <t>1690345466595020800</t>
  </si>
  <si>
    <t>1697550246841053595</t>
  </si>
  <si>
    <t>1697550134148473056</t>
  </si>
  <si>
    <t>1697550056549654606</t>
  </si>
  <si>
    <t>1696812647713288549</t>
  </si>
  <si>
    <t>1696812555774112016</t>
  </si>
  <si>
    <t>1696812485720846378</t>
  </si>
  <si>
    <t>1692479302372139496</t>
  </si>
  <si>
    <t>1692294560410411182</t>
  </si>
  <si>
    <t>1692113573638443198</t>
  </si>
  <si>
    <t>1692113379492573447</t>
  </si>
  <si>
    <t>1692113238224142547</t>
  </si>
  <si>
    <t>1691921055965757608</t>
  </si>
  <si>
    <t>1691751730122231906</t>
  </si>
  <si>
    <t>1691751636790645146</t>
  </si>
  <si>
    <t>1691751429705211971</t>
  </si>
  <si>
    <t>1678711500251201537</t>
  </si>
  <si>
    <t>1672366953174908928</t>
  </si>
  <si>
    <t>1633254522788225026</t>
  </si>
  <si>
    <t>1690118920282193920</t>
  </si>
  <si>
    <t>1620506176617336833</t>
  </si>
  <si>
    <t>1694455986944090260</t>
  </si>
  <si>
    <t>1701652814517158109</t>
  </si>
  <si>
    <t>1699215459604746507</t>
  </si>
  <si>
    <t>1656427587252436992</t>
  </si>
  <si>
    <t>1688344849219481600</t>
  </si>
  <si>
    <t>1661012897747861505</t>
  </si>
  <si>
    <t>1648139576052006919</t>
  </si>
  <si>
    <t>1637447782016471040</t>
  </si>
  <si>
    <t>1615832920039780353</t>
  </si>
  <si>
    <t>1618747973114134530</t>
  </si>
  <si>
    <t>1668637100948717570</t>
  </si>
  <si>
    <t>1637120602644291585</t>
  </si>
  <si>
    <t>1672346523550482437</t>
  </si>
  <si>
    <t>1617964069432229888</t>
  </si>
  <si>
    <t>1656390286329667586</t>
  </si>
  <si>
    <t>1699929403415781450</t>
  </si>
  <si>
    <t>1643342879501303810</t>
  </si>
  <si>
    <t>1641530964378546176</t>
  </si>
  <si>
    <t>1641168558427189249</t>
  </si>
  <si>
    <t>1640806097152888866</t>
  </si>
  <si>
    <t>1638900580394610688</t>
  </si>
  <si>
    <t>1687494062889189377</t>
  </si>
  <si>
    <t>1684588544730320898</t>
  </si>
  <si>
    <t>1689325773809754124</t>
  </si>
  <si>
    <t>1699477614333763778</t>
  </si>
  <si>
    <t>1669865533544488962</t>
  </si>
  <si>
    <t>1676625735614881793</t>
  </si>
  <si>
    <t>1676557284611354624</t>
  </si>
  <si>
    <t>1676349666361856002</t>
  </si>
  <si>
    <t>1676260328169148418</t>
  </si>
  <si>
    <t>1676197916569133057</t>
  </si>
  <si>
    <t>1675989543726759936</t>
  </si>
  <si>
    <t>1675897688674508806</t>
  </si>
  <si>
    <t>1673089434437419008</t>
  </si>
  <si>
    <t>1672998585850314753</t>
  </si>
  <si>
    <t>1672710688270356480</t>
  </si>
  <si>
    <t>1672649787059912706</t>
  </si>
  <si>
    <t>1673816726373384193</t>
  </si>
  <si>
    <t>1673725625977405443</t>
  </si>
  <si>
    <t>1673664977029169152</t>
  </si>
  <si>
    <t>1673453080300384257</t>
  </si>
  <si>
    <t>1673362231847731201</t>
  </si>
  <si>
    <t>1673301331233103872</t>
  </si>
  <si>
    <t>1675103958204030978</t>
  </si>
  <si>
    <t>1674900627619557379</t>
  </si>
  <si>
    <t>1674810026408439808</t>
  </si>
  <si>
    <t>1674749627378049025</t>
  </si>
  <si>
    <t>1674543766986801152</t>
  </si>
  <si>
    <t>1674452918420877318</t>
  </si>
  <si>
    <t>1674392017206407174</t>
  </si>
  <si>
    <t>1658555168005189632</t>
  </si>
  <si>
    <t>1675263258037727232</t>
  </si>
  <si>
    <t>1675172413322014720</t>
  </si>
  <si>
    <t>1675830495811100674</t>
  </si>
  <si>
    <t>1675626401225900032</t>
  </si>
  <si>
    <t>1675534805797093376</t>
  </si>
  <si>
    <t>1675467101233094657</t>
  </si>
  <si>
    <t>1674180120783867911</t>
  </si>
  <si>
    <t>1674089272666619908</t>
  </si>
  <si>
    <t>1674028371070558208</t>
  </si>
  <si>
    <t>1668052524476014592</t>
  </si>
  <si>
    <t>1610104571237486592</t>
  </si>
  <si>
    <t>1630953749349818369</t>
  </si>
  <si>
    <t>1699232508775137693</t>
  </si>
  <si>
    <t>1625742507899502592</t>
  </si>
  <si>
    <t>1663521216152621056</t>
  </si>
  <si>
    <t>1663521214445527040</t>
  </si>
  <si>
    <t>1663521212964941824</t>
  </si>
  <si>
    <t>1663521211446611969</t>
  </si>
  <si>
    <t>1663521209664020481</t>
  </si>
  <si>
    <t>1663521208057610240</t>
  </si>
  <si>
    <t>1663521206426046465</t>
  </si>
  <si>
    <t>1663521204962226177</t>
  </si>
  <si>
    <t>1663521203292868613</t>
  </si>
  <si>
    <t>1663521191272005632</t>
  </si>
  <si>
    <t>1691951981785473237</t>
  </si>
  <si>
    <t>1658570720262213640</t>
  </si>
  <si>
    <t>1645463333590401034</t>
  </si>
  <si>
    <t>1656720834990309380</t>
  </si>
  <si>
    <t>1620229229261774849</t>
  </si>
  <si>
    <t>1651454014809341953</t>
  </si>
  <si>
    <t>1682773407287369736</t>
  </si>
  <si>
    <t>1631731303434395675</t>
  </si>
  <si>
    <t>1693672537392066931</t>
  </si>
  <si>
    <t>1695796910919975101</t>
  </si>
  <si>
    <t>1690660143950602240</t>
  </si>
  <si>
    <t>1695477480491032856</t>
  </si>
  <si>
    <t>1698296174904586330</t>
  </si>
  <si>
    <t>1700873436677935340</t>
  </si>
  <si>
    <t>1699482219876606085</t>
  </si>
  <si>
    <t>1677344145956896768</t>
  </si>
  <si>
    <t>1677438135867695105</t>
  </si>
  <si>
    <t>1687355850233360384</t>
  </si>
  <si>
    <t>1694043424079438127</t>
  </si>
  <si>
    <t>1644020820535046150</t>
  </si>
  <si>
    <t>1701159505122165021</t>
  </si>
  <si>
    <t>1612991818160918529</t>
  </si>
  <si>
    <t>1651357685256683521</t>
  </si>
  <si>
    <t>1664633680403345409</t>
  </si>
  <si>
    <t>1637847088791691266</t>
  </si>
  <si>
    <t>1687918514684690436</t>
  </si>
  <si>
    <t>1658220171671089152</t>
  </si>
  <si>
    <t>1643191680386965504</t>
  </si>
  <si>
    <t>1652794962088546311</t>
  </si>
  <si>
    <t>1689079548703367168</t>
  </si>
  <si>
    <t>1664025119616905216</t>
  </si>
  <si>
    <t>1653874893581082626</t>
  </si>
  <si>
    <t>1668358801815228416</t>
  </si>
  <si>
    <t>1635389363617148928</t>
  </si>
  <si>
    <t>1670901824327409671</t>
  </si>
  <si>
    <t>1643004190434775040</t>
  </si>
  <si>
    <t>1693701965010661873</t>
  </si>
  <si>
    <t>1691177442201776130</t>
  </si>
  <si>
    <t>1686854587188146176</t>
  </si>
  <si>
    <t>1658947230345187335</t>
  </si>
  <si>
    <t>1658211512190681091</t>
  </si>
  <si>
    <t>1641078616892010497</t>
  </si>
  <si>
    <t>1696275635352588786</t>
  </si>
  <si>
    <t>1673423579302490119</t>
  </si>
  <si>
    <t>1665833794383880197</t>
  </si>
  <si>
    <t>1660759163893432323</t>
  </si>
  <si>
    <t>1645552262427672576</t>
  </si>
  <si>
    <t>1643706557094326272</t>
  </si>
  <si>
    <t>1699528587655672048</t>
  </si>
  <si>
    <t>1691914747124551709</t>
  </si>
  <si>
    <t>1701347950503284896</t>
  </si>
  <si>
    <t>1698794630966391208</t>
  </si>
  <si>
    <t>1694444774441267630</t>
  </si>
  <si>
    <t>1676676876532699151</t>
  </si>
  <si>
    <t>1675981472996511744</t>
  </si>
  <si>
    <t>1648803350429802496</t>
  </si>
  <si>
    <t>1648069061459300352</t>
  </si>
  <si>
    <t>1643755578802704384</t>
  </si>
  <si>
    <t>1646490449090351104</t>
  </si>
  <si>
    <t>1630568648157831168</t>
  </si>
  <si>
    <t>1623366047842856962</t>
  </si>
  <si>
    <t>1638524432934133760</t>
  </si>
  <si>
    <t>1668554473734647808</t>
  </si>
  <si>
    <t>1657140613291159552</t>
  </si>
  <si>
    <t>1692925871466664022</t>
  </si>
  <si>
    <t>1683066610137849857</t>
  </si>
  <si>
    <t>1659640010717405190</t>
  </si>
  <si>
    <t>1655910067659497474</t>
  </si>
  <si>
    <t>1650516066395734019</t>
  </si>
  <si>
    <t>1658497631268528134</t>
  </si>
  <si>
    <t>1658497007206670342</t>
  </si>
  <si>
    <t>1654148727215476737</t>
  </si>
  <si>
    <t>1654146418032902145</t>
  </si>
  <si>
    <t>1631093539982438402</t>
  </si>
  <si>
    <t>1612929044613398529</t>
  </si>
  <si>
    <t>1622719484778741776</t>
  </si>
  <si>
    <t>1620722361631932416</t>
  </si>
  <si>
    <t>1615448574908588052</t>
  </si>
  <si>
    <t>1628105783169646593</t>
  </si>
  <si>
    <t>1674145966734147589</t>
  </si>
  <si>
    <t>1636145309301764096</t>
  </si>
  <si>
    <t>1636145063053934593</t>
  </si>
  <si>
    <t>1636110609539534850</t>
  </si>
  <si>
    <t>1636104799048409091</t>
  </si>
  <si>
    <t>1636104720736477187</t>
  </si>
  <si>
    <t>1690483650620477441</t>
  </si>
  <si>
    <t>1690121519026827265</t>
  </si>
  <si>
    <t>1663532293183422467</t>
  </si>
  <si>
    <t>1692189862705676687</t>
  </si>
  <si>
    <t>1691933297570381939</t>
  </si>
  <si>
    <t>1638596243021602831</t>
  </si>
  <si>
    <t>1693579252942119111</t>
  </si>
  <si>
    <t>1691570849860501973</t>
  </si>
  <si>
    <t>1688935204092604416</t>
  </si>
  <si>
    <t>1688933714204479489</t>
  </si>
  <si>
    <t>1693397824874963315</t>
  </si>
  <si>
    <t>1691208450531897344</t>
  </si>
  <si>
    <t>1690846084816314368</t>
  </si>
  <si>
    <t>1665116233488900097</t>
  </si>
  <si>
    <t>1641514398542880789</t>
  </si>
  <si>
    <t>1641228851383500801</t>
  </si>
  <si>
    <t>1694047124596330644</t>
  </si>
  <si>
    <t>1692869365635359201</t>
  </si>
  <si>
    <t>1689381857496829954</t>
  </si>
  <si>
    <t>1639779291876540416</t>
  </si>
  <si>
    <t>1638842119866707969</t>
  </si>
  <si>
    <t>1612836919565582337</t>
  </si>
  <si>
    <t>1615350104310808580</t>
  </si>
  <si>
    <t>1638920132629090304</t>
  </si>
  <si>
    <t>1622975073186467841</t>
  </si>
  <si>
    <t>1633129218925031426</t>
  </si>
  <si>
    <t>1654539497445392386</t>
  </si>
  <si>
    <t>1612911592152174593</t>
  </si>
  <si>
    <t>1638252400778661889</t>
  </si>
  <si>
    <t>1684525335059087361</t>
  </si>
  <si>
    <t>1683823850788618240</t>
  </si>
  <si>
    <t>1653032889863360513</t>
  </si>
  <si>
    <t>1611072107126874113</t>
  </si>
  <si>
    <t>1622960977263181831</t>
  </si>
  <si>
    <t>1629230391461572610</t>
  </si>
  <si>
    <t>1638698099227934721</t>
  </si>
  <si>
    <t>1669400200048156675</t>
  </si>
  <si>
    <t>1667160783833243649</t>
  </si>
  <si>
    <t>1609984878346477573</t>
  </si>
  <si>
    <t>1638491769632624640</t>
  </si>
  <si>
    <t>1638489982905249792</t>
  </si>
  <si>
    <t>1617501857198362625</t>
  </si>
  <si>
    <t>1623768758035570690</t>
  </si>
  <si>
    <t>1661968625874395136</t>
  </si>
  <si>
    <t>1667006591906840577</t>
  </si>
  <si>
    <t>1701690096712372501</t>
  </si>
  <si>
    <t>1641579140435398657</t>
  </si>
  <si>
    <t>1641578960881369090</t>
  </si>
  <si>
    <t>1630317252628103170</t>
  </si>
  <si>
    <t>1630317250577047552</t>
  </si>
  <si>
    <t>1631361579609473025</t>
  </si>
  <si>
    <t>1631361112745598994</t>
  </si>
  <si>
    <t>1631051535353348097</t>
  </si>
  <si>
    <t>1631050984532193281</t>
  </si>
  <si>
    <t>1623080284185939970</t>
  </si>
  <si>
    <t>1623079683687317505</t>
  </si>
  <si>
    <t>1623078067114594305</t>
  </si>
  <si>
    <t>1690847951302574080</t>
  </si>
  <si>
    <t>1638689897841299457</t>
  </si>
  <si>
    <t>1617860940250361856</t>
  </si>
  <si>
    <t>1653466882983247872</t>
  </si>
  <si>
    <t>1653463774249009159</t>
  </si>
  <si>
    <t>1632788678803181573</t>
  </si>
  <si>
    <t>1618003257879662592</t>
  </si>
  <si>
    <t>1615519150327177217</t>
  </si>
  <si>
    <t>1619027921943035915</t>
  </si>
  <si>
    <t>1636111595976933376</t>
  </si>
  <si>
    <t>1628392599139540992</t>
  </si>
  <si>
    <t>1628382898469339136</t>
  </si>
  <si>
    <t>1610328312890511362</t>
  </si>
  <si>
    <t>1610328254841331712</t>
  </si>
  <si>
    <t>1637188945132810240</t>
  </si>
  <si>
    <t>1637184415171215360</t>
  </si>
  <si>
    <t>1633932252517216257</t>
  </si>
  <si>
    <t>1612512190648537089</t>
  </si>
  <si>
    <t>1656308256795508738</t>
  </si>
  <si>
    <t>1626255650375274578</t>
  </si>
  <si>
    <t>1656270204849061893</t>
  </si>
  <si>
    <t>1654819566151761922</t>
  </si>
  <si>
    <t>1618983102357045249</t>
  </si>
  <si>
    <t>1679466465978613760</t>
  </si>
  <si>
    <t>1625582475022852113</t>
  </si>
  <si>
    <t>1625216418609233925</t>
  </si>
  <si>
    <t>1625196562769903616</t>
  </si>
  <si>
    <t>1624514384671244290</t>
  </si>
  <si>
    <t>1624514259701886976</t>
  </si>
  <si>
    <t>1624513887855906817</t>
  </si>
  <si>
    <t>1694422308843057170</t>
  </si>
  <si>
    <t>1633111524238655488</t>
  </si>
  <si>
    <t>1695787513665778012</t>
  </si>
  <si>
    <t>1616119812647796739</t>
  </si>
  <si>
    <t>1684999435623772160</t>
  </si>
  <si>
    <t>1684999428183035904</t>
  </si>
  <si>
    <t>1629229036923674624</t>
  </si>
  <si>
    <t>1629224666257846272</t>
  </si>
  <si>
    <t>1638349225892225025</t>
  </si>
  <si>
    <t>1645618153391640576</t>
  </si>
  <si>
    <t>1645617852546727936</t>
  </si>
  <si>
    <t>1654455914412531712</t>
  </si>
  <si>
    <t>1651232162518032385</t>
  </si>
  <si>
    <t>1647970671731912704</t>
  </si>
  <si>
    <t>1612420799830556675</t>
  </si>
  <si>
    <t>1661341286782337025</t>
  </si>
  <si>
    <t>1651956937444171776</t>
  </si>
  <si>
    <t>1646883507690704901</t>
  </si>
  <si>
    <t>1646158730525040642</t>
  </si>
  <si>
    <t>1635331166869016576</t>
  </si>
  <si>
    <t>1630242118953480193</t>
  </si>
  <si>
    <t>1630219919026532355</t>
  </si>
  <si>
    <t>1629618687186444288</t>
  </si>
  <si>
    <t>1628398571497177089</t>
  </si>
  <si>
    <t>1681635002683981826</t>
  </si>
  <si>
    <t>1674024862590058497</t>
  </si>
  <si>
    <t>1668951422233133057</t>
  </si>
  <si>
    <t>1668226650255892482</t>
  </si>
  <si>
    <t>1653731140191272960</t>
  </si>
  <si>
    <t>1653061545675333634</t>
  </si>
  <si>
    <t>1650507386497449989</t>
  </si>
  <si>
    <t>1636018616276582414</t>
  </si>
  <si>
    <t>1615718167807918080</t>
  </si>
  <si>
    <t>1614994419387613186</t>
  </si>
  <si>
    <t>1613990678110904320</t>
  </si>
  <si>
    <t>1613882561767301121</t>
  </si>
  <si>
    <t>1693593793113862517</t>
  </si>
  <si>
    <t>1685983650234408960</t>
  </si>
  <si>
    <t>1683446940753641473</t>
  </si>
  <si>
    <t>1679823058209751041</t>
  </si>
  <si>
    <t>1666414710814646272</t>
  </si>
  <si>
    <t>1665689936622747648</t>
  </si>
  <si>
    <t>1660616504763613184</t>
  </si>
  <si>
    <t>1659529341955641346</t>
  </si>
  <si>
    <t>1645525161230372864</t>
  </si>
  <si>
    <t>1644312447388360707</t>
  </si>
  <si>
    <t>1643632882169028608</t>
  </si>
  <si>
    <t>1624070922985406470</t>
  </si>
  <si>
    <t>1694318570409267303</t>
  </si>
  <si>
    <t>1688520364639617024</t>
  </si>
  <si>
    <t>1682359774556438532</t>
  </si>
  <si>
    <t>1678373504494837762</t>
  </si>
  <si>
    <t>1669676206197977088</t>
  </si>
  <si>
    <t>1664602775781806080</t>
  </si>
  <si>
    <t>1642899797995601920</t>
  </si>
  <si>
    <t>1641811112998871043</t>
  </si>
  <si>
    <t>1626593256321716227</t>
  </si>
  <si>
    <t>1699391999210602502</t>
  </si>
  <si>
    <t>1695043347004510688</t>
  </si>
  <si>
    <t>1684896483634475008</t>
  </si>
  <si>
    <t>1684171707848826881</t>
  </si>
  <si>
    <t>1677286349299412992</t>
  </si>
  <si>
    <t>1676561566185971712</t>
  </si>
  <si>
    <t>1663153216006291458</t>
  </si>
  <si>
    <t>1649420222779015171</t>
  </si>
  <si>
    <t>1648695447106600960</t>
  </si>
  <si>
    <t>1633492269385801728</t>
  </si>
  <si>
    <t>1632741405264052236</t>
  </si>
  <si>
    <t>1632735976043823104</t>
  </si>
  <si>
    <t>1631722851559694337</t>
  </si>
  <si>
    <t>1631353592941518848</t>
  </si>
  <si>
    <t>1630953682303893512</t>
  </si>
  <si>
    <t>1630951713350860801</t>
  </si>
  <si>
    <t>1701203945685713228</t>
  </si>
  <si>
    <t>1700116783553040413</t>
  </si>
  <si>
    <t>1697598865598189633</t>
  </si>
  <si>
    <t>1697580063984926956</t>
  </si>
  <si>
    <t>1696855283912306852</t>
  </si>
  <si>
    <t>1691781863285604745</t>
  </si>
  <si>
    <t>1687433198618468352</t>
  </si>
  <si>
    <t>1679098290548121600</t>
  </si>
  <si>
    <t>1673300075206811653</t>
  </si>
  <si>
    <t>1672212908409860097</t>
  </si>
  <si>
    <t>1656281403540094976</t>
  </si>
  <si>
    <t>1655543073877942273</t>
  </si>
  <si>
    <t>1638549696506462209</t>
  </si>
  <si>
    <t>1637889524054237213</t>
  </si>
  <si>
    <t>1620435633423654913</t>
  </si>
  <si>
    <t>1619016243348135936</t>
  </si>
  <si>
    <t>1617544866933903361</t>
  </si>
  <si>
    <t>1701928714274037999</t>
  </si>
  <si>
    <t>1691057082143776768</t>
  </si>
  <si>
    <t>1689245146867699712</t>
  </si>
  <si>
    <t>1674749623670394881</t>
  </si>
  <si>
    <t>1667139480195670016</t>
  </si>
  <si>
    <t>1658804568283545602</t>
  </si>
  <si>
    <t>1658079782343675906</t>
  </si>
  <si>
    <t>1640376781675851778</t>
  </si>
  <si>
    <t>1639281438716510209</t>
  </si>
  <si>
    <t>1701281830765469729</t>
  </si>
  <si>
    <t>1626482390502629378</t>
  </si>
  <si>
    <t>1632681576512253957</t>
  </si>
  <si>
    <t>1621053807873642496</t>
  </si>
  <si>
    <t>1620693256227930120</t>
  </si>
  <si>
    <t>1620071164008701956</t>
  </si>
  <si>
    <t>1634503915189202946</t>
  </si>
  <si>
    <t>1639196741257011205</t>
  </si>
  <si>
    <t>1636296644483334145</t>
  </si>
  <si>
    <t>1614933755365318658</t>
  </si>
  <si>
    <t>1645359654061461504</t>
  </si>
  <si>
    <t>1643871383049457666</t>
  </si>
  <si>
    <t>1637739638189064193</t>
  </si>
  <si>
    <t>1685028669394137089</t>
  </si>
  <si>
    <t>1660960679568785416</t>
  </si>
  <si>
    <t>1661323896719654912</t>
  </si>
  <si>
    <t>1663626506751340544</t>
  </si>
  <si>
    <t>1617042418670469120</t>
  </si>
  <si>
    <t>1645505250353115138</t>
  </si>
  <si>
    <t>1656327303599738880</t>
  </si>
  <si>
    <t>1631618017716064257</t>
  </si>
  <si>
    <t>1634176521421176838</t>
  </si>
  <si>
    <t>1622761542956601345</t>
  </si>
  <si>
    <t>1635049031423631360</t>
  </si>
  <si>
    <t>1681678527643500545</t>
  </si>
  <si>
    <t>1621946779674591236</t>
  </si>
  <si>
    <t>1624553022830399489</t>
  </si>
  <si>
    <t>1621584417679413248</t>
  </si>
  <si>
    <t>1620585477668741120</t>
  </si>
  <si>
    <t>1620583751762972673</t>
  </si>
  <si>
    <t>1620583260966518784</t>
  </si>
  <si>
    <t>1620582542956191744</t>
  </si>
  <si>
    <t>1620578537366495234</t>
  </si>
  <si>
    <t>1620578317329104899</t>
  </si>
  <si>
    <t>1620574453678899200</t>
  </si>
  <si>
    <t>1620142599947583488</t>
  </si>
  <si>
    <t>1650640805285986304</t>
  </si>
  <si>
    <t>1652693084398821377</t>
  </si>
  <si>
    <t>1617322643820101632</t>
  </si>
  <si>
    <t>1623806681619611648</t>
  </si>
  <si>
    <t>1620413076167327746</t>
  </si>
  <si>
    <t>1652446208995016704</t>
  </si>
  <si>
    <t>1700189450163155162</t>
  </si>
  <si>
    <t>1700912028875940122</t>
  </si>
  <si>
    <t>1685868143430819840</t>
  </si>
  <si>
    <t>1643689513183502373</t>
  </si>
  <si>
    <t>1643646873805238273</t>
  </si>
  <si>
    <t>1683839823923257347</t>
  </si>
  <si>
    <t>1674138234891247616</t>
  </si>
  <si>
    <t>1689660176486313984</t>
  </si>
  <si>
    <t>1668776900033134592</t>
  </si>
  <si>
    <t>1605531829880102912</t>
  </si>
  <si>
    <t>1647343640149127174</t>
  </si>
  <si>
    <t>1658595715130482688</t>
  </si>
  <si>
    <t>1633205708476010496</t>
  </si>
  <si>
    <t>1638915698989703168</t>
  </si>
  <si>
    <t>1610313632474357766</t>
  </si>
  <si>
    <t>1666469019891662848</t>
  </si>
  <si>
    <t>1666474870861963266</t>
  </si>
  <si>
    <t>1664341298873094145</t>
  </si>
  <si>
    <t>1695526641391263900</t>
  </si>
  <si>
    <t>1689797087326609408</t>
  </si>
  <si>
    <t>1689456921122578432</t>
  </si>
  <si>
    <t>1689062928375250945</t>
  </si>
  <si>
    <t>1686670197132816384</t>
  </si>
  <si>
    <t>1700515541977301342</t>
  </si>
  <si>
    <t>1675927219762241553</t>
  </si>
  <si>
    <t>1620918462385102850</t>
  </si>
  <si>
    <t>1659913028232413186</t>
  </si>
  <si>
    <t>1659188477735436289</t>
  </si>
  <si>
    <t>1651955771037319170</t>
  </si>
  <si>
    <t>1651941306992582657</t>
  </si>
  <si>
    <t>1651593214850211844</t>
  </si>
  <si>
    <t>1658825763628384261</t>
  </si>
  <si>
    <t>1658463851505958915</t>
  </si>
  <si>
    <t>1658101452747812869</t>
  </si>
  <si>
    <t>1655926868057497603</t>
  </si>
  <si>
    <t>1655564334473379841</t>
  </si>
  <si>
    <t>1655201949350871042</t>
  </si>
  <si>
    <t>1654839478026895361</t>
  </si>
  <si>
    <t>1653027845554200577</t>
  </si>
  <si>
    <t>1652318228817887232</t>
  </si>
  <si>
    <t>1651230681769431047</t>
  </si>
  <si>
    <t>1650868451261530115</t>
  </si>
  <si>
    <t>1653752370260475904</t>
  </si>
  <si>
    <t>1653389918779973633</t>
  </si>
  <si>
    <t>1650506229498757122</t>
  </si>
  <si>
    <t>1650143859060486147</t>
  </si>
  <si>
    <t>1649781248250847233</t>
  </si>
  <si>
    <t>1657754049385570304</t>
  </si>
  <si>
    <t>1657376429787447299</t>
  </si>
  <si>
    <t>1657029294529343489</t>
  </si>
  <si>
    <t>1656651942045573123</t>
  </si>
  <si>
    <t>1656289015887286279</t>
  </si>
  <si>
    <t>1685046485342142464</t>
  </si>
  <si>
    <t>1665732660121989121</t>
  </si>
  <si>
    <t>1677792265182347264</t>
  </si>
  <si>
    <t>1677434052758863873</t>
  </si>
  <si>
    <t>1677248774320578561</t>
  </si>
  <si>
    <t>1639062453169299462</t>
  </si>
  <si>
    <t>1669165107111161857</t>
  </si>
  <si>
    <t>1643422358802255872</t>
  </si>
  <si>
    <t>1635968939913105411</t>
  </si>
  <si>
    <t>1638657318958006273</t>
  </si>
  <si>
    <t>1659156409500459008</t>
  </si>
  <si>
    <t>1610263091471683585</t>
  </si>
  <si>
    <t>1659217120616497152</t>
  </si>
  <si>
    <t>1651887651841011712</t>
  </si>
  <si>
    <t>1673773123169136642</t>
  </si>
  <si>
    <t>1671993966768578561</t>
  </si>
  <si>
    <t>1683960324939030531</t>
  </si>
  <si>
    <t>1696295595311509915</t>
  </si>
  <si>
    <t>1690861287394377728</t>
  </si>
  <si>
    <t>1631811607968743428</t>
  </si>
  <si>
    <t>1658593867413823488</t>
  </si>
  <si>
    <t>1625870589079552000</t>
  </si>
  <si>
    <t>1625666823021641731</t>
  </si>
  <si>
    <t>1628739724541104130</t>
  </si>
  <si>
    <t>1686106153636315136</t>
  </si>
  <si>
    <t>1612836138603155458</t>
  </si>
  <si>
    <t>1687508626225733641</t>
  </si>
  <si>
    <t>1618976215972614146</t>
  </si>
  <si>
    <t>1689662573577220096</t>
  </si>
  <si>
    <t>1688622114616545283</t>
  </si>
  <si>
    <t>1688543761905651712</t>
  </si>
  <si>
    <t>1610033388274044928</t>
  </si>
  <si>
    <t>1633859236298997762</t>
  </si>
  <si>
    <t>1648714692695654401</t>
  </si>
  <si>
    <t>1624425663598936065</t>
  </si>
  <si>
    <t>1623423578417790976</t>
  </si>
  <si>
    <t>1622293016332337153</t>
  </si>
  <si>
    <t>1615732005030989829</t>
  </si>
  <si>
    <t>1614599853530652673</t>
  </si>
  <si>
    <t>1621563854969884672</t>
  </si>
  <si>
    <t>1617850527458684928</t>
  </si>
  <si>
    <t>1617473327630807040</t>
  </si>
  <si>
    <t>1633231689047502849</t>
  </si>
  <si>
    <t>1669475962789003264</t>
  </si>
  <si>
    <t>1630002203556474880</t>
  </si>
  <si>
    <t>1643954206443970560</t>
  </si>
  <si>
    <t>1664286071293878277</t>
  </si>
  <si>
    <t>1685621513255358465</t>
  </si>
  <si>
    <t>1687569353904914433</t>
  </si>
  <si>
    <t>1654607410462441472</t>
  </si>
  <si>
    <t>1690106105500684288</t>
  </si>
  <si>
    <t>1677422511045083136</t>
  </si>
  <si>
    <t>1648070419700760577</t>
  </si>
  <si>
    <t>1680925338811920384</t>
  </si>
  <si>
    <t>1699475946779107501</t>
  </si>
  <si>
    <t>1672028662818848768</t>
  </si>
  <si>
    <t>1671245323098791937</t>
  </si>
  <si>
    <t>1669526327358095361</t>
  </si>
  <si>
    <t>1654815318345416705</t>
  </si>
  <si>
    <t>1654182736373092352</t>
  </si>
  <si>
    <t>1644034276415926278</t>
  </si>
  <si>
    <t>1637929631725793280</t>
  </si>
  <si>
    <t>1637929508572479488</t>
  </si>
  <si>
    <t>1637929417489133568</t>
  </si>
  <si>
    <t>1689070817521410050</t>
  </si>
  <si>
    <t>1645411520698785792</t>
  </si>
  <si>
    <t>1625080396554686473</t>
  </si>
  <si>
    <t>1677754613536006144</t>
  </si>
  <si>
    <t>1626189799513108480</t>
  </si>
  <si>
    <t>1675874693721604097</t>
  </si>
  <si>
    <t>1649050484974710790</t>
  </si>
  <si>
    <t>1623733933144670210</t>
  </si>
  <si>
    <t>1641431987075403778</t>
  </si>
  <si>
    <t>1694335229723382186</t>
  </si>
  <si>
    <t>1655628211240284160</t>
  </si>
  <si>
    <t>1654093720604536833</t>
  </si>
  <si>
    <t>1681286607578583042</t>
  </si>
  <si>
    <t>1680970851452084225</t>
  </si>
  <si>
    <t>1687081648230191104</t>
  </si>
  <si>
    <t>1682017333718515712</t>
  </si>
  <si>
    <t>1686388862627766272</t>
  </si>
  <si>
    <t>1636738434231328770</t>
  </si>
  <si>
    <t>1677127794638090241</t>
  </si>
  <si>
    <t>1683833076655493120</t>
  </si>
  <si>
    <t>1666822399675777024</t>
  </si>
  <si>
    <t>1699303092229980309</t>
  </si>
  <si>
    <t>1698323685847793911</t>
  </si>
  <si>
    <t>1679229267622731779</t>
  </si>
  <si>
    <t>1679134290972405760</t>
  </si>
  <si>
    <t>1686439353998856211</t>
  </si>
  <si>
    <t>1682404498763915265</t>
  </si>
  <si>
    <t>1690097607656222720</t>
  </si>
  <si>
    <t>1690057968656490505</t>
  </si>
  <si>
    <t>1677326599002128385</t>
  </si>
  <si>
    <t>1689378832640294912</t>
  </si>
  <si>
    <t>1689239643517009921</t>
  </si>
  <si>
    <t>1688941775149309952</t>
  </si>
  <si>
    <t>1647223816202907648</t>
  </si>
  <si>
    <t>1675618175352811520</t>
  </si>
  <si>
    <t>1672630849576087553</t>
  </si>
  <si>
    <t>1656607485539622912</t>
  </si>
  <si>
    <t>1632200604251504641</t>
  </si>
  <si>
    <t>1641401526903087105</t>
  </si>
  <si>
    <t>1626254239243677696</t>
  </si>
  <si>
    <t>1626050518882590720</t>
  </si>
  <si>
    <t>1637224368941015041</t>
  </si>
  <si>
    <t>1659319630257610752</t>
  </si>
  <si>
    <t>1659044249839566848</t>
  </si>
  <si>
    <t>1667581811453489154</t>
  </si>
  <si>
    <t>1672377060444995585</t>
  </si>
  <si>
    <t>1638248157501878298</t>
  </si>
  <si>
    <t>1675126670095728641</t>
  </si>
  <si>
    <t>1652098000863240193</t>
  </si>
  <si>
    <t>1634847755280715776</t>
  </si>
  <si>
    <t>1628504406957195266</t>
  </si>
  <si>
    <t>1616071019479044096</t>
  </si>
  <si>
    <t>1632366422494965761</t>
  </si>
  <si>
    <t>1693695479119220776</t>
  </si>
  <si>
    <t>1693448537206304809</t>
  </si>
  <si>
    <t>1665413755369398274</t>
  </si>
  <si>
    <t>1636087814226935811</t>
  </si>
  <si>
    <t>1617657731120508930</t>
  </si>
  <si>
    <t>1672529998639669248</t>
  </si>
  <si>
    <t>1680931976222584832</t>
  </si>
  <si>
    <t>1677603437155069954</t>
  </si>
  <si>
    <t>1678420644499714050</t>
  </si>
  <si>
    <t>1698108543264604407</t>
  </si>
  <si>
    <t>1697433087041303018</t>
  </si>
  <si>
    <t>1697902181415047484</t>
  </si>
  <si>
    <t>1667195201180270592</t>
  </si>
  <si>
    <t>1698266904542982334</t>
  </si>
  <si>
    <t>1700547996977443321</t>
  </si>
  <si>
    <t>1698738419747131692</t>
  </si>
  <si>
    <t>1672368114103734272</t>
  </si>
  <si>
    <t>1671913441580253187</t>
  </si>
  <si>
    <t>1688675879596314627</t>
  </si>
  <si>
    <t>1677760462392291328</t>
  </si>
  <si>
    <t>1630982730455318553</t>
  </si>
  <si>
    <t>1637879698876145689</t>
  </si>
  <si>
    <t>1634600879130066945</t>
  </si>
  <si>
    <t>1629629791912468480</t>
  </si>
  <si>
    <t>1634239084670402582</t>
  </si>
  <si>
    <t>1641816097534902274</t>
  </si>
  <si>
    <t>1636052358886047744</t>
  </si>
  <si>
    <t>1645472750692073481</t>
  </si>
  <si>
    <t>1644727961201913856</t>
  </si>
  <si>
    <t>1625256095433338883</t>
  </si>
  <si>
    <t>1624458330625261572</t>
  </si>
  <si>
    <t>1641104499824635904</t>
  </si>
  <si>
    <t>1623784414969794561</t>
  </si>
  <si>
    <t>1662965048266874881</t>
  </si>
  <si>
    <t>1658030974242902018</t>
  </si>
  <si>
    <t>1656620184038154241</t>
  </si>
  <si>
    <t>1660989973191970816</t>
  </si>
  <si>
    <t>1643652552267792386</t>
  </si>
  <si>
    <t>1685420803767058432</t>
  </si>
  <si>
    <t>1653822589423214596</t>
  </si>
  <si>
    <t>1691953421782249603</t>
  </si>
  <si>
    <t>1654924739549249537</t>
  </si>
  <si>
    <t>1694704170664628439</t>
  </si>
  <si>
    <t>1683827484922355712</t>
  </si>
  <si>
    <t>1675977603092455426</t>
  </si>
  <si>
    <t>1644309253363052546</t>
  </si>
  <si>
    <t>1648337638254837768</t>
  </si>
  <si>
    <t>1616095907635728385</t>
  </si>
  <si>
    <t>1650120586549506049</t>
  </si>
  <si>
    <t>1701941545774026864</t>
  </si>
  <si>
    <t>1701104526919651584</t>
  </si>
  <si>
    <t>1631788093484281856</t>
  </si>
  <si>
    <t>1696149685902152036</t>
  </si>
  <si>
    <t>1695023367022055887</t>
  </si>
  <si>
    <t>1686917799333998593</t>
  </si>
  <si>
    <t>1686917419669893120</t>
  </si>
  <si>
    <t>1668048138978877441</t>
  </si>
  <si>
    <t>1683805000001093632</t>
  </si>
  <si>
    <t>1618442323192598533</t>
  </si>
  <si>
    <t>1625962337839579163</t>
  </si>
  <si>
    <t>1610629050501939200</t>
  </si>
  <si>
    <t>1662093047977394177</t>
  </si>
  <si>
    <t>1621574604870279168</t>
  </si>
  <si>
    <t>1633913653366779904</t>
  </si>
  <si>
    <t>1631971922991874048</t>
  </si>
  <si>
    <t>1641077758154641408</t>
  </si>
  <si>
    <t>1640715373485121536</t>
  </si>
  <si>
    <t>1640352986990882820</t>
  </si>
  <si>
    <t>1639990591630237696</t>
  </si>
  <si>
    <t>1639628201755328512</t>
  </si>
  <si>
    <t>1639300472195432450</t>
  </si>
  <si>
    <t>1631030776283250688</t>
  </si>
  <si>
    <t>1649830050282307586</t>
  </si>
  <si>
    <t>1649504908691881986</t>
  </si>
  <si>
    <t>1649120842247176193</t>
  </si>
  <si>
    <t>1671336428784033792</t>
  </si>
  <si>
    <t>1610759910513606656</t>
  </si>
  <si>
    <t>1690019472784953344</t>
  </si>
  <si>
    <t>1677360426672168980</t>
  </si>
  <si>
    <t>1643630243700154368</t>
  </si>
  <si>
    <t>1616463388284002309</t>
  </si>
  <si>
    <t>1616164127264718848</t>
  </si>
  <si>
    <t>1701602485151072579</t>
  </si>
  <si>
    <t>1699434064007074201</t>
  </si>
  <si>
    <t>1642139260684840961</t>
  </si>
  <si>
    <t>1650931595014971394</t>
  </si>
  <si>
    <t>1672377342256197632</t>
  </si>
  <si>
    <t>1686814461812686854</t>
  </si>
  <si>
    <t>1675089479260942338</t>
  </si>
  <si>
    <t>1688299926520762368</t>
  </si>
  <si>
    <t>1665061100910510081</t>
  </si>
  <si>
    <t>1664596957543669761</t>
  </si>
  <si>
    <t>1646214198534209563</t>
  </si>
  <si>
    <t>1622205257571778561</t>
  </si>
  <si>
    <t>1643002549551734785</t>
  </si>
  <si>
    <t>1693675551968604481</t>
  </si>
  <si>
    <t>1691143466041151488</t>
  </si>
  <si>
    <t>1693758158651757039</t>
  </si>
  <si>
    <t>1688724005409128448</t>
  </si>
  <si>
    <t>1640043981022146561</t>
  </si>
  <si>
    <t>1684897180190900224</t>
  </si>
  <si>
    <t>1692106310068687316</t>
  </si>
  <si>
    <t>1688120344685481984</t>
  </si>
  <si>
    <t>1634195622730379267</t>
  </si>
  <si>
    <t>1627401717179379712</t>
  </si>
  <si>
    <t>1640783447449804812</t>
  </si>
  <si>
    <t>1650472026178568198</t>
  </si>
  <si>
    <t>1673824249021177856</t>
  </si>
  <si>
    <t>1671601096425390081</t>
  </si>
  <si>
    <t>1682045460469411840</t>
  </si>
  <si>
    <t>1641572264985362434</t>
  </si>
  <si>
    <t>1698802745984033278</t>
  </si>
  <si>
    <t>1700826825205621091</t>
  </si>
  <si>
    <t>1611029680940847108</t>
  </si>
  <si>
    <t>1619090391961321472</t>
  </si>
  <si>
    <t>1618379258958852096</t>
  </si>
  <si>
    <t>1615653063251091460</t>
  </si>
  <si>
    <t>1613672382325198848</t>
  </si>
  <si>
    <t>1625632145015177219</t>
  </si>
  <si>
    <t>1631294421198143488</t>
  </si>
  <si>
    <t>1627961767665053696</t>
  </si>
  <si>
    <t>1638803206720598016</t>
  </si>
  <si>
    <t>1682089377135054848</t>
  </si>
  <si>
    <t>1631586574977622016</t>
  </si>
  <si>
    <t>1638217167626698752</t>
  </si>
  <si>
    <t>1636635252708843524</t>
  </si>
  <si>
    <t>1683848932013506562</t>
  </si>
  <si>
    <t>1701365967073267878</t>
  </si>
  <si>
    <t>1684561968043278339</t>
  </si>
  <si>
    <t>1623133304110161921</t>
  </si>
  <si>
    <t>1622706397761662976</t>
  </si>
  <si>
    <t>1652789355952439298</t>
  </si>
  <si>
    <t>1701579033249484885</t>
  </si>
  <si>
    <t>1686509602525839360</t>
  </si>
  <si>
    <t>1630976346456195073</t>
  </si>
  <si>
    <t>1651300345983664154</t>
  </si>
  <si>
    <t>1650980208944504835</t>
  </si>
  <si>
    <t>1615768082042994711</t>
  </si>
  <si>
    <t>1671246803960725506</t>
  </si>
  <si>
    <t>1686462416903663616</t>
  </si>
  <si>
    <t>1641108074101460992</t>
  </si>
  <si>
    <t>1696632858100527461</t>
  </si>
  <si>
    <t>1645532332391055360</t>
  </si>
  <si>
    <t>1669314095466553347</t>
  </si>
  <si>
    <t>1612453760592400384</t>
  </si>
  <si>
    <t>1614967830507651072</t>
  </si>
  <si>
    <t>1639357902459658255</t>
  </si>
  <si>
    <t>1629133365893910535</t>
  </si>
  <si>
    <t>1625555239163002881</t>
  </si>
  <si>
    <t>1641259128612962306</t>
  </si>
  <si>
    <t>1655983748792320004</t>
  </si>
  <si>
    <t>1618354005356457984</t>
  </si>
  <si>
    <t>1646981158813458433</t>
  </si>
  <si>
    <t>1615126000781692930</t>
  </si>
  <si>
    <t>1656358448731422720</t>
  </si>
  <si>
    <t>1672107545979125760</t>
  </si>
  <si>
    <t>1634143783024578561</t>
  </si>
  <si>
    <t>1658172209372749833</t>
  </si>
  <si>
    <t>1631414241256243206</t>
  </si>
  <si>
    <t>1624141338584223761</t>
  </si>
  <si>
    <t>1667239221206065175</t>
  </si>
  <si>
    <t>1686421538604568588</t>
  </si>
  <si>
    <t>1643177150814584832</t>
  </si>
  <si>
    <t>1645443351259357191</t>
  </si>
  <si>
    <t>1645343316198715393</t>
  </si>
  <si>
    <t>1651466205641977862</t>
  </si>
  <si>
    <t>1652852668480593920</t>
  </si>
  <si>
    <t>1653807191248318470</t>
  </si>
  <si>
    <t>1653805069047934987</t>
  </si>
  <si>
    <t>1653790066567794691</t>
  </si>
  <si>
    <t>1626417976801996800</t>
  </si>
  <si>
    <t>1694440989123805681</t>
  </si>
  <si>
    <t>1662413344291127297</t>
  </si>
  <si>
    <t>1653395644747325448</t>
  </si>
  <si>
    <t>1654063327784599554</t>
  </si>
  <si>
    <t>1653867031115218945</t>
  </si>
  <si>
    <t>1651927993550249986</t>
  </si>
  <si>
    <t>1657687197548511232</t>
  </si>
  <si>
    <t>1659136751380692992</t>
  </si>
  <si>
    <t>1658774372088152067</t>
  </si>
  <si>
    <t>1658411971178553344</t>
  </si>
  <si>
    <t>1687437699752370176</t>
  </si>
  <si>
    <t>1655565717217869827</t>
  </si>
  <si>
    <t>1654591804807827460</t>
  </si>
  <si>
    <t>1616074051931500551</t>
  </si>
  <si>
    <t>1665016666684633089</t>
  </si>
  <si>
    <t>1663348078873542657</t>
  </si>
  <si>
    <t>1619108192415522817</t>
  </si>
  <si>
    <t>1623049375625928706</t>
  </si>
  <si>
    <t>1621856227327344640</t>
  </si>
  <si>
    <t>1626599408640065536</t>
  </si>
  <si>
    <t>1626582476490702849</t>
  </si>
  <si>
    <t>1635997868153774080</t>
  </si>
  <si>
    <t>1652674589695291394</t>
  </si>
  <si>
    <t>1650958550829797377</t>
  </si>
  <si>
    <t>1653866513563267072</t>
  </si>
  <si>
    <t>1651327687338897408</t>
  </si>
  <si>
    <t>1629103954293555200</t>
  </si>
  <si>
    <t>1677302069785681926</t>
  </si>
  <si>
    <t>1617518857912213504</t>
  </si>
  <si>
    <t>1683804731561463808</t>
  </si>
  <si>
    <t>1630379751050301442</t>
  </si>
  <si>
    <t>1641435773475106819</t>
  </si>
  <si>
    <t>1636449758565769233</t>
  </si>
  <si>
    <t>1615416288288903170</t>
  </si>
  <si>
    <t>1652024888880930817</t>
  </si>
  <si>
    <t>1635234260146860032</t>
  </si>
  <si>
    <t>1629473789322088449</t>
  </si>
  <si>
    <t>1628824511100473346</t>
  </si>
  <si>
    <t>1652968603015053314</t>
  </si>
  <si>
    <t>1648015971641364480</t>
  </si>
  <si>
    <t>1636799560629776384</t>
  </si>
  <si>
    <t>1634290530841419778</t>
  </si>
  <si>
    <t>1612434141210939396</t>
  </si>
  <si>
    <t>1611679162019848192</t>
  </si>
  <si>
    <t>1670000833956843521</t>
  </si>
  <si>
    <t>1665070853267005446</t>
  </si>
  <si>
    <t>1664210183260712961</t>
  </si>
  <si>
    <t>1642867042658263040</t>
  </si>
  <si>
    <t>1642089430164078593</t>
  </si>
  <si>
    <t>1641508087277182985</t>
  </si>
  <si>
    <t>1627986499365920769</t>
  </si>
  <si>
    <t>1626650183726690304</t>
  </si>
  <si>
    <t>1625948058600017939</t>
  </si>
  <si>
    <t>1680192992810872834</t>
  </si>
  <si>
    <t>1665772976443392001</t>
  </si>
  <si>
    <t>1643674870826553349</t>
  </si>
  <si>
    <t>1624355060871487488</t>
  </si>
  <si>
    <t>1695405736413528207</t>
  </si>
  <si>
    <t>1689705674106646528</t>
  </si>
  <si>
    <t>1677392039879516182</t>
  </si>
  <si>
    <t>1663160763496775681</t>
  </si>
  <si>
    <t>1632735280032804871</t>
  </si>
  <si>
    <t>1631753813156659215</t>
  </si>
  <si>
    <t>1630870496161017856</t>
  </si>
  <si>
    <t>1696138058083586160</t>
  </si>
  <si>
    <t>1639363959206850560</t>
  </si>
  <si>
    <t>1623026308400746506</t>
  </si>
  <si>
    <t>1621810805128966145</t>
  </si>
  <si>
    <t>1697549871647965504</t>
  </si>
  <si>
    <t>1687772938588897280</t>
  </si>
  <si>
    <t>1672318610424074240</t>
  </si>
  <si>
    <t>1638533488423976961</t>
  </si>
  <si>
    <t>1637927996484091906</t>
  </si>
  <si>
    <t>1620851980905086988</t>
  </si>
  <si>
    <t>1619047591198572562</t>
  </si>
  <si>
    <t>1617469693501095936</t>
  </si>
  <si>
    <t>1672786417074700288</t>
  </si>
  <si>
    <t>1701731331955216747</t>
  </si>
  <si>
    <t>1638992604414070798</t>
  </si>
  <si>
    <t>1670840380210790488</t>
  </si>
  <si>
    <t>1633845539128360960</t>
  </si>
  <si>
    <t>1697369723955020212</t>
  </si>
  <si>
    <t>1610051321540874244</t>
  </si>
  <si>
    <t>1632566418842558464</t>
  </si>
  <si>
    <t>1610384718544965633</t>
  </si>
  <si>
    <t>1610384129006215168</t>
  </si>
  <si>
    <t>1633092995997155328</t>
  </si>
  <si>
    <t>1632719831286919169</t>
  </si>
  <si>
    <t>1644383194211287043</t>
  </si>
  <si>
    <t>1643943785120903174</t>
  </si>
  <si>
    <t>1643943244487696386</t>
  </si>
  <si>
    <t>1650872487494705152</t>
  </si>
  <si>
    <t>1613144314049175552</t>
  </si>
  <si>
    <t>1611331167352938501</t>
  </si>
  <si>
    <t>1681670134086397952</t>
  </si>
  <si>
    <t>1683527458639757317</t>
  </si>
  <si>
    <t>1667135620655853571</t>
  </si>
  <si>
    <t>1623406242906484741</t>
  </si>
  <si>
    <t>1696854713008877619</t>
  </si>
  <si>
    <t>1696853992645497146</t>
  </si>
  <si>
    <t>1696853510455693771</t>
  </si>
  <si>
    <t>1671159665252761602</t>
  </si>
  <si>
    <t>1620044216616509441</t>
  </si>
  <si>
    <t>1619040278672982016</t>
  </si>
  <si>
    <t>1696536519337714020</t>
  </si>
  <si>
    <t>1670759416142987264</t>
  </si>
  <si>
    <t>1622193485888606217</t>
  </si>
  <si>
    <t>1688434336486285312</t>
  </si>
  <si>
    <t>1669921109532106752</t>
  </si>
  <si>
    <t>1688796727522816000</t>
  </si>
  <si>
    <t>1666318287590899714</t>
  </si>
  <si>
    <t>1698581200279937352</t>
  </si>
  <si>
    <t>1684085675232993280</t>
  </si>
  <si>
    <t>1663541558577360898</t>
  </si>
  <si>
    <t>1663111268750827521</t>
  </si>
  <si>
    <t>1701480318216155644</t>
  </si>
  <si>
    <t>1700755522264211784</t>
  </si>
  <si>
    <t>1696769282170818820</t>
  </si>
  <si>
    <t>1671246527203799040</t>
  </si>
  <si>
    <t>1667290397440196609</t>
  </si>
  <si>
    <t>1661024381034721280</t>
  </si>
  <si>
    <t>1663336130069028865</t>
  </si>
  <si>
    <t>1663297082793287684</t>
  </si>
  <si>
    <t>1662214781712076800</t>
  </si>
  <si>
    <t>1661888131459588097</t>
  </si>
  <si>
    <t>1663720481965350919</t>
  </si>
  <si>
    <t>1663642894173982720</t>
  </si>
  <si>
    <t>1661770225333796865</t>
  </si>
  <si>
    <t>1661718661013417986</t>
  </si>
  <si>
    <t>1661149797632589824</t>
  </si>
  <si>
    <t>1661062750682882048</t>
  </si>
  <si>
    <t>1672342535870586880</t>
  </si>
  <si>
    <t>1672004126627037184</t>
  </si>
  <si>
    <t>1671628620505178113</t>
  </si>
  <si>
    <t>1671252393613492224</t>
  </si>
  <si>
    <t>1670242778373148672</t>
  </si>
  <si>
    <t>1664937215804284928</t>
  </si>
  <si>
    <t>1664255652204621825</t>
  </si>
  <si>
    <t>1673790716600778754</t>
  </si>
  <si>
    <t>1673477536058155008</t>
  </si>
  <si>
    <t>1673436507808448515</t>
  </si>
  <si>
    <t>1665763412675002378</t>
  </si>
  <si>
    <t>1665511322472128515</t>
  </si>
  <si>
    <t>1660078217426878464</t>
  </si>
  <si>
    <t>1659952011788394496</t>
  </si>
  <si>
    <t>1659363124242153478</t>
  </si>
  <si>
    <t>1659227328856072195</t>
  </si>
  <si>
    <t>1674956647335174150</t>
  </si>
  <si>
    <t>1666815125364551681</t>
  </si>
  <si>
    <t>1666545888485863424</t>
  </si>
  <si>
    <t>1666487545864114179</t>
  </si>
  <si>
    <t>1658993793578807297</t>
  </si>
  <si>
    <t>1658799399110156288</t>
  </si>
  <si>
    <t>1658627908049547265</t>
  </si>
  <si>
    <t>1658510260502396933</t>
  </si>
  <si>
    <t>1670959703055056897</t>
  </si>
  <si>
    <t>1669298121107488768</t>
  </si>
  <si>
    <t>1668727022099607553</t>
  </si>
  <si>
    <t>1668619521652056071</t>
  </si>
  <si>
    <t>1664047332747272197</t>
  </si>
  <si>
    <t>1664004571583094784</t>
  </si>
  <si>
    <t>1674221432975360000</t>
  </si>
  <si>
    <t>1669083006798012419</t>
  </si>
  <si>
    <t>1668946448770056192</t>
  </si>
  <si>
    <t>1668351956790697997</t>
  </si>
  <si>
    <t>1667716883225640960</t>
  </si>
  <si>
    <t>1667264952426549256</t>
  </si>
  <si>
    <t>1685998872571604993</t>
  </si>
  <si>
    <t>1611184797396922369</t>
  </si>
  <si>
    <t>1641174050880860163</t>
  </si>
  <si>
    <t>1694341482612748594</t>
  </si>
  <si>
    <t>1697673945321759193</t>
  </si>
  <si>
    <t>1613642098506448896</t>
  </si>
  <si>
    <t>1620165082981310477</t>
  </si>
  <si>
    <t>1616178695147765765</t>
  </si>
  <si>
    <t>1612554935530409985</t>
  </si>
  <si>
    <t>1611105261674020864</t>
  </si>
  <si>
    <t>1625238391108300810</t>
  </si>
  <si>
    <t>1623788830208798720</t>
  </si>
  <si>
    <t>1613913116764475392</t>
  </si>
  <si>
    <t>1629580773937250305</t>
  </si>
  <si>
    <t>1621928432069214210</t>
  </si>
  <si>
    <t>1618667431953846272</t>
  </si>
  <si>
    <t>1701671877754679536</t>
  </si>
  <si>
    <t>1674252989907755011</t>
  </si>
  <si>
    <t>1648840959784804359</t>
  </si>
  <si>
    <t>1658103571118694400</t>
  </si>
  <si>
    <t>1671238991486545920</t>
  </si>
  <si>
    <t>1668751100189761537</t>
  </si>
  <si>
    <t>1619114645477892097</t>
  </si>
  <si>
    <t>1610218691047702535</t>
  </si>
  <si>
    <t>1616786141272805379</t>
  </si>
  <si>
    <t>1677127901773193217</t>
  </si>
  <si>
    <t>1618259874777030658</t>
  </si>
  <si>
    <t>1638945405164462081</t>
  </si>
  <si>
    <t>1696969841872195938</t>
  </si>
  <si>
    <t>1696969609260253529</t>
  </si>
  <si>
    <t>1696969254820536386</t>
  </si>
  <si>
    <t>1626326028053319681</t>
  </si>
  <si>
    <t>1615681647709663232</t>
  </si>
  <si>
    <t>1615354033862066177</t>
  </si>
  <si>
    <t>1615340243388866561</t>
  </si>
  <si>
    <t>1615318607524683777</t>
  </si>
  <si>
    <t>1615151015199739904</t>
  </si>
  <si>
    <t>1615093292651126785</t>
  </si>
  <si>
    <t>1615070714360631296</t>
  </si>
  <si>
    <t>1615046677252939776</t>
  </si>
  <si>
    <t>1614745768501415937</t>
  </si>
  <si>
    <t>1614659621301506051</t>
  </si>
  <si>
    <t>1625440364390653953</t>
  </si>
  <si>
    <t>1624749019275689986</t>
  </si>
  <si>
    <t>1624468127915421696</t>
  </si>
  <si>
    <t>1624384888341164032</t>
  </si>
  <si>
    <t>1623698981946634240</t>
  </si>
  <si>
    <t>1623270408001622020</t>
  </si>
  <si>
    <t>1622917152624848897</t>
  </si>
  <si>
    <t>1622567972719009793</t>
  </si>
  <si>
    <t>1621662193941975040</t>
  </si>
  <si>
    <t>1621466342355345409</t>
  </si>
  <si>
    <t>1620847994328469504</t>
  </si>
  <si>
    <t>1620730602168406020</t>
  </si>
  <si>
    <t>1620568639249485824</t>
  </si>
  <si>
    <t>1620536617420333056</t>
  </si>
  <si>
    <t>1620429305049395200</t>
  </si>
  <si>
    <t>1620390184939565057</t>
  </si>
  <si>
    <t>1620181658434703360</t>
  </si>
  <si>
    <t>1620095744698114048</t>
  </si>
  <si>
    <t>1620049270027194368</t>
  </si>
  <si>
    <t>1620011152016289792</t>
  </si>
  <si>
    <t>1619671486524186624</t>
  </si>
  <si>
    <t>1618939135649255425</t>
  </si>
  <si>
    <t>1618014765514895365</t>
  </si>
  <si>
    <t>1617852651059970048</t>
  </si>
  <si>
    <t>1617540101185376257</t>
  </si>
  <si>
    <t>1617188252284321792</t>
  </si>
  <si>
    <t>1628415797881196546</t>
  </si>
  <si>
    <t>1698888546747052488</t>
  </si>
  <si>
    <t>1698656910709227527</t>
  </si>
  <si>
    <t>1654461336523268097</t>
  </si>
  <si>
    <t>1653020758950436864</t>
  </si>
  <si>
    <t>1651202055724232705</t>
  </si>
  <si>
    <t>1650840480282705922</t>
  </si>
  <si>
    <t>1647939669944946688</t>
  </si>
  <si>
    <t>1676206253339443200</t>
  </si>
  <si>
    <t>1663526764419727360</t>
  </si>
  <si>
    <t>1663178086106406912</t>
  </si>
  <si>
    <t>1663163400858357760</t>
  </si>
  <si>
    <t>1662077074704674819</t>
  </si>
  <si>
    <t>1649396628111982592</t>
  </si>
  <si>
    <t>1649034431976407041</t>
  </si>
  <si>
    <t>1648664113910894592</t>
  </si>
  <si>
    <t>1648312439350476803</t>
  </si>
  <si>
    <t>1669314966132850691</t>
  </si>
  <si>
    <t>1668604264023826432</t>
  </si>
  <si>
    <t>1663891085309902851</t>
  </si>
  <si>
    <t>1661349642133446658</t>
  </si>
  <si>
    <t>1654098075193950213</t>
  </si>
  <si>
    <t>1651926563363995650</t>
  </si>
  <si>
    <t>1651566445728333824</t>
  </si>
  <si>
    <t>1646850442960199680</t>
  </si>
  <si>
    <t>1646573123561553936</t>
  </si>
  <si>
    <t>1646570721013891072</t>
  </si>
  <si>
    <t>1646552636810723354</t>
  </si>
  <si>
    <t>1646216924341100573</t>
  </si>
  <si>
    <t>1675841051800530946</t>
  </si>
  <si>
    <t>1668958654970699776</t>
  </si>
  <si>
    <t>1668235716877230080</t>
  </si>
  <si>
    <t>1653734810953695233</t>
  </si>
  <si>
    <t>1653370800198565892</t>
  </si>
  <si>
    <t>1650484357767864321</t>
  </si>
  <si>
    <t>1679099943162634241</t>
  </si>
  <si>
    <t>1678750208811778050</t>
  </si>
  <si>
    <t>1656275494348701696</t>
  </si>
  <si>
    <t>1655912212630757377</t>
  </si>
  <si>
    <t>1655547981104283649</t>
  </si>
  <si>
    <t>1678385997111754756</t>
  </si>
  <si>
    <t>1669677783230947329</t>
  </si>
  <si>
    <t>1665095538717466624</t>
  </si>
  <si>
    <t>1665079419847729153</t>
  </si>
  <si>
    <t>1664605321187172353</t>
  </si>
  <si>
    <t>1664241053875019778</t>
  </si>
  <si>
    <t>1657004519606173696</t>
  </si>
  <si>
    <t>1656641233131909120</t>
  </si>
  <si>
    <t>1679827067091779586</t>
  </si>
  <si>
    <t>1679462738496561159</t>
  </si>
  <si>
    <t>1666416860059803648</t>
  </si>
  <si>
    <t>1666066527257341954</t>
  </si>
  <si>
    <t>1665700394092118016</t>
  </si>
  <si>
    <t>1660620781951365120</t>
  </si>
  <si>
    <t>1659531114401112065</t>
  </si>
  <si>
    <t>1681272305148624896</t>
  </si>
  <si>
    <t>1674756266286039042</t>
  </si>
  <si>
    <t>1674407653022347271</t>
  </si>
  <si>
    <t>1667148505494831104</t>
  </si>
  <si>
    <t>1666964055368560640</t>
  </si>
  <si>
    <t>1666786298277900292</t>
  </si>
  <si>
    <t>1658818944260620290</t>
  </si>
  <si>
    <t>1658082203769741317</t>
  </si>
  <si>
    <t>1632803330245140482</t>
  </si>
  <si>
    <t>1631370176695246862</t>
  </si>
  <si>
    <t>1647262422762176512</t>
  </si>
  <si>
    <t>1635628643274866688</t>
  </si>
  <si>
    <t>1659982545365213184</t>
  </si>
  <si>
    <t>1662439626529800194</t>
  </si>
  <si>
    <t>1613324279948447745</t>
  </si>
  <si>
    <t>1615418745522126848</t>
  </si>
  <si>
    <t>1611760111369785344</t>
  </si>
  <si>
    <t>1644885350634991618</t>
  </si>
  <si>
    <t>1610331450024382466</t>
  </si>
  <si>
    <t>1658435634506104832</t>
  </si>
  <si>
    <t>1660421001073549313</t>
  </si>
  <si>
    <t>1660373604557570049</t>
  </si>
  <si>
    <t>1661050265485688849</t>
  </si>
  <si>
    <t>1673109084608798721</t>
  </si>
  <si>
    <t>1635336219155648514</t>
  </si>
  <si>
    <t>1674167056940269568</t>
  </si>
  <si>
    <t>1610388156393689089</t>
  </si>
  <si>
    <t>1690820518574788608</t>
  </si>
  <si>
    <t>1691182906486513664</t>
  </si>
  <si>
    <t>1626240314838249473</t>
  </si>
  <si>
    <t>1670953541077172228</t>
  </si>
  <si>
    <t>1670953523272462337</t>
  </si>
  <si>
    <t>1664652122191720450</t>
  </si>
  <si>
    <t>1674417568663375875</t>
  </si>
  <si>
    <t>1676971007402446850</t>
  </si>
  <si>
    <t>1682028883410059271</t>
  </si>
  <si>
    <t>1667193982483308544</t>
  </si>
  <si>
    <t>1691449228579811328</t>
  </si>
  <si>
    <t>1688916201152606211</t>
  </si>
  <si>
    <t>1667299123886804994</t>
  </si>
  <si>
    <t>1616112483802173440</t>
  </si>
  <si>
    <t>1616100906973466627</t>
  </si>
  <si>
    <t>1616100163470196736</t>
  </si>
  <si>
    <t>1676282412207054858</t>
  </si>
  <si>
    <t>1688515368325693440</t>
  </si>
  <si>
    <t>1676942959076421634</t>
  </si>
  <si>
    <t>1624082065019789313</t>
  </si>
  <si>
    <t>1685008626866393088</t>
  </si>
  <si>
    <t>1681730979029762063</t>
  </si>
  <si>
    <t>1677444369870204929</t>
  </si>
  <si>
    <t>1686150927474978816</t>
  </si>
  <si>
    <t>1678402233224839168</t>
  </si>
  <si>
    <t>1678163276952227842</t>
  </si>
  <si>
    <t>1678153129920004099</t>
  </si>
  <si>
    <t>1678110163579043840</t>
  </si>
  <si>
    <t>1678101678128496640</t>
  </si>
  <si>
    <t>1678079500226011141</t>
  </si>
  <si>
    <t>1688931390220378113</t>
  </si>
  <si>
    <t>1688919238562738176</t>
  </si>
  <si>
    <t>1685805298949226496</t>
  </si>
  <si>
    <t>1682917118893780993</t>
  </si>
  <si>
    <t>1694058611272507676</t>
  </si>
  <si>
    <t>1689027116459868160</t>
  </si>
  <si>
    <t>1688941699836284928</t>
  </si>
  <si>
    <t>1686523503858556929</t>
  </si>
  <si>
    <t>1681077898495524864</t>
  </si>
  <si>
    <t>1698654272571785711</t>
  </si>
  <si>
    <t>1698436254944104764</t>
  </si>
  <si>
    <t>1698401684588806319</t>
  </si>
  <si>
    <t>1698367124215861536</t>
  </si>
  <si>
    <t>1684613621496545297</t>
  </si>
  <si>
    <t>1683976739645542400</t>
  </si>
  <si>
    <t>1651375736349966338</t>
  </si>
  <si>
    <t>1661886112602677250</t>
  </si>
  <si>
    <t>1658896413038899200</t>
  </si>
  <si>
    <t>1630930897984966656</t>
  </si>
  <si>
    <t>1630930893190881281</t>
  </si>
  <si>
    <t>1629066106718785537</t>
  </si>
  <si>
    <t>1628341330257510400</t>
  </si>
  <si>
    <t>1686361425726377984</t>
  </si>
  <si>
    <t>1678525648128573440</t>
  </si>
  <si>
    <t>1682839542787629058</t>
  </si>
  <si>
    <t>1669873517414760448</t>
  </si>
  <si>
    <t>1626310449573646336</t>
  </si>
  <si>
    <t>1646044017971347457</t>
  </si>
  <si>
    <t>1655479063019126790</t>
  </si>
  <si>
    <t>1692956063509708964</t>
  </si>
  <si>
    <t>1696477796833624279</t>
  </si>
  <si>
    <t>1685689902162165760</t>
  </si>
  <si>
    <t>1649493829177823239</t>
  </si>
  <si>
    <t>1648740688937222158</t>
  </si>
  <si>
    <t>1648427437230026752</t>
  </si>
  <si>
    <t>1648127483638607880</t>
  </si>
  <si>
    <t>1648115943212478470</t>
  </si>
  <si>
    <t>1648115738157219840</t>
  </si>
  <si>
    <t>1648106938570342402</t>
  </si>
  <si>
    <t>1648094317368492035</t>
  </si>
  <si>
    <t>1648093780203954176</t>
  </si>
  <si>
    <t>1648091566714634241</t>
  </si>
  <si>
    <t>1648091366147104769</t>
  </si>
  <si>
    <t>1679630535046602752</t>
  </si>
  <si>
    <t>1699199479738421380</t>
  </si>
  <si>
    <t>1642333229901398016</t>
  </si>
  <si>
    <t>1610954306324254721</t>
  </si>
  <si>
    <t>1615716037865148416</t>
  </si>
  <si>
    <t>1641882241969147922</t>
  </si>
  <si>
    <t>1635248618541289472</t>
  </si>
  <si>
    <t>1628385859950071811</t>
  </si>
  <si>
    <t>1683859833319985152</t>
  </si>
  <si>
    <t>1659219947078205441</t>
  </si>
  <si>
    <t>1616052938912444416</t>
  </si>
  <si>
    <t>1610946019721715714</t>
  </si>
  <si>
    <t>1638919656642584577</t>
  </si>
  <si>
    <t>1638918871196348417</t>
  </si>
  <si>
    <t>1638918825675481095</t>
  </si>
  <si>
    <t>1650830136206393346</t>
  </si>
  <si>
    <t>1615032619426512910</t>
  </si>
  <si>
    <t>1613949980531724299</t>
  </si>
  <si>
    <t>1611376793822306306</t>
  </si>
  <si>
    <t>1622610817702154240</t>
  </si>
  <si>
    <t>1631670514585419776</t>
  </si>
  <si>
    <t>1637831108032339969</t>
  </si>
  <si>
    <t>1621523654021349376</t>
  </si>
  <si>
    <t>1620799004287041536</t>
  </si>
  <si>
    <t>1618262289085353985</t>
  </si>
  <si>
    <t>1641817374562086912</t>
  </si>
  <si>
    <t>1626597083992977408</t>
  </si>
  <si>
    <t>1635294392851234816</t>
  </si>
  <si>
    <t>1609927242385182720</t>
  </si>
  <si>
    <t>1629837569939714051</t>
  </si>
  <si>
    <t>1700863746799812968</t>
  </si>
  <si>
    <t>1700863531485221245</t>
  </si>
  <si>
    <t>1670891141221212160</t>
  </si>
  <si>
    <t>1699738390495736311</t>
  </si>
  <si>
    <t>1635039264118554625</t>
  </si>
  <si>
    <t>1629288583788937217</t>
  </si>
  <si>
    <t>1661366387783106563</t>
  </si>
  <si>
    <t>1661366193666523138</t>
  </si>
  <si>
    <t>1700164889677844566</t>
  </si>
  <si>
    <t>1630638888476712960</t>
  </si>
  <si>
    <t>1649420190575206419</t>
  </si>
  <si>
    <t>1661422934731403264</t>
  </si>
  <si>
    <t>1667527848670769158</t>
  </si>
  <si>
    <t>1653489179966275584</t>
  </si>
  <si>
    <t>1649861100781838337</t>
  </si>
  <si>
    <t>1619093882184286208</t>
  </si>
  <si>
    <t>1676962051133177860</t>
  </si>
  <si>
    <t>1613547545216647168</t>
  </si>
  <si>
    <t>1698273299405422825</t>
  </si>
  <si>
    <t>1694872690308325409</t>
  </si>
  <si>
    <t>1624926475634851840</t>
  </si>
  <si>
    <t>1628580701128781829</t>
  </si>
  <si>
    <t>1632511031393001473</t>
  </si>
  <si>
    <t>1650745972060831744</t>
  </si>
  <si>
    <t>1660508215317086209</t>
  </si>
  <si>
    <t>1659562274858622982</t>
  </si>
  <si>
    <t>1659182386184179713</t>
  </si>
  <si>
    <t>1658831992576786435</t>
  </si>
  <si>
    <t>1658458431638974467</t>
  </si>
  <si>
    <t>1671863797135421444</t>
  </si>
  <si>
    <t>1676229543101644800</t>
  </si>
  <si>
    <t>1635297726375292929</t>
  </si>
  <si>
    <t>1643299804083019783</t>
  </si>
  <si>
    <t>1643296185858260992</t>
  </si>
  <si>
    <t>1638011723272577024</t>
  </si>
  <si>
    <t>1683510392817893383</t>
  </si>
  <si>
    <t>1609870670040555520</t>
  </si>
  <si>
    <t>1613139958239473665</t>
  </si>
  <si>
    <t>1610599032983887872</t>
  </si>
  <si>
    <t>1613014987525480449</t>
  </si>
  <si>
    <t>1637167950129160192</t>
  </si>
  <si>
    <t>1636799315556564992</t>
  </si>
  <si>
    <t>1616541229017169952</t>
  </si>
  <si>
    <t>1614032050650075137</t>
  </si>
  <si>
    <t>1658522050930016293</t>
  </si>
  <si>
    <t>1646147645289709574</t>
  </si>
  <si>
    <t>1679113578324828162</t>
  </si>
  <si>
    <t>1674168375415537664</t>
  </si>
  <si>
    <t>1682450489357619210</t>
  </si>
  <si>
    <t>1692597348663247338</t>
  </si>
  <si>
    <t>1697670760054018214</t>
  </si>
  <si>
    <t>1691925398043419040</t>
  </si>
  <si>
    <t>1687523916095377412</t>
  </si>
  <si>
    <t>1700207455223877866</t>
  </si>
  <si>
    <t>1699535520341102858</t>
  </si>
  <si>
    <t>1695134054729883668</t>
  </si>
  <si>
    <t>1690060630995206144</t>
  </si>
  <si>
    <t>1684987195965288448</t>
  </si>
  <si>
    <t>1677377033926586368</t>
  </si>
  <si>
    <t>1676705086137937921</t>
  </si>
  <si>
    <t>1688933696810680320</t>
  </si>
  <si>
    <t>1694007607655080416</t>
  </si>
  <si>
    <t>1623768530846994434</t>
  </si>
  <si>
    <t>1613527565142040576</t>
  </si>
  <si>
    <t>1613268387391479825</t>
  </si>
  <si>
    <t>1612902446115725334</t>
  </si>
  <si>
    <t>1612539969444220928</t>
  </si>
  <si>
    <t>1654286220074123264</t>
  </si>
  <si>
    <t>1700181994615804080</t>
  </si>
  <si>
    <t>1655711370854236161</t>
  </si>
  <si>
    <t>1654278840946925576</t>
  </si>
  <si>
    <t>1654236191913390080</t>
  </si>
  <si>
    <t>1654617033441435650</t>
  </si>
  <si>
    <t>1654174560189546506</t>
  </si>
  <si>
    <t>1693391632639336495</t>
  </si>
  <si>
    <t>1657780868260196352</t>
  </si>
  <si>
    <t>1657138476008046593</t>
  </si>
  <si>
    <t>1693742368095080459</t>
  </si>
  <si>
    <t>1676969459742035968</t>
  </si>
  <si>
    <t>1676199356184027137</t>
  </si>
  <si>
    <t>1679460857003008000</t>
  </si>
  <si>
    <t>1678851538217836545</t>
  </si>
  <si>
    <t>1678422891354812416</t>
  </si>
  <si>
    <t>1681384133518401536</t>
  </si>
  <si>
    <t>1674387414104539136</t>
  </si>
  <si>
    <t>1681693154322403329</t>
  </si>
  <si>
    <t>1612797080493326337</t>
  </si>
  <si>
    <t>1635986597819695104</t>
  </si>
  <si>
    <t>1648684231478894592</t>
  </si>
  <si>
    <t>1654544936677658625</t>
  </si>
  <si>
    <t>1638269484627623936</t>
  </si>
  <si>
    <t>1660989336786010112</t>
  </si>
  <si>
    <t>1623273363757047810</t>
  </si>
  <si>
    <t>1613518503918637056</t>
  </si>
  <si>
    <t>1639266039740473345</t>
  </si>
  <si>
    <t>1699156707346448721</t>
  </si>
  <si>
    <t>1668905916702261248</t>
  </si>
  <si>
    <t>1616954271752126465</t>
  </si>
  <si>
    <t>1623316823469965312</t>
  </si>
  <si>
    <t>1618982215123341312</t>
  </si>
  <si>
    <t>1701521038167970108</t>
  </si>
  <si>
    <t>1701883416319521140</t>
  </si>
  <si>
    <t>1701339836345631071</t>
  </si>
  <si>
    <t>1701609210377859268</t>
  </si>
  <si>
    <t>1701256785687134671</t>
  </si>
  <si>
    <t>1701747519712305472</t>
  </si>
  <si>
    <t>1701951583238471706</t>
  </si>
  <si>
    <t>1630996167524851712</t>
  </si>
  <si>
    <t>1700236697445765336</t>
  </si>
  <si>
    <t>1644384698439720960</t>
  </si>
  <si>
    <t>1648370980190928899</t>
  </si>
  <si>
    <t>1661462414116659203</t>
  </si>
  <si>
    <t>1614610490298191872</t>
  </si>
  <si>
    <t>1609916569429200896</t>
  </si>
  <si>
    <t>1677306673470349312</t>
  </si>
  <si>
    <t>1628084498557546512</t>
  </si>
  <si>
    <t>1611007208329707520</t>
  </si>
  <si>
    <t>1666520605087113254</t>
  </si>
  <si>
    <t>1696910493296783559</t>
  </si>
  <si>
    <t>1690306598403448832</t>
  </si>
  <si>
    <t>1690151187733999616</t>
  </si>
  <si>
    <t>1690914969066352640</t>
  </si>
  <si>
    <t>1649543817450668034</t>
  </si>
  <si>
    <t>1657520230971715584</t>
  </si>
  <si>
    <t>1656718606850195474</t>
  </si>
  <si>
    <t>1638992519819300865</t>
  </si>
  <si>
    <t>1631648181418336256</t>
  </si>
  <si>
    <t>1633885736893132800</t>
  </si>
  <si>
    <t>1634588662045319168</t>
  </si>
  <si>
    <t>1643324599004721157</t>
  </si>
  <si>
    <t>1656656017663328256</t>
  </si>
  <si>
    <t>1650213151743287297</t>
  </si>
  <si>
    <t>1617652957620600833</t>
  </si>
  <si>
    <t>1700245120191226065</t>
  </si>
  <si>
    <t>1700256179983982615</t>
  </si>
  <si>
    <t>1661400317408296960</t>
  </si>
  <si>
    <t>1658652294433439745</t>
  </si>
  <si>
    <t>1665463264849936385</t>
  </si>
  <si>
    <t>1659598841031671827</t>
  </si>
  <si>
    <t>1622709337457131520</t>
  </si>
  <si>
    <t>1626323323868127232</t>
  </si>
  <si>
    <t>1625642840779882497</t>
  </si>
  <si>
    <t>1616216640596889603</t>
  </si>
  <si>
    <t>1615849628586442753</t>
  </si>
  <si>
    <t>1613242296916402182</t>
  </si>
  <si>
    <t>1611022344151093249</t>
  </si>
  <si>
    <t>1610759730808619008</t>
  </si>
  <si>
    <t>1615454141580562432</t>
  </si>
  <si>
    <t>1615454134462816262</t>
  </si>
  <si>
    <t>1629234853928439810</t>
  </si>
  <si>
    <t>1629234829861478400</t>
  </si>
  <si>
    <t>1628871375556423686</t>
  </si>
  <si>
    <t>1610029569204961280</t>
  </si>
  <si>
    <t>1621271231025627138</t>
  </si>
  <si>
    <t>1620572924142034944</t>
  </si>
  <si>
    <t>1620572914725814275</t>
  </si>
  <si>
    <t>1617999339045130241</t>
  </si>
  <si>
    <t>1617999328945278978</t>
  </si>
  <si>
    <t>1625642833712492545</t>
  </si>
  <si>
    <t>1616972671035609088</t>
  </si>
  <si>
    <t>1642099547005394946</t>
  </si>
  <si>
    <t>1642196728085458951</t>
  </si>
  <si>
    <t>1654201679460421640</t>
  </si>
  <si>
    <t>1637128720514273283</t>
  </si>
  <si>
    <t>1634968600569315329</t>
  </si>
  <si>
    <t>1638959326801850375</t>
  </si>
  <si>
    <t>1649117291181637634</t>
  </si>
  <si>
    <t>1688941020455501824</t>
  </si>
  <si>
    <t>1665806965388320769</t>
  </si>
  <si>
    <t>1668685359390007551</t>
  </si>
  <si>
    <t>1678857792252198912</t>
  </si>
  <si>
    <t>1638240332029521926</t>
  </si>
  <si>
    <t>1680989509775654920</t>
  </si>
  <si>
    <t>1677737904867536897</t>
  </si>
  <si>
    <t>1682416024635822081</t>
  </si>
  <si>
    <t>1678412840808464386</t>
  </si>
  <si>
    <t>1643291675022835714</t>
  </si>
  <si>
    <t>1641822178021654531</t>
  </si>
  <si>
    <t>1689660493021999104</t>
  </si>
  <si>
    <t>1676977454236200961</t>
  </si>
  <si>
    <t>1676282765879156748</t>
  </si>
  <si>
    <t>1632054388985413638</t>
  </si>
  <si>
    <t>1679605791425216513</t>
  </si>
  <si>
    <t>1673349849591300096</t>
  </si>
  <si>
    <t>1659247830676930560</t>
  </si>
  <si>
    <t>1630943048979869697</t>
  </si>
  <si>
    <t>1696245466743119980</t>
  </si>
  <si>
    <t>1612441836437606402</t>
  </si>
  <si>
    <t>1609523599798304768</t>
  </si>
  <si>
    <t>1605575185301753858</t>
  </si>
  <si>
    <t>1625506507147059208</t>
  </si>
  <si>
    <t>1617994468472377358</t>
  </si>
  <si>
    <t>1624056989155303433</t>
  </si>
  <si>
    <t>1664255488337547266</t>
  </si>
  <si>
    <t>1656305590879268864</t>
  </si>
  <si>
    <t>1625902653766086659</t>
  </si>
  <si>
    <t>1677022574578917398</t>
  </si>
  <si>
    <t>1613155123181588483</t>
  </si>
  <si>
    <t>1612524825368485888</t>
  </si>
  <si>
    <t>1612162374844178432</t>
  </si>
  <si>
    <t>1630959063000334339</t>
  </si>
  <si>
    <t>1698757223961215324</t>
  </si>
  <si>
    <t>1698759761502626089</t>
  </si>
  <si>
    <t>1634392762383572992</t>
  </si>
  <si>
    <t>1655451082359812096</t>
  </si>
  <si>
    <t>1657110959503163393</t>
  </si>
  <si>
    <t>1617204486077808642</t>
  </si>
  <si>
    <t>1674391188374257669</t>
  </si>
  <si>
    <t>1674186076288876545</t>
  </si>
  <si>
    <t>1613482783787171841</t>
  </si>
  <si>
    <t>1623632779400323074</t>
  </si>
  <si>
    <t>1643373717035048960</t>
  </si>
  <si>
    <t>1681977730710089728</t>
  </si>
  <si>
    <t>1636342678492258304</t>
  </si>
  <si>
    <t>1613818738817617920</t>
  </si>
  <si>
    <t>1696919830564159519</t>
  </si>
  <si>
    <t>1699796426325475624</t>
  </si>
  <si>
    <t>1643995760726269953</t>
  </si>
  <si>
    <t>1638899105953902593</t>
  </si>
  <si>
    <t>1666520604118229012</t>
  </si>
  <si>
    <t>1645455908464386051</t>
  </si>
  <si>
    <t>1643722105018630145</t>
  </si>
  <si>
    <t>1642272697794142208</t>
  </si>
  <si>
    <t>1666508315751227472</t>
  </si>
  <si>
    <t>1681272798105292800</t>
  </si>
  <si>
    <t>1680990809766674435</t>
  </si>
  <si>
    <t>1660360088115113990</t>
  </si>
  <si>
    <t>1662892948059725824</t>
  </si>
  <si>
    <t>1657889713414340608</t>
  </si>
  <si>
    <t>1673692668201959430</t>
  </si>
  <si>
    <t>1637808262820114433</t>
  </si>
  <si>
    <t>1640368535598772228</t>
  </si>
  <si>
    <t>1620894248387358720</t>
  </si>
  <si>
    <t>1643266642103730179</t>
  </si>
  <si>
    <t>1636564258715475970</t>
  </si>
  <si>
    <t>1625209284546990095</t>
  </si>
  <si>
    <t>1625227787983282176</t>
  </si>
  <si>
    <t>1614804633100210179</t>
  </si>
  <si>
    <t>1637016048728776704</t>
  </si>
  <si>
    <t>1612871048399028224</t>
  </si>
  <si>
    <t>1663874457511899137</t>
  </si>
  <si>
    <t>1610093593263325190</t>
  </si>
  <si>
    <t>1671669331644776448</t>
  </si>
  <si>
    <t>1670204675470024704</t>
  </si>
  <si>
    <t>1627669569526456320</t>
  </si>
  <si>
    <t>1684301109081382913</t>
  </si>
  <si>
    <t>1677031169190252544</t>
  </si>
  <si>
    <t>1683160042617331714</t>
  </si>
  <si>
    <t>1665463440100696064</t>
  </si>
  <si>
    <t>1637030709826289664</t>
  </si>
  <si>
    <t>1685011088381722624</t>
  </si>
  <si>
    <t>1635579512640479232</t>
  </si>
  <si>
    <t>1621101063657906179</t>
  </si>
  <si>
    <t>1691768735147671854</t>
  </si>
  <si>
    <t>1689227577485832192</t>
  </si>
  <si>
    <t>1660962223441805312</t>
  </si>
  <si>
    <t>1661691317250932736</t>
  </si>
  <si>
    <t>1652620120567545856</t>
  </si>
  <si>
    <t>1634293009234681859</t>
  </si>
  <si>
    <t>1616013622349529088</t>
  </si>
  <si>
    <t>1613154617369526272</t>
  </si>
  <si>
    <t>1612416950415626242</t>
  </si>
  <si>
    <t>1665367062334636034</t>
  </si>
  <si>
    <t>1658052730328436736</t>
  </si>
  <si>
    <t>1641463581550968832</t>
  </si>
  <si>
    <t>1626542212048625664</t>
  </si>
  <si>
    <t>1626165507966570496</t>
  </si>
  <si>
    <t>1669334689541234690</t>
  </si>
  <si>
    <t>1646475590470344704</t>
  </si>
  <si>
    <t>1645746548133773312</t>
  </si>
  <si>
    <t>1630148989638017033</t>
  </si>
  <si>
    <t>1635588095969034242</t>
  </si>
  <si>
    <t>1615313417358966786</t>
  </si>
  <si>
    <t>1637765306209779712</t>
  </si>
  <si>
    <t>1617961240340615168</t>
  </si>
  <si>
    <t>1623286288496439298</t>
  </si>
  <si>
    <t>1695397387450171783</t>
  </si>
  <si>
    <t>1629812723675455489</t>
  </si>
  <si>
    <t>1628485814777745412</t>
  </si>
  <si>
    <t>1628035345811124225</t>
  </si>
  <si>
    <t>1683514802033905664</t>
  </si>
  <si>
    <t>1695144262248128850</t>
  </si>
  <si>
    <t>1681359930433863710</t>
  </si>
  <si>
    <t>1625282167499628551</t>
  </si>
  <si>
    <t>1624400426094272513</t>
  </si>
  <si>
    <t>1671915950638071809</t>
  </si>
  <si>
    <t>1668697830842662912</t>
  </si>
  <si>
    <t>1658110596997435392</t>
  </si>
  <si>
    <t>1616092458743480322</t>
  </si>
  <si>
    <t>1610105057395052544</t>
  </si>
  <si>
    <t>1634328891350306828</t>
  </si>
  <si>
    <t>1635300994606329863</t>
  </si>
  <si>
    <t>1659240012305530900</t>
  </si>
  <si>
    <t>1650469650176659457</t>
  </si>
  <si>
    <t>1649397579195588608</t>
  </si>
  <si>
    <t>1656707435191574528</t>
  </si>
  <si>
    <t>1656707432318484483</t>
  </si>
  <si>
    <t>1656707429894062080</t>
  </si>
  <si>
    <t>1637943213313998853</t>
  </si>
  <si>
    <t>1623089191683751937</t>
  </si>
  <si>
    <t>1685791837473185792</t>
  </si>
  <si>
    <t>1622996342875521025</t>
  </si>
  <si>
    <t>1649407137943023617</t>
  </si>
  <si>
    <t>1666885323597520897</t>
  </si>
  <si>
    <t>1620596988923478017</t>
  </si>
  <si>
    <t>1637767587575545858</t>
  </si>
  <si>
    <t>1666104979453620225</t>
  </si>
  <si>
    <t>1625896343532187653</t>
  </si>
  <si>
    <t>1675129397077065728</t>
  </si>
  <si>
    <t>1622354484717408259</t>
  </si>
  <si>
    <t>1647283831798472704</t>
  </si>
  <si>
    <t>1637529548882423810</t>
  </si>
  <si>
    <t>1637182188201418754</t>
  </si>
  <si>
    <t>1611350657990017025</t>
  </si>
  <si>
    <t>1663870645405458432</t>
  </si>
  <si>
    <t>1645789008667222017</t>
  </si>
  <si>
    <t>1673315359686811649</t>
  </si>
  <si>
    <t>1660390190119018497</t>
  </si>
  <si>
    <t>1659197363653836802</t>
  </si>
  <si>
    <t>1678162298467221505</t>
  </si>
  <si>
    <t>1677981064340357122</t>
  </si>
  <si>
    <t>1627427928945442816</t>
  </si>
  <si>
    <t>1627239067824922624</t>
  </si>
  <si>
    <t>1626869188223553536</t>
  </si>
  <si>
    <t>1625806094579687424</t>
  </si>
  <si>
    <t>1677724368187584514</t>
  </si>
  <si>
    <t>1675836966821154816</t>
  </si>
  <si>
    <t>1653346497964933121</t>
  </si>
  <si>
    <t>1650092337769447426</t>
  </si>
  <si>
    <t>1649714789784997890</t>
  </si>
  <si>
    <t>1636699025230422017</t>
  </si>
  <si>
    <t>1700992546175136199</t>
  </si>
  <si>
    <t>1700252676666335288</t>
  </si>
  <si>
    <t>1700188496907087917</t>
  </si>
  <si>
    <t>1700208845669253360</t>
  </si>
  <si>
    <t>1700208294357295314</t>
  </si>
  <si>
    <t>1700197202537132279</t>
  </si>
  <si>
    <t>1698085892840456678</t>
  </si>
  <si>
    <t>1698070793941373055</t>
  </si>
  <si>
    <t>1698063243737260061</t>
  </si>
  <si>
    <t>1684870128423333888</t>
  </si>
  <si>
    <t>1684206939985842176</t>
  </si>
  <si>
    <t>1677265142877134851</t>
  </si>
  <si>
    <t>1676939210333339650</t>
  </si>
  <si>
    <t>1648271316800217092</t>
  </si>
  <si>
    <t>1633105362264965124</t>
  </si>
  <si>
    <t>1632576783475245056</t>
  </si>
  <si>
    <t>1631633131966013441</t>
  </si>
  <si>
    <t>1700962346552701118</t>
  </si>
  <si>
    <t>1700901950580228248</t>
  </si>
  <si>
    <t>1699814789881471228</t>
  </si>
  <si>
    <t>1698044797313757621</t>
  </si>
  <si>
    <t>1688157984235360257</t>
  </si>
  <si>
    <t>1672666051673300992</t>
  </si>
  <si>
    <t>1671148567103152128</t>
  </si>
  <si>
    <t>1655888978032185347</t>
  </si>
  <si>
    <t>1654969494953943041</t>
  </si>
  <si>
    <t>1654909041628332035</t>
  </si>
  <si>
    <t>1620059393491337219</t>
  </si>
  <si>
    <t>1618233082779254785</t>
  </si>
  <si>
    <t>1700226225883488740</t>
  </si>
  <si>
    <t>1623705447277506561</t>
  </si>
  <si>
    <t>1651659434043514914</t>
  </si>
  <si>
    <t>1640673100395159552</t>
  </si>
  <si>
    <t>1688141163306348544</t>
  </si>
  <si>
    <t>1688182211193790464</t>
  </si>
  <si>
    <t>1627622227213529089</t>
  </si>
  <si>
    <t>1652615931351187459</t>
  </si>
  <si>
    <t>1668913357615767552</t>
  </si>
  <si>
    <t>1615302791819313153</t>
  </si>
  <si>
    <t>1673417866421366786</t>
  </si>
  <si>
    <t>1618925982618128384</t>
  </si>
  <si>
    <t>1656423910127140864</t>
  </si>
  <si>
    <t>1649409413596184576</t>
  </si>
  <si>
    <t>1653456105907920896</t>
  </si>
  <si>
    <t>1671949297032593417</t>
  </si>
  <si>
    <t>1654639820960825346</t>
  </si>
  <si>
    <t>1637040199145234432</t>
  </si>
  <si>
    <t>1649564070759084033</t>
  </si>
  <si>
    <t>1643353936500252673</t>
  </si>
  <si>
    <t>1643312862092247041</t>
  </si>
  <si>
    <t>1659366720425828354</t>
  </si>
  <si>
    <t>1644087522128003074</t>
  </si>
  <si>
    <t>1643732143967698944</t>
  </si>
  <si>
    <t>1661237397252902913</t>
  </si>
  <si>
    <t>1614806734760968193</t>
  </si>
  <si>
    <t>1680776739729833984</t>
  </si>
  <si>
    <t>1682525785100263425</t>
  </si>
  <si>
    <t>1645457263262420993</t>
  </si>
  <si>
    <t>1646575345791893520</t>
  </si>
  <si>
    <t>1666543451897249793</t>
  </si>
  <si>
    <t>1645068488468316160</t>
  </si>
  <si>
    <t>1643014009350938627</t>
  </si>
  <si>
    <t>1638869635150802945</t>
  </si>
  <si>
    <t>1666841766786486272</t>
  </si>
  <si>
    <t>1699767520306110736</t>
  </si>
  <si>
    <t>1638919865447731201</t>
  </si>
  <si>
    <t>1640318317268287489</t>
  </si>
  <si>
    <t>1689388123459866624</t>
  </si>
  <si>
    <t>1681673451788967937</t>
  </si>
  <si>
    <t>1616193560268705816</t>
  </si>
  <si>
    <t>1696944629550051799</t>
  </si>
  <si>
    <t>1628684926349623296</t>
  </si>
  <si>
    <t>1692101115213492420</t>
  </si>
  <si>
    <t>1638224629016698894</t>
  </si>
  <si>
    <t>1679113845502095363</t>
  </si>
  <si>
    <t>1658047327460900869</t>
  </si>
  <si>
    <t>1669508299002200064</t>
  </si>
  <si>
    <t>1679168197025574912</t>
  </si>
  <si>
    <t>1699902103588913260</t>
  </si>
  <si>
    <t>1656773887558836225</t>
  </si>
  <si>
    <t>1688568927834566656</t>
  </si>
  <si>
    <t>1691780717481542022</t>
  </si>
  <si>
    <t>1626253416904200197</t>
  </si>
  <si>
    <t>1678388723497553920</t>
  </si>
  <si>
    <t>1650376108947263490</t>
  </si>
  <si>
    <t>1692210051698556957</t>
  </si>
  <si>
    <t>1647773134034968576</t>
  </si>
  <si>
    <t>1641080856834875393</t>
  </si>
  <si>
    <t>1679506264475271168</t>
  </si>
  <si>
    <t>1671879132337299460</t>
  </si>
  <si>
    <t>1698754258999349615</t>
  </si>
  <si>
    <t>1693648127318716731</t>
  </si>
  <si>
    <t>1662809182096048128</t>
  </si>
  <si>
    <t>1656276055387262978</t>
  </si>
  <si>
    <t>1663704633330548736</t>
  </si>
  <si>
    <t>1616622884885237761</t>
  </si>
  <si>
    <t>1632481860159930368</t>
  </si>
  <si>
    <t>1626941604572569602</t>
  </si>
  <si>
    <t>1640062813048799233</t>
  </si>
  <si>
    <t>1637499174814994432</t>
  </si>
  <si>
    <t>1637182087836094464</t>
  </si>
  <si>
    <t>1673738504252141568</t>
  </si>
  <si>
    <t>1624860898354675713</t>
  </si>
  <si>
    <t>1666181927013871618</t>
  </si>
  <si>
    <t>1660403741541953536</t>
  </si>
  <si>
    <t>1660614685857665024</t>
  </si>
  <si>
    <t>1673011299523936256</t>
  </si>
  <si>
    <t>1676938388790996993</t>
  </si>
  <si>
    <t>1679849399483273216</t>
  </si>
  <si>
    <t>1690407416234401792</t>
  </si>
  <si>
    <t>1643047380986761216</t>
  </si>
  <si>
    <t>1699787331329540499</t>
  </si>
  <si>
    <t>1618133277411246080</t>
  </si>
  <si>
    <t>1618821226356432896</t>
  </si>
  <si>
    <t>1619339117430509568</t>
  </si>
  <si>
    <t>1671206837138456576</t>
  </si>
  <si>
    <t>1643196969546833920</t>
  </si>
  <si>
    <t>1640342773990584321</t>
  </si>
  <si>
    <t>1639324075410567170</t>
  </si>
  <si>
    <t>1670624958203019265</t>
  </si>
  <si>
    <t>1685017252309954561</t>
  </si>
  <si>
    <t>1688671847619887104</t>
  </si>
  <si>
    <t>1690112910549286912</t>
  </si>
  <si>
    <t>1615371620901687298</t>
  </si>
  <si>
    <t>1665524976370298884</t>
  </si>
  <si>
    <t>1668386551947055105</t>
  </si>
  <si>
    <t>1679453714065530882</t>
  </si>
  <si>
    <t>1658514470031720454</t>
  </si>
  <si>
    <t>1660669932273541121</t>
  </si>
  <si>
    <t>1644354758864519172</t>
  </si>
  <si>
    <t>1625285148227825664</t>
  </si>
  <si>
    <t>1661118475618623508</t>
  </si>
  <si>
    <t>1667274072605032448</t>
  </si>
  <si>
    <t>1661499616288813058</t>
  </si>
  <si>
    <t>1687586687709233153</t>
  </si>
  <si>
    <t>1690593737116643329</t>
  </si>
  <si>
    <t>1670915401767608321</t>
  </si>
  <si>
    <t>1664763772844613633</t>
  </si>
  <si>
    <t>1664759840860786689</t>
  </si>
  <si>
    <t>1690592829435695105</t>
  </si>
  <si>
    <t>1663309840976838666</t>
  </si>
  <si>
    <t>1691136717732851721</t>
  </si>
  <si>
    <t>1674866927531876368</t>
  </si>
  <si>
    <t>1674518021950390277</t>
  </si>
  <si>
    <t>1694067664077922585</t>
  </si>
  <si>
    <t>1688631449258209280</t>
  </si>
  <si>
    <t>1673439328075239426</t>
  </si>
  <si>
    <t>1660781890566062080</t>
  </si>
  <si>
    <t>1667162295749713922</t>
  </si>
  <si>
    <t>1625724541136781312</t>
  </si>
  <si>
    <t>1660744483343077376</t>
  </si>
  <si>
    <t>1648338862056284165</t>
  </si>
  <si>
    <t>1643238111877447680</t>
  </si>
  <si>
    <t>1676205810253197312</t>
  </si>
  <si>
    <t>1636812155046510598</t>
  </si>
  <si>
    <t>1638322133490184193</t>
  </si>
  <si>
    <t>1666860138970460195</t>
  </si>
  <si>
    <t>1668664531852091392</t>
  </si>
  <si>
    <t>1675121371414925312</t>
  </si>
  <si>
    <t>1665469941322006528</t>
  </si>
  <si>
    <t>1681740309888114688</t>
  </si>
  <si>
    <t>1614045219330064392</t>
  </si>
  <si>
    <t>1685794985256394753</t>
  </si>
  <si>
    <t>1664696138232913921</t>
  </si>
  <si>
    <t>1687934659450060801</t>
  </si>
  <si>
    <t>1686792110912008197</t>
  </si>
  <si>
    <t>1681329827729604608</t>
  </si>
  <si>
    <t>1686042019045445633</t>
  </si>
  <si>
    <t>1661679766875824130</t>
  </si>
  <si>
    <t>1651179830266699776</t>
  </si>
  <si>
    <t>1647918808655360001</t>
  </si>
  <si>
    <t>1634142631407108097</t>
  </si>
  <si>
    <t>1633775631358996481</t>
  </si>
  <si>
    <t>1616387360840712192</t>
  </si>
  <si>
    <t>1613479296827260929</t>
  </si>
  <si>
    <t>1613132389433200641</t>
  </si>
  <si>
    <t>1612422296400023552</t>
  </si>
  <si>
    <t>1611307531908923392</t>
  </si>
  <si>
    <t>1610955417022271488</t>
  </si>
  <si>
    <t>1681986431827300352</t>
  </si>
  <si>
    <t>1675817344092733441</t>
  </si>
  <si>
    <t>1668933033783709698</t>
  </si>
  <si>
    <t>1668209241113460736</t>
  </si>
  <si>
    <t>1667167009270816769</t>
  </si>
  <si>
    <t>1653723009046261763</t>
  </si>
  <si>
    <t>1653356439614701568</t>
  </si>
  <si>
    <t>1650449818123223040</t>
  </si>
  <si>
    <t>1636677063221424128</t>
  </si>
  <si>
    <t>1636319213689229314</t>
  </si>
  <si>
    <t>1636022414277505027</t>
  </si>
  <si>
    <t>1635594811544592387</t>
  </si>
  <si>
    <t>1615664225153871873</t>
  </si>
  <si>
    <t>1615308600389369856</t>
  </si>
  <si>
    <t>1614977905263534080</t>
  </si>
  <si>
    <t>1613856211224461313</t>
  </si>
  <si>
    <t>1692493744400994716</t>
  </si>
  <si>
    <t>1689228245495918592</t>
  </si>
  <si>
    <t>1686690164242882562</t>
  </si>
  <si>
    <t>1683795022859079681</t>
  </si>
  <si>
    <t>1681619885779042306</t>
  </si>
  <si>
    <t>1681249935985967105</t>
  </si>
  <si>
    <t>1680924355922886661</t>
  </si>
  <si>
    <t>1674739753005056002</t>
  </si>
  <si>
    <t>1674368763267895297</t>
  </si>
  <si>
    <t>1666745194019192835</t>
  </si>
  <si>
    <t>1659167181542760451</t>
  </si>
  <si>
    <t>1658791707436105729</t>
  </si>
  <si>
    <t>1658424610327494656</t>
  </si>
  <si>
    <t>1641031561180053504</t>
  </si>
  <si>
    <t>1640672078771761152</t>
  </si>
  <si>
    <t>1639221874184912896</t>
  </si>
  <si>
    <t>1623632264679546885</t>
  </si>
  <si>
    <t>1622906630844170240</t>
  </si>
  <si>
    <t>1622548777260273665</t>
  </si>
  <si>
    <t>1696119014215368833</t>
  </si>
  <si>
    <t>1691400332952182784</t>
  </si>
  <si>
    <t>1688518527391559680</t>
  </si>
  <si>
    <t>1686339356066230273</t>
  </si>
  <si>
    <t>1686003115386875906</t>
  </si>
  <si>
    <t>1682346878807973890</t>
  </si>
  <si>
    <t>1678362999566786561</t>
  </si>
  <si>
    <t>1670751098477457411</t>
  </si>
  <si>
    <t>1664605476397383682</t>
  </si>
  <si>
    <t>1664219985865068544</t>
  </si>
  <si>
    <t>1658067009182089219</t>
  </si>
  <si>
    <t>1656968976088399872</t>
  </si>
  <si>
    <t>1656608800495812608</t>
  </si>
  <si>
    <t>1643205856865951748</t>
  </si>
  <si>
    <t>1642846616586534917</t>
  </si>
  <si>
    <t>1641412220318806016</t>
  </si>
  <si>
    <t>1628362667848089600</t>
  </si>
  <si>
    <t>1626539982700654592</t>
  </si>
  <si>
    <t>1626184803518144512</t>
  </si>
  <si>
    <t>1625806770802139137</t>
  </si>
  <si>
    <t>1696475828081590297</t>
  </si>
  <si>
    <t>1694280721584799760</t>
  </si>
  <si>
    <t>1693937747713544694</t>
  </si>
  <si>
    <t>1693590870367330647</t>
  </si>
  <si>
    <t>1691044500137762816</t>
  </si>
  <si>
    <t>1688869450689269760</t>
  </si>
  <si>
    <t>1683430067534274560</t>
  </si>
  <si>
    <t>1679820975246811136</t>
  </si>
  <si>
    <t>1679451641110511618</t>
  </si>
  <si>
    <t>1674004389739077632</t>
  </si>
  <si>
    <t>1673613313438109696</t>
  </si>
  <si>
    <t>1666403818693697539</t>
  </si>
  <si>
    <t>1660956849737285639</t>
  </si>
  <si>
    <t>1660597615635963904</t>
  </si>
  <si>
    <t>1645376336058277888</t>
  </si>
  <si>
    <t>1643924382056677376</t>
  </si>
  <si>
    <t>1643569215582920710</t>
  </si>
  <si>
    <t>1625442547043540993</t>
  </si>
  <si>
    <t>1623990628135714816</t>
  </si>
  <si>
    <t>1701196657059131475</t>
  </si>
  <si>
    <t>1697556693373046959</t>
  </si>
  <si>
    <t>1696837978239168748</t>
  </si>
  <si>
    <t>1692129679220605127</t>
  </si>
  <si>
    <t>1691773329403679102</t>
  </si>
  <si>
    <t>1687449926559576064</t>
  </si>
  <si>
    <t>1687051743165657088</t>
  </si>
  <si>
    <t>1679070454605131776</t>
  </si>
  <si>
    <t>1678722053732552706</t>
  </si>
  <si>
    <t>1673262377498812417</t>
  </si>
  <si>
    <t>1672204207560990723</t>
  </si>
  <si>
    <t>1671819074588868615</t>
  </si>
  <si>
    <t>1671475470544543744</t>
  </si>
  <si>
    <t>1656254429606076417</t>
  </si>
  <si>
    <t>1655890508114194434</t>
  </si>
  <si>
    <t>1655529166530387969</t>
  </si>
  <si>
    <t>1654491156556783619</t>
  </si>
  <si>
    <t>1638847544192126976</t>
  </si>
  <si>
    <t>1638496295022219264</t>
  </si>
  <si>
    <t>1637762470579171328</t>
  </si>
  <si>
    <t>1637761008511877125</t>
  </si>
  <si>
    <t>1621467219828916226</t>
  </si>
  <si>
    <t>1620745194152005634</t>
  </si>
  <si>
    <t>1620008591536320512</t>
  </si>
  <si>
    <t>1618927616123338753</t>
  </si>
  <si>
    <t>1618560248717152259</t>
  </si>
  <si>
    <t>1618192028361461760</t>
  </si>
  <si>
    <t>1617826279402897410</t>
  </si>
  <si>
    <t>1617479990869913601</t>
  </si>
  <si>
    <t>1701555865596150198</t>
  </si>
  <si>
    <t>1699004054465020379</t>
  </si>
  <si>
    <t>1697226858943729689</t>
  </si>
  <si>
    <t>1695014926836740383</t>
  </si>
  <si>
    <t>1694664006127013962</t>
  </si>
  <si>
    <t>1689952272036311041</t>
  </si>
  <si>
    <t>1689587062993793025</t>
  </si>
  <si>
    <t>1684900636633059328</t>
  </si>
  <si>
    <t>1684539572292550656</t>
  </si>
  <si>
    <t>1684148922602897409</t>
  </si>
  <si>
    <t>1677267905736585222</t>
  </si>
  <si>
    <t>1676536091266908161</t>
  </si>
  <si>
    <t>1676181466982539265</t>
  </si>
  <si>
    <t>1663495902076497923</t>
  </si>
  <si>
    <t>1663130505150119936</t>
  </si>
  <si>
    <t>1662053697549991939</t>
  </si>
  <si>
    <t>1649005705796501504</t>
  </si>
  <si>
    <t>1648279477502324737</t>
  </si>
  <si>
    <t>1633423365435260931</t>
  </si>
  <si>
    <t>1633051652415537153</t>
  </si>
  <si>
    <t>1632694077475913728</t>
  </si>
  <si>
    <t>1631612732997763072</t>
  </si>
  <si>
    <t>1631266827064991745</t>
  </si>
  <si>
    <t>1630881916516720641</t>
  </si>
  <si>
    <t>1630536961352933377</t>
  </si>
  <si>
    <t>1701917067698450628</t>
  </si>
  <si>
    <t>1671108984349028353</t>
  </si>
  <si>
    <t>1669316707108659200</t>
  </si>
  <si>
    <t>1663860032574726147</t>
  </si>
  <si>
    <t>1661322687388459008</t>
  </si>
  <si>
    <t>1654077532742856705</t>
  </si>
  <si>
    <t>1651893917657231360</t>
  </si>
  <si>
    <t>1651550884973748227</t>
  </si>
  <si>
    <t>1646825094801416193</t>
  </si>
  <si>
    <t>1646458698796023808</t>
  </si>
  <si>
    <t>1646104895148240898</t>
  </si>
  <si>
    <t>1630165366293815296</t>
  </si>
  <si>
    <t>1629079796150939649</t>
  </si>
  <si>
    <t>1628717781808979973</t>
  </si>
  <si>
    <t>1610586568615464960</t>
  </si>
  <si>
    <t>1610251671480815617</t>
  </si>
  <si>
    <t>1616888414384656385</t>
  </si>
  <si>
    <t>1698018069371588954</t>
  </si>
  <si>
    <t>1699180728905293828</t>
  </si>
  <si>
    <t>1614025274810662914</t>
  </si>
  <si>
    <t>1655538296095645696</t>
  </si>
  <si>
    <t>1655281112040583168</t>
  </si>
  <si>
    <t>1618560797915107329</t>
  </si>
  <si>
    <t>1612913555770056729</t>
  </si>
  <si>
    <t>1668261547943002120</t>
  </si>
  <si>
    <t>1694534544462848470</t>
  </si>
  <si>
    <t>1697229325940973728</t>
  </si>
  <si>
    <t>1661311539859652610</t>
  </si>
  <si>
    <t>1679427429058727936</t>
  </si>
  <si>
    <t>1659552840098934785</t>
  </si>
  <si>
    <t>1659552819886563329</t>
  </si>
  <si>
    <t>1694347949751308372</t>
  </si>
  <si>
    <t>1624577007345446912</t>
  </si>
  <si>
    <t>1631615077366284290</t>
  </si>
  <si>
    <t>1676230253700698114</t>
  </si>
  <si>
    <t>1663516400600875008</t>
  </si>
  <si>
    <t>1642983930100842496</t>
  </si>
  <si>
    <t>1686852709620580352</t>
  </si>
  <si>
    <t>1698773994709623219</t>
  </si>
  <si>
    <t>1659272622620778520</t>
  </si>
  <si>
    <t>1629135641802833922</t>
  </si>
  <si>
    <t>1632490919994834944</t>
  </si>
  <si>
    <t>1632128532384980992</t>
  </si>
  <si>
    <t>1631403504903356416</t>
  </si>
  <si>
    <t>1627469225911627776</t>
  </si>
  <si>
    <t>1627131302443945986</t>
  </si>
  <si>
    <t>1626988059957886979</t>
  </si>
  <si>
    <t>1639055425558687745</t>
  </si>
  <si>
    <t>1636110268873965568</t>
  </si>
  <si>
    <t>1635725119300534274</t>
  </si>
  <si>
    <t>1656743534534311936</t>
  </si>
  <si>
    <t>1628607569806622721</t>
  </si>
  <si>
    <t>1677839210038845441</t>
  </si>
  <si>
    <t>1650857184878555136</t>
  </si>
  <si>
    <t>1689481158969470976</t>
  </si>
  <si>
    <t>1692251382634385550</t>
  </si>
  <si>
    <t>1648065719656153089</t>
  </si>
  <si>
    <t>1625319873411796993</t>
  </si>
  <si>
    <t>1641526108095913985</t>
  </si>
  <si>
    <t>1670069108702957571</t>
  </si>
  <si>
    <t>1659500644208635905</t>
  </si>
  <si>
    <t>1658413229008121856</t>
  </si>
  <si>
    <t>1652728991604781056</t>
  </si>
  <si>
    <t>1655873997140267008</t>
  </si>
  <si>
    <t>1655526205565849601</t>
  </si>
  <si>
    <t>1657430171886972929</t>
  </si>
  <si>
    <t>1656599527921516545</t>
  </si>
  <si>
    <t>1613605031340564480</t>
  </si>
  <si>
    <t>1631792457250750464</t>
  </si>
  <si>
    <t>1691460233921802242</t>
  </si>
  <si>
    <t>1667548804143362049</t>
  </si>
  <si>
    <t>1667366077733519360</t>
  </si>
  <si>
    <t>1644481808111738881</t>
  </si>
  <si>
    <t>1646326786110771202</t>
  </si>
  <si>
    <t>1649023228059217924</t>
  </si>
  <si>
    <t>1666096936120897538</t>
  </si>
  <si>
    <t>1643971235943170049</t>
  </si>
  <si>
    <t>1643245284321787907</t>
  </si>
  <si>
    <t>1666643944137011203</t>
  </si>
  <si>
    <t>1633416213916180481</t>
  </si>
  <si>
    <t>1669141629754548232</t>
  </si>
  <si>
    <t>1684880840432721920</t>
  </si>
  <si>
    <t>1683241500468019200</t>
  </si>
  <si>
    <t>1679090549804900352</t>
  </si>
  <si>
    <t>1671114175689400320</t>
  </si>
  <si>
    <t>1685596701896105985</t>
  </si>
  <si>
    <t>1685248705039904769</t>
  </si>
  <si>
    <t>1685117801311162369</t>
  </si>
  <si>
    <t>1683975467299217410</t>
  </si>
  <si>
    <t>1681988659334004736</t>
  </si>
  <si>
    <t>1681970572429803520</t>
  </si>
  <si>
    <t>1681629814459883520</t>
  </si>
  <si>
    <t>1675815035933786113</t>
  </si>
  <si>
    <t>1674153907747008512</t>
  </si>
  <si>
    <t>1674015405969473537</t>
  </si>
  <si>
    <t>1689307883454820353</t>
  </si>
  <si>
    <t>1686752481793994752</t>
  </si>
  <si>
    <t>1686669033364418560</t>
  </si>
  <si>
    <t>1683836991111307266</t>
  </si>
  <si>
    <t>1683637039810457603</t>
  </si>
  <si>
    <t>1681253645877145600</t>
  </si>
  <si>
    <t>1681140271373754370</t>
  </si>
  <si>
    <t>1680907050107252739</t>
  </si>
  <si>
    <t>1680712842121494528</t>
  </si>
  <si>
    <t>1680524257506336768</t>
  </si>
  <si>
    <t>1674717119257227264</t>
  </si>
  <si>
    <t>1674387837980999686</t>
  </si>
  <si>
    <t>1694696806636999058</t>
  </si>
  <si>
    <t>1690310218633060352</t>
  </si>
  <si>
    <t>1689950864725692416</t>
  </si>
  <si>
    <t>1689607828128792576</t>
  </si>
  <si>
    <t>1684962886668492814</t>
  </si>
  <si>
    <t>1684621756609236992</t>
  </si>
  <si>
    <t>1684530788589600769</t>
  </si>
  <si>
    <t>1684258703216611328</t>
  </si>
  <si>
    <t>1677349043318472705</t>
  </si>
  <si>
    <t>1676922480592666626</t>
  </si>
  <si>
    <t>1676553292044705794</t>
  </si>
  <si>
    <t>1691558358115865079</t>
  </si>
  <si>
    <t>1688880965605572610</t>
  </si>
  <si>
    <t>1688855184489771009</t>
  </si>
  <si>
    <t>1685967981170327552</t>
  </si>
  <si>
    <t>1683262989791526914</t>
  </si>
  <si>
    <t>1683251521600000001</t>
  </si>
  <si>
    <t>1683194675224625152</t>
  </si>
  <si>
    <t>1683077017497919488</t>
  </si>
  <si>
    <t>1682915136846045185</t>
  </si>
  <si>
    <t>1680141813133213697</t>
  </si>
  <si>
    <t>1679789753762193410</t>
  </si>
  <si>
    <t>1679425699512287236</t>
  </si>
  <si>
    <t>1673662190556000261</t>
  </si>
  <si>
    <t>1673503966548619264</t>
  </si>
  <si>
    <t>1691406026443046912</t>
  </si>
  <si>
    <t>1691197020650795009</t>
  </si>
  <si>
    <t>1690836920203403264</t>
  </si>
  <si>
    <t>1688520053862326272</t>
  </si>
  <si>
    <t>1686342654907334656</t>
  </si>
  <si>
    <t>1682726469099745280</t>
  </si>
  <si>
    <t>1682364474139844612</t>
  </si>
  <si>
    <t>1678446881465147429</t>
  </si>
  <si>
    <t>1670775441102184449</t>
  </si>
  <si>
    <t>1670377326977388546</t>
  </si>
  <si>
    <t>1670128727974346754</t>
  </si>
  <si>
    <t>1701253862164681160</t>
  </si>
  <si>
    <t>1692134352119894211</t>
  </si>
  <si>
    <t>1688210199658602497</t>
  </si>
  <si>
    <t>1687765448933113856</t>
  </si>
  <si>
    <t>1687406474832588800</t>
  </si>
  <si>
    <t>1687398910950547456</t>
  </si>
  <si>
    <t>1687058930738814976</t>
  </si>
  <si>
    <t>1679284094331416579</t>
  </si>
  <si>
    <t>1678886780777508869</t>
  </si>
  <si>
    <t>1678731922816499713</t>
  </si>
  <si>
    <t>1673296097576361989</t>
  </si>
  <si>
    <t>1672994633058582528</t>
  </si>
  <si>
    <t>1672599837085249539</t>
  </si>
  <si>
    <t>1671928440008720395</t>
  </si>
  <si>
    <t>1695142665099063730</t>
  </si>
  <si>
    <t>1696521431289663873</t>
  </si>
  <si>
    <t>1613981758327820298</t>
  </si>
  <si>
    <t>1614408521172553728</t>
  </si>
  <si>
    <t>1624458752840564737</t>
  </si>
  <si>
    <t>1690740317513826304</t>
  </si>
  <si>
    <t>1651361640539930625</t>
  </si>
  <si>
    <t>1646488257176190979</t>
  </si>
  <si>
    <t>1656265328651825153</t>
  </si>
  <si>
    <t>1656386763395325953</t>
  </si>
  <si>
    <t>1637065713578913794</t>
  </si>
  <si>
    <t>1685433887755763712</t>
  </si>
  <si>
    <t>1672982620097871872</t>
  </si>
  <si>
    <t>1633799807478435842</t>
  </si>
  <si>
    <t>1638510846312579170</t>
  </si>
  <si>
    <t>1614961738662965249</t>
  </si>
  <si>
    <t>1626225985686507523</t>
  </si>
  <si>
    <t>1648699180402061312</t>
  </si>
  <si>
    <t>1630595281170440192</t>
  </si>
  <si>
    <t>1655556242935259143</t>
  </si>
  <si>
    <t>1664021814861856769</t>
  </si>
  <si>
    <t>1628729013903454212</t>
  </si>
  <si>
    <t>1673732944140156937</t>
  </si>
  <si>
    <t>1681325959788523520</t>
  </si>
  <si>
    <t>1658518562401550360</t>
  </si>
  <si>
    <t>1629272028774539265</t>
  </si>
  <si>
    <t>1616784602055544832</t>
  </si>
  <si>
    <t>1661749169860788227</t>
  </si>
  <si>
    <t>1661069728452886535</t>
  </si>
  <si>
    <t>1661039471586865153</t>
  </si>
  <si>
    <t>1616541231856713736</t>
  </si>
  <si>
    <t>1663606433026277376</t>
  </si>
  <si>
    <t>1662473957885243392</t>
  </si>
  <si>
    <t>1662111591985233920</t>
  </si>
  <si>
    <t>1648023762489540610</t>
  </si>
  <si>
    <t>1675127311081807872</t>
  </si>
  <si>
    <t>1669441004649304085</t>
  </si>
  <si>
    <t>1663878269853134848</t>
  </si>
  <si>
    <t>1661386773719662596</t>
  </si>
  <si>
    <t>1652010026985218048</t>
  </si>
  <si>
    <t>1651647659155890177</t>
  </si>
  <si>
    <t>1629949520300605440</t>
  </si>
  <si>
    <t>1680200831994298371</t>
  </si>
  <si>
    <t>1674749844311666688</t>
  </si>
  <si>
    <t>1674372364644110339</t>
  </si>
  <si>
    <t>1675474616083513344</t>
  </si>
  <si>
    <t>1674055295381696512</t>
  </si>
  <si>
    <t>1674025054605135872</t>
  </si>
  <si>
    <t>1653097205098586113</t>
  </si>
  <si>
    <t>1649518635633786885</t>
  </si>
  <si>
    <t>1679898803376205838</t>
  </si>
  <si>
    <t>1679883705039433728</t>
  </si>
  <si>
    <t>1679868610158682112</t>
  </si>
  <si>
    <t>1679566598598787072</t>
  </si>
  <si>
    <t>1679521287457128458</t>
  </si>
  <si>
    <t>1679506181948166144</t>
  </si>
  <si>
    <t>1679476017218441216</t>
  </si>
  <si>
    <t>1673828751543615489</t>
  </si>
  <si>
    <t>1673707980632539136</t>
  </si>
  <si>
    <t>1673677765864837126</t>
  </si>
  <si>
    <t>1673451336250146817</t>
  </si>
  <si>
    <t>1673330495906619392</t>
  </si>
  <si>
    <t>1673300285052141569</t>
  </si>
  <si>
    <t>1660661996499398657</t>
  </si>
  <si>
    <t>1679174027146043392</t>
  </si>
  <si>
    <t>1679143802358079489</t>
  </si>
  <si>
    <t>1679128730336206855</t>
  </si>
  <si>
    <t>1679113642074054656</t>
  </si>
  <si>
    <t>1678796511222591488</t>
  </si>
  <si>
    <t>1678781484407353347</t>
  </si>
  <si>
    <t>1678751241663283200</t>
  </si>
  <si>
    <t>1673073791906226183</t>
  </si>
  <si>
    <t>1672953012728262657</t>
  </si>
  <si>
    <t>1672922805137022978</t>
  </si>
  <si>
    <t>1672575479281229826</t>
  </si>
  <si>
    <t>1654546712583626753</t>
  </si>
  <si>
    <t>1678449277067042832</t>
  </si>
  <si>
    <t>1678434156663980035</t>
  </si>
  <si>
    <t>1678419017713741825</t>
  </si>
  <si>
    <t>1686812385728675842</t>
  </si>
  <si>
    <t>1656444249389379592</t>
  </si>
  <si>
    <t>1653579420580425729</t>
  </si>
  <si>
    <t>1660626246785462274</t>
  </si>
  <si>
    <t>1666662786703806464</t>
  </si>
  <si>
    <t>1687784493090848768</t>
  </si>
  <si>
    <t>1700463111713521785</t>
  </si>
  <si>
    <t>1642294064664985600</t>
  </si>
  <si>
    <t>1625547862934274069</t>
  </si>
  <si>
    <t>1624051395845292033</t>
  </si>
  <si>
    <t>1672041692344508416</t>
  </si>
  <si>
    <t>1615726818996195331</t>
  </si>
  <si>
    <t>1654956378430029824</t>
  </si>
  <si>
    <t>1660709517464678400</t>
  </si>
  <si>
    <t>1693762403312238774</t>
  </si>
  <si>
    <t>1663483612002385923</t>
  </si>
  <si>
    <t>1610394613881217025</t>
  </si>
  <si>
    <t>1676931071429029889</t>
  </si>
  <si>
    <t>1663938004405170176</t>
  </si>
  <si>
    <t>1627732439656288259</t>
  </si>
  <si>
    <t>1627052065976471553</t>
  </si>
  <si>
    <t>1644732715994947584</t>
  </si>
  <si>
    <t>1624405930824671237</t>
  </si>
  <si>
    <t>1653916331526303744</t>
  </si>
  <si>
    <t>1651379859975819267</t>
  </si>
  <si>
    <t>1634637660105986050</t>
  </si>
  <si>
    <t>1629514150278774787</t>
  </si>
  <si>
    <t>1661178545798774785</t>
  </si>
  <si>
    <t>1647041625112076288</t>
  </si>
  <si>
    <t>1637150737141579777</t>
  </si>
  <si>
    <t>1667155003658715138</t>
  </si>
  <si>
    <t>1621928273117679619</t>
  </si>
  <si>
    <t>1684229998234697731</t>
  </si>
  <si>
    <t>1648986859454836736</t>
  </si>
  <si>
    <t>1632110923765760015</t>
  </si>
  <si>
    <t>1651293337469480960</t>
  </si>
  <si>
    <t>1669024754467237888</t>
  </si>
  <si>
    <t>1668334889375236096</t>
  </si>
  <si>
    <t>1635996962880102400</t>
  </si>
  <si>
    <t>1676681877720055813</t>
  </si>
  <si>
    <t>1670794270352060421</t>
  </si>
  <si>
    <t>1656702846308433937</t>
  </si>
  <si>
    <t>1694402297558679842</t>
  </si>
  <si>
    <t>1696892232463257727</t>
  </si>
  <si>
    <t>1692192396816028078</t>
  </si>
  <si>
    <t>1679183588233707539</t>
  </si>
  <si>
    <t>1652998969411133441</t>
  </si>
  <si>
    <t>1647985940000829440</t>
  </si>
  <si>
    <t>1612471932133285892</t>
  </si>
  <si>
    <t>1675139497216950272</t>
  </si>
  <si>
    <t>1668574152029085696</t>
  </si>
  <si>
    <t>1630232573946339328</t>
  </si>
  <si>
    <t>1609870889276915712</t>
  </si>
  <si>
    <t>1609863409285185543</t>
  </si>
  <si>
    <t>1682094259233497093</t>
  </si>
  <si>
    <t>1670023743093997568</t>
  </si>
  <si>
    <t>1669661282084040704</t>
  </si>
  <si>
    <t>1665320150193561600</t>
  </si>
  <si>
    <t>1685243188557070336</t>
  </si>
  <si>
    <t>1677633784009637888</t>
  </si>
  <si>
    <t>1675821876398923776</t>
  </si>
  <si>
    <t>1674009971602735106</t>
  </si>
  <si>
    <t>1668936503072813056</t>
  </si>
  <si>
    <t>1668209192816050176</t>
  </si>
  <si>
    <t>1650817186775068674</t>
  </si>
  <si>
    <t>1635415584698400773</t>
  </si>
  <si>
    <t>1615008623318425600</t>
  </si>
  <si>
    <t>1691165272512622593</t>
  </si>
  <si>
    <t>1686693330715811841</t>
  </si>
  <si>
    <t>1683461572318904321</t>
  </si>
  <si>
    <t>1680891451557699587</t>
  </si>
  <si>
    <t>1675097098369355776</t>
  </si>
  <si>
    <t>1696111633217536166</t>
  </si>
  <si>
    <t>1691038202977501185</t>
  </si>
  <si>
    <t>1683134587960979456</t>
  </si>
  <si>
    <t>1680170576332173315</t>
  </si>
  <si>
    <t>1645381339737120769</t>
  </si>
  <si>
    <t>1625087536216276993</t>
  </si>
  <si>
    <t>1699738028321673512</t>
  </si>
  <si>
    <t>1698648348079935659</t>
  </si>
  <si>
    <t>1676546686917787648</t>
  </si>
  <si>
    <t>1632871231891415040</t>
  </si>
  <si>
    <t>1701185063340081219</t>
  </si>
  <si>
    <t>1692129145692524784</t>
  </si>
  <si>
    <t>1691766764881789138</t>
  </si>
  <si>
    <t>1678532253549228032</t>
  </si>
  <si>
    <t>1672001741015982080</t>
  </si>
  <si>
    <t>1671473237472030721</t>
  </si>
  <si>
    <t>1654803375794298884</t>
  </si>
  <si>
    <t>1638322305607557120</t>
  </si>
  <si>
    <t>1617545317372633088</t>
  </si>
  <si>
    <t>1698906958521147585</t>
  </si>
  <si>
    <t>1667817535092170754</t>
  </si>
  <si>
    <t>1667817423582494720</t>
  </si>
  <si>
    <t>1669629363753476096</t>
  </si>
  <si>
    <t>1669267133421813762</t>
  </si>
  <si>
    <t>1669267009064914945</t>
  </si>
  <si>
    <t>1688146645299445760</t>
  </si>
  <si>
    <t>1621417826408882177</t>
  </si>
  <si>
    <t>1648749411369902093</t>
  </si>
  <si>
    <t>1695976438908805173</t>
  </si>
  <si>
    <t>1670619939110109184</t>
  </si>
  <si>
    <t>1678988491764514817</t>
  </si>
  <si>
    <t>1667160811704557568</t>
  </si>
  <si>
    <t>1657548696714608641</t>
  </si>
  <si>
    <t>1621660014598410241</t>
  </si>
  <si>
    <t>1623295077660368897</t>
  </si>
  <si>
    <t>1643585952898580482</t>
  </si>
  <si>
    <t>1636019553502220290</t>
  </si>
  <si>
    <t>1657758384999866372</t>
  </si>
  <si>
    <t>1665672943035138049</t>
  </si>
  <si>
    <t>1668654038806855680</t>
  </si>
  <si>
    <t>1610181383380692993</t>
  </si>
  <si>
    <t>1676912486493351937</t>
  </si>
  <si>
    <t>1632648004338417664</t>
  </si>
  <si>
    <t>1631561952580321288</t>
  </si>
  <si>
    <t>1630829978236469248</t>
  </si>
  <si>
    <t>1686708659097657344</t>
  </si>
  <si>
    <t>1658740094574919680</t>
  </si>
  <si>
    <t>1658112983791284225</t>
  </si>
  <si>
    <t>1640295880078106624</t>
  </si>
  <si>
    <t>1623614063342235650</t>
  </si>
  <si>
    <t>1698654354323144968</t>
  </si>
  <si>
    <t>1697588530451734755</t>
  </si>
  <si>
    <t>1692201785627140437</t>
  </si>
  <si>
    <t>1638458126167863296</t>
  </si>
  <si>
    <t>1620388623052079104</t>
  </si>
  <si>
    <t>1676915372623294464</t>
  </si>
  <si>
    <t>1623606977342365698</t>
  </si>
  <si>
    <t>1668652582859059200</t>
  </si>
  <si>
    <t>1630094761037029376</t>
  </si>
  <si>
    <t>1610182444006744067</t>
  </si>
  <si>
    <t>1675827393439895553</t>
  </si>
  <si>
    <t>1685964055268511744</t>
  </si>
  <si>
    <t>1665672054178185216</t>
  </si>
  <si>
    <t>1696168184267612626</t>
  </si>
  <si>
    <t>1628336199008911360</t>
  </si>
  <si>
    <t>1696918595769659422</t>
  </si>
  <si>
    <t>1637810460505325571</t>
  </si>
  <si>
    <t>1620688581651226624</t>
  </si>
  <si>
    <t>1619274800765210629</t>
  </si>
  <si>
    <t>1698654862496653411</t>
  </si>
  <si>
    <t>1697265920933331376</t>
  </si>
  <si>
    <t>1631560070038188032</t>
  </si>
  <si>
    <t>1659530059294855169</t>
  </si>
  <si>
    <t>1674387838484316166</t>
  </si>
  <si>
    <t>1659168072178061313</t>
  </si>
  <si>
    <t>1658487840978903040</t>
  </si>
  <si>
    <t>1658126201901178897</t>
  </si>
  <si>
    <t>1657451893268914176</t>
  </si>
  <si>
    <t>1655971089720147985</t>
  </si>
  <si>
    <t>1658174992738054148</t>
  </si>
  <si>
    <t>1613324493065420801</t>
  </si>
  <si>
    <t>1638526059803967490</t>
  </si>
  <si>
    <t>1675918158241079308</t>
  </si>
  <si>
    <t>1623683486811844609</t>
  </si>
  <si>
    <t>1621299286766936064</t>
  </si>
  <si>
    <t>1672431004680699905</t>
  </si>
  <si>
    <t>1615050292260704278</t>
  </si>
  <si>
    <t>1624164954344415255</t>
  </si>
  <si>
    <t>1659625964278562836</t>
  </si>
  <si>
    <t>1659172848424960000</t>
  </si>
  <si>
    <t>1658822494709600260</t>
  </si>
  <si>
    <t>1658199946967805952</t>
  </si>
  <si>
    <t>1635743694056816641</t>
  </si>
  <si>
    <t>1635670994147848192</t>
  </si>
  <si>
    <t>1633514569669951488</t>
  </si>
  <si>
    <t>1633198159714451456</t>
  </si>
  <si>
    <t>1633123241433890820</t>
  </si>
  <si>
    <t>1631384284660375581</t>
  </si>
  <si>
    <t>1630663038721314816</t>
  </si>
  <si>
    <t>1630661790609580056</t>
  </si>
  <si>
    <t>1630657589452087296</t>
  </si>
  <si>
    <t>1630342421367103490</t>
  </si>
  <si>
    <t>1635296079989321728</t>
  </si>
  <si>
    <t>1634979571442352131</t>
  </si>
  <si>
    <t>1634977991339003906</t>
  </si>
  <si>
    <t>1634645556910800904</t>
  </si>
  <si>
    <t>1634615582799667205</t>
  </si>
  <si>
    <t>1638556523289882628</t>
  </si>
  <si>
    <t>1638271547025641488</t>
  </si>
  <si>
    <t>1638193903563075588</t>
  </si>
  <si>
    <t>1637190979789758464</t>
  </si>
  <si>
    <t>1637106708525854720</t>
  </si>
  <si>
    <t>1633921212584988672</t>
  </si>
  <si>
    <t>1656022574667636779</t>
  </si>
  <si>
    <t>1637166070392926210</t>
  </si>
  <si>
    <t>1634289089364086806</t>
  </si>
  <si>
    <t>1638601690067640332</t>
  </si>
  <si>
    <t>1694443122195853562</t>
  </si>
  <si>
    <t>1612412591359381505</t>
  </si>
  <si>
    <t>1655589203936174086</t>
  </si>
  <si>
    <t>1669061961105960961</t>
  </si>
  <si>
    <t>1669422580820856838</t>
  </si>
  <si>
    <t>1670780594026868745</t>
  </si>
  <si>
    <t>1669797241731657728</t>
  </si>
  <si>
    <t>1641540480403148803</t>
  </si>
  <si>
    <t>1694409308283244790</t>
  </si>
  <si>
    <t>1684669443337527296</t>
  </si>
  <si>
    <t>1694409311101841652</t>
  </si>
  <si>
    <t>1694059662511947908</t>
  </si>
  <si>
    <t>1686774532982411264</t>
  </si>
  <si>
    <t>1658200864967000066</t>
  </si>
  <si>
    <t>1657030967737851905</t>
  </si>
  <si>
    <t>1615738095923597314</t>
  </si>
  <si>
    <t>1645372385116446720</t>
  </si>
  <si>
    <t>1676287867859902472</t>
  </si>
  <si>
    <t>1656321721174212609</t>
  </si>
  <si>
    <t>1678051290327273473</t>
  </si>
  <si>
    <t>1675535229837082625</t>
  </si>
  <si>
    <t>1628028146179096576</t>
  </si>
  <si>
    <t>1626948102602035200</t>
  </si>
  <si>
    <t>1683530176670384139</t>
  </si>
  <si>
    <t>1626985739316502529</t>
  </si>
  <si>
    <t>1636471812069416960</t>
  </si>
  <si>
    <t>1691952447856521451</t>
  </si>
  <si>
    <t>1671858814960783361</t>
  </si>
  <si>
    <t>1645884411655729155</t>
  </si>
  <si>
    <t>1650832574774759430</t>
  </si>
  <si>
    <t>1632752214136463360</t>
  </si>
  <si>
    <t>1643584157744857090</t>
  </si>
  <si>
    <t>1643583653463695363</t>
  </si>
  <si>
    <t>1641919410804801536</t>
  </si>
  <si>
    <t>1641533259296153603</t>
  </si>
  <si>
    <t>1609905375117017088</t>
  </si>
  <si>
    <t>1609905200944513024</t>
  </si>
  <si>
    <t>1652430132827627522</t>
  </si>
  <si>
    <t>1636784765696081929</t>
  </si>
  <si>
    <t>1613236058069549056</t>
  </si>
  <si>
    <t>1699779908740981197</t>
  </si>
  <si>
    <t>1637882606132887552</t>
  </si>
  <si>
    <t>1657219116409798657</t>
  </si>
  <si>
    <t>1635405230170062848</t>
  </si>
  <si>
    <t>1655483474487427072</t>
  </si>
  <si>
    <t>1688595908336795677</t>
  </si>
  <si>
    <t>1648509640437817346</t>
  </si>
  <si>
    <t>1620777494935740418</t>
  </si>
  <si>
    <t>1617301599583346691</t>
  </si>
  <si>
    <t>1616948405904834560</t>
  </si>
  <si>
    <t>1693640117850619974</t>
  </si>
  <si>
    <t>1635303907613351936</t>
  </si>
  <si>
    <t>1622232026907656192</t>
  </si>
  <si>
    <t>1624502139757203458</t>
  </si>
  <si>
    <t>1615705062734438401</t>
  </si>
  <si>
    <t>1660275319176331266</t>
  </si>
  <si>
    <t>1685792918072680448</t>
  </si>
  <si>
    <t>1685792856873504768</t>
  </si>
  <si>
    <t>1614291976685322240</t>
  </si>
  <si>
    <t>1700630202701771115</t>
  </si>
  <si>
    <t>1679793174217195520</t>
  </si>
  <si>
    <t>1679674104717221890</t>
  </si>
  <si>
    <t>1679674091186405377</t>
  </si>
  <si>
    <t>1657196990281687043</t>
  </si>
  <si>
    <t>1610759233661706240</t>
  </si>
  <si>
    <t>1614963242069114885</t>
  </si>
  <si>
    <t>1674153170048540676</t>
  </si>
  <si>
    <t>1701689375975743501</t>
  </si>
  <si>
    <t>1632867211336470528</t>
  </si>
  <si>
    <t>1692536005822193954</t>
  </si>
  <si>
    <t>1638548616112492544</t>
  </si>
  <si>
    <t>1620156702573355008</t>
  </si>
  <si>
    <t>1648762933659197451</t>
  </si>
  <si>
    <t>1648762826436010030</t>
  </si>
  <si>
    <t>1666552363778297857</t>
  </si>
  <si>
    <t>1641056634041401344</t>
  </si>
  <si>
    <t>1667945185467146241</t>
  </si>
  <si>
    <t>1667944812836794368</t>
  </si>
  <si>
    <t>1647760318049681409</t>
  </si>
  <si>
    <t>1637599320512909312</t>
  </si>
  <si>
    <t>1636762555522912257</t>
  </si>
  <si>
    <t>1655362287941611521</t>
  </si>
  <si>
    <t>1638571231036289025</t>
  </si>
  <si>
    <t>1666960927445381120</t>
  </si>
  <si>
    <t>1640754581096341505</t>
  </si>
  <si>
    <t>1639054069498101764</t>
  </si>
  <si>
    <t>1638942005110644748</t>
  </si>
  <si>
    <t>1669510324058243075</t>
  </si>
  <si>
    <t>1651752228603002881</t>
  </si>
  <si>
    <t>1646685065038921728</t>
  </si>
  <si>
    <t>1635083233741385728</t>
  </si>
  <si>
    <t>1690879630956253184</t>
  </si>
  <si>
    <t>1665508110570594304</t>
  </si>
  <si>
    <t>1660430185248747520</t>
  </si>
  <si>
    <t>1659344188654211074</t>
  </si>
  <si>
    <t>1645461784298389514</t>
  </si>
  <si>
    <t>1693413869996138684</t>
  </si>
  <si>
    <t>1678198237105213441</t>
  </si>
  <si>
    <t>1670581888417685504</t>
  </si>
  <si>
    <t>1657898273284259840</t>
  </si>
  <si>
    <t>1642693436120743941</t>
  </si>
  <si>
    <t>1701027181499949466</t>
  </si>
  <si>
    <t>1697401377784213622</t>
  </si>
  <si>
    <t>1694866710019309643</t>
  </si>
  <si>
    <t>1662972033704099845</t>
  </si>
  <si>
    <t>1661895654661038080</t>
  </si>
  <si>
    <t>1648719589570666509</t>
  </si>
  <si>
    <t>1632539794080235521</t>
  </si>
  <si>
    <t>1631464922788798466</t>
  </si>
  <si>
    <t>1686859213132169217</t>
  </si>
  <si>
    <t>1646249752630030337</t>
  </si>
  <si>
    <t>1625306751703678976</t>
  </si>
  <si>
    <t>1620410057153449985</t>
  </si>
  <si>
    <t>1640457644019253251</t>
  </si>
  <si>
    <t>1649115643965210635</t>
  </si>
  <si>
    <t>1653817864015552513</t>
  </si>
  <si>
    <t>1698888486785364340</t>
  </si>
  <si>
    <t>1646335628336943104</t>
  </si>
  <si>
    <t>1650265086269718530</t>
  </si>
  <si>
    <t>1656476911906828288</t>
  </si>
  <si>
    <t>1642671799333789696</t>
  </si>
  <si>
    <t>1651046824604516355</t>
  </si>
  <si>
    <t>1651046749727870981</t>
  </si>
  <si>
    <t>1659011697594474496</t>
  </si>
  <si>
    <t>1691894289087730014</t>
  </si>
  <si>
    <t>1672028457641844737</t>
  </si>
  <si>
    <t>1699569557281583595</t>
  </si>
  <si>
    <t>1697420403172426172</t>
  </si>
  <si>
    <t>1689682981680554014</t>
  </si>
  <si>
    <t>1662244757576331271</t>
  </si>
  <si>
    <t>1633118523986722820</t>
  </si>
  <si>
    <t>1632476960466010112</t>
  </si>
  <si>
    <t>1687457383142850561</t>
  </si>
  <si>
    <t>1631725558076776470</t>
  </si>
  <si>
    <t>1653014651003699200</t>
  </si>
  <si>
    <t>1654119935659102210</t>
  </si>
  <si>
    <t>1653826327437254660</t>
  </si>
  <si>
    <t>1677643716670939136</t>
  </si>
  <si>
    <t>1653371432171085828</t>
  </si>
  <si>
    <t>1653189718769541127</t>
  </si>
  <si>
    <t>1691073045392158720</t>
  </si>
  <si>
    <t>1680911655981531136</t>
  </si>
  <si>
    <t>1658073303481831426</t>
  </si>
  <si>
    <t>1695419892004954592</t>
  </si>
  <si>
    <t>1693592842336125287</t>
  </si>
  <si>
    <t>1691423393055121411</t>
  </si>
  <si>
    <t>1685982848778420224</t>
  </si>
  <si>
    <t>1685618963382718464</t>
  </si>
  <si>
    <t>1683442659560390656</t>
  </si>
  <si>
    <t>1683087589425774593</t>
  </si>
  <si>
    <t>1660612763461222400</t>
  </si>
  <si>
    <t>1660257647621185542</t>
  </si>
  <si>
    <t>1696184351862501424</t>
  </si>
  <si>
    <t>1690727584160530432</t>
  </si>
  <si>
    <t>1688519263865225216</t>
  </si>
  <si>
    <t>1678368477449428993</t>
  </si>
  <si>
    <t>1678007521422843910</t>
  </si>
  <si>
    <t>1657917642135552000</t>
  </si>
  <si>
    <t>1700486929546936718</t>
  </si>
  <si>
    <t>1699762525372325954</t>
  </si>
  <si>
    <t>1690354774087020544</t>
  </si>
  <si>
    <t>1690329792493531136</t>
  </si>
  <si>
    <t>1677273730563571712</t>
  </si>
  <si>
    <t>1676911706897805312</t>
  </si>
  <si>
    <t>1663140985260367874</t>
  </si>
  <si>
    <t>1662794448080650243</t>
  </si>
  <si>
    <t>1701206958684901660</t>
  </si>
  <si>
    <t>1698663838428656065</t>
  </si>
  <si>
    <t>1697945965339054460</t>
  </si>
  <si>
    <t>1687843461318209536</t>
  </si>
  <si>
    <t>1655552267016085504</t>
  </si>
  <si>
    <t>1654820543399337984</t>
  </si>
  <si>
    <t>1684980255008665610</t>
  </si>
  <si>
    <t>1629966384993009664</t>
  </si>
  <si>
    <t>1670090243138101249</t>
  </si>
  <si>
    <t>1682142318726467584</t>
  </si>
  <si>
    <t>1701951509972348944</t>
  </si>
  <si>
    <t>1684109573911707649</t>
  </si>
  <si>
    <t>1660665289975930884</t>
  </si>
  <si>
    <t>1667874566989836289</t>
  </si>
  <si>
    <t>1667174336292089857</t>
  </si>
  <si>
    <t>1629256113932697603</t>
  </si>
  <si>
    <t>1679153922559168512</t>
  </si>
  <si>
    <t>1667258724359065606</t>
  </si>
  <si>
    <t>1689695195766353921</t>
  </si>
  <si>
    <t>1661725333677023238</t>
  </si>
  <si>
    <t>1624534817856540682</t>
  </si>
  <si>
    <t>1671292725621080064</t>
  </si>
  <si>
    <t>1688363920929542144</t>
  </si>
  <si>
    <t>1621896269663723522</t>
  </si>
  <si>
    <t>1688490423176605696</t>
  </si>
  <si>
    <t>1683889850779578369</t>
  </si>
  <si>
    <t>1684941786261925888</t>
  </si>
  <si>
    <t>1684579401382473728</t>
  </si>
  <si>
    <t>1693990463731306906</t>
  </si>
  <si>
    <t>1630765240374665216</t>
  </si>
  <si>
    <t>1653504095481745429</t>
  </si>
  <si>
    <t>1655594929417011200</t>
  </si>
  <si>
    <t>1682392485098561538</t>
  </si>
  <si>
    <t>1700622704087355485</t>
  </si>
  <si>
    <t>1626250903282933760</t>
  </si>
  <si>
    <t>1626213254635847681</t>
  </si>
  <si>
    <t>1632787941582929922</t>
  </si>
  <si>
    <t>1631637855456882688</t>
  </si>
  <si>
    <t>1631004931451748353</t>
  </si>
  <si>
    <t>1630979533514895360</t>
  </si>
  <si>
    <t>1625518424024571904</t>
  </si>
  <si>
    <t>1625466123465502721</t>
  </si>
  <si>
    <t>1625234719498465281</t>
  </si>
  <si>
    <t>1625202708264194062</t>
  </si>
  <si>
    <t>1625143061125660673</t>
  </si>
  <si>
    <t>1625125226630594562</t>
  </si>
  <si>
    <t>1625108206581084161</t>
  </si>
  <si>
    <t>1624001227586514944</t>
  </si>
  <si>
    <t>1634317037295075328</t>
  </si>
  <si>
    <t>1634270461612769280</t>
  </si>
  <si>
    <t>1633951419228393475</t>
  </si>
  <si>
    <t>1633928978087182336</t>
  </si>
  <si>
    <t>1633902821216010267</t>
  </si>
  <si>
    <t>1612906925619904513</t>
  </si>
  <si>
    <t>1612526684451790849</t>
  </si>
  <si>
    <t>1636096731254226953</t>
  </si>
  <si>
    <t>1635662915679264769</t>
  </si>
  <si>
    <t>1635609779337928707</t>
  </si>
  <si>
    <t>1635382083110535172</t>
  </si>
  <si>
    <t>1635362669975818240</t>
  </si>
  <si>
    <t>1635298499695656960</t>
  </si>
  <si>
    <t>1635268790756982784</t>
  </si>
  <si>
    <t>1634513308383412225</t>
  </si>
  <si>
    <t>1628848228866093060</t>
  </si>
  <si>
    <t>1628383088370761728</t>
  </si>
  <si>
    <t>1628371756300763140</t>
  </si>
  <si>
    <t>1609902397614133251</t>
  </si>
  <si>
    <t>1638670107064012800</t>
  </si>
  <si>
    <t>1638638382917251072</t>
  </si>
  <si>
    <t>1637922966917750785</t>
  </si>
  <si>
    <t>1637899590287474690</t>
  </si>
  <si>
    <t>1637809559543635969</t>
  </si>
  <si>
    <t>1637792948371824642</t>
  </si>
  <si>
    <t>1621150393404383247</t>
  </si>
  <si>
    <t>1620890085460697089</t>
  </si>
  <si>
    <t>1619028298163535887</t>
  </si>
  <si>
    <t>1640819605735190536</t>
  </si>
  <si>
    <t>1640817894148780034</t>
  </si>
  <si>
    <t>1640770283848998937</t>
  </si>
  <si>
    <t>1640731805602004992</t>
  </si>
  <si>
    <t>1640704646820814849</t>
  </si>
  <si>
    <t>1623638827674861568</t>
  </si>
  <si>
    <t>1623060061495914508</t>
  </si>
  <si>
    <t>1665792497606615041</t>
  </si>
  <si>
    <t>1618292326572429313</t>
  </si>
  <si>
    <t>1610436072143552513</t>
  </si>
  <si>
    <t>1624805939290247171</t>
  </si>
  <si>
    <t>1686434104370221061</t>
  </si>
  <si>
    <t>1664225329743790081</t>
  </si>
  <si>
    <t>1663299254981410816</t>
  </si>
  <si>
    <t>1662225423642824704</t>
  </si>
  <si>
    <t>1661888543306788864</t>
  </si>
  <si>
    <t>1649183368544763904</t>
  </si>
  <si>
    <t>1648810999078612997</t>
  </si>
  <si>
    <t>1648446016792961024</t>
  </si>
  <si>
    <t>1648094432346923009</t>
  </si>
  <si>
    <t>1632878223141789700</t>
  </si>
  <si>
    <t>1631786147859841024</t>
  </si>
  <si>
    <t>1631416302387511296</t>
  </si>
  <si>
    <t>1631052489087676418</t>
  </si>
  <si>
    <t>1671281399737856008</t>
  </si>
  <si>
    <t>1656091294077206529</t>
  </si>
  <si>
    <t>1655694843400601600</t>
  </si>
  <si>
    <t>1654620655948816385</t>
  </si>
  <si>
    <t>1638684301259685889</t>
  </si>
  <si>
    <t>1638293180486660096</t>
  </si>
  <si>
    <t>1621266141225095175</t>
  </si>
  <si>
    <t>1620917751165632512</t>
  </si>
  <si>
    <t>1620191875905847298</t>
  </si>
  <si>
    <t>1619108937537814528</t>
  </si>
  <si>
    <t>1618743161580572673</t>
  </si>
  <si>
    <t>1666576869406257152</t>
  </si>
  <si>
    <t>1658960034481549313</t>
  </si>
  <si>
    <t>1658622938721992704</t>
  </si>
  <si>
    <t>1658242027740332032</t>
  </si>
  <si>
    <t>1639382205930651659</t>
  </si>
  <si>
    <t>1639021218568237056</t>
  </si>
  <si>
    <t>1622719889667420163</t>
  </si>
  <si>
    <t>1621660712589295619</t>
  </si>
  <si>
    <t>1663669065708085253</t>
  </si>
  <si>
    <t>1661501338021244929</t>
  </si>
  <si>
    <t>1661141425965383682</t>
  </si>
  <si>
    <t>1654275245522444290</t>
  </si>
  <si>
    <t>1650993790700736516</t>
  </si>
  <si>
    <t>1636871880001896449</t>
  </si>
  <si>
    <t>1633958107163377673</t>
  </si>
  <si>
    <t>1669118849659052032</t>
  </si>
  <si>
    <t>1667303379377307649</t>
  </si>
  <si>
    <t>1653521602275864576</t>
  </si>
  <si>
    <t>1650619456177991684</t>
  </si>
  <si>
    <t>1636481530120790017</t>
  </si>
  <si>
    <t>1636111053288267776</t>
  </si>
  <si>
    <t>1635761209935896576</t>
  </si>
  <si>
    <t>1635413368122281985</t>
  </si>
  <si>
    <t>1669465190386073602</t>
  </si>
  <si>
    <t>1668746544743428100</t>
  </si>
  <si>
    <t>1668378956783910913</t>
  </si>
  <si>
    <t>1664031560960450560</t>
  </si>
  <si>
    <t>1653905979128401921</t>
  </si>
  <si>
    <t>1652084873912279042</t>
  </si>
  <si>
    <t>1651746554242318337</t>
  </si>
  <si>
    <t>1651374256754753537</t>
  </si>
  <si>
    <t>1647002165905375236</t>
  </si>
  <si>
    <t>1646640733443485697</t>
  </si>
  <si>
    <t>1645927571094208522</t>
  </si>
  <si>
    <t>1634331771817930752</t>
  </si>
  <si>
    <t>1629250808456806401</t>
  </si>
  <si>
    <t>1628523752358117376</t>
  </si>
  <si>
    <t>1670915092253138976</t>
  </si>
  <si>
    <t>1669841110007439362</t>
  </si>
  <si>
    <t>1664400800490180608</t>
  </si>
  <si>
    <t>1656424614359080960</t>
  </si>
  <si>
    <t>1643015546332479488</t>
  </si>
  <si>
    <t>1626714785718112256</t>
  </si>
  <si>
    <t>1626339089204056069</t>
  </si>
  <si>
    <t>1666196201589428224</t>
  </si>
  <si>
    <t>1665853340847161344</t>
  </si>
  <si>
    <t>1660781943464550400</t>
  </si>
  <si>
    <t>1659692711723831297</t>
  </si>
  <si>
    <t>1659326614201683968</t>
  </si>
  <si>
    <t>1645548125019418624</t>
  </si>
  <si>
    <t>1643738049719980032</t>
  </si>
  <si>
    <t>1625626502011269121</t>
  </si>
  <si>
    <t>1625266164476612614</t>
  </si>
  <si>
    <t>1624187007990726656</t>
  </si>
  <si>
    <t>1623812505620385801</t>
  </si>
  <si>
    <t>1640691942286655490</t>
  </si>
  <si>
    <t>1653794677844324356</t>
  </si>
  <si>
    <t>1629117679385673728</t>
  </si>
  <si>
    <t>1653096949430591489</t>
  </si>
  <si>
    <t>1662055694369996800</t>
  </si>
  <si>
    <t>1664214465141719040</t>
  </si>
  <si>
    <t>1663178533479370753</t>
  </si>
  <si>
    <t>1661962780109406211</t>
  </si>
  <si>
    <t>1644371829010706432</t>
  </si>
  <si>
    <t>1652557624049631291</t>
  </si>
  <si>
    <t>1636747506645184512</t>
  </si>
  <si>
    <t>1615765962879377408</t>
  </si>
  <si>
    <t>1611417852866867200</t>
  </si>
  <si>
    <t>1668618046305624068</t>
  </si>
  <si>
    <t>1629178362508853249</t>
  </si>
  <si>
    <t>1610329938082816000</t>
  </si>
  <si>
    <t>1678520182686339072</t>
  </si>
  <si>
    <t>1671576213725360130</t>
  </si>
  <si>
    <t>1654532453447368704</t>
  </si>
  <si>
    <t>1680323448910802947</t>
  </si>
  <si>
    <t>1674451499135520769</t>
  </si>
  <si>
    <t>1640739553727086594</t>
  </si>
  <si>
    <t>1621719120784891908</t>
  </si>
  <si>
    <t>1686370110838321154</t>
  </si>
  <si>
    <t>1643300928852746266</t>
  </si>
  <si>
    <t>1641873051225579536</t>
  </si>
  <si>
    <t>1685560712280616960</t>
  </si>
  <si>
    <t>1700502299842412607</t>
  </si>
  <si>
    <t>1699355706090979633</t>
  </si>
  <si>
    <t>1684460952543014913</t>
  </si>
  <si>
    <t>1649340742018498562</t>
  </si>
  <si>
    <t>1648364748520538121</t>
  </si>
  <si>
    <t>1648023785189044236</t>
  </si>
  <si>
    <t>1631336580714569729</t>
  </si>
  <si>
    <t>1654705059676971009</t>
  </si>
  <si>
    <t>1670166939132411905</t>
  </si>
  <si>
    <t>1637209001514487810</t>
  </si>
  <si>
    <t>1688330171613433862</t>
  </si>
  <si>
    <t>1678503040465137664</t>
  </si>
  <si>
    <t>1699413819770958223</t>
  </si>
  <si>
    <t>1633179573792776194</t>
  </si>
  <si>
    <t>1654150668393799680</t>
  </si>
  <si>
    <t>1659764619580260354</t>
  </si>
  <si>
    <t>1665360251669954561</t>
  </si>
  <si>
    <t>1616925188490231811</t>
  </si>
  <si>
    <t>1629210514923429889</t>
  </si>
  <si>
    <t>1683882199622332435</t>
  </si>
  <si>
    <t>1691449501893242881</t>
  </si>
  <si>
    <t>1653365335729340418</t>
  </si>
  <si>
    <t>1671264497003294722</t>
  </si>
  <si>
    <t>1663529692349997060</t>
  </si>
  <si>
    <t>1673502767560773638</t>
  </si>
  <si>
    <t>1665874033135460354</t>
  </si>
  <si>
    <t>1659468640431886336</t>
  </si>
  <si>
    <t>1696329757414015249</t>
  </si>
  <si>
    <t>1682506687964430337</t>
  </si>
  <si>
    <t>1619412254553948160</t>
  </si>
  <si>
    <t>1621211928046485505</t>
  </si>
  <si>
    <t>1647989281963515906</t>
  </si>
  <si>
    <t>1696145801976721716</t>
  </si>
  <si>
    <t>1695818951123522014</t>
  </si>
  <si>
    <t>1695818945868038426</t>
  </si>
  <si>
    <t>1661728871043964928</t>
  </si>
  <si>
    <t>1674387415451021313</t>
  </si>
  <si>
    <t>1658442338773921792</t>
  </si>
  <si>
    <t>1658091229500809218</t>
  </si>
  <si>
    <t>1669325197613191168</t>
  </si>
  <si>
    <t>1676924121396006912</t>
  </si>
  <si>
    <t>1676561759539286021</t>
  </si>
  <si>
    <t>1676199362257465345</t>
  </si>
  <si>
    <t>1663515840619114497</t>
  </si>
  <si>
    <t>1679883622617174018</t>
  </si>
  <si>
    <t>1666414885868040197</t>
  </si>
  <si>
    <t>1665728992253452290</t>
  </si>
  <si>
    <t>1681682916198236161</t>
  </si>
  <si>
    <t>1675838962835890176</t>
  </si>
  <si>
    <t>1686014067968733186</t>
  </si>
  <si>
    <t>1657023038821416963</t>
  </si>
  <si>
    <t>1615386989833895938</t>
  </si>
  <si>
    <t>1666589092136484868</t>
  </si>
  <si>
    <t>1682100765274325000</t>
  </si>
  <si>
    <t>1629876478044151812</t>
  </si>
  <si>
    <t>1644348572979044355</t>
  </si>
  <si>
    <t>1623705872303095808</t>
  </si>
  <si>
    <t>1623305774620352512</t>
  </si>
  <si>
    <t>1698351981348147374</t>
  </si>
  <si>
    <t>1699397599898554634</t>
  </si>
  <si>
    <t>1663691099003658240</t>
  </si>
  <si>
    <t>1661756507585642497</t>
  </si>
  <si>
    <t>1661674116116623367</t>
  </si>
  <si>
    <t>1661303992943624192</t>
  </si>
  <si>
    <t>1653030351999062018</t>
  </si>
  <si>
    <t>1652677506833457154</t>
  </si>
  <si>
    <t>1652461057292529665</t>
  </si>
  <si>
    <t>1652373763357286403</t>
  </si>
  <si>
    <t>1652362846234193920</t>
  </si>
  <si>
    <t>1652327327492079617</t>
  </si>
  <si>
    <t>1652304617718284290</t>
  </si>
  <si>
    <t>1650965390619541505</t>
  </si>
  <si>
    <t>1647193736441393153</t>
  </si>
  <si>
    <t>1637484349233975296</t>
  </si>
  <si>
    <t>1637061536190537729</t>
  </si>
  <si>
    <t>1636756431889223680</t>
  </si>
  <si>
    <t>1634272635956649985</t>
  </si>
  <si>
    <t>1633944773500502016</t>
  </si>
  <si>
    <t>1633824127592148992</t>
  </si>
  <si>
    <t>1633787490686435330</t>
  </si>
  <si>
    <t>1633562146935296001</t>
  </si>
  <si>
    <t>1633542880060121088</t>
  </si>
  <si>
    <t>1633528268552015872</t>
  </si>
  <si>
    <t>1633526140911652865</t>
  </si>
  <si>
    <t>1674059828384153601</t>
  </si>
  <si>
    <t>1653376925157543938</t>
  </si>
  <si>
    <t>1653091960117231616</t>
  </si>
  <si>
    <t>1653043671305003017</t>
  </si>
  <si>
    <t>1650592972272967681</t>
  </si>
  <si>
    <t>1650498305657298945</t>
  </si>
  <si>
    <t>1649881185110163456</t>
  </si>
  <si>
    <t>1649796644194467842</t>
  </si>
  <si>
    <t>1649782469917396992</t>
  </si>
  <si>
    <t>1636742880118165507</t>
  </si>
  <si>
    <t>1636726755674271746</t>
  </si>
  <si>
    <t>1636666471299403777</t>
  </si>
  <si>
    <t>1636467596114403338</t>
  </si>
  <si>
    <t>1636383837386338304</t>
  </si>
  <si>
    <t>1636111401424158720</t>
  </si>
  <si>
    <t>1636000897384718337</t>
  </si>
  <si>
    <t>1635941684356739074</t>
  </si>
  <si>
    <t>1635791711124201473</t>
  </si>
  <si>
    <t>1635725934635409409</t>
  </si>
  <si>
    <t>1635668016607182848</t>
  </si>
  <si>
    <t>1635642364436832256</t>
  </si>
  <si>
    <t>1635612021365383170</t>
  </si>
  <si>
    <t>1635378149222494208</t>
  </si>
  <si>
    <t>1635366514646741010</t>
  </si>
  <si>
    <t>1635365443924815874</t>
  </si>
  <si>
    <t>1615403862789165058</t>
  </si>
  <si>
    <t>1615331512831938560</t>
  </si>
  <si>
    <t>1675151888650518528</t>
  </si>
  <si>
    <t>1663975301724946450</t>
  </si>
  <si>
    <t>1663933241403797506</t>
  </si>
  <si>
    <t>1663893373621616641</t>
  </si>
  <si>
    <t>1663832976411467776</t>
  </si>
  <si>
    <t>1661471552397778945</t>
  </si>
  <si>
    <t>1661464687802740737</t>
  </si>
  <si>
    <t>1661457348269953034</t>
  </si>
  <si>
    <t>1661328189040279553</t>
  </si>
  <si>
    <t>1654131916843499520</t>
  </si>
  <si>
    <t>1651678113930047491</t>
  </si>
  <si>
    <t>1651598309843247104</t>
  </si>
  <si>
    <t>1651308648944074782</t>
  </si>
  <si>
    <t>1651304396188155909</t>
  </si>
  <si>
    <t>1645789353220923392</t>
  </si>
  <si>
    <t>1635331210363772935</t>
  </si>
  <si>
    <t>1635219264461307904</t>
  </si>
  <si>
    <t>1634976415018803200</t>
  </si>
  <si>
    <t>1634947636057763840</t>
  </si>
  <si>
    <t>1630222966641270793</t>
  </si>
  <si>
    <t>1630191294180990979</t>
  </si>
  <si>
    <t>1630187545924366336</t>
  </si>
  <si>
    <t>1629058841663995906</t>
  </si>
  <si>
    <t>1628830111897161728</t>
  </si>
  <si>
    <t>1628768071929274371</t>
  </si>
  <si>
    <t>1628747814527270920</t>
  </si>
  <si>
    <t>1628744690982846466</t>
  </si>
  <si>
    <t>1628466997687205888</t>
  </si>
  <si>
    <t>1628429377603002371</t>
  </si>
  <si>
    <t>1628375365822316544</t>
  </si>
  <si>
    <t>1610365691856658434</t>
  </si>
  <si>
    <t>1609882485633998848</t>
  </si>
  <si>
    <t>1693632098488193164</t>
  </si>
  <si>
    <t>1685994756243922945</t>
  </si>
  <si>
    <t>1685968837936578561</t>
  </si>
  <si>
    <t>1685706149260066817</t>
  </si>
  <si>
    <t>1683447704284811265</t>
  </si>
  <si>
    <t>1683203142781902848</t>
  </si>
  <si>
    <t>1673759063186743318</t>
  </si>
  <si>
    <t>1673328057388507147</t>
  </si>
  <si>
    <t>1666203904420245504</t>
  </si>
  <si>
    <t>1660768645973196801</t>
  </si>
  <si>
    <t>1660684777505058818</t>
  </si>
  <si>
    <t>1659600616295899136</t>
  </si>
  <si>
    <t>1659544418838249474</t>
  </si>
  <si>
    <t>1659529891358859268</t>
  </si>
  <si>
    <t>1659217983774785538</t>
  </si>
  <si>
    <t>1645526017933541415</t>
  </si>
  <si>
    <t>1645484529388331009</t>
  </si>
  <si>
    <t>1645390845380526083</t>
  </si>
  <si>
    <t>1644324856085860353</t>
  </si>
  <si>
    <t>1644046469899382787</t>
  </si>
  <si>
    <t>1644038900946464771</t>
  </si>
  <si>
    <t>1643674471276969986</t>
  </si>
  <si>
    <t>1625561924883587072</t>
  </si>
  <si>
    <t>1624408187888668673</t>
  </si>
  <si>
    <t>1694415377822880097</t>
  </si>
  <si>
    <t>1694413114320543747</t>
  </si>
  <si>
    <t>1693713052506431784</t>
  </si>
  <si>
    <t>1680986938646380545</t>
  </si>
  <si>
    <t>1680265750102016001</t>
  </si>
  <si>
    <t>1674734810286178304</t>
  </si>
  <si>
    <t>1666847931083763717</t>
  </si>
  <si>
    <t>1666827568496930816</t>
  </si>
  <si>
    <t>1666792423689707521</t>
  </si>
  <si>
    <t>1666771672068661250</t>
  </si>
  <si>
    <t>1658865424623099904</t>
  </si>
  <si>
    <t>1658862919940014080</t>
  </si>
  <si>
    <t>1658150256406671360</t>
  </si>
  <si>
    <t>1640442229285158912</t>
  </si>
  <si>
    <t>1640396106608656391</t>
  </si>
  <si>
    <t>1639960685021937666</t>
  </si>
  <si>
    <t>1639704827167997953</t>
  </si>
  <si>
    <t>1639368872099987463</t>
  </si>
  <si>
    <t>1638901731601055744</t>
  </si>
  <si>
    <t>1622614968368496640</t>
  </si>
  <si>
    <t>1695798108385398844</t>
  </si>
  <si>
    <t>1688618419589898240</t>
  </si>
  <si>
    <t>1688560472788758528</t>
  </si>
  <si>
    <t>1686021972424085505</t>
  </si>
  <si>
    <t>1682471199291342855</t>
  </si>
  <si>
    <t>1664250297760243716</t>
  </si>
  <si>
    <t>1664225572598292483</t>
  </si>
  <si>
    <t>1657747752053342211</t>
  </si>
  <si>
    <t>1657717957345042432</t>
  </si>
  <si>
    <t>1657491468250906626</t>
  </si>
  <si>
    <t>1657100198500347904</t>
  </si>
  <si>
    <t>1656989557701718016</t>
  </si>
  <si>
    <t>1656688182912483331</t>
  </si>
  <si>
    <t>1656593119356354561</t>
  </si>
  <si>
    <t>1656368125930008595</t>
  </si>
  <si>
    <t>1643348674221682688</t>
  </si>
  <si>
    <t>1643179546785587201</t>
  </si>
  <si>
    <t>1642958208770752512</t>
  </si>
  <si>
    <t>1642210402359443456</t>
  </si>
  <si>
    <t>1641833549387952131</t>
  </si>
  <si>
    <t>1641377510578372608</t>
  </si>
  <si>
    <t>1628077822626476049</t>
  </si>
  <si>
    <t>1626995097827934208</t>
  </si>
  <si>
    <t>1626918604510732288</t>
  </si>
  <si>
    <t>1626640331717443586</t>
  </si>
  <si>
    <t>1701304094571303122</t>
  </si>
  <si>
    <t>1700826739813789899</t>
  </si>
  <si>
    <t>1700237853031108728</t>
  </si>
  <si>
    <t>1697217498926473276</t>
  </si>
  <si>
    <t>1697202867097030698</t>
  </si>
  <si>
    <t>1696975886589792662</t>
  </si>
  <si>
    <t>1694749515859783701</t>
  </si>
  <si>
    <t>1694744290306523143</t>
  </si>
  <si>
    <t>1694710132129800257</t>
  </si>
  <si>
    <t>1690377884236472321</t>
  </si>
  <si>
    <t>1689713034812424199</t>
  </si>
  <si>
    <t>1684201710124666881</t>
  </si>
  <si>
    <t>1676254252421857281</t>
  </si>
  <si>
    <t>1663616272263684096</t>
  </si>
  <si>
    <t>1663600011140005895</t>
  </si>
  <si>
    <t>1663303781893668867</t>
  </si>
  <si>
    <t>1663275501064994843</t>
  </si>
  <si>
    <t>1663257924242743297</t>
  </si>
  <si>
    <t>1663165600930181120</t>
  </si>
  <si>
    <t>1663112546339938304</t>
  </si>
  <si>
    <t>1662081446998056961</t>
  </si>
  <si>
    <t>1662080256541442051</t>
  </si>
  <si>
    <t>1649428266913091587</t>
  </si>
  <si>
    <t>1649381920696827905</t>
  </si>
  <si>
    <t>1649042983554039808</t>
  </si>
  <si>
    <t>1648987786467328002</t>
  </si>
  <si>
    <t>1648779111618289666</t>
  </si>
  <si>
    <t>1648415195994398721</t>
  </si>
  <si>
    <t>1648396129367629834</t>
  </si>
  <si>
    <t>1648311081876574213</t>
  </si>
  <si>
    <t>1633437688261926914</t>
  </si>
  <si>
    <t>1633437471563210758</t>
  </si>
  <si>
    <t>1633394899629273092</t>
  </si>
  <si>
    <t>1633075177092251651</t>
  </si>
  <si>
    <t>1632848647388901376</t>
  </si>
  <si>
    <t>1632818939699896320</t>
  </si>
  <si>
    <t>1632442210343084032</t>
  </si>
  <si>
    <t>1631740352594845698</t>
  </si>
  <si>
    <t>1631625745373044737</t>
  </si>
  <si>
    <t>1630957635489988608</t>
  </si>
  <si>
    <t>1630649085685383169</t>
  </si>
  <si>
    <t>1630580351327170560</t>
  </si>
  <si>
    <t>1630294334170857473</t>
  </si>
  <si>
    <t>1630280188872347658</t>
  </si>
  <si>
    <t>1630276964786356224</t>
  </si>
  <si>
    <t>1630270629587959813</t>
  </si>
  <si>
    <t>1701658471467307201</t>
  </si>
  <si>
    <t>1700131522806677840</t>
  </si>
  <si>
    <t>1698744380981477686</t>
  </si>
  <si>
    <t>1697997853270921342</t>
  </si>
  <si>
    <t>1694348167339286897</t>
  </si>
  <si>
    <t>1691813431320470014</t>
  </si>
  <si>
    <t>1687929245765398528</t>
  </si>
  <si>
    <t>1687555424063488000</t>
  </si>
  <si>
    <t>1671860700170317830</t>
  </si>
  <si>
    <t>1656268496374775808</t>
  </si>
  <si>
    <t>1655920812480684035</t>
  </si>
  <si>
    <t>1655652144609910790</t>
  </si>
  <si>
    <t>1654954650343292936</t>
  </si>
  <si>
    <t>1654508770154668034</t>
  </si>
  <si>
    <t>1638889053423808513</t>
  </si>
  <si>
    <t>1638290652671737857</t>
  </si>
  <si>
    <t>1638270173340737538</t>
  </si>
  <si>
    <t>1638213124829454336</t>
  </si>
  <si>
    <t>1637846740807065600</t>
  </si>
  <si>
    <t>1620489642524000256</t>
  </si>
  <si>
    <t>1618919526195761152</t>
  </si>
  <si>
    <t>1618677313272483842</t>
  </si>
  <si>
    <t>1618224955719647234</t>
  </si>
  <si>
    <t>1617813448963899394</t>
  </si>
  <si>
    <t>1617198188493938695</t>
  </si>
  <si>
    <t>1701659635365584985</t>
  </si>
  <si>
    <t>1651938482187583490</t>
  </si>
  <si>
    <t>1658951005663272961</t>
  </si>
  <si>
    <t>1679494397296095232</t>
  </si>
  <si>
    <t>1680928062248976384</t>
  </si>
  <si>
    <t>1675850685378711553</t>
  </si>
  <si>
    <t>1681258336333844480</t>
  </si>
  <si>
    <t>1681623306514976768</t>
  </si>
  <si>
    <t>1680182254637596672</t>
  </si>
  <si>
    <t>1686398170207563777</t>
  </si>
  <si>
    <t>1681969779655966721</t>
  </si>
  <si>
    <t>1627425718199062529</t>
  </si>
  <si>
    <t>1675272988298555393</t>
  </si>
  <si>
    <t>1637787375060361216</t>
  </si>
  <si>
    <t>1616541229843447823</t>
  </si>
  <si>
    <t>1654674786583298048</t>
  </si>
  <si>
    <t>1699100554008420762</t>
  </si>
  <si>
    <t>1634524712515534848</t>
  </si>
  <si>
    <t>1681677774723973121</t>
  </si>
  <si>
    <t>1691497355030167552</t>
  </si>
  <si>
    <t>1695130103355748647</t>
  </si>
  <si>
    <t>1675929271930331154</t>
  </si>
  <si>
    <t>1694319491096645801</t>
  </si>
  <si>
    <t>1694319488429076804</t>
  </si>
  <si>
    <t>1694319485623112111</t>
  </si>
  <si>
    <t>1694319483756728674</t>
  </si>
  <si>
    <t>1694319481969856709</t>
  </si>
  <si>
    <t>1694319480027967490</t>
  </si>
  <si>
    <t>1694319477591003456</t>
  </si>
  <si>
    <t>1694319475749683603</t>
  </si>
  <si>
    <t>1694319473216438322</t>
  </si>
  <si>
    <t>1694319471144423804</t>
  </si>
  <si>
    <t>1694319469298946340</t>
  </si>
  <si>
    <t>1694319467356955066</t>
  </si>
  <si>
    <t>1694319465456926891</t>
  </si>
  <si>
    <t>1696138915743146057</t>
  </si>
  <si>
    <t>1645403081197117443</t>
  </si>
  <si>
    <t>1678727841515552775</t>
  </si>
  <si>
    <t>1617325397938671616</t>
  </si>
  <si>
    <t>1615726443077541891</t>
  </si>
  <si>
    <t>1615764731746189313</t>
  </si>
  <si>
    <t>1645572802408513536</t>
  </si>
  <si>
    <t>1680963394206048258</t>
  </si>
  <si>
    <t>1687191792813318146</t>
  </si>
  <si>
    <t>1610373555039997952</t>
  </si>
  <si>
    <t>1631010722015506433</t>
  </si>
  <si>
    <t>1630575612346630144</t>
  </si>
  <si>
    <t>1658888182610395136</t>
  </si>
  <si>
    <t>1701652801535766664</t>
  </si>
  <si>
    <t>1687931642965323777</t>
  </si>
  <si>
    <t>1661012730567073797</t>
  </si>
  <si>
    <t>1618747961743400960</t>
  </si>
  <si>
    <t>1668636957025378306</t>
  </si>
  <si>
    <t>1699231503727698295</t>
  </si>
  <si>
    <t>1645462086502187014</t>
  </si>
  <si>
    <t>1651128777525665795</t>
  </si>
  <si>
    <t>1694042620681449921</t>
  </si>
  <si>
    <t>1687918490760404992</t>
  </si>
  <si>
    <t>1689022062810066944</t>
  </si>
  <si>
    <t>1664023461918826501</t>
  </si>
  <si>
    <t>1653874573748715520</t>
  </si>
  <si>
    <t>1668358504749359104</t>
  </si>
  <si>
    <t>1635389071446151168</t>
  </si>
  <si>
    <t>1670901447225909252</t>
  </si>
  <si>
    <t>1643004149640855552</t>
  </si>
  <si>
    <t>1693701683400835280</t>
  </si>
  <si>
    <t>1691177291504644097</t>
  </si>
  <si>
    <t>1686854458209185792</t>
  </si>
  <si>
    <t>1658947204793417729</t>
  </si>
  <si>
    <t>1658211458713264143</t>
  </si>
  <si>
    <t>1641077844070498304</t>
  </si>
  <si>
    <t>1696274885230702875</t>
  </si>
  <si>
    <t>1673423288247238656</t>
  </si>
  <si>
    <t>1665832503863570433</t>
  </si>
  <si>
    <t>1660758981776744451</t>
  </si>
  <si>
    <t>1645551950341996547</t>
  </si>
  <si>
    <t>1643706018080202754</t>
  </si>
  <si>
    <t>1699528264878874990</t>
  </si>
  <si>
    <t>1691914515045364149</t>
  </si>
  <si>
    <t>1701347547783086528</t>
  </si>
  <si>
    <t>1698792367828897914</t>
  </si>
  <si>
    <t>1694444379765669953</t>
  </si>
  <si>
    <t>1676676862779576339</t>
  </si>
  <si>
    <t>1675981031386628096</t>
  </si>
  <si>
    <t>1648803327658926083</t>
  </si>
  <si>
    <t>1648068493936414721</t>
  </si>
  <si>
    <t>1657140192652800002</t>
  </si>
  <si>
    <t>1653032515043565570</t>
  </si>
  <si>
    <t>1622960644495486978</t>
  </si>
  <si>
    <t>1638698093456793602</t>
  </si>
  <si>
    <t>1669400196881498114</t>
  </si>
  <si>
    <t>1666835100078579713</t>
  </si>
  <si>
    <t>1695787413421903973</t>
  </si>
  <si>
    <t>1663626484349652994</t>
  </si>
  <si>
    <t>1622761535821971456</t>
  </si>
  <si>
    <t>1681678519770783749</t>
  </si>
  <si>
    <t>1620142595371585537</t>
  </si>
  <si>
    <t>1638915696494010369</t>
  </si>
  <si>
    <t>1673773100654051332</t>
  </si>
  <si>
    <t>1648070411752546307</t>
  </si>
  <si>
    <t>1672028632733106178</t>
  </si>
  <si>
    <t>1671245317612634113</t>
  </si>
  <si>
    <t>1669526304532619265</t>
  </si>
  <si>
    <t>1654815316474753027</t>
  </si>
  <si>
    <t>1681286547641884673</t>
  </si>
  <si>
    <t>1680970840022687745</t>
  </si>
  <si>
    <t>1682017318178529280</t>
  </si>
  <si>
    <t>1686388824451190790</t>
  </si>
  <si>
    <t>1665413749795160066</t>
  </si>
  <si>
    <t>1641815728016728064</t>
  </si>
  <si>
    <t>1645472616025554952</t>
  </si>
  <si>
    <t>1644727637598765058</t>
  </si>
  <si>
    <t>1675977587091296256</t>
  </si>
  <si>
    <t>1695023066319925390</t>
  </si>
  <si>
    <t>1662093044500316160</t>
  </si>
  <si>
    <t>1631030773955411974</t>
  </si>
  <si>
    <t>1671336265118019585</t>
  </si>
  <si>
    <t>1643630227992502274</t>
  </si>
  <si>
    <t>1616462958715932674</t>
  </si>
  <si>
    <t>1616160425246081047</t>
  </si>
  <si>
    <t>1693674272223527166</t>
  </si>
  <si>
    <t>1691143445686206464</t>
  </si>
  <si>
    <t>1693757636465000959</t>
  </si>
  <si>
    <t>1698802735389266046</t>
  </si>
  <si>
    <t>1625620853063925769</t>
  </si>
  <si>
    <t>1638216890395787265</t>
  </si>
  <si>
    <t>1622706389297528832</t>
  </si>
  <si>
    <t>1615768071180025856</t>
  </si>
  <si>
    <t>1686462411774013440</t>
  </si>
  <si>
    <t>1669314089099616256</t>
  </si>
  <si>
    <t>1626417732030812165</t>
  </si>
  <si>
    <t>1694139416397181359</t>
  </si>
  <si>
    <t>1616072853413150721</t>
  </si>
  <si>
    <t>1665016649949364224</t>
  </si>
  <si>
    <t>1667289495572471810</t>
  </si>
  <si>
    <t>1659982541904924673</t>
  </si>
  <si>
    <t>1635336215993143296</t>
  </si>
  <si>
    <t>1630930891676737536</t>
  </si>
  <si>
    <t>1678525642416029697</t>
  </si>
  <si>
    <t>1682839540501827587</t>
  </si>
  <si>
    <t>1669873511840591878</t>
  </si>
  <si>
    <t>1646043880729595904</t>
  </si>
  <si>
    <t>1692955951702081633</t>
  </si>
  <si>
    <t>1659219913037299715</t>
  </si>
  <si>
    <t>1629288580152426496</t>
  </si>
  <si>
    <t>1661366131217559559</t>
  </si>
  <si>
    <t>1698273260394119561</t>
  </si>
  <si>
    <t>1694007601590088082</t>
  </si>
  <si>
    <t>1612797073409343489</t>
  </si>
  <si>
    <t>1635986586981507076</t>
  </si>
  <si>
    <t>1648684225371963399</t>
  </si>
  <si>
    <t>1654544930037956613</t>
  </si>
  <si>
    <t>1638269474838138908</t>
  </si>
  <si>
    <t>1660989330934964224</t>
  </si>
  <si>
    <t>1616954263128653829</t>
  </si>
  <si>
    <t>1696868229073739997</t>
  </si>
  <si>
    <t>1690914954398875648</t>
  </si>
  <si>
    <t>1677737900887162880</t>
  </si>
  <si>
    <t>1676977449425334272</t>
  </si>
  <si>
    <t>1632054386896654338</t>
  </si>
  <si>
    <t>1613155111336812544</t>
  </si>
  <si>
    <t>1630959030549065728</t>
  </si>
  <si>
    <t>1613482385844178944</t>
  </si>
  <si>
    <t>1623632516744617988</t>
  </si>
  <si>
    <t>1643373154134360064</t>
  </si>
  <si>
    <t>1681977316501512193</t>
  </si>
  <si>
    <t>1636342285314011138</t>
  </si>
  <si>
    <t>1613818251687137280</t>
  </si>
  <si>
    <t>1638898742605791233</t>
  </si>
  <si>
    <t>1645455906128244736</t>
  </si>
  <si>
    <t>1643722099142565888</t>
  </si>
  <si>
    <t>1684728781859143680</t>
  </si>
  <si>
    <t>1635576777455091713</t>
  </si>
  <si>
    <t>1620921431952625664</t>
  </si>
  <si>
    <t>1691758176910086540</t>
  </si>
  <si>
    <t>1689223232132452352</t>
  </si>
  <si>
    <t>1652598795987742721</t>
  </si>
  <si>
    <t>1613146659042611207</t>
  </si>
  <si>
    <t>1668697819358609409</t>
  </si>
  <si>
    <t>1659240002465800192</t>
  </si>
  <si>
    <t>1671949293010255874</t>
  </si>
  <si>
    <t>1679113257326452737</t>
  </si>
  <si>
    <t>1692209069690433842</t>
  </si>
  <si>
    <t>1670624944714051585</t>
  </si>
  <si>
    <t>1679268071523905536</t>
  </si>
  <si>
    <t>1667274069182410756</t>
  </si>
  <si>
    <t>1661499612639768578</t>
  </si>
  <si>
    <t>1687586682487414786</t>
  </si>
  <si>
    <t>1690593733836697600</t>
  </si>
  <si>
    <t>1664763769870745601</t>
  </si>
  <si>
    <t>1664759838281199617</t>
  </si>
  <si>
    <t>1690592825065308160</t>
  </si>
  <si>
    <t>1663309837654949888</t>
  </si>
  <si>
    <t>1691136715295961110</t>
  </si>
  <si>
    <t>1674866924709109776</t>
  </si>
  <si>
    <t>1674518016782999552</t>
  </si>
  <si>
    <t>1694067661305413853</t>
  </si>
  <si>
    <t>1673439324811980804</t>
  </si>
  <si>
    <t>1660781888263319554</t>
  </si>
  <si>
    <t>1636812153641418765</t>
  </si>
  <si>
    <t>1638322125390872579</t>
  </si>
  <si>
    <t>1661679756893466624</t>
  </si>
  <si>
    <t>1651179818073964548</t>
  </si>
  <si>
    <t>1647918797443981312</t>
  </si>
  <si>
    <t>1634142623131639815</t>
  </si>
  <si>
    <t>1633775622232178688</t>
  </si>
  <si>
    <t>1616387346282446848</t>
  </si>
  <si>
    <t>1613479280419258372</t>
  </si>
  <si>
    <t>1613132379308326912</t>
  </si>
  <si>
    <t>1612422287067676673</t>
  </si>
  <si>
    <t>1611307512069853184</t>
  </si>
  <si>
    <t>1610955407740080130</t>
  </si>
  <si>
    <t>1681986422893420544</t>
  </si>
  <si>
    <t>1675817334966026241</t>
  </si>
  <si>
    <t>1668933024401043457</t>
  </si>
  <si>
    <t>1668209159483846657</t>
  </si>
  <si>
    <t>1667166995920420868</t>
  </si>
  <si>
    <t>1653722998409404417</t>
  </si>
  <si>
    <t>1653356415430561792</t>
  </si>
  <si>
    <t>1650449806194614273</t>
  </si>
  <si>
    <t>1636677050843947013</t>
  </si>
  <si>
    <t>1636319201622147072</t>
  </si>
  <si>
    <t>1636022402743148546</t>
  </si>
  <si>
    <t>1635594798152253440</t>
  </si>
  <si>
    <t>1615664209723011074</t>
  </si>
  <si>
    <t>1615307615084363777</t>
  </si>
  <si>
    <t>1614977895801262080</t>
  </si>
  <si>
    <t>1613856200898277377</t>
  </si>
  <si>
    <t>1692493734670131327</t>
  </si>
  <si>
    <t>1689228233563152384</t>
  </si>
  <si>
    <t>1686690154331664384</t>
  </si>
  <si>
    <t>1683795012134350848</t>
  </si>
  <si>
    <t>1681619878229291010</t>
  </si>
  <si>
    <t>1681249919053578243</t>
  </si>
  <si>
    <t>1680924342849339392</t>
  </si>
  <si>
    <t>1674739740589936641</t>
  </si>
  <si>
    <t>1674368753650356225</t>
  </si>
  <si>
    <t>1666745182195261440</t>
  </si>
  <si>
    <t>1659167169890885635</t>
  </si>
  <si>
    <t>1658791693045452801</t>
  </si>
  <si>
    <t>1658424598185103363</t>
  </si>
  <si>
    <t>1641031550178295809</t>
  </si>
  <si>
    <t>1640672067631603713</t>
  </si>
  <si>
    <t>1639221865607471105</t>
  </si>
  <si>
    <t>1623632255288504320</t>
  </si>
  <si>
    <t>1622906622212177920</t>
  </si>
  <si>
    <t>1622548767776940040</t>
  </si>
  <si>
    <t>1696119004551618693</t>
  </si>
  <si>
    <t>1691400324467007490</t>
  </si>
  <si>
    <t>1688518517643964416</t>
  </si>
  <si>
    <t>1686339345718956032</t>
  </si>
  <si>
    <t>1686003105530355712</t>
  </si>
  <si>
    <t>1682346870184484865</t>
  </si>
  <si>
    <t>1678362989659815936</t>
  </si>
  <si>
    <t>1670751089967128576</t>
  </si>
  <si>
    <t>1664605467866279948</t>
  </si>
  <si>
    <t>1664219976222294017</t>
  </si>
  <si>
    <t>1658067000948654084</t>
  </si>
  <si>
    <t>1656968964679819264</t>
  </si>
  <si>
    <t>1656608789187928066</t>
  </si>
  <si>
    <t>1643205845147176960</t>
  </si>
  <si>
    <t>1642846606016888835</t>
  </si>
  <si>
    <t>1641412207622733824</t>
  </si>
  <si>
    <t>1628362655290343424</t>
  </si>
  <si>
    <t>1626539971023630338</t>
  </si>
  <si>
    <t>1626184794538139649</t>
  </si>
  <si>
    <t>1625806758420652033</t>
  </si>
  <si>
    <t>1696475819642687649</t>
  </si>
  <si>
    <t>1694280711522402685</t>
  </si>
  <si>
    <t>1693937739593322870</t>
  </si>
  <si>
    <t>1693590861186056439</t>
  </si>
  <si>
    <t>1691044490851532801</t>
  </si>
  <si>
    <t>1688869440828432384</t>
  </si>
  <si>
    <t>1683430057522462720</t>
  </si>
  <si>
    <t>1679820966090747904</t>
  </si>
  <si>
    <t>1679451628854714369</t>
  </si>
  <si>
    <t>1674004378410156032</t>
  </si>
  <si>
    <t>1673613303673700352</t>
  </si>
  <si>
    <t>1666403806748221440</t>
  </si>
  <si>
    <t>1660956841134764032</t>
  </si>
  <si>
    <t>1660597607813480448</t>
  </si>
  <si>
    <t>1645376325610250240</t>
  </si>
  <si>
    <t>1643924371977695233</t>
  </si>
  <si>
    <t>1643569202437976066</t>
  </si>
  <si>
    <t>1625442534053797888</t>
  </si>
  <si>
    <t>1623990617100455937</t>
  </si>
  <si>
    <t>1701196648674705711</t>
  </si>
  <si>
    <t>1697556682212008371</t>
  </si>
  <si>
    <t>1696837962925838524</t>
  </si>
  <si>
    <t>1692129671419138170</t>
  </si>
  <si>
    <t>1691773316485324866</t>
  </si>
  <si>
    <t>1687449915431985152</t>
  </si>
  <si>
    <t>1687051731509587968</t>
  </si>
  <si>
    <t>1679070445293666305</t>
  </si>
  <si>
    <t>1678722043091533825</t>
  </si>
  <si>
    <t>1673262370020368384</t>
  </si>
  <si>
    <t>1672204194739019779</t>
  </si>
  <si>
    <t>1671819067471044608</t>
  </si>
  <si>
    <t>1671475458507001856</t>
  </si>
  <si>
    <t>1656254418650537985</t>
  </si>
  <si>
    <t>1655890495791398912</t>
  </si>
  <si>
    <t>1655529155750928384</t>
  </si>
  <si>
    <t>1654491145051815942</t>
  </si>
  <si>
    <t>1638847534763331590</t>
  </si>
  <si>
    <t>1638496285962514434</t>
  </si>
  <si>
    <t>1637762460659712001</t>
  </si>
  <si>
    <t>1637760997631959044</t>
  </si>
  <si>
    <t>1621467205203361792</t>
  </si>
  <si>
    <t>1620745181992718337</t>
  </si>
  <si>
    <t>1620008578680762368</t>
  </si>
  <si>
    <t>1618927599224508416</t>
  </si>
  <si>
    <t>1618560229293322241</t>
  </si>
  <si>
    <t>1618192007654178816</t>
  </si>
  <si>
    <t>1617826259970719747</t>
  </si>
  <si>
    <t>1617479972091990018</t>
  </si>
  <si>
    <t>1701555854162509843</t>
  </si>
  <si>
    <t>1699004023343362066</t>
  </si>
  <si>
    <t>1697226848814436697</t>
  </si>
  <si>
    <t>1695014918578180520</t>
  </si>
  <si>
    <t>1694663993401459103</t>
  </si>
  <si>
    <t>1689952259218583552</t>
  </si>
  <si>
    <t>1689587055519543296</t>
  </si>
  <si>
    <t>1684900627753615360</t>
  </si>
  <si>
    <t>1684539563702640641</t>
  </si>
  <si>
    <t>1684148914126200832</t>
  </si>
  <si>
    <t>1677267893669490691</t>
  </si>
  <si>
    <t>1676536082534465537</t>
  </si>
  <si>
    <t>1676181457968979968</t>
  </si>
  <si>
    <t>1663495891116752897</t>
  </si>
  <si>
    <t>1663130496698654725</t>
  </si>
  <si>
    <t>1662053685554294784</t>
  </si>
  <si>
    <t>1649005696363405322</t>
  </si>
  <si>
    <t>1648279469155663872</t>
  </si>
  <si>
    <t>1633423352533590017</t>
  </si>
  <si>
    <t>1633051643389280256</t>
  </si>
  <si>
    <t>1632694067959148544</t>
  </si>
  <si>
    <t>1631612721459281922</t>
  </si>
  <si>
    <t>1631266817770438656</t>
  </si>
  <si>
    <t>1630881908358889476</t>
  </si>
  <si>
    <t>1630536948585488385</t>
  </si>
  <si>
    <t>1701917039466623464</t>
  </si>
  <si>
    <t>1671108974979039232</t>
  </si>
  <si>
    <t>1669316694160863234</t>
  </si>
  <si>
    <t>1663860023078920196</t>
  </si>
  <si>
    <t>1661322675086655489</t>
  </si>
  <si>
    <t>1654077524022886400</t>
  </si>
  <si>
    <t>1651893906550714371</t>
  </si>
  <si>
    <t>1651550873615515652</t>
  </si>
  <si>
    <t>1646825083183198208</t>
  </si>
  <si>
    <t>1646458689354625028</t>
  </si>
  <si>
    <t>1646104885589409792</t>
  </si>
  <si>
    <t>1630165349936033794</t>
  </si>
  <si>
    <t>1629079780455768064</t>
  </si>
  <si>
    <t>1628717772820697089</t>
  </si>
  <si>
    <t>1610586553583112192</t>
  </si>
  <si>
    <t>1610251655550746626</t>
  </si>
  <si>
    <t>1698018067844894952</t>
  </si>
  <si>
    <t>1699180727319814496</t>
  </si>
  <si>
    <t>1624576812939374593</t>
  </si>
  <si>
    <t>1631614017704796161</t>
  </si>
  <si>
    <t>1642983731005898752</t>
  </si>
  <si>
    <t>1641526050516508694</t>
  </si>
  <si>
    <t>1670065169219690501</t>
  </si>
  <si>
    <t>1669141619881246720</t>
  </si>
  <si>
    <t>1626225974672261130</t>
  </si>
  <si>
    <t>1648699177574989828</t>
  </si>
  <si>
    <t>1655556230146928640</t>
  </si>
  <si>
    <t>1686812366434877446</t>
  </si>
  <si>
    <t>1654956376454569985</t>
  </si>
  <si>
    <t>1660709515346493440</t>
  </si>
  <si>
    <t>1663936114321661960</t>
  </si>
  <si>
    <t>1651293334285975568</t>
  </si>
  <si>
    <t>1668334883733897217</t>
  </si>
  <si>
    <t>1676681872468844544</t>
  </si>
  <si>
    <t>1656702843540185088</t>
  </si>
  <si>
    <t>1688146636353003520</t>
  </si>
  <si>
    <t>1695974775766626667</t>
  </si>
  <si>
    <t>1657548693774409729</t>
  </si>
  <si>
    <t>1659172620497985536</t>
  </si>
  <si>
    <t>1658822492977258496</t>
  </si>
  <si>
    <t>1637166056060878848</t>
  </si>
  <si>
    <t>1638601677837328384</t>
  </si>
  <si>
    <t>1694443118643343786</t>
  </si>
  <si>
    <t>1669061957171683330</t>
  </si>
  <si>
    <t>1669422575364063232</t>
  </si>
  <si>
    <t>1670780587211214849</t>
  </si>
  <si>
    <t>1669797237398839323</t>
  </si>
  <si>
    <t>1641540469833322497</t>
  </si>
  <si>
    <t>1684669428909166592</t>
  </si>
  <si>
    <t>1694059659903082985</t>
  </si>
  <si>
    <t>1686774525583601665</t>
  </si>
  <si>
    <t>1657030954739703814</t>
  </si>
  <si>
    <t>1675535218038505472</t>
  </si>
  <si>
    <t>1626985731225780227</t>
  </si>
  <si>
    <t>1636471805660610560</t>
  </si>
  <si>
    <t>1691952429615489452</t>
  </si>
  <si>
    <t>1671858808077819904</t>
  </si>
  <si>
    <t>1624502105514905600</t>
  </si>
  <si>
    <t>1692535999874646250</t>
  </si>
  <si>
    <t>1653013502578118657</t>
  </si>
  <si>
    <t>1654119417704484865</t>
  </si>
  <si>
    <t>1653825619661139970</t>
  </si>
  <si>
    <t>1677642918889234432</t>
  </si>
  <si>
    <t>1653370635072987137</t>
  </si>
  <si>
    <t>1653188679114817539</t>
  </si>
  <si>
    <t>1691072297468071936</t>
  </si>
  <si>
    <t>1680910201497481216</t>
  </si>
  <si>
    <t>1658072114476339200</t>
  </si>
  <si>
    <t>1695418727972364493</t>
  </si>
  <si>
    <t>1693591541716000891</t>
  </si>
  <si>
    <t>1691423087386869760</t>
  </si>
  <si>
    <t>1685981842409693184</t>
  </si>
  <si>
    <t>1685617971509485570</t>
  </si>
  <si>
    <t>1683441992267595777</t>
  </si>
  <si>
    <t>1683086686568292354</t>
  </si>
  <si>
    <t>1660611655418486785</t>
  </si>
  <si>
    <t>1660256573590065152</t>
  </si>
  <si>
    <t>1696183478218371082</t>
  </si>
  <si>
    <t>1690726745928818688</t>
  </si>
  <si>
    <t>1688518276526022656</t>
  </si>
  <si>
    <t>1678367904163672065</t>
  </si>
  <si>
    <t>1678007014813728770</t>
  </si>
  <si>
    <t>1657916693891489794</t>
  </si>
  <si>
    <t>1700485948675330274</t>
  </si>
  <si>
    <t>1699761648729281011</t>
  </si>
  <si>
    <t>1690354017870688256</t>
  </si>
  <si>
    <t>1690328877053161472</t>
  </si>
  <si>
    <t>1677273592940175363</t>
  </si>
  <si>
    <t>1676910984412254208</t>
  </si>
  <si>
    <t>1663140116485881857</t>
  </si>
  <si>
    <t>1662793328637665283</t>
  </si>
  <si>
    <t>1701206022499479872</t>
  </si>
  <si>
    <t>1698662874229399784</t>
  </si>
  <si>
    <t>1697944974157926542</t>
  </si>
  <si>
    <t>1687842379280117760</t>
  </si>
  <si>
    <t>1655551433721233417</t>
  </si>
  <si>
    <t>1654819693033668612</t>
  </si>
  <si>
    <t>1684980242081820690</t>
  </si>
  <si>
    <t>1670081283660169216</t>
  </si>
  <si>
    <t>1671292714191581184</t>
  </si>
  <si>
    <t>1700622688337711425</t>
  </si>
  <si>
    <t>1663298653270732801</t>
  </si>
  <si>
    <t>1662225256914845696</t>
  </si>
  <si>
    <t>1661888186237304834</t>
  </si>
  <si>
    <t>1649183070166106115</t>
  </si>
  <si>
    <t>1648810867146850305</t>
  </si>
  <si>
    <t>1648445910505119745</t>
  </si>
  <si>
    <t>1648094051382722560</t>
  </si>
  <si>
    <t>1671281147953938433</t>
  </si>
  <si>
    <t>1656091152137981953</t>
  </si>
  <si>
    <t>1655694511773712385</t>
  </si>
  <si>
    <t>1654620092498432001</t>
  </si>
  <si>
    <t>1666576519102185473</t>
  </si>
  <si>
    <t>1658959989929648131</t>
  </si>
  <si>
    <t>1658622774527635459</t>
  </si>
  <si>
    <t>1658241680577789954</t>
  </si>
  <si>
    <t>1663667026164948992</t>
  </si>
  <si>
    <t>1661500653569740800</t>
  </si>
  <si>
    <t>1661140394569023488</t>
  </si>
  <si>
    <t>1654275110155460609</t>
  </si>
  <si>
    <t>1650993593673306113</t>
  </si>
  <si>
    <t>1669118462239580160</t>
  </si>
  <si>
    <t>1667302986044043264</t>
  </si>
  <si>
    <t>1653521500375482368</t>
  </si>
  <si>
    <t>1650618758946340866</t>
  </si>
  <si>
    <t>1669464698796797958</t>
  </si>
  <si>
    <t>1668746346482860034</t>
  </si>
  <si>
    <t>1668378660296957953</t>
  </si>
  <si>
    <t>1664031067857371137</t>
  </si>
  <si>
    <t>1653905651465060352</t>
  </si>
  <si>
    <t>1652084547180285954</t>
  </si>
  <si>
    <t>1651746306623193090</t>
  </si>
  <si>
    <t>1651373961312194560</t>
  </si>
  <si>
    <t>1647001800694792196</t>
  </si>
  <si>
    <t>1646640663382102016</t>
  </si>
  <si>
    <t>1670914850770518016</t>
  </si>
  <si>
    <t>1669840669496717317</t>
  </si>
  <si>
    <t>1664400578313633795</t>
  </si>
  <si>
    <t>1656424253028278272</t>
  </si>
  <si>
    <t>1643015421635821568</t>
  </si>
  <si>
    <t>1666195598133846024</t>
  </si>
  <si>
    <t>1665852868178644992</t>
  </si>
  <si>
    <t>1660780965277622273</t>
  </si>
  <si>
    <t>1659692288342208512</t>
  </si>
  <si>
    <t>1659326305819557889</t>
  </si>
  <si>
    <t>1643737893465210880</t>
  </si>
  <si>
    <t>1604752283190845440</t>
  </si>
  <si>
    <t>1651938467121709057</t>
  </si>
  <si>
    <t>1658951002177916934</t>
  </si>
  <si>
    <t>1686398133767479296</t>
  </si>
  <si>
    <t>1691497346364743683</t>
  </si>
  <si>
    <t>1695130089602596971</t>
  </si>
  <si>
    <t>1675929265341079555</t>
  </si>
  <si>
    <t>1694319463414259785</t>
  </si>
  <si>
    <t>1696138908524785923</t>
  </si>
  <si>
    <t>1577902985430159360</t>
  </si>
  <si>
    <t>1351535881853792257</t>
  </si>
  <si>
    <t>1630191287126073344</t>
  </si>
  <si>
    <t>64757742</t>
  </si>
  <si>
    <t>1493433552196808704</t>
  </si>
  <si>
    <t>1598845422268727296</t>
  </si>
  <si>
    <t>1655747852386050049</t>
  </si>
  <si>
    <t>1617568330553999385</t>
  </si>
  <si>
    <t>1483804131076812801</t>
  </si>
  <si>
    <t>1617067317657014274</t>
  </si>
  <si>
    <t>67855114</t>
  </si>
  <si>
    <t>1495833252531220488</t>
  </si>
  <si>
    <t>2469127752</t>
  </si>
  <si>
    <t>521681799</t>
  </si>
  <si>
    <t>15463401</t>
  </si>
  <si>
    <t>126054491</t>
  </si>
  <si>
    <t>3687841756</t>
  </si>
  <si>
    <t>1402341454249443334</t>
  </si>
  <si>
    <t>2389505576</t>
  </si>
  <si>
    <t>1371819053791199238</t>
  </si>
  <si>
    <t>113410319</t>
  </si>
  <si>
    <t>88370875</t>
  </si>
  <si>
    <t>190271535</t>
  </si>
  <si>
    <t>1692216582485782548</t>
  </si>
  <si>
    <t>1731964476</t>
  </si>
  <si>
    <t>2954588386</t>
  </si>
  <si>
    <t>1272691383418138624</t>
  </si>
  <si>
    <t>153904334</t>
  </si>
  <si>
    <t>297991789</t>
  </si>
  <si>
    <t>83723557</t>
  </si>
  <si>
    <t>230005777</t>
  </si>
  <si>
    <t>1506639991929196548</t>
  </si>
  <si>
    <t>1031548103416049675</t>
  </si>
  <si>
    <t>1664416457046802432</t>
  </si>
  <si>
    <t>887045533331845120</t>
  </si>
  <si>
    <t>1517375931983269889</t>
  </si>
  <si>
    <t>1070858287447449601</t>
  </si>
  <si>
    <t>160910872</t>
  </si>
  <si>
    <t>1281618694330896384</t>
  </si>
  <si>
    <t>1616247480068313088</t>
  </si>
  <si>
    <t>53912925</t>
  </si>
  <si>
    <t>1686339704315101184</t>
  </si>
  <si>
    <t>134777384</t>
  </si>
  <si>
    <t>1053650476129021952</t>
  </si>
  <si>
    <t>1621646457135681536</t>
  </si>
  <si>
    <t>4848184300</t>
  </si>
  <si>
    <t>1066837200480935938</t>
  </si>
  <si>
    <t>1120423731199975425</t>
  </si>
  <si>
    <t>78018497</t>
  </si>
  <si>
    <t>142393421</t>
  </si>
  <si>
    <t>1620875889817882625</t>
  </si>
  <si>
    <t>1491708832107667456</t>
  </si>
  <si>
    <t>1521569296039788546</t>
  </si>
  <si>
    <t>1648059364186509328</t>
  </si>
  <si>
    <t>910992556036706304</t>
  </si>
  <si>
    <t>149585845</t>
  </si>
  <si>
    <t>1367584740832903168</t>
  </si>
  <si>
    <t>1477348045331308544</t>
  </si>
  <si>
    <t>177389220</t>
  </si>
  <si>
    <t>1492976664212615171</t>
  </si>
  <si>
    <t>1380094115258449920</t>
  </si>
  <si>
    <t>4211523209</t>
  </si>
  <si>
    <t>1594371871763480581</t>
  </si>
  <si>
    <t>48821743</t>
  </si>
  <si>
    <t>1335656385128894465</t>
  </si>
  <si>
    <t>1438913412583596035</t>
  </si>
  <si>
    <t>1610704139679420417</t>
  </si>
  <si>
    <t>1629281421985558533</t>
  </si>
  <si>
    <t>1545180924068990976</t>
  </si>
  <si>
    <t>895549163403829248</t>
  </si>
  <si>
    <t>962956571461419008</t>
  </si>
  <si>
    <t>171187241</t>
  </si>
  <si>
    <t>1339168309682597892</t>
  </si>
  <si>
    <t>47094293</t>
  </si>
  <si>
    <t>90903147</t>
  </si>
  <si>
    <t>67008859</t>
  </si>
  <si>
    <t>1489186316495503361</t>
  </si>
  <si>
    <t>37792011</t>
  </si>
  <si>
    <t>124178356</t>
  </si>
  <si>
    <t>1395541134932332553</t>
  </si>
  <si>
    <t>1377340732319612930</t>
  </si>
  <si>
    <t>18718638</t>
  </si>
  <si>
    <t>953378142198161409</t>
  </si>
  <si>
    <t>3472239557</t>
  </si>
  <si>
    <t>1236003131244392448</t>
  </si>
  <si>
    <t>164779867</t>
  </si>
  <si>
    <t>1654173779524714514</t>
  </si>
  <si>
    <t>1031661514644770816</t>
  </si>
  <si>
    <t>64254244</t>
  </si>
  <si>
    <t>18898473</t>
  </si>
  <si>
    <t>1691933346077786118</t>
  </si>
  <si>
    <t>1505999336387272715</t>
  </si>
  <si>
    <t>1078618844007157761</t>
  </si>
  <si>
    <t>1655602506980786177</t>
  </si>
  <si>
    <t>1632766845903151106</t>
  </si>
  <si>
    <t>1283575954506383360</t>
  </si>
  <si>
    <t>1675945006584963072</t>
  </si>
  <si>
    <t>213528305</t>
  </si>
  <si>
    <t>1164788571363954688</t>
  </si>
  <si>
    <t>1285988910145953794</t>
  </si>
  <si>
    <t>1325812903828713478</t>
  </si>
  <si>
    <t>1655262179052990467</t>
  </si>
  <si>
    <t>1591582592771530756</t>
  </si>
  <si>
    <t>57981116</t>
  </si>
  <si>
    <t>2361932263</t>
  </si>
  <si>
    <t>508075094</t>
  </si>
  <si>
    <t>1624753421231202305</t>
  </si>
  <si>
    <t>1540004255012102144</t>
  </si>
  <si>
    <t>15666651</t>
  </si>
  <si>
    <t>845735758883426304</t>
  </si>
  <si>
    <t>3066337923</t>
  </si>
  <si>
    <t>154117181</t>
  </si>
  <si>
    <t>1223403154940841990</t>
  </si>
  <si>
    <t>222157159</t>
  </si>
  <si>
    <t>370629670</t>
  </si>
  <si>
    <t>1524607646007021568</t>
  </si>
  <si>
    <t>889483841840271360</t>
  </si>
  <si>
    <t>1206942103735095296</t>
  </si>
  <si>
    <t>1231801837625520131</t>
  </si>
  <si>
    <t>3292442302</t>
  </si>
  <si>
    <t>1590344906140254209</t>
  </si>
  <si>
    <t>95443950</t>
  </si>
  <si>
    <t>44006093</t>
  </si>
  <si>
    <t>1649089578626695177</t>
  </si>
  <si>
    <t>1688199676816744448</t>
  </si>
  <si>
    <t>74550038</t>
  </si>
  <si>
    <t>1483647062</t>
  </si>
  <si>
    <t>38032674</t>
  </si>
  <si>
    <t>2155359410</t>
  </si>
  <si>
    <t>3273344460</t>
  </si>
  <si>
    <t>494280226</t>
  </si>
  <si>
    <t>1687191797963845632</t>
  </si>
  <si>
    <t/>
  </si>
  <si>
    <t>1610373853401726976</t>
  </si>
  <si>
    <t>1631010730811052046</t>
  </si>
  <si>
    <t>1630707436104425472</t>
  </si>
  <si>
    <t>1701652811534975374</t>
  </si>
  <si>
    <t>1618747970564030465</t>
  </si>
  <si>
    <t>1699232257485963658</t>
  </si>
  <si>
    <t>1645463074000850944</t>
  </si>
  <si>
    <t>1694043317007225240</t>
  </si>
  <si>
    <t>1687918511698456576</t>
  </si>
  <si>
    <t>1664024625230086149</t>
  </si>
  <si>
    <t>1653874806171877377</t>
  </si>
  <si>
    <t>1668358708454121476</t>
  </si>
  <si>
    <t>1635389290825007106</t>
  </si>
  <si>
    <t>1670901773324759043</t>
  </si>
  <si>
    <t>1693701905518674418</t>
  </si>
  <si>
    <t>1691177378851016705</t>
  </si>
  <si>
    <t>1686854564861870081</t>
  </si>
  <si>
    <t>1641078466287157250</t>
  </si>
  <si>
    <t>1696275578700156974</t>
  </si>
  <si>
    <t>1673423524533268508</t>
  </si>
  <si>
    <t>1665832756083843072</t>
  </si>
  <si>
    <t>1660759097367486464</t>
  </si>
  <si>
    <t>1645552173189857280</t>
  </si>
  <si>
    <t>1699528508337225809</t>
  </si>
  <si>
    <t>1691914698386751651</t>
  </si>
  <si>
    <t>1701347856240578869</t>
  </si>
  <si>
    <t>1698794501957980571</t>
  </si>
  <si>
    <t>1694444742979760469</t>
  </si>
  <si>
    <t>1676676874741731330</t>
  </si>
  <si>
    <t>1675981395825504257</t>
  </si>
  <si>
    <t>1648068988507660288</t>
  </si>
  <si>
    <t>1622960734807236610</t>
  </si>
  <si>
    <t>1638698096715546624</t>
  </si>
  <si>
    <t>1667006553495416833</t>
  </si>
  <si>
    <t>1695787448645697773</t>
  </si>
  <si>
    <t>1684999433878982656</t>
  </si>
  <si>
    <t>1663626504905826304</t>
  </si>
  <si>
    <t>1622761541157150721</t>
  </si>
  <si>
    <t>1681678525772832768</t>
  </si>
  <si>
    <t>1673773120182796317</t>
  </si>
  <si>
    <t>1648070418085888002</t>
  </si>
  <si>
    <t>1672028659018760193</t>
  </si>
  <si>
    <t>1671245319311335424</t>
  </si>
  <si>
    <t>1669526325332258818</t>
  </si>
  <si>
    <t>1681286601954009088</t>
  </si>
  <si>
    <t>1680970847912177665</t>
  </si>
  <si>
    <t>1682017331688423424</t>
  </si>
  <si>
    <t>1686388857632358400</t>
  </si>
  <si>
    <t>1641815918496866305</t>
  </si>
  <si>
    <t>1644727743454609410</t>
  </si>
  <si>
    <t>1675977600924016640</t>
  </si>
  <si>
    <t>1643630240416124930</t>
  </si>
  <si>
    <t>1616163860435673088</t>
  </si>
  <si>
    <t>1693675114876055664</t>
  </si>
  <si>
    <t>1691143464623460352</t>
  </si>
  <si>
    <t>1693757747932926434</t>
  </si>
  <si>
    <t>1698802743421399490</t>
  </si>
  <si>
    <t>1638217111246979072</t>
  </si>
  <si>
    <t>1622706395320619008</t>
  </si>
  <si>
    <t>1615768079807430671</t>
  </si>
  <si>
    <t>1686462414936567808</t>
  </si>
  <si>
    <t>1669314094698995712</t>
  </si>
  <si>
    <t>1665016664717443075</t>
  </si>
  <si>
    <t>1667290203457744897</t>
  </si>
  <si>
    <t>1659982543637172226</t>
  </si>
  <si>
    <t>1670953538216681475</t>
  </si>
  <si>
    <t>1630930896403714055</t>
  </si>
  <si>
    <t>1678525646417408001</t>
  </si>
  <si>
    <t>1669873515695095809</t>
  </si>
  <si>
    <t>1629288581851144195</t>
  </si>
  <si>
    <t>1661366328492539904</t>
  </si>
  <si>
    <t>1698273288131080323</t>
  </si>
  <si>
    <t>1694007605092307443</t>
  </si>
  <si>
    <t>1612797078475792384</t>
  </si>
  <si>
    <t>1635986595999367169</t>
  </si>
  <si>
    <t>1648684229230837763</t>
  </si>
  <si>
    <t>1654544934613942272</t>
  </si>
  <si>
    <t>1638269480496255005</t>
  </si>
  <si>
    <t>1660989334034448385</t>
  </si>
  <si>
    <t>1616954268824600576</t>
  </si>
  <si>
    <t>1690914967195688960</t>
  </si>
  <si>
    <t>1677737903122792450</t>
  </si>
  <si>
    <t>1676977451866398723</t>
  </si>
  <si>
    <t>1613155114805608448</t>
  </si>
  <si>
    <t>1630959058562818048</t>
  </si>
  <si>
    <t>1613482756025057282</t>
  </si>
  <si>
    <t>1623632725889499136</t>
  </si>
  <si>
    <t>1643373666007121922</t>
  </si>
  <si>
    <t>1681977709205807106</t>
  </si>
  <si>
    <t>1636342656308477952</t>
  </si>
  <si>
    <t>1613818665605992450</t>
  </si>
  <si>
    <t>1643722102174806017</t>
  </si>
  <si>
    <t>1691760303476773261</t>
  </si>
  <si>
    <t>1668697828745519106</t>
  </si>
  <si>
    <t>1659240009658925080</t>
  </si>
  <si>
    <t>1671949295405203469</t>
  </si>
  <si>
    <t>1679113772147810305</t>
  </si>
  <si>
    <t>1692209888707883466</t>
  </si>
  <si>
    <t>1670624956277829633</t>
  </si>
  <si>
    <t>1687586684815220736</t>
  </si>
  <si>
    <t>1674518018754314240</t>
  </si>
  <si>
    <t>1638322132609318916</t>
  </si>
  <si>
    <t>1661679764598292482</t>
  </si>
  <si>
    <t>1651179825854390273</t>
  </si>
  <si>
    <t>1647918805455077376</t>
  </si>
  <si>
    <t>1634142629486112769</t>
  </si>
  <si>
    <t>1633775628674646016</t>
  </si>
  <si>
    <t>1616387358609313792</t>
  </si>
  <si>
    <t>1613479288010948609</t>
  </si>
  <si>
    <t>1613132385729777665</t>
  </si>
  <si>
    <t>1612422293950550017</t>
  </si>
  <si>
    <t>1611307525651013634</t>
  </si>
  <si>
    <t>1610955414128168964</t>
  </si>
  <si>
    <t>1681986429310607361</t>
  </si>
  <si>
    <t>1675817341928583168</t>
  </si>
  <si>
    <t>1668933031053209600</t>
  </si>
  <si>
    <t>1668209169520812033</t>
  </si>
  <si>
    <t>1667167005827383300</t>
  </si>
  <si>
    <t>1653723006634434560</t>
  </si>
  <si>
    <t>1653356425110757377</t>
  </si>
  <si>
    <t>1650449815979933696</t>
  </si>
  <si>
    <t>1636677060012699648</t>
  </si>
  <si>
    <t>1636319210010705923</t>
  </si>
  <si>
    <t>1636022411479986177</t>
  </si>
  <si>
    <t>1635594808348626945</t>
  </si>
  <si>
    <t>1615664218023362560</t>
  </si>
  <si>
    <t>1615307622848004099</t>
  </si>
  <si>
    <t>1614977902851854341</t>
  </si>
  <si>
    <t>1613856207651090435</t>
  </si>
  <si>
    <t>1692493741448118453</t>
  </si>
  <si>
    <t>1689228243226734592</t>
  </si>
  <si>
    <t>1686690161927548928</t>
  </si>
  <si>
    <t>1683795020686540802</t>
  </si>
  <si>
    <t>1681619883681824768</t>
  </si>
  <si>
    <t>1681249933767090176</t>
  </si>
  <si>
    <t>1680924352533987328</t>
  </si>
  <si>
    <t>1674739749607682050</t>
  </si>
  <si>
    <t>1674368760780562432</t>
  </si>
  <si>
    <t>1666745190734782464</t>
  </si>
  <si>
    <t>1659167178656972802</t>
  </si>
  <si>
    <t>1658791703162105859</t>
  </si>
  <si>
    <t>1658424606800093193</t>
  </si>
  <si>
    <t>1641031557359050757</t>
  </si>
  <si>
    <t>1640672073646211072</t>
  </si>
  <si>
    <t>1639221872108740612</t>
  </si>
  <si>
    <t>1623632260653019137</t>
  </si>
  <si>
    <t>1622906628713459716</t>
  </si>
  <si>
    <t>1622548774127120386</t>
  </si>
  <si>
    <t>1696119012294262997</t>
  </si>
  <si>
    <t>1691400330972405760</t>
  </si>
  <si>
    <t>1688518524174471168</t>
  </si>
  <si>
    <t>1686339353759387650</t>
  </si>
  <si>
    <t>1686003113168084992</t>
  </si>
  <si>
    <t>1682346876530483202</t>
  </si>
  <si>
    <t>1678362997385752577</t>
  </si>
  <si>
    <t>1670751096048893955</t>
  </si>
  <si>
    <t>1664605474568675328</t>
  </si>
  <si>
    <t>1664219983834906625</t>
  </si>
  <si>
    <t>1658067007080747008</t>
  </si>
  <si>
    <t>1656968973710229504</t>
  </si>
  <si>
    <t>1656608796796387329</t>
  </si>
  <si>
    <t>1643205854542327809</t>
  </si>
  <si>
    <t>1642846614447333377</t>
  </si>
  <si>
    <t>1641412217982574592</t>
  </si>
  <si>
    <t>1628362664639447040</t>
  </si>
  <si>
    <t>1626539978749534210</t>
  </si>
  <si>
    <t>1626184801374949376</t>
  </si>
  <si>
    <t>1625806767358607363</t>
  </si>
  <si>
    <t>1696475826030526892</t>
  </si>
  <si>
    <t>1694280718338109487</t>
  </si>
  <si>
    <t>1693937745519948008</t>
  </si>
  <si>
    <t>1693590868479836497</t>
  </si>
  <si>
    <t>1691044497688268800</t>
  </si>
  <si>
    <t>1688869448587804672</t>
  </si>
  <si>
    <t>1683430064732471298</t>
  </si>
  <si>
    <t>1679820973279780864</t>
  </si>
  <si>
    <t>1679451637478305795</t>
  </si>
  <si>
    <t>1674004385427255296</t>
  </si>
  <si>
    <t>1673613311416336385</t>
  </si>
  <si>
    <t>1666403815623409665</t>
  </si>
  <si>
    <t>1660956847476559875</t>
  </si>
  <si>
    <t>1660597613350060035</t>
  </si>
  <si>
    <t>1645376333457784834</t>
  </si>
  <si>
    <t>1643924379355709443</t>
  </si>
  <si>
    <t>1643569212818878465</t>
  </si>
  <si>
    <t>1625442544162152448</t>
  </si>
  <si>
    <t>1623990625124188161</t>
  </si>
  <si>
    <t>1701196654337036657</t>
  </si>
  <si>
    <t>1697556690307018959</t>
  </si>
  <si>
    <t>1696837975424819532</t>
  </si>
  <si>
    <t>1692129676896993705</t>
  </si>
  <si>
    <t>1691773327038160922</t>
  </si>
  <si>
    <t>1687449924256878592</t>
  </si>
  <si>
    <t>1687051740925861888</t>
  </si>
  <si>
    <t>1679070452541534209</t>
  </si>
  <si>
    <t>1678722050494550016</t>
  </si>
  <si>
    <t>1673262375632347136</t>
  </si>
  <si>
    <t>1672204204771889155</t>
  </si>
  <si>
    <t>1671819072630079488</t>
  </si>
  <si>
    <t>1671475468141199360</t>
  </si>
  <si>
    <t>1656254425810231296</t>
  </si>
  <si>
    <t>1655890505262137344</t>
  </si>
  <si>
    <t>1655529163053211648</t>
  </si>
  <si>
    <t>1654491153629167625</t>
  </si>
  <si>
    <t>1638847541981728768</t>
  </si>
  <si>
    <t>1638496292643958784</t>
  </si>
  <si>
    <t>1637762468440154117</t>
  </si>
  <si>
    <t>1637761005089349632</t>
  </si>
  <si>
    <t>1621467217589067776</t>
  </si>
  <si>
    <t>1620745191383773184</t>
  </si>
  <si>
    <t>1620008588206014464</t>
  </si>
  <si>
    <t>1618927607386632195</t>
  </si>
  <si>
    <t>1618560238118113282</t>
  </si>
  <si>
    <t>1618192016114094081</t>
  </si>
  <si>
    <t>1617826266937454593</t>
  </si>
  <si>
    <t>1617479980052803586</t>
  </si>
  <si>
    <t>1701555863289266280</t>
  </si>
  <si>
    <t>1699004032147186099</t>
  </si>
  <si>
    <t>1697226856733229087</t>
  </si>
  <si>
    <t>1695014924726981010</t>
  </si>
  <si>
    <t>1694664003681767512</t>
  </si>
  <si>
    <t>1689952267774955520</t>
  </si>
  <si>
    <t>1689587061051817989</t>
  </si>
  <si>
    <t>1684900634506522624</t>
  </si>
  <si>
    <t>1684539570199695360</t>
  </si>
  <si>
    <t>1684148920367083528</t>
  </si>
  <si>
    <t>1677267902892855296</t>
  </si>
  <si>
    <t>1676536089119432704</t>
  </si>
  <si>
    <t>1676181465233539074</t>
  </si>
  <si>
    <t>1663495899715186689</t>
  </si>
  <si>
    <t>1663130501777879043</t>
  </si>
  <si>
    <t>1662053695301861378</t>
  </si>
  <si>
    <t>1649005702998814721</t>
  </si>
  <si>
    <t>1648279475153432579</t>
  </si>
  <si>
    <t>1633423362503344133</t>
  </si>
  <si>
    <t>1633051650226044929</t>
  </si>
  <si>
    <t>1632694074363768833</t>
  </si>
  <si>
    <t>1631612729596289025</t>
  </si>
  <si>
    <t>1631266824464613377</t>
  </si>
  <si>
    <t>1630881914474094592</t>
  </si>
  <si>
    <t>1630536958584709120</t>
  </si>
  <si>
    <t>1701917065370653160</t>
  </si>
  <si>
    <t>1671108981929005056</t>
  </si>
  <si>
    <t>1669316703178686464</t>
  </si>
  <si>
    <t>1663860029580013573</t>
  </si>
  <si>
    <t>1661322684284690432</t>
  </si>
  <si>
    <t>1654077530607943680</t>
  </si>
  <si>
    <t>1651893915195260928</t>
  </si>
  <si>
    <t>1651550882616553472</t>
  </si>
  <si>
    <t>1646825092159086594</t>
  </si>
  <si>
    <t>1646458696879185921</t>
  </si>
  <si>
    <t>1646104891914428416</t>
  </si>
  <si>
    <t>1630165359083806725</t>
  </si>
  <si>
    <t>1629079793332355073</t>
  </si>
  <si>
    <t>1628717779321749505</t>
  </si>
  <si>
    <t>1610586561606819840</t>
  </si>
  <si>
    <t>1610251663977111554</t>
  </si>
  <si>
    <t>1631614712747106304</t>
  </si>
  <si>
    <t>1642983902577934337</t>
  </si>
  <si>
    <t>1641526105055133697</t>
  </si>
  <si>
    <t>1670068238112178176</t>
  </si>
  <si>
    <t>1669141627313553408</t>
  </si>
  <si>
    <t>1626225982322642950</t>
  </si>
  <si>
    <t>1655556238967463936</t>
  </si>
  <si>
    <t>1686812382964629523</t>
  </si>
  <si>
    <t>1663937746744868864</t>
  </si>
  <si>
    <t>1668334887047401478</t>
  </si>
  <si>
    <t>1676681875522310144</t>
  </si>
  <si>
    <t>1688146642623500288</t>
  </si>
  <si>
    <t>1659172802287529984</t>
  </si>
  <si>
    <t>1637166068719403009</t>
  </si>
  <si>
    <t>1638601687630741505</t>
  </si>
  <si>
    <t>1641540477332647940</t>
  </si>
  <si>
    <t>1684669441206804480</t>
  </si>
  <si>
    <t>1686774530792996869</t>
  </si>
  <si>
    <t>1657030962964832257</t>
  </si>
  <si>
    <t>1675535226653556737</t>
  </si>
  <si>
    <t>1626985737219448833</t>
  </si>
  <si>
    <t>1636471809724874756</t>
  </si>
  <si>
    <t>1691952440885551370</t>
  </si>
  <si>
    <t>1671858812620341249</t>
  </si>
  <si>
    <t>1624502132685537282</t>
  </si>
  <si>
    <t>1679674102137733121</t>
  </si>
  <si>
    <t>1692536004261867712</t>
  </si>
  <si>
    <t>1653014594539929605</t>
  </si>
  <si>
    <t>1654119888989061132</t>
  </si>
  <si>
    <t>1653826282008748048</t>
  </si>
  <si>
    <t>1677643594277048320</t>
  </si>
  <si>
    <t>1653371370552606720</t>
  </si>
  <si>
    <t>1653189671202050053</t>
  </si>
  <si>
    <t>1691072989146615809</t>
  </si>
  <si>
    <t>1680911593352167424</t>
  </si>
  <si>
    <t>1658073254643355656</t>
  </si>
  <si>
    <t>1695419763999080750</t>
  </si>
  <si>
    <t>1693592710869893348</t>
  </si>
  <si>
    <t>1691423296753893376</t>
  </si>
  <si>
    <t>1685982731753168896</t>
  </si>
  <si>
    <t>1685618836983197696</t>
  </si>
  <si>
    <t>1683442546180063232</t>
  </si>
  <si>
    <t>1683087521738027008</t>
  </si>
  <si>
    <t>1660612716413820930</t>
  </si>
  <si>
    <t>1660257599831396352</t>
  </si>
  <si>
    <t>1696184243729096881</t>
  </si>
  <si>
    <t>1690727472441008128</t>
  </si>
  <si>
    <t>1688519149033488384</t>
  </si>
  <si>
    <t>1678368351461031936</t>
  </si>
  <si>
    <t>1678007413436186624</t>
  </si>
  <si>
    <t>1657917589195231232</t>
  </si>
  <si>
    <t>1700486816216866904</t>
  </si>
  <si>
    <t>1699762421445829067</t>
  </si>
  <si>
    <t>1690354671691382784</t>
  </si>
  <si>
    <t>1690329695630327808</t>
  </si>
  <si>
    <t>1677273679019794433</t>
  </si>
  <si>
    <t>1676911647003115520</t>
  </si>
  <si>
    <t>1663140858739163142</t>
  </si>
  <si>
    <t>1662794391558168580</t>
  </si>
  <si>
    <t>1701206819002089916</t>
  </si>
  <si>
    <t>1698663733076107707</t>
  </si>
  <si>
    <t>1697945867213271421</t>
  </si>
  <si>
    <t>1687843342296444928</t>
  </si>
  <si>
    <t>1655552220568363009</t>
  </si>
  <si>
    <t>1654820498658697216</t>
  </si>
  <si>
    <t>1684980248050315274</t>
  </si>
  <si>
    <t>1671292723402244096</t>
  </si>
  <si>
    <t>1700622701751062878</t>
  </si>
  <si>
    <t>1605223186668331008</t>
  </si>
  <si>
    <t>1695818948682387635</t>
  </si>
  <si>
    <t>1651938479809413124</t>
  </si>
  <si>
    <t>1686398168089440256</t>
  </si>
  <si>
    <t>1691497352740122624</t>
  </si>
  <si>
    <t>1695130097546617335</t>
  </si>
  <si>
    <t>1675929269833179156</t>
  </si>
  <si>
    <t>1696138913209782704</t>
  </si>
  <si>
    <t>1635295144323973122</t>
  </si>
  <si>
    <t>1296964652711194626</t>
  </si>
  <si>
    <t>1608308809365069827</t>
  </si>
  <si>
    <t>1622089004005957632</t>
  </si>
  <si>
    <t>1629836634102407169</t>
  </si>
  <si>
    <t>1649148528118099984</t>
  </si>
  <si>
    <t>1505981757648261121</t>
  </si>
  <si>
    <t>1638982291195084802</t>
  </si>
  <si>
    <t>1100500988744687618</t>
  </si>
  <si>
    <t>1536688439470563329</t>
  </si>
  <si>
    <t>1080285191392903169</t>
  </si>
  <si>
    <t>894935920901840898</t>
  </si>
  <si>
    <t>1696995956279963648</t>
  </si>
  <si>
    <t>1557886523873394688</t>
  </si>
  <si>
    <t>1611807579532922887</t>
  </si>
  <si>
    <t>1360723400365400071</t>
  </si>
  <si>
    <t>1580624710781571083</t>
  </si>
  <si>
    <t>1505169653710172166</t>
  </si>
  <si>
    <t>1510089977304170497</t>
  </si>
  <si>
    <t>1593691763251757056</t>
  </si>
  <si>
    <t>1566132250714013696</t>
  </si>
  <si>
    <t>1113268433687388160</t>
  </si>
  <si>
    <t>1423325433467129860</t>
  </si>
  <si>
    <t>1208841851584811008</t>
  </si>
  <si>
    <t>1668391245951934465</t>
  </si>
  <si>
    <t>1603873155159842827</t>
  </si>
  <si>
    <t>1685736119474786304</t>
  </si>
  <si>
    <t>1335937657474527233</t>
  </si>
  <si>
    <t>1229067916479533057</t>
  </si>
  <si>
    <t>1288564823182147584</t>
  </si>
  <si>
    <t>1050744460643045376</t>
  </si>
  <si>
    <t>886605943370338305</t>
  </si>
  <si>
    <t>1681319448932941824</t>
  </si>
  <si>
    <t>782961882634280960</t>
  </si>
  <si>
    <t>1403360996316618763</t>
  </si>
  <si>
    <t>1221805912387719169</t>
  </si>
  <si>
    <t>1674940384940630017</t>
  </si>
  <si>
    <t>1469408883601022987</t>
  </si>
  <si>
    <t>1557078865650008065</t>
  </si>
  <si>
    <t>1676015326952079362</t>
  </si>
  <si>
    <t>1273138459402801153</t>
  </si>
  <si>
    <t>1518116105478356992</t>
  </si>
  <si>
    <t>1439280048712949765</t>
  </si>
  <si>
    <t>1089469318717427712</t>
  </si>
  <si>
    <t>1339920532335173632</t>
  </si>
  <si>
    <t>1166388205320622080</t>
  </si>
  <si>
    <t>772805508730327040</t>
  </si>
  <si>
    <t>1639025390055223296</t>
  </si>
  <si>
    <t>1586949318900006912</t>
  </si>
  <si>
    <t>829847008731131904</t>
  </si>
  <si>
    <t>1670926815353884674</t>
  </si>
  <si>
    <t>1414595380889759748</t>
  </si>
  <si>
    <t>1395000051861229571</t>
  </si>
  <si>
    <t>1478852050012286980</t>
  </si>
  <si>
    <t>1663923108573528068</t>
  </si>
  <si>
    <t>1185812324696907776</t>
  </si>
  <si>
    <t>1200062560306958336</t>
  </si>
  <si>
    <t>1584769902149255168</t>
  </si>
  <si>
    <t>1652740445657608192</t>
  </si>
  <si>
    <t>1146507462033518592</t>
  </si>
  <si>
    <t>1478161814739472386</t>
  </si>
  <si>
    <t>1546876165285183488</t>
  </si>
  <si>
    <t>1262803844834222080</t>
  </si>
  <si>
    <t>1601699609079939073</t>
  </si>
  <si>
    <t>1485247609065324550</t>
  </si>
  <si>
    <t>1598766322694881305</t>
  </si>
  <si>
    <t>1427073875624476679</t>
  </si>
  <si>
    <t>1616376531130908674</t>
  </si>
  <si>
    <t>1452578336094437382</t>
  </si>
  <si>
    <t>1616098342131453952</t>
  </si>
  <si>
    <t>966418582421811200</t>
  </si>
  <si>
    <t>1329071357208903688</t>
  </si>
  <si>
    <t>1062172664201134080</t>
  </si>
  <si>
    <t>1259522744770797568</t>
  </si>
  <si>
    <t>1610285565282222081</t>
  </si>
  <si>
    <t>1453156387094159363</t>
  </si>
  <si>
    <t>1610064898473574400</t>
  </si>
  <si>
    <t>1334921170643202049</t>
  </si>
  <si>
    <t>1410012779285827592</t>
  </si>
  <si>
    <t>1290487068112457731</t>
  </si>
  <si>
    <t>1351168770031628292</t>
  </si>
  <si>
    <t>1153089569677545472</t>
  </si>
  <si>
    <t>1292843464175091714</t>
  </si>
  <si>
    <t>1165992015835881472</t>
  </si>
  <si>
    <t>1454101639338598403</t>
  </si>
  <si>
    <t>1474724943686479875</t>
  </si>
  <si>
    <t>1664815514529542145</t>
  </si>
  <si>
    <t>1443573182976311313</t>
  </si>
  <si>
    <t>1659634238411493377</t>
  </si>
  <si>
    <t>1391403692654477322</t>
  </si>
  <si>
    <t>1415983291711229953</t>
  </si>
  <si>
    <t>1317241596841283585</t>
  </si>
  <si>
    <t>1330490781673644032</t>
  </si>
  <si>
    <t>767763810409181188</t>
  </si>
  <si>
    <t>1430662880739876872</t>
  </si>
  <si>
    <t>1480356151422242816</t>
  </si>
  <si>
    <t>1625633422667309056</t>
  </si>
  <si>
    <t>1364310669693181957</t>
  </si>
  <si>
    <t>1480528176463888385</t>
  </si>
  <si>
    <t>1503846264722624512</t>
  </si>
  <si>
    <t>1111617632808124416</t>
  </si>
  <si>
    <t>1539328399247675395</t>
  </si>
  <si>
    <t>1316319975469199361</t>
  </si>
  <si>
    <t>1011947503510487042</t>
  </si>
  <si>
    <t>1676573946269794307</t>
  </si>
  <si>
    <t>1598824611285794818</t>
  </si>
  <si>
    <t>1613934719632117763</t>
  </si>
  <si>
    <t>1567602905305186305</t>
  </si>
  <si>
    <t>1400085362307969028</t>
  </si>
  <si>
    <t>1696975414185316352</t>
  </si>
  <si>
    <t>1392548729949990913</t>
  </si>
  <si>
    <t>1671561098426712095</t>
  </si>
  <si>
    <t>1385410726844669952</t>
  </si>
  <si>
    <t>1674958794067935232</t>
  </si>
  <si>
    <t>1392955982045753352</t>
  </si>
  <si>
    <t>1403225449593966597</t>
  </si>
  <si>
    <t>818511431654133760</t>
  </si>
  <si>
    <t>1280404049204920320</t>
  </si>
  <si>
    <t>1516852696782884870</t>
  </si>
  <si>
    <t>1440669220769992714</t>
  </si>
  <si>
    <t>1658958413622067200</t>
  </si>
  <si>
    <t>1643202801357430784</t>
  </si>
  <si>
    <t>1618354840773459968</t>
  </si>
  <si>
    <t>1554827795657699330</t>
  </si>
  <si>
    <t>1627801313814749192</t>
  </si>
  <si>
    <t>1600908543795888128</t>
  </si>
  <si>
    <t>1540492561525129217</t>
  </si>
  <si>
    <t>1674202966616682505</t>
  </si>
  <si>
    <t>1641557434945732608</t>
  </si>
  <si>
    <t>1684344765888749569</t>
  </si>
  <si>
    <t>1243854478832533505</t>
  </si>
  <si>
    <t>1617679743427526656</t>
  </si>
  <si>
    <t>805607607373271040</t>
  </si>
  <si>
    <t>1499003946848899072</t>
  </si>
  <si>
    <t>1457457239170732033</t>
  </si>
  <si>
    <t>1638198090669670402</t>
  </si>
  <si>
    <t>1363472321906962432</t>
  </si>
  <si>
    <t>1659220462239358976</t>
  </si>
  <si>
    <t>1199450508580261888</t>
  </si>
  <si>
    <t>1427356353274814468</t>
  </si>
  <si>
    <t>1465305727329882113</t>
  </si>
  <si>
    <t>1503445019499323392</t>
  </si>
  <si>
    <t>1672080659714539521</t>
  </si>
  <si>
    <t>1588246819326377984</t>
  </si>
  <si>
    <t>1417542239841103875</t>
  </si>
  <si>
    <t>1426573407450238978</t>
  </si>
  <si>
    <t>1284180304215900160</t>
  </si>
  <si>
    <t>1665693211594051586</t>
  </si>
  <si>
    <t>1647918289606115328</t>
  </si>
  <si>
    <t>1672236167167725568</t>
  </si>
  <si>
    <t>1542057603420884993</t>
  </si>
  <si>
    <t>1536481595338670084</t>
  </si>
  <si>
    <t>1665798563882729474</t>
  </si>
  <si>
    <t>1679609844225933314</t>
  </si>
  <si>
    <t>943582195230367744</t>
  </si>
  <si>
    <t>1624876681147166722</t>
  </si>
  <si>
    <t>777501697958699009</t>
  </si>
  <si>
    <t>1239170216862638082</t>
  </si>
  <si>
    <t>1373730040798662656</t>
  </si>
  <si>
    <t>1121198168094445569</t>
  </si>
  <si>
    <t>1430889681911226373</t>
  </si>
  <si>
    <t>1064191066608422913</t>
  </si>
  <si>
    <t>1661986307961155586</t>
  </si>
  <si>
    <t>1382459845455056898</t>
  </si>
  <si>
    <t>879690045615214592</t>
  </si>
  <si>
    <t>1430994486277156879</t>
  </si>
  <si>
    <t>863079319039553538</t>
  </si>
  <si>
    <t>1526717283292397569</t>
  </si>
  <si>
    <t>1641652164480184321</t>
  </si>
  <si>
    <t>708802164781654016</t>
  </si>
  <si>
    <t>1651597864420749315</t>
  </si>
  <si>
    <t>1663342154926661632</t>
  </si>
  <si>
    <t>1265449452460007424</t>
  </si>
  <si>
    <t>1358977276080193537</t>
  </si>
  <si>
    <t>1476872561476648971</t>
  </si>
  <si>
    <t>1033324960343883776</t>
  </si>
  <si>
    <t>891820062839115777</t>
  </si>
  <si>
    <t>1279079613264691203</t>
  </si>
  <si>
    <t>1557095413928402944</t>
  </si>
  <si>
    <t>1524445227003568128</t>
  </si>
  <si>
    <t>1247510381167292416</t>
  </si>
  <si>
    <t>1662255263951343617</t>
  </si>
  <si>
    <t>1330935953574273025</t>
  </si>
  <si>
    <t>1214718510116560896</t>
  </si>
  <si>
    <t>1521275109075525633</t>
  </si>
  <si>
    <t>1590431370421100546</t>
  </si>
  <si>
    <t>1562778840836976643</t>
  </si>
  <si>
    <t>1274026619968126978</t>
  </si>
  <si>
    <t>1445399411681542156</t>
  </si>
  <si>
    <t>834002705567907840</t>
  </si>
  <si>
    <t>1643067242681073664</t>
  </si>
  <si>
    <t>1625912932188946443</t>
  </si>
  <si>
    <t>1234653612330115072</t>
  </si>
  <si>
    <t>922105653333774342</t>
  </si>
  <si>
    <t>1591785179995115522</t>
  </si>
  <si>
    <t>1610657672612745217</t>
  </si>
  <si>
    <t>1229418075633700866</t>
  </si>
  <si>
    <t>1004608734746873857</t>
  </si>
  <si>
    <t>1397192533403443204</t>
  </si>
  <si>
    <t>1628855226290606081</t>
  </si>
  <si>
    <t>1611730749866053634</t>
  </si>
  <si>
    <t>931425987430158336</t>
  </si>
  <si>
    <t>1657075359483822103</t>
  </si>
  <si>
    <t>1361408156614729733</t>
  </si>
  <si>
    <t>1528775180939673602</t>
  </si>
  <si>
    <t>1571946432185212930</t>
  </si>
  <si>
    <t>1560547379773931521</t>
  </si>
  <si>
    <t>1480492619541139457</t>
  </si>
  <si>
    <t>1414501510285758466</t>
  </si>
  <si>
    <t>1665807949309018115</t>
  </si>
  <si>
    <t>1650524365790822400</t>
  </si>
  <si>
    <t>1580698613298216961</t>
  </si>
  <si>
    <t>1677353664040644609</t>
  </si>
  <si>
    <t>1518706776597749763</t>
  </si>
  <si>
    <t>1003748757685653506</t>
  </si>
  <si>
    <t>799809840554135552</t>
  </si>
  <si>
    <t>1461371216632201222</t>
  </si>
  <si>
    <t>1529182774095126530</t>
  </si>
  <si>
    <t>1680836745590390786</t>
  </si>
  <si>
    <t>1607367356136685576</t>
  </si>
  <si>
    <t>1700855507005657088</t>
  </si>
  <si>
    <t>1606063852457697280</t>
  </si>
  <si>
    <t>1595426893041471488</t>
  </si>
  <si>
    <t>1133951575225974785</t>
  </si>
  <si>
    <t>1308994393685323779</t>
  </si>
  <si>
    <t>1600911730024091654</t>
  </si>
  <si>
    <t>1519091640731844608</t>
  </si>
  <si>
    <t>795327504496164864</t>
  </si>
  <si>
    <t>1615279942840864768</t>
  </si>
  <si>
    <t>1578088612305960991</t>
  </si>
  <si>
    <t>958657937475559425</t>
  </si>
  <si>
    <t>1635037591463424001</t>
  </si>
  <si>
    <t>1643222049127628801</t>
  </si>
  <si>
    <t>1542123633119830017</t>
  </si>
  <si>
    <t>1543955955028840448</t>
  </si>
  <si>
    <t>1421621635879161857</t>
  </si>
  <si>
    <t>1279773366807859200</t>
  </si>
  <si>
    <t>1538917583218409475</t>
  </si>
  <si>
    <t>1663937282942828545</t>
  </si>
  <si>
    <t>1247601255259820039</t>
  </si>
  <si>
    <t>1685782535668678657</t>
  </si>
  <si>
    <t>1522628480286011395</t>
  </si>
  <si>
    <t>1595426917586538496</t>
  </si>
  <si>
    <t>1647576181808549891</t>
  </si>
  <si>
    <t>1632501050555899904</t>
  </si>
  <si>
    <t>1242567608001531906</t>
  </si>
  <si>
    <t>1375184739930411012</t>
  </si>
  <si>
    <t>1197622343633379338</t>
  </si>
  <si>
    <t>1367640208045461504</t>
  </si>
  <si>
    <t>953818213464371200</t>
  </si>
  <si>
    <t>1687899824635400192</t>
  </si>
  <si>
    <t>1186045394981130240</t>
  </si>
  <si>
    <t>1658078124544872448</t>
  </si>
  <si>
    <t>1542523046044377093</t>
  </si>
  <si>
    <t>1113249580680921088</t>
  </si>
  <si>
    <t>1451233522660913163</t>
  </si>
  <si>
    <t>1314732721860730885</t>
  </si>
  <si>
    <t>1600503524080713729</t>
  </si>
  <si>
    <t>1574749737147928583</t>
  </si>
  <si>
    <t>788780542749794304</t>
  </si>
  <si>
    <t>1639016251438645248</t>
  </si>
  <si>
    <t>1076590404819189766</t>
  </si>
  <si>
    <t>984766382817595392</t>
  </si>
  <si>
    <t>1150784944420970497</t>
  </si>
  <si>
    <t>1606341456519729152</t>
  </si>
  <si>
    <t>847438059054391298</t>
  </si>
  <si>
    <t>1575505129112887297</t>
  </si>
  <si>
    <t>1248301765243613187</t>
  </si>
  <si>
    <t>1633868234339254272</t>
  </si>
  <si>
    <t>1654943846348861442</t>
  </si>
  <si>
    <t>696113568790482945</t>
  </si>
  <si>
    <t>1209969409265192962</t>
  </si>
  <si>
    <t>1466162156613873664</t>
  </si>
  <si>
    <t>1585205443013578754</t>
  </si>
  <si>
    <t>1346812127772889091</t>
  </si>
  <si>
    <t>1015579177704181762</t>
  </si>
  <si>
    <t>1401611054069784581</t>
  </si>
  <si>
    <t>1581782589110718465</t>
  </si>
  <si>
    <t>1181629051309572096</t>
  </si>
  <si>
    <t>1618560588757475328</t>
  </si>
  <si>
    <t>1588181509386768384</t>
  </si>
  <si>
    <t>1445135827605073929</t>
  </si>
  <si>
    <t>1429626838721208320</t>
  </si>
  <si>
    <t>1158737830472015872</t>
  </si>
  <si>
    <t>948357808600338432</t>
  </si>
  <si>
    <t>1542999035275100160</t>
  </si>
  <si>
    <t>1585017675901706263</t>
  </si>
  <si>
    <t>1555518586403405825</t>
  </si>
  <si>
    <t>1581741621456130049</t>
  </si>
  <si>
    <t>1494033577427849218</t>
  </si>
  <si>
    <t>1613256360438779905</t>
  </si>
  <si>
    <t>1652460764211421184</t>
  </si>
  <si>
    <t>1121181531593113601</t>
  </si>
  <si>
    <t>1643305349540110369</t>
  </si>
  <si>
    <t>1436569655901102081</t>
  </si>
  <si>
    <t>1134476106042609665</t>
  </si>
  <si>
    <t>1519870024948891654</t>
  </si>
  <si>
    <t>1392927588893474818</t>
  </si>
  <si>
    <t>1428427211028287489</t>
  </si>
  <si>
    <t>1593655516890284033</t>
  </si>
  <si>
    <t>880378794758074368</t>
  </si>
  <si>
    <t>1633895182549635073</t>
  </si>
  <si>
    <t>833755553620959234</t>
  </si>
  <si>
    <t>1669349116185579522</t>
  </si>
  <si>
    <t>1507083919111434240</t>
  </si>
  <si>
    <t>843215121505816576</t>
  </si>
  <si>
    <t>1177602791596072960</t>
  </si>
  <si>
    <t>1521337097663168514</t>
  </si>
  <si>
    <t>1619709450993934336</t>
  </si>
  <si>
    <t>1672326542846832640</t>
  </si>
  <si>
    <t>1620234978977103872</t>
  </si>
  <si>
    <t>766811927356043264</t>
  </si>
  <si>
    <t>1382017213746573314</t>
  </si>
  <si>
    <t>1462935256856551426</t>
  </si>
  <si>
    <t>1654049027120418830</t>
  </si>
  <si>
    <t>1419524798602952707</t>
  </si>
  <si>
    <t>1329388236519727105</t>
  </si>
  <si>
    <t>1518672391647416321</t>
  </si>
  <si>
    <t>759450760023252992</t>
  </si>
  <si>
    <t>1154122283688058881</t>
  </si>
  <si>
    <t>1638372459928748037</t>
  </si>
  <si>
    <t>1279414202130718722</t>
  </si>
  <si>
    <t>1618127720646418434</t>
  </si>
  <si>
    <t>1619331621257183233</t>
  </si>
  <si>
    <t>1343980001394384896</t>
  </si>
  <si>
    <t>1451635932172533764</t>
  </si>
  <si>
    <t>854337394832793600</t>
  </si>
  <si>
    <t>1610838772794494978</t>
  </si>
  <si>
    <t>1508809466803798021</t>
  </si>
  <si>
    <t>1147914677885853696</t>
  </si>
  <si>
    <t>1559160998212386816</t>
  </si>
  <si>
    <t>934195919804825600</t>
  </si>
  <si>
    <t>1251517637307305985</t>
  </si>
  <si>
    <t>1267106670129426432</t>
  </si>
  <si>
    <t>1400886055084113921</t>
  </si>
  <si>
    <t>1629520801710874625</t>
  </si>
  <si>
    <t>1168491172341243905</t>
  </si>
  <si>
    <t>785196121543024640</t>
  </si>
  <si>
    <t>972883408786423808</t>
  </si>
  <si>
    <t>1495836411165036545</t>
  </si>
  <si>
    <t>1152368670049484802</t>
  </si>
  <si>
    <t>1586465370600357891</t>
  </si>
  <si>
    <t>1518464282589114373</t>
  </si>
  <si>
    <t>1648751740726964225</t>
  </si>
  <si>
    <t>1600137528106958850</t>
  </si>
  <si>
    <t>1496941715147608066</t>
  </si>
  <si>
    <t>1476605019931688971</t>
  </si>
  <si>
    <t>1628115760089276420</t>
  </si>
  <si>
    <t>969031374110953472</t>
  </si>
  <si>
    <t>1037015387148312578</t>
  </si>
  <si>
    <t>1264335269995610112</t>
  </si>
  <si>
    <t>1689454454821527552</t>
  </si>
  <si>
    <t>1641070760809623552</t>
  </si>
  <si>
    <t>1638634773416497159</t>
  </si>
  <si>
    <t>1532018065642295297</t>
  </si>
  <si>
    <t>1448628666833985536</t>
  </si>
  <si>
    <t>1417510425713852416</t>
  </si>
  <si>
    <t>1456995149175828489</t>
  </si>
  <si>
    <t>1248040760009789445</t>
  </si>
  <si>
    <t>1645419633732722688</t>
  </si>
  <si>
    <t>736387666665738241</t>
  </si>
  <si>
    <t>1365394851131502592</t>
  </si>
  <si>
    <t>1670086879197233152</t>
  </si>
  <si>
    <t>1359169896945508355</t>
  </si>
  <si>
    <t>1540903697609375744</t>
  </si>
  <si>
    <t>884863303448743937</t>
  </si>
  <si>
    <t>1476157037394501647</t>
  </si>
  <si>
    <t>1646482334634393600</t>
  </si>
  <si>
    <t>1222939896349970432</t>
  </si>
  <si>
    <t>1682344459957092353</t>
  </si>
  <si>
    <t>1347330241837092866</t>
  </si>
  <si>
    <t>806207212112801792</t>
  </si>
  <si>
    <t>1384906063372238851</t>
  </si>
  <si>
    <t>1525589384153669632</t>
  </si>
  <si>
    <t>1308036876457177089</t>
  </si>
  <si>
    <t>1612105648036012036</t>
  </si>
  <si>
    <t>1030086613349617666</t>
  </si>
  <si>
    <t>1693128702316400640</t>
  </si>
  <si>
    <t>1283025344224796672</t>
  </si>
  <si>
    <t>1607333550252072972</t>
  </si>
  <si>
    <t>1670472379623981068</t>
  </si>
  <si>
    <t>1256602692220260355</t>
  </si>
  <si>
    <t>1661790129126604801</t>
  </si>
  <si>
    <t>1620734652347457539</t>
  </si>
  <si>
    <t>1056160622969270273</t>
  </si>
  <si>
    <t>764049471151886336</t>
  </si>
  <si>
    <t>1615065006814466048</t>
  </si>
  <si>
    <t>1534133846224121857</t>
  </si>
  <si>
    <t>1612432290591768577</t>
  </si>
  <si>
    <t>1046714625176293376</t>
  </si>
  <si>
    <t>995644224497504256</t>
  </si>
  <si>
    <t>1648183072746078208</t>
  </si>
  <si>
    <t>1469125140189491201</t>
  </si>
  <si>
    <t>1508418556760924173</t>
  </si>
  <si>
    <t>958037192500305920</t>
  </si>
  <si>
    <t>1668423540960362496</t>
  </si>
  <si>
    <t>1554620587309416448</t>
  </si>
  <si>
    <t>1549041711250391045</t>
  </si>
  <si>
    <t>1526362328773566469</t>
  </si>
  <si>
    <t>894934835197816834</t>
  </si>
  <si>
    <t>825401855123529728</t>
  </si>
  <si>
    <t>1304757401061601280</t>
  </si>
  <si>
    <t>1512473254732181506</t>
  </si>
  <si>
    <t>1474575515868618759</t>
  </si>
  <si>
    <t>1395479292352548865</t>
  </si>
  <si>
    <t>719908933238972416</t>
  </si>
  <si>
    <t>932933238150127616</t>
  </si>
  <si>
    <t>1586042349766991878</t>
  </si>
  <si>
    <t>1474134753938923521</t>
  </si>
  <si>
    <t>1211869998634786816</t>
  </si>
  <si>
    <t>1635300861088866305</t>
  </si>
  <si>
    <t>1006774648166641665</t>
  </si>
  <si>
    <t>1561266868119547904</t>
  </si>
  <si>
    <t>1559877426162941953</t>
  </si>
  <si>
    <t>800643126654169088</t>
  </si>
  <si>
    <t>1366792883454562305</t>
  </si>
  <si>
    <t>1290336746639708160</t>
  </si>
  <si>
    <t>1259905915802828800</t>
  </si>
  <si>
    <t>1637891616940630024</t>
  </si>
  <si>
    <t>1628179051981557760</t>
  </si>
  <si>
    <t>861336605331795971</t>
  </si>
  <si>
    <t>1106274966507540480</t>
  </si>
  <si>
    <t>1601674920525807616</t>
  </si>
  <si>
    <t>1409857885274787849</t>
  </si>
  <si>
    <t>1245730084947984385</t>
  </si>
  <si>
    <t>1311026479053012998</t>
  </si>
  <si>
    <t>1536178639741517825</t>
  </si>
  <si>
    <t>1618706095127633934</t>
  </si>
  <si>
    <t>1423077194780270596</t>
  </si>
  <si>
    <t>1187785056695259136</t>
  </si>
  <si>
    <t>1542045920551919616</t>
  </si>
  <si>
    <t>804409986944110592</t>
  </si>
  <si>
    <t>1565398137497329665</t>
  </si>
  <si>
    <t>1006204809786126336</t>
  </si>
  <si>
    <t>1124746772528627712</t>
  </si>
  <si>
    <t>1403398042074681348</t>
  </si>
  <si>
    <t>1417118645533151233</t>
  </si>
  <si>
    <t>1675130387658407938</t>
  </si>
  <si>
    <t>1631658084601847810</t>
  </si>
  <si>
    <t>1502285738783686659</t>
  </si>
  <si>
    <t>916008599205359617</t>
  </si>
  <si>
    <t>900500973344391169</t>
  </si>
  <si>
    <t>1256995971906572288</t>
  </si>
  <si>
    <t>1614475928825888768</t>
  </si>
  <si>
    <t>1638935071754207239</t>
  </si>
  <si>
    <t>1681890285880586242</t>
  </si>
  <si>
    <t>1279171529272631296</t>
  </si>
  <si>
    <t>1293067913453338625</t>
  </si>
  <si>
    <t>1382702518820552720</t>
  </si>
  <si>
    <t>1465322324043964418</t>
  </si>
  <si>
    <t>1404389819199934464</t>
  </si>
  <si>
    <t>1594447087973736448</t>
  </si>
  <si>
    <t>1065065793967325184</t>
  </si>
  <si>
    <t>1603231627559182336</t>
  </si>
  <si>
    <t>1595087416360157184</t>
  </si>
  <si>
    <t>1275862596009238531</t>
  </si>
  <si>
    <t>1348727960354885634</t>
  </si>
  <si>
    <t>1187476310710509574</t>
  </si>
  <si>
    <t>card://1614599852658237441</t>
  </si>
  <si>
    <t>card://1667945184586264576</t>
  </si>
  <si>
    <t>card://1667944812031426560</t>
  </si>
  <si>
    <t>Valor do desconto : 0
Valor do preço a pagar : 1</t>
  </si>
  <si>
    <t>Sim : 0
Não : 0</t>
  </si>
  <si>
    <t>2023-01-17T12:26:17Z</t>
  </si>
  <si>
    <t>2023-06-18T17:21:35Z</t>
  </si>
  <si>
    <t>2023-06-18T17:20:06Z</t>
  </si>
  <si>
    <t>Closed</t>
  </si>
  <si>
    <t>fgc_br</t>
  </si>
  <si>
    <t>undime</t>
  </si>
  <si>
    <t>trusteduca</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</si>
  <si>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</si>
  <si>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</si>
  <si>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</si>
  <si>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</si>
  <si>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</si>
  <si>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</si>
  <si>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</si>
  <si>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</si>
  <si>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</si>
  <si>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</si>
  <si>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</si>
  <si>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</si>
  <si>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</si>
  <si>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</si>
  <si>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</si>
  <si>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</si>
  <si>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</si>
  <si>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</si>
  <si>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</si>
  <si>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</si>
  <si>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</si>
  <si>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</si>
  <si>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</si>
  <si>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</si>
  <si>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</si>
  <si>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</si>
  <si>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</si>
  <si>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</si>
  <si>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</si>
  <si>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</si>
  <si>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</si>
  <si>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</si>
  <si>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</si>
  <si>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</si>
  <si>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</si>
  <si>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</si>
  <si>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</si>
  <si>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Discípulos de Midas</t>
  </si>
  <si>
    <t>oliveiraedison_</t>
  </si>
  <si>
    <t>Nery Cred Promotora</t>
  </si>
  <si>
    <t>Sandro C Mattos</t>
  </si>
  <si>
    <t>Cryptonoide</t>
  </si>
  <si>
    <t>EDER LORENZO</t>
  </si>
  <si>
    <t>Atlantic Capital</t>
  </si>
  <si>
    <t>Política Distrital</t>
  </si>
  <si>
    <t>Thetryum</t>
  </si>
  <si>
    <t>policorretora</t>
  </si>
  <si>
    <t>Cristiane Fensterseifer, CNPI, CGA e consultora</t>
  </si>
  <si>
    <t>Arezzo</t>
  </si>
  <si>
    <t>Investidor Theta Gang</t>
  </si>
  <si>
    <t>Marcos Zambianco</t>
  </si>
  <si>
    <t>Brasil Popular</t>
  </si>
  <si>
    <t>Naiole Silva</t>
  </si>
  <si>
    <t>Guarulhos Online</t>
  </si>
  <si>
    <t>Manoela Dutra</t>
  </si>
  <si>
    <t>Correio do Povo GRC</t>
  </si>
  <si>
    <t>OBECON 🇧🇷 — Olimpíada Brasileira de Economia</t>
  </si>
  <si>
    <t>Roberto Mangabeira Unger</t>
  </si>
  <si>
    <t>The Collector - Stock Collector</t>
  </si>
  <si>
    <t>Hil Vieira</t>
  </si>
  <si>
    <t>Iê Camará Capoeira</t>
  </si>
  <si>
    <t>Rede TVT</t>
  </si>
  <si>
    <t>mariana sensível 🚀💜</t>
  </si>
  <si>
    <t>Jéssica Vieira</t>
  </si>
  <si>
    <t>Defensoria Pública do Rio de Janeiro</t>
  </si>
  <si>
    <t>Como Reinventar-se</t>
  </si>
  <si>
    <t>Gustavo Cerbasi</t>
  </si>
  <si>
    <t>Banco Original</t>
  </si>
  <si>
    <t>Angelus Crane</t>
  </si>
  <si>
    <t>Blumenau Agora</t>
  </si>
  <si>
    <t>Julia Manganelli | Educadora Financeira</t>
  </si>
  <si>
    <t>Eu &amp; Dinheiro</t>
  </si>
  <si>
    <t>Sicoob CrediEmbrapa</t>
  </si>
  <si>
    <t>Ewerton Uchôa</t>
  </si>
  <si>
    <t>Ivana P. de Almeida</t>
  </si>
  <si>
    <t>Analista investidor</t>
  </si>
  <si>
    <t>Andreia Ferreira 🦦</t>
  </si>
  <si>
    <t>Caio Vilella</t>
  </si>
  <si>
    <t>Marcos A. A. Barbosa</t>
  </si>
  <si>
    <t>IEF » Notícias, Finanças, Economia e Concursos</t>
  </si>
  <si>
    <t>Wellerson_Souza</t>
  </si>
  <si>
    <t>flávio souza</t>
  </si>
  <si>
    <t>Cesar Kato</t>
  </si>
  <si>
    <t>O Capital Digital</t>
  </si>
  <si>
    <t>Albert Y. Takahashi - CFP, CGA📈</t>
  </si>
  <si>
    <t>Desenvolve SP</t>
  </si>
  <si>
    <t>Finanças Stream</t>
  </si>
  <si>
    <t>Vagas de Emprego em Salvador, R Metropolitana e+</t>
  </si>
  <si>
    <t>Lins DoCeará🍞🌾💵 🇧🇷🌹</t>
  </si>
  <si>
    <t>Bruno Abrantes</t>
  </si>
  <si>
    <t>Gerson Antunes Costa</t>
  </si>
  <si>
    <t>Gonçalo Sousa</t>
  </si>
  <si>
    <t>Allan Fernandes</t>
  </si>
  <si>
    <t>Jubs</t>
  </si>
  <si>
    <t>Enriquecendo com Ações</t>
  </si>
  <si>
    <t>Explicador-Geral da República</t>
  </si>
  <si>
    <t>Inteligência Financeira</t>
  </si>
  <si>
    <t>Expresso &amp; Liberdade</t>
  </si>
  <si>
    <t>iLean - Gestão de Resultados</t>
  </si>
  <si>
    <t>Daniel Roggia</t>
  </si>
  <si>
    <t>Terra Brasilis</t>
  </si>
  <si>
    <t>Jornal de Alagoas</t>
  </si>
  <si>
    <t>Julio Rodrigues</t>
  </si>
  <si>
    <t>Leve Investimentos</t>
  </si>
  <si>
    <t>meunomelimpo.com.br</t>
  </si>
  <si>
    <t>Homem Lapidado</t>
  </si>
  <si>
    <t>GustavoIbáñezPadilla</t>
  </si>
  <si>
    <t>Acqua Vero</t>
  </si>
  <si>
    <t>Michelle Fuly</t>
  </si>
  <si>
    <t>Jéssica de Lima</t>
  </si>
  <si>
    <t>Thiago Nigro</t>
  </si>
  <si>
    <t>Barba investe</t>
  </si>
  <si>
    <t>🆂🅰🅻🆄𝕏cogitatoris</t>
  </si>
  <si>
    <t>O Empreendedor</t>
  </si>
  <si>
    <t>Letícia Bernardete Sestari</t>
  </si>
  <si>
    <t>Atlantic Pay</t>
  </si>
  <si>
    <t>LoopiPay</t>
  </si>
  <si>
    <t>Diário do Comércio</t>
  </si>
  <si>
    <t>Santiago Moraes</t>
  </si>
  <si>
    <t>PARAM INVESTOPEDIA PRIVATE LIMITED</t>
  </si>
  <si>
    <t>Veiga fla</t>
  </si>
  <si>
    <t>Deduz Soluções</t>
  </si>
  <si>
    <t>Origin22</t>
  </si>
  <si>
    <t>+💲1M.I.L.I.O.N.Á.R.I.🪙</t>
  </si>
  <si>
    <t>Ariel Matualunda</t>
  </si>
  <si>
    <t>Diogo Rugeroni</t>
  </si>
  <si>
    <t>Valdecir Rondelli</t>
  </si>
  <si>
    <t>Jorge Aguiar</t>
  </si>
  <si>
    <t>Alan Coelho</t>
  </si>
  <si>
    <t>Planos Assessoria </t>
  </si>
  <si>
    <t>Fernando Augusto 【ツ】</t>
  </si>
  <si>
    <t>Bruno Velloso ⚡</t>
  </si>
  <si>
    <t>Correio Popular</t>
  </si>
  <si>
    <t>O Almanaque Financeiro</t>
  </si>
  <si>
    <t>Dillan</t>
  </si>
  <si>
    <t>Mateus Pontes</t>
  </si>
  <si>
    <t>Rio Bravo</t>
  </si>
  <si>
    <t>Silvana Batista</t>
  </si>
  <si>
    <t>Finvestmentor</t>
  </si>
  <si>
    <t>André Arruda</t>
  </si>
  <si>
    <t>Boni_</t>
  </si>
  <si>
    <t>Banco do Nordeste</t>
  </si>
  <si>
    <t>Gustavo Bernardes</t>
  </si>
  <si>
    <t>Mamãe Econômica</t>
  </si>
  <si>
    <t>Daniel Guidotti Silva</t>
  </si>
  <si>
    <t>YouTube</t>
  </si>
  <si>
    <t>Antenado</t>
  </si>
  <si>
    <t>Germano Rebouças</t>
  </si>
  <si>
    <t>Wagner Geremia</t>
  </si>
  <si>
    <t>cayo cesar 🇧🇷</t>
  </si>
  <si>
    <t>Irineu Berezanski</t>
  </si>
  <si>
    <t>Vinicius Villas Boas</t>
  </si>
  <si>
    <t>Renata Maria</t>
  </si>
  <si>
    <t>iG</t>
  </si>
  <si>
    <t>Brenner Delfino</t>
  </si>
  <si>
    <t>Jacó a girafa das Finanças</t>
  </si>
  <si>
    <t>Vitor Santos</t>
  </si>
  <si>
    <t>Consed</t>
  </si>
  <si>
    <t>CWB Finance</t>
  </si>
  <si>
    <t>Júlio Maurício</t>
  </si>
  <si>
    <t>Crypto Times</t>
  </si>
  <si>
    <t>WMB Marketing Digital</t>
  </si>
  <si>
    <t>Edilson Ferreira Eddie</t>
  </si>
  <si>
    <t>NOB The Entertainer</t>
  </si>
  <si>
    <t>Edson Teixeira</t>
  </si>
  <si>
    <t>Eduardo Lazzaretti, CFA</t>
  </si>
  <si>
    <t>Vokin Investimentos</t>
  </si>
  <si>
    <t>HedgeMentor App</t>
  </si>
  <si>
    <t>Vinicius R. Ruscito</t>
  </si>
  <si>
    <t>Claudio 🇧🇷</t>
  </si>
  <si>
    <t>Taylis zatti</t>
  </si>
  <si>
    <t>Casseb, Eustaquelino</t>
  </si>
  <si>
    <t>comunicadordascomunidades</t>
  </si>
  <si>
    <t>Geração Invest</t>
  </si>
  <si>
    <t>IBRAHIM</t>
  </si>
  <si>
    <t>Rabaioli Advogados Associados</t>
  </si>
  <si>
    <t>Anderson de Andrade</t>
  </si>
  <si>
    <t>Organizze</t>
  </si>
  <si>
    <t>E-Investidor</t>
  </si>
  <si>
    <t>João Kepler</t>
  </si>
  <si>
    <t>Professor Thiago</t>
  </si>
  <si>
    <t>Banco Central BR</t>
  </si>
  <si>
    <t>TiagoRobertoFinancas</t>
  </si>
  <si>
    <t>Por Dentro do Assunto</t>
  </si>
  <si>
    <t>Luiz Baur</t>
  </si>
  <si>
    <t>Betty Gaeta</t>
  </si>
  <si>
    <t>Fabiana Bernardes</t>
  </si>
  <si>
    <t>William Hunt - Finanças Pessoais e Investimentos</t>
  </si>
  <si>
    <t>Um jovem do Sambizanga 🇦🇴</t>
  </si>
  <si>
    <t>Matemática Financeira</t>
  </si>
  <si>
    <t>Carlos Azevedo</t>
  </si>
  <si>
    <t>MBL Paraná</t>
  </si>
  <si>
    <t>MBL - Movimento Brasil Livre</t>
  </si>
  <si>
    <t>Mário CNPI</t>
  </si>
  <si>
    <t>Neto Rebello</t>
  </si>
  <si>
    <t>Islamic Finance &amp; Banking Summit</t>
  </si>
  <si>
    <t>World Business Outlook</t>
  </si>
  <si>
    <t>FGV EAESP</t>
  </si>
  <si>
    <t>Everton SG</t>
  </si>
  <si>
    <t>Câmara Municipal de João Pessoa</t>
  </si>
  <si>
    <t>Odon Bezerra</t>
  </si>
  <si>
    <t>Paulo | Marketing Digital | Finanças</t>
  </si>
  <si>
    <t>Diélison Demíx</t>
  </si>
  <si>
    <t>Pincha Pila</t>
  </si>
  <si>
    <t>Thais Lopes </t>
  </si>
  <si>
    <t>Gabriela Procópio</t>
  </si>
  <si>
    <t>Átila Leal</t>
  </si>
  <si>
    <t>Fran</t>
  </si>
  <si>
    <t>Forte Cultural 🚩💉🎶🎭🔴 ⬅️🇧🇷🇦🇷 Botafogo</t>
  </si>
  <si>
    <t>Fenacon</t>
  </si>
  <si>
    <t>Broadcast</t>
  </si>
  <si>
    <t>Banco do Brasil</t>
  </si>
  <si>
    <t>Gilmar Gianni</t>
  </si>
  <si>
    <t>Varginha Online</t>
  </si>
  <si>
    <t>Lidia Aleixo</t>
  </si>
  <si>
    <t>Prefeitura de Mesquita</t>
  </si>
  <si>
    <t>Majeseg Seguros</t>
  </si>
  <si>
    <t>Fábio Oliveira | CFEd®</t>
  </si>
  <si>
    <t>MarcoAntonioNicolau 🥶</t>
  </si>
  <si>
    <t>Tarcísio Gomes de Freitas</t>
  </si>
  <si>
    <t>Henrique Esteter</t>
  </si>
  <si>
    <t>FR money Matters</t>
  </si>
  <si>
    <t>CZ 🔶 Binance</t>
  </si>
  <si>
    <t>Polkadot @Token2049</t>
  </si>
  <si>
    <t>PolkaBridge | Decentralized P2P Exchange is Live🟢</t>
  </si>
  <si>
    <t>Descentraliza.club</t>
  </si>
  <si>
    <t>Duduh Rosa</t>
  </si>
  <si>
    <t>SeaKo</t>
  </si>
  <si>
    <t>Investidor Frugal</t>
  </si>
  <si>
    <t>Bruno Melo Consultor Fin. TechFinance</t>
  </si>
  <si>
    <t>Wellington Rodrigues</t>
  </si>
  <si>
    <t>Imperio Solar® Energias Renovaveis</t>
  </si>
  <si>
    <t>Lux Capital</t>
  </si>
  <si>
    <t>Monge Investidor</t>
  </si>
  <si>
    <t>Blogueiro Convidado</t>
  </si>
  <si>
    <t>Luiz M</t>
  </si>
  <si>
    <t>Ângela Mara Carvalho</t>
  </si>
  <si>
    <t>Thiago Rogel</t>
  </si>
  <si>
    <t>Mundo RH</t>
  </si>
  <si>
    <t>Valdnei Suzzio</t>
  </si>
  <si>
    <t>123 Passei</t>
  </si>
  <si>
    <t>TC</t>
  </si>
  <si>
    <t>Maria Aparecida</t>
  </si>
  <si>
    <t>Gabriel Lopes</t>
  </si>
  <si>
    <t>KritikePodcast</t>
  </si>
  <si>
    <t>Squeezey mmv</t>
  </si>
  <si>
    <t>Crypto Hero</t>
  </si>
  <si>
    <t>Valéria Garcia</t>
  </si>
  <si>
    <t>JUNINHO JORNALISTA</t>
  </si>
  <si>
    <t>FARIA ALCANTARA | ENGENHARIA DE RESULTADOS</t>
  </si>
  <si>
    <t>Blog do Juares</t>
  </si>
  <si>
    <t>Gregory Roriz</t>
  </si>
  <si>
    <t>João Ricardo Silva</t>
  </si>
  <si>
    <t>Thalles Mondin</t>
  </si>
  <si>
    <t>Dinheiro Vivo</t>
  </si>
  <si>
    <t>SonarTrade</t>
  </si>
  <si>
    <t>Blog do Beto Veiga</t>
  </si>
  <si>
    <t>Central dos Cursos</t>
  </si>
  <si>
    <t>EconoVisão</t>
  </si>
  <si>
    <t>TraderVlog</t>
  </si>
  <si>
    <t>Cláudio Habibe</t>
  </si>
  <si>
    <t>JRVC Business Solutions</t>
  </si>
  <si>
    <t>veloso.eth</t>
  </si>
  <si>
    <t>Luciana Seabra</t>
  </si>
  <si>
    <t>Me Poupe!</t>
  </si>
  <si>
    <t>Fabrizio Gueratto | 1Bilhão</t>
  </si>
  <si>
    <t>Pais&amp;Filhos</t>
  </si>
  <si>
    <t>Editora Viseu</t>
  </si>
  <si>
    <t>Daniel φ</t>
  </si>
  <si>
    <t>Assoc Magistrados MA</t>
  </si>
  <si>
    <t>Rádio CBN</t>
  </si>
  <si>
    <t>Paulo Cesar Bastos</t>
  </si>
  <si>
    <t>Ricardo Amorim</t>
  </si>
  <si>
    <t>VOCÊ RH</t>
  </si>
  <si>
    <t>🇧🇷RMStudio🇧🇷</t>
  </si>
  <si>
    <t>Marcos A. Cypreste</t>
  </si>
  <si>
    <t>Com Lucro</t>
  </si>
  <si>
    <t>Arrcanjjo🔊</t>
  </si>
  <si>
    <t>Nilson 🇧🇷🇮🇱🇺🇲</t>
  </si>
  <si>
    <t>viva bem</t>
  </si>
  <si>
    <t>Gustavo de Sousa</t>
  </si>
  <si>
    <t>Eduardo Medeiros Reis F</t>
  </si>
  <si>
    <t>Marketing Digital</t>
  </si>
  <si>
    <t>Gilson Anselmo</t>
  </si>
  <si>
    <t>Davi Coimbra</t>
  </si>
  <si>
    <t>Índigo Instituto</t>
  </si>
  <si>
    <t>Igor Honório</t>
  </si>
  <si>
    <t>e-loan Soluções Financeiras</t>
  </si>
  <si>
    <t>Grupo Ayonel</t>
  </si>
  <si>
    <t>marcelo alonso</t>
  </si>
  <si>
    <t>Tiago Setti Fontana | CNPI</t>
  </si>
  <si>
    <t>Guilherme Iankowski</t>
  </si>
  <si>
    <t>Transparência na Gestão Pública</t>
  </si>
  <si>
    <t>Blog Para o Povo</t>
  </si>
  <si>
    <t>Minter | Educação Financeira</t>
  </si>
  <si>
    <t>Empréstimo para Negativados</t>
  </si>
  <si>
    <t>FERNANDA TORRES OCHO</t>
  </si>
  <si>
    <t>Pedro Fagundes</t>
  </si>
  <si>
    <t>ENS</t>
  </si>
  <si>
    <t>Andréa Menezes</t>
  </si>
  <si>
    <t>Unicred</t>
  </si>
  <si>
    <t>OpenGrowth</t>
  </si>
  <si>
    <t>flavioluis.finger</t>
  </si>
  <si>
    <t>IR Flash</t>
  </si>
  <si>
    <t>Inês Santos</t>
  </si>
  <si>
    <t>Fernanda Porto</t>
  </si>
  <si>
    <t>Bidu Bike</t>
  </si>
  <si>
    <t>Jornal O Dia</t>
  </si>
  <si>
    <t>Modelo de Vida</t>
  </si>
  <si>
    <t>Sabi Dinis</t>
  </si>
  <si>
    <t>Meu Bolso em Dia</t>
  </si>
  <si>
    <t>Cryptonita Investments 🇧🇷 🇺🇸</t>
  </si>
  <si>
    <t>Fly Vagner</t>
  </si>
  <si>
    <t>Tapa da Mão Invisível</t>
  </si>
  <si>
    <t>Tiago Guitián Reis</t>
  </si>
  <si>
    <t>Otavio (Tavi) Costa</t>
  </si>
  <si>
    <t>Crescat Capital</t>
  </si>
  <si>
    <t>jornal digital360</t>
  </si>
  <si>
    <t>Simon BR</t>
  </si>
  <si>
    <t>Maria Paula da Costa</t>
  </si>
  <si>
    <t>Blog P. da Notícia</t>
  </si>
  <si>
    <t>ColégioVitória Régia</t>
  </si>
  <si>
    <t>The Holder Investor®</t>
  </si>
  <si>
    <t>Gutemberg 💥</t>
  </si>
  <si>
    <t>𝕃𝕚𝕣𝕚𝕔𝕠 24</t>
  </si>
  <si>
    <t>$ANTTOS NA VOZ 🎙</t>
  </si>
  <si>
    <t>Bot Binary Deriv (Edson Barra)</t>
  </si>
  <si>
    <t>JornadaCapital</t>
  </si>
  <si>
    <t>Toca dos Livros | 📚 #OfertaAmazon</t>
  </si>
  <si>
    <t>Editora Mais Amigos</t>
  </si>
  <si>
    <t>Devair Fernandes</t>
  </si>
  <si>
    <t>Thiago Torres</t>
  </si>
  <si>
    <t>Mente_Pensante</t>
  </si>
  <si>
    <t>#ADMTAON</t>
  </si>
  <si>
    <t>Paulo Borba</t>
  </si>
  <si>
    <t>Portal do Garrett</t>
  </si>
  <si>
    <t>PORTAL VIVA COTIA</t>
  </si>
  <si>
    <t>Urbanitae PT</t>
  </si>
  <si>
    <t>Contábeis para a vida</t>
  </si>
  <si>
    <t>EBITDA - Sabedoria Financeira</t>
  </si>
  <si>
    <t>Marcone Verissimo</t>
  </si>
  <si>
    <t>Finscool</t>
  </si>
  <si>
    <t>ABRATES</t>
  </si>
  <si>
    <t>Abner Luciano</t>
  </si>
  <si>
    <t>Money Times</t>
  </si>
  <si>
    <t>Dawison Barbosa</t>
  </si>
  <si>
    <t>ricardo schramm</t>
  </si>
  <si>
    <t>Cesar Tralli</t>
  </si>
  <si>
    <t>GloboNews</t>
  </si>
  <si>
    <t>ElloSun</t>
  </si>
  <si>
    <t>Como Ganhar Dinheiro Na Internet</t>
  </si>
  <si>
    <t>Mano Investidor</t>
  </si>
  <si>
    <t>Academia de Bolsa</t>
  </si>
  <si>
    <t>Gabriel Costa</t>
  </si>
  <si>
    <t>technewsbr</t>
  </si>
  <si>
    <t>mauricionefsconexaodigital@gmail.com</t>
  </si>
  <si>
    <t>Ancelmo Ramos</t>
  </si>
  <si>
    <t>Márcia</t>
  </si>
  <si>
    <t>Murilo A. de Camargo</t>
  </si>
  <si>
    <t>Willtrader</t>
  </si>
  <si>
    <t>openideas</t>
  </si>
  <si>
    <t>Finanças sem tabu</t>
  </si>
  <si>
    <t>BEĨ Educação</t>
  </si>
  <si>
    <t>Academia Alpha</t>
  </si>
  <si>
    <t>Dives Vitae</t>
  </si>
  <si>
    <t>Clube da Ação</t>
  </si>
  <si>
    <t>De revoltado a disruptivo</t>
  </si>
  <si>
    <t>ALEX OLIVEIRA</t>
  </si>
  <si>
    <t>Jadson Oliveira</t>
  </si>
  <si>
    <t>F_Cajão</t>
  </si>
  <si>
    <t>Projeto Aposentadoria</t>
  </si>
  <si>
    <t>Brazen Capital</t>
  </si>
  <si>
    <t>Sebrae Tocantins</t>
  </si>
  <si>
    <t>serieapalpiteiro</t>
  </si>
  <si>
    <t>Aziz Basry</t>
  </si>
  <si>
    <t>SICOOB Coopjustiça</t>
  </si>
  <si>
    <t>Mutual Capital Tecnologia Financeira - MutualBank</t>
  </si>
  <si>
    <t>Edgar Abreu</t>
  </si>
  <si>
    <t>Banco de Moçambique</t>
  </si>
  <si>
    <t>Viva sempre com Dinheiro</t>
  </si>
  <si>
    <t>Pobre Poupa</t>
  </si>
  <si>
    <t>O que os dados mostram?</t>
  </si>
  <si>
    <t>Celo</t>
  </si>
  <si>
    <t>Paulo Nogueira Batista Jr.</t>
  </si>
  <si>
    <t>Grupo Recupera Brasil</t>
  </si>
  <si>
    <t>ROSA Angela Henrique</t>
  </si>
  <si>
    <t>Samuel Bellomo</t>
  </si>
  <si>
    <t>Lucian Freire</t>
  </si>
  <si>
    <t>Sandro Patto</t>
  </si>
  <si>
    <t>Portal Único</t>
  </si>
  <si>
    <t>Jornal Meia Hora</t>
  </si>
  <si>
    <t>Marcelo Morais</t>
  </si>
  <si>
    <t>Rafael Gouveia 🎸</t>
  </si>
  <si>
    <t>Painel Qquest</t>
  </si>
  <si>
    <t>MultiMidia Info</t>
  </si>
  <si>
    <t>GMM's</t>
  </si>
  <si>
    <t>FinançaDescomplicada</t>
  </si>
  <si>
    <t>ASTANA Pay</t>
  </si>
  <si>
    <t>theMage</t>
  </si>
  <si>
    <t>Jean Araujo</t>
  </si>
  <si>
    <t>fatec ferraz de vasconcelos</t>
  </si>
  <si>
    <t>Alexsander PEREIRA DA SILVA FORTES</t>
  </si>
  <si>
    <t>Leo Kuba</t>
  </si>
  <si>
    <t>Editora B18</t>
  </si>
  <si>
    <t>Tania Cristina</t>
  </si>
  <si>
    <t>Nath Finanças 💰</t>
  </si>
  <si>
    <t>Invista Finanças</t>
  </si>
  <si>
    <t>TAYLOR VARRENDO A RUA EM KARMA RJ n1 e SP n2</t>
  </si>
  <si>
    <t>juridico pickpocket &amp; borseggiatrici</t>
  </si>
  <si>
    <t>Focus Contabilidade e Consultoria</t>
  </si>
  <si>
    <t>Colombo / Investimentos / Educação Financeira</t>
  </si>
  <si>
    <t>CRA-ES</t>
  </si>
  <si>
    <t>Rony Sampaio</t>
  </si>
  <si>
    <t>Messias da Hora</t>
  </si>
  <si>
    <t>Paulo Martins</t>
  </si>
  <si>
    <t>Nosso Meio</t>
  </si>
  <si>
    <t>Defensoria Pública do Estado do RS</t>
  </si>
  <si>
    <t>Canal Bola de CAPOTÃO - Prof. PR</t>
  </si>
  <si>
    <t>Milton Neves</t>
  </si>
  <si>
    <t>Nonô, o Vovô Investidor</t>
  </si>
  <si>
    <t>Fernando Haddad</t>
  </si>
  <si>
    <t>Lula</t>
  </si>
  <si>
    <t>isaac</t>
  </si>
  <si>
    <t>Otto Finanças</t>
  </si>
  <si>
    <t>Fabio lourenço</t>
  </si>
  <si>
    <t>GPS dos Negócios</t>
  </si>
  <si>
    <t>Daniel C Tirado</t>
  </si>
  <si>
    <t>Juliana Tieko | Finanças UP</t>
  </si>
  <si>
    <t>Marcelo Martins Andr</t>
  </si>
  <si>
    <t>Senac Minas</t>
  </si>
  <si>
    <t>Leticia Teixeira</t>
  </si>
  <si>
    <t>Cleiton Finanças | Educador Financeiro</t>
  </si>
  <si>
    <t>Romneygalo</t>
  </si>
  <si>
    <t>Márcio Cardial</t>
  </si>
  <si>
    <t>Melhor RH</t>
  </si>
  <si>
    <t>Valdemar Hoque</t>
  </si>
  <si>
    <t>Marcia Coelho</t>
  </si>
  <si>
    <t>Portal Finanças Pessoais</t>
  </si>
  <si>
    <t>Gyn Banco</t>
  </si>
  <si>
    <t>Most Billion</t>
  </si>
  <si>
    <t>bagudinha</t>
  </si>
  <si>
    <t>Binance_Bonus</t>
  </si>
  <si>
    <t>Stimper Finanças</t>
  </si>
  <si>
    <t>O Caminho da Alfa</t>
  </si>
  <si>
    <t>Carlos Domini</t>
  </si>
  <si>
    <t>Emmanuel</t>
  </si>
  <si>
    <t>Otávio Beltrame</t>
  </si>
  <si>
    <t>Consultor Financeiro Igor Vieira</t>
  </si>
  <si>
    <t>Future Proof</t>
  </si>
  <si>
    <t>Inflamando</t>
  </si>
  <si>
    <t>Jornal do Comércio</t>
  </si>
  <si>
    <t>Agatha Cristie</t>
  </si>
  <si>
    <t>Anderson Silva</t>
  </si>
  <si>
    <t>Roberta Leitão</t>
  </si>
  <si>
    <t>ManIAm</t>
  </si>
  <si>
    <t>Fluir IBG</t>
  </si>
  <si>
    <t>Gabriel David</t>
  </si>
  <si>
    <t>LEOMORBAN</t>
  </si>
  <si>
    <t>Tr€t@13</t>
  </si>
  <si>
    <t>Gabriel Gouvêa</t>
  </si>
  <si>
    <t>André Almeida</t>
  </si>
  <si>
    <t>Jornal do Oeste</t>
  </si>
  <si>
    <t>Alme de Oliveira</t>
  </si>
  <si>
    <t>FEBRABAN</t>
  </si>
  <si>
    <t>Bora Falar de Guito</t>
  </si>
  <si>
    <t>HD1</t>
  </si>
  <si>
    <t>Daniel Nigri</t>
  </si>
  <si>
    <t>O INVESTIDOR FAIXA PRETA 🥋</t>
  </si>
  <si>
    <t>Marcelo B. Galvão</t>
  </si>
  <si>
    <t>Onil Group</t>
  </si>
  <si>
    <t>Rankia Brasil</t>
  </si>
  <si>
    <t>Rankia.com</t>
  </si>
  <si>
    <t>Sicoob Fluminense</t>
  </si>
  <si>
    <t>Educação Financeira 💰 | 🇲🇿</t>
  </si>
  <si>
    <t>Portal Estação</t>
  </si>
  <si>
    <t>Missão Renda</t>
  </si>
  <si>
    <t>Major</t>
  </si>
  <si>
    <t>Moprify</t>
  </si>
  <si>
    <t>Marccos</t>
  </si>
  <si>
    <t>Thiago Souza</t>
  </si>
  <si>
    <t>Gabriel Amadi</t>
  </si>
  <si>
    <t>Emanuel Cavalcanti - Assessor de Investimentos</t>
  </si>
  <si>
    <t>Douglas Alex</t>
  </si>
  <si>
    <t>hustlersmotivationmz</t>
  </si>
  <si>
    <t>Dyjardan Carvalho - Educador Financeiro</t>
  </si>
  <si>
    <t>Mentor Financeiro | Adauto Flavio</t>
  </si>
  <si>
    <t>ManiOhs.astrologia🌜</t>
  </si>
  <si>
    <t>Adriano Camenhe</t>
  </si>
  <si>
    <t>Rafael Ramos</t>
  </si>
  <si>
    <t>Henrique</t>
  </si>
  <si>
    <t>Cleydson Fernandes, CFP®</t>
  </si>
  <si>
    <t>Sicoob Crediara</t>
  </si>
  <si>
    <t>anônimo</t>
  </si>
  <si>
    <t>Lenz</t>
  </si>
  <si>
    <t>Zoom Dinheiro</t>
  </si>
  <si>
    <t>Inspiração motivacional ajsantos</t>
  </si>
  <si>
    <t>Fernando Sant'Anna</t>
  </si>
  <si>
    <t>Henrique Caldeira</t>
  </si>
  <si>
    <t>Marcel Menegheti</t>
  </si>
  <si>
    <t>Expo Favela</t>
  </si>
  <si>
    <t>Agrocapitais</t>
  </si>
  <si>
    <t>Portal Setor Saúde</t>
  </si>
  <si>
    <t>Notícias RedeTV</t>
  </si>
  <si>
    <t>Colégio Bandeirantes</t>
  </si>
  <si>
    <t>infogain</t>
  </si>
  <si>
    <t>francelm_contabilidade</t>
  </si>
  <si>
    <t>Universidade BlackRat</t>
  </si>
  <si>
    <t>Podcast Um Papo Qualquer</t>
  </si>
  <si>
    <t>Geração Lider</t>
  </si>
  <si>
    <t>FELLIPELLI</t>
  </si>
  <si>
    <t>Josué Coimbra</t>
  </si>
  <si>
    <t>Carlos Radunz</t>
  </si>
  <si>
    <t>NIIW</t>
  </si>
  <si>
    <t>Serpro</t>
  </si>
  <si>
    <t>LP4 Planejamento e Consultoria</t>
  </si>
  <si>
    <t>SYD do SEMEAR</t>
  </si>
  <si>
    <t>Pablo Ethos</t>
  </si>
  <si>
    <t>ferreiranews</t>
  </si>
  <si>
    <t>Bancários de São Paulo, Osasco e Região</t>
  </si>
  <si>
    <t>𝙼.𝙺.𝙼</t>
  </si>
  <si>
    <t>Ndjizas Sabino</t>
  </si>
  <si>
    <t>Teófilo Martins</t>
  </si>
  <si>
    <t>Noveen</t>
  </si>
  <si>
    <t>Marcese Maschietto</t>
  </si>
  <si>
    <t>Ourbooks</t>
  </si>
  <si>
    <t>Carlos Gomes</t>
  </si>
  <si>
    <t>M2M SABER</t>
  </si>
  <si>
    <t>Investir e Viver</t>
  </si>
  <si>
    <t>Orcose Contabilidade</t>
  </si>
  <si>
    <t>Flaertes Rodrigues</t>
  </si>
  <si>
    <t>RMC Noticias</t>
  </si>
  <si>
    <t>PLOCPLAY</t>
  </si>
  <si>
    <t>Fabiane Luvenge Mathes</t>
  </si>
  <si>
    <t>Mário Eudes Barbosa</t>
  </si>
  <si>
    <t>CDL Jovem</t>
  </si>
  <si>
    <t>MAGRÃO</t>
  </si>
  <si>
    <t>Economista Sincero</t>
  </si>
  <si>
    <t>AlexSilva-Educação Financeira 💰🤑</t>
  </si>
  <si>
    <t>Flavia Ribeiro</t>
  </si>
  <si>
    <t>Walter Correa</t>
  </si>
  <si>
    <t>Teatro Sérgio Cardoso</t>
  </si>
  <si>
    <t>Harami Research</t>
  </si>
  <si>
    <t>uM tiPo mEio distraído</t>
  </si>
  <si>
    <t>Pinto Matamba</t>
  </si>
  <si>
    <t>Ricardo Schweitzer</t>
  </si>
  <si>
    <t>Ágora Investimentos</t>
  </si>
  <si>
    <t>XZIBank</t>
  </si>
  <si>
    <t>Giro Financeiro</t>
  </si>
  <si>
    <t>CVM Educacional</t>
  </si>
  <si>
    <t>Hermilton</t>
  </si>
  <si>
    <t>Prosper Group</t>
  </si>
  <si>
    <t>Concierge Bitcoin</t>
  </si>
  <si>
    <t>Lina Seiche</t>
  </si>
  <si>
    <t>Blog do Esmael</t>
  </si>
  <si>
    <t>Rosielle Pegado</t>
  </si>
  <si>
    <t>Flyvinho, papagayo drácula</t>
  </si>
  <si>
    <t>Diogo Cavalcante</t>
  </si>
  <si>
    <t>Mic.Podcasts</t>
  </si>
  <si>
    <t>Revista Coletiva</t>
  </si>
  <si>
    <t>Alê Nascimento</t>
  </si>
  <si>
    <t>Anderson</t>
  </si>
  <si>
    <t>SÃO SÓ NEGÓCIOS</t>
  </si>
  <si>
    <t>Economia Completa</t>
  </si>
  <si>
    <t>Paiva Piovesan</t>
  </si>
  <si>
    <t>Domingos Viscondes</t>
  </si>
  <si>
    <t>Denise C de Toledo</t>
  </si>
  <si>
    <t>TV Gazeta</t>
  </si>
  <si>
    <t>Jornal da Gazeta</t>
  </si>
  <si>
    <t>Rafael Costa</t>
  </si>
  <si>
    <t>Luiz Persechini</t>
  </si>
  <si>
    <t>Maria de Jesus Silva Amorim</t>
  </si>
  <si>
    <t>Alisson Patrick</t>
  </si>
  <si>
    <t>tiagokeiler</t>
  </si>
  <si>
    <t>CNDL</t>
  </si>
  <si>
    <t>Receita Federal</t>
  </si>
  <si>
    <t>Investoom_feed</t>
  </si>
  <si>
    <t>Teia Digital</t>
  </si>
  <si>
    <t>CGD Tecnologia Educacional</t>
  </si>
  <si>
    <t>diego Henrique</t>
  </si>
  <si>
    <t>Unifesp</t>
  </si>
  <si>
    <t>Rodrigo Togneri</t>
  </si>
  <si>
    <t>Dr. CoveSA</t>
  </si>
  <si>
    <t>Aline Amaral</t>
  </si>
  <si>
    <t>Sistina Souto</t>
  </si>
  <si>
    <t>CNN Economia</t>
  </si>
  <si>
    <t>🦉 VOLUNTÁRIO REALISTA ESPERANÇOSO GLORIOSO★彡</t>
  </si>
  <si>
    <t>Jornal Contábil</t>
  </si>
  <si>
    <t>Darlan TD ★彡</t>
  </si>
  <si>
    <t>CHOQUEI</t>
  </si>
  <si>
    <t>Cecilia Flesch</t>
  </si>
  <si>
    <t>Pedro Fernando Nery</t>
  </si>
  <si>
    <t>Aod Cunha</t>
  </si>
  <si>
    <t>Estadão 🗞️</t>
  </si>
  <si>
    <t>IBGE Comunica</t>
  </si>
  <si>
    <t>Folha de S.Paulo</t>
  </si>
  <si>
    <t>Valor Econômico</t>
  </si>
  <si>
    <t>📖 Livros Extraordinários</t>
  </si>
  <si>
    <t>Fundação Amazonprev</t>
  </si>
  <si>
    <t>Gabriela</t>
  </si>
  <si>
    <t>Adilson FERREIRA Faria</t>
  </si>
  <si>
    <t>Altemir Farinhas</t>
  </si>
  <si>
    <t>Manoel Ferreira de Vasconcellos Del Piero Rodrigue</t>
  </si>
  <si>
    <t>belem.com.br</t>
  </si>
  <si>
    <t>Forbes Brasil</t>
  </si>
  <si>
    <t>CVM</t>
  </si>
  <si>
    <t>B3</t>
  </si>
  <si>
    <t>Suno Asset</t>
  </si>
  <si>
    <t>Ana Laura Magalhães</t>
  </si>
  <si>
    <t>STEAL THE LOOK</t>
  </si>
  <si>
    <t>Noticias de Tecnologia 🇧🇷</t>
  </si>
  <si>
    <t>Doutor Finanças</t>
  </si>
  <si>
    <t>Gecko Cripto</t>
  </si>
  <si>
    <t>Hydra Investe</t>
  </si>
  <si>
    <t>Marcelo Possas</t>
  </si>
  <si>
    <t>Voz da Van</t>
  </si>
  <si>
    <t>Momento Verdadeiro: Explorando a Cultura Pop</t>
  </si>
  <si>
    <t>Professor Mira</t>
  </si>
  <si>
    <t>Luiza Leão 🦁</t>
  </si>
  <si>
    <t>LC7</t>
  </si>
  <si>
    <t>super sincerão</t>
  </si>
  <si>
    <t>Caminho do Investimento</t>
  </si>
  <si>
    <t>SIC Notícias</t>
  </si>
  <si>
    <t>Active Money</t>
  </si>
  <si>
    <t>Leonardo RM</t>
  </si>
  <si>
    <t>Wesley Advogado</t>
  </si>
  <si>
    <t>Daniel Coriolano</t>
  </si>
  <si>
    <t>Ricardo Cancio Santos</t>
  </si>
  <si>
    <t>Filipe Valentim</t>
  </si>
  <si>
    <t>Vitão o agiota cristão</t>
  </si>
  <si>
    <t>Natan Fernando Pereira Martins</t>
  </si>
  <si>
    <t>Monett</t>
  </si>
  <si>
    <t>Blog do Hiel Levy</t>
  </si>
  <si>
    <t>Investe Digital</t>
  </si>
  <si>
    <t>Jose Credito</t>
  </si>
  <si>
    <t>S. Al-Ma'ida</t>
  </si>
  <si>
    <t>Ravenort</t>
  </si>
  <si>
    <t>Misael Nascimento,CEA ®️</t>
  </si>
  <si>
    <t>FGV IBRE</t>
  </si>
  <si>
    <t>Charles Rainier Gonçalez Bellintani Duarte</t>
  </si>
  <si>
    <t>E-Money Brasil</t>
  </si>
  <si>
    <t>Marcos Braz</t>
  </si>
  <si>
    <t>Pravaler</t>
  </si>
  <si>
    <t>Magalhaes Investidor</t>
  </si>
  <si>
    <t>encryption is life</t>
  </si>
  <si>
    <t>Vida Simples</t>
  </si>
  <si>
    <t>Keep Bored - Web3 🇧🇷</t>
  </si>
  <si>
    <t>Lua Medeiros</t>
  </si>
  <si>
    <t>Jeffão picon</t>
  </si>
  <si>
    <t>Marcos Aurelio Do Vale Silva Vale Silva</t>
  </si>
  <si>
    <t>Elmar Francisco Bravo</t>
  </si>
  <si>
    <t>Resumo de Livros</t>
  </si>
  <si>
    <t>Maymagre</t>
  </si>
  <si>
    <t>DJ Andrio Produções Celebration</t>
  </si>
  <si>
    <t>Átila Lemos</t>
  </si>
  <si>
    <t>Jornal Empresas e Negócios</t>
  </si>
  <si>
    <t>Leandro Soares</t>
  </si>
  <si>
    <t>Cantares Seguros</t>
  </si>
  <si>
    <t>Finanças Lucrativas</t>
  </si>
  <si>
    <t>Thiago - Resenhas 🔥🔥</t>
  </si>
  <si>
    <t>Faria Lima Journal</t>
  </si>
  <si>
    <t>Roberto Pantoja</t>
  </si>
  <si>
    <t>O I :) 🇦🇲</t>
  </si>
  <si>
    <t>𝐊𝐞𝐥𝐬𝐨𝐧 𝐃𝐞 𝐁𝐫𝐢𝐭𝐨🇦🇴</t>
  </si>
  <si>
    <t>Kako Ramos</t>
  </si>
  <si>
    <t>Produtive.ME</t>
  </si>
  <si>
    <t>Guilherme F. T. Mottin</t>
  </si>
  <si>
    <t>Nostranska 💸 Its your future look after it</t>
  </si>
  <si>
    <t>Vitor_ Teixeira19</t>
  </si>
  <si>
    <t>TV Cultura</t>
  </si>
  <si>
    <t>Ágora Planos de Saúde</t>
  </si>
  <si>
    <t>Lucas Trader</t>
  </si>
  <si>
    <t>Invisto Ad Eternum</t>
  </si>
  <si>
    <t>iVipCoin</t>
  </si>
  <si>
    <t>meutudo.</t>
  </si>
  <si>
    <t>fefe_ofc</t>
  </si>
  <si>
    <t>George Telles</t>
  </si>
  <si>
    <t>Robson</t>
  </si>
  <si>
    <t>Governo de S. Paulo</t>
  </si>
  <si>
    <t>REVISTA MUNDOCOOP</t>
  </si>
  <si>
    <t>Leonardo Rodrigues</t>
  </si>
  <si>
    <t>Victor Hugo Garcia</t>
  </si>
  <si>
    <t>Cintia Menegazzo</t>
  </si>
  <si>
    <t>The New Finance</t>
  </si>
  <si>
    <t>Smart Maximus</t>
  </si>
  <si>
    <t>Instituto Civitas</t>
  </si>
  <si>
    <t>Vinco Exchange</t>
  </si>
  <si>
    <t>Descomplica - Finanças para Todos</t>
  </si>
  <si>
    <t>Puneet Kohli</t>
  </si>
  <si>
    <t>Academia do Dinheiro</t>
  </si>
  <si>
    <t>Felipe Novaes Fiori</t>
  </si>
  <si>
    <t>Ti do Mundo</t>
  </si>
  <si>
    <t>Resultados Sustentaveis 🌎</t>
  </si>
  <si>
    <t>romero.financas</t>
  </si>
  <si>
    <t>Jornal JOGO SÉRIO - www.jornaljogoserio.com.br</t>
  </si>
  <si>
    <t>ReadX</t>
  </si>
  <si>
    <t>Jonas - O aposentado</t>
  </si>
  <si>
    <t>Hermanos De Tendencia</t>
  </si>
  <si>
    <t>Isleno Araújo, CFP®</t>
  </si>
  <si>
    <t>Daniel Souza</t>
  </si>
  <si>
    <t>CIDADANIA 23 DE POA</t>
  </si>
  <si>
    <t>ana ortiz</t>
  </si>
  <si>
    <t>T2iD</t>
  </si>
  <si>
    <t>Investo</t>
  </si>
  <si>
    <t>Gruppi</t>
  </si>
  <si>
    <t>Newton Paquissi-Investidor.</t>
  </si>
  <si>
    <t>Capemisa Seguradora</t>
  </si>
  <si>
    <t>Luís Fernando Gomes Diniz</t>
  </si>
  <si>
    <t>RichPoor App</t>
  </si>
  <si>
    <t>Red de Justicia Fiscal ALC</t>
  </si>
  <si>
    <t>Inst. Justiça Fiscal</t>
  </si>
  <si>
    <t>Afocefe Sindicato</t>
  </si>
  <si>
    <t>Inesc</t>
  </si>
  <si>
    <t>LORDTrader</t>
  </si>
  <si>
    <t>Alessandro dos Reis</t>
  </si>
  <si>
    <t>Kontab.io</t>
  </si>
  <si>
    <t>POWER HASH I.A.</t>
  </si>
  <si>
    <t>Lanistar</t>
  </si>
  <si>
    <t>Hablando Grego</t>
  </si>
  <si>
    <t>SeiServices</t>
  </si>
  <si>
    <t>João Ulisses</t>
  </si>
  <si>
    <t>ؘ</t>
  </si>
  <si>
    <t>Dívida Zero - Cae Galvão</t>
  </si>
  <si>
    <t>REDEVIDA</t>
  </si>
  <si>
    <t>Pro Atitude Educacional</t>
  </si>
  <si>
    <t>FNS Finanças</t>
  </si>
  <si>
    <t>ARKA Online Contabilidade</t>
  </si>
  <si>
    <t>pipocaeeconomia</t>
  </si>
  <si>
    <t>Disney</t>
  </si>
  <si>
    <t>Disney+ Brasil</t>
  </si>
  <si>
    <t>arthurbahia</t>
  </si>
  <si>
    <t>Peneda Gerês TV</t>
  </si>
  <si>
    <t>Certificação Brasil</t>
  </si>
  <si>
    <t>Agro Times</t>
  </si>
  <si>
    <t>André Werneck</t>
  </si>
  <si>
    <t>Roger Rocha Moreira</t>
  </si>
  <si>
    <t>Roberto Motta</t>
  </si>
  <si>
    <t>Luciana Bettero</t>
  </si>
  <si>
    <t>Mundo Negro</t>
  </si>
  <si>
    <t>Arnaldo Santtos</t>
  </si>
  <si>
    <t>Chocolate</t>
  </si>
  <si>
    <t>ForK the Banks</t>
  </si>
  <si>
    <t>Consorcio de Carro</t>
  </si>
  <si>
    <t>Capacita</t>
  </si>
  <si>
    <t>Revista Oeste</t>
  </si>
  <si>
    <t>Marcos Cleber 🇧🇷💢</t>
  </si>
  <si>
    <t>Felipe </t>
  </si>
  <si>
    <t>Econofin</t>
  </si>
  <si>
    <t>BomConsórcio</t>
  </si>
  <si>
    <t>Thiago Budni</t>
  </si>
  <si>
    <t>Trader Saed Rashid Investimentos digital</t>
  </si>
  <si>
    <t>Miriam Maria</t>
  </si>
  <si>
    <t>Investimento Objetivo</t>
  </si>
  <si>
    <t>Educando Seu Bolso</t>
  </si>
  <si>
    <t>Marcia Sigler - Radio Ação Brasil</t>
  </si>
  <si>
    <t>Investoom</t>
  </si>
  <si>
    <t>FERNANDA SIMOLIN - FEnança$</t>
  </si>
  <si>
    <t>Carlos Fagundes</t>
  </si>
  <si>
    <t>Tainara Follmann</t>
  </si>
  <si>
    <t>Plataforma CDA</t>
  </si>
  <si>
    <t>Comissão do Mercado de Capitais</t>
  </si>
  <si>
    <t>Money Raio</t>
  </si>
  <si>
    <t>Leonidas Silva Andrade Melo</t>
  </si>
  <si>
    <t>lsaias sousa de Melo.</t>
  </si>
  <si>
    <t>SuperRico - Saúde Financeira</t>
  </si>
  <si>
    <t>Keep Growing</t>
  </si>
  <si>
    <t>POUPEX</t>
  </si>
  <si>
    <t>Alex Ribeiro</t>
  </si>
  <si>
    <t>aleatoriando</t>
  </si>
  <si>
    <t>Paladin 🎖</t>
  </si>
  <si>
    <t>Siqueira Investir</t>
  </si>
  <si>
    <t>CLAUDIA</t>
  </si>
  <si>
    <t>Paola Carvalho</t>
  </si>
  <si>
    <t>lucas</t>
  </si>
  <si>
    <t>dx</t>
  </si>
  <si>
    <t>Otácio Neto</t>
  </si>
  <si>
    <t>holisticinvestment.in</t>
  </si>
  <si>
    <t>Osmar 🇪🇪</t>
  </si>
  <si>
    <t>Marcelo Martino</t>
  </si>
  <si>
    <t>BBank</t>
  </si>
  <si>
    <t>Apen Capital</t>
  </si>
  <si>
    <t>oLeoMendes</t>
  </si>
  <si>
    <t>Kamba Rico</t>
  </si>
  <si>
    <t>Sicoob COOPMIL</t>
  </si>
  <si>
    <t>Dicas de Longevidade</t>
  </si>
  <si>
    <t>Confebras</t>
  </si>
  <si>
    <t>Érico Metzner</t>
  </si>
  <si>
    <t>Sávio Pereira</t>
  </si>
  <si>
    <t>CDL São Caetano do Sul</t>
  </si>
  <si>
    <t>Banco Nacional de Angola</t>
  </si>
  <si>
    <t>SYNERHGON Gestão &amp; Resultados</t>
  </si>
  <si>
    <t>Kim Marques|Partiu Investir</t>
  </si>
  <si>
    <t>Xymenez BE | Inversiones - Ecommerce</t>
  </si>
  <si>
    <t>Info Smarty</t>
  </si>
  <si>
    <t>NewsGames 3D 🇧🇷🇮🇹 Political Solution Games</t>
  </si>
  <si>
    <t>Sicoob</t>
  </si>
  <si>
    <t>Iury Leite - Consultor financeiro da Invest Space</t>
  </si>
  <si>
    <t>Pablo Oliveira 😆</t>
  </si>
  <si>
    <t>Potiguar.eth</t>
  </si>
  <si>
    <t>Flávio Napoleão</t>
  </si>
  <si>
    <t>Roberto Jefferson</t>
  </si>
  <si>
    <t>Adriana De Luca</t>
  </si>
  <si>
    <t>Domingos Vasconcelos</t>
  </si>
  <si>
    <t>Cryptic</t>
  </si>
  <si>
    <t>Contra o Estado</t>
  </si>
  <si>
    <t>Rodrigo Siviéri</t>
  </si>
  <si>
    <t>Achados de Marketing</t>
  </si>
  <si>
    <t>Info Bolsa</t>
  </si>
  <si>
    <t>Jeovanio clementino</t>
  </si>
  <si>
    <t>GIOVANI ANDRÉ DOMINGUES</t>
  </si>
  <si>
    <t>We❤Bitcoin</t>
  </si>
  <si>
    <t>BSC News</t>
  </si>
  <si>
    <t>Economia Estadão</t>
  </si>
  <si>
    <t>É Top Saber</t>
  </si>
  <si>
    <t>UBA Moçambique</t>
  </si>
  <si>
    <t>Alvaro Lima</t>
  </si>
  <si>
    <t>Ludmila Almeida</t>
  </si>
  <si>
    <t>Luci Almeida</t>
  </si>
  <si>
    <t>Ícone Editora</t>
  </si>
  <si>
    <t>Economia &amp; Finanças</t>
  </si>
  <si>
    <t>Wander dos Santos Marques</t>
  </si>
  <si>
    <t>Andrey Nousi, CFA</t>
  </si>
  <si>
    <t>BHAVYA RAJWANSHI</t>
  </si>
  <si>
    <t>Sidney Nakatani</t>
  </si>
  <si>
    <t>Nitiele Santos</t>
  </si>
  <si>
    <t>Manderliny Costa🦊❤️</t>
  </si>
  <si>
    <t>Rodrigo Sena</t>
  </si>
  <si>
    <t>frederico pasche</t>
  </si>
  <si>
    <t>Fido</t>
  </si>
  <si>
    <t>OABPrev-RS</t>
  </si>
  <si>
    <t>WibooCria</t>
  </si>
  <si>
    <t>Néos Previdência Complementar</t>
  </si>
  <si>
    <t>Jota Oliver</t>
  </si>
  <si>
    <t>Stela Maris ☆╮</t>
  </si>
  <si>
    <t>Lucas Augusto</t>
  </si>
  <si>
    <t>Assembleia Legislativa de Alagoas</t>
  </si>
  <si>
    <t>Fernando Kobuti, CFP®</t>
  </si>
  <si>
    <t>Tania Maria</t>
  </si>
  <si>
    <t>tiago_am80</t>
  </si>
  <si>
    <t>José Amaral Neto 🛸🆙</t>
  </si>
  <si>
    <t>Israel Pimentel</t>
  </si>
  <si>
    <t>RSM Moçambique</t>
  </si>
  <si>
    <t>Finsiders.com.br</t>
  </si>
  <si>
    <t>American Trading Academy - Brasil | Ricardo</t>
  </si>
  <si>
    <t>Guerreiras Grenás</t>
  </si>
  <si>
    <t>hobbit do sertão na aldeia global</t>
  </si>
  <si>
    <t>Vasco da Gama</t>
  </si>
  <si>
    <t>NewsColina</t>
  </si>
  <si>
    <t>Fii News Paper</t>
  </si>
  <si>
    <t>Alberto Ruggiero</t>
  </si>
  <si>
    <t>TEDxLisboa</t>
  </si>
  <si>
    <t>José Guilherme Farias</t>
  </si>
  <si>
    <t>Cultivar Seu Futuro</t>
  </si>
  <si>
    <t>igor henrique</t>
  </si>
  <si>
    <t>PIXTV HD</t>
  </si>
  <si>
    <t>Brunno</t>
  </si>
  <si>
    <t>Joana D'Arc do Carmo Soares</t>
  </si>
  <si>
    <t>Cassius</t>
  </si>
  <si>
    <t>Bruno Beranko</t>
  </si>
  <si>
    <t>Felippe Lopes - Analista Financeiro</t>
  </si>
  <si>
    <t>Jefferson</t>
  </si>
  <si>
    <t>Jean Pierre</t>
  </si>
  <si>
    <t>Por Trás De Tudo</t>
  </si>
  <si>
    <t>Euclides Francisco</t>
  </si>
  <si>
    <t>Jornal Boqnews</t>
  </si>
  <si>
    <t>Papo Incerto</t>
  </si>
  <si>
    <t>Gretta 🏳️‍🌈</t>
  </si>
  <si>
    <t>Ilcimar 🐈🇮🇹</t>
  </si>
  <si>
    <t>SEEDUC RJ</t>
  </si>
  <si>
    <t>Ricardo Augusto Silva</t>
  </si>
  <si>
    <t>Rogério Nakata</t>
  </si>
  <si>
    <t>Marcelo Rocha</t>
  </si>
  <si>
    <t>CryptoSight</t>
  </si>
  <si>
    <t>GVN Corretores</t>
  </si>
  <si>
    <t>Finanças</t>
  </si>
  <si>
    <t>Luiz Braga</t>
  </si>
  <si>
    <t>Sindicato dos Jogadores</t>
  </si>
  <si>
    <t>ANQEP</t>
  </si>
  <si>
    <t>Sergio Luis Dias</t>
  </si>
  <si>
    <t>FUMEP</t>
  </si>
  <si>
    <t>FGV EAESP Pesquisa</t>
  </si>
  <si>
    <t>Ana Paula Hornos</t>
  </si>
  <si>
    <t>Gabriel Lam, CNPI-T</t>
  </si>
  <si>
    <t>DEGIRO</t>
  </si>
  <si>
    <t>Ben Popov</t>
  </si>
  <si>
    <t>Aurelio Wagner 🎼☕🌧️🍕📚📽️🌳🛐</t>
  </si>
  <si>
    <t>Marcia Camargo - Clínica Washington Amancio</t>
  </si>
  <si>
    <t>Noticias de Agora</t>
  </si>
  <si>
    <t>Virginio Contabilidade&amp;Finanças</t>
  </si>
  <si>
    <t>Léo Gaspar</t>
  </si>
  <si>
    <t>Bruno Kleinlein</t>
  </si>
  <si>
    <t>Rafaela</t>
  </si>
  <si>
    <t>carlosunrise</t>
  </si>
  <si>
    <t>Economista Everton Lopes</t>
  </si>
  <si>
    <t>Aposentando Novo</t>
  </si>
  <si>
    <t>Prevcom</t>
  </si>
  <si>
    <t>Vinícius Amorim</t>
  </si>
  <si>
    <t>RNA Invest</t>
  </si>
  <si>
    <t>Helder Pereira 🇧🇷</t>
  </si>
  <si>
    <t>NK a Lei da Atração | Nilton Lucas Psicanalista</t>
  </si>
  <si>
    <t>Movimentos Milionarios</t>
  </si>
  <si>
    <t>Lucas Pedrosa</t>
  </si>
  <si>
    <t>Rafael Porcari</t>
  </si>
  <si>
    <t>bússola</t>
  </si>
  <si>
    <t>StudioMadeHits</t>
  </si>
  <si>
    <t>EDIMO PEREIRA</t>
  </si>
  <si>
    <t>Romullo Buniziol</t>
  </si>
  <si>
    <t>Robson Dionisio</t>
  </si>
  <si>
    <t>Thembani Africa Group</t>
  </si>
  <si>
    <t>andrenegocios</t>
  </si>
  <si>
    <t>Arthur Oliveira</t>
  </si>
  <si>
    <t>Edgar Torres</t>
  </si>
  <si>
    <t>Aprender a Poupar</t>
  </si>
  <si>
    <t>G-Darma</t>
  </si>
  <si>
    <t>Casa de Investimentos</t>
  </si>
  <si>
    <t>egsinvestimentos</t>
  </si>
  <si>
    <t>Alyson Davalle Alves</t>
  </si>
  <si>
    <t>Contas Online</t>
  </si>
  <si>
    <t>Reidopendrive.com.br</t>
  </si>
  <si>
    <t>Nayara Caixeta</t>
  </si>
  <si>
    <t>Hugo Dias - (MTB) 🛵 💨💨💨</t>
  </si>
  <si>
    <t>Marcos Marinho</t>
  </si>
  <si>
    <t>Central Nath Finanças</t>
  </si>
  <si>
    <t>ⓕⓔⓡⓝⓐⓝⓓⓐ SA </t>
  </si>
  <si>
    <t>Grafistas</t>
  </si>
  <si>
    <t>Chagas Silva, CEA</t>
  </si>
  <si>
    <t>FGC</t>
  </si>
  <si>
    <t>Undime</t>
  </si>
  <si>
    <t>Instituto Sicoob</t>
  </si>
  <si>
    <t>Portal ChicoSabeTudo</t>
  </si>
  <si>
    <t>82641951</t>
  </si>
  <si>
    <t>61815962</t>
  </si>
  <si>
    <t>35406894</t>
  </si>
  <si>
    <t>55358981</t>
  </si>
  <si>
    <t>2198832585</t>
  </si>
  <si>
    <t>70411503</t>
  </si>
  <si>
    <t>491308424</t>
  </si>
  <si>
    <t>975470951394631681</t>
  </si>
  <si>
    <t>38833158</t>
  </si>
  <si>
    <t>221876473</t>
  </si>
  <si>
    <t>169918595</t>
  </si>
  <si>
    <t>53097336</t>
  </si>
  <si>
    <t>15154720</t>
  </si>
  <si>
    <t>1615322238</t>
  </si>
  <si>
    <t>116233438</t>
  </si>
  <si>
    <t>55650566</t>
  </si>
  <si>
    <t>95668137</t>
  </si>
  <si>
    <t>15238801</t>
  </si>
  <si>
    <t>561322533</t>
  </si>
  <si>
    <t>861499507</t>
  </si>
  <si>
    <t>1600513380745465858</t>
  </si>
  <si>
    <t>178797676</t>
  </si>
  <si>
    <t>20231571</t>
  </si>
  <si>
    <t>17047630</t>
  </si>
  <si>
    <t>540276838</t>
  </si>
  <si>
    <t>2557438489</t>
  </si>
  <si>
    <t>4357245737</t>
  </si>
  <si>
    <t>69338789</t>
  </si>
  <si>
    <t>137195086</t>
  </si>
  <si>
    <t>94388843</t>
  </si>
  <si>
    <t>1369100046</t>
  </si>
  <si>
    <t>2868134025</t>
  </si>
  <si>
    <t>3292463382</t>
  </si>
  <si>
    <t>27897816</t>
  </si>
  <si>
    <t>236985635</t>
  </si>
  <si>
    <t>2178098037</t>
  </si>
  <si>
    <t>2517788041</t>
  </si>
  <si>
    <t>10228272</t>
  </si>
  <si>
    <t>159996512</t>
  </si>
  <si>
    <t>20402910</t>
  </si>
  <si>
    <t>438488077</t>
  </si>
  <si>
    <t>343506818</t>
  </si>
  <si>
    <t>536380588</t>
  </si>
  <si>
    <t>1593689102</t>
  </si>
  <si>
    <t>14311308</t>
  </si>
  <si>
    <t>193439905</t>
  </si>
  <si>
    <t>320762743</t>
  </si>
  <si>
    <t>2439731</t>
  </si>
  <si>
    <t>15514372</t>
  </si>
  <si>
    <t>109091764</t>
  </si>
  <si>
    <t>27064481</t>
  </si>
  <si>
    <t>31728843</t>
  </si>
  <si>
    <t>790434666</t>
  </si>
  <si>
    <t>33044346</t>
  </si>
  <si>
    <t>1523823530</t>
  </si>
  <si>
    <t>1374658665903394818</t>
  </si>
  <si>
    <t>44449999</t>
  </si>
  <si>
    <t>95895775</t>
  </si>
  <si>
    <t>270020969</t>
  </si>
  <si>
    <t>292013489</t>
  </si>
  <si>
    <t>18671212</t>
  </si>
  <si>
    <t>254001950</t>
  </si>
  <si>
    <t>75289487</t>
  </si>
  <si>
    <t>107496318</t>
  </si>
  <si>
    <t>135272073</t>
  </si>
  <si>
    <t>2483025594</t>
  </si>
  <si>
    <t>902926941413453824</t>
  </si>
  <si>
    <t>1595615893</t>
  </si>
  <si>
    <t>1344989728706158595</t>
  </si>
  <si>
    <t>244707852</t>
  </si>
  <si>
    <t>19926360</t>
  </si>
  <si>
    <t>336310786</t>
  </si>
  <si>
    <t>100868755</t>
  </si>
  <si>
    <t>37926491</t>
  </si>
  <si>
    <t>4827046511</t>
  </si>
  <si>
    <t>1422994338825613314</t>
  </si>
  <si>
    <t>73478318</t>
  </si>
  <si>
    <t>568494327</t>
  </si>
  <si>
    <t>2396564851</t>
  </si>
  <si>
    <t>3240648647</t>
  </si>
  <si>
    <t>277495114</t>
  </si>
  <si>
    <t>64670566</t>
  </si>
  <si>
    <t>333147653</t>
  </si>
  <si>
    <t>260916432</t>
  </si>
  <si>
    <t>39122076</t>
  </si>
  <si>
    <t>970681300788088832</t>
  </si>
  <si>
    <t>1094999019825360897</t>
  </si>
  <si>
    <t>29432429</t>
  </si>
  <si>
    <t>65623374</t>
  </si>
  <si>
    <t>785833176</t>
  </si>
  <si>
    <t>113128538</t>
  </si>
  <si>
    <t>34969398</t>
  </si>
  <si>
    <t>218182072</t>
  </si>
  <si>
    <t>580199593</t>
  </si>
  <si>
    <t>86962550</t>
  </si>
  <si>
    <t>2959370493</t>
  </si>
  <si>
    <t>95419833</t>
  </si>
  <si>
    <t>38707582</t>
  </si>
  <si>
    <t>2746280079</t>
  </si>
  <si>
    <t>59811558</t>
  </si>
  <si>
    <t>102463274</t>
  </si>
  <si>
    <t>349787867</t>
  </si>
  <si>
    <t>40325288</t>
  </si>
  <si>
    <t>17675497</t>
  </si>
  <si>
    <t>52359184</t>
  </si>
  <si>
    <t>3077289071</t>
  </si>
  <si>
    <t>2428055045</t>
  </si>
  <si>
    <t>2584103654</t>
  </si>
  <si>
    <t>3063743186</t>
  </si>
  <si>
    <t>1332582158</t>
  </si>
  <si>
    <t>88908961</t>
  </si>
  <si>
    <t>35049549</t>
  </si>
  <si>
    <t>51150679</t>
  </si>
  <si>
    <t>338097482</t>
  </si>
  <si>
    <t>90856101</t>
  </si>
  <si>
    <t>380069148</t>
  </si>
  <si>
    <t>322260032</t>
  </si>
  <si>
    <t>424440280</t>
  </si>
  <si>
    <t>465822677</t>
  </si>
  <si>
    <t>14968771</t>
  </si>
  <si>
    <t>20766595</t>
  </si>
  <si>
    <t>94190007</t>
  </si>
  <si>
    <t>1422757842600202243</t>
  </si>
  <si>
    <t>14278838</t>
  </si>
  <si>
    <t>483138778</t>
  </si>
  <si>
    <t>8599062</t>
  </si>
  <si>
    <t>91320713</t>
  </si>
  <si>
    <t>117174657</t>
  </si>
  <si>
    <t>248880596</t>
  </si>
  <si>
    <t>731051372</t>
  </si>
  <si>
    <t>61106922</t>
  </si>
  <si>
    <t>80306410</t>
  </si>
  <si>
    <t>625192155</t>
  </si>
  <si>
    <t>354095556</t>
  </si>
  <si>
    <t>2670726740</t>
  </si>
  <si>
    <t>1479787435</t>
  </si>
  <si>
    <t>90272946</t>
  </si>
  <si>
    <t>243455310</t>
  </si>
  <si>
    <t>24918659</t>
  </si>
  <si>
    <t>487144994</t>
  </si>
  <si>
    <t>224813432</t>
  </si>
  <si>
    <t>292867857</t>
  </si>
  <si>
    <t>17118982</t>
  </si>
  <si>
    <t>308866922</t>
  </si>
  <si>
    <t>307533855</t>
  </si>
  <si>
    <t>3135191105</t>
  </si>
  <si>
    <t>46624815</t>
  </si>
  <si>
    <t>1738018896</t>
  </si>
  <si>
    <t>17430298</t>
  </si>
  <si>
    <t>1755376614</t>
  </si>
  <si>
    <t>16577699</t>
  </si>
  <si>
    <t>21088788</t>
  </si>
  <si>
    <t>1489257752723550215</t>
  </si>
  <si>
    <t>2523063850</t>
  </si>
  <si>
    <t>19468254</t>
  </si>
  <si>
    <t>823749648</t>
  </si>
  <si>
    <t>34920484</t>
  </si>
  <si>
    <t>39051490</t>
  </si>
  <si>
    <t>38106856</t>
  </si>
  <si>
    <t>8451242</t>
  </si>
  <si>
    <t>18691629</t>
  </si>
  <si>
    <t>36608122</t>
  </si>
  <si>
    <t>2715218840</t>
  </si>
  <si>
    <t>1915615560</t>
  </si>
  <si>
    <t>144827153</t>
  </si>
  <si>
    <t>491308384</t>
  </si>
  <si>
    <t>96743223</t>
  </si>
  <si>
    <t>89943326</t>
  </si>
  <si>
    <t>148712151</t>
  </si>
  <si>
    <t>528695838</t>
  </si>
  <si>
    <t>360619751</t>
  </si>
  <si>
    <t>1347015354</t>
  </si>
  <si>
    <t>22611794</t>
  </si>
  <si>
    <t>1417084260754677761</t>
  </si>
  <si>
    <t>1082452128235311105</t>
  </si>
  <si>
    <t>1371593170501439494</t>
  </si>
  <si>
    <t>313013991</t>
  </si>
  <si>
    <t>43351877</t>
  </si>
  <si>
    <t>2670530420</t>
  </si>
  <si>
    <t>119403684</t>
  </si>
  <si>
    <t>35005785</t>
  </si>
  <si>
    <t>363065411</t>
  </si>
  <si>
    <t>63834444</t>
  </si>
  <si>
    <t>70455289</t>
  </si>
  <si>
    <t>245551895</t>
  </si>
  <si>
    <t>173970122</t>
  </si>
  <si>
    <t>2911189884</t>
  </si>
  <si>
    <t>240849616</t>
  </si>
  <si>
    <t>212916157</t>
  </si>
  <si>
    <t>1214618844993597441</t>
  </si>
  <si>
    <t>91879809</t>
  </si>
  <si>
    <t>905470700038668288</t>
  </si>
  <si>
    <t>9317502</t>
  </si>
  <si>
    <t>14594813</t>
  </si>
  <si>
    <t>32529120</t>
  </si>
  <si>
    <t>66249054</t>
  </si>
  <si>
    <t>510272910</t>
  </si>
  <si>
    <t>1322224888967548928</t>
  </si>
  <si>
    <t>1029753284691734528</t>
  </si>
  <si>
    <t>550263001</t>
  </si>
  <si>
    <t>4898300219</t>
  </si>
  <si>
    <t>902902700</t>
  </si>
  <si>
    <t>48518838</t>
  </si>
  <si>
    <t>1223660386689470465</t>
  </si>
  <si>
    <t>1037421877</t>
  </si>
  <si>
    <t>486965693</t>
  </si>
  <si>
    <t>2960867039</t>
  </si>
  <si>
    <t>17884125</t>
  </si>
  <si>
    <t>17163446</t>
  </si>
  <si>
    <t>117273618</t>
  </si>
  <si>
    <t>77860052</t>
  </si>
  <si>
    <t>58553533</t>
  </si>
  <si>
    <t>3087590120</t>
  </si>
  <si>
    <t>2880483634</t>
  </si>
  <si>
    <t>365195870</t>
  </si>
  <si>
    <t>171153968</t>
  </si>
  <si>
    <t>161380515</t>
  </si>
  <si>
    <t>252876002</t>
  </si>
  <si>
    <t>82592371</t>
  </si>
  <si>
    <t>236118324</t>
  </si>
  <si>
    <t>20667807</t>
  </si>
  <si>
    <t>69634735</t>
  </si>
  <si>
    <t>14306125</t>
  </si>
  <si>
    <t>24746057</t>
  </si>
  <si>
    <t>70493540</t>
  </si>
  <si>
    <t>135946507</t>
  </si>
  <si>
    <t>75173434</t>
  </si>
  <si>
    <t>3341974577</t>
  </si>
  <si>
    <t>236550324</t>
  </si>
  <si>
    <t>3234532213</t>
  </si>
  <si>
    <t>55373557</t>
  </si>
  <si>
    <t>307242245</t>
  </si>
  <si>
    <t>516191172</t>
  </si>
  <si>
    <t>4098505887</t>
  </si>
  <si>
    <t>47420746</t>
  </si>
  <si>
    <t>3362476599</t>
  </si>
  <si>
    <t>112222090</t>
  </si>
  <si>
    <t>26273418</t>
  </si>
  <si>
    <t>369919170</t>
  </si>
  <si>
    <t>67418441</t>
  </si>
  <si>
    <t>1011372006753746944</t>
  </si>
  <si>
    <t>174852229</t>
  </si>
  <si>
    <t>17752026</t>
  </si>
  <si>
    <t>33071040</t>
  </si>
  <si>
    <t>415236494</t>
  </si>
  <si>
    <t>3436686130</t>
  </si>
  <si>
    <t>36052366</t>
  </si>
  <si>
    <t>116914919</t>
  </si>
  <si>
    <t>42907104</t>
  </si>
  <si>
    <t>2836439422</t>
  </si>
  <si>
    <t>3075818301</t>
  </si>
  <si>
    <t>17620198</t>
  </si>
  <si>
    <t>50309794</t>
  </si>
  <si>
    <t>209396548</t>
  </si>
  <si>
    <t>2874080791</t>
  </si>
  <si>
    <t>132267586</t>
  </si>
  <si>
    <t>87252373</t>
  </si>
  <si>
    <t>1262762847915786242</t>
  </si>
  <si>
    <t>630500666</t>
  </si>
  <si>
    <t>1340389045</t>
  </si>
  <si>
    <t>16403372</t>
  </si>
  <si>
    <t>151288771</t>
  </si>
  <si>
    <t>213998056</t>
  </si>
  <si>
    <t>1547919698423009280</t>
  </si>
  <si>
    <t>610171401</t>
  </si>
  <si>
    <t>1323762343302615040</t>
  </si>
  <si>
    <t>78774644</t>
  </si>
  <si>
    <t>48799494</t>
  </si>
  <si>
    <t>114651521</t>
  </si>
  <si>
    <t>4274761517</t>
  </si>
  <si>
    <t>1620631531</t>
  </si>
  <si>
    <t>141030680</t>
  </si>
  <si>
    <t>245778319</t>
  </si>
  <si>
    <t>49599520</t>
  </si>
  <si>
    <t>1240496480143773697</t>
  </si>
  <si>
    <t>61635620</t>
  </si>
  <si>
    <t>28273230</t>
  </si>
  <si>
    <t>3406306762</t>
  </si>
  <si>
    <t>161502231</t>
  </si>
  <si>
    <t>58269515</t>
  </si>
  <si>
    <t>1157727349</t>
  </si>
  <si>
    <t>117089350</t>
  </si>
  <si>
    <t>208372570</t>
  </si>
  <si>
    <t>3853991</t>
  </si>
  <si>
    <t>41928738</t>
  </si>
  <si>
    <t>86789037</t>
  </si>
  <si>
    <t>113495167</t>
  </si>
  <si>
    <t>192864645</t>
  </si>
  <si>
    <t>31419983</t>
  </si>
  <si>
    <t>1194069988241543168</t>
  </si>
  <si>
    <t>46783651</t>
  </si>
  <si>
    <t>490715837</t>
  </si>
  <si>
    <t>155400233</t>
  </si>
  <si>
    <t>57925869</t>
  </si>
  <si>
    <t>25371172</t>
  </si>
  <si>
    <t>175441664</t>
  </si>
  <si>
    <t>191506546</t>
  </si>
  <si>
    <t>786687258</t>
  </si>
  <si>
    <t>804381282</t>
  </si>
  <si>
    <t>55845270</t>
  </si>
  <si>
    <t>705735727</t>
  </si>
  <si>
    <t>4894646507</t>
  </si>
  <si>
    <t>37329759</t>
  </si>
  <si>
    <t>2769956031</t>
  </si>
  <si>
    <t>1574281260</t>
  </si>
  <si>
    <t>140982512</t>
  </si>
  <si>
    <t>29331023</t>
  </si>
  <si>
    <t>593015078</t>
  </si>
  <si>
    <t>197945370</t>
  </si>
  <si>
    <t>2493446468</t>
  </si>
  <si>
    <t>3343368929</t>
  </si>
  <si>
    <t>51565827</t>
  </si>
  <si>
    <t>26230407</t>
  </si>
  <si>
    <t>1265069810</t>
  </si>
  <si>
    <t>3253986423</t>
  </si>
  <si>
    <t>41846500</t>
  </si>
  <si>
    <t>274989938</t>
  </si>
  <si>
    <t>193409557</t>
  </si>
  <si>
    <t>49765571</t>
  </si>
  <si>
    <t>1660360053113667593</t>
  </si>
  <si>
    <t>1047496479273865217</t>
  </si>
  <si>
    <t>70803728</t>
  </si>
  <si>
    <t>351632381</t>
  </si>
  <si>
    <t>250804213</t>
  </si>
  <si>
    <t>Brasília,DF Brasil</t>
  </si>
  <si>
    <t>São Paulo/SP</t>
  </si>
  <si>
    <t>Cambé, Paraná, Brasil.</t>
  </si>
  <si>
    <t>Angola</t>
  </si>
  <si>
    <t>Guarulhos, Brasil</t>
  </si>
  <si>
    <t>Mogi Guaçu/SP</t>
  </si>
  <si>
    <t>Brazil</t>
  </si>
  <si>
    <t>Salvador, Brasil</t>
  </si>
  <si>
    <t>Fortaleza, Brasil</t>
  </si>
  <si>
    <t>Aracaju-Se</t>
  </si>
  <si>
    <t>Rio de Janeiro/RJ</t>
  </si>
  <si>
    <t>Wherever</t>
  </si>
  <si>
    <t>Blumenau, SC, Brasil</t>
  </si>
  <si>
    <t>Paraense em Sinop - MT</t>
  </si>
  <si>
    <t>Por aí...</t>
  </si>
  <si>
    <t>Várzea Grande, Brasil</t>
  </si>
  <si>
    <t>São Paulo - SP</t>
  </si>
  <si>
    <t>#Bahia | NE| #Brasil | Brazil</t>
  </si>
  <si>
    <t>Lisboa, Portugal</t>
  </si>
  <si>
    <t>Jericoacoara / Bitcoin Beach</t>
  </si>
  <si>
    <t>ÜT: -29.151792,-51.166076</t>
  </si>
  <si>
    <t>Lisboa</t>
  </si>
  <si>
    <t>Alagoas, Brasil</t>
  </si>
  <si>
    <t>Barueri, Brasil</t>
  </si>
  <si>
    <t>Ciudad Autónoma de Buenos Aire</t>
  </si>
  <si>
    <t>Minas Gerais, Brasil</t>
  </si>
  <si>
    <t>Mars</t>
  </si>
  <si>
    <t>Metaverso</t>
  </si>
  <si>
    <t>Belo Horizonte - Minas Gerais</t>
  </si>
  <si>
    <t>Mumbai, India</t>
  </si>
  <si>
    <t>Portugal 🇵🇹</t>
  </si>
  <si>
    <t>França</t>
  </si>
  <si>
    <t>Cascais, Portugal</t>
  </si>
  <si>
    <t>Colatina, ES, Brasil</t>
  </si>
  <si>
    <t>Passo Fundo, RS - Brazil</t>
  </si>
  <si>
    <t>Rondônia</t>
  </si>
  <si>
    <t>Santa Maria DF</t>
  </si>
  <si>
    <t xml:space="preserve">João Pessoa </t>
  </si>
  <si>
    <t>Piracicaba, Brasil</t>
  </si>
  <si>
    <t>San Bruno, CA</t>
  </si>
  <si>
    <t>Bahia</t>
  </si>
  <si>
    <t>São Luís, Brasil</t>
  </si>
  <si>
    <t>Brasília - DF</t>
  </si>
  <si>
    <t>República de Moçambique</t>
  </si>
  <si>
    <t>São Paulo - Brasil</t>
  </si>
  <si>
    <t>Comedy Store</t>
  </si>
  <si>
    <t>São Paulos</t>
  </si>
  <si>
    <t>Washington, USA</t>
  </si>
  <si>
    <t>live:saudi Arabia,F:Bangladesh</t>
  </si>
  <si>
    <t>Barra do Garças - MT</t>
  </si>
  <si>
    <t>Blumenau, Brasil</t>
  </si>
  <si>
    <t>Criciúma - SC</t>
  </si>
  <si>
    <t>Vitória, Brasil</t>
  </si>
  <si>
    <t>Brasilia - DF</t>
  </si>
  <si>
    <t>Bauru - SP - Brasil</t>
  </si>
  <si>
    <t>Luanda</t>
  </si>
  <si>
    <t>Braga - Portugal</t>
  </si>
  <si>
    <t>Paraná, Brasil</t>
  </si>
  <si>
    <t>Belo Horizonte, MG</t>
  </si>
  <si>
    <t>The Ritz-Carlton, Riyadh</t>
  </si>
  <si>
    <t>Singapore</t>
  </si>
  <si>
    <t>Rua das Trincheiras, nº 43</t>
  </si>
  <si>
    <t>Joao Pessoa</t>
  </si>
  <si>
    <t>Quixadá, Brasil</t>
  </si>
  <si>
    <t>Brasil- SP- Vinhedo</t>
  </si>
  <si>
    <t>Itaperuna.RJ</t>
  </si>
  <si>
    <t>Não é da sua conta/BR</t>
  </si>
  <si>
    <t>Taguatinga/DF</t>
  </si>
  <si>
    <t>Brasília (DF), Brasil</t>
  </si>
  <si>
    <t xml:space="preserve">Florianópolis </t>
  </si>
  <si>
    <t>Varginha, MG</t>
  </si>
  <si>
    <t>Varginha, Brasil</t>
  </si>
  <si>
    <t>Mesquita RJ</t>
  </si>
  <si>
    <t>R. Jorge Augusto, 83 6º Cj. 61</t>
  </si>
  <si>
    <t>Orlando, FL</t>
  </si>
  <si>
    <t>DeFi Web3</t>
  </si>
  <si>
    <t>Araguari - MG - Brasil</t>
  </si>
  <si>
    <t>Lisbon, Portugal</t>
  </si>
  <si>
    <t xml:space="preserve">Água Boa MT </t>
  </si>
  <si>
    <t>Curitiba, Paraná</t>
  </si>
  <si>
    <t>Sao Paulo - Brasil</t>
  </si>
  <si>
    <t>Sheridan, Wyoming, 82801</t>
  </si>
  <si>
    <t>Diadema/SP - Brasil</t>
  </si>
  <si>
    <t>Músico e compositor RapDriller</t>
  </si>
  <si>
    <t>Montes Claros, MG, Brazil</t>
  </si>
  <si>
    <t>Camaquã/RS</t>
  </si>
  <si>
    <t>Braga</t>
  </si>
  <si>
    <t>Lisboa - Portugal</t>
  </si>
  <si>
    <t>Brasília, DF, Brasil</t>
  </si>
  <si>
    <t>Espaço Virtual - Mundo Luso</t>
  </si>
  <si>
    <t>日本 兵庫県神戸市</t>
  </si>
  <si>
    <t>Porto União, SC.</t>
  </si>
  <si>
    <t>Rio de Janeiro, Brazil</t>
  </si>
  <si>
    <t>São Luís - MA</t>
  </si>
  <si>
    <t>Serra da Saudade - BR -</t>
  </si>
  <si>
    <t>Santa Teresa, Brasil</t>
  </si>
  <si>
    <t>Garanhuns PE</t>
  </si>
  <si>
    <t>Miami, FL</t>
  </si>
  <si>
    <t>brasil</t>
  </si>
  <si>
    <t>Brazil, Curitiba-PR</t>
  </si>
  <si>
    <t>Curitiba PR</t>
  </si>
  <si>
    <t>São Paulo - SP - Brasil</t>
  </si>
  <si>
    <t>Juiz de Fora</t>
  </si>
  <si>
    <t>867 Warren Palo Alto Ca, 94303</t>
  </si>
  <si>
    <t>João Pessoa, Paraíba, Brasil</t>
  </si>
  <si>
    <t>United States</t>
  </si>
  <si>
    <t>Sao Paulo, Brazil</t>
  </si>
  <si>
    <t>Denver, CO</t>
  </si>
  <si>
    <t>Resende, Brasil</t>
  </si>
  <si>
    <t>Salvador, Bahia</t>
  </si>
  <si>
    <t>71 -3257-8282 - Salvador - Ba</t>
  </si>
  <si>
    <t xml:space="preserve">Rio de Janeiro </t>
  </si>
  <si>
    <t>Brasília - DF - Brasil</t>
  </si>
  <si>
    <t>New Westminster, British Colum</t>
  </si>
  <si>
    <t>Cotia</t>
  </si>
  <si>
    <t>RECIFE</t>
  </si>
  <si>
    <t>Tubarão, Brasil</t>
  </si>
  <si>
    <t>Sao Paulo - Brazil</t>
  </si>
  <si>
    <t>Rio Tinto, Brasil</t>
  </si>
  <si>
    <t>São Paulo | SP</t>
  </si>
  <si>
    <t>Roma</t>
  </si>
  <si>
    <t>Magé, Brasil</t>
  </si>
  <si>
    <t>Manhattan, NY</t>
  </si>
  <si>
    <t>Palmas TO</t>
  </si>
  <si>
    <t>Midelt,Morocco</t>
  </si>
  <si>
    <t>São Mateus, São Paulo</t>
  </si>
  <si>
    <t>Sao Paulo</t>
  </si>
  <si>
    <t xml:space="preserve">Manaus </t>
  </si>
  <si>
    <t>Itajaí, Brasil</t>
  </si>
  <si>
    <t>Goiás, Brasil</t>
  </si>
  <si>
    <t>Palmas, Brasil</t>
  </si>
  <si>
    <t>Ferraz de Vasconcelos/ SP</t>
  </si>
  <si>
    <t>São Paulo / Brazil</t>
  </si>
  <si>
    <t>Espírito Santo</t>
  </si>
  <si>
    <t>Natal/RN</t>
  </si>
  <si>
    <t>Queluz, Brasil</t>
  </si>
  <si>
    <t>Fortaleza</t>
  </si>
  <si>
    <t>Minas Gerais</t>
  </si>
  <si>
    <t>São Paulo, SP</t>
  </si>
  <si>
    <t>Luanda - Angola</t>
  </si>
  <si>
    <t>Goiânia</t>
  </si>
  <si>
    <t>Goiânia, Brasil</t>
  </si>
  <si>
    <t>Manaus, Brasil</t>
  </si>
  <si>
    <t>Ribeira do Pombal, Brasil</t>
  </si>
  <si>
    <t>Bauru, Brasil</t>
  </si>
  <si>
    <t>Porto, Portugal</t>
  </si>
  <si>
    <t>Hollywood, FL</t>
  </si>
  <si>
    <t>Santa Maria RS</t>
  </si>
  <si>
    <t>Taubaté</t>
  </si>
  <si>
    <t>Toledo/PR - Brasil</t>
  </si>
  <si>
    <t>São Paulo, Brazil</t>
  </si>
  <si>
    <t>Valencia</t>
  </si>
  <si>
    <t>Valencia (España)</t>
  </si>
  <si>
    <t>Republic of Mozambique</t>
  </si>
  <si>
    <t>Maputo - Mozambique</t>
  </si>
  <si>
    <t>Mossoró/RN</t>
  </si>
  <si>
    <t>Ribeirão Preto, Brasil</t>
  </si>
  <si>
    <t>Maringá, Brasil</t>
  </si>
  <si>
    <t>Araxá</t>
  </si>
  <si>
    <t>São Paulo - SP, Brasil</t>
  </si>
  <si>
    <t>Rua Estela 268 São Paulo</t>
  </si>
  <si>
    <t>Floripa-SC</t>
  </si>
  <si>
    <t>japan</t>
  </si>
  <si>
    <t>São Paulo / Brasil</t>
  </si>
  <si>
    <t>System</t>
  </si>
  <si>
    <t>Paraná, Brazil</t>
  </si>
  <si>
    <t>Pratânia, Brasil</t>
  </si>
  <si>
    <t>São Paulo, SP, Brasil</t>
  </si>
  <si>
    <t>Campinas/SP</t>
  </si>
  <si>
    <t>Hortolândia, SP</t>
  </si>
  <si>
    <t>Manaus</t>
  </si>
  <si>
    <t>São josé dos Campos</t>
  </si>
  <si>
    <t>Albufeira, Portugal</t>
  </si>
  <si>
    <t>New Delhi, India</t>
  </si>
  <si>
    <t>🇩🇪 → 🌍</t>
  </si>
  <si>
    <t>Curitiba/Paraná/Brasil</t>
  </si>
  <si>
    <t>Pernambuco - Brasil</t>
  </si>
  <si>
    <t xml:space="preserve">Brasil </t>
  </si>
  <si>
    <t>Belo Horizonte - Brasil</t>
  </si>
  <si>
    <t>Av. Paulista, 900 - São Paulo</t>
  </si>
  <si>
    <t>Vancouver, British Columbia</t>
  </si>
  <si>
    <t>Viana- Maranhão.</t>
  </si>
  <si>
    <t>Blumenau</t>
  </si>
  <si>
    <t>Munich, Bavaria</t>
  </si>
  <si>
    <t>Fortaleza, Ceará</t>
  </si>
  <si>
    <t>Amazonas, Brasil</t>
  </si>
  <si>
    <t>Viçosa, Brasil</t>
  </si>
  <si>
    <t>Curitiba, PR</t>
  </si>
  <si>
    <t>Belém do Pará</t>
  </si>
  <si>
    <t>Replit</t>
  </si>
  <si>
    <t>Brazil, IN</t>
  </si>
  <si>
    <t>PERNAMBUCO/PARAÍBA</t>
  </si>
  <si>
    <t>Siga o nosso blog 👇</t>
  </si>
  <si>
    <t>Florianópolis/SC</t>
  </si>
  <si>
    <t>Rio de Janeiro - Brasil</t>
  </si>
  <si>
    <t xml:space="preserve">Joinville, Santa Catarina </t>
  </si>
  <si>
    <t>Manaus/AM</t>
  </si>
  <si>
    <t>URSAL</t>
  </si>
  <si>
    <t>S. J. do Rio Preto/SP - Brazil</t>
  </si>
  <si>
    <t>Embu, Brasil</t>
  </si>
  <si>
    <t>Earth</t>
  </si>
  <si>
    <t>Irecê, Brasil</t>
  </si>
  <si>
    <t>Tocantins, Brasil</t>
  </si>
  <si>
    <t>Luanda, Angola</t>
  </si>
  <si>
    <t>Itabira/MG</t>
  </si>
  <si>
    <t>ancapland</t>
  </si>
  <si>
    <t xml:space="preserve">Mellan hopp och förtvivlan </t>
  </si>
  <si>
    <t>Petrolina, Brasil</t>
  </si>
  <si>
    <t>conselheiro lafayete (MG)</t>
  </si>
  <si>
    <t>blockchain</t>
  </si>
  <si>
    <t>Brasil, São Paulo</t>
  </si>
  <si>
    <t>Itu/SP</t>
  </si>
  <si>
    <t>Nassau, Bahamas</t>
  </si>
  <si>
    <t>Guaxupé / MG / Brasil</t>
  </si>
  <si>
    <t>Worldwide</t>
  </si>
  <si>
    <t>Ipixuna do Pará, Brasil</t>
  </si>
  <si>
    <t>PORTO ALEGRE RS BRASIL</t>
  </si>
  <si>
    <t xml:space="preserve">Luanda Angola </t>
  </si>
  <si>
    <t xml:space="preserve">Goiânia </t>
  </si>
  <si>
    <t>Buenos Aires, Argentina</t>
  </si>
  <si>
    <t>Porto Alegre, Brazil</t>
  </si>
  <si>
    <t>Recife, Pernambuco</t>
  </si>
  <si>
    <t>she/her • 19</t>
  </si>
  <si>
    <t>São Caetano do Sul</t>
  </si>
  <si>
    <t>Brasília-DF</t>
  </si>
  <si>
    <t xml:space="preserve">Natal, Rio Grande do Norte </t>
  </si>
  <si>
    <t>Arcos de Valdevez, Portugal</t>
  </si>
  <si>
    <t>RJ - BRASIL</t>
  </si>
  <si>
    <t>SP, Brazil</t>
  </si>
  <si>
    <t>Maceió, Brasil</t>
  </si>
  <si>
    <t>Santos/SP</t>
  </si>
  <si>
    <t>Cansanção, Brasil</t>
  </si>
  <si>
    <t>Mogi das Cruzes, Brasil</t>
  </si>
  <si>
    <t>Munich</t>
  </si>
  <si>
    <t>Ribeirão Preto-SP</t>
  </si>
  <si>
    <t>Rua Cláudio Soares, 72</t>
  </si>
  <si>
    <t>Reino Unido</t>
  </si>
  <si>
    <t>faço desain</t>
  </si>
  <si>
    <t>Chennai, India</t>
  </si>
  <si>
    <t>Caxias do Sul, Brasil</t>
  </si>
  <si>
    <t>Santa Bárbara d'Oeste, Brasil</t>
  </si>
  <si>
    <t>recife</t>
  </si>
  <si>
    <t>Boa Vista</t>
  </si>
  <si>
    <t>Rua Major Carlos Del Prete,651</t>
  </si>
  <si>
    <t>São Paulo,SP,Brasil</t>
  </si>
  <si>
    <t>🇧🇷 Belo Horizonte, Brasil</t>
  </si>
  <si>
    <t xml:space="preserve">Curicica, Rio de Janeiro </t>
  </si>
  <si>
    <t>Ethernia</t>
  </si>
  <si>
    <t>Teresina, Brazil</t>
  </si>
  <si>
    <t>Mato Grosso, Brasil</t>
  </si>
  <si>
    <t>Sumaré</t>
  </si>
  <si>
    <t>Global</t>
  </si>
  <si>
    <t>Bom Retiro - São Paulo</t>
  </si>
  <si>
    <t>Niterói, Brasil</t>
  </si>
  <si>
    <t>Maranguape, Brasil</t>
  </si>
  <si>
    <t>Aparecida de Goiânia - GO</t>
  </si>
  <si>
    <t>Maceió - Alagoas</t>
  </si>
  <si>
    <t>São José dos Campos, SP, BR</t>
  </si>
  <si>
    <t>Araraquara, SP, Brazil</t>
  </si>
  <si>
    <t>Shire virtual</t>
  </si>
  <si>
    <t>São Januário, Rio de Janeiro</t>
  </si>
  <si>
    <t>Sao Paulo, Brasil</t>
  </si>
  <si>
    <t>Lisbon</t>
  </si>
  <si>
    <t>Lisbon, Portugal.</t>
  </si>
  <si>
    <t>Garopaba, Brasil</t>
  </si>
  <si>
    <t>Rio de Janeiro - RJ</t>
  </si>
  <si>
    <t>Luanda / Angola</t>
  </si>
  <si>
    <t>Leeds, England</t>
  </si>
  <si>
    <t>Santos</t>
  </si>
  <si>
    <t>Sombrio, Brasil</t>
  </si>
  <si>
    <t>Mendes - RJ</t>
  </si>
  <si>
    <t>Teresina-PI</t>
  </si>
  <si>
    <t>Jacareí - São Paulo - Brasil</t>
  </si>
  <si>
    <t>São Vicente, Brasil</t>
  </si>
  <si>
    <t>Aveiro, Portugal</t>
  </si>
  <si>
    <t>Av. 24 julho, n.º 138</t>
  </si>
  <si>
    <t>Cascavel, Brasil</t>
  </si>
  <si>
    <t>Amsterdam</t>
  </si>
  <si>
    <t>São José dos Campos, Brasil</t>
  </si>
  <si>
    <t>Porto Alegre/RS</t>
  </si>
  <si>
    <t xml:space="preserve">Brasil paulinia </t>
  </si>
  <si>
    <t>Jundiaí/SP - Brasil</t>
  </si>
  <si>
    <t>Maputo, Mozambique</t>
  </si>
  <si>
    <t>Feira de Santana, Bahia</t>
  </si>
  <si>
    <t>Campo Largo, Brasil</t>
  </si>
  <si>
    <t>Barquisimeto, Venezuela</t>
  </si>
  <si>
    <t>Braga, Portugal</t>
  </si>
  <si>
    <t>Alfenas, MG, Brasil</t>
  </si>
  <si>
    <t>Estados Unidos</t>
  </si>
  <si>
    <t>Sorocaba</t>
  </si>
  <si>
    <t>Bevele rios </t>
  </si>
  <si>
    <t>Natal, Brasil</t>
  </si>
  <si>
    <t>Brasília/ DF - Brasil</t>
  </si>
  <si>
    <t>Paulo Afonso, Brasil</t>
  </si>
  <si>
    <t>⭐️Supere Limites, alcance Liberdade Financeira e Intelectual no Futebol!
🧠 Mudamos a mente de milhares de Investidores
👇Faça parte da Revolução👇</t>
  </si>
  <si>
    <t>🎯| Consultoria de Finanças Empresarial
📈| CEO da E+ Consultoria Empresarial
📊| Estratégias que aceleram o crescimento do seu negócio</t>
  </si>
  <si>
    <t>🎯 Operações descomplicadas com atendimento personalizado! 🏆 +3.000 sonhos realizados 📲 (61) 99526-6420</t>
  </si>
  <si>
    <t>🚀 | Eu te ajudo indicando produtos, cursos e serviços online
🔥 | Hotmart Black
🎯 | +60 Mil vendas
💰 | +8 Dígitos p/parceiros</t>
  </si>
  <si>
    <t>Política Distrital
https://t.co/YoOx2MDOjg</t>
  </si>
  <si>
    <t>We are the first Educational Token focused on fostering knowledge in technology, finance and personal development.
 https://t.co/NocB3Zvlhc</t>
  </si>
  <si>
    <t>Seja muito bem-vindo(a) a nossa página, aqui você pode aproveitar para se comunicar conosco e para obter informações relevantes sobre os diferentes seguros</t>
  </si>
  <si>
    <t>Analista, gestora e consultora de investimentos
Assine o ALL IN ONE: RENDA E ALTO POTENCIAL SEM TAXAS!</t>
  </si>
  <si>
    <t>Twitter oficial @arezzo</t>
  </si>
  <si>
    <t>Canal voltado para investidores com foco no longo prazo, utilizando das opções de ações para potencializar os aportes financeiros.</t>
  </si>
  <si>
    <t>Pós Graduado em Direito e Tecnologia</t>
  </si>
  <si>
    <t>Pela construção coletiva da revolução socialista no Brasil.
Junte-se a nós em todas as redes: https://t.co/fUM5SbeLup</t>
  </si>
  <si>
    <t>Mentora de oratória.
Oriento-te a comunicar-se com excelência.
Jornalista
MC - Mestre de Cerimónia</t>
  </si>
  <si>
    <t>Você Conectado!
📊Cobertura dos principais acontecimentos da cidade
📝Jornalismo Local e Plural
📧#guarulhosonline
📲Siga o GO no Facebook e Instagram</t>
  </si>
  <si>
    <t>Mãe da Valentina e a louca do mundo financeiro. Prazer, Manoela!</t>
  </si>
  <si>
    <t>Distribuição Gratuita Mogi Guaçu e Mogi Mirim!!! Todos os Sábados nas bancas e pontos de distribuição!</t>
  </si>
  <si>
    <t>Olimpíada para Ensino Médio.
Fomentamos o ensino de Economia, Finanças, e Negócios.
Selecionamos para a IEO:
🥉2018
🥇2019
🥇2020
🥇2021
🥈2022</t>
  </si>
  <si>
    <t>🎓Professor de Harvard | Ex-ministro da Secretaria de Assuntos Estratégicos  📖 Acompanhe minhas visões sobre política, filosofia e muito mais</t>
  </si>
  <si>
    <t>Buy and hold, and buy gain. Always chewing and buying stocks 📜🧾🤑 Dividend addict 🪙💰 No investment advice (Português, Español, English)</t>
  </si>
  <si>
    <t>Iê Camará - #Capoeira #Angola - Aluna do Mestre e #Historiador (J. Farias - Angoleiro).</t>
  </si>
  <si>
    <t>⚠️ Apoie a TVT, vamos levar nosso sinal para todo o Brasil com o novo app de streaming: 
acesse https://t.co/6mjfGkWOcG ou acesse o QRCode do vídeo.</t>
  </si>
  <si>
    <t>✨marketing digital com preço acessível • 👩🏼‍💻sócia &amp; social media em @juniorartepallets no instagram • #marketingdigital</t>
  </si>
  <si>
    <t>❥ Jornalista, taurina, baixa visão, mestre em Linguística e em falar pelos cotovelos! 🤭 A humana da Zoé 🦮</t>
  </si>
  <si>
    <t>Garanta seus direitos conosco.
Informações sobre nossa atuação 👇</t>
  </si>
  <si>
    <t>꧁𓊈𒆜🅵🅾🅻🅻🅾🆆𒆜𓊉꧂
Exibindo conteúdo de qualidade baseado em obras consagradas de autores renomados, ajudando você a alcançar a riqueza e a felicidade.</t>
  </si>
  <si>
    <t>Inteligência Financeira é pensar sua riqueza de maneira diferente! /Facebook Gustavo Cerbasi /Instagram GustavoCerbasi / YouTube Gustavo Cerbasi</t>
  </si>
  <si>
    <t>Original e PicPay. Mais poder para o seu dinheiro, mais facilidade para você.</t>
  </si>
  <si>
    <t>Especialista em Marketing Digital e Educação Financeira.
Também posto frases legais de Grandes Mestres :)</t>
  </si>
  <si>
    <t>Blumenau Agora - Notícias, informações, utilidade pública e entretenimento. Se você gostou compartilhe.</t>
  </si>
  <si>
    <t>—</t>
  </si>
  <si>
    <t>Aqui vamos te ensinar o que você precisa saber sobre dinheiro e finanças 💰💲de maneira simples e descomplicada 🤑
https://t.co/4ZaTqAv0SJ</t>
  </si>
  <si>
    <t>Somos uma cooperativa de crédito de livre admissão, integrante do Sicoob, o maior sistema de cooperativas de crédito do país.</t>
  </si>
  <si>
    <t>Discípulo de Jesus Cristo, Pai, Esposo, formado em economia.</t>
  </si>
  <si>
    <t>Acolhedora de cancelados e injustiçados. Se o politicamente correto estiver de um lado eu PROVAVELMENTE estarei do outro.</t>
  </si>
  <si>
    <t>🎶 Os dias vem e se vão
Na lavoura da vida
E o labor não é em vão  🎶</t>
  </si>
  <si>
    <t>Professor de Macroeconomia |  Doutor em economia pela UFRJ | Tento falar de teoria econômica de uma maneira mais simples. Nem sempre consigo.</t>
  </si>
  <si>
    <t>Um cara em busca da felicidade, que so tem encontrado pedras pelos caminhos.</t>
  </si>
  <si>
    <t>IEF- Informação em Foco, notícias atualizadas a todo instante!</t>
  </si>
  <si>
    <t>Somos uma IA (“Inteligência Artificial”) que brinca com as ideias, pouco prática (ou nenhuma), de Karl Marx, junto com as ideias liberais de economia.</t>
  </si>
  <si>
    <t>Profissional CFP e CGA. Criador do canal No Mercado Financeiro, conto histórias, curiosidades, notícias e teorias econômicas para manter você antenado.</t>
  </si>
  <si>
    <t>Somos a agência de fomento do Governo do Estado de São Paulo, vinculada à Secretaria de Desenvolvimento Econômico. Conte com a gente! 🤝</t>
  </si>
  <si>
    <t>Finanças, economia e mais.</t>
  </si>
  <si>
    <t>Oportunidades em #Salvador/RM e...
(Não sou responsável pelas #vagas) https://t.co/O27gXsWL87
@vagasdesalvador 
🚩❤️🏳️‍🌈🏳️‍⚧️🏳</t>
  </si>
  <si>
    <t>#Soucearense, tenho um orgulho, pai d'égua de ser ,cearense  #sounordestino  https://t.co/oJhzEr1ftv</t>
  </si>
  <si>
    <t>🇵🇹 👶🏽 Oeiras, 🏘 Lisboa, 👨🏽‍💻 @wetranslate_com, 🗳 @liberalpt, 🚲☀️🏖🛩🍷🗺🍽📖</t>
  </si>
  <si>
    <t>Analista político, Empresário, Comunicólogo, Embaixador da Masculinidade Tóxica |
Canal de YouTube ⬇️</t>
  </si>
  <si>
    <t>Imposto é roubo? Vamos explicar alguns temas e ajudar os Micro e Pequenos Empresários no Brasil!</t>
  </si>
  <si>
    <t>recuperei minha conta mas a q custo perdi tudo</t>
  </si>
  <si>
    <t>Aprenda a Investir em Renda fixa e Variável e formas de renda extra.</t>
  </si>
  <si>
    <t>Explico as notícias no @meexplicasite, faço o @respirobemestar, fui fellow no @youtube e @towknightcenter.</t>
  </si>
  <si>
    <t>Nossa plataforma transforma a sua jornada financeira. Pra gente, informação é investimento.</t>
  </si>
  <si>
    <t>Aqui você encontra um pouco de tudo: desde reflexões sobre a vida até traduções de perfis interessantes. Somos o Expresso &amp; Liberdade</t>
  </si>
  <si>
    <t>🧗‍♂️ Alta Perfomance em Gestão
🚀 Conquiste 5 anos de Lucro e Resultados em 1
🏆 Melhor Consultoria Sebrae | +1000 empresas
Simplificando o 🌎 dos negócios</t>
  </si>
  <si>
    <t>Eu sou do sul</t>
  </si>
  <si>
    <t>Notícias sobre Economia e outras coisas que acontecem lá no meu Brasil</t>
  </si>
  <si>
    <t>Melhor site de notícias de Alagoas. Sempre atualizado, com as últimas sobre política, economia e sociedade.</t>
  </si>
  <si>
    <t>The best investment app in Brazil | Invest in #Bitcoin, #stocks, #ETFs, among others. In one place, safely and Lightly. https://t.co/J1qDhJ5VAo</t>
  </si>
  <si>
    <t>Meu Nome Limpo, sua solução para problemas financeiros. Oferecemos consultoria e soluções para limpar seu nome e melhorar sua saúde financeira. 🔝💳</t>
  </si>
  <si>
    <t>Conta destinada ao desenvolvimento masculino!
A única coisa que te dá ordens nesta vida são os teus 🥚🥚
Gumroad: https://t.co/pBrgQnIk7C</t>
  </si>
  <si>
    <t>🇦🇷 Consultor Financiero independiente. Autor del Manual de Economía Personal. Conferencista. Desarrollo de Negocios. Networker.</t>
  </si>
  <si>
    <t>🏆 Escritório com maior presença nacional
🗓 +9 anos de experiência
🚀 +150 profissionais
🌎 +15 filiais
🏅 Selo GPTW
Credenciada ao @BTGPDigital</t>
  </si>
  <si>
    <t>Contador, Consultor e Professor - Falo sobre finanças e gestão empresarial
https://t.co/RybOcmM84M</t>
  </si>
  <si>
    <t>Um pouco de tudo que eu quero dizer..</t>
  </si>
  <si>
    <t>O Primo Rico | Investimentos, Empreendedorismo e Finanças.</t>
  </si>
  <si>
    <t>📊 Invista seu dinheiro!                                         🏋️‍♀️ Invista em sua saúde!                                    🧠 Invista em conhecimento!</t>
  </si>
  <si>
    <t>Memes. Science. Investing. Ideias em pó. Xeets that make💰. “𝕻𝖔𝖕𝖚𝖑𝖚𝖘 𝖒𝖚𝖙𝖆𝖗𝖊 𝖒𝖚𝖓𝖉𝖎“</t>
  </si>
  <si>
    <t>Falo sobre negócios, gestão, inovação e partilho ideias!🧬
Business Developer |
Criador de Conteúdos |
Speaker |
Investidor | https://t.co/YwHAL1ShR0</t>
  </si>
  <si>
    <t>Economista e Educadora Financeira
💵💰🧉☕📚</t>
  </si>
  <si>
    <t>Sua vida vai mudar de forma exponencial com as soluções da Atlantic Pay, aguarde e venha fazer parte da disrupção dos meios de pagamentos físicos e do metaverso</t>
  </si>
  <si>
    <t>A LoopiPay é uma plataforma para comprar Bitcoin e outras criptomoedas via PIX direto para sua carteira. 📲 Baixe nosso app: https://t.co/Gq4sFtKl8W</t>
  </si>
  <si>
    <t>Único jornal especializado em Economia, Gestão e Negócios de Minas Gerais</t>
  </si>
  <si>
    <t>Economista 📊
Gestor Financeiro 💵
Investidor 🇧🇷🇺🇸</t>
  </si>
  <si>
    <t>- AMFI REGISTERED👩‍🎓
- INVESTMENT CONSULTANT 💵
-info@paraminvest.in ✉️
-+91 8369521112 📲</t>
  </si>
  <si>
    <t>Não sou Flamengo de coração porquê ele para ,sou Flamengo de alma, porque dura para sempre .
Além disso sou conservador sou de direita,cristão</t>
  </si>
  <si>
    <t>PRATICIDADE E ECONOMIA NO ECOSSISTEMA CONDOMINIAL
🔰 Card | Cob | Energia | Play</t>
  </si>
  <si>
    <t>Economia; Mercados; Dados Macroeconómicos; Investimento.</t>
  </si>
  <si>
    <t>Este perfil é um REALITY! Onde você acompanha os passos do meu projeto de me tornar +1Milionário, além de insights e curiosidades sobre prosperidade e negócios.</t>
  </si>
  <si>
    <t>Tudo sobre literacia financeira, desenvolvimento pessoal e marketing digital.</t>
  </si>
  <si>
    <t>PATRIOTAS, QUEM  SEGUIR RETRIBUO.
Patriota, Direita, Bolsonaro, Família, Solteiro, LIBERDADE, Cristão, Armamentista, Até o momento em nenhum partido politico</t>
  </si>
  <si>
    <t>Educação Financeira | Mercado Financeiro | Flamengo | Aleatoriedades.</t>
  </si>
  <si>
    <t>Escritório de contabilidade, auditoria contábil e perícia judicial.</t>
  </si>
  <si>
    <t>Empreendedor Serial</t>
  </si>
  <si>
    <t>💸 Entenda suas finanças na era digital 
🍄 Viciado em esportes 
🪙 Estudo #bitcoin desde 2015
🦄 Criador da bCripto</t>
  </si>
  <si>
    <t>Jornal Correio Popular de Rondônia. Um Jornal a Serviço da Comunidade.</t>
  </si>
  <si>
    <t>Você quer aprende sobre investimento, e conquistar a independência financeira?Ou acompanhar noticiar sobre o mercado financeiro 
Me siga, setorne um StakeHolder</t>
  </si>
  <si>
    <t>As vezes falo de mim e as vezes expresso uma idéia, nunca se sabe.
Tarólogo autodidata (Acredite no coração das cartas)</t>
  </si>
  <si>
    <t>-LOGIA</t>
  </si>
  <si>
    <t>Há mais de 20 anos, fazemos a ponte entre o mercado e sociedade, e nos propomos a impulsionar a nova geração de investimentos e investidores conscientes.</t>
  </si>
  <si>
    <t>DBFS Finvestmentor is here to help investors in their financial and investment expeditions.</t>
  </si>
  <si>
    <t>Consultor de Investimentos</t>
  </si>
  <si>
    <t>Escolha o caminho correto</t>
  </si>
  <si>
    <t>Desenvolvimento e sustentabilidade. Há 71 anos, sempre em frente para a Região acelerar. Perfil oficial.</t>
  </si>
  <si>
    <t>Software Engineer and Investor. Committed to innovation and excellence, transforming ideas into groundbreaking digital solutions</t>
  </si>
  <si>
    <t>Tudo que uma mamãe precisa com os melhores preços.
Link de promoções: https://t.co/ISwSvrf51U</t>
  </si>
  <si>
    <t>Ajudamos micro e pequenas empresas a alcançarem o sucesso! 🚀🚀</t>
  </si>
  <si>
    <t>Investidor e Educador de Investimento em Renda Variável</t>
  </si>
  <si>
    <t>like and subscribe.</t>
  </si>
  <si>
    <t>As mais importantes notícias do dia a dia selecionadas para você em um só lugar.</t>
  </si>
  <si>
    <t>Analista de Investimentos CNPI-T e apaixonado por Ciclismo.</t>
  </si>
  <si>
    <t>Quer conversar sobre #investimentos? Do início ao avançado 👉 https://t.co/baTRTtnSFN</t>
  </si>
  <si>
    <t>o Twitter é meu #postit</t>
  </si>
  <si>
    <t>Planejador Financeiro Pessoal.  "O trabalho com responsabilidade é o fio condutor do sucesso"</t>
  </si>
  <si>
    <t>Administrador de Empresas; MBA - Gestão Empresarial-FGV;
Especialista em Gestão Comercial e PDCA;
Investidor desde 2007;
AAI - ANCORD</t>
  </si>
  <si>
    <t>Nunca somos, sempre estamos.</t>
  </si>
  <si>
    <t>Política, economia, esportes, celebs, pets e mais! #PortaliG</t>
  </si>
  <si>
    <t>Consultor Financeiro 💰
Especialista em Score Baixo 🎯
liberação de crédito:
cartão 💳
Financiamento 🚘
Empréstimo 💸</t>
  </si>
  <si>
    <t>Saia do caos financeiro e encontre a estabilidade e a paz que você tanto deseja!</t>
  </si>
  <si>
    <t>VITOR SANTOS é jornalista,escritor, consultor, pesquisador, e autor de vários artigos Facebook https://t.co/zr7gpVta8X…</t>
  </si>
  <si>
    <t>Eu sou o Conselho Nacional de Secretários de Educação e tuíto sobre as redes estaduais de ensino</t>
  </si>
  <si>
    <t>Especialistas em Finanças, Investimentos e Seguros. Transparência e eficiência?  Sempre. #CWBFinance</t>
  </si>
  <si>
    <t>💫Empreendedor Digital
♥️ Youtuber
💥 Coach pessoal
💯 Especialista em Marketing digital</t>
  </si>
  <si>
    <t>Perfil oficial Crypto Times!
🌐Tudo o que você precisa saber sobre o mundo cripto está aqui.
🗞Uma marca @leiamoneytimes</t>
  </si>
  <si>
    <t>A WMB é uma Agência de Marketing Digital que ajuda empresas a conquistarem mais resultados através do maior meio de comunicação do mundo, a Internet.</t>
  </si>
  <si>
    <t>"Your unfiltered, irreverent Crypto Comedy King at your service. Unapologetically commanding laughs one roast at a time. Tag @EntertainUsNob for comedy gold.”</t>
  </si>
  <si>
    <t>Where ignorance is bliss, 'tis folly to be wise.</t>
  </si>
  <si>
    <t>☕️</t>
  </si>
  <si>
    <t>A Vokin está presente em diversas plataforma de investimentos para você poder investir onde ficar mais confortável.</t>
  </si>
  <si>
    <t>HedgeMentor - Exchange Comprar &amp; Vender Crypto NFT</t>
  </si>
  <si>
    <t>Boas empresas, que pagam bons dividendos, a bons preços. Simples assim!</t>
  </si>
  <si>
    <t>Tudo sobre o mercado financeiro e finanças pessoais.
Conheça nossas páginas:
https://t.co/BqZGTotDER</t>
  </si>
  <si>
    <t>Imagem e semelhança do Criador 
🚨Os códigos estão no Instagram @cllaudioleite 🚨
💰💰 Empreendedor nato | Aprendiz no Mercado Financeiro 📈📉</t>
  </si>
  <si>
    <t>• Marketing financeiro e marketing na mesma proporção • • Analista liberta investimentos |@xpinvestmento • Especialista em Europa</t>
  </si>
  <si>
    <t>#estouaquiparainfluenciar #aprendasempre #descomplicandoodinheiro #Vivaprincipiosdasfinancaspessoais #Jesusmeusenhor</t>
  </si>
  <si>
    <t>Plataforma de Educação financeira!
💸 Transformando suas dificuldades financeiras em soluções de investimentos.</t>
  </si>
  <si>
    <t>I'm a Digital Marketing  Expert,
Fb &amp; Google Ads,SSM &amp; video  Seo,Social Media Marketing.I have already completed many projects(400+)Worldwide since 2017</t>
  </si>
  <si>
    <t>Escritório especializado na área de Direito penal, econômico, trabalhista e empresarial.</t>
  </si>
  <si>
    <t>VP @ Organizze Membro do Conselho de Administração @ Brivia Group Empreendedor e investidor serial apaixonado por scale-ups e venture capital</t>
  </si>
  <si>
    <t>O controle financeiro completo que vai aposentar de vez sua planilha. 
Acesse pela Web ou baixe no seu Android ou iOS!</t>
  </si>
  <si>
    <t>Notícias sobre mercado financeiro, economia e finanças pessoais. Este é o E-investidor, novo portal de investimentos do @estadao</t>
  </si>
  <si>
    <t>Escritor l Educador l Investidor Anjo l CEO na @bossainvest | Venture Capital l Best-sellers: Smart Money e o Poder do Equity | Investindo em GENTE &amp; STARTUPS</t>
  </si>
  <si>
    <t>Developer,  Formado em T.I. Amante de Bossa Nova/MPB, Humorista, Treinador Pokémon. Meus tweets não correspondem à realidade #VaiCorinthians #Roxette #BonJovi</t>
  </si>
  <si>
    <t>Fique por dentro de tudo que o BC publica: https://t.co/VrFnR3Etep…</t>
  </si>
  <si>
    <t>🧑🏾‍💼Administrador
💰Mentor de Investimentos
💎Idealizador da Comunidade⤵️
⚔️Investidores da Liberdade
⚔️Seja membro gratuitamente⤵️</t>
  </si>
  <si>
    <t>Somos um canal novo no YouTube que traz entrevistas com diferentes profissionais conhecedores de diversas áreas, curiosidades e notícias. INSCREVA-SE</t>
  </si>
  <si>
    <t>ex Blogger (Gosto Disto) atualmente instagramer</t>
  </si>
  <si>
    <t>🔥 Descubra como Desbloquear sua Liberdade Financeira de uma vez por todas. Clique no link da bio!</t>
  </si>
  <si>
    <t>HÍBRIDO 🤖
coisas Bonitas https://t.co/B6anoj7YBm</t>
  </si>
  <si>
    <t>Tweets didáticos sobre economia, matemática financeira, finanças pessoais e outros temas para compreender melhor o nosso mundo econômico. Prof. Ricardo Viana.</t>
  </si>
  <si>
    <t>Pai de 2 garotas. Agente de seguros. Procuro ajudar as famílias a se protegerem das incertezas da vida.</t>
  </si>
  <si>
    <t>⚖️Vamos #juntos #lutar pelo #Paraná que queremos faça parte do #MBLParana 🗣️</t>
  </si>
  <si>
    <t>O Movimento Brasil Livre é uma entidade suprapartidária que visa a mobilizar cidadãos em favor de uma sociedade mais livre, justa e próspera</t>
  </si>
  <si>
    <t>Mário CNPI | Expert em Bolsa de Valores
👑Aprenda com o Analista CNPI-T 2817
💵Treinamentos | Sala de Sinais | Copy Trade</t>
  </si>
  <si>
    <t>Ajudo pessoas comuns a perderem o medo de começar a investir 📈🚀</t>
  </si>
  <si>
    <t>The 2nd Edition Islamic Finance and Banking Summit, KSA a strategic hybrid event, comes to Riyadh, Saudi Arabia after a successful ﬁrst edition in Dubai, UAE.</t>
  </si>
  <si>
    <t>World Business outlook is a print and online magazine providing comprehensive coverage and analysis of the financial industry and international business.</t>
  </si>
  <si>
    <t>Twitter OFICIAL da Escola de Administração de Empresas de São Paulo da Fundação Getulio Vargas.</t>
  </si>
  <si>
    <t>Livre sonhador 😎</t>
  </si>
  <si>
    <t>Perfil oficial da Casa do Povo.
Siga-nos e fique por dentro de tudo!</t>
  </si>
  <si>
    <t>Um eterno aprendiz</t>
  </si>
  <si>
    <t>🙅‍♂️Marketing Digital |Finanças e empreendedorismo 💰de negativado a investidor 👨‍💻 Empreendendo no digital e faturando Conteúdo no YouTube👇🏽</t>
  </si>
  <si>
    <t>🏫 #Estudante de #economia na #PUCCampinas
💚 #Vegan
💚 #Papai da #JulietteDemíx
💲 #Criptomoedas
💸 #Bitcoin
💸 #XMR
❤️ #Monero</t>
  </si>
  <si>
    <t>Página dedicada a criar conteúdos sobre desenvolvimento financeiro e pessoal.</t>
  </si>
  <si>
    <t>Fintech com foco no relacionamento com o cliente.
#suavida - Fidelizamos e relacionamos .
#seunegocio - Aumentamos as suas vendas e clientes.</t>
  </si>
  <si>
    <t>Falo sobre ontem, hoje e amanhã, tendências, reflexões, mundo, marketing, política, vida saudável e TV📺 ... 👸🏽🔥💋</t>
  </si>
  <si>
    <t>Aqui escrevo sobre gerenciamento de risco no trading e o que me der vontade. ¯\_(ツ)_/¯</t>
  </si>
  <si>
    <t>Cadelinha da #Beyoncé🐝 #Wonho🐰  #Shownu🐻 e outros 
SERVO DA BEYONCÉ e WONHO (uon-rrô) 🐰🐝🐻</t>
  </si>
  <si>
    <t>Lula Já! 
Sou Arte! Desinfluenciador digital. 
https://t.co/5xpqUpA7j4
https://t.co/rpqTE8d3Er - Arte, Cultura e Política</t>
  </si>
  <si>
    <t>Federação Nacional das Empesas de Serviços Contábeis e das Empresas de Assessoramento, Pericias, Informações e Pesquisas</t>
  </si>
  <si>
    <t>O melhor conteúdo para a sua tomada de decisão.</t>
  </si>
  <si>
    <t>Somos o banco que é fã e que apoia o brasileiro a alcançar tudo que imaginar.</t>
  </si>
  <si>
    <t>Consultor de Franchising. Professor na Universidade de Caxias do Sul e na DNA Academy. Administrador de Startup. Vovô coruja do Donatello e do Noah.</t>
  </si>
  <si>
    <t>Twitter oficial do site de notícias Varginha Online. informações diárias da cidade e da região.</t>
  </si>
  <si>
    <t>Consultora Financeira | Economia | Valuation</t>
  </si>
  <si>
    <t>Esse é o twitter da #caçulinhadabaixada
📍Rua Arthur Oliveira Vecchi 120 - Centro</t>
  </si>
  <si>
    <t>De Seg. a Sex. 08h30 às 18h _x000D_
Há mais de 22 anos trabalhando com todos os ramos de Seguros, Consórcio, Planos de Saúde e Previdência.</t>
  </si>
  <si>
    <t>Jesus meu Amor Maior🙏🙌 Esposo de Rebeca😍 Pai de Letícia 😘 Educador Financeiro💵 Ajudar o próximo minha missão😀</t>
  </si>
  <si>
    <t>puxe uma cadeira | pegue um café |
conte uma história | me ensine alguma coisa | um pouco de tudo</t>
  </si>
  <si>
    <t>Governador do Estado de São Paulo e ex-Ministro da Infraestrutura do governo do presidente Jair Bolsonaro.</t>
  </si>
  <si>
    <t>🥇Top 10 Influencers do Mercado -Anbima Especialista @infomoney 🎙Podcaster @stockpickers_ 🤝Parcerias: economesteter@gmail.com</t>
  </si>
  <si>
    <t>CONTA PRINCIPAL  💸 VENDAS E DIVULGAÇÕES 💥FREELANCER 💼🤝 SOCIEDADE 📈 INVESTIMENTOS 📲💲MARKETING DIGITAL #TXP📨</t>
  </si>
  <si>
    <t>CEO @binance, holder of #bnb #btc</t>
  </si>
  <si>
    <t>The blockspace ecosystem for boundless innovation. Secure, composable, flexible, efficient &amp; cost effective. Powering the movement for a better web.</t>
  </si>
  <si>
    <t>Decentralized all-in-one financial applications, now focusing on Decentralized P2P Platform: https://t.co/H6MsUbaVaM | Telegram: https://t.co/JHx2yzZ7rE</t>
  </si>
  <si>
    <t>Falamos sobre Segurança &amp; Privacidade em Bitcoin</t>
  </si>
  <si>
    <t>Exploro conteúdo sobre finanças, investimento, motivação e liderança. 
#duduhrosa13 #finanças #investimentos</t>
  </si>
  <si>
    <t>Don't know yet!</t>
  </si>
  <si>
    <t>Missão: Partilhar conhecimento que permita melhorar o bem-estar financeiro dos meus leitores. Finanças Pessoais em português.</t>
  </si>
  <si>
    <t>Aqui eu falo de
- Planejamento financeiro
- Orçamento financeiro
- Investimentos
- Empreendedorismo</t>
  </si>
  <si>
    <t>Que tipo de homem sou se não tentar diariamente fazer deste mundo um lugar melhor ? Luto para que minha existência faça toda diferença.</t>
  </si>
  <si>
    <t>Nós nos esforçamos para promover a sustentabilidade, democratização e independência energética, fazendo mundo um local melhor para se viver. Venha para o Sol.</t>
  </si>
  <si>
    <t>We are a Fintech with private investment opportunities. We exist to connect people with the most diverse financial opportunities tied to technology.</t>
  </si>
  <si>
    <t>O jeito Zen de investir.🙏
Site de educação financeira.  Não recomendamos investimentos. As nossas análises são publicadas com fins exclusivamente educativos.</t>
  </si>
  <si>
    <t>Blog aberto para publicação de guest posts.</t>
  </si>
  <si>
    <t>Palestrante, Escritora,
Educadora, Terapeuta, Mentora e Consultora Financeira,  
Empresária...</t>
  </si>
  <si>
    <t>✝EuAmoJESUS ❤Deus &amp; família, Casado, SEP Palestrino, Apaixonado Vida: escrita, poesia, música e leitura inovação, negócios, futebol, entender shopper</t>
  </si>
  <si>
    <t>Informação, conhecimento e contato com os profissionais envolvidos no Mundo de Recursos Humanos. Veja as entrevistas e matérias em nosso site!</t>
  </si>
  <si>
    <t>Economia e Investimentos
Vídeos novos toda semana no Youtube!
https://t.co/xenM452Jqj
https://t.co/tZAAcTuaIO</t>
  </si>
  <si>
    <t>Perfil Oficial da 123 Passei! 😉 | O direcionamento que você precisa para estudar tudo que importa! 🥇</t>
  </si>
  <si>
    <t>Às vezes, tudo o que você precisa é de um impulso para a sua vida financeira! 🚀 Baixe o app e comece a sua revolução!</t>
  </si>
  <si>
    <t>Professora de educação in</t>
  </si>
  <si>
    <t>CEO e Fundador da Franchise Sua coxinha</t>
  </si>
  <si>
    <t>A sua fonte de notícias mais rápida. Tudo sobre o mercado no Brasil e do Mundo. 
Contato: infodiaemfoco@gmail.com</t>
  </si>
  <si>
    <t>O que as empresas não mostram.
O maior podcast corporativo da atualidade! @estudiosflow
👉 Siga: @gaigher14, @speziano e @diegopgbaltazar 
🔥 Inscreva-se!</t>
  </si>
  <si>
    <t>Músico e compositor
You Tube; TikTok; Instagram
Squeezey mmv</t>
  </si>
  <si>
    <t>A startup que salva o dia de quem quer investir em cripto com praticidade, segurança e poucos cliques.</t>
  </si>
  <si>
    <t>Advogada e investidora de criptomoedas. Lawyer and crypto girl from Brazil! 🇧🇷</t>
  </si>
  <si>
    <t>Sou professor e jornalista, morador de Belo Horizonte, que ao longo dos anos venho trabalhando em várias causas em prol dos cidadãos de Minas Gerais...</t>
  </si>
  <si>
    <t>Gestão de Passivos de SST | Gestão Empresarial | Gestão de Processos | Gestão de KPIs |  SST no eSocial</t>
  </si>
  <si>
    <t>Desde 22 de março de 2011.</t>
  </si>
  <si>
    <t>Investidor e empreendor</t>
  </si>
  <si>
    <t>Dizem que sou especialista em Seguros.</t>
  </si>
  <si>
    <t>Há economia em tudo o que há.</t>
  </si>
  <si>
    <t>SonarTrade: Seu marketplace de recomendações e copy trading de trades e carteiras. Potencialize sua rentabilidade com insights de experts na palma da mão! 📈📲</t>
  </si>
  <si>
    <t>Doutor em Economia, Consultor, Advogado, Palestrante e Autor de livros sobre Finanças Pessoais, Investimentos, CDB, Previdência Privada e o bom Tesouro Direto</t>
  </si>
  <si>
    <t>Núcleo e Central de Cursos Livres Online/EaD | Cursos Seguros e Reconhecidos |ABED | Confira mais #Cursos fiscalizados no link(URL):</t>
  </si>
  <si>
    <t>📊ECONOVISÃO💡
🌐|Economia 
📉|Investimentos 
💰|Finanças</t>
  </si>
  <si>
    <t>Trading XAUUSD 🔥  — Análises, Dicas e Estratégias de Trading  — Sinais Gratuitos XAUUSD no primeiro link abaixo 👇  — Posts como Referência Educacional</t>
  </si>
  <si>
    <t>If your business has available cash that is not going to be used in the short term, you could be allocating that money in the stock market and generate profit.</t>
  </si>
  <si>
    <t>Consultoria Estratégica</t>
  </si>
  <si>
    <t>https://t.co/OUt0O53juz (Educação financeira Criptos e bolsa EUA)</t>
  </si>
  <si>
    <t>Analista independente de fundos e previdência, CFP®, CNPI 👊Ativista do acesso a investimentos de qualidade 🤦🏻‍♀️Pesadelo: investidor em produto caro e ruim</t>
  </si>
  <si>
    <t>A finpactech que usa inovação para desf*der a nação.
TURBINE SUA RENDA EXTRA:
PROGRAMA DE AFILIAÇÃO MP!
COM 20% DE COMISSÃO👇</t>
  </si>
  <si>
    <t>Colunista de investimentos do Estadão &amp; criador do 1Bilhão Educação Financeira. #MétodoMR2</t>
  </si>
  <si>
    <t>Juntos é possível formar famílias mais felizes!</t>
  </si>
  <si>
    <t>Uma Editora que conecta pessoas apaixonadas por escrita e leitura.
.
🏆 12 anos no mercado.
✍️ 5k escritores parceiros
📚 Ranking Google e Amazon
👁️ Publique!</t>
  </si>
  <si>
    <t>#DataScientist #Finance
#AI #ChatGPT #Mercado #Câmbio
It is scientific only to say what is more likely and what less likely, and not to be proving all the time.</t>
  </si>
  <si>
    <t>Associação dos Magistrados do Maranhão - AMMA.</t>
  </si>
  <si>
    <t>A rádio que toca notícia também no Twitter. Acompanhe os programas, comentaristas e boletins da CBN</t>
  </si>
  <si>
    <t>Engenheiro civil</t>
  </si>
  <si>
    <t>Economista sem economês e com bom humor. Ganhador dos Prêmios iBest de Economia e Negócios, Opinião e Cidadania e maior influenciador do LinkedIn.</t>
  </si>
  <si>
    <t>A revista para líderes que acreditam na boa gestão de pessoas. A maior comunidade de #RH do Brasil. Assine a partir de R$2,00 por semana no link https://t.co/gMEO8oY65z</t>
  </si>
  <si>
    <t>-Senhor, permita que meus desejos estejam em conformidade com a Tua vontade e que eu possa ser purificado de tudo o que não Te agrada.🔗rmsportostudio@gmail.com</t>
  </si>
  <si>
    <t>Bem-vindo ao Com Lucro!
Com Lucro é mais do que um simples site, é um portal criado com o objetivo de auxiliar e orientar os traders investidores a tomarem as m</t>
  </si>
  <si>
    <t>#SDVDIREITA "O brasileiro é antes de tudo um forte" Postagens de notícias do espectro ideológico de direita. Sejão bem-vindos.</t>
  </si>
  <si>
    <t>#flyeaglesfly#
São Paulino!
Brasil acima de tudo! Deus acima de todos!</t>
  </si>
  <si>
    <t>Vendo Ebooks para melhorar sua qualidade de vida</t>
  </si>
  <si>
    <t>flamenguista monarquista. Abaixo o golpe de estado republicano militar impopular positivista de 15/11/1889 que persiste até hoje. Viva o Brasil Império de 1822.</t>
  </si>
  <si>
    <t>Autor - Especialista em Educação Financeira e Investimentos - Apresentador - Palestrante - Voluntário Cristão - YouTube: Sabedoria Financeira. Casado e pai de 2</t>
  </si>
  <si>
    <t>Trabalhar em casa🏠 
Ganhar 💰 com 📱 
Saiba como usar seu📱 para fazer dólar 
⬇ Acesse agora! ⬇ 
https://t.co/GxWhwLyFPQ</t>
  </si>
  <si>
    <t>Assessor de Investimentos na Criteria Invest | XP inc</t>
  </si>
  <si>
    <t>Instituto de Inovação e Governança</t>
  </si>
  <si>
    <t>Fundador da Social Tradeer. Meu objetivo é trazer a vida que você quer através dos investimentos</t>
  </si>
  <si>
    <t>A e-loan é marca da easyfinance lda intermediária de crédito vinculada registada no Banco de Portugal com n.º 1398. É especializada em Crédito Consolidado.</t>
  </si>
  <si>
    <t>Mais poder para o seu dinheiro, investimento sustentável 💚</t>
  </si>
  <si>
    <t>Acredito numa sociedade mais justa, submeto meu nome à aprovação da população do Município Do Rio de Janeiro.</t>
  </si>
  <si>
    <t>Engenheiro mecânico - UFPR.
Pós-graduado em Finanças, Investimentos e Banking.</t>
  </si>
  <si>
    <t>Licenciado Ademicon
Especialista em vendas consultivas de #consórcio
Casado e pai de 2 piás</t>
  </si>
  <si>
    <t>O combate ao assédio moral é em grande parte o que tende a mitigar o aumento da corrupção em entidades, instituições e órgãos governamentais.</t>
  </si>
  <si>
    <t>Somos um blog  que foi criado para ajudar todos os brasileiros para que consigam crescer em suas vidas pessoais e profissionais!
contato@paraopovo.com.br</t>
  </si>
  <si>
    <t>💲| 𝙵𝚒𝚗𝚊𝚗ç𝚊𝚜 𝚙𝚊𝚛𝚊 𝚝𝚘𝚍𝚘𝚜
💥| 𝙳𝚘𝚖𝚒𝚗𝚎 𝚏𝚒𝚗𝚊𝚗ç𝚊𝚜 𝚎 𝚏𝚊ç𝚊 𝚋𝚘𝚊𝚜 𝚎𝚜𝚌𝚘𝚕𝚑𝚊𝚜
⬇️| 𝚅𝚒𝚜𝚒𝚝𝚎 https://t.co/pkS0sEMfzD</t>
  </si>
  <si>
    <t>Encontre a solução perfeita para suas necessidades financeiras. Com nosso site, você terá acesso a uma ampla variedade de opções de empréstimo.</t>
  </si>
  <si>
    <t>MBA Investimentos e Private Banking. Fluzão!
Instagram: https://t.co/PpxLZNA1pX</t>
  </si>
  <si>
    <t>Perfil oficial da ENS. Novidades sobre nossas atividades e o mercado de seguros no Brasil. Siga e interaja conosco!</t>
  </si>
  <si>
    <t>“Apressa-te a viver bem e pensa que cada dia é, por si só, uma vida.” - Sêneca</t>
  </si>
  <si>
    <t>Na Unicred o cooperado é dono, tem voz de decisão e prospera junto com o sistema. 
#EscolhaCooperar #EscolhaUnicred</t>
  </si>
  <si>
    <t>🚀One-stop platform for startups
🌟Startup services | collaboration tool | Courses
🤝Connect with us to start your startup journey👇</t>
  </si>
  <si>
    <t>Educação Financeira &amp; Investimentos</t>
  </si>
  <si>
    <t>Imposto de Renda descomplicado para suas operações de Renda Variável</t>
  </si>
  <si>
    <t>Promoções imperdíveis aqui! 🎶💃✈️🎥📚 
Quer saber como deixar qualquer mulher excitada em apenas 15 minutos? Acesse o link no perfil.</t>
  </si>
  <si>
    <t>Apaixonado por bikes, praia, cerveja, viagens, Linux, Nescafé, Holanda e Vasco
Gepassioneerd door fietsen, strand, bier, reizen, Linux, Nescaf, Holland en Vasco</t>
  </si>
  <si>
    <t>Notícias em tempo real sobre o Rio de Janeiro, Celebridades, Esportes, Brasil, Economia, Mundo e muito mais!</t>
  </si>
  <si>
    <t>Descubra como padrões e crenças inconscientes sabotam o seu bem-estar financeiro 🚀</t>
  </si>
  <si>
    <t>Aqui você aprende a cuidar bem do seu dinheiro. @FEBRABAN</t>
  </si>
  <si>
    <t>"The key to successful investing is to have patience, discipline, and emotional control." - Benjamin Graham
📈📚 Tweets for educational purposes only.</t>
  </si>
  <si>
    <t>Diretor Artístico, Apresentador e Palestrante.</t>
  </si>
  <si>
    <t>Por @pcfuchs e @juliosantoslib | 🎓Política, economia e sociedade |🎙 Debatemos ideias com quem quer um Brasil mais livre | 👇+ de 250 podcasts GRATUITOS</t>
  </si>
  <si>
    <t>📈@SunoResearch
⚙️@StatusInvestBR
🤑 Bolsa de Valores Descomplicada  👇</t>
  </si>
  <si>
    <t>Crescat Capital partner &amp; macro strategist. Native of Sao Paulo, Brazil 🇧https://t.co/YApL3RgjR8</t>
  </si>
  <si>
    <t>Crescat is a global macro asset management firm. We strive to grow and protect wealth over time with low correlation to the S&amp;P 500. https://t.co/kw7etanXt4</t>
  </si>
  <si>
    <t>Jornal Digital 360° - trazendo notícias e perspectivas de todos os ângulos! Fique por dentro de tudo que acontece no mundo, com análises profundas e imparciais.</t>
  </si>
  <si>
    <t>💵 Empreendedor Digital📱Gestor de Tráfego ADS 👨‍👩‍👧 Pai da Manu 💕</t>
  </si>
  <si>
    <t>Personal Organizer, Pedagoga, Apaixonada pelas palavras e a poesia. Oriento estudantes, treino pessoas e organizo residências e empresas, escrevo poemas ...</t>
  </si>
  <si>
    <t>Perfil oficial do @BlogPDNotícia com as principais notícias e informações de Salvador e da Bahia</t>
  </si>
  <si>
    <t>Os seus sonhos são os nossos.</t>
  </si>
  <si>
    <t>“O conhecimento está disperso pela sociedade” ~Friedrich Hayek.</t>
  </si>
  <si>
    <t>🤙🏽</t>
  </si>
  <si>
    <t>Académico, Atleta e Téc. De Estatística</t>
  </si>
  <si>
    <t>Perdi a outra conta 😣
RJ - 🎤🎶
- 
Papai do ano 😍
-
 OUÇA JÁ 👇🏿#santtosnavoz ♌👑</t>
  </si>
  <si>
    <t>Deriv, uma corretora online que torna o investimento acessível e fácil para todos. Comprometido em capacitar as pessoas a alcançar seus objetivos financeiros.</t>
  </si>
  <si>
    <t>Sua rota segura pelo universo financeiro. Notícias, tendências e insights confiáveis. Faça parte desta jornada conosco.</t>
  </si>
  <si>
    <t>As melhores dicas e promoções de livros na Amazon • 🔔 Ative as notificações #OfertaAmazon #Promo #Livros</t>
  </si>
  <si>
    <t>🧡 Mais Amigos é um selo editorial voltado para publicar literatura infantil, estimular o hábito da leitura e ampliar os horizontes dos pequenos leitores.</t>
  </si>
  <si>
    <t>Corretor de Seguros</t>
  </si>
  <si>
    <t>O que é mais marcante em mim e minha
 capacidade de pensar.
Filosofia é a minha vida e a Maior arte é o amor</t>
  </si>
  <si>
    <t>Perfil criado por acadêmicos do 3º semestre de ADM da UCDB.
Voltado a criação de conteúdo sobre o universo das finanças.
#BORACOMOADM 🚀</t>
  </si>
  <si>
    <t>Um novo portal trazendo tudo sobre Gestão de Pessoas e Negócios. Partilhar conhecimento é o nosso propósito. Venha fazer parte de nossa comunidade.</t>
  </si>
  <si>
    <t>O seu site de notícias de Cotia e municípios da região, com atualizações dinâmicas durante todo o dia! Portal Viva: a notícia num clic! https://t.co/bjI5DKFhfk</t>
  </si>
  <si>
    <t>Urbanitae é uma plataforma de investimento imobiliário que lhe permite investir em grandes projectos a partir de apenas 500 euros.</t>
  </si>
  <si>
    <t>Contábeis para a vida - Informações contábeis de forma acessível para que todos possam usufruir dos seus benefícios</t>
  </si>
  <si>
    <t>Wealth Planning.
Projetos exclusivos nos EUA.
Contato:
📧 marcone@unitedexchange.us</t>
  </si>
  <si>
    <t>Educação de qualidade e a melhor experiência de aprendizado para você tomar decisões financeiras e de investimentos com segurança, confiança e autonomia.</t>
  </si>
  <si>
    <t>A Associação Brasileira de Tradutores e Intérpretes foi fundada nos anos 70 para promover os profissionais e a profissão.</t>
  </si>
  <si>
    <t>Gearhead
Futuro em Engenheiro
Pai de primeira viagem 
Nascido e criado no gueto
Príncipe Latino
Nego Drama</t>
  </si>
  <si>
    <t>🗞️💰💡 Notícias que enriquecem seu dia! 
Não é apenas sobre publicar notícias, é sobre como pensamos o jornalismo. 
Siga 👉 @leiacryptotimes e @leiaagrotimes</t>
  </si>
  <si>
    <t>Aqui você aprende a investir com segurança para viver sua Vida Rica. Investidor desde 2012💰</t>
  </si>
  <si>
    <t>Falo sobre futebol, atualidades e assuntos gerais. Sobre cerveja, empreendedorismo e design.</t>
  </si>
  <si>
    <t>Jornalista. Apresentador do JH, na TV Globo. E do Edição das 18h, na Globonews. Repórter em tempo integral. 📺</t>
  </si>
  <si>
    <t>Nunca desliga</t>
  </si>
  <si>
    <t>Como Ganhar Dinheiro Na Internet  👉 https://t.co/tmENzg9uQA</t>
  </si>
  <si>
    <t>📈 | Te ensino a investir com pouco $$$ 🚀
📖 |Educação financeira
 🥇| Extremo Sul de SP 📈
 | GANHE DINHEIRO do seu BANCO 🤑🏦👇🏾</t>
  </si>
  <si>
    <t>A Academia de Bolsa é uma plataforma de aprendizagem e partilha de conhecimentos sobre investimento e o mercado de capitais. #academiabolsa</t>
  </si>
  <si>
    <t>Falo de finanças e motivação para ajudar você a alcançar a liberdade financeira
#GanharDinheiroOnline #RendaExtra
#TrabalhoEmCasa #EmpreendedorismoDigital</t>
  </si>
  <si>
    <t>Aqui, você encontrará as últimas notícias, análises e tutoriais sobre inovação tecnológica, software livre.
Siga 👉 https://t.co/S4QVV5zDKU</t>
  </si>
  <si>
    <t>Gestor financeiro do RAL BANK</t>
  </si>
  <si>
    <t>Sem</t>
  </si>
  <si>
    <t>Deveria estar fazendo divulgação científica, mas tô aqui pra reclamar.</t>
  </si>
  <si>
    <t>moderador e investidor da #iVipcoin empresa Milionária do setor educacional 💎
Link de cadastro da #iVipcoin</t>
  </si>
  <si>
    <t>Write and read
https://t.co/TqESK7JGB4</t>
  </si>
  <si>
    <t>Conteúdo com propósito!
Projetos educacionais com foco em experiências transformadoras.</t>
  </si>
  <si>
    <t>Empreendedor | Cripto Moedas | Startup's | Healthy Life style |</t>
  </si>
  <si>
    <t>Educação Financeira para Pessoas e Pequenos Negócios</t>
  </si>
  <si>
    <t>Bem-vindo ao Clube da Ação, o lugar onde você encontrará informações valiosas e tutoriais para aprender sobre investimentos de renda fixa e variável.</t>
  </si>
  <si>
    <t>Reativei o meu perfil antigo para falar de uma vida nova.
Deixei de ser um revoltado para escrever o livro disruptivo que vai mudar a tua vida financeira👇🏻</t>
  </si>
  <si>
    <t>👉 PRAZER, SEU GUIA FINANCEIRO | ESPECIALISTA EM FINANÇAS | PALESTRAS | TREINAMENTOS | MENTORIA | PESSOAL E EMPRESARIAL</t>
  </si>
  <si>
    <t>Empreendedor | Um fracasso no CV | Liberdade com Automações | Data Driven</t>
  </si>
  <si>
    <t>💼 Empreendedor
📊 Investidor
💀 motociclista 
🌎 Cursando Geografia 
⚖️ Bacharel em Direito
 📚 Iniciando a vida de escritor tbm...</t>
  </si>
  <si>
    <t>Projeto Aposentadoria tem como objetivo auxiliar todos aqueles que desejam se planejar para a melhor idade. 
Siga também o Projeto Aposentadoria no Instagram.</t>
  </si>
  <si>
    <t>Investment Manager operating as fiduciary of clients wealth.</t>
  </si>
  <si>
    <t>Canal oficial do Serviço de Apoio às Micro e Pequenas Empresas do Estado do Tocantins. Central de Relacionamento: 0800 570 0800 - Whats (63) 9 9971 2198</t>
  </si>
  <si>
    <t>My name is Aziz Basry,a online Marketer,SEO.from Morocco Country in a city called Midelt.
Iam an active person.optimistic.enjoy every moments whatever it is.</t>
  </si>
  <si>
    <t>Somos uma instituição financeira feita de valores.</t>
  </si>
  <si>
    <t>We Finance Projects | Specialist in Debit Capital Markets | CRI | CRA | FIDC | Fundraising | Venture Debt | International Capital Investment Management</t>
  </si>
  <si>
    <t>Aqui vais aprender a investir com confiança e segurança 📈</t>
  </si>
  <si>
    <t>Página institucional do Banco de Moçambique</t>
  </si>
  <si>
    <t>Se você quer ajuda individual para sair das dívidas, clicar no link abaixo vai fazer você dormir em paz (e com mais dinheiro).</t>
  </si>
  <si>
    <t>É fundamental entender o básico sobre educação financeira, economia e investimentos, para garantir o seu futuro e o de sua família. Este é o Pobre Poupa ;)</t>
  </si>
  <si>
    <t>Faço análise de dados, resumo notícias e compartilho tudo no Twitter. Falo sobre #economia, #mercadofinanceiro, #dados  e #educação. Sejam bem-vindos!!!</t>
  </si>
  <si>
    <t>DEMOCRACIA</t>
  </si>
  <si>
    <t>Economista, escritor, autor do livro “O Brasil não cabe no quintal de ninguém”. Foi vice-presidente do Novo Banco de Desenvolvimento estabelecido pelos Brics.</t>
  </si>
  <si>
    <t>Somos o Grupo Recupera Brasil, uma equipe dedicada a ajudar pessoas a limpar seus nomes e recuperar sua credibilidade financeira.
Contato: (19) 99923-1909.</t>
  </si>
  <si>
    <t>sou escolhida por DEUS</t>
  </si>
  <si>
    <t>💊 | Sua dose diaria de Inteligencia Financeira</t>
  </si>
  <si>
    <t>E aí, tudo em ordem?
Aqui você vai encontrar dicas e inspiração para crescer na vida financeira e profissional. Siga-me e transforme sua vida!
💡💼🚀💰</t>
  </si>
  <si>
    <t>Atuação e Interesses:
Investimentos &amp; Soluções Financeiras  PJ 
Ativos Digitais 
Sucessão Patrimonial
Primeira Carteira</t>
  </si>
  <si>
    <t>O que é importante você vê aqui!
#ÚnicoManaus #PrimeiraMão</t>
  </si>
  <si>
    <t>O jornal mais lido do Rio! Acesse a qualquer hora do dia: https://t.co/XtgtS5YfQI
Telegram:  https://t.co/VbGAW3qB4U</t>
  </si>
  <si>
    <t>Assessor de investimento e educador financeiro 📈📊</t>
  </si>
  <si>
    <t>🎞️ YouTuber - https://t.co/25eMZrog6q
🖋️ Blogueiro - https://t.co/wPaZfvqj7e - https://t.co/dLrc0UhB8Q 
 📍Goiás/Brasil
📸 Modelo (de barril)
👨‍👧 Pai da Maj</t>
  </si>
  <si>
    <t>Um painel onde a sua opinião é valorizada!
Responda a questionários e seja pago por isso!
Inscreva-se já no nosso site
https://t.co/QtyrQh1gO3</t>
  </si>
  <si>
    <t>Tecnologia, Mercado financeiro, Cenário musical, Notícias locais e+. #MultiMidiaInfo
Se inscreva em nosso canal do YouTube:
https://t.co/0EvvE3Jzv8</t>
  </si>
  <si>
    <t>Confira aqui tudo sobre os sites do Grupo @MundoMSOficial ©2011-2023 / Sigam @MultiMidiaInfo ©2017-2023
ANUNCIE:https://t.co/wavFP8GAHq</t>
  </si>
  <si>
    <t>💰 Planejamento Financeiro Pessoal e Empresarial
📖 Investimentos
💡Planilhas e E-books gratuitos</t>
  </si>
  <si>
    <t>We are the structured credit fintech applying AI and IoT innovation to minimize risk and streamline decision making. Complete solutions in financial services.</t>
  </si>
  <si>
    <t>just a dude, trying to write free/open source software.</t>
  </si>
  <si>
    <t>Contador controlar, analista de tecnologia de gestão. Especializado em planejamento de negócios com ênfase em planejamento tributário, orçamentos e gestão.</t>
  </si>
  <si>
    <t>Fatec Ferraz de Vasconcelos</t>
  </si>
  <si>
    <t>Filosofia</t>
  </si>
  <si>
    <t>👨🏻‍💻 Fundador/CEO @inkuba (4x🏆 @cannes_lions)
🎙 Co-fundador Podfactory
🎧 Colunista, Podcaster #TalksbyLeo
💡 Empreendedorismo, Tech, Marketing digital</t>
  </si>
  <si>
    <t>Conhecimento que gera e preserva riqueza</t>
  </si>
  <si>
    <t>Administradora| Finanças| Investimentos| Empresária| Vascaína 💢🌈| Amo Rap e memes💙| Contato :comercial@nathfinancas.com</t>
  </si>
  <si>
    <t>Aprenda a controlar suas finanças.
Acesse: https://t.co/hQN2NcsHKR
Publi e parcerias: 
📬 contato@ https://t.co/hQN2NcsHKR
#investimento #finanças</t>
  </si>
  <si>
    <t>esse perfil fala de política, homossexualidade, mundo pop e taylor swift
politica :9hs as 17hs
homossexualidade e afins: 24h/7d</t>
  </si>
  <si>
    <t>Editor de vídeo | 28 | Cadelinha da Disney, morador de Westview e ex-New Directions | Opiniões pessoais only 🌈</t>
  </si>
  <si>
    <t>Experiência de 45 anos no M.Financeiro. Engenheiro Poli-USP. As opiniões são pessoais e não são recomendações ou ofertas de venda de qualquer natureza.</t>
  </si>
  <si>
    <t>Conselho Regional de Administração do Espírito Santo</t>
  </si>
  <si>
    <t>👨‍👩‍👧 Pai de menina | ⚽ S.F.C | 🎓ADM |
📈Holder</t>
  </si>
  <si>
    <t>Cantor e compositor. Contato para Shows: 84 988587215</t>
  </si>
  <si>
    <t>Frases de Sabedoria que vão impactar sua Vida em todos os sentidos.</t>
  </si>
  <si>
    <t>Somos uma plataforma de conexão entre marcas e pessoas</t>
  </si>
  <si>
    <t>Twitter oficial da Defensoria Pública do Estado do Rio Grande do Sul.</t>
  </si>
  <si>
    <t>Sua resenha semanal, nossos comentaristas que NÃO sabem NADA de futebol vão resenhar com vcs.</t>
  </si>
  <si>
    <t>Jornalista, Apresentador e Empresário @RBandeirantes  @radiobandnewsfm @UOLEsporte</t>
  </si>
  <si>
    <t>▫️PhD em Loss pela StopLoss University / B3 🇧🇷▫️O melhor perfil de Humor do Mercado Financeiro ▫️Eu ensino como perder dinheiro!!!!!!▫️ CLICA AQUI👇🏼</t>
  </si>
  <si>
    <t>Ministro da Fazenda de Lula,  Ex-Ministro da Educação, Ex-Prefeito de São Paulo,  Professor da USP</t>
  </si>
  <si>
    <t>Filho da Dona Lindu, marido da @JanjaLula, presidente da República. Trabalhando para reconstruir o Brasil.</t>
  </si>
  <si>
    <t>A maior plataforma de soluções financeiras feita para escolas. Saiba mais: https://t.co/3h39dGwZO8</t>
  </si>
  <si>
    <t>Você não precisa ser um especialista em finanças para ter uma vida financeira equilibrada. Eu posso te ajudar! 🚀🧡</t>
  </si>
  <si>
    <t>Como cuidar melhor do dinheiro, renda extra e investimentos. Esse é o tripé do canal GPS dos Negócios. 
⬇Saiba mais aqui ⬇</t>
  </si>
  <si>
    <t>💸2023 já começou e suas contas continuam uma bagunça?
💰Comece hoje sua transformação financeira</t>
  </si>
  <si>
    <t>Perfil oficial do Senac Minas. Notícias, dicas, orientações profissionais, oportunidades, cursos, lazer e outros. 
+55 31 3057-8600</t>
  </si>
  <si>
    <t>👨‍🏫 Professor, escritor, especialista em economia financeira e Educador Financeiro
📚 Dicas para Descomplicar sua Vida Financeira</t>
  </si>
  <si>
    <t>uma vez até morrer!</t>
  </si>
  <si>
    <t>Empreendedor, Comunicador, Publisher e apaixonado em construir relacionamentos e viabilizar negócios</t>
  </si>
  <si>
    <t>Principal plataforma de conteúdo sobre Recursos Humanos, na Melhor RH conectamos pessoas, causas e propósitos.
https://t.co/2tGSRjjIEG…</t>
  </si>
  <si>
    <t>Entrepreneur passionate about innovation, coffee and wine.</t>
  </si>
  <si>
    <t>Especialista em Educação Financeira 👩‍🏫💰|Consultora| Formadora 💗 📚 🏖 ✈️ 🍸🦞 
Autora do 📚: Mais que dinheiro! O guia Ideal de Finanças para Casais</t>
  </si>
  <si>
    <t>Portal de Finanças Pessoais voltado para pessoas que gostam de cuidar bem do seu dinheiro. Eduque-se, invista e fuja das dívidas!</t>
  </si>
  <si>
    <t>Somos especialistas em soluções financeiras para indivíduos e empresas. Empréstimos, recuperação de crédito, CPRs, compra e estruturação de empresas. #GYNBanco</t>
  </si>
  <si>
    <t>🧠| Fabrica de Milionários(a) Compartilhando meus passos para o sucesso e inspirando outros a alcançarem seus objetivos 💪🏼 Bem Vindo⚡️ #mindset</t>
  </si>
  <si>
    <t>“Nas minhas veias o Rio Negro”</t>
  </si>
  <si>
    <t>Ganhe bônus de 20% nas taxas em todas as transações na Binance.
Crie sua conta agora https://t.co/a0cnzV8WBa</t>
  </si>
  <si>
    <t>O Stimper é um app que vai te ajudar na gestão financeira de suas finanças pessoais de forma simples e intuitiva.</t>
  </si>
  <si>
    <t>Investindo agora para alcançar os sonho amanhã. Existe uma Chave Mestra da Riqueza que abre a porta da prosperidade. Vamos te ensinar a usar!</t>
  </si>
  <si>
    <t>Médico - Planejador Financeiro</t>
  </si>
  <si>
    <t>PhD Electrical Engineering | Python | Backend | Frontend | Análise de Dados | Machine Learning &amp; IA | BTC &amp; Crypto | Price Action &amp; Setups | Mercado Financeiro</t>
  </si>
  <si>
    <t>Finanças pessoais e investimentos</t>
  </si>
  <si>
    <t>Ajudo você a organizar suas finanças, planejando a melhor estratégia para que seus objetivos e sonhos sejam realizados.</t>
  </si>
  <si>
    <t>Focused on goals-based #FinancialPlanning, Future Proof is an investment services platform geared towards #FinancialAdvising and #RiskManagement.</t>
  </si>
  <si>
    <t>Provocando reflexões profundas e desafiando o senso comum. Inflamando pensamentos e incendiando discussões.</t>
  </si>
  <si>
    <t>O jornal de economia e negócios do Rio Grande do Sul desde 1933.
No impresso, no site e no aplicativo.</t>
  </si>
  <si>
    <t>🇧🇷🇺🇸Em busca de ser uma pessoa melhor. GRATIDÃO SEMPRE. 🙏🏽🦾🙌🏽</t>
  </si>
  <si>
    <t>Irineu Berezanski atua como Planejador Financeiro Pessoal, faz parte do time de consultores especialistas do Sebrae e professor de agronegócios do Senar.</t>
  </si>
  <si>
    <t>Advogada e professora. Mestre em Direitos Sociais e Políticas Públicas. Conservadora. Vereadora em Santa Maria pelo PP e líder da oposição na Câmara 🇧🇷</t>
  </si>
  <si>
    <t>🔞 Factos acima de Sentimentos.
🚸 A verdade dói mas constrói.</t>
  </si>
  <si>
    <t>Empreendedores Cristãos | @ibg_taubate
Deseja participar e aprender mais sobre empreendedorismo cristão?
Inscreva-se no nosso próximo evento! ⤵️</t>
  </si>
  <si>
    <t>Motion designer e gamer https://t.co/Z6L3PsRXk6</t>
  </si>
  <si>
    <t>How good is socialism!
but I'm also one of those who accumulate bitcoins, I collect NFT's and play to win!</t>
  </si>
  <si>
    <t>https://t.co/qjOZBajDW8
Investidor e Trader  📈 
Cidadão do Mundo ✈️ 🌎
•
Parceiros
@comfomedeviagem 
@rafaellacoelhooficial</t>
  </si>
  <si>
    <t>Informando desde 1984 no Oeste do Paraná. 
Acompanhe nossas outras mídias sociais.</t>
  </si>
  <si>
    <t>Dicas práticas de organização financeira para alcançar seus objetivos e viver bem.</t>
  </si>
  <si>
    <t>Educação</t>
  </si>
  <si>
    <t>Twitter oficial da FEBRABAN - Federação Brasileira de Bancos - principal entidade representativa do setor bancário no País.</t>
  </si>
  <si>
    <t>Finanças pessoais, empreendedorismo e investimentos.</t>
  </si>
  <si>
    <t>Produtora latinoamericana de podcasts narrativos e conversacionais</t>
  </si>
  <si>
    <t>Dica de Hoje Research. Referência em análise de investimentos no Brasil. Ações , Opções, Fiis e Fundos de Investimentos.  E agora também Mercado Internacional.</t>
  </si>
  <si>
    <t>Não deixe o medo te impedir de investir. Acompanhe meu perfil e descubra como é possível alcançar seus objetivos financeiros com estratégia e disciplina.</t>
  </si>
  <si>
    <t>facebook; Marcelo Galvão</t>
  </si>
  <si>
    <t>O futuro passa em nossas mãos🤝. 🏦 Serviços financeiros e tecnologia moldando a nova economia digital</t>
  </si>
  <si>
    <t>Comunidade financeira sobre bancos, bolsa de valores, afores, pensões, seguros, imobiliária, economia e tributação no Brasil</t>
  </si>
  <si>
    <t>Te ayudamos a tomar mejores decisiones financieras desde 2003. Comunidad financiera: #Bolsa, #FondosdeInversión #FinanzasPersonales, #EducaciónFinanciera</t>
  </si>
  <si>
    <t>Cooperativa de crédito.  
Somos uma Instituição Financeira Cooperativa.
Nossa missão é gerar soluções financeiras adequadas e sustentáveis.</t>
  </si>
  <si>
    <t>🏃🏾‍♂️ • Corra já pelas suas finanças! 
🎯 • Ajudamos-lhe a gerir melhor o seu dinheiro.
🚀 • O 1.º e maior projecto de educação financeira em Moçambique 🇲🇿</t>
  </si>
  <si>
    <t>Temos o maior prazer em divulgar informações relevantes sobre bancos, cartões e fintechs para lhe ajudar a fazer as melhores escolhas.</t>
  </si>
  <si>
    <t>Te ajudo a gerar renda extra sem precisar trabalhar mais horas ou mudar de emprego. A chave pra isso: Investimento, Ações, FIIs, Dividendos</t>
  </si>
  <si>
    <t>🚀 Bem-vindo ao Major da Grana! Desbravando o mundo das finanças pessoais e do mercado financeiro com um toque nordestino. 💰💡</t>
  </si>
  <si>
    <t>📈Controle de Investimentos
.
💸Cálculo de IR a cada Venda (DARF)
.
🦁Declaração de IR
.
💪Cálculo de Dividend Yield
.
🐂 Rentabilidade em Tempo Real
.
👇👇👇</t>
  </si>
  <si>
    <t>📚 | Educando sobre dinheiro com o Capitalizando Educação 👨‍💻 | Impulsionando negócios com o Capitalizando Negócios 🚀 | Acesse e conheça aqui 👇</t>
  </si>
  <si>
    <t>🏦 Gerente Financeiro na Black Promotora
💰 Especialista em soluções financeiras
📈 Ajudando pessoas a alcançarem seus objetivos financeiros
🎓 MBA em Finanças</t>
  </si>
  <si>
    <t>Sócio da Convexa Investimentos, escritório de investimentos contratado pelo Banco BTG Pactual, Maior Banco de Investimentos da América Latina.</t>
  </si>
  <si>
    <t>Especialista em Criptomoedas</t>
  </si>
  <si>
    <t>Somos Hustlers Motivationmz
NOSSA MISSÃO É INSPIRÁ-LO A IR ALÉM DE SUAS LIMITAÇÕES PARA TRILHAR UMA VIDA INCRÍVEL, CHEIA DE SUCESSO, REALIZAÇÕES  E PROSPERIDAD</t>
  </si>
  <si>
    <t>Educador Financeiro. Coach Financeiro e de Negócios. Palestrante e Mentor Empresarial.</t>
  </si>
  <si>
    <t>🧠 O sucesso financeiro começa na sua mente!
🔥 Especialista em Educação Financeira, ajudando pessoas a construir uma vida melhor.</t>
  </si>
  <si>
    <t>Astrologia e Numerologia voltadas para o Autoconhecimento e Transformação.</t>
  </si>
  <si>
    <t>Economista📈 Mestrando em Contabilidade, Fiscalidade e Finanças💹Designer há 10 anos🖌️Consultor de Marketing e de Finanças👨‍💼💼 Amo música🎧 e o digital💻</t>
  </si>
  <si>
    <t>😁😁</t>
  </si>
  <si>
    <t>Especialista com Certificação CNPI-T e CFP® | Há mais de 20 anos no mundo dos negócios | Vamos falar sobre suas finanças| Instagram: @ocleydsontrader</t>
  </si>
  <si>
    <t>Por meio do cooperativismo queremos gerar soluções financeiras adequadas e sustentáveis pra você!</t>
  </si>
  <si>
    <t>Simplificamos sua jornada financeira. Conheça o Zoom Dinheiro e aprenda sobre finanças pessoais, crédito, seguros, contas, investimentos e muito mais.</t>
  </si>
  <si>
    <t>📈Contador - CRC/RS 075739 📖 Pós-Graduado em Controladoria  💼 Coord. Financeiro @cufars 👨🏿‍🏫 Prof. Adm e Financ. 👩 @marianarosasantanna 💍 @dessinha32</t>
  </si>
  <si>
    <t>Investidor</t>
  </si>
  <si>
    <t>A Expo Favela é a feira de negócios realizada pela @favelaholding que conecta empreendedores de favelas com os investidores do asfalto.</t>
  </si>
  <si>
    <t>AGROCAPITAIS - a plataforma definitiva para o agronegócio moderno! Nosso objetivo aqui é aprimorar habilidades através do conhecimento e inovação.</t>
  </si>
  <si>
    <t>Twitter do Portal de Notícias https://t.co/4Ygb7gT0A6</t>
  </si>
  <si>
    <t>Aqui você encontra tudo o que acontece no Brasil e no mundo!
- Siga também: @redetv</t>
  </si>
  <si>
    <t>O nosso propósito de formação integrada valoriza o desenvolvimento de potencialidades intelectuais e afetivas dos nossos alunos.</t>
  </si>
  <si>
    <t>Este é o perfil do escritório Francel Menezes contabilidade no Twitter, uma empresa de assessoria tributária e contabil focada em empreendedores digitais.</t>
  </si>
  <si>
    <t>Seja pioneiro entre os relutantes ⚔️
Conheça o Fórum BlackRat 👇</t>
  </si>
  <si>
    <t>Podcast Um Papo Qualquer... Desde 2017, a voz do UBQ na Podosfera! Conhecimento, opinião e entretenimento para você.</t>
  </si>
  <si>
    <t>Consultoria focada no desenvolvimento das pessoas nas áreas profissional e pessoal. Oferece soluções e ferramentas de avaliação.</t>
  </si>
  <si>
    <t>Economista.
Colunista econômico, no Jornal Gazeta Regional.</t>
  </si>
  <si>
    <t>O Niiw é um App colaborativo de educação financeira, pesquisa de preços e listas de compras para seu dia a dia.</t>
  </si>
  <si>
    <t>O Serviço Federal de Processamento de Dados é uma empresa pública de Tecnologia da Informação criada para modernizar e dar agilidade ao Estado brasileiro</t>
  </si>
  <si>
    <t>Existimos para semear relações duradouras e de confiança por meio de uma atuação transparente, acreditando nos valores humanos.</t>
  </si>
  <si>
    <t>Ter a consciência que o meu passado é uma constante escola.
Assumir a responsabilidade pelas minhas escolhas.
Não deixar de sonhar alto com o meu futuro.</t>
  </si>
  <si>
    <t>Notícia livre de apego político! Educação em Foco!</t>
  </si>
  <si>
    <t>Seja sócio, seja sócia do @spbancarios e invista em quem te dá a segurança de estar sempre do seu lado. Acesse: https://t.co/qesliUIKTZ</t>
  </si>
  <si>
    <t>Outros perfis: @_kaylart📍Administração com foco em mídias 📨: work.kayla@outlook.com 📍Instagram: @ managementkm #marketingdigital</t>
  </si>
  <si>
    <t>📚 ISCTE-IUL》Master
📚 NOVA IMS》Postgraduate</t>
  </si>
  <si>
    <t>Cripto Tutor
Ajudo qualquer pessoa a compreender o mundo das Criptomoedas
Sessões personalizadas 1:1</t>
  </si>
  <si>
    <t>Notícias, Música, Arte, Eventos, tudo que você jovem procura.</t>
  </si>
  <si>
    <t>Fundador do canal Dinheirando
Todo mundo pode ter dinheiro sobrando no fim do mês, inclusive você!</t>
  </si>
  <si>
    <t>O ambiente que conecta leitores que querem transformar suas vidas com livros que transformam vidas.</t>
  </si>
  <si>
    <t>Plataforma de conhecimento, cursos e compliance de contabilidade, mercados financeiro e de capitais.</t>
  </si>
  <si>
    <t>Decifrando o mundo dos investimentos para você! Seguir-me é dar um passo à frente na sua jornada financeira. #Investimentos #EducaçãoFinanceira #DicasDeOuro</t>
  </si>
  <si>
    <t>Principais Serviços Contábeis
Empresa com mais de 50 anos de história.
📞 (11) 3531-3264 
📩 orcose@orcose.com.br</t>
  </si>
  <si>
    <t>💼 #empreendedorinciante   #empreendedorismo #empreender #marketingdigital #redessociais #cryptomoedas #arteabstrata #NFT #blog 😃🚀💯🎯🤓</t>
  </si>
  <si>
    <t>Canal de notícias da Região Metropolitana de Campinas (RMC)</t>
  </si>
  <si>
    <t>Streaming infantil, para seu filho consumir conteúdo divertido, 100% seguro e preparado por professores de verdade!</t>
  </si>
  <si>
    <t>Gestão de ativos físicos e digitais;
Especialista em identificar oportunidades
e estratégias para escalonar vendas.</t>
  </si>
  <si>
    <t>Perfil oficial da CDL Jovem - um espaço para desenvolver o espírito inovador e empreendedor na sociedade.</t>
  </si>
  <si>
    <t>Carioca com muito orgulho.</t>
  </si>
  <si>
    <t>🏦 2 x TOP 1 Influenciador de Investimentos do Brasil ANBIMA
👊 Economia sem Enrolação</t>
  </si>
  <si>
    <t>Educação Financeira</t>
  </si>
  <si>
    <t>👸🏾Presidente da OAB Mulher 🦸🏾‍♀️ Assessora Chefe do Jurídico da MãeData Thais Ferreira 👩🏾‍💼Advogada ⚖️ Fundadora do Frente Favela Brasil 🇧🇷</t>
  </si>
  <si>
    <t>Informações Gerais</t>
  </si>
  <si>
    <t>42 anos de tradição celebrando a arte no coração de São Paulo.
Realização @culturasp
Gestão e produção @amigosdaartesp</t>
  </si>
  <si>
    <t>A Harami Research é uma casa de análise de recomendações de investimentos que veio para facilitar a sua vida na hora de investir</t>
  </si>
  <si>
    <t>"a vida é um intervalo entre dois nadas. Nada antes, nada depois."</t>
  </si>
  <si>
    <t>#Business Development |Desenvolvedor de Negócios 
# Investor |Investidor 
# Fundador da Kiyamata Business Center</t>
  </si>
  <si>
    <t>Pai do Otto - e investidor profissional nas horas vagas.</t>
  </si>
  <si>
    <t>Transparência, rentabilidade e segurança são os objetivos da nossa casa de investimentos.</t>
  </si>
  <si>
    <t>💸🌟💰 #XZIBank: seu banco digital completo! Facilidade em investimentos, transações instantâneas e muito mais. Siga-nos e fique por dentro das novidades!</t>
  </si>
  <si>
    <t>O Seu Podcast sobre Finanças, Investimentos e Empreendedorismo.</t>
  </si>
  <si>
    <t>Este é um canal exclusivamente educacional. Para atendimento individual, acesse o menu Atendimento no site da CVM (https://t.co/aDqo0I6UqJ).</t>
  </si>
  <si>
    <t>Manufacturer of Non-Woven Fabric Production Plant, Non-Woven Bag Making Machine &amp; Spare Parts</t>
  </si>
  <si>
    <t>Consultoria focada em acelerar o seu entendimento de #bitcoin 
DMs abertas! Mande sua dúvida
Ou entre em contato: https://t.co/WkCFrvKI1k</t>
  </si>
  <si>
    <t>Creator of #TheLittleHODLer and his little comics. 🧡 Plushies now available for pre-order 🎁</t>
  </si>
  <si>
    <t>Mommy of #TheLittleHODLer and his comics 🧡 HODLers, comic books &amp; more on my store 🎁 Travels: @TravelingHODLer 🧳 #LittleHODLer’s best friend: @Trezor 💚</t>
  </si>
  <si>
    <t>📰⚖️ Amor por informar em tempo real. Notícias, análises e bastidores do cenário político brasileiro. Acompanhe-nos para ficar atualizado. #Política #AoVivo</t>
  </si>
  <si>
    <t>Planejadora Financeira e Coach em Comportamento Financeiro</t>
  </si>
  <si>
    <t>Aqui é o Flyvinho! Empacotador de livros, entregador, secretário, leitor e auxiliar de marketing na Editora Flyve. Vem voar com a gente! 🎈</t>
  </si>
  <si>
    <t>Revista digital de divulgação científica e cultural, editada pela Fundação Joaquim Nabuco (Fundaj). https://t.co/fNxUavVE7F</t>
  </si>
  <si>
    <t>Sutil, porém muito marcante...Deus.</t>
  </si>
  <si>
    <t>Matemático</t>
  </si>
  <si>
    <t>Aqui você encontrará insights valiosos sobre o mundo dos negócios, dicas úteis para empreendedores, tendências de mercado e muito mais. 
#negócios #empreender</t>
  </si>
  <si>
    <t>Explorando a complexidade da economia de forma integral e abrangente. Compartilho análises, insights e notícias relevantes para entendermos o todo. Vamos juntos</t>
  </si>
  <si>
    <t>Te ajudamos a tomar a melhor decisão no controle do seu dinheiro através de soluções inovadoras.</t>
  </si>
  <si>
    <t>Brasileiro, casado, Bancário e educador financeiro.</t>
  </si>
  <si>
    <t>Jornalista, palestrante, comentarista de Economia TV Gazeta, ex-Jovem Pan @denisecamposdetoledo no Instagram</t>
  </si>
  <si>
    <t>Seja bem-vindo ao nosso perfil oficial! 🧡 Aqui você fica por dentro de tudo o que rola na Avenida Paulista 900.</t>
  </si>
  <si>
    <t>Jornal da Gazeta. De segunda a sexta, às 19h, ao vivo na TV Gazeta.</t>
  </si>
  <si>
    <t>Conteúdo sobre investimentos no Brasil e exterior</t>
  </si>
  <si>
    <t>Empreendedor🧑‍💻🎒 Economista e Influenciador de Finanças. 🏦💰 Gamer, escalador e snowboarder👾🧗‍♂️🏂 Contato:DM✉️ IG:luizpersechini</t>
  </si>
  <si>
    <t>Prof Licenciada em Ciências  Naturais com habilitação  em Matemática.</t>
  </si>
  <si>
    <t>Me diz você...</t>
  </si>
  <si>
    <t>Investidor 📊</t>
  </si>
  <si>
    <t>Confederação Nacional de Dirigentes Lojistas.
Há 62 anos, nossa missão é representar e fortalecer o varejo brasileiro. #JuntosSomosMaisFortes 👊🤝</t>
  </si>
  <si>
    <t>Atuamos com o objetivo de prover o Estado de recursos para garantir o bem-estar social.</t>
  </si>
  <si>
    <t>Democratizing Hedge Fund insights! Sign up for our free AI-powered investment insights!
#Crypto
Follow @Investoom_com &amp; @investoom for regular updates!</t>
  </si>
  <si>
    <t>Agência de comunicação há 20 anos prestando serviços para instituições públicas, promovendo a construção social de uma comunicação democrática.</t>
  </si>
  <si>
    <t>Há 25 anos desenvolvemos conteúdos educacionais e soluções em tecnologia, sempre com o cuidado e respeito ao ser humano.</t>
  </si>
  <si>
    <t>O meu objetivo é ajudar as pessoas a entenderem melhor o mundo dos investimentos e a tomar decisões financeiras mais conscientes e bem informadas.</t>
  </si>
  <si>
    <t>Universidade Federal de São Paulo #somosunifesp</t>
  </si>
  <si>
    <t>🔍Mix de Finanças &amp; Economia (viés Quant), Dados &amp; Tecnologia, Carreira &amp; Mindset
🧑‍💻Cofundador @findocs, Professor @fgv_eaesp
🎓PhD em IA</t>
  </si>
  <si>
    <t>Perito Criminal Federal aposentado. Atualmente CEO da Central de Serviços Patrimoniais. 
Está com problemas com o seu Patrimônio?
Dr. Covesa resolve 👊</t>
  </si>
  <si>
    <t>Taróloga/Terapeuta Integrativa/Cartomancia/Mesa Radiônica Saint Germain/Terapias Vibracionais</t>
  </si>
  <si>
    <t>Você por dentro de tudo o que move a economia. Agora.
@CNNBrasil</t>
  </si>
  <si>
    <t>Contador, Professor e voluntário da educação. Torcedor do #Botafogo. Amante das atividades físicas. Lê e escreve. Fusqueiro. Às vezes irônico. Equilíbrio.🦇🐶🐱</t>
  </si>
  <si>
    <t>@Botafogo
@realmadrid
@warriors
@LulaOficial
TikTok: darlantd99
ID: darlantd</t>
  </si>
  <si>
    <t>A sua fonte de notícias mais rápida. Tudo sobre os acontecimentos mais recentes do Brasil e do mundo. Contato: assessoriachoquei@gmail.com</t>
  </si>
  <si>
    <t>Comunicadora e definindo o resto!</t>
  </si>
  <si>
    <t>Diretor de Assuntos Econômicos e Sociais da Vice-Presidência do @GovBR. Professor no @SejaIDP.</t>
  </si>
  <si>
    <t>Doutor em economia. Ex secretario da fazenda do RS, MD do JP Morgan e colunista do @infomoney. Mais importante: colorado e pai da Victoria.</t>
  </si>
  <si>
    <t>A versão online do jornal O Estado de S. Paulo. Acompanhe também as atualizações pelo Instagram: https://t.co/hGsLKgFw9w</t>
  </si>
  <si>
    <t>Somos o Instituto Brasileiro de Geografia e Estatística, mas pode nos chamar de IBGE! Nosso trabalho é retratar o Brasil e os brasileiros.</t>
  </si>
  <si>
    <t>Um jornal a serviço do Brasil
Newsletters: https://t.co/NVUcVDAjzm
Insta: https://t.co/ktjTHtETj7 
TikTok: https://t.co/EOgj84KB9l
Facebook: https://t.co/Iq0fS3e2sF
Assine: https://t.co/OJOZUvKPWW</t>
  </si>
  <si>
    <t>A mais completa e admirada cobertura de economia, negócios e finanças. Notícias que geram negócios.</t>
  </si>
  <si>
    <t>Eu sou Anderson Tozatti e pretendo  te incentivar a criar o hábito da leitura efetiva através da indicação de Livros Extraordinários.
Ler é ser autodidata.📚</t>
  </si>
  <si>
    <t>Perfil oficial da Fundação Amazonprev.
Informações sobre a previdência do Estado do Amazonas.</t>
  </si>
  <si>
    <t>If you can dream it, you can do it...🌺
🌹❤️🌹
Economia - UFSC</t>
  </si>
  <si>
    <t>Fomento a Moeda Social Virtual SupleCred para ser + completa, não só créditos. Gestor de Cooperativas - Especialista em Marketing - Mestre Extensão Rural</t>
  </si>
  <si>
    <t>Especialista em Finanças Pessoais. 
Você pode conquistar a vida financeira que deseja, chega de prorrogar essa decisão, entre em contato hoje mesmo.</t>
  </si>
  <si>
    <t>📣Portal de Notícias &amp; Serviços da Região Metropolitana de Belém
👉 Solicite Um Serviço de Marketing Digital e Publicidade Digital</t>
  </si>
  <si>
    <t>Forbes é o maior título de negócios do mundo, dedicado à realizações e realizadores.</t>
  </si>
  <si>
    <t>Conta oficial da Comissão de Valores Mobiliários, reguladora do mercado de capitais no Brasil. Para atendimento, acesse https://t.co/BCxcyxjPFR</t>
  </si>
  <si>
    <t>Nosso compromisso é conduzir o desenvolvimento econômico sustentável para a sociedade prosperar.</t>
  </si>
  <si>
    <t>🔴 Grupo Suno
📊 Gestora de recursos independente
👉 Soluções de investimento para você
🚀 Mais sobre os nossos fundos 👇</t>
  </si>
  <si>
    <t>Em pausa de conteúdo de finanças 🚨 | TEDx Speaker | Forbes Under 30 | Women Force @NFTEVE_ &amp; Humana</t>
  </si>
  <si>
    <t>Por aqui, oferecemos shots de memes, coberturas dos melhores red carpets, Harry Styles e tudo o que faz parte do nosso universo.✨</t>
  </si>
  <si>
    <t>Fique por dentro de tudo que está acontecendo no mundo da tecnologia | Eu sou um bot 🤖</t>
  </si>
  <si>
    <t>Se vamos ao médico quando nos dói algo, porque não procuramos um especialista para nos ajudar a tomar melhores decisões financeiras? 😊</t>
  </si>
  <si>
    <t>🏦Investindo em Cripto Formando Milionários CriptoGames Blockchains NFT Launchpads</t>
  </si>
  <si>
    <t>Educação Financeira e Proteção de Patrimônio na teoria e na prática.
Veja como fazer. 
Seja bem-vindo, renascemos para te reinventar!</t>
  </si>
  <si>
    <t>Engº Agrícola &amp; Ambiental /_x000D_
Msc Engª Agrícola</t>
  </si>
  <si>
    <t>Oi, aqui é a Van!
Aqui você confere louvor, adoração, palavra, temas diversos e muito mais!
#Sóvem!</t>
  </si>
  <si>
    <t>Explorando a Cultura Pop e Heróis com Momento Verdadeiro.</t>
  </si>
  <si>
    <t>Analista CNPI, Investidor Profissional, trader e especialista em finanças e Investimentos.</t>
  </si>
  <si>
    <t>Repórter de vídeos no @noticiasdatv, mas aqui as opiniões são minhas | Recifense, radicada em Salvador e sobrevivendo em São Paulo. | luiza@noticiasdatv.com</t>
  </si>
  <si>
    <t>SoftMarketing Trainer - financial educator</t>
  </si>
  <si>
    <t>seja o combustível dos seus sonhos!</t>
  </si>
  <si>
    <t>As #notícias mais relevantes nas áreas da #Economia, #Empresas e #Mercados. O Negócios tem as respostas: On time. On line. Nas bancas. Em qualquer lugar.</t>
  </si>
  <si>
    <t>Aficionado por finanças pessoais, poupança e investimento. Tentar criar valor. Não acredita em esquemas de enriquecimento rápido!</t>
  </si>
  <si>
    <t>O como e o porquê das notícias de #ultimahora, a análise e a #opiniao que interessa. Siga #portugal e o mundo com a #sicnoticias</t>
  </si>
  <si>
    <t>Controle suas finanças, invista no seu futuro e faça dinheiro como esporte com a Active Money!</t>
  </si>
  <si>
    <t>,📌 Especialista em investimentos, gestor financeiro , Jiu-jitsu, MMA,  filho de Deus, gente boa</t>
  </si>
  <si>
    <t>A ética é um valor fundamental em todas as minhas atividades.</t>
  </si>
  <si>
    <t>👨‍⚕️| Médico e mentor de médicos  
📚| Escrevi “Inteligência Financeira para Médicos”  e "Jornada de Sucesso do Paciente"
👇 PEGA O TEU LIVRO</t>
  </si>
  <si>
    <t>Ex insider do mercado financeiro, Mestre em economia aplicada pela USP e investidor do mercado desde 1999. Você já se perguntou como o sistema funciona?</t>
  </si>
  <si>
    <t>Perfil que traz conteúdo educativo, sobre educação financeira; investimentos; e assuntos importantes da economia.
#bragaeconomics</t>
  </si>
  <si>
    <t>Gamer, Dancer, Hive blockchain enthusiast and nature lover. Moderator at HiveBR and founder of Nexo Digital
@lipe100dedos on Hive and https://t.co/RMsZC8gL2V</t>
  </si>
  <si>
    <t>*Contém ironia*, não leve tão a sério o que for postado nesse perfil</t>
  </si>
  <si>
    <t>Gosto das coisas corretas, gosto de ordem, organização, honestidade, liberdade de expressão sem represálias e sou a favor de conservar alguns valores morais.</t>
  </si>
  <si>
    <t>App de investimentos com recomendações de ações, cripto, Fiis, renda fixa...
🎓Cursos, filmes e séries.
Entre no nosso Telegram: https://t.co/IaToZv4G9C</t>
  </si>
  <si>
    <t>🗞 Informação Pontual;
📍 Desde Abril de 2010;
Acesse agora mesmo 👇🏼</t>
  </si>
  <si>
    <t>Somos um portal de notícias que promove a educação financeira e ajuda seus leitores a investir, buscar as melhores opções de empréstimo e até a empreender.</t>
  </si>
  <si>
    <t>Jose Credito é o seu guia para as mais recentes ofertas #financeiras que o ajudarão a tomar as decisões financeiras corretas e atingir seus objetivos</t>
  </si>
  <si>
    <t>Para o 1% não há prazer em ser rico - é preciso haver escravos...</t>
  </si>
  <si>
    <t>Descobrimos as melhores promoções e descontos pra te ajudar a economizar muito! Me siga e ative as notificações para não perder nada.</t>
  </si>
  <si>
    <t>📈Especialista de investimentos ANBIMA 🖊️Planejo seus investimentos, de acordo com o seu bolso e momento de vida</t>
  </si>
  <si>
    <t>Índices, sondagens, análises, estatísticas macroeconômicas e pesquisas aplicadas de alta qualidade. Saiba mais: https://t.co/G7wTvTsFqd</t>
  </si>
  <si>
    <t>Acredito no poder da consistência, aliado a uma estratégia validada, para o enriquecimento e a realização de sonhos de forma lícita, responsável e sustentável</t>
  </si>
  <si>
    <t>Canal que mostra na prática como investir na bolsa de valores com as menores taxas, em ações nacionais, Stocks, FIIs, Reits, Criptomoedas e mais.</t>
  </si>
  <si>
    <t>Motorista de app.
Gestor de logística🤓
𝓣𝓸𝓭𝓸𝓼 𝓸𝓼 𝓭𝓲𝓪𝓼 𝓺𝓾𝓪𝓷𝓭𝓸 𝓪𝓬𝓸𝓻𝓭𝓸 𝓷𝓪𝓸 𝓽𝓮𝓷𝓱𝓸 𝓶𝓪𝓲𝓼 𝓸 𝓽𝓮𝓶𝓹𝓸 𝓺𝓾𝓮 𝓹𝓪𝓼𝓼𝓸𝓾.
😎</t>
  </si>
  <si>
    <t>Portal de notícias com conteúdo de #negócios #economia #tecnologia</t>
  </si>
  <si>
    <t>Financie sua faculdade, acumule com bolsa e pague menos por mês!</t>
  </si>
  <si>
    <t>Em busca de renda passiva.</t>
  </si>
  <si>
    <t>Bio</t>
  </si>
  <si>
    <t>Monetary revolution enthusiast</t>
  </si>
  <si>
    <t>Vamos juntos ser, conviver e transformar?</t>
  </si>
  <si>
    <t>The Exclusive Brazilian Web3 Community - capped at 561 members.
Solid investors and builders.
Founder: @ocarteironft
Official Links : https://t.co/wXVnhqYPqL</t>
  </si>
  <si>
    <t>Farmacêutica 💊🔬🧪</t>
  </si>
  <si>
    <t>fui comprar um cigarro e já volto</t>
  </si>
  <si>
    <t>Lutador 🤼‍♀️</t>
  </si>
  <si>
    <t>Resumos literários para sua dose rápida de conhecimento e aventura. 📚✨</t>
  </si>
  <si>
    <t>A mente que se abre para novas  ideias , não volta ao seu tamanho original</t>
  </si>
  <si>
    <t>DJ Andrio   Produções e Eventos
 djandriopruducoes@gmail.com</t>
  </si>
  <si>
    <t>Itabira/MG. https://t.co/UAKet1PKBW</t>
  </si>
  <si>
    <t>20 anos de edição</t>
  </si>
  <si>
    <t>Corretor de Seguros / Tem como princípio a transparência, baseado na garantia do seu Patrimônio.</t>
  </si>
  <si>
    <t>Vamos escrever umas resenhas por aqui?</t>
  </si>
  <si>
    <t>Quem investe, lê. 🎯 Notícias sobre economia, mercado financeiro, investimentos e todo o lifestyle da Faria Lima.</t>
  </si>
  <si>
    <t>Cristão ANCAP l Te ajudo a construir uma marca do zero.</t>
  </si>
  <si>
    <t>Oi… só isso mesmo o resto você descobre. 🇦🇲</t>
  </si>
  <si>
    <t>FUTURO REI DO YOUTUBE ANGOLANO Designer / YouTuber / Athlete</t>
  </si>
  <si>
    <t>Músico, produtor musical, empreendedor digital e professor.</t>
  </si>
  <si>
    <t>Gosta de ferramantas de Produtividade? Por aqui falo sobre várias delas. Você também ficará por dentro dos nossos diversos conteúdos em outros canais 🇧🇷</t>
  </si>
  <si>
    <t>#Aspie
#Bitcoin
#ProcurandoEJApolitécnico</t>
  </si>
  <si>
    <t>ностранска🐬🦀🐈‍⬛</t>
  </si>
  <si>
    <t>❤‍🔥✞{ℂR𝕀S𝕋Ã𝕆} “Ide" Às NAÇÕES
🗣📢|Embaixador de Cristo|
⛪IEVV| 🔥🌊|Atos 4:29-30|</t>
  </si>
  <si>
    <t>Twitter oficial da TV Cultura. Siga também os perfis: @jornal_cultura e @rodaviva. Acompanhe a nossa programação pelo nosso site!</t>
  </si>
  <si>
    <t>Consultoria especializada em planos de saúde, odontológico, seguros todos os ramos, consórcio e previdência.</t>
  </si>
  <si>
    <t>financial speculator | 📉📈 NFT's | Stocks | Index | crypto | Futures | Forex                  
📺YOUTUBER</t>
  </si>
  <si>
    <t>Página de Investimento da Odysee.</t>
  </si>
  <si>
    <t>Token with the aim of treating each trader in a unique way and bringing everything he needs and needs in the financial market. Come be a part, be iVip.</t>
  </si>
  <si>
    <t>Reduzindo o endividamento com um crédito justo de verdade. Isso é meutudo. 💗</t>
  </si>
  <si>
    <t>✍︎𝘁𝗲𝗻𝘁𝗼 𝗮𝗹𝗰𝗮𝗻𝗰̧𝗮𝗿 𝗺𝗲𝘂𝘀 𝗼𝗯𝗷𝗲𝘁𝗶𝘃𝗼𝘀!✍︎
♡︎15𝘆♡︎
✍︎𝘁𝗲𝗻𝘁𝗼 𝗱𝗮 𝗼 𝗺𝗲𝘂 𝗺𝗮̂𝘅𝗶𝗺𝗼!✍︎</t>
  </si>
  <si>
    <t>🏆Especialista em investimentos 💵
Apaixonado pela transformação que a Inteligência financeira pode fazer!</t>
  </si>
  <si>
    <t>Dom R brigadeiros e doces</t>
  </si>
  <si>
    <t>Twitter Oficial do Governo do Estado de São Paulo</t>
  </si>
  <si>
    <t>A revista de gestão, finanças, pessoas e marketing do cooperativismo. The magazine of management, finance, people and marketing cooperatives.</t>
  </si>
  <si>
    <t>Dia a Dia de empreendedor</t>
  </si>
  <si>
    <t>Coach, consultora, professora e psicóloga na área de desenvolvimento humano.</t>
  </si>
  <si>
    <t>Católico, conservador, heterossexual, defensor do patriarcado (sim, homem manda), e ainda por cima capitalista... Como posso te irritar mais, escravo comunista?</t>
  </si>
  <si>
    <t>Oferecemos soluções personalizadas para ajudar nossos clientes a alcançar seus objetivos de negócios e financeiro</t>
  </si>
  <si>
    <t>Por uma sociedade apta a defender a liberdade, preservar sua história e construir um futuro digno, íntegro e próspero.</t>
  </si>
  <si>
    <t>VINCO é a plataforma que une educação e investimentos em criptoativos. Feito para investidores de todos os níveis! #VINCO</t>
  </si>
  <si>
    <t>Canal de YouTube 📹
✉️ descomplicaft@gmail.com</t>
  </si>
  <si>
    <t>always caring</t>
  </si>
  <si>
    <t>Palestrante, Consultor com + de 1.000 atendimentos, investidor na Bolsa há + de 20 anos. Mestre pela USP,  Autor de best-sellers em finanças pessoais.</t>
  </si>
  <si>
    <t>Fã de esporte</t>
  </si>
  <si>
    <t>Dois amigos, dois médicos, investindo em renda variável em busca da liberdade financeira!</t>
  </si>
  <si>
    <t>Fornecemos informações e notícias sobre os principais acontecimentos e tendências mundiais. Siga-nos para ficar por dentro</t>
  </si>
  <si>
    <t>"🌍 Impulsionando a transformação sustentável nas organizações. 🌱 Especialistas em ESG, B Corp e ODS da ONU. 💡 Fornecemos soluções tecnológicas, análise de da</t>
  </si>
  <si>
    <t>Somos o seu banco para investimentos nos EUA. 🇺🇲
🤝🏼 Parceiros da DTVM Master S/A.
💵 Operamos conforme termos da CVM e do RMCCI.
➡️📱 Baixe o nosso App!</t>
  </si>
  <si>
    <t>Há 22 anos ensinando pessoas a sair das dívidas, controlar bem e investir seu dinheiro.</t>
  </si>
  <si>
    <t>O Jornal JOGO SÉRIO é o seu portal de notícias e realiza jornalismo corajoso em favor do bem coletivo. Mantenha-se informado!</t>
  </si>
  <si>
    <t>Contato : 
devalves2020@gmail.com
ja13039787@gmail.com
WhatsApp  +55(11) 98624-4329</t>
  </si>
  <si>
    <t>Levantou, a gente corta.</t>
  </si>
  <si>
    <t>📉 Educadores comerciales en opciones de alamcenaje, criptomoneda, y divisas 
📝 aprender a operar sin experiencia</t>
  </si>
  <si>
    <t>Academia de Administração 👨🏻‍🎓| Católico ⛪ | Mercado Financeiro 📈| Certificado ANBIMA - CPA 20 | CEA | CFP®</t>
  </si>
  <si>
    <t>Investidor desde 2006. Deixei um concurso público para viver meu sonho 🗽Escritor e Mestre em Finanças. Insta: @financaspessoais YouTube: Finanças Pessoais</t>
  </si>
  <si>
    <t>Cidadania 23 de Porto Alegre</t>
  </si>
  <si>
    <t>Com tecnologia de ponta a ponta, somos o novo website do antigo site de tecnologia e tutoriais EDTuttors, com novo design, mais tecnologia de segurança.</t>
  </si>
  <si>
    <t>Somos a primeira gestora independente do Brasil focada em #ETFs. E queremos tornar o brasileiro um investidor global🌎 #ETFs #USTK11</t>
  </si>
  <si>
    <t>O Consórcio conectado com você.
Venha, agruppi-se!</t>
  </si>
  <si>
    <t>Investimentos &amp; Consultória Financeira. 
Whatsapp Business : 
954 211 302 - 997 41 77 01
Ig:@newt.np</t>
  </si>
  <si>
    <t>Encontre aqui dicas para uma Vida segura e mais feliz. 🧡</t>
  </si>
  <si>
    <t>▪️Especializado em ajudar pessoas a cuidar de sua vida financeira de forma personalizada. 📈▪️
▫️ Trazendo soluções além do dinheiro para sua vida🔑 ▫️</t>
  </si>
  <si>
    <t>RichPoorApp é um assistente de finanças pessoais de bolso poderoso inspirado na obra Pai Rico, Pai Pobre, disponível para iOS, Android e Windows</t>
  </si>
  <si>
    <t>La #RJFALC busca fortalecer la acción de nuestros miembros, estimular intercambios de experiencias y propiciar la acción colectiva hacia un nuevo modelo fiscal.</t>
  </si>
  <si>
    <t>O IJF tem por finalidade o aperfeiçoamento do sistema fiscal com vistas a torná-lo mais justo e capaz de contribuir para a redução das desigualdades sociais.</t>
  </si>
  <si>
    <t>Sindicato dos Técnicos Tributários da Receita Estadual</t>
  </si>
  <si>
    <t>Há 44 anos, atuamos no monitoramento do #orçamentopúblico sob a ótica dos #direitoshumanos.</t>
  </si>
  <si>
    <t>LORDTrader - Trader, Gestor de TI, Pós em Finanças e Mercado de Capitais. Paixão pela Educação Financeira ajudando pessoas a alcançar independência Financeira.</t>
  </si>
  <si>
    <t>Contador e Cofundador da empresa @realdominio  Contabilidade e o mais importante casado com Gabrielle e pai do Anthony e Matheus.</t>
  </si>
  <si>
    <t>Bem-vindo à Kontabio, sua contabilidade/financeiro digital em todo Brasil.</t>
  </si>
  <si>
    <t>MINING CRYPTOCURRENCIES WITH ARTIFICIAL INTELLIGENCE</t>
  </si>
  <si>
    <t>✨ Conectando você a um futuro de sucesso.
📱 O App de pagamentos mais seguro.
🌍 Compras e transferências internacionais.</t>
  </si>
  <si>
    <t>όχι</t>
  </si>
  <si>
    <t>Controle sua Vida</t>
  </si>
  <si>
    <t>Investidor, Torcedor do São Paulo e Nerd nas horas vagas | Bora aprender mais sobre investimentos!</t>
  </si>
  <si>
    <t>eu rayane e levi jogando valorant</t>
  </si>
  <si>
    <t>will byers swiftie e flamenguista</t>
  </si>
  <si>
    <t>Educador financeiro, idealizador do Canal Dívida Zero, escritor, Palestrante corporativo - promovendo bem-estar financeiro
Ajudo empreendedores nas Finanças</t>
  </si>
  <si>
    <t>REDEVIDA de Televisão, O Canal da Família. Presente em todo o Brasil! https://t.co/1pCykbDVxY</t>
  </si>
  <si>
    <t>A Pro Atitude Educacional explora o futuro da aprendizagem em todas as suas dimensões, abrangendo tendências culturais, tecnológicas e inovações na Educação.</t>
  </si>
  <si>
    <t>Dominando o dinheiro com FNS Finanças. Dicas práticas, estratégias eficientes e conhecimento confiável para ajudá-lo a prosperar. A sua jornada para a independê</t>
  </si>
  <si>
    <t>ARKA Online é um escritório que presta serviços de contabilidade online, consultoria trabalhista e tributária, composto por especialistas em Micro e Pequenas.</t>
  </si>
  <si>
    <t>#economista
#mãe 
#carioca
#mtasemuma</t>
  </si>
  <si>
    <t>Disney magic right at your fingertips! ✨</t>
  </si>
  <si>
    <t>Disney + Pixar + Marvel + Star Wars + National Geographic = #DisneyPlus 🤯
As melhores histórias do mundo em um só lugar. Já disponível.</t>
  </si>
  <si>
    <t>Ajudo a organizar suas finanças 🔥
Empresário e Assessor de Investimentos 📊</t>
  </si>
  <si>
    <t>Comunicação Social e Multimédia</t>
  </si>
  <si>
    <t>Curso Preparatório de Certificações ANBIMA CPA-10, CPA-20, CEA, CGA e CFP. MBA Mercado de Capitais.</t>
  </si>
  <si>
    <t>Perfil oficial Agro Times!
🌱🧑‍🌾Portal de notícias que cobre o mundo do agronegócio, porteira adentro e afora
🗞Uma marca @leiamoneytimes</t>
  </si>
  <si>
    <t>Educador e consultor financeiro Techfinance</t>
  </si>
  <si>
    <t>🇧🇷 Conservador | 📺 Entretenimento | 🦁 Futebol
“E conhecereis a verdade e a verdade vos libertará.” João 8:32 - #SDV</t>
  </si>
  <si>
    <t>Rock and roller</t>
  </si>
  <si>
    <t>Engenheiro. Autor de 5 livros. Comentarista da @JovemPanNews. Ex-consultor do Banco Mundial e ex-Secretário de Estado. Pai. Instagram: @robertomottaoficial</t>
  </si>
  <si>
    <t>💡Ensino pessoas atingirem metas Financeiras 📊
🎯Contadora
🎯MBA - Gestão Financeira e Controladoria
🎯Coach Sistêmica
🎯Analista Perfil Comportamental</t>
  </si>
  <si>
    <t>|O melhor conteúdo sobre negros do Brasil |</t>
  </si>
  <si>
    <t>Pensador.Psicólogo.Jornalista.Atendo pessoa ansiosa/deprimida/sínd.pânico/alienação parental/tent.suicíd;presen.e ON-LINE.Faço,tb,trab.voluntário.+5582993515851</t>
  </si>
  <si>
    <t>Professor doutor - UNICU / Streamer de segunda a sexta, das 9h às 11h</t>
  </si>
  <si>
    <t>#Investimento não tradicional para investidores nada tradicionais. - 
#Fork, significa bifurcação, caminho alternativo ao senso comum.
👇 |Relatório Semanal</t>
  </si>
  <si>
    <t>Falta pouco para você realizar seu maior sonho!
Você quer um carro novo? Em suaves parcelas. Aqui você irá realizar o seu maior desejo. Experimente!</t>
  </si>
  <si>
    <t>Educação financeira é o caminho para alcançar a liberdade financeira. Com ela, aprendemos a fazer escolhas conscientes e planejar o futuro.</t>
  </si>
  <si>
    <t>#bitcoin
🇧🇷🇧🇷🇧🇷💢</t>
  </si>
  <si>
    <t>Pecador que precisa da misericórdia de Jesus todo dia.</t>
  </si>
  <si>
    <t>ECONOMIA | FINANÇAS 📈💲
Venha descobrir o poder da Economia no seu Bolso
- Dicas, Artigos, conceitos e muito mais.
Criador: @eugniolemos</t>
  </si>
  <si>
    <t>Desistiu do seu consórcio? Veja o lado BOM: venda sua cota cancelada ou com parcelas em atraso e realize novos sonhos!
0800-005-3001</t>
  </si>
  <si>
    <t>📚 Sapere Aude
👨🏼‍💼 Assessor de Investimentos
🏢 Nortus Investimentos - XP</t>
  </si>
  <si>
    <t>Trader Saeed Rashid 
estratégista em Criptomoeda</t>
  </si>
  <si>
    <t>📚♀️☭ 🏋🏻‍♀️🥋🏃🏻‍♀️🚴🏻‍♀️💜🎮pernambucana•cristã antifundamentalista•feminista•livros•corrida•bike•jiujítsu•pobre de esquerda•Crossfit•gamer</t>
  </si>
  <si>
    <t>Alinhando seus Investimentos aos seus Objetivos e Metas de Vida</t>
  </si>
  <si>
    <t>Conheça nossos podcasts, rankings, reviews, atendimento e calculadoras gratuitas. Além dos cursos e livro sobre finanças pessoais. Tudo sem financês! 👇</t>
  </si>
  <si>
    <t>Programa - Psicanálise e você
Todas às terças-feiras
às 19 horas</t>
  </si>
  <si>
    <t>democratizing AI-powered Investment insights for everyone! Sign up for free and start investing like the big hedge funds!
Follow @Investoom_com for more updates</t>
  </si>
  <si>
    <t>Fenança$ - oriento o dinheiro trabalhar a seu favor! 💰</t>
  </si>
  <si>
    <t>😀</t>
  </si>
  <si>
    <t>Uma colorada apaixonada
Especialista em Gestão Comercial e Marketing Digital
CEO: Sincronizze Marketing Digital
Instagram: taifollmann</t>
  </si>
  <si>
    <t>Formação moderna e atualizada para o sucesso profissional: venha conhecer a Plataforma CDA</t>
  </si>
  <si>
    <t>Regulador do Mercado de Valores Mobiliários e Instrumentos Derivados em Angola.</t>
  </si>
  <si>
    <t>Um canal criado a passar sinceridade sobre o mercado de criptomoedas. Sem toda a papagaiada que muitos passam. Por isso criamos um treinamento na mesma pegada.</t>
  </si>
  <si>
    <t>Pamm Alpari - Alpari ofrece el servicio de cuentas PAMM (Percent Allocation Management Module), que es una forma de inversión en la que los inversores pueden</t>
  </si>
  <si>
    <t>O infinito mundo #Administrativo e #organizacional.
Um Estudante de #ADM Focado no que tange o #comportamento humano nas organizações e no desempenho Funcional.</t>
  </si>
  <si>
    <t>Somos uma plataforma que conecta planejadores financeiros e pessoas.</t>
  </si>
  <si>
    <t>Você tem o sonho ✨, nós temos o conhecimento💡 para transformá-lo em realidade.
Venha aprender os SEGREDOS do SUCESSO!
Visite nosso site
https://t.co/c6QGORXc0J</t>
  </si>
  <si>
    <t>O melhor caminho para a casa própria</t>
  </si>
  <si>
    <t>Formado em Ciências Contábeis, Contador por essência, um apaixonado pelos assuntos Financeiros que norteiam e fazem parte de nossa sociedade e de nossas vidas.</t>
  </si>
  <si>
    <t>Site de notícias, informações e curiosidades. 
Acesse: https://t.co/9awgxobGDR 
Publi e parcerias: 
📬 contato@ https://t.co/9awgxobGDR
#notícias #curiosidades</t>
  </si>
  <si>
    <t>Dicas valiosas e estratégias de investimento para alavancar seus negócios e melhorar sua vida financeira. Siga-nos para aprender mais sobre finanças.</t>
  </si>
  <si>
    <t>Twitter oficial da Revista CLAUDIA. 
O sentido feminino. Assine: https://t.co/vYTs0lo0ki</t>
  </si>
  <si>
    <t>Escrevo sobre economia, inovação e tendências | Colunista da @claudiaonline, colaboradora @forbesbr, ex @abril @folha @estadodeminas</t>
  </si>
  <si>
    <t>@gremio 🇪🇪 design × ufrgs ⛩️ intp</t>
  </si>
  <si>
    <t>metade mulher metade chiclete de canela</t>
  </si>
  <si>
    <t>Deus me transformou e eu estou aqui para servir e ajudar o próximo❕</t>
  </si>
  <si>
    <t>In God &amp; vol we trust!
Administração Unisinos, MBA em Mercado de Capitais FSG. Futebol, Finanças e política (sem ter político de estimação ou ser isentão)</t>
  </si>
  <si>
    <t>O banco digital de quem faz negócios inteligentes.
Conheça o #jeitobbank</t>
  </si>
  <si>
    <t>Consultoria de investimento especializada em Wealth Management. Nosso objetivo é ajudar você a alcançar os seus.</t>
  </si>
  <si>
    <t>Na jornada por uma vida com propósito. 
Loading 🇺🇸🇧🇷⚽️
Vendo algumas meias, tento ser engraçado, jogo bola e sigo Jesus.</t>
  </si>
  <si>
    <t>O único portal angolano dedicado a Educação Financeira.
A nossa missão é levar a Educação Financeira a todos os lares angolanos! 😊💰💪 clica e sabe mais</t>
  </si>
  <si>
    <t>Cooperativa de crédito que proporciona serviços financeiros de natureza social. Nosso propósito: Conectar pessoas para fazer o bem.</t>
  </si>
  <si>
    <t>Somos um portal que vai dar dicas e informações para preparar você para o aumento da expectativa de vida em todas as áreas de sua vida: Financeira, Saúde.</t>
  </si>
  <si>
    <t>Contribuímos com o desenvolvimento sustentável do cooperativismo de crédito brasileiro.</t>
  </si>
  <si>
    <t>Consulta CPF e CNPJ, análise de crédito e parcelamento de contas em 18 vezes</t>
  </si>
  <si>
    <t>Seja bem-vindo ao BNA. A nossa missão é assegurar a estabilidade de preços e a solidez do sistema financeiro.</t>
  </si>
  <si>
    <t>Consultoria, Supervisão e Capacitação em Gestão. Ação nos Capitais: Humano, Intelectual e Imobilizado.
#synerhs</t>
  </si>
  <si>
    <t>Te ajudo a começar a investir de uma maneira fácil 💰
Criador do Partiu investir 📈
Curso Investindo em Cripto do Zero 🪙</t>
  </si>
  <si>
    <t>🪙| Aprende sobre Inversiones🤓💡| Ideas para iniciar un Negocio Online ‼️| Déjame tu like y sígueme para más🤘🏻 ⚠️| Para más Información, da clic aquí👇🏻</t>
  </si>
  <si>
    <t>Mercado Financeiro 📊 
Fatos Relevantes 🟢⚫️ 
Dividendos 💲 
Negociações de Administradores e Pessoas Ligadas de empresas da B3 🔄</t>
  </si>
  <si>
    <t>NewsGames 3D — Emulating News on RPG's games. Social solutions based on IA, XCOM, Telegram, WhatsApp — Political Solution Games Brazil🇧🇷🇮🇹Italy</t>
  </si>
  <si>
    <t>Fazer mais que uma escolha financeira é decidir crescer junto, transformando a vida de pessoas por todo o Brasil. Abra a sua conta e venha ser dono. 💚</t>
  </si>
  <si>
    <t>Ajudando brasileiros a atingir os seus tão almejados sonhos com uma boa gestão financeira e dos investimentos no exterior. #consultorfinanceiro</t>
  </si>
  <si>
    <t>Carioca/Fluminense &amp; Grande Rio 🇮🇹 
   Curiciquer             
 Simpsomaniaco, It's Me</t>
  </si>
  <si>
    <t>Cavaleiro da Ordem da Torre, do Mérito Civil e Militar, do Valor Artístico e Tecnológico.</t>
  </si>
  <si>
    <t>Lawyer | CertiProf LGPDF Certified | Former Software Developer| Blockchain Enthusiast | Estonian e-Resident | Homeschooler | Kitesurfing &amp; Scuba Diving</t>
  </si>
  <si>
    <t>Perfil focado em atualizações do mercado financeiro.</t>
  </si>
  <si>
    <t>Italian-Brazilian, Risk Management and Finance Professional CFP, Chemistry Teacher. Interested about science,  environment, animals protection, wine and tennis.</t>
  </si>
  <si>
    <t>Viajar é preciso! ⛵️</t>
  </si>
  <si>
    <t>Tudo sobre de Blockchain | Web3 | NFTS | Crypto Memes num sítio só: https://t.co/8KDUOWw3lK</t>
  </si>
  <si>
    <t>29, Engenheiro Civil, Empresário e Investidor, Professor na Trevisan, “Tente mover o mundo - o primeiro passo será mover a si mesmo”</t>
  </si>
  <si>
    <t>Somos uma empresa voltada para o marketing digital. Foco em divulgar produtos que serão de utilidade</t>
  </si>
  <si>
    <t>A INFO BOLSA INVESTIMENTOS é uma iniciativa criada com intuito de fornecer informações de qualidade para nossos seguidores.</t>
  </si>
  <si>
    <t>♥️#RioGrandeDoNorte
🏠#SãoPaulo
♥️#PaidaRauany
📚#Administração
❤️#Educação 
Attention!
Área restricted to the 
people of beautiful soul!</t>
  </si>
  <si>
    <t>Jornalista</t>
  </si>
  <si>
    <t>O seu portal de notícias sobre #Bitcoin e #blockchain, sua melhor fonte de informação com as mais recentes #notícias mundiais sobre #criptomoedas.</t>
  </si>
  <si>
    <t>BSC News is the leading media platform for Decentralized Finance (DeFi) and Web3.</t>
  </si>
  <si>
    <t>Twitter do site Economia &amp; Negócios do Estadão</t>
  </si>
  <si>
    <t>Desde 2017 estamos construindo um ecossistema com foco em levar até você todas as informações necessárias para sobreviver no mundo das criptomoedas.</t>
  </si>
  <si>
    <t>Moçambique tem o Melhor Banco Digital de África cheio de soluções disponíveis para si em qualquer parte do 🌎. Siga-nos 🙂</t>
  </si>
  <si>
    <t>Fundador do canal Investidor Consciente💰</t>
  </si>
  <si>
    <t>👩🏾‍🎓Gestora Financeira
🌻 Proprietária do Ateliê Mãos Que Brincam De Criar
🧶💕 Artesã
🐔Atleticana
😋 Taurina
🐕 Mãe do Chico
🙌🏽 Reikiana
🧀☕ Mineira Uai</t>
  </si>
  <si>
    <t>Sou Luci Almeida, agente Original rede vizinha @lucialmeidaaa</t>
  </si>
  <si>
    <t>A Ícone Editora é uma casa editorial com mais de 30 anos no mercado, e uma bagagem de publicações superior a 1.000 títulos, com uma proposta ampla e flexível.</t>
  </si>
  <si>
    <t>O Blog sobre Economia, Finanças Pessoais e Impostos</t>
  </si>
  <si>
    <t>👨‍👧‍👦 Pai de família       
💼 Criador @investmente_oficial 
💰 Conhecimento, Oportunidade &amp; Visão    💡 Inteligência financeira e Mercado Financeiro</t>
  </si>
  <si>
    <t>CEO da @nousifinance. Já movimentei bilhões de dólares como Vice-presidente do JPMorgan na Suíça. eBooks de investimentos 👇</t>
  </si>
  <si>
    <t>Games 🎮 
Animes ⛩️
Coding 👨‍💻
Cricket 🏏
Books 📚</t>
  </si>
  <si>
    <t>Java System Analyst at @TOTVS</t>
  </si>
  <si>
    <t>Nitele_financas</t>
  </si>
  <si>
    <t>Negócios &amp;
Filmes &amp;
Séries &amp;
Doramas &amp;
Músicas &amp;
k-pop &amp;
BTS &amp;
Educação &amp;
Culinária &amp;
Família &amp;
Vida!
💕👊🌟</t>
  </si>
  <si>
    <t>Gestor Oil&amp;Gas, Empresário, Observador, Crítico, Ousado, Engenheiro, Pai e Marido. Service Delivery, Educação, Negócios, Finanças, Notícia &amp; Política Global</t>
  </si>
  <si>
    <t>Empréstimos de pessoa para pessoa 🤝</t>
  </si>
  <si>
    <t>O OABPrev-RS é uma Entidade Fechada de Previdência Complementar, instituída pela Ordem dos Advogados do Brasil, Seccional do Rio Grande do Sul.</t>
  </si>
  <si>
    <t>A company specializing in Web3 solutions, with blockchain technology proficiency, focusing on the gaming and music industry retail, and agency markets. 🐸🚀</t>
  </si>
  <si>
    <t>Um amanhã cheio de possibilidade começa hoje com a Néos
Conecte-se ao novo 🚀
Conheça os nossos planos, vantagens e benefícios👇🏼</t>
  </si>
  <si>
    <t>Palestrante, Mentor e Escritor</t>
  </si>
  <si>
    <t>Bacharel em Comunicação Social com habilitação em Jornalismo #periodismo #journalism
📰 📱 💻 📷 📹 📺 📻 📓</t>
  </si>
  <si>
    <t>Educação Financeira de forma descomplicada e ao alcance de todos!
Ações, FII, Altcoins, NFT.
Trading, Price Action.</t>
  </si>
  <si>
    <t>Perfil oficial da Assembleia Legislativa de Alagoas, alimentado pela Assessoria de Comunicação da Casa. #AVozDoPovo</t>
  </si>
  <si>
    <t>Assessor de Investimentos 🧬100% Transparente e Direto ao Ponto 💼 Sócio @invistablue3, credenciado à @xpinvestimentos</t>
  </si>
  <si>
    <t>🌊♥️</t>
  </si>
  <si>
    <t>Turismólogo | Jornalista | Graduation in Tourism - Postgraduate in Teaching Methodology in Higher Education Nas “quatro linhas” com @fluminensefc e @packers</t>
  </si>
  <si>
    <t>🙅🏼‍♂️ Cripto ₿ e Finanças Pessoais 
🧠 Educação Financeira
📧 Israel@israelpimentel.com.br</t>
  </si>
  <si>
    <t>A leading of audit, tax and consulting services and #middlemarket specialist. 
120+ countries, 810 offices and 43,000 curious minds 
#ThePowerofBeingUnderstood</t>
  </si>
  <si>
    <t>O que você precisa saber sobre o mercado de fintechs, com notícias exclusivas, curadoria e contexto | Por @danylomartins_</t>
  </si>
  <si>
    <t>Mais do que um cartão e conta digital para crianças e adolescentes, Mozper apoia os pais na #EducaçãoFinanceira de seus filhos.  #fintech #Brasil #MeuMozper</t>
  </si>
  <si>
    <t>Vença nas Bolsas do Brasil ou dos EUA e conquiste Prosperidade Financeira!  Por Ricardo Vasconcellos, certificado CME Institute, Chicago, EUA.</t>
  </si>
  <si>
    <t>Twitter oficial da equipe de futebol feminino da Associação Ferroviária de Esportes, de Araraquara/SP. Bicampeã Brasileira (2014-2019)e Libertadores (2015-2020)</t>
  </si>
  <si>
    <t>tradicionalista, monarquista, distibutivista.</t>
  </si>
  <si>
    <t>Primeiro Campeão Continental do Mundo. 🏆💢 Todos os nossos perfis nas redes e iniciativas digitais. https://t.co/j1jZKOLWZy</t>
  </si>
  <si>
    <t>O maior portal do Twitter sobre o Vasco da Gama | Contato e publicidade: newscolina@gmail.com 📨 | Parceiro @KTO_Brasil 🤝</t>
  </si>
  <si>
    <t>Dados de fundos listados de renda passiva e isentos de imposto na distribuição de rendimentos para pessoa física: #Fii #Fiagro #Fipie #Fiinfra 🤖</t>
  </si>
  <si>
    <t>18 de Setembro: Sementes. Evento sem fins lucrativos, que reúne pessoas com ideias que merecem ser partilhadas. no modelo e sob licença #TED</t>
  </si>
  <si>
    <t>Career mentor by vocation, headhunter as a profession. Helping companies in Portugal to achieve outstanding results through people.</t>
  </si>
  <si>
    <t>Educação financeira, informações sobre investimentos e serviços, para você "Cultivar seu Futuro" e alcançar seus objetivos, de forma segura e eficiente.</t>
  </si>
  <si>
    <t>Conectada com você! Música, tecnologia, notícias, informação, esportes e variedades.</t>
  </si>
  <si>
    <t>°Educação ° Bíblia ° Leitura °Estoico</t>
  </si>
  <si>
    <t>Empresária</t>
  </si>
  <si>
    <t>Sou Vingador Financeiro. Ensino como melhorar de vida de forma lúdica para saber gastar certo, investir melhor e realizar sonhos. Palestrante e Coach.</t>
  </si>
  <si>
    <t>CEO &amp; Founder
@FslGlobalsa
Apoios da #FSL 
@JPMorgan 
#XP 
#Rico</t>
  </si>
  <si>
    <t>Mentoria em finanças pessoais / investimentos.
MBA em finanças com ênfase em mercado de capitais. Bacharel em Administração. 
10 anos na Acumuladores Moura SA.</t>
  </si>
  <si>
    <t>Empreendedor ↗️
Analista Financeiro↗️
Papai da Clarice💝
Vasco da Gama desde que nasci❤
Casado e vivendo em paz em família.</t>
  </si>
  <si>
    <t>Rapper Angolano membro do grupo Diamonds Whats app +244 926875141 Angolan Rapper , #WaveNation Bookings mqsoulja@gmail.com +244 926875141</t>
  </si>
  <si>
    <t>📊 Empreendedor | Educador financeiro | Investidor</t>
  </si>
  <si>
    <t>O portal de notícias de Santos, São Vicente, Praia Grande, Cubatão, Guarujá, Bertioga, Itanhaém, Mongaguá e Peruibe. Informações sobre a Baixada Santista-SP.</t>
  </si>
  <si>
    <t>Ouça o nosso Podcast
🎙3.8 k plays no APPS de áudio.
📽44.8 k Papo Incerto Podcast
https://t.co/yUzjbG00Zl</t>
  </si>
  <si>
    <t>Educadora Financeira na empresa Bixa Rica</t>
  </si>
  <si>
    <t>Gosto de escolher minhas ilusões 🎭🎲🎶🍀</t>
  </si>
  <si>
    <t>Secretaria de Estado de Educação do Rio de Janeiro - Seeduc RJ</t>
  </si>
  <si>
    <t>Ricardo Augusto Silva Advocacia. Informação jurídica ao seu alcance</t>
  </si>
  <si>
    <t>Ajudando a conquistar Segurança e Independência Financeira.</t>
  </si>
  <si>
    <t>Empresário, Contador, Mestre em Educação, Comunicacao e Administração, Comentarista de Programas de TV, Partido NOVO SV e Liberal.</t>
  </si>
  <si>
    <t>Somos uma comunidade com a missão de guiar as pessoas à sua autonomia cripto.</t>
  </si>
  <si>
    <t>GVN Corretores Associados | Promotora de Crédito desde 2005.
Inovação e tecnologia sempre juntos.
Saiba mais sobre a GVN pelo link abaixo</t>
  </si>
  <si>
    <t>Dicas para lidar melhor com o seu dinheiro. Investimentos em ações, fundos, poupança? Títulos, análises e notícias setoriais? As melhores informações para você.</t>
  </si>
  <si>
    <t>🤝 Te ajudo a organizar sua vida financeira de forma simples e estratégica.
📊 Saia das dívidas e gere renda extra com Investimentos.
💻 Acesse nosso site. 👇</t>
  </si>
  <si>
    <t>Página oficial do Sindicato dos Jogadores</t>
  </si>
  <si>
    <t>Centro de Investigação em Didática e Tecnologia na Formação de Formadores | Research Center on Didactics and Technology in the Education of Trainers</t>
  </si>
  <si>
    <t>A ANQEP, I.P. tem por missão coordenar a execução das políticas de educação e formação profissional de jovens e adultos</t>
  </si>
  <si>
    <t>Paixão pelo esporte.</t>
  </si>
  <si>
    <t>FUMEP - Fundação Municipal de Ensino de Piracicaba_x000D_
Instituída em outubro de 1967 pelo então prefeito Luciano Guidotti.</t>
  </si>
  <si>
    <t>O FGV EAESP Pesquisa tem o papel de apoiar e fomentar o desenvolvimento e a disseminação da pesquisa científica e aplicada na FGV.</t>
  </si>
  <si>
    <t>Especialista no Despertar do Potencial Humano em Propósito e Carreira, Saúde Financeira, Bem-Estar Integral e Atitudes Conscientes</t>
  </si>
  <si>
    <t>Analista CNPI-T/ Bacharel em Administração / Pós graduação MBA em gestão financeira</t>
  </si>
  <si>
    <t>Make the most out of your investments with our low fees and award-winning platform.
Investing involves a risk of loss.</t>
  </si>
  <si>
    <t>#Consultoria e #Mentoria em #Criptoativos e #Blockchain |
Website: https://t.co/6rxkieoB08</t>
  </si>
  <si>
    <t>Psicanalista clínica - Grafóloga - Grafoterapeuta.
Experiência e abordagem integrativa, tem conduzido muitas pessoas a superarem problemas emocionais.</t>
  </si>
  <si>
    <t>Fique por dentro das novidades!
Acesse: https://t.co/jMHBbbjuHE</t>
  </si>
  <si>
    <t>Serviçoas:
💼: DIRPF 2022
💼: Serviços Contábeis para empresas e autônomos!
💼: BPO Financeiro</t>
  </si>
  <si>
    <t>Misture-se com pessoas de bom coração.
Instagram: leogaspar.adm</t>
  </si>
  <si>
    <t>Carioca 🏖️ Cristão Reformado ✝️ AAI 📈 Investimentos e Private Bank 📊 Marido e Pai 👨‍👩‍👧‍👦 Vascaíno ⚽ PetLover 🐶 Jiu Jitsu 🥋</t>
  </si>
  <si>
    <t>This is me... Then</t>
  </si>
  <si>
    <t>"Explorador curioso da intersecção entre bits e ideias. Navegando pelo universo digital com a bússola da criatividade e a luz do conhecimento" 🚀✨</t>
  </si>
  <si>
    <t>Economista Comportamental - Conhecido como o "Dr. Money Sul". O economista que mais aparece na mídia do RS quando o assunto é o seu bolso , o seu dinheiro</t>
  </si>
  <si>
    <t>Aprenda a gerir o seu dinheiro com educação financeira! Comece por aprender os conceitos básicos e desenvolva habilidades para investir com sabedoria.</t>
  </si>
  <si>
    <t>Fundação de Previdência Complementar do Estado de São Paulo.</t>
  </si>
  <si>
    <t>Educação financeira a essência da construção de uma vida próspera.</t>
  </si>
  <si>
    <t>Escritório credenciado da XP Investimentos onde você encontra investimentos diversos, plataforma online completa e atendimento personalizado.</t>
  </si>
  <si>
    <t>Vereador PL 22 🇧🇷Paulínia SP, eleito por um voto de diferença. 🇧🇷💚💛🙌🏽</t>
  </si>
  <si>
    <t>Diretor Jurídico | Psicanalista. Especialista em Desenvolvimento Pessoal. Acesse nosso canal do YouTube: https://t.co/hrZG2VEXud</t>
  </si>
  <si>
    <t>🔥 Transforme seus sonhos em realidade! 🎯 Aprenda estratégias para prosperar financeiramente! 💡 Desenvolva a mentalidade que leva ao sucesso!</t>
  </si>
  <si>
    <t>Comentarista do @sbt_sports e da @cazetvoficial. Opinião e informação. Uma não existe sem a outra. 📰 Inscreva-se no https://t.co/jUF3T9g5qU 🎙</t>
  </si>
  <si>
    <t>👨‍🏫 Prof Universit Ciências Gerenciais, ✍🏻 Administrador , ⚽️ ex-Árbitro de Futebol, 🎤 Comentarista Esport e 👨‍👧‍👧 Pai. - Meus Hobbies: 📸,🏃‍♂️ e 🌹</t>
  </si>
  <si>
    <t>Bússola. Conteúdo estratégico para decisores. ESG, startups, economia, política, growth, trends, varejo, saúde, tecnologia, marketing, infraestrutura</t>
  </si>
  <si>
    <t>Do maderite ao mundo 🌍🎙
Artista: @mazzolanavoz
Projeto: @anonimousongs/ @investimentodequebrada
Loja Oficial @lojamadehits
CEO: @___mazzola___
SP✈</t>
  </si>
  <si>
    <t>Advogado e investidor.</t>
  </si>
  <si>
    <t>📍 Planejamento Financeiro | 🎓 Administração ⏩ Gestão Financeira e Controladoria | Transformar vidas através da Educação Financeira.</t>
  </si>
  <si>
    <t>A Financial Technology and Business Development Services Company aiming to enhance financial Inclusion in Africa and bring SMEs into the mainstream economy.</t>
  </si>
  <si>
    <t>➡️Empreendedor Financeiro &amp; Especialista em Marketing Digital. 🤑💼💰
➡️Ajudando a alcançar a liberdade financeira. 🕊️💸
➡️Baixe seu E-Book! 📖💻📲</t>
  </si>
  <si>
    <t>Tecnólogo em Radiologia hospitalar
Estudante de ciências econômicas
Estudante de ciência de dados
Estudante da metodologia Lean Six Sigma.</t>
  </si>
  <si>
    <t>Profesor en geografíae historia, investigador, Criptoentusiasta y apasionado al mundo de la Blockchaing</t>
  </si>
  <si>
    <t>Autora do site Aprender a Poupar - Conteúdos sobre finanças pessoais</t>
  </si>
  <si>
    <t>Sua dose diária de notícias. Um monte delas. 👓</t>
  </si>
  <si>
    <t>O nosso objetivo é proteger o seu poder de compra no longo prazo e compensar no futuro a gratificação adiada no presente.</t>
  </si>
  <si>
    <t>Escritório credenciado de Agentes Autônomos de Investimentos da GUIDE Investimentos</t>
  </si>
  <si>
    <t>compartilhando minhas experiencias com Investimentos, criptos, empreendedorismo.</t>
  </si>
  <si>
    <t>O Contas Online é um controle financeiro para uso pessoal ou empresarial, totalmente personalizável para atendê-lo da melhor forma possível.</t>
  </si>
  <si>
    <t>Desenvolver soluções inovadoras para fixação de suas marcas através de armazenamento digital , bem como o entretenimento cognitivo para a vida.</t>
  </si>
  <si>
    <t>Educação financeira para mulheres.</t>
  </si>
  <si>
    <t>"Veloz, eficiente e sempre no trânsito. Motoboy dedicado em entregar com rapidez e segurança. Acelerando para atender suas demandas!" #motoboy, #entrega</t>
  </si>
  <si>
    <t>Psicólogo e escritor. Por aqui carreira, insights em psicologia financeira, qualidade de vida, bem-estar e vida com propósito.  https://t.co/oYWoGpaMmJ</t>
  </si>
  <si>
    <t>Sua fonte oficial de notícias sobre a orientadora financeira @nathfinancas. Tem alguma dúvida? Chama a gente! | adm por #EquipeNathFinancas 💜💰</t>
  </si>
  <si>
    <t>eu, apenas Fernanda 𝒻Ｅя几Ａή𝓭𝐚 (っ◔◡◔)っ ♥ Fernanda 𝓕𝓮𝓻𝓷𝓪𝓷𝓭𝓪 ♥</t>
  </si>
  <si>
    <t>Um projeto educacional que visa ensinar a operar em bolsa de valores através da Análise Técnica de Investimentos</t>
  </si>
  <si>
    <t>Especialista em Investimentos | Fundador da TRUST Educação Financeira | Convicto de que a educação pode mudar vidas.</t>
  </si>
  <si>
    <t>Desde 1995, o FGC protege depositantes e investidores e contribui para a estabilidade do Sistema Financeiro Nacional.</t>
  </si>
  <si>
    <t>Articular, mobilizar e integrar os dirigentes municipais de educação para construir e defender a educação pública com qualidade social.</t>
  </si>
  <si>
    <t>O Instituto Sicoob foi criado com o objetivo de difundir a cultura cooperativista e contribuir para a promoção do desenvolvimento sustentável das comunidades.</t>
  </si>
  <si>
    <t>Fique por dentro das últimas notícias com o Portal ChicoSabeTudo. Aqui você encontra informações atualizadas e precisas sobre política, economia, entretenimento</t>
  </si>
  <si>
    <t>youtube.com/channel/UC0vLX…</t>
  </si>
  <si>
    <t>linktr.ee/oliveiraedison_</t>
  </si>
  <si>
    <t>nerycred.com.br</t>
  </si>
  <si>
    <t>politicadistrital.com.br</t>
  </si>
  <si>
    <t>thetryum.com</t>
  </si>
  <si>
    <t>policorretora.com.br</t>
  </si>
  <si>
    <t>investe10.com.br</t>
  </si>
  <si>
    <t>arezzo.com.br</t>
  </si>
  <si>
    <t>youtube.com/c/InvestidorTh…</t>
  </si>
  <si>
    <t>apoia.se/brasil_popular</t>
  </si>
  <si>
    <t>instagram.com/naiole_silva?i…</t>
  </si>
  <si>
    <t>guarulhosonline.com.br</t>
  </si>
  <si>
    <t>facebook.com/jornalcorreiod…</t>
  </si>
  <si>
    <t>obecon.org</t>
  </si>
  <si>
    <t>linklist.bio/mangabeiraunger</t>
  </si>
  <si>
    <t>odobrao.blogspot.com/?m=0</t>
  </si>
  <si>
    <t>tvt.org.br</t>
  </si>
  <si>
    <t>wa.me/qr/FD5IQQBVUVK…</t>
  </si>
  <si>
    <t>deixemecontar.com.br</t>
  </si>
  <si>
    <t>defensoria.rj.def.br</t>
  </si>
  <si>
    <t>gustavocerbasi.com.br</t>
  </si>
  <si>
    <t>original.com.br</t>
  </si>
  <si>
    <t>linktr.ee/angelus.crane</t>
  </si>
  <si>
    <t>facebook.com/pages/Blumenau…</t>
  </si>
  <si>
    <t>instagram.com/euedinheiro</t>
  </si>
  <si>
    <t>sicoobcrediembrapa.com.br</t>
  </si>
  <si>
    <t>lojauchoa.com.br</t>
  </si>
  <si>
    <t>instagram.com/analista.inves…</t>
  </si>
  <si>
    <t>mabcontabil.com.br</t>
  </si>
  <si>
    <t>ief.com.br</t>
  </si>
  <si>
    <t>bento.me/cesarkato</t>
  </si>
  <si>
    <t>nomercadofinanceiro.com.br</t>
  </si>
  <si>
    <t>desenvolvesp.com.br</t>
  </si>
  <si>
    <t>vagasdeempregosemsalvador.blogspot.com</t>
  </si>
  <si>
    <t>kwai-video.com/u/@linssdocear…</t>
  </si>
  <si>
    <t>wetranslateontime.com</t>
  </si>
  <si>
    <t>linktr.ee/goncalosousa</t>
  </si>
  <si>
    <t>aflawgovernancatributaria.com/home</t>
  </si>
  <si>
    <t>linktr.ee/enriquecendo_c…</t>
  </si>
  <si>
    <t>meexplica.com</t>
  </si>
  <si>
    <t>inteligenciafinanceira.com.br</t>
  </si>
  <si>
    <t>linktr.ee/inovacaolean</t>
  </si>
  <si>
    <t>roggia.com.br</t>
  </si>
  <si>
    <t>jornaldealagoas.com.br</t>
  </si>
  <si>
    <t>trakto.link/leveinvest</t>
  </si>
  <si>
    <t>linktr.ee/meunomelimpo</t>
  </si>
  <si>
    <t>economiapersonal.com.ar</t>
  </si>
  <si>
    <t>linktr.ee/acquavero</t>
  </si>
  <si>
    <t>instagram.com/juliocrf</t>
  </si>
  <si>
    <t>agoradeuzebra.com.br</t>
  </si>
  <si>
    <t>finclass.com</t>
  </si>
  <si>
    <t>thatcanonboy.blogspot.com/?m=1</t>
  </si>
  <si>
    <t>tiktok.com/@nunobaio</t>
  </si>
  <si>
    <t>LoopiPay.com</t>
  </si>
  <si>
    <t>diariodocomercio.com.br</t>
  </si>
  <si>
    <t>paraminvest.in</t>
  </si>
  <si>
    <t>linkr.com/deduzsolucoes</t>
  </si>
  <si>
    <t>twitter.com/ValdecirRondel1</t>
  </si>
  <si>
    <t>linktr.ee/AlanCoelho</t>
  </si>
  <si>
    <t>planosassessoria.com</t>
  </si>
  <si>
    <t>fernando-augusto.com</t>
  </si>
  <si>
    <t>instagram.com/bcripto.eth</t>
  </si>
  <si>
    <t>correiopopular.com.br</t>
  </si>
  <si>
    <t>instagram.com/matteusponttes</t>
  </si>
  <si>
    <t>riobravo.com.br</t>
  </si>
  <si>
    <t>instagram.com/andrearruda_in…</t>
  </si>
  <si>
    <t>drjerryboni.com.br</t>
  </si>
  <si>
    <t>bnb.gov.br</t>
  </si>
  <si>
    <t>linktr.ee/cnpjotas</t>
  </si>
  <si>
    <t>danielguidotti.com</t>
  </si>
  <si>
    <t>facebook.com/Antenado.GiP</t>
  </si>
  <si>
    <t>rikei.com.br</t>
  </si>
  <si>
    <t>instagram.com/pulsofinanceir…</t>
  </si>
  <si>
    <t>auxiliocredito.com</t>
  </si>
  <si>
    <t>instagram.com/jacoagirafa?ig…</t>
  </si>
  <si>
    <t>…staeletronicadesaomiguel.blogspot.com</t>
  </si>
  <si>
    <t>consed.org.br</t>
  </si>
  <si>
    <t>cwb.finance</t>
  </si>
  <si>
    <t>juliomauricio.com</t>
  </si>
  <si>
    <t>moneytimes.com.br/cryptotimes/</t>
  </si>
  <si>
    <t>wmbmarketingdigital.com.br</t>
  </si>
  <si>
    <t>t.me/NOBTheEntertai…</t>
  </si>
  <si>
    <t>gtinvest.com.br</t>
  </si>
  <si>
    <t>linktr.ee/vokin</t>
  </si>
  <si>
    <t>hedgementor.com</t>
  </si>
  <si>
    <t>financasecia.com.br</t>
  </si>
  <si>
    <t>wa.me/message/YAFAFB…</t>
  </si>
  <si>
    <t>freelancerproof.blogspot.com</t>
  </si>
  <si>
    <t>organizze.com.br</t>
  </si>
  <si>
    <t>linktr.ee/organizzeme</t>
  </si>
  <si>
    <t>mla.bs/c1acb5b4</t>
  </si>
  <si>
    <t>joaokepler.com.br</t>
  </si>
  <si>
    <t>bcb.gov.br</t>
  </si>
  <si>
    <t>linktr.ee/tiago.roberto.…</t>
  </si>
  <si>
    <t>youtube.com/c/pordentrodoa…</t>
  </si>
  <si>
    <t>gosto-disto.com</t>
  </si>
  <si>
    <t>williamhunt.com.br/segredos-dos-i…</t>
  </si>
  <si>
    <t>youtu.be/1t9qKcLwB28</t>
  </si>
  <si>
    <t>amazon.com.br/dp/B07PN1MF14</t>
  </si>
  <si>
    <t>bit.ly/PouparSeguros</t>
  </si>
  <si>
    <t>linktr.ee/mblparana</t>
  </si>
  <si>
    <t>mbl.org.br</t>
  </si>
  <si>
    <t>bit.ly/3oR4wGI</t>
  </si>
  <si>
    <t>worldbusinessoutlook.com</t>
  </si>
  <si>
    <t>fgv.br/eaesp</t>
  </si>
  <si>
    <t>joaopessoa.pb.leg.br</t>
  </si>
  <si>
    <t>youtube.com/@opoder.do.din…</t>
  </si>
  <si>
    <t>blocknews.tech/author/dieliso…</t>
  </si>
  <si>
    <t>bizucash.com.br</t>
  </si>
  <si>
    <t>youtube.com/@grdotrader</t>
  </si>
  <si>
    <t>fortecultural.wordpress.com</t>
  </si>
  <si>
    <t>fenacon.org.br</t>
  </si>
  <si>
    <t>broadcast.com.br</t>
  </si>
  <si>
    <t>bb.com.br</t>
  </si>
  <si>
    <t>ucs.br</t>
  </si>
  <si>
    <t>varginhaonline.com.br</t>
  </si>
  <si>
    <t>linkedin.com/in/l%C3%ADdiaa…</t>
  </si>
  <si>
    <t>linktr.ee/prefeiturademe…</t>
  </si>
  <si>
    <t>majeseg.com.br</t>
  </si>
  <si>
    <t>fabiooliveirafinancas.com.br</t>
  </si>
  <si>
    <t>polkadot.network</t>
  </si>
  <si>
    <t>p2p.polkabridge.org</t>
  </si>
  <si>
    <t>linktr.ee/descentraliza.…</t>
  </si>
  <si>
    <t>duduhrosa13.my.canva.site</t>
  </si>
  <si>
    <t>imperiosolar.com.br</t>
  </si>
  <si>
    <t>lux.capital</t>
  </si>
  <si>
    <t>mongeinvestidor.com</t>
  </si>
  <si>
    <t>angelamaracarvalho.com.br</t>
  </si>
  <si>
    <t>poesiadosperegrinos.wordpress.com</t>
  </si>
  <si>
    <t>mundorh.com.br</t>
  </si>
  <si>
    <t>123passei.com.br</t>
  </si>
  <si>
    <t>tc.com.br</t>
  </si>
  <si>
    <t>suacoxinha.com.br</t>
  </si>
  <si>
    <t>youtube.com/c/kritikepodca…</t>
  </si>
  <si>
    <t>youtube.com/@squeezey8576</t>
  </si>
  <si>
    <t>linktr.ee/cryptoherobr</t>
  </si>
  <si>
    <t>beacons.ai/garotacrypto</t>
  </si>
  <si>
    <t>juninhojornalista.com/links/</t>
  </si>
  <si>
    <t>blogdojuares.com.br</t>
  </si>
  <si>
    <t>linktr.ee/joaoricardosil</t>
  </si>
  <si>
    <t>linktr.ee/sonartradeofic…</t>
  </si>
  <si>
    <t>betoveiga.com</t>
  </si>
  <si>
    <t>linktr.ee/centralcursoss</t>
  </si>
  <si>
    <t>linktr.ee/econovisao</t>
  </si>
  <si>
    <t>bit.ly/CanalMQL5Trade…</t>
  </si>
  <si>
    <t>claudiohabibe.com</t>
  </si>
  <si>
    <t>jrvc.com.br</t>
  </si>
  <si>
    <t>minutoinvestimento.com.br</t>
  </si>
  <si>
    <t>news.lucianaseabra.com.br</t>
  </si>
  <si>
    <t>bit.ly/programa-afili…</t>
  </si>
  <si>
    <t>1bilhao.com.br</t>
  </si>
  <si>
    <t>paisefilhos.uol.com.br</t>
  </si>
  <si>
    <t>editoraviseu.com</t>
  </si>
  <si>
    <t>amma.com.br</t>
  </si>
  <si>
    <t>cbn.com.br</t>
  </si>
  <si>
    <t>linkme.bio/ibest-ricardo-…</t>
  </si>
  <si>
    <t>vocerh.abril.com.br</t>
  </si>
  <si>
    <t>hotm.art/4RyhSMi5</t>
  </si>
  <si>
    <t>comlucro.com.br</t>
  </si>
  <si>
    <t>digasimamonarquia.com.br/monarquia</t>
  </si>
  <si>
    <t>lerbookstore.com.br</t>
  </si>
  <si>
    <t>criteriainvest.com.br</t>
  </si>
  <si>
    <t>indigo.org.br</t>
  </si>
  <si>
    <t>instagram.com/igorhonorioo?i…</t>
  </si>
  <si>
    <t>e-loan.pt/poupe-ja/</t>
  </si>
  <si>
    <t>marceloalonsorio.blogspot.com</t>
  </si>
  <si>
    <t>instagram.com/guilhermeademi…</t>
  </si>
  <si>
    <t>facebook.com/profile.php?id…</t>
  </si>
  <si>
    <t>paraopovo.com.br</t>
  </si>
  <si>
    <t>instagram.com/minteredu</t>
  </si>
  <si>
    <t>credbommfinanceira.com.br</t>
  </si>
  <si>
    <t>linktr.ee/pedrofagundes</t>
  </si>
  <si>
    <t>ens.edu.br</t>
  </si>
  <si>
    <t>unicred.com.br/home</t>
  </si>
  <si>
    <t>opengrowth.com</t>
  </si>
  <si>
    <t>irflash.com.br</t>
  </si>
  <si>
    <t>mon.net.br/2q8fjf</t>
  </si>
  <si>
    <t>sabidinis.com</t>
  </si>
  <si>
    <t>meubolsoemdia.com.br</t>
  </si>
  <si>
    <t>flyvagner.com.br</t>
  </si>
  <si>
    <t>allmylinks.com/tapadamaoinvis…</t>
  </si>
  <si>
    <t>suno.me/3P1EsSi</t>
  </si>
  <si>
    <t>crescat.net/disclosures</t>
  </si>
  <si>
    <t>crescat.net</t>
  </si>
  <si>
    <t>jornaldigital360.com.br</t>
  </si>
  <si>
    <t>blogpdanoticia.blogspot.com</t>
  </si>
  <si>
    <t>vitoriaregia.net</t>
  </si>
  <si>
    <t>t.me/holdermindset</t>
  </si>
  <si>
    <t>youtube.com/@originalsantt…</t>
  </si>
  <si>
    <t>linkr.bio/deriv</t>
  </si>
  <si>
    <t>linktr.ee/jornadacapital</t>
  </si>
  <si>
    <t>gopage.bio/tocadoslivros</t>
  </si>
  <si>
    <t>maisativos.com.br/loja/</t>
  </si>
  <si>
    <t>muttercorp.com.br</t>
  </si>
  <si>
    <t>alexandregarrettrh.com.br</t>
  </si>
  <si>
    <t>portalviva.com.br</t>
  </si>
  <si>
    <t>instagram.com/marcone.united…</t>
  </si>
  <si>
    <t>finscool.com.br</t>
  </si>
  <si>
    <t>linktr.ee/abratesbrasil</t>
  </si>
  <si>
    <t>moneytimes.com.br</t>
  </si>
  <si>
    <t>instagram.com/dawisonbarbosa/</t>
  </si>
  <si>
    <t>fb.com/ricardoschramm</t>
  </si>
  <si>
    <t>g1.com.br/sptv</t>
  </si>
  <si>
    <t>g1.com.br/globonews</t>
  </si>
  <si>
    <t>reviewprodutos.com</t>
  </si>
  <si>
    <t>youtu.be/VUYPKy7pw2I</t>
  </si>
  <si>
    <t>technewsbr.substack.com</t>
  </si>
  <si>
    <t>instagram.com/umecologo</t>
  </si>
  <si>
    <t>app.ivipcoin.com/00P5003V8DGRCJ…</t>
  </si>
  <si>
    <t>beieducacao.com.br</t>
  </si>
  <si>
    <t>linktr.ee/clubeacao</t>
  </si>
  <si>
    <t>alexfinancas.com.br</t>
  </si>
  <si>
    <t>jadsonempreendedor.com</t>
  </si>
  <si>
    <t>Instagram.com/projaposent</t>
  </si>
  <si>
    <t>sebrae.com.br/tocantins</t>
  </si>
  <si>
    <t>hungryforhits.com/downpost3.php?…</t>
  </si>
  <si>
    <t>sicoob.com.br/web/sicoobcoop…</t>
  </si>
  <si>
    <t>mutualcapitalinvest.com</t>
  </si>
  <si>
    <t>bancomoc.mz</t>
  </si>
  <si>
    <t>lp.vivasemprecomdinheiro.com.br</t>
  </si>
  <si>
    <t>pobrepoupa.com.br</t>
  </si>
  <si>
    <t>nogueirabatista.com.br</t>
  </si>
  <si>
    <t>linktr.ee/gruporecuperab…</t>
  </si>
  <si>
    <t>instagram.com/lucianfreirepr…</t>
  </si>
  <si>
    <t>spainvestor.com.br</t>
  </si>
  <si>
    <t>meiahora.com</t>
  </si>
  <si>
    <t>onlinetraders.com.br</t>
  </si>
  <si>
    <t>RGGames.com.br</t>
  </si>
  <si>
    <t>gmms.mundoms.com</t>
  </si>
  <si>
    <t>linkpop.com/financa</t>
  </si>
  <si>
    <t>astanapay.com.br</t>
  </si>
  <si>
    <t>weblore.net</t>
  </si>
  <si>
    <t>contaxx.com.br</t>
  </si>
  <si>
    <t>linktr.ee/fatecferraz</t>
  </si>
  <si>
    <t>leokuba.contactin.bio</t>
  </si>
  <si>
    <t>b18.com.br</t>
  </si>
  <si>
    <t>nathfinancas.com.br/nathplay/</t>
  </si>
  <si>
    <t>invistafinancas.com.br</t>
  </si>
  <si>
    <t>craes.org.br</t>
  </si>
  <si>
    <t>nossomeio.com.br</t>
  </si>
  <si>
    <t>defensoria.rs.def.br</t>
  </si>
  <si>
    <t>blogmiltonneves.uol.com.br</t>
  </si>
  <si>
    <t>linktr.ee/nonoinvestidor</t>
  </si>
  <si>
    <t>lula.com.br/siga-o-lula/</t>
  </si>
  <si>
    <t>ottofinancas.com.br</t>
  </si>
  <si>
    <t>youtube.com/@GPSdosNegocios</t>
  </si>
  <si>
    <t>lp.financasup.com/plannerfinance…</t>
  </si>
  <si>
    <t>mg.senac.br</t>
  </si>
  <si>
    <t>atletico.com.br</t>
  </si>
  <si>
    <t>apptuts.bio/marciocardial</t>
  </si>
  <si>
    <t>melhorrh.com.br</t>
  </si>
  <si>
    <t>linkedin.com/in/valdemar-di…</t>
  </si>
  <si>
    <t>linktr.ee/Kamba.Rico</t>
  </si>
  <si>
    <t>portalfinancaspessoais.com.br</t>
  </si>
  <si>
    <t>gynbanco.com.br</t>
  </si>
  <si>
    <t>linktr.ee/stimperapp</t>
  </si>
  <si>
    <t>open.spotify.com/show/4Wtfai8gB…</t>
  </si>
  <si>
    <t>instagram.com/en_dinheirando</t>
  </si>
  <si>
    <t>igorvieiraconsultor.com.br</t>
  </si>
  <si>
    <t>futureproof.pt</t>
  </si>
  <si>
    <t>linktr.ee/maniampodcast</t>
  </si>
  <si>
    <t>fluir.ibgtaubate.com.br</t>
  </si>
  <si>
    <t>twitch.com/Leomorban</t>
  </si>
  <si>
    <t>jornaldooeste.com.br</t>
  </si>
  <si>
    <t>vivendoplenamente.com.br</t>
  </si>
  <si>
    <t>febraban.org.br</t>
  </si>
  <si>
    <t>linktr.ee/HD1pod</t>
  </si>
  <si>
    <t>linktr.ee/onilgroup</t>
  </si>
  <si>
    <t>rankia.com.br</t>
  </si>
  <si>
    <t>rankia.com</t>
  </si>
  <si>
    <t>lnk.bio/sicoobfluminen…</t>
  </si>
  <si>
    <t>educacaofinanceira.co.mz</t>
  </si>
  <si>
    <t>estacaofinancas.com</t>
  </si>
  <si>
    <t>missaorenda.com.br</t>
  </si>
  <si>
    <t>linktr.ee/moprify</t>
  </si>
  <si>
    <t>youtube.com/@capitalizando…</t>
  </si>
  <si>
    <t>linktr.ee/douglasalex</t>
  </si>
  <si>
    <t>dyjardan.blogspot.com</t>
  </si>
  <si>
    <t>instabio.cc/21030ACb8SA</t>
  </si>
  <si>
    <t>astrologika.wordpress.com</t>
  </si>
  <si>
    <t>linktr.ee/adcamenhe</t>
  </si>
  <si>
    <t>mastermaverick.com.br</t>
  </si>
  <si>
    <t>sicoobcrediara.rds.land/seguros-gerais</t>
  </si>
  <si>
    <t>zoomdinheiro.com.br</t>
  </si>
  <si>
    <t>instagram.com/henriquecaldei…</t>
  </si>
  <si>
    <t>expofavela.com.br</t>
  </si>
  <si>
    <t>linktr.ee/agrocapitais</t>
  </si>
  <si>
    <t>setorsaude.com.br</t>
  </si>
  <si>
    <t>redetv.uol.com.br/jornalismo</t>
  </si>
  <si>
    <t>colband.com.br</t>
  </si>
  <si>
    <t>menezescontabilidade.com.br</t>
  </si>
  <si>
    <t>bio.site/universidadebl…</t>
  </si>
  <si>
    <t>umblogqualquer.com.br/index.php/cate…</t>
  </si>
  <si>
    <t>geracaolider.com.br</t>
  </si>
  <si>
    <t>fellipelli.com.br</t>
  </si>
  <si>
    <t>linkme.bio/niiw.app</t>
  </si>
  <si>
    <t>serpro.gov.br</t>
  </si>
  <si>
    <t>bancosemear.com.br</t>
  </si>
  <si>
    <t>spbancarios.com.br</t>
  </si>
  <si>
    <t>linkedin.com/in/skaylarz/</t>
  </si>
  <si>
    <t>noveen.com.br</t>
  </si>
  <si>
    <t>dia30comdinheiro.com/tw</t>
  </si>
  <si>
    <t>links.ourbooks.com.br</t>
  </si>
  <si>
    <t>ourbooks.com.br</t>
  </si>
  <si>
    <t>m2msaber.com.br</t>
  </si>
  <si>
    <t>linktr.ee/orcosecontabil…</t>
  </si>
  <si>
    <t>ebookesolucao.blogspot.com</t>
  </si>
  <si>
    <t>rmcnoticias.com.br</t>
  </si>
  <si>
    <t>plocplay.com.br</t>
  </si>
  <si>
    <t>cdljovem.org.br</t>
  </si>
  <si>
    <t>instagram.com/charles.wicz/</t>
  </si>
  <si>
    <t>youtube.com/@AlexSilva-cz7…</t>
  </si>
  <si>
    <t>facebook.com/flavia.pribeiro</t>
  </si>
  <si>
    <t>teatrosergiocardoso.org.br</t>
  </si>
  <si>
    <t>linktr.ee/ricardoschweit…</t>
  </si>
  <si>
    <t>linktr.ee/agorainvestime…</t>
  </si>
  <si>
    <t>girofinanceiro.com.br</t>
  </si>
  <si>
    <t>gov.br/investidor</t>
  </si>
  <si>
    <t>prospergroup.co.in</t>
  </si>
  <si>
    <t>thelittlehodler.com</t>
  </si>
  <si>
    <t>esmaelmorais.com.br</t>
  </si>
  <si>
    <t>rosiellepegado.com.br</t>
  </si>
  <si>
    <t>flyve.com.br</t>
  </si>
  <si>
    <t>coletiva.org</t>
  </si>
  <si>
    <t>economiacompleta.com</t>
  </si>
  <si>
    <t>tvgazeta.com.br</t>
  </si>
  <si>
    <t>tvgazeta.com.br/jornaldagazeta</t>
  </si>
  <si>
    <t>linktr.ee/Luizpersechini</t>
  </si>
  <si>
    <t>cndl.org.br</t>
  </si>
  <si>
    <t>gov.br/receitafederal…</t>
  </si>
  <si>
    <t>investoom.com</t>
  </si>
  <si>
    <t>teiadigital.com.br</t>
  </si>
  <si>
    <t>cgd.com.br</t>
  </si>
  <si>
    <t>diegohenrique.com.br</t>
  </si>
  <si>
    <t>unifesp.br</t>
  </si>
  <si>
    <t>findocs.com.br</t>
  </si>
  <si>
    <t>instagram.com/alineamaral.ta…</t>
  </si>
  <si>
    <t>cnnbrasil.com.br/economia/</t>
  </si>
  <si>
    <t>youtube.com/watch?v=mPr-CB…</t>
  </si>
  <si>
    <t>jornalcontabil.com.br</t>
  </si>
  <si>
    <t>instagram.com/darlantd/</t>
  </si>
  <si>
    <t>pedrofernandonery.com</t>
  </si>
  <si>
    <t>estadao.com.br</t>
  </si>
  <si>
    <t>ibge.gov.br</t>
  </si>
  <si>
    <t>folha.com.br</t>
  </si>
  <si>
    <t>valor.globo.com</t>
  </si>
  <si>
    <t>linktr.ee/livrosextraord…</t>
  </si>
  <si>
    <t>amazonprev.am.gov.br</t>
  </si>
  <si>
    <t>suplecred.com.br</t>
  </si>
  <si>
    <t>altemirfarinhas.com.br</t>
  </si>
  <si>
    <t>linktr.ee/portalbelem.co…</t>
  </si>
  <si>
    <t>forbes.com.br</t>
  </si>
  <si>
    <t>gov.br/cvm</t>
  </si>
  <si>
    <t>B3.com.br</t>
  </si>
  <si>
    <t>linktr.ee/sunoasset</t>
  </si>
  <si>
    <t>linktr.ee/humana.org</t>
  </si>
  <si>
    <t>stealthelook.com.br</t>
  </si>
  <si>
    <t>t.me/devinformado</t>
  </si>
  <si>
    <t>lnk.bio/doutorfinancas…</t>
  </si>
  <si>
    <t>linktr.ee/hydrainveste</t>
  </si>
  <si>
    <t>instagram.com/investidor_ne?…</t>
  </si>
  <si>
    <t>momentoverdadeiro.com</t>
  </si>
  <si>
    <t>noticiasdatv.uol.com.br</t>
  </si>
  <si>
    <t>jornaldenegocios.pt/assinaturas</t>
  </si>
  <si>
    <t>linktr.ee/caminhodoinves…</t>
  </si>
  <si>
    <t>sicnoticias.pt</t>
  </si>
  <si>
    <t>linktr.ee/_active_money</t>
  </si>
  <si>
    <t>instagram.com/leooomoraes</t>
  </si>
  <si>
    <t>advwesleycesar.com</t>
  </si>
  <si>
    <t>bio.profissaomedica.com.br</t>
  </si>
  <si>
    <t>leofinance.io/profile/lipe10…</t>
  </si>
  <si>
    <t>linktr.ee/invistamonett</t>
  </si>
  <si>
    <t>blogdohiellevy.com.br</t>
  </si>
  <si>
    <t>investedigital.com.br</t>
  </si>
  <si>
    <t>josecredito.com.br</t>
  </si>
  <si>
    <t>linktr.ee/ravenort</t>
  </si>
  <si>
    <t>beacons.ai/misaelnascimen…</t>
  </si>
  <si>
    <t>portalibre.fgv.br</t>
  </si>
  <si>
    <t>emoneybrasil.com.br</t>
  </si>
  <si>
    <t>economicnewsbrasil.com.br</t>
  </si>
  <si>
    <t>linktr.ee/creditopravaler</t>
  </si>
  <si>
    <t>vidasimples.co</t>
  </si>
  <si>
    <t>instagram.com/luamedeiros92</t>
  </si>
  <si>
    <t>wa.me/244951668548</t>
  </si>
  <si>
    <t>atilalemos.com.br</t>
  </si>
  <si>
    <t>cantarescorretora.com.br</t>
  </si>
  <si>
    <t>flj.com.br</t>
  </si>
  <si>
    <t>inovaflix.com</t>
  </si>
  <si>
    <t>instabio.cc/britzztheking</t>
  </si>
  <si>
    <t>kakoramos.com</t>
  </si>
  <si>
    <t>produtiveme.club/link/</t>
  </si>
  <si>
    <t>youtube.com/@guiftmottin</t>
  </si>
  <si>
    <t>tvcultura.com.br</t>
  </si>
  <si>
    <t>youtube.com/channel/UCMm75…</t>
  </si>
  <si>
    <t>odysee.com/@contab_invest…</t>
  </si>
  <si>
    <t>meutu.do/JCtAqD</t>
  </si>
  <si>
    <t>saopaulo.sp.gov.br</t>
  </si>
  <si>
    <t>mundocoop.com.br</t>
  </si>
  <si>
    <t>cintiamenegazzo.com.br</t>
  </si>
  <si>
    <t>x.gd/9LyUF</t>
  </si>
  <si>
    <t>civitas.org.br</t>
  </si>
  <si>
    <t>linktr.ee/vincoexchange</t>
  </si>
  <si>
    <t>linktr.ee/descomplicaft</t>
  </si>
  <si>
    <t>academiadodinheiro.com.br</t>
  </si>
  <si>
    <t>ntnc.com.br/1f961fa7-b913-…</t>
  </si>
  <si>
    <t>resultadossustentaveis.com</t>
  </si>
  <si>
    <t>linktr.ee/byebnk</t>
  </si>
  <si>
    <t>linktr.ee/romero.financas</t>
  </si>
  <si>
    <t>jornaljogoserio.com.br</t>
  </si>
  <si>
    <t>metaverso77.my.canva.site/portal77</t>
  </si>
  <si>
    <t>linktr.ee/isleno.invest</t>
  </si>
  <si>
    <t>financaspessoais.net.br</t>
  </si>
  <si>
    <t>facebook.com/cidadaniaporto…</t>
  </si>
  <si>
    <t>t2id.com</t>
  </si>
  <si>
    <t>linktr.ee/investoetf</t>
  </si>
  <si>
    <t>linktr.ee/vempragruppi</t>
  </si>
  <si>
    <t>rotinamidia.com.br</t>
  </si>
  <si>
    <t>linktr.ee/capemisasegura…</t>
  </si>
  <si>
    <t>seuplanejadorfinanceiropessoal.com</t>
  </si>
  <si>
    <t>justiciafiscal.net</t>
  </si>
  <si>
    <t>ijf.org.br</t>
  </si>
  <si>
    <t>afocefe.org.br</t>
  </si>
  <si>
    <t>inesc.org.br</t>
  </si>
  <si>
    <t>realdominio.com.br</t>
  </si>
  <si>
    <t>kontab.io</t>
  </si>
  <si>
    <t>bit.ly/cadastro-power…</t>
  </si>
  <si>
    <t>lanistar.com/pt-BR/</t>
  </si>
  <si>
    <t>youtube.com/@ojoaoulisses</t>
  </si>
  <si>
    <t>19nov23.⠀</t>
  </si>
  <si>
    <t>dividazero.com.br</t>
  </si>
  <si>
    <t>redevida.com.br</t>
  </si>
  <si>
    <t>proatitude.com</t>
  </si>
  <si>
    <t>fnsfinancas.com</t>
  </si>
  <si>
    <t>arkaonline.com.br</t>
  </si>
  <si>
    <t>dis.bb/6008H65u6</t>
  </si>
  <si>
    <t>instagram.com/arthurbahia/</t>
  </si>
  <si>
    <t>linktr.ee/livescertifica…</t>
  </si>
  <si>
    <t>moneytimes.com.br/agrotimes/</t>
  </si>
  <si>
    <t>linktr.ee/workshopdantas</t>
  </si>
  <si>
    <t>about.me/rogermoreira</t>
  </si>
  <si>
    <t>instagram.com/robertomottaof…</t>
  </si>
  <si>
    <t>linktr.ee/lucianaconsult…</t>
  </si>
  <si>
    <t>linktr.ee/sitemundonegro</t>
  </si>
  <si>
    <t>twitch.tv/chocolateexpre…</t>
  </si>
  <si>
    <t>forkthebanks.io/mercados</t>
  </si>
  <si>
    <t>consorciovwnacional.com.br</t>
  </si>
  <si>
    <t>capacitatreinamantos.com.br</t>
  </si>
  <si>
    <t>bit.ly/tw_bio_revista…</t>
  </si>
  <si>
    <t>instagram.com/marcoscleberc?…</t>
  </si>
  <si>
    <t>econofin.site</t>
  </si>
  <si>
    <t>bomconsorcio.com.br</t>
  </si>
  <si>
    <t>nortusinvestimentos.com.br</t>
  </si>
  <si>
    <t>linktr.ee/tradersaedrash…</t>
  </si>
  <si>
    <t>linktr.ee/investimentoob…</t>
  </si>
  <si>
    <t>educandoseubolso.blog.br/cursos/</t>
  </si>
  <si>
    <t>youtube.com/playlist?list=…</t>
  </si>
  <si>
    <t>fenancas.com</t>
  </si>
  <si>
    <t>youtube.com/channel/UCzCNa…</t>
  </si>
  <si>
    <t>cursoscda.com.br</t>
  </si>
  <si>
    <t>cmc.ao</t>
  </si>
  <si>
    <t>moneyraio.com.br/verdade/</t>
  </si>
  <si>
    <t>ziontradeplatform.com/alparilk</t>
  </si>
  <si>
    <t>superrico.com.br/para-pessoas-e…</t>
  </si>
  <si>
    <t>keepgrowing.com.br</t>
  </si>
  <si>
    <t>poupex.com.br</t>
  </si>
  <si>
    <t>youtube.com/@siqueirainves…</t>
  </si>
  <si>
    <t>claudia.com.br</t>
  </si>
  <si>
    <t>open.spotify.com/show/1lr3fbkW5…</t>
  </si>
  <si>
    <t>behance.com/lucashc</t>
  </si>
  <si>
    <t>instagram.com/xaviersduda</t>
  </si>
  <si>
    <t>tiktok.com/otaciotrader</t>
  </si>
  <si>
    <t>profitsideblog.wixsite.com/profitside</t>
  </si>
  <si>
    <t>linktr.ee/bbankoficial</t>
  </si>
  <si>
    <t>apencapital.com.br</t>
  </si>
  <si>
    <t>instagram.com/invites/contac…</t>
  </si>
  <si>
    <t>coopmil.coop.br</t>
  </si>
  <si>
    <t>dicasdelongevidade.com.br</t>
  </si>
  <si>
    <t>confebras.coop.br</t>
  </si>
  <si>
    <t>cdlsaocaetano.org.br</t>
  </si>
  <si>
    <t>bit.ly/LISPA-JumpStart</t>
  </si>
  <si>
    <t>bit.ly/3t4Lvxy</t>
  </si>
  <si>
    <t>partiuinvestir.finance.blog</t>
  </si>
  <si>
    <t>blogdonewsgames.blogspot.it</t>
  </si>
  <si>
    <t>bit.ly/_sicoob</t>
  </si>
  <si>
    <t>youtube.com/channel/UC2qyK…</t>
  </si>
  <si>
    <t>napoleao.adv.br</t>
  </si>
  <si>
    <t>instagram.com/achadosdomarke…</t>
  </si>
  <si>
    <t>khanh.com.br</t>
  </si>
  <si>
    <t>webitcoin.com.br</t>
  </si>
  <si>
    <t>bsc.news</t>
  </si>
  <si>
    <t>economia.estadao.com.br</t>
  </si>
  <si>
    <t>linktr.ee/ubamz</t>
  </si>
  <si>
    <t>youtube.com/@canalinvestid…</t>
  </si>
  <si>
    <t>elo7.com.br/maosquebrincam…</t>
  </si>
  <si>
    <t>iconeeditora.com.br</t>
  </si>
  <si>
    <t>mlabspages.com/investmente/in…</t>
  </si>
  <si>
    <t>nousi.finance</t>
  </si>
  <si>
    <t>nakatanis.wordpress.com</t>
  </si>
  <si>
    <t>instagram.com/@manderlinycos…</t>
  </si>
  <si>
    <t>fido.com.vc</t>
  </si>
  <si>
    <t>oabprev-rs.org.br</t>
  </si>
  <si>
    <t>linktr.ee/wiboocria</t>
  </si>
  <si>
    <t>linktr.ee/neosprevidencia</t>
  </si>
  <si>
    <t>jotaoliver.com.br/bio</t>
  </si>
  <si>
    <t>instagram.com/stela_maris_</t>
  </si>
  <si>
    <t>al.al.leg.br</t>
  </si>
  <si>
    <t>linktr.ee/fernandokobuti</t>
  </si>
  <si>
    <t>cql.com.br/jancom</t>
  </si>
  <si>
    <t>coinsday.com.br</t>
  </si>
  <si>
    <t>rsm.global/mozambique</t>
  </si>
  <si>
    <t>finsiders.com.br</t>
  </si>
  <si>
    <t>mozper.com/br/</t>
  </si>
  <si>
    <t>youtube.com/@ataorienta</t>
  </si>
  <si>
    <t>ferroviariasaf.com</t>
  </si>
  <si>
    <t>vasco.com.br</t>
  </si>
  <si>
    <t>Instagram.com/newscolina_</t>
  </si>
  <si>
    <t>albertopruggiero.blogspot.com</t>
  </si>
  <si>
    <t>tedxlisboa.pt</t>
  </si>
  <si>
    <t>linkedin.com/in/joseguilher…</t>
  </si>
  <si>
    <t>linktr.ee/cultivar.seu.f…</t>
  </si>
  <si>
    <t>linktr.ee/PIXTVHD</t>
  </si>
  <si>
    <t>linktr.ee/Nerdup</t>
  </si>
  <si>
    <t>fsl.com</t>
  </si>
  <si>
    <t>soundcloud.com/mq-soulja</t>
  </si>
  <si>
    <t>instabio.cc/Investir</t>
  </si>
  <si>
    <t>papoincerto.com</t>
  </si>
  <si>
    <t>linktr.ee/bixarica</t>
  </si>
  <si>
    <t>economiacomportamental.com.br</t>
  </si>
  <si>
    <t>mrochaservicos.com.br</t>
  </si>
  <si>
    <t>linktr.ee/gvn.digital</t>
  </si>
  <si>
    <t>sjogadores.pt</t>
  </si>
  <si>
    <t>ua.pt/cidtff/</t>
  </si>
  <si>
    <t>anqep.gov.pt</t>
  </si>
  <si>
    <t>fumep.edu.br</t>
  </si>
  <si>
    <t>pesquisa-eaesp.fgv.br</t>
  </si>
  <si>
    <t>anapaulahornos.com.br</t>
  </si>
  <si>
    <t>instagram.com/lam_gabriel/</t>
  </si>
  <si>
    <t>degiro.eu</t>
  </si>
  <si>
    <t>aulaplus.com.br</t>
  </si>
  <si>
    <t>noticiasdeagora.net.br</t>
  </si>
  <si>
    <t>linktr.ee/redacont</t>
  </si>
  <si>
    <t>beacons.ai/rafaelaon</t>
  </si>
  <si>
    <t>goshopelite.com.br</t>
  </si>
  <si>
    <t>evertonlopes.com.br</t>
  </si>
  <si>
    <t>beacons.ai/aposentandonovo</t>
  </si>
  <si>
    <t>instagram.com/educacaofinanc…</t>
  </si>
  <si>
    <t>helderpereira.com.br</t>
  </si>
  <si>
    <t>nkaleidaatracao.com.br</t>
  </si>
  <si>
    <t>instagram.com/lucaspedrosa94/</t>
  </si>
  <si>
    <t>professorrafaelporcari.com</t>
  </si>
  <si>
    <t>exame.com/bussola</t>
  </si>
  <si>
    <t>linktr.ee/studiomadehits</t>
  </si>
  <si>
    <t>thembaniafrica.com</t>
  </si>
  <si>
    <t>instagram.com/andrenegociosb…</t>
  </si>
  <si>
    <t>aprenderapoupar.com</t>
  </si>
  <si>
    <t>gabinetedarma.com.br</t>
  </si>
  <si>
    <t>casadeinvestimentos.pt</t>
  </si>
  <si>
    <t>linktr.ee/claudio_toledo</t>
  </si>
  <si>
    <t>youtube.com/channel/UCAu1j…</t>
  </si>
  <si>
    <t>contasonline.com.br</t>
  </si>
  <si>
    <t>reidopendrive.com.br</t>
  </si>
  <si>
    <t>instagram.com/hucdiass/</t>
  </si>
  <si>
    <t>youtube.com/c/NathFinan%C3…</t>
  </si>
  <si>
    <t>grafistas.com.br</t>
  </si>
  <si>
    <t>trusteduca.com.br</t>
  </si>
  <si>
    <t>fgc.org.br</t>
  </si>
  <si>
    <t>undime.org.br</t>
  </si>
  <si>
    <t>institutosicoob.org.br</t>
  </si>
  <si>
    <t>chicosabetudo.com.br</t>
  </si>
  <si>
    <t>https://t.co/5xpqUpA7j4 https://t.co/rpqTE8d3Er</t>
  </si>
  <si>
    <t>https://t.co/H6MsUbaVaM https://t.co/JHx2yzZ7rE</t>
  </si>
  <si>
    <t>https://t.co/xenM452Jqj https://t.co/tZAAcTuaIO</t>
  </si>
  <si>
    <t>https://t.co/XtgtS5YfQI https://t.co/VbGAW3qB4U</t>
  </si>
  <si>
    <t>https://t.co/25eMZrog6q https://t.co/wPaZfvqj7e https://t.co/dLrc0UhB8Q</t>
  </si>
  <si>
    <t>https://t.co/hQN2NcsHKR https://t.co/hQN2NcsHKR</t>
  </si>
  <si>
    <t>https://t.co/NVUcVDAjzm https://t.co/ktjTHtETj7 https://t.co/EOgj84KB9l https://t.co/Iq0fS3e2sF https://t.co/OJOZUvKPWW</t>
  </si>
  <si>
    <t>https://t.co/9awgxobGDR https://t.co/9awgxobGDR</t>
  </si>
  <si>
    <t>http://fcquadrosdigitais.blogspot.com http://fortecultural.wordpress.com</t>
  </si>
  <si>
    <t>http://p2p.polkabridge.org http://t.me/polkabridgegroup</t>
  </si>
  <si>
    <t>http://youtube.com/@valdneisuzzio http://instagram.com/valdneisuzzio/</t>
  </si>
  <si>
    <t>http://meiahora.com http://t.me/jornalmeiahora</t>
  </si>
  <si>
    <t>https://bit.ly/2OrFlIb https://rggames.com.br https://oloxa.com.br</t>
  </si>
  <si>
    <t>http://invistafinancas.com.br http://invistafinancas.com.br</t>
  </si>
  <si>
    <t>http://mla.bs/aa11a8c5 http://mla.bs/1fd6d251 http://tiktok.com/@folha http://mla.bs/04f9c245 http://mla.bs/e085c4e6</t>
  </si>
  <si>
    <t>http://aleatoriando.com.br http://aleatoriando.com.br</t>
  </si>
  <si>
    <t>t.me/thetryum</t>
  </si>
  <si>
    <t>linktr.ee/brasil.popular</t>
  </si>
  <si>
    <t>hiltonvieira.medium.com</t>
  </si>
  <si>
    <t>catarse.me/tvt</t>
  </si>
  <si>
    <t>linktr.ee/euedinheiro</t>
  </si>
  <si>
    <t>bit.ly/analista_inves…</t>
  </si>
  <si>
    <t>salvadorfolhetim.blogspot.com/?m=0</t>
  </si>
  <si>
    <t>t.me/leveinvestimen…</t>
  </si>
  <si>
    <t>homemlapidado.gumroad.com/?_gl=1*u7qhdx</t>
  </si>
  <si>
    <t>linktr.ee/juliocrf</t>
  </si>
  <si>
    <t>instagram.com/nuno_baio?ig</t>
  </si>
  <si>
    <t>bit.ly/apploopipay</t>
  </si>
  <si>
    <t>mycollection.shop/mamaeeconomica…</t>
  </si>
  <si>
    <t>facebook.com/vitor.d.santos</t>
  </si>
  <si>
    <t>aliancanftbr.my.canva.site/financasecia</t>
  </si>
  <si>
    <t>linktr.ee/bancocentraldo</t>
  </si>
  <si>
    <t>soundcloud.com/user-611551941…</t>
  </si>
  <si>
    <t>fcquadrosdigitais.blogspot.com fortecultural.wordpress.com</t>
  </si>
  <si>
    <t>p2p.polkabridge.org t.me/polkabridgegro…</t>
  </si>
  <si>
    <t>linktr.ee/luizmarjr</t>
  </si>
  <si>
    <t>youtube.com/@valdneisuzzio instagram.com/valdneisuzzio/</t>
  </si>
  <si>
    <t>abr.ai/3WowHIe</t>
  </si>
  <si>
    <t>go.hotmart.com/L78388156D</t>
  </si>
  <si>
    <t>minter.com.br</t>
  </si>
  <si>
    <t>instagram.com/pedrofagundes</t>
  </si>
  <si>
    <t>instagram.com/tavicostamacro</t>
  </si>
  <si>
    <t>dindinsemfim.blogspot.com</t>
  </si>
  <si>
    <t>iris.to/technewsbr</t>
  </si>
  <si>
    <t>openideas.net</t>
  </si>
  <si>
    <t>meiahora.com t.me/jornalmeiahora</t>
  </si>
  <si>
    <t>bit.ly/2OrFlIb rggames.com.br oloxa.com.br</t>
  </si>
  <si>
    <t>youtube.com/@MultiMidiaInfo</t>
  </si>
  <si>
    <t>gmms.mundoms.com/p/anuncie-cono…</t>
  </si>
  <si>
    <t>invistafinancas.com.br invistafinancas.com.br</t>
  </si>
  <si>
    <t>linktr.ee/isaaceducacao</t>
  </si>
  <si>
    <t>linktr.ee/plataformamelh</t>
  </si>
  <si>
    <t>accounts.binance.com/pt-BR/register…</t>
  </si>
  <si>
    <t>bit.ly/agathacristie2…</t>
  </si>
  <si>
    <t>steamcommunity.com/id/Leomorban/</t>
  </si>
  <si>
    <t>instagram.com/aferreiraofici…</t>
  </si>
  <si>
    <t>ig.rdstation.com/spbancarios</t>
  </si>
  <si>
    <t>gov.br/cvm/pt-br</t>
  </si>
  <si>
    <t>bit.ly/3yKMszL</t>
  </si>
  <si>
    <t>linktr.ee/revistacoletiva</t>
  </si>
  <si>
    <t>instagram.com/estadao/</t>
  </si>
  <si>
    <t>mla.bs/aa11a8c5 mla.bs/1fd6d251 tiktok.com/@folha mla.bs/04f9c245 mla.bs/e085c4e6</t>
  </si>
  <si>
    <t>sistemas.cvm.gov.br/?SAC</t>
  </si>
  <si>
    <t>Leofinance.io</t>
  </si>
  <si>
    <t>t.me/invistamonett</t>
  </si>
  <si>
    <t>linktr.ee/fgvibre</t>
  </si>
  <si>
    <t>keepbored.carrd.co</t>
  </si>
  <si>
    <t>youtube.com/tvredevida</t>
  </si>
  <si>
    <t>aleatoriando.com.br aleatoriando.com.br</t>
  </si>
  <si>
    <t>t.me/paladinrood</t>
  </si>
  <si>
    <t>abr.ai/3Nh4gbw</t>
  </si>
  <si>
    <t>viplink.ai/vasco</t>
  </si>
  <si>
    <t>linktr.ee/tribodenegocios</t>
  </si>
  <si>
    <t>pod.link/1548228653</t>
  </si>
  <si>
    <t>youtube.com/@NKALeidaAtrac…</t>
  </si>
  <si>
    <t>youtube.com/canaldopedrosa</t>
  </si>
  <si>
    <t>marcosmarinho.net</t>
  </si>
  <si>
    <t>sensitive_media</t>
  </si>
  <si>
    <t>none</t>
  </si>
  <si>
    <t>regular</t>
  </si>
  <si>
    <t>Open Twitter Page for This Person</t>
  </si>
  <si>
    <t>discipulosmidas
A educação financeira é a base
para escolhas informadas. Invista
tempo em aprender sobre apostas,
criptomoedas e mercados para tomar
decisões embasadas. 📚💡 #EducaçãoFinanceira
#DecisõesInformadas</t>
  </si>
  <si>
    <t>oliveiraedison3
Lembre-se: Todo erro pode nos levar
a um novo aprendizado. #bomdia
#boraviver #financas #educaçãofinanceira
https://t.co/uLCSggiubs</t>
  </si>
  <si>
    <t>nerycred
⚠️CUIDADO: Não deixe suas dívidas
se acumularem! Limpar seu nome
pode ser mais fácil do que você
imagina. Conheça suas opções de
renegociação e comece a construir
um futuro financeiro mais sólido
com a Nery Cred! #limparnome #renegociar
#dívidas #educaçãofinanceira https://t.co/QtLJY8toN7</t>
  </si>
  <si>
    <t>sandrocmattos
Cansou de ter dívidas por falta
de educação financeira. Conheça
nosso blog https://t.co/zEsMoX1dfk
Educação financeira comportamental.
#educacaofinanceira https://t.co/C8WWX1ahBD</t>
  </si>
  <si>
    <t>cryptonoide_
Preparados para explorar e aprender
tudo sobre o universo de criptomoedas
de uma forma descomplicada? Então
já segue para não perder nada!!
#bitcoin #crypto #blockchain #educacaofinanceira
#criptomoedas #cryptolife #futurofinanceiro
#moedadigital #liberdadefinanceira
#cryptonoide</t>
  </si>
  <si>
    <t>ederlorenzobr
6️⃣ Leitura do ano! 👊📚 . 👉 Alta
performance em investimentos de
Jefferson Holtz . Este livro traz
de forma abragente e prática o
funcionamento do universo dos investimentos.
. #investimentos #finanças #investir
#financaspessoais #bolsadevalores
https://t.co/Fcno8y58at</t>
  </si>
  <si>
    <t>atlantickapital
📈💼 Investir é para todos! Não
precisa ser complicado. 💡💰 Nossa
missão é desmistificar o mundo
dos investimentos, tornando-o acessível
e compreensível para todos. #Investimentos
#FinançasPessoais #ConstruindoRiqueza
#DescomplicandoOsInvestimentos
https://t.co/n6LW00kbUU</t>
  </si>
  <si>
    <t>polidistrital
Envelhecimento da população requer
cada vez mais educação financeira
https://t.co/GFrYwEB9T5 #Envelhecimento
#EducaçãoFinanceira #Finanças #Dinheiro
https://t.co/3ymYecsPn6</t>
  </si>
  <si>
    <t>thetryum
Depois de curtir os feriados, você
está preparado para este lançamento?
Contagem regressiva! 😮 Se está
chegando agora ainda tem chances
de conhecer o projeto e tirar suas
dúvidas e aproveitar essa oportunidade
desde o começo! #thetryum #lançamentos
#educaçaofinanceira https://t.co/yKetaVU79F</t>
  </si>
  <si>
    <t>poli_corretora
É uma forma de você garantir uma
renda complementar durante a sua
aposentadoria. Isso ajudará a suplementar
a renda que você receberá dos benefícios
do governo ou do regime de previdência
social. #kids #familia #investimento
#carro #modainfantil #amor #financaspessoais
https://t.co/1crHKWdX0f</t>
  </si>
  <si>
    <t>crisinveste
Entendendo a crise do SVB e seus
impactos ! Quem pode ganhar e quem
pode perder com ela no mundo dos
investimentos! #investimentos #bolsadevalores
#acões #ações #acoes #smallcaps
#b3 #mercadofinanceiro #educacaofinanceira
#dividendos #fiis https://t.co/7sABHZhXb0</t>
  </si>
  <si>
    <t xml:space="preserve">arezzo
</t>
  </si>
  <si>
    <t>investthetagang
"Se você acha que investir é apenas
para os ricos, é porque ainda não
descobriu o poder do planejamento
financeiro e da disciplina." #investimentos
#finançaspessoais #riqueza</t>
  </si>
  <si>
    <t>mzambianco
Quando você pensa que tem o controle
das suas contas no cartão de crédito
😏, mas a fatura chega e... 😱😱😱
. #finançaspessoais #finanças #cartaodecredito
https://t.co/ycKM0SRdTV</t>
  </si>
  <si>
    <t>_brasilpopular
Vídeo novo no canal: https://t.co/Ua9Y0k97Jc
#socialismo #comunismo #comunista
#filosofo #marxismo #brasil #brasilia
#kpop #lula #rap #financaspessoais
#investimentos https://t.co/9hB5KaORqu</t>
  </si>
  <si>
    <t>3l0y4n
Legenda por vossa conta. Mas lembro-vos
que o mês começou agora e hoje
e dia 03. . . . #raciocínio #gerir
#financaspessoais #naiolesilva
#naiolesilva #nscomunicologa #janeiro2023
em Luanda, Angola https://t.co/9jXfcZSM8W</t>
  </si>
  <si>
    <t>guarulhosonline
Sesc SP lança curso gratuito EAD
sobre educação financeira. #cursogratuito
#ead #educaçãofinanceira #MentalidadeFinanceira
#SescDigital #SescSP https://t.co/6HW9m6GDSD</t>
  </si>
  <si>
    <t>amanumanoela
A @obeconomia teve início neste
domingo (12/03), com o apoio do
banco BTG Pactual e do Instituto
de Tecnologia e Liderança (André
Esteves). A competição tem o objetivo
de promover a #EducaçãoFinanceira
entre estudantes de todo o País.
Via @Jcorreiodopovo https://t.co/pXwgPmFqys</t>
  </si>
  <si>
    <t xml:space="preserve">jcorreiodopovo
</t>
  </si>
  <si>
    <t xml:space="preserve">obeconomia
</t>
  </si>
  <si>
    <t>roberto_unger_
Refletindo sobre um problema profundo:
a 'Dívida Eterna' que afeta tantos
brasileiros. É hora de repensar
nossas prioridades e buscar a verdadeira
liberdade financeira. 🇧🇷💰 #DívidaEterna
#EducaçãoFinanceira #MudançaReal
https://t.co/QVElKhtz53</t>
  </si>
  <si>
    <t>stockcollector_
Um conselho que sempre deve ser
lembrando! Melhor a cautela (e
dinheiro no bolso), do que um remorso
(e não ter dinheiro). #ficaadica
#educacaofinanceira 🏔️❄️ https://t.co/Okpio186uR</t>
  </si>
  <si>
    <t>hilvieira
“Como Sobreviver A Uma Recessão
Em 5 Passos!” by Hilton Vieira
https://t.co/KhtnnkRHmQ #planejamentofinanceiro
#investimento #poupanca #gestaodedinheiro
#economiapessoal #educacaofinanceira
#liberdadefinanceira #segurancafinanceira
#independenciafinanceira #rendapassiva
https://t.co/w78jEsZapP</t>
  </si>
  <si>
    <t>iecamarabahia
RT @redeTVT: 💰 Educação Financeira:
Como driblar a crise e planejar
o futuro? | Transição Acompanhe!
https://t.co/lxla1vN8sy #Transição
#…</t>
  </si>
  <si>
    <t>redetvt
💰 Educação Financeira: Como driblar
a crise e planejar o futuro? |
Transição Acompanhe! https://t.co/lxla1vN8sy
#Transição #EducaçãoFinanceira
#Economia #Salário https://t.co/U0XU9or9K7</t>
  </si>
  <si>
    <t>marianasmkt
TUUUUUDO!! 😍😍😍 #NathFinanças
#Finanças #EducaçaoFinanceira</t>
  </si>
  <si>
    <t>jessiviesil
Agora sou uma Nath player da @nathfinancas
e já tenho compromi$$o pro meu
domingo 😍</t>
  </si>
  <si>
    <t>defensoria_rj
Essa lei fala sobre o crédito responsável
e #EducaçãoFinanceira do usuário.
Vale a pena conferir para não fazer
das suas despesas uma bola de neve
e não correr risco de ser um superendividado.</t>
  </si>
  <si>
    <t>comoreinventar
1️⃣ Começando com o clássico de
Robert Kiyosaki, "Pai Rico, Pai
Pobre" , que ensina como ter uma
mentalidade milionária e mudar
sua forma de pensar sobre dinheiro!
💸 #mentalidademilionária #educaçãofinanceira
#pairicopaipobre</t>
  </si>
  <si>
    <t xml:space="preserve">gcerbasi
</t>
  </si>
  <si>
    <t>bancooriginal
#EducaçãoFinanceira tem sido um
assunto cada vez mais abordado
por criadores de conteúdo e influenciadores
que, com abordagens didáticas,
ajudam a transformar o setor positivamente
através da #Internet. Conheça alguns💚📱
https://t.co/KucfkBsD3r</t>
  </si>
  <si>
    <t>angeluscrane
Primeira coisa para se aprender
quando o assunto é EDUCAÇÃO FINANCEIRA
! Antes da reserva de emergência
não é aconselhado a fazer investimentos,
segurança para suas finanças em
primeiro lugar. #educaçãofinanceira
#reservadeemergencia https://t.co/0DrxseJvZY</t>
  </si>
  <si>
    <t>blumenauagora
Podcast O Assunto é Dinheiro com
Jana Arízio, Planejadora e Educadora
Financeira. Entrevista completa
no canal do Youtube da Clube FM
Blumenau. #clubefmblumenau #videocast
#blumenau #educacaofinanceira #planejamentofinanceiro
https://t.co/c3mMBPcRB7</t>
  </si>
  <si>
    <t>aju_manganelli
A lagarta não precisa de um milagre
para virar borboleta, ela precisa
de um processo. Aprecie o seu processo!
#EducaçãoFinanceira #FinançasPessoais
#Dinheiro #empreendedorismo #investimentos</t>
  </si>
  <si>
    <t>euedinheiro
Gostou do nosso conteúdo? Aproveita
e segue a gente ⬇️🤑 ✅ @EueDinheiro
#dinheiro #money #financeiro #contabilidade
#discovery #explore #explorer #explorar
#finanças #educaçãofinanceira #sucesso
#investimento #dívidas #economizar
#poupar #focoemfinanças #livrandosededívidas
https://t.co/uZUoFPdAlp</t>
  </si>
  <si>
    <t>crediembrapa
Com a #educaçãofinanceira é possível
garantir o equilíbrio nas suas
escolhas e uma melhor relação com
o dinheiro. Bora começar agora
mesmo a cuidar das suas #finanças?
Acesse a plataforma https://t.co/kdRbKIbybB
e saiba como! 💰🚀 #SemanaENEF</t>
  </si>
  <si>
    <t>uchoavf
Dinheiro não nasce em árvores,
mas seu potencial de crescimento
pode florescer com uma educação
financeira sólida. Invista no seu
conhecimento e colha os frutos
de uma vida financeiramente saudável!
💰🌱 #EducaçãoFinanceira #InvestimentoPessoal</t>
  </si>
  <si>
    <t>ivana_p_almeida
Sobre fazer cara de paisagem pra
certas dívidas com grandes empresas
e negócios... E também sobre PRIORIDADES...
Explicações nada necessárias mas...
Com precisão cirúrgica! #Economia
#Finanças #EducaçãoFinanceira #EducaçãoDoméstica
#OSegredoDosBons #PesqueMasPague
https://t.co/nPtD8RldzQ</t>
  </si>
  <si>
    <t>analistainvest
🚨 Não perca mais tempo, somente
educação financeira salva!! #investimentos
#Dinheiro #dividendosmensais #bolsadevalores
#fundosimobiliarios #fiis #finanças
#ações #acoes #fundosimobiliarios
#fiis #educaçãofinanceira https://t.co/ZLRUH2AVXP</t>
  </si>
  <si>
    <t>econandreiaferr
Olha a oportunidade, passando na
sua tl 🥰🥰🥰 #EducaçãoFiscal #FinançasPúblicas
#FinançasPessoais #Curso #Gratuito</t>
  </si>
  <si>
    <t>caiovilella
1-Sabe qual a diferença entre dívida
do governo e da família? Este é
um dos temas abordados no curso
de educação fiscal oferecido pelo
@InescOficial @AFOCEFE @IJFiscal
e @justiciafiscal, o qual participei
e vou dar um spoiler: (link para
o curso gratuito no final do fio)
https://t.co/WdF3eI7tz6</t>
  </si>
  <si>
    <t>marcos_b_39
📊 Consultoria Financeira Especializada
para Micros e Pequenas Empresas
e Pessoa Física! 🔍 Diagnóstico
Gratuito por Vídeo Conferência!
So manda mensagem que eu retorno
#liberdadefinanceira #educacaofinanceira
#educaçãofinanceira #consultoriafinanceira
#financeira https://t.co/47UxrMGQiK</t>
  </si>
  <si>
    <t>informacaoief
10 dicas de #educaçãofinanceira
– Dê conforto ao seu futuro! https://t.co/gmBZsdk6Li
https://t.co/7PbvRBqTmb</t>
  </si>
  <si>
    <t>wellersonferr13
#educacaofinanceira eu aprovo!!!!</t>
  </si>
  <si>
    <t>flaviosouza2810
#investimentos #bolsadevalores
#finanças #ações #rendafixa #educaçãofinanceira
#trader #mercadofinanceiro #longoprazo
#dividendos #atrio #atrioinvestimentos
#xpinvestimentos https://t.co/MjKA7oYV4A</t>
  </si>
  <si>
    <t>ocesarkato
Poupança: perde mais R$ 11,515
bilhões com saques em fevereiro
https://t.co/1u0aiGRHQK #poupança
#finançaspessoais #educaçãofinanceira
Me siga nas outras redes sociais:
https://t.co/20UWjkgLkh https://t.co/DdnDqz4uO7</t>
  </si>
  <si>
    <t>ocapitaldigital
A educação financeira é uma das
bases para a saúde contínua do
indivíduo e da sociedade. #educacaofinanceira
#ocapitaldigital #ocapital #investimento
#dividas #rendaextra #Investimentos
https://t.co/xZGso5Au0I</t>
  </si>
  <si>
    <t>albert_taka
#tbt participar do maior evento
de mercado financeiro do mundo
é pra ser lembrado e relembrado
muitas vezes. #assessoriadeinvestimentos
#educacaofinanceira #investimentos
#economia #xpinvestimentos #expert2018
https://t.co/oYu2s2ESPy</t>
  </si>
  <si>
    <t>desenvolve_sp
Número de milionários quase dobra
no Brasil. Qual a importância da
#educaçãofinanceira neste cenário?
Confira: https://t.co/rzHEejcSmF
| #desenvolvimento #economia #negócios
#govsp</t>
  </si>
  <si>
    <t>financialstream
Não se prenda mais apenas ao mercado
local, diversifique de maneira
simples e barata no mercado internacional
#Investimentos #ETFs #Finanças
#Diversificação #EducaçãoFinanceira
#PlanejamentoFinanceiro</t>
  </si>
  <si>
    <t>vagasdesalvador
RT @redeTVT: 💰 Educação Financeira:
Como driblar a crise e planejar
o futuro? | Transição Acompanhe!
https://t.co/lxla1vN8sy #Transição
#…</t>
  </si>
  <si>
    <t>linsdoceara
#Repost @brunodabrantes Como quitar
um financiamento de 30 anos em
3. #educacaofinanceira #financiamentoimobiliario
#imoveis #dívidas #brunodabrantes
https://t.co/1YymPD3bdF</t>
  </si>
  <si>
    <t xml:space="preserve">brunodabrantes
</t>
  </si>
  <si>
    <t>gersonantunesc1
@machotoxico_ #educaçãofinanceira</t>
  </si>
  <si>
    <t xml:space="preserve">machotoxico_
</t>
  </si>
  <si>
    <t>focanoimposto
2/8 🧐 Você sabia que os impostos
são a grana que o governo arrecada?
É com eles que pagam a infraestrutura,
educação, saúde e outras coisas
importantes. Mas como funcionam?
Quais impostos existem por aí?
Vamos dar uma espiada! #EducaçãoFinanceira</t>
  </si>
  <si>
    <t>chaleira__
todo mês eu esqueço q passei o
celular no cartão de pai e sempre
gasto a fortuna do meu salario
inteiro no meu cartão, ai qnd vou
pagar pai eu tenho q tirar da poupança
#EducaçaoFinanceira</t>
  </si>
  <si>
    <t>eacoes
Novo artigo no blog sobre a origem
do capitalismo. Acesse a bio para
ler o artigo completo. #capitalismo
#investimento #investimentos #liberdadefinanceira
#independenciafinanceira #educacaofinanceira
https://t.co/iq3OyoHr9z</t>
  </si>
  <si>
    <t>diogojorn
PREVIDÊNCIA PRIVADA: Como ela surgiu
e para que serve? Você sabia que
ela surgiu em 1835 com um decreto
real? Saiba mais no Aprenda em
1 Minuto, meu quadro na @sigaif!
#financas #investimentos #financaspessoais
#historia https://t.co/EL6Zlg7Xb7</t>
  </si>
  <si>
    <t>sigaif
A influencer Virgínia Fonseca disse
aos seguidores que, hoje em dia,
“parcelar é chique”. Segundo ela,
isso mostra que o limite de crédito
do cartão é alto e segura o tranco.
Será que é chique mesmo? #finanças
#finançaspessoais https://t.co/dh6gRMDpfg</t>
  </si>
  <si>
    <t>explibertario
5/ E é por isso que é tão importante
estudar sobre #bitcoin, para entender
como elas funcionam e como podemos
usá-las de forma segura e consciente.
#educaçãofinanceira #futurofinanceiro</t>
  </si>
  <si>
    <t>inovacao_lean
https://t.co/SufwsxXk9K #GestãoFinanceira
#EducaçãoFinanceira #EstabilidadeFinanceira</t>
  </si>
  <si>
    <t>roggia
Aqui a razão da esquerdalha ser
contra educação financeira mas
escolas. Olha o nível!!! #EducacaoFinanceira
#lulabloqueado #LuLADRAO #LulaMentiroso
#BNDES</t>
  </si>
  <si>
    <t>terra__brasilis
PQP.... tem como "desver" isso?
https://t.co/rLxhuCNAuJ</t>
  </si>
  <si>
    <t>jornaldealagoas
Prefeitura de Penedo e Sebrae levam
educação financeira e empreendedorismo
para sala de aula https://t.co/kcHivxtUfw
#penedo #empreender #educaçaofinanceira</t>
  </si>
  <si>
    <t>j_caio_r
RT @LeveAppBR: Building a Brazil
of the future is in our hands.
🇧🇷 Happy September 7th! #leve
#levetoken #leveinvest #sejaleve
#token #bi…</t>
  </si>
  <si>
    <t>leveappbr
Leve is a startup that unites technology
and financial innovation 🚀 Our
mission is to democratize and demystify
digital investments Soon our app
will be available for Android and
IOS systems #leve #leveinvest #token
#bitcoincash #bch #btc #educacaofinanceira
#appleve #certik https://t.co/2OJt2EVAXO</t>
  </si>
  <si>
    <t>_meunomelimpo
🚨 ATENÇÃO! 🚨 Seu nome limpo é
a chave para um novo recomeço e
nós podemos te ajudar! Deixe suas
dívidas e preocupações no passado.
Está na hora de viver um futuro
com Meunomelimpo®. #meunomelimpo
#cpfsujo #educaçãofinanceira #planejamentofinanceiro
#nomesujo #dívidas #SPC https://t.co/rxL89cZKuQ</t>
  </si>
  <si>
    <t>manframing
Se tiveres pouco dinheiro, Investe
em cursos, não em ações ou criptomoedas.
#EducaçãoFinanceira #Dinheiro</t>
  </si>
  <si>
    <t>gustavoipadilla
#EducaçãoFinanceira nada mais é
do que uma mudança de comportamento
a fim de organizar, valorizar e
multiplicar os recursos conquistados
durante a vida. https://t.co/ELZBg1f1dV
https://t.co/Fq9d4Dhg56</t>
  </si>
  <si>
    <t>acqua_vero
Você já possui uma reserva de emergência?
Clique no link para saber quais
características uma boa reserva
de emergência precisa ter e descubra
onde investir a sua. https://t.co/3SIpn5YrLV
#acquavero #planosfinanceiros #educaçãofinanceira
#Inflação #CustoDeVida</t>
  </si>
  <si>
    <t>juliocrrf
VEM VER: 5 PASSOS PARA ORGANIZAR
SUAS FINANÇAS PESSOAIS Se você
quer aprender a cuidar melhor do
seu dinheiro e conquistar a estabilidade
financeira, esse vídeo é para você!
Link para o vídeo na bio! #finançaspessoais
#controlefinanceiro #organizaçãofinanceira
#orçamento https://t.co/Pfsy9HQu85</t>
  </si>
  <si>
    <t>michellefuly
Planejamento financeiro pessoal,
quem aqui começou o seu para o
ano de 2023? #economia #orçamentofinanceiropessoal
#finançaspessoais</t>
  </si>
  <si>
    <t>jeelimajorge
Se até o @ThiagoNigro tá fazendo
investimento de risco, por que
você não investe em mim? Kkk… #investimento
#educacaofinanceira #Flames #LoveinTheAir</t>
  </si>
  <si>
    <t xml:space="preserve">thiagonigro
</t>
  </si>
  <si>
    <t>barbainveste
Lembre-se de que melhorar sua saúde
financeira requer tempo e disciplina.
Pequenas mudanças em seus hábitos
financeiros podem levar a grandes
resultados no futuro. Comece hoje
a trabalhar em direção a uma vida
financeira mais sólida e tranquila!
💰📈 #FinançasPessoais #dinheiro</t>
  </si>
  <si>
    <t>salumc
👋🏾 Tread 🧵 sobre as melhores
regras para gerir o teu salário.
Pronto? Siga o fio 🧶 ! 💸💰👛
#EducaçãoFinanceira</t>
  </si>
  <si>
    <t>nuno_baio
Vocês são contra ou a favor de
dar mesada aos filhos? A partir
de que idade?</t>
  </si>
  <si>
    <t>sestarileticia
Só pra lembrar como estão seus
investimentos atrelados à Selic!
. . . . . . #investimentos #selic
#cdb #cdi #negocios #brasil #educacaofinanceira
https://t.co/WD67faE7eb</t>
  </si>
  <si>
    <t>atlanticpay
📈💼 Investir é para todos! Não
precisa ser complicado. 💡💰 Nossa
missão é desmistificar o mundo
dos investimentos, tornando-o acessível
e compreensível para todos. #Investimentos
#FinançasPessoais #ConstruindoRiqueza
#DescomplicandoOsInvestimentos
https://t.co/HNJLbOBllH</t>
  </si>
  <si>
    <t>loopipay
🎓 Aprenda sempre: O mercado de
NFTs está em constante evolução.
Continue estudando e se atualizando
sobre as tendências e inovações
no espaço. Seja curioso e aberto
a novas informações, isso o ajudará
a tomar decisões de investimento
mais informadas. #EducaçãoFinanceira</t>
  </si>
  <si>
    <t>diario_comercio
Economia para todos📊 Na estreia
da coluna do especialista em educação
financeira, Guilherme Almeida,
você vai entender mais sobre um
dos assuntos do momento: o patamar
dos juros no Brasil. https://t.co/GKHL0DxEam
#economia #economiaparatodos #educaçãofinanceira
#juros</t>
  </si>
  <si>
    <t>santiagolmoraes
Investir é a chave para alcançar
a independência financeira e construir
um futuro mais seguro. Não importa
o quanto você começa, o importante
é começar agora e ser consistente
#investimentos #finançaspessoais</t>
  </si>
  <si>
    <t>paraminvest
#personalfinance #mercadofinanceiro
#finances #educacaofinanceira #independenciafinanceira
#planejamentofinanceiro #refinance
#sucessofinanceiro #financeiro
#financetips #inteligenciafinanceira
#gestaofinanceira #carfinance</t>
  </si>
  <si>
    <t>sandroveiga_
#liberdadefinanceira #rendavariavel
#rendapassiva #educacaofinanceira
#investimento #independênnciafinanceira
#economia #criptomoedas #motivação
#atualidades  #desenvolvimentopessoal
#desenvolvimentoprofissional #empreendedorismo
#utilidadepública #curiosidades
#reels #viral https://t.co/W252zk4SeX</t>
  </si>
  <si>
    <t>deduzsolucoes
DEDUZ CARD, o cartão mesada ideal
para você pai acompanhar os gastos
do seu filho. Dê um crédito de
confiança ao seu filho. #cartãomesada
#educaçãofinanceira #paisefilhos
https://t.co/GuKfqWKmd9</t>
  </si>
  <si>
    <t>origin22_22
#EducaçãoFinanceira Mas o que é
a #inflação ? A inflação é o aumento
generalizado dos preços de uma
economia, e consequentemente, perda
do poder de compra do dinheiro.</t>
  </si>
  <si>
    <t>maismillionario
Chegou a hora de refletir: qual
foi a maior lição financeira que
você aprendeu até agora? Compartilhe
nos comentários e inspire outras
pessoas a tomarem melhores decisões
financeiras! 💭💰 #EducaçãoFinanceira
#LiçõesAprendidas #Milionário</t>
  </si>
  <si>
    <t>druzi11
Para ganhar o jogo do dinheiro,
precisamos ser disciplinados e
praticar a gratificação adiada.
Economizar e investir conscientemente
nos levará ao sucesso financeiro.
Vamos construir um futuro seguro
e próspero juntos! 💰🚀 #FinançasPessoais
#SucessoFinanceiro #Binance #Bitcoin</t>
  </si>
  <si>
    <t>diogorugeroni
🔍Pesquisa é essencial! Antes de
investir no S&amp;amp;P 500, realize
pesquisas detalhadas, entenda seus
objetivos financeiros e considere
os prós e contras. #EducaçãoFinanceira
#InvestirComSabedoria</t>
  </si>
  <si>
    <t>valdecirrondel1
Pix parcelado. Não caia nessa.
Assista análise completa- acesse
link na bio. #política #economia
#haddad #lula #financaspessoais
#educacaofinanceira #caloteiros
https://t.co/Ctycse0la0</t>
  </si>
  <si>
    <t>jorgeag51888144
RT @LeveAppBR: Building a Brazil
of the future is in our hands.
🇧🇷 Happy September 7th! #leve
#levetoken #leveinvest #sejaleve
#token #bi…</t>
  </si>
  <si>
    <t>asc_alancoelho
É Profissional Autônomo? Veja como
planejar sua aposentadoria. #futuro
#aposentadoria #educacaofinanceira
#fy #fyp #ceo #investment #education
#short #YouTube https://t.co/VPcwGKPA84</t>
  </si>
  <si>
    <t>planosassess
Leia matéria completa em nosso
site, link na bio. #contabilidade
#Mei #direito #direitodotrabalho
#direitotrabalhista #direitotributario
#passofundo #direitoempresarial
#compliancetrabalhista #passofundors
#financaspessoais #impostoderenda
#irpf #brasil #vidadecontador https://t.co/jpNNmLSgoM</t>
  </si>
  <si>
    <t>seumentor
📚 Investidores iniciantes, busquem
conhecimento! Conhecimento é poder
em potencial, pois se você não
colocar em prática de nada adianta!
#EducaçãoFinanceira #investidor
#investidores https://t.co/FGZ5lLcLac</t>
  </si>
  <si>
    <t>bruvelloso
🌟 Entender os "Real World Assets"
é como desbravar destinos desconhecidos.
Quanto mais você aprende, mais
ricas e recompensadoras são suas
viagens financeiras. Pronto para
a próxima aventura? #EducaçãoFinanceira</t>
  </si>
  <si>
    <t>correiopopular_
RO é destaque em programa de educação
financeira em 2023 #Rondonia #EducaçaoFinanceira
#Destaque #JornalCP #CorreioPopular
https://t.co/e9Hzf25Zv1 https://t.co/aI2iOEpMhH</t>
  </si>
  <si>
    <t>gustavo25867079
Nome do Instagram: @gustavocamposguize
Nome do canal no YouTube: O Almanaque
Financeiro #trabalhovsnegócio #empreendedorismo
#gestãodenegócios #finanças #planejamentofinanceiro
#investimentos #educaçãofinanceira
#negócios https://t.co/7h9jaT9G3h</t>
  </si>
  <si>
    <t>dillan__alves
@MattPontes #terapia #educacaofinanceira</t>
  </si>
  <si>
    <t xml:space="preserve">mattpontes
</t>
  </si>
  <si>
    <t>rio_bravo
#RioBravoInvestimentos #MulheresnaLiderança
#MercadoFinanceiro #LiderançaFeminina
#MulhernaLiderança #Liderança #CEO
#EducaçãoFinanceira</t>
  </si>
  <si>
    <t>sdbadvocacia
Planejamento previdenciário do
INSS: saiba como garantir uma aposentadoria
tranquila! #inss #planejamentoprevidenciário
#aposentadoria #previdência #seguridade
#previdênciasocial #educaçãofinanceira
#vidafinanceira #contribuição #aposentadoriainss
https://t.co/cZ5HXwC351</t>
  </si>
  <si>
    <t>finvestmentor
Finvestmentor will help you create
investments apt for financing your
dreams. To know more about DBFS
Finvestmentor Advisory Services,
please visit your nearest DBFS
branch. #finance #liberdadefinanceira
#personalfinance #mercadofinanceiro
#finances #educacaofinanceira https://t.co/5PPurVJWCd</t>
  </si>
  <si>
    <t>deharruda94
Seja consistente em seus hábitos
financeiros e colha os frutos a
longo prazo. #finanças #educaçãofinanceira</t>
  </si>
  <si>
    <t>saudeeprosperi_
Dublê de rico não é aquele que
tem e gasta com o que quer. Gerenciar
bem o dinheiro é fundamental para
evitar dívidas desnecessárias e
garantir uma vida financeira saudável
.Não adianta andar como se nada
tá acontecendo e devendo a praça
#finanças #dinheiro #educaçãofinanceira</t>
  </si>
  <si>
    <t>bancodonordeste
(+) que compartilharão informações
valiosas sobre o tema. Não perca
essa oportunidade de melhorar a
gestão das suas finanças pessoais.
Participe! 🗓 16 de maio, às 16h.
▶️ No canal do Youtube do Banco
do Nordeste. #BancoDoNordeste #BNB
#EducaçãoFinanceira</t>
  </si>
  <si>
    <t>gustavober_59
📖 'O Homem Mais Rico da Babilônia'
é uma leitura atemporal sobre finanças
e investimento. As parábolas babilônicas
ensinam princípios valiosos de
economia e riqueza que permanecem
relevantes até hoje. Recomendo
fortemente! 💰🌟 #LeituraObrigatória
#FinançasPessoais</t>
  </si>
  <si>
    <t>mamaeeconomica
🔥LINK DO PRODUTO: https://t.co/Loj46dK32b
#acheinashopee #maternidade #cofreinfantil
#educacaofinanceira https://t.co/IOjzVhLXVZ</t>
  </si>
  <si>
    <t>cnpjotas
#ArtigoNovoNoAr 🤔 A organização
das finanças pessoais é essencial
para alcançar a estabilidade financeira
e garantir um futuro tranquilo.
Quer saber mais? Acesse o link
abaixo e leia nossa matéria completa
😄 Leia agora 👇: https://t.co/JGgXsZ2kSc
#finançaspessoais</t>
  </si>
  <si>
    <t>guidottisilva
Qual é o seu negócio ?!? https://t.co/F7gyObOjju
via @YouTube me siga nas redes
sociais: - https://t.co/daVCzQUZMp...
https://t.co/lWLW1FKUnN... #bolsadevalores
#ações #b3 #rendaextra #rendavariavel
#dinheiro #educaçãofinanceira</t>
  </si>
  <si>
    <t xml:space="preserve">youtube
</t>
  </si>
  <si>
    <t>antenado_gip
Descubra como em ¹https://t.co/b9deAE6BI9.
Os Investimentos indicados são
Tão Seguros quanto a Poupança.
- ¹ = Indicado a qualquer pessoa.
#investimentos #poupardinheiro
#economizardinheiro #educacaofinanceira
#comoinvestir #ondeinvestir #comoinvestirembitcoin
#guardardinheiro https://t.co/icYO4L3oeP</t>
  </si>
  <si>
    <t>greboucas
5 CONSELHOS PARA JOVENS INICIANDO
A VIDA FINANCEIRA. 🧙‍♂️ Segue
o fio 👉 #educacaofinanceira #independenciafinanceira
#mentemilionaria</t>
  </si>
  <si>
    <t>wagnergeremia
✨Receber heranças é comum, porém
junto a isso surge uma grande dúvida.
O que fazer com este dinheiro?
Investir?💵 Guardar? 👉 Se você
deseja investir com segurança entre
em contato. #wagnergeremia #ondeinvestir
#comoinvestir #investimento #educaçãofinanceira
#investimentos https://t.co/e6JQY6ak4Q</t>
  </si>
  <si>
    <t>cayocesar89
Sozinhos vamos mais rápido. Juntos
vamos mais longe. #financaspessoais
#independenciafinanceira #negocios
#ibovespa #dividendos #empreendedor
#financas #rendapassiva #dolar
#investidores #money #bovespa #business
#marketing #poupar #acoes #investimentosinteligentes
https://t.co/fDOmbZU9BN</t>
  </si>
  <si>
    <t>irineubere
💰O que você faria se ganhasse
10 mil reais? #ganhardinheiroonline
#dinheiro #finanças #mercadofinanceiro
#financaspessoais https://t.co/5ihyj2YDCw</t>
  </si>
  <si>
    <t>villasboasvi
A diferença entre guardar e investir
#investimentos #dinheiro #finançaspessoais
#investidorinteligente https://t.co/6rLCL3eeNY</t>
  </si>
  <si>
    <t>eu_resma
Estamos chegando na Coinsbit! #coinsbit
#ivipcoin #ivipcointothemoon #novalistagem
#criptomoedas #educaçãofinanceira
#Bullish https://t.co/iZ8MQfw1MV</t>
  </si>
  <si>
    <t>ig
Especialista aconselha pais e dá
dicas sobre quando abordar o tema
com crianças. #PortaliG #EducaçãoFinanceira
https://t.co/yzmdkyKwOQ</t>
  </si>
  <si>
    <t>brennerdelfino
#Serasa #scoredecrédito #inadimplência
#covid19 #pagamentodedívidas #finançaspessoais
#créditopessoal</t>
  </si>
  <si>
    <t>jacoagirafa
O sonho é um grande motivador e
por isso ele deve existir antes
mesmo do recurso. Assim você vai
buscar as condições para torná-lo
realidade. Qual o seu sonho que
você gostaria de realizar? #finançaspessoais</t>
  </si>
  <si>
    <t>jornalistavitor
Confira a íntegra da live no nosso
canal de Youtube: https://t.co/Ks47Wo89eO
#economia #bancocentral #educaçãofinanceira
#LiveBC</t>
  </si>
  <si>
    <t xml:space="preserve">consedbr
</t>
  </si>
  <si>
    <t>cwbfinance
Desenrola Brasil - um passo à frente
ou um salto no escuro? A #EducaçãoFinanceira
é a chave para evitar o #EndividamentoIrresponsável.
Entender gestão de dinheiro é vital.
Mas será que o programa resolve
ou só mascara o problema? 💡💰
#FinançasResponsáveis https://t.co/y6MOphElkS</t>
  </si>
  <si>
    <t>juliomauriciojm
Eduque, capacite e confie na sua
equipe. Se não o fizeres, o teu
negócio vai permanecer pequeno.
#juliomauricio #juventudemilionaria
#mentalidadedesucesso #inteligenciaemocional
#educacaofinanceira #geracaodevalor
https://t.co/xsKQ5lfeXX</t>
  </si>
  <si>
    <t>leiacryptotimes
Cidade do Futuro: startup leva
ao festival de SP temática de blockchain
#Blockchain #CryptoTimes #EducaçãoFinanceira
https://t.co/A1HDphLjqW</t>
  </si>
  <si>
    <t>_wmbmarketing
Você sabe por que é importante
incentivar o gosto pelo empreendedorismo
ainda na infância? Confira post
completo em:https://t.co/TOe0of09c8
Você já conhece o Geração Líder?
Acesse: https://t.co/iAHgGJjyPV
e saiba mais. #GeraçãoLíder #EducaçãoFinanceira
https://t.co/UL4eGhVIIc</t>
  </si>
  <si>
    <t>edils_eddie
Está disponível o curso Start Digital,
onde você aprende a fazer muito
dinheiro 💶, na internet com Marketing
Digital, a qualquer hora e lugar
Saiba mais em 👇: https://t.co/aZgC2W1t3Y
#educacaofinanceira #dinheiroonline
#marketingdigital https://t.co/zYBXFvJI0q</t>
  </si>
  <si>
    <t>entertainusnob
@edsontsjr Hmmm, parece um bom
orçamento. Mas por que gastar tanto
em roupas e outras coisas? Diria
que $NOB faria esse ajuste e guardaria
mais dinheiro para investir. #SorryNotSorry
#FinançasPessoais</t>
  </si>
  <si>
    <t xml:space="preserve">edsontsjr
</t>
  </si>
  <si>
    <t>ejlazzaretti
RT @vokininvest: 🚨 Volatilidade
NÃO mede risco. - Warren Buffett.
Siga 👉 @vokininvestimentos #ibovespa
#açoes #acoes #educaçãofinanceira…</t>
  </si>
  <si>
    <t>vokininvest
🚨 Volatilidade NÃO mede risco.
- Warren Buffett. Siga 👉 @vokininvestimentos
#ibovespa #açoes #acoes #educaçãofinanceira
#bolsadevalores https://t.co/RtLJLv7weK</t>
  </si>
  <si>
    <t>2krydex
1. Investimentos inteligentes são
a chave para o sucesso financeiro!
Descubra como você pode desenvolver
seus conhecimentos e se tornar
um investidor de sucesso. #FinançasPessoais
#Investimento</t>
  </si>
  <si>
    <t>vi_ruscito
Não espere ficar rico da noite
para o dia. A construção de riqueza
começa com pequenas mudanças nos
hábitos financeiros. Comece hoje
mesmo a economizar, investir e
planejar seu futuro financeiro!
#financaspessoais #riqueza #investimentos</t>
  </si>
  <si>
    <t>financasecia
Fundos imobiliários (FIIs): Tudo
que você precisa saber Leia mais
&amp;gt;&amp;gt;&amp;gt; https://t.co/8S0I6C54vP
#finanças #fundosimobiliarios #financas
#dinheiro #investimento #gestãofinanceira
#bolsadevalores #finançaspessoais
https://t.co/1gg6CWSZe5</t>
  </si>
  <si>
    <t>cllaudioleite
O mercado financeiro é como um
quebra-cabeça em constante mudança.
Decisões informadas são as peças
que o compõem. Investir em conhecimento
é o primeiro passo para tomar as
melhores decisões financeiras.
📈💡 #MercadoFinanceiro #EducaçãoFinanceira</t>
  </si>
  <si>
    <t>tayliszatti
Você sabia que existem alguns investimentos
que são isentos de pagamento de
IR? É possível encontrar ativos
desse tipo tanto em renda fixa,
como em renda variável. O #MinutoB3
te conta quais são e como declarar.
#educacaofinanceira #impostoderenda</t>
  </si>
  <si>
    <t>cassebbsb
#financaspessoais</t>
  </si>
  <si>
    <t>anastaciopbjpa
VÍRUS DO PIX #Repost @patricialagesoficial
with @let.repost • • • • • • ALERTA
🚨 Novo golpe no pix! Ligue o som,
informe-se e compartilhe com seus
contatos. 🤯 . #patricialages #golpe
#pix #educacaofinanceira https://t.co/zSN4NTAGHR</t>
  </si>
  <si>
    <t xml:space="preserve">let
</t>
  </si>
  <si>
    <t>invest_geracao
E você, em quanto tempo deseja
conquistar seu primeiro milhão
? #milhão #dinheiro #fortuna #multiplicação
#prosperidade #finanças #planejamento
#planner #cultura #educaçãofinanceira
#consultor #escritorio https://t.co/WeE5Djora6</t>
  </si>
  <si>
    <t>financer_ibraim
Social media manger expert❤️ #manger
#socialmedia #finance #liberdadefinanceira #personalfinance #mercadofinanceiro #finances #educacaofinanceira #independenciafinanceira  #refinance #sucessofinanceiro #financeiro #financetips #CanadasBestEmployers
#Italy #UnitedStates https://t.co/r8U6z0CJpr</t>
  </si>
  <si>
    <t>rabaioliadvs
#rabaioliadvogados #BarradoGarças
#DiaDoConsumidor #RenegociaçãoDeDívidas
#SaúdeFinanceira #ControleFinanceiro
#FinançasPessoais https://t.co/1F7mPIndJF</t>
  </si>
  <si>
    <t>anderson77i
#educacaofinanceira #organizze</t>
  </si>
  <si>
    <t>organizze
Aprender nunca é demais, não é
mesmo? Hoje, quero te indicar um
livro incrível sobre educação financeira:
“Pai Rico, Pai Pobre”, do autor
Robert Kiyosaki. Uma leitura que
pode mudar a sua perspectiva sobre
dinheiro! #DicaDeLeitura #EducaçãoFinanceira
https://t.co/Ug1ifGcziR</t>
  </si>
  <si>
    <t>einvestidor
🇧🇷O benefício pode ser pago pela
Poupança Social Digital, Conta
Corrente de Depósito à vista, Conta
Especial de Depósito à vista e
Conta Contábil (plataforma social
do programa). https://t.co/UnQxmOKCsf
#educaçaofinanceira</t>
  </si>
  <si>
    <t>joaokepler
Você já parou para pensar que quando
nós precisamos de dinheiro geralmente
pensamos em como GANHAR dinheiro
em vez de como FAZER dinheiro?
Meu objetivo com esse texto é ampliar
sua visão para te mostrar que existe
um sentido embutido e diferente
nas https://t.co/go1wb3auOz… https://t.co/pQJn88jc5M</t>
  </si>
  <si>
    <t>twetthiago
Ontem foi organizar as finanças
do mês no @organizze. Não sosseguei
até descobrir onde estava um valor
de R$ 5,50 de alguma despesa que
não foi lançada. Pois sou desses.
Nem 5 centavos passa fora do planejado.
https://t.co/8gChdFJ5KM</t>
  </si>
  <si>
    <t>bancocentralbr
Resiliência caracteriza a capacidade
de se recuperar facilmente de alguma
situação inesperada. No caso das
finanças, resiliência pode reverter
situações adversas e colocar você
novamente no controle dos seus
objetivos. https://t.co/LRWVpUfyBP
#SemanaEnef #EducaçãoFinanceira
https://t.co/LIFkC2ysWN</t>
  </si>
  <si>
    <t>tiago_roberto_
Fico me perguntando porque a maioria
das pessoas não fazem isso nas
suas vidas. Você poderia me dizer
o porquê nos comentários? #educaçãofinanceira
#Investimento #Dinheiro https://t.co/dAdNRr7shM</t>
  </si>
  <si>
    <t>pdentroassunto
✅ Qual a RELAÇÃO das FINANÇAS com
a SAÚDE MENTAL? #saúdemental #finançaspessoais
#saúdefinanceira https://t.co/Rc5gXzK7bb</t>
  </si>
  <si>
    <t>oluizbaur
Thread: Dicas Práticas de Finanças
Pessoais 💰📈 🧵 Olá pessoal! Hoje
trago algumas dicas valiosas para
melhorar suas finanças pessoais
e construir um futuro financeiro
sólido. Vamos lá! #FinançasPessoais
#EducaçãoFinanceira</t>
  </si>
  <si>
    <t>gosto_disto
Síndrome do merecimento faz muito
mal para a saúde financeira . .
. #sindromedaimpostora #impostora
#eumeamo #eumeamoeumecuido #eumereço
#financaspessoais #economiadomestica
#autoestimaelevada #sarcasmofeminino
#sarcasmo https://t.co/u5D2c54TKg
https://t.co/n740ME4pwH</t>
  </si>
  <si>
    <t>fabi_b_amador
"O vermelho é uma cor linda, mas
na sua conta bancária, não! 😅
Com o ebook 'Saia do Vermelho',
você vai aprender a mudar essa
situação! 🤑 Adquira agora na Hotmart
e fique no azul de uma vez por
todas! 💰 #FiqueNoAzul #EducaçãoFinanceira
https://t.co/dAL0xUgGzZ</t>
  </si>
  <si>
    <t>williamhuntbr
Dicas para evitar estresse com
dinheiro! #educaçãofinanceira #planejamentofinanceiro
#economizar #poupar #financas #dicasfinanceiras
#controlefinanceiro #finançaspessoais
#inteligenciafinanceira #poupança
#organizacaofinanceira https://t.co/g6rIVNyqWY</t>
  </si>
  <si>
    <t>emykey05
RT @mat_financeira: Quando compreendemos
o poder do uso consciente do dinheiro
- como ganhá-lo, economizá-lo e
investi-lo com sabedoria - e…</t>
  </si>
  <si>
    <t>mat_financeira
Montante + juros compostos + amortização
extraordinária. É uma ótima questão
comentada para aprender matemática
financeira. #profricardoviana #matematica
#financeira #educacaofinanceira
#concursopublico #concursos #enem
#bb2023 #cef2023 #brb2023 #basa2023
#bc2023 #bacen2023 https://t.co/jtt8IrX1aL</t>
  </si>
  <si>
    <t>cacdazevedo
A vida é cheia de eventos e imprevistos.
Se quando precisares não tiveres
um seguro de vida, muito dificilmente
terás outra oportunidade para garantires
outro. #PlaneamentoFinanceiro #ProtecaoFinanceira
#ProtecaoFamiliar #FinancasPessoais
#ProtecaoRendimento #SegurodeVida
https://t.co/A9pg21K41E</t>
  </si>
  <si>
    <t>mblparana
Educação financeira eles não querem,
mas sexual....gastam milhões para
ter🤬 @MBLivre #mbl #lula #Educação
#Educaçãofinanceira #Educaçãosexual
https://t.co/ZgaBsNG38h</t>
  </si>
  <si>
    <t xml:space="preserve">mblivre
</t>
  </si>
  <si>
    <t>casal_trader
Ata do FOMC, Aprovação do texto
base do arcabouço e Minério de
Ferro devem agitar a sessão #daytrade
#mercadofinanceiro #bolsadevalores
#educacaofinanceira #daytradeaovivo
#miniindice #dolar #b3 #bovespa
#trader https://t.co/o6EyTHSNaB</t>
  </si>
  <si>
    <t>netorebello1
Por fim, o planejamento financeiro
pessoal é um processo contínuo
de aprendizado e crescimento. À
medida que você se envolve com
suas finanças, adquire conhecimento
e habilidades que são valiosas
ao longo da vida. É um investimento
em si mesmo! #EducaçãoFinanceira
#Crescimento</t>
  </si>
  <si>
    <t>islamicsummit
We are delighted to announce @wboutlook
Group as our Media Partner for
the Islamic Finance and Banking
Summit in KSA. Register now to
join us - https://t.co/qolYXTZp7Z
#finance #fintech #banking #educaçãofinanceira
#financeiro #refinance #sucessofinanceiro
#financegoals https://t.co/ylqZm55lN0</t>
  </si>
  <si>
    <t xml:space="preserve">wboutlook
</t>
  </si>
  <si>
    <t>fgv_eaesp
Diversos estudos mostram que as
dificuldades #financeiras aumentam
o #estresse, a #ansiedade e, em
alguns casos, leva até à #depressão,
afetando também o desempenho profissional.
Leia: https://t.co/xBsf4rSgfK #educacaofinanceira
#coluna #BlogImpacto #DicadeLeituraFGV
https://t.co/EN3dz3DAFV</t>
  </si>
  <si>
    <t>evertondesg
O que dizer de ontem e hoje pois
tudo desce, sobe ❤️📚📊📈📉🔥🚀🌎🏆
Estude até entender essa lógica
dos fractais 😉 Thank you 🙏#btc
#eth #binance #mercadofinanceiro
#cryptocurrency #crypto #daytrader
#educacaofinanceira #gratidão https://t.co/h5M5CH3l3l</t>
  </si>
  <si>
    <t>camarajp
Consumidor usando sua renda de
forma consciente e munido de informações
sobre seus direitos... @odonbezerraadv
tá falando disso e muito mais,
a partir da #educacaofinanceira
e do #cdc. 💰 https://t.co/1EQ6r9O2lo</t>
  </si>
  <si>
    <t xml:space="preserve">odonbezerraadv
</t>
  </si>
  <si>
    <t>paulonodigital
🎓 Eduque-se: Aprenda o máximo
que puder sobre investimentos.
Existem muitos recursos gratuitos
online que podem ajudá-lo a entender
melhor o mundo dos investimentos.
#EducaçãoFinanceira</t>
  </si>
  <si>
    <t>dielison_
Não há liberdade financeira sem
educação financeira. Aprender a
gerenciar dinheiro é essencial
para alcançar objetivos e viver
tranquilo. Comece agora a estudar
finanças pessoais e tome as rédeas
da sua vida financeira. #educacaofinanceira
#investimentos #dinheiro. https://t.co/zQJbvrWMfZ</t>
  </si>
  <si>
    <t>pinchapila
#educaçãofinanceira #finanças https://t.co/ChK00V8S0o</t>
  </si>
  <si>
    <t>bizucash
Nos últimos dias nós participamos
do Encontro Pedagógico em Natividade
(RJ), onde tivemos a oportunidade
de apresentar nosso novo projeto
com foco na educação financeira
. #bizucash #Natividade #cashback
#educacaofinanceira https://t.co/Su0TR1Q9wU</t>
  </si>
  <si>
    <t>tlcardoso
O custo estimado mensal individual
de vida no Brasil: R$ 5.528 A média
salarial individual dos brasileiros:
R$1800,00 Não há #Educacaofinanceira
que opere milagre! 🤡</t>
  </si>
  <si>
    <t>gabrielaprocpi9
RT @EInvestidor: 📊 COLUNA Ana
Paula Hornos | Há uma nova tendência
viralizando, chamada de “recados
sincerões” no ambiente de trabalho.
Vej…</t>
  </si>
  <si>
    <t>grdotrader
A INFLAÇÃO É IGUAL AO ALC00LISMO!
#mercadofinanceiro #educaçãofinanceira...
https://t.co/yhMUS52v8A via @YouTube</t>
  </si>
  <si>
    <t>narfortsac
Você já parou para avaliar o seu
desempenho financeiro pessoal?
Leia mais em: https://t.co/Vhk2K1K8LQ
#análisedesempenhofinanceiro #finançaspessoais
#planejamentofinanceiro #dinheiro
#investimentos #educacaofinanceira
#sabadou #like</t>
  </si>
  <si>
    <t>edisilva64
Renegociação de Dívidas: Mutirão
Nacional para Sair do Superendividamento!
#RenegociaçãoDeDívidas #MutirãoDeNegociação
#Superendividamento #RegularizaçãoFinanceira
#DívidasEmAtraso #ConsumoConsciente
#MinistérioDaJustiça #Senacon #EducaçãoFinanceira
https://t.co/uLiucGPvR3</t>
  </si>
  <si>
    <t>fenaconfed
Confira dicas e alertas do diretor
da FENACON sobre como usar o valor
de restituição do imposto de renda
para quitar dívidas. Assista na
íntegra: https://t.co/gUCxrVLp64
#fenacon #impostoderenda #negociacao
#divida #economia #dinheiro #educacaofinanceira
https://t.co/yciCTp10Th</t>
  </si>
  <si>
    <t>agenciaestado
@BancodoBrasil lançou uma nova
versão de seu aplicativo e uma
plataforma de investimentos para
seus clientes, que inclui análise
e #educaçãofinanceira através do
portal #InvesTalk (https://t.co/eJUYN9aeex).
https://t.co/axAbPp2OQf https://t.co/L4vV3v2hYR</t>
  </si>
  <si>
    <t xml:space="preserve">bancodobrasil
</t>
  </si>
  <si>
    <t>ggianni
Colégio no Rio de Janeiro desenvolve
criptomoeda para incentivar educação
financeira https://t.co/P2IEXRGKBy
#educaçãofinanceira #criptomoeda</t>
  </si>
  <si>
    <t>varginha_online
Negociando dívidas em atraso |
por: Lídia Luciara Silva Aleixo
https://t.co/YVcVOgc0lr #Varginha
via @Varginha_online</t>
  </si>
  <si>
    <t>lidialuciara
Nesse artigo dou dicas importantes
para #negociação de #dívidas. Manter
as #finançaspessoais em dia também
faz bem para #saúde.</t>
  </si>
  <si>
    <t>mesquitarj
Na próxima sexta, dia 19 de maio,
a nossa conversa será com mesquitenses
que querem aprender a administrar
as próprias finanças. Link para
inscrição: https://t.co/N1Lm1JibZ8
#prefeiturademesquita #mesquitarj
#baixadafluminense #educaçãofinanceira
#empreendedorismo #sebrae https://t.co/cwLn3aMWUN</t>
  </si>
  <si>
    <t>majesegseguros
Seguro previdência privada é um
tipo de investimento de longo prazo
que tem como objetivo principal
garantir uma renda complementar
ao benefício pago pelo INSS no
momento da aposentadoria. #financaspessoais
#seguroauto #maternidade #pouparmais
#empreender #motivação #brasil
https://t.co/NXl7HgdvyP</t>
  </si>
  <si>
    <t>fabiooliveira18
Melhor saúde financeira! #finançaspessoais</t>
  </si>
  <si>
    <t>dnavegacao
Não critico o @tarcisiogdf, a ideia
parece boa, pode funcionar, mas
acho que #EducaçãoFinanceira deveria
ficar fora da grade curricular.
Um assunto que já é visto com uma
coisa chata pode ficar mais chato
ainda. Penso que a internet funciona
melhor para fazer isso.</t>
  </si>
  <si>
    <t xml:space="preserve">tarcisiogdf
</t>
  </si>
  <si>
    <t>economesteter
Governo Tarcísio quer aulas de
educação financeira para alunos
de SP (Folha)</t>
  </si>
  <si>
    <t>francisinvicto
1. #FinançasPessoais 2. #Investimentos
3. #EducaçãoFinanceira 4. #DicasFinanceiras
5. #PlanejamentoFinanceiro 6. #Dinheiro
7. #Economia 8. #MercadoFinanceiro
9. #Criptomoedas 10. #Negócios
https://t.co/tqE3hAkjT7</t>
  </si>
  <si>
    <t xml:space="preserve">cz_binance
</t>
  </si>
  <si>
    <t xml:space="preserve">polkadot
</t>
  </si>
  <si>
    <t xml:space="preserve">realpolkabridge
</t>
  </si>
  <si>
    <t>descentralizapt
#Bitcoin - O ARTISTA 🤡 Quanto
valerá o Bilhete do Artista Bitcoin
em 10 anos ? Compra já antes que
esgote! . . . . . . . . . . . .
#sharkattacks #economyrecession
#bitcoinnews #bitcoinportugal #bitcoinbrasil
#bitcoinangola #dinheiro #financaspessoais
#descentralizaclub https://t.co/hb2gvNgwxl</t>
  </si>
  <si>
    <t>duduhrosa13
Como começar a investir mesmo ganhando
pouco Clique no link para saber.
#finanças #finançaspessoais #dinheiro
#rendafixa #investimentos https://t.co/QEB2R274cy</t>
  </si>
  <si>
    <t>seakopt
RT @InvestFrugal: Portfólios Modelo
Investidor Frugal atualizados com
dados a 31 de Agosto de 2023. Bons
investimentos #PortfoliosModel…</t>
  </si>
  <si>
    <t>investfrugal
Portfólios Modelo Investidor Frugal
atualizados com dados a 28 de Fevereiro
de 2023. Bons investimentos https://t.co/azi806Ttsa
#PortfoliosModelo #ETFs #FinançasPessoais
#investimentos #Ações #Obrigações
#Ouro #Investir #dinheiro https://t.co/zJeOv94fN9</t>
  </si>
  <si>
    <t>brunomelop3
A mensagem no ZAP já diz tudo!!
#Amazon #educacaofinanceira #planejamentofinanceiro
#orcamentofinanceiro #Investimentos
https://t.co/ur7vlZ3Sfp</t>
  </si>
  <si>
    <t>wrodriguesbr
"Investir em conhecimento rende
sempre os melhores juros" - Benjamin
Franklin #educação #educaçãofinanceira
#finanças #finançasbiblicas #financaspessoais
#investimentos #investimentosinteligentes
https://t.co/FEdyiztbMu</t>
  </si>
  <si>
    <t>imperiosolar
Descubra como economizar dinheiro
e cuidar das suas finanças pessoais,
nos siga e acesse a Bio. Não perca
mais tempo e comece agora mesmo
a cuidar do seu dinheiro de forma
inteligente! #financaspessoais
#investimentos #imperiosolarbrasil
#energiasolar … https://t.co/NklV0BHdhR
https://t.co/dL2tR7O6QL</t>
  </si>
  <si>
    <t>luxcapital_
🌍 Estabelecer objetivos claros
🌍 Automatizar seus investimentos
🌍 Diversificar sua carteira 🌍
Utilizar fundos de investimento
#InvestimentosInteligentes #DiversificaçãoFinanceira
#EducaçãoFinanceira #InvestirComSabedoria
#ConsultoriaFinanceira #LuxCapial
https://t.co/2jcOorc106</t>
  </si>
  <si>
    <t>mongeinvestidor
“Estou duro. Mal consigo pagar
as contas do mês. #EducaçãoFinanceira
não é pra mim… Ou é?😕” 👨‍🏫O
Monge responde! Quais as vantagens
de aprender sobre dinheiro pra
quem está sem grana? Siga o fio…
🧵 https://t.co/roJk2SQQMG</t>
  </si>
  <si>
    <t>blogconvidado
Não deixe suas finanças pessoais
atrapalharem sua vida. Confira
17 maneiras rápidas e fáceis de
poupar dinheiro que você pode aplicar
hoje!👇https://t.co/AQIUQAxw91
#dicasfinanceiras #economizardinheiro
finanças #finançaspessoais #poupardinheiro
#economizardinheiro #dinheiro https://t.co/1hGf7uorXq</t>
  </si>
  <si>
    <t>luizmarjr
Como planejar suas #finançaspessoais?
👉 https://t.co/q1BKiQQGiR #planejamentofinanceiro
#investimentos #rendafixa #orçamentodoméstico
#updateyourfinances #updateconsultoria</t>
  </si>
  <si>
    <t>ngelaca69067770
É HOJE !!! Vamos falar sobre prosperidade?
Vamos falar sobre prosperidade?
18/05 às 18:00h estarei participando
desse belíssimo evento como convidada
especial. #seunutricionista #AngelaMaraCarvalhoEducadoraFinanceira
#palestra #emagreser #educacaofinanceira
https://t.co/CpOSeQZniw</t>
  </si>
  <si>
    <t>thiagorogel
Excelente, tomara que aconteça
!#Apoio #EducacaoFinanceira #NasEscolas</t>
  </si>
  <si>
    <t>mundorhonline
#EducaçãoFinanceira, #GestãoDePessoas,
#RH, #FinançasPessoais, #Endividamento,
#SaúdeFinanceira, #BenefíciosCorporativos,
#BemEstarFinanceiro, #InvestimentoEmPessoas,
#EstratégiaCorporativa, #CulturaOrganizacional,
#EmpresasConscie…https://t.co/dATNRcIKVr
https://t.co/otid9qfS6g</t>
  </si>
  <si>
    <t>vsuzzio
O dinheiro em nossas vidas. https://t.co/zm7lwKUuIi
#dinheiro #investimentos #finançaspessoais
#frasesinspiradoras</t>
  </si>
  <si>
    <t>123passei
#GerenciamentoFinanceiro #ConcursosPúblicos
#PlanejamentoFinanceiro #FinançasPessoais
#Estudos #Disciplina</t>
  </si>
  <si>
    <t>tcinvestimentos
Na sua opinião, o suitability é
um problema? #perfil #conhecimento
#educaçãofinanceira Opinião por:
Carol rosa https://t.co/iljk510XL6</t>
  </si>
  <si>
    <t>mariaap28183165
#dicas de #educaçãofinanceira #finançaspessoais
#shortvideo https://t.co/U2QQuy2Dcz
via @YouTube</t>
  </si>
  <si>
    <t>gabriel98091764
Você sabia que isso pode ACABAR
com seu Casamento ❌ #casamento
#separacao #divorcio #financas
#financaspessoais https://t.co/7Xd6RgqpP1</t>
  </si>
  <si>
    <t>infodiaemfoco
📌BUSINESS: Empreender é uma das
melhores formas para romper esse
ciclo vicioso!💰 #educacaofinanceira
#finanças #economia #dinheiro #empreendedorismo
#investimento #planejamento #bomdia.
#business #financa https://t.co/amb6zY6PNY</t>
  </si>
  <si>
    <t>kritikepodcast
Kritikê Podcast recebe Thiago Godoy,
Head de Educação Financeira na
XP Inc e Izabella Camargo, jornalista
e especialista em produtividade
sustentável para falar sobre "Dinheiro:
cura ou doença". #financeiro #educacaofinanceira
#dinheiro #carreira #produtividadesustentavel
https://t.co/GqHLOvU8sv</t>
  </si>
  <si>
    <t>osvaldocapaca
Squeezey - Visão 🎧🙏🔥 #Squeezey
#visão #Educaçãofinanceira #cash
#juízo #ViralVideos #fypシ #music
#art #artist #trap #song #iam #free
#typebeat #drilling https://t.co/6jvckWC1IP</t>
  </si>
  <si>
    <t>cryptoherobr
Acontecimento à vista! #criptomoedas
#BTC #IA #educaçãofinanceira https://t.co/QsapAu7eoF</t>
  </si>
  <si>
    <t xml:space="preserve">garotacrypto
</t>
  </si>
  <si>
    <t>jjnoar
Semana importante para análise
dos nossos investimentos. Ações,
FII, Fiagro e LCI. Como falo sempre:
invista R$ 50, R$ 100 ou R$ 500
O importante é começa a investir.
No futuro ter começado mais cedo,
fará toda a diferença em sua vida!
#educaçãofinanceira #Investimentos
#Ações https://t.co/7qiu0yOPv5</t>
  </si>
  <si>
    <t>faria_alcantara
Uma das mais (se não A mais) formas
de diminuir a pobreza é através
da #educacaofinanceira https://t.co/LSoORFg4HO</t>
  </si>
  <si>
    <t>blogdojuares
O desenvolvimento de uma criança
é o resultado que ela se aprende
na escola e principalmente no ambiente
familiar: #educacaofinanceira #criancas
#dinheiro #mesada #planejamentofinanceiro
#empatia #poupanca https://t.co/XNkAgju6xG</t>
  </si>
  <si>
    <t>avidamaisrica
Viver uma vida minimalista significa
dar valor àquilo que te traz um
benefício real, evitando o consumo
desenfreado e inconsciente. Saiba
mais no site: https://t.co/R2JOHQgHAO
. . . #economia #finanças #educacaofinanceira
#xpinvestimentos https://t.co/X3cZ1ygJnP</t>
  </si>
  <si>
    <t>joaoricardosil
Como costumas poupar para um viagem?
#poupar #dinheiro #viagem #viajar
#seguros #financaspessoais</t>
  </si>
  <si>
    <t>mondinthalles
💳 Valeu a pena amigos e amigas?
#dividas #carnaval #fatura #educacaofinanceira
https://t.co/EaalDsAfRj</t>
  </si>
  <si>
    <t>dinheiro_vivo
São várias as deduções que pode
fazer, entre elas as despesas com
imóveis, para diminuir o imposto
a pagar ou aumentar o reembolso
no IRS, se houver lugar a receber.
Veja quais. #dinheirovivopt #IRS
#finançaspessoais https://t.co/bn0VGPcdXM</t>
  </si>
  <si>
    <t>sonartrade
6/ 📚 O crescente foco em investimentos
ESG também afeta o aspecto educacional.
Corretoras e instituições financeiras
estão começando a incorporar princípios
ESG em seus recursos educacionais,
ajudando investidores a tomar decisões
mais informadas. #EducaçãoFinanceira</t>
  </si>
  <si>
    <t>blogdobetoveiga
Bom dia! Pelo Focus, só mudou o
PIB, cuja previsão subiu para 2,24%,
isto é, a renda da economia ficará
2,24% maior em 2023 do que em 2022.
E você? Sabe o que fazer nesse
cenário? #focus #relatóriofocus
#bc #pib #selic #câmbio #dólar
#comoinvestir #betoveiga #finançaspessoais</t>
  </si>
  <si>
    <t>centralcursoss
RT @redeTVT: 💰 Educação Financeira:
Como driblar a crise e planejar
o futuro? | Transição Acompanhe!
https://t.co/lxla1vN8sy #Transição
#…</t>
  </si>
  <si>
    <t>econovisao
#Investimentos #FinançasPessoais
#DicasDeInvestimentos #SucessoFinanceiro
#RendaPassiva #IndependênciaFinanceira</t>
  </si>
  <si>
    <t>tradervlog
https://t.co/CI7GdrbEkP 🚨 Riscos
do Mercado Forex: Conheça os principais
desafios e armadilhas que você
precisa estar ciente antes de mergulhar
no emocionante mundo do investimento
em moedas estrangeiras. 📉💱🔍
#ForexRisks #InvestimentoConsciente
#EducaçãoFinanceira #Forex…</t>
  </si>
  <si>
    <t>claudiohabibe
Quer saber como lucrar na B3 assim
que o pregão abrir? Ouça as dicas
valiosas de Cláudio Habibe neste
podcast. -&amp;gt; https://t.co/Xe5P4mKGjC
#B3 #BolsaDeValores #Investimentos
#EducaçãoFinanceira #DicasDeInvestimento
#Pregão #MercadoFinanceiro #DayTrade
#Trader #AnáliseTécnica https://t.co/crFGDZab2g</t>
  </si>
  <si>
    <t>businessjrvc
MEI: você sabe declarar seu imposto
de renda e seu IRPF? Vem conferir
aqui o que você precisa saber para
não ter problemas! #Empreendedorismo
#ImpostoDeRenda #IRPF #MEI #FinançasPessoais
#DeclaraçãoDeImposto #Impostos
#ContabilidadeDigital #ImpostosParaMEI
#MEIEmpreendedor https://t.co/opnB7Et1sF</t>
  </si>
  <si>
    <t>velosotrade
Mais um padrão que mostra os ciclos
do mercado cripto Se expor ao tempo
é uma das principais regras dos
investimentos #viverderenda #bitcoin
#investimento #educaçãofinanceira
https://t.co/hxbFioBXB6</t>
  </si>
  <si>
    <t xml:space="preserve">luciana__seabra
</t>
  </si>
  <si>
    <t xml:space="preserve">mepoupenaweb
</t>
  </si>
  <si>
    <t xml:space="preserve">1bilhao_
</t>
  </si>
  <si>
    <t>paisefilhos
Faça o teste #educaçãofinanceira
#teste #dinheiro https://t.co/VcdQ9EBmA4</t>
  </si>
  <si>
    <t>editoraviseu
Se você busca #EducaçãoFinanceira,
chegou no lugar certo. Ao ler este
#livro, o leitor entenderá de uma
forma simples que o mercado #financeiro
e os #investimentos em geral estão
abertos a todos, e não somente
aos ricos. https://t.co/A6ZRQEWEZW
#EditoraViseu https://t.co/wLCELYSqZu</t>
  </si>
  <si>
    <t>danielg_s6
💪💰A educação financeira é poderosa!
Ao compreender a economia e como
ela afeta a vida das pessoas, você
estará mais capacitado para tomar
decisões conscientes sobre suas
finanças, investimentos e planejamento
futuro. #EducaçãoFinanceira #IndicadoresEconômicos
#Economia</t>
  </si>
  <si>
    <t>ammamagistrados
Magistrados associados, aposentados
e servidores participam de palestra,
promovida pela AMMA, sobre Educação
Financeira em Investimentos. #curso
#educaçãofinanceira https://t.co/Gl2xJKxTva</t>
  </si>
  <si>
    <t>cbnoficial
Marcelo d'Agosto tira dúvida de
ouvinte e explica por que é melhor
pagar antecipadamente as parcelas,
especialmente no caso em que envolve
automóveis. Saiba mais! #FinançasPessoais
#NoArNaCBN https://t.co/n1LBy8srgJ</t>
  </si>
  <si>
    <t>paulocbastos
@Ricamconsult Educação financeira
deveria fazer parte da grade educacional
brasileira. País que conta é aquele
em que seu povo sabe fazer conta.
Vamos acordar, brava gente, para
o progresso inteligente. #educação
#educaçãofinanceira #matemática
#progresso #Brasil</t>
  </si>
  <si>
    <t>ricamconsult
Na sua opinião, crianças deveriam
receber mesadas fixas ou serem
“pagas” por executarem tarefas?
#mesada #educação #finançaspessoais
#ricardoamorim Vídeo: @fernandatorreso
https://t.co/Jvq4C3VRJz</t>
  </si>
  <si>
    <t>revistavocerh
Problemas financeiros afetam a
saúde e a produtividade dos profissionais,
exigindo das empresas ações mais
consistentes de educação e apoio
#recursoshumanos #economia #educacaofinanceira
#dividas https://t.co/tLu4WmMdbT</t>
  </si>
  <si>
    <t>portomario
Inflação com Tio Patinhas #educaçãofinanceira
#educaçãofinanceiraparacri... https://t.co/9KPlhEjJpy
via @YouTube</t>
  </si>
  <si>
    <t>marcosacyprest1
Inflação com Tio Patinhas #educaçãofinanceira
#educaçãofinanceiraparacri... https://t.co/DAnyY59a7x
via @YouTube</t>
  </si>
  <si>
    <t>canalcomlucro
https://t.co/XvhsHDGcgS #GapDeBaixaDeTasuki
#AnáliseTécnica #Trading #MercadoFinanceiro
#ComLucro #EducaçãoFinanceira #PadrãoCandlestick
#Itaú #fintwit #Trader #investimentos
https://t.co/ybtsHLw6dJ</t>
  </si>
  <si>
    <t>arrcanjjo
Basta reduzir a carga tributária
das empresas nacionais que elas
vão voar seu 'ĵênio'. #liberdadefinanceira
#rendavariavel #rendapassiva #educacaofinanceira
#investimento #independênnciafinanceira
#economia #criptomoedas #motivação
#atualidades #desenvolvimentopessoal
https://t.co/X9w0CQO5iz</t>
  </si>
  <si>
    <t>nilsonmarques22
"O medo o empurra para fora da
porta e o desejo o atrai. Esta
é a armadilha." "A armadilha criada
por essas duas emoções, o medo
e o desejo. Usem a seu favor, não
contra." PRPP Reflita! #armadilha
#pairicopaipobre #medo #desejo
#educaçãofinanceira</t>
  </si>
  <si>
    <t>psuvazamentos
📚💰 Quer começar a investir? Meu
novo eBook, 'Investindo: Guia para
Iniciantes', é a sua entrada para
o mundo dos investimentos! https://t.co/45QHV5idfw
Aprenda estratégias vencedoras
e tome as rédeas do seu futuro
financeiro. 💪🏾💰 #Investimento
#Ebook #FinançasPessoais</t>
  </si>
  <si>
    <t>gutgot
https://t.co/1fLwP7nuUf Aplicativo
de finanças. Gerir seus gastos
e salário. Confere aí. #financas
#financaspessoais https://t.co/8kzhjCuyMu</t>
  </si>
  <si>
    <t>eduardomrfilho
Associe-se a pessoas com a mesma
visão! #sabedoria #fé #educação
#educacaofinanceira #educaçãofinanceira
#sabedoriafinanceira https://t.co/IfZPczpioV</t>
  </si>
  <si>
    <t>mktdigital2023
Saiba mais em https://t.co/W2FzIxYzbs
💸🚀🚀💸💸 #MarketingDigital #RendaExtra
#tralhadecasa #DolarBlue #Trafegopago
#Mercadofinanceiro #Trabalhoonline
#Educação #Educaçãofinanceira #Sucesso
#Empreendorismo https://t.co/zuxfQPa8m8</t>
  </si>
  <si>
    <t>gilsonanselmo
📈 Investimentos 🔍 #investimentos
#bancosafra #safrainvest #azioninvest
#educaçãofinanceira #assessoria360
https://t.co/xlnzG4Q9AQ</t>
  </si>
  <si>
    <t>sousadavi
Qual é a diferença entre ativos
e passivos? Ativos colocam dinheiro
no seu bolso; passivos tiram dinheiro
do seu bolso. 💡💸 #EducaçãoFinanceira
#AtivosEPassivos"</t>
  </si>
  <si>
    <t>indigoinstituto
Já assistiu? Conta pra gente nos
comentários: ao seu ver, qual a
importância da educação financeira
para os indivíduos e para as consequências
sociais e econômicas futuras? #economia
#educacaofinanceira</t>
  </si>
  <si>
    <t>igorhonorioo
“Um produto bom se vende sozinho!”
Isso é um grande mito… É transferir
uma responsabilidade que é sua
para o seu produto. #empreendedorismo
#vendas #educacaofinanceira</t>
  </si>
  <si>
    <t>eloanportugal
Descubra em que situações o crédito
consolidado poderá ser a solução
mais benéfica para o ajudar a reorganizar
as suas finanças » https://t.co/XReElThL9R
#creditoconsolidado #consolidacaodecreditos
#juntarcreditos #juncaodecreditos
#eloanpt #solucoesfinanceiras #financaspessoais
https://t.co/4uaY15sYwu</t>
  </si>
  <si>
    <t>grupoayonel
💡 Você sabia que a reciclagem
cria empregos e estimula a economia
local? Invista onde faz a diferença.
#EmpregoSustentável #MercadoFinanceiro
#RendaPassiva #EducaçãoFinanceira
#InvestirFuturo https://t.co/OAyBPzZpoj</t>
  </si>
  <si>
    <t>mallonsoigcombr
Confira o vídeo de Marcelo Alonso
II! #TikTok https://t.co/wyYyJH5kt7.
Essa é para os investidores #investimentofinanceiro
#vendadeimoveis #vendadireta #caixaeconomicafederal
#bancodigital #finançaspessoais
#financia</t>
  </si>
  <si>
    <t>settitiago
O setor de energia é o setor que
tem mais oportunidade no momento,
com múltiplos preço/lucro mais
baixos que outros setores. #finanças
#finançaspessoais #dinheiro #Investimentos
https://t.co/4RfNiEvP2L</t>
  </si>
  <si>
    <t>guiademicon
A dificuldade de muitos é ter disciplina
financeira pra poupar todo mês.
Porém, com o consórcio você se
obriga a guardar um valor mensal
e ainda acaba tendo o montante
antes do tempo, pra usar isso como
investimento ou adiantar seu plano
de comprar um bem. #educacaofinanceira</t>
  </si>
  <si>
    <t>admgestpublica
Uma história pra você mudar a sua
realidade de vida e ser capaz de
mudar, a realidade de muito mais
pessoas. https://t.co/vUcYieX6Tt
#educaçãofinanceira #atitude #Governo
#gastospessoais #finanças #estabilidadefinanceira
#independênciafinanceira https://t.co/nFOYHdZWkh</t>
  </si>
  <si>
    <t>blogparaopovo
Você sabe como gerenciar o seu
dinheiro? Em nosso post vamos te
mostrar como se livrar das dívidas
e como administrar o seu dinheiro!
#finanças #educaçãofinanceira #paraopovo
https://t.co/gLAv3GHe13</t>
  </si>
  <si>
    <t>minteredu
Aprender educação financeira pode
ser a mudança que vai permitir
que você saia das dívidas e alcance
seus objetivos Nós ensinamos o
que você precisa de forma completa
#dinheiro #money #financeiro #discovery
#explore #explorer #explorar #finanças
#educaçãofinanceira #sucesso https://t.co/tg6YX1WGmF</t>
  </si>
  <si>
    <t>emprestimopravc
Queremos que sua busca em contratar
um empréstimo online seja segura
e livre de taxas antecipadas. Acesse
(https://t.co/OITdfkJGun) e descubra
dicas práticas e importante lembrar
que não realizamos empréstimos.
#dicasfinanceiras #educacaofinanceira</t>
  </si>
  <si>
    <t xml:space="preserve">fernandatorreso
</t>
  </si>
  <si>
    <t>pedrofagundes
Antes de investir em renda fixa,
estude, pesquise e procure o auxílio
de um profissional especializado.
Ele poderá ajudá-lo a escolher
os melhores títulos e planejar
seus investimentos de acordo com
suas metas e necessidades. 📚👨‍💼
#EducaçãoFinanceira</t>
  </si>
  <si>
    <t>oficial_ens
O 2° episódio do circuito de lives
sobre Educação Financeira teve
como convidado especial o Chief
Financial Officer (CFO) do grupo
Mantiqueira e Fundador do FNP (Finanças
e Práticas), Marcelo de Paula do
Desterro. Confira! https://t.co/0eiwEySK9M
#AconteceENS #EducaçãoFinanceira</t>
  </si>
  <si>
    <t>andreamenezesi
O que não te contaram na faculdade.
1- Que o diploma não iria te garantir
um bom emprego. 2- Que você precisaria
ter diversas fontes de renda. 3-
Que você precisaria investir para
a aposentadoria. #investimentos
#financaspessoais #aposentadoria</t>
  </si>
  <si>
    <t>unicredbrasil
Se você ainda não usa uma planilha
de controle financeiro, esse é
um sinal para fazer a sua. Preparamos
um modelo de exemplo para você
personalizar e utilizar. 😉 #Unicred
#EducaçãoFinanceira #PlanilhaDeGastos
#GestãoFinanceira https://t.co/wFZoF6X5R3</t>
  </si>
  <si>
    <t>opengrowth_
Over 50k startups in the US supported
by venture capital are in search
of funding in the near future.
A multitude of startups secured
funding in early 2022, with an
average fundraising interval of
1.5 years #finance #financetip
#financaspessoais #startup #capital
#fundraising https://t.co/r1yECR6Omb</t>
  </si>
  <si>
    <t>flavioluis_fing
#finanças #educação #educaçãofinanceira
https://t.co/OYb5O2HDsb</t>
  </si>
  <si>
    <t>appirflash
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</si>
  <si>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bynessantos
#liberdadefinanceira #educaçãofinanceira</t>
  </si>
  <si>
    <t>fernandaportov
O homem mais rico da Babilônia
é um clássico sobre finanças pessoais.
Aprenda os segredos da riqueza
com os antigos babilônicos! #ohomemmaisricodababilonia
#classico #financaspessoais #riqueza
#aprendizagem #autodesenvolvimento
https://t.co/W80jcChF9a</t>
  </si>
  <si>
    <t>bidubike
Falando de incoerência... luladrão,
o corrupto e que defende o aumento
das despesas públicas e consequentemente
do déficit público, lançou o programa
desenrola que inclui ensinamentos
de educação financeira. https://t.co/kQVtE6X2Un
#lulaladrão #educaçãofinanceira
#desenrola</t>
  </si>
  <si>
    <t>jornalodia
85% dos pais afirmam que orientam
seus filhos sobre o tema. #ODia
#Educaçãofinanceira https://t.co/XOstbbAQST</t>
  </si>
  <si>
    <t>modelodevida_
Um Caminho para o Bem-Estar Esta
abordagem tem se tornado mais popular
nos últimos anos e tem sido utilizada
em terapia para ajudar a aliviar
o sofrimento emocional e aumentar
a saúde mental. https://t.co/Z4ZJwN8nwS
#bemestar #estilodevida #financaspessoais
#Mindfulness #Relaxed https://t.co/j4P7TiN5KW</t>
  </si>
  <si>
    <t>sabidinis
Confira as duas notícias desta
semana que separei para você: 🔥
Previsão de preços das passagens
aéreas para 2023 🔥 Como preparar
as contas do começo do ano #consultoria
#assessoria #noticas #financas
#financaspessoais #contas2023 #passagensaereas
#gastos https://t.co/mwrC0WKxA8</t>
  </si>
  <si>
    <t>meubolsoemdia
Marque seus irmãos e sua mãe por
aqui. E lembre-se de que quando
assunto é evitar desperdícios,
o https://t.co/K8P3blmZKU também
é um prato cheio. #Educaçaofinanceira</t>
  </si>
  <si>
    <t>cryptonita_ta
🇧🇷 Gráfico Diário $IBOV com áreas
de oferta e demanda e retração
de Fibonacci. #Investimentos #BolsadeValores
#MercadoFinanceiro #AnáliseTécnica
#Ações #RendaVariável #FinançasPessoais
#Economia #Trading https://t.co/kDECEQM0dB</t>
  </si>
  <si>
    <t>flyvagner
Palestra Sicoob Credimata - Juiz
de Fora - MG https://t.co/Lko5Tj80f3
via @YouTube #palestra #educaçãofinanceira
#credimata #sicoob #juizdefora
#flyvagner</t>
  </si>
  <si>
    <t>tdmaoinvisivel
RESGATE DO SILICON VALLEY BANK
No EP. 232, Paulo e Julio entrevistam
o sócio e Gestor de Portfólio da
@Crescat_Capital, @TaviCosta, sobre
a atual economia global, inflação,
ouro, bitcoin e mais! #economia
#investimentos #educacaofinanceira
#ouro #bitcoin #finanças #bancos #SVB
https://t.co/G4Jbe2x2cm</t>
  </si>
  <si>
    <t xml:space="preserve">tiagogreis
</t>
  </si>
  <si>
    <t xml:space="preserve">tavicosta
</t>
  </si>
  <si>
    <t xml:space="preserve">crescat_capital
</t>
  </si>
  <si>
    <t>newsdigital360
10 Estratégias Para Alcançar a
Independência Financeira https://t.co/SqFLRK4Zt0
#independenciafinanceira #financaspessoais
#investimentos #rendapassiva #gerenciamentodedividas
#educacaofinanceira #aposentadoria
#consultoriafinanceira #liberdadefinanceira
#planejamentofinanceiro https://t.co/mZZ0UGoH8b</t>
  </si>
  <si>
    <t>simonramosbr
#empreendedorismo #negócios #startup
#sucesso #liderança #motivação
#finanças #investimento #dinheiro
#educaçãofinanceira</t>
  </si>
  <si>
    <t>mpaulaorganizer
Ser organizado economiza tempo
e dinheiro. . . . #mariapaulaorganizer
#economiadomestica #menosémais
#mininalismo #educacaofinanceira
https://t.co/11nKeCIdTC</t>
  </si>
  <si>
    <t>blogpdnoticia
Empreenda Salvador oferece 300
vagas em curso de educação financeira
para MEIs... https://t.co/oCpTMKsZKD
#empreendasalvador #cursodeeducacaofinanceira
#educacaofinanceira #meis https://t.co/D19J9OGTup</t>
  </si>
  <si>
    <t>twivitoriaregia
As aulas de Educação Financeira
estimulam, na infância, o consumo
consciente. 💰🪙 #educaçãofinanceira
#consumoconsciente #soumaisvr #sempreaoseulado
#osseussonhossãoosnossos #colégiovitóriarégia
#cabula #salvador https://t.co/WFt2Nrps60</t>
  </si>
  <si>
    <t>theholderinvest
- Lembre-se: “Pensamentos limitantes
levam a ações e resultados limitados”
#livro #termostatofinanceiro #finanças
#dinheiro #educacaofinanceira #investimentos
#theholderinvest</t>
  </si>
  <si>
    <t>gutemberggjaa
Educação financeira é importante
para o seu futuro! Aprenda a gerenciar
seu dinheiro e faça escolhas inteligentes
para alcançar seus objetivos. #EducaçãoFinanceira
#FinançasPessoais</t>
  </si>
  <si>
    <t>andredesofia
RT @mat_financeira: Quando compreendemos
o poder do uso consciente do dinheiro
- como ganhá-lo, economizá-lo e
investi-lo com sabedoria - e…</t>
  </si>
  <si>
    <t>originalsantt
A meta de agora tá habilitado é
que uma qualificação ajuda muito
a entra no jogo trabalhos temporários
e com boa remuneração. Vou subir
os investimentos e continua trabalhando
pra mim mesmo... 🧠📈💸 #educaçãofinanceira
#negócios #empreendedor #imvestimestos</t>
  </si>
  <si>
    <t>edsonderiv
Ganhe dinheiro com programas de
Afiliados no mercado financeiro!
https://t.co/Yl3YEs0Cgn #AfiliadosFinanceiros
#MercadoFinanceiro #GanharDinheiroOnline
#SucessoFinanceiro #OportunidadesFinanceiras
#EducaçãoFinanceira https://t.co/1oEj0FDkJ9</t>
  </si>
  <si>
    <t>jornadacapital
Seja bem-vindo ao Jornada Capital.
Mais informações: https://t.co/RXuuuv87rp
#Finanças #Investimentos #Política
#Economia #EconomiaBrasileira #MercadoFinanceiro
#TaxaSelic #podcast #Brasil #BolsadeValores
#MoneyTimes #InfoMoney #ValorEconômico
#BolsaB3 #EducaçãoFinanceira https://t.co/7QaTtFcbKm</t>
  </si>
  <si>
    <t>tocadoslivrosbr
✅ Planejamento Financeiro: Você
no controle 📚 Oferta Amazon: https://t.co/7N3VZ5JPW5
#Amazon #EducaçãoFinanceira #Economia
#finanças #dinheiro #Oferta #livros</t>
  </si>
  <si>
    <t>editmaisamigos
O que não tem preço para você?
#jonasribeiro #maisativos#educacaofinanceira
https://t.co/oxpqkWkCMX</t>
  </si>
  <si>
    <t>devairrocha
Bom dia!!! #rumoaosucesso #rumoaotopo
#financaspessoais #sucessoprofissional
https://t.co/0dyaVYvwyK</t>
  </si>
  <si>
    <t>ttorres_oficial
Já cansou de pagar aluguel? A hora
é agora para acessar um consórcio
de forma bem simples. 40% de redução
no valor de parcela até a data
de contemplação. #consórcio #planejamentofinanceiro
#thistorres #educaçãofinanceira
https://t.co/qnYeE90TC8</t>
  </si>
  <si>
    <t>maikonweber1
"O mercado de investimento não
é místico, é apenas outro produto.
Com educação financeira e conselhos
de profissionais, é possível compreendê-lo
e usá-lo como ferramenta para alcançar
seus objetivos financeiros futuros.
#MercadoDeInvestimento #EducaçãoFinanceira"</t>
  </si>
  <si>
    <t>admucdb2k23
O planejamento financeiro é uma
habilidade importante para todos,
especialmente para estudantes que
estão enfrentando muitos desafios
financeiros. Então aqui estão 9
dicas que podem ajudar a desenvolver
um planejamento financeiro sólido:
#BORACOMOADM 🚀 #FinançasPessoais
https://t.co/MOYXaDr8BJ</t>
  </si>
  <si>
    <t>realpauloborba
🏦💡 Taxas excepcionais de CD podem
atrair, mas geralmente têm termos
e condições que exigem análise
cuidadosa. Embora CDs ofereçam
segurança no curto prazo, as ações
ainda oferecem melhor potencial
de crescimento a longo prazo. 📈💰
#EducaçãoFinanceira #Escolhas Fonte:
Market…</t>
  </si>
  <si>
    <t>rh_garrett
https://t.co/mQhvjSPRrv #CONARH2023
#CreditasBenefícios #EducaçãoFinanceira
#GestãoDePessoas #DesenvolvimentoProfissional
#BemEstarFinanceiro #Eventos #Inovação
#Empresas #Sucesso #PortalDoGarrett</t>
  </si>
  <si>
    <t>portal_viva
Cotia fecha o mês da mulher com
palestra sobre Educação Financeira.
Saiba mais em https://t.co/uhXIFcUNhS
#educaçãofinanceira #mulheres #PortalViva
#Cotia #palestra https://t.co/6gLlg6INGf</t>
  </si>
  <si>
    <t>urbanitae_pt
Os proprietários de casas perguntam-se
frequentemente: devo pagar a hipoteca
ou investir? 🤔 Sabemos que não
é uma decisão fácil. É por isso
que hoje lhe trazemos os factores
que deve ter em conta. https://t.co/yZUOZ7WHld
#EducaçãoFinanceira #InvestimentoImobiliário</t>
  </si>
  <si>
    <t>contabeisvida
O segredo para uma vida financeira
saudável é simples: gastar menos
do que se ganha, poupar regularmente
e investir com sabedoria. Não existe
fórmula mágica, mas sim disciplina,
planejamento e perseverança. Quem
mais concorda? #finanças #educaçãofinanceira
#investimentos</t>
  </si>
  <si>
    <t>ebitdaf
🤫O segredo para a independência
financeira! 🤑💰💵 📊Invista com
Disciplina. #educaçãofinanceira
#sabedoriafinanceira #finanças
#rentabilidade #investimentos #ebitda
#dinheiro #bolsadevalores #consultoriafinanceira
#dividendos #juroscompostos #aposentadoria
#independencia https://t.co/yHZMJ2PcsV</t>
  </si>
  <si>
    <t>mvcosta22
Identifique e atenda suas prioridades.
#empreendedorismo #empreender #aprendizado
#educaçaofinanceira https://t.co/EAnjs5Do6L</t>
  </si>
  <si>
    <t>finscool_br
A felicidade não é riqueza, mas
o modo como você vive! Concorda?👇
#finscool #finanças #financaspessoais
#educacaofinanceira #bemestar #startup
#edtechs https://t.co/znGjKwT20d</t>
  </si>
  <si>
    <t>_abrates
Escreva abaixo. Em breve, divulgaremos
mais informações. #Tradução #Interpretação
#Tradutor #Intérprete #DiadoTradutor
#Palestra #ABRATES #ConsultoriaFinanceira
#DiaDoIntérprete #Finanças #FinançasPessoais
#MêsDoTradutor #MêsDoIntérprete</t>
  </si>
  <si>
    <t>abnerluciano
RT @leiamoneytimes: Não conseguiu
ir no The Town? Veja como se preparar
para os próximos festivais #Entretenimento
#FinançasPessoais #Geral…</t>
  </si>
  <si>
    <t>leiamoneytimes
10 fundos imobiliários que estão
com um precinho e bom retorno com
dividendos #FIIs #FinançasPessoais
#FundosdeFundos https://t.co/NM0Ia55Mld</t>
  </si>
  <si>
    <t>dawisonbarbosa
As oportunidades de investimento
são inúmeras, mas você realmente
sabe qual a forma mais segura e
eficaz de investir? Clique no link
aqui e saiba mais! #PréRico #minutodariqueza
#investir #investimentos #educaçãofinanceira
#investimentocerto https://t.co/0NYycgDZ0V</t>
  </si>
  <si>
    <t>ricardoschramm
@GloboNews @CesarTralli A sociedade
precisa de #educaçãofinanceira.
Não adianta levar a debate um assunto
que 90% da população não entende.
Quem divulga essa ideia é pq tem
interesses obscuros e sabe que
o populismo age sob sua vontade.</t>
  </si>
  <si>
    <t xml:space="preserve">cesartralli
</t>
  </si>
  <si>
    <t xml:space="preserve">globonews
</t>
  </si>
  <si>
    <t>ellosuneng
Atingindo 22,3 gigawatts o Brasil
bate recorde e marca o setor de
energia solar. #energiasolar #sustentabilidade
#educacaofinanceira #empreendedorismo
WhatsApp: (73) 3215-6742 @ellosunoficial
https://t.co/AeOw9GRZ1w https://t.co/HR0LsUWpxy</t>
  </si>
  <si>
    <t>bytresloucado
COMO FAZER UMA RENDA EXTRA NA ESCOLA?
#rendaextra #educaçãofinanceira
#paçoca https://t.co/WVBMt4UjuM</t>
  </si>
  <si>
    <t>mano_investidor
ENTENDA a DIFERENÇA ENTRE AS AÇÕES
3, 4, 5, 6 e 11 🤑📈🚀 #ações #bolsadevalores
#mercadofinanceiro #investidoriniciante
#educacaofinanceira #dinheiro #rendavariavel
#rendapassiva #dinheiroonline https://t.co/tConM8axZR</t>
  </si>
  <si>
    <t>academiadebolsa
Podes começar a investir no teu
conhecimento hoje! https://t.co/sBQo9LYlLg
#academiabolsa #literaciafinanceira
#saudefinanceira #vidafinanceira
#educaçãofinanceira #culturafinanceira
#investimento https://t.co/BU24SlFMGb</t>
  </si>
  <si>
    <t>grm88765974grm
#formação #finanças #motivacao
#sucesso #educaçãofinanceira #liderança
#desenvolvimentopessoal #MarketingDigital
#mentesmilionárias #investimentos
#liberdadefinanceira</t>
  </si>
  <si>
    <t>technewsbr90131
💰💡Brasil bate recorde de endividados!
😱 Aprender sobre educação financeira
é essencial para investir em Bitcoin.
📈 Leia mais: https://t.co/3G1QaekRmI
#Bitcoin #EducaçãoFinanceira 📰
https://t.co/mgeSttbe0a</t>
  </si>
  <si>
    <t>mauriciomoega
RT @mat_financeira: Quando compreendemos
o poder do uso consciente do dinheiro
- como ganhá-lo, economizá-lo e
investi-lo com sabedoria - e…</t>
  </si>
  <si>
    <t>drancelmoramos
Veja no vídeo a seguir cinco razões
para fazer um curso de educação
financeira. Aprenda a gerenciar
o dinheiro que entra na sua conta,
de forma a reduzir gastos e manter
seu orçamento sempre positivo.
#RalBank #educaçãofinanceira #investimentos
#planejamentofinanceiro https://t.co/oDZdT6uMxZ</t>
  </si>
  <si>
    <t>mrcia770732731
#educacaofinanceira. https://t.co/gAzsutOUB0
o melhor curso para educação financeira
e planilha entre outros</t>
  </si>
  <si>
    <t>muriloabacherli
Essa matéria é ótima, https://t.co/oTbjrCly7k.
NÃO ACEITEM ISSO! ❌ #vendacasada
#financiamentoimobiliário #banco
#bancocentral #caixa #sistemabancário
#finanças #educaçãofinanceira #gestãofinanceira</t>
  </si>
  <si>
    <t>willkushman
Venha fazer parte da maior plataforma
de educação financeira do Brasil
#ivipcoin #Binance #p2b #houbi
#MEXCGobal #kucoin #CryptoTwitter
#gems #elon_musk #educacaofinanceira
Link para cadastrado na minha bio
☑️ https://t.co/D9gcxTuvam</t>
  </si>
  <si>
    <t>openideas_net
Se você é um freelancer e tem dúvidas
de como se organizar financeiramente,
veja: 🎯Regra 50 - 30 - 20 💵50%
dos ganhos para contas fixas 💵30%
contas variáveis 💵20% poupança
Ex: R$2000 = R$1000 para fixo,
R$600 variáveis e R$400 poupança
#Freelancer #FinançasPessoais #MEI
https://t.co/Z3rSVYRa5G</t>
  </si>
  <si>
    <t>financas100tabu
Alcance a independência financeira
e realize seus sonhos! Nosso e-book
exclusivo vai te ensinar a trilhar
o caminho para uma vida financeira
equilibrada. Clique no link https://t.co/9WtIty4Aka
e dê o primeiro passo rumo ao sucesso!
#finanças #financaspessoais #financas100tabu
https://t.co/vVs0hjOw65</t>
  </si>
  <si>
    <t>beieducacao
Falta menos de um mês para a Bett
Brasil 2023! E a BEĨ Educação estará
lá! Venha nos visitar e conhecer
as novidades que preparamos! #beieducacao
#educacaofinanceira #cidadania
#BeinaBett https://t.co/vlyTzvBAU0</t>
  </si>
  <si>
    <t>academiaalphapt
8/9 🏆 Quer seja homem ou mulher,
o importante no trading é a educação,
a estratégia e a disciplina. O
mercado não se importa com o teu
género, só se importa com o teu
desempenho. #EducaçãoFinanceira</t>
  </si>
  <si>
    <t>_divesvitae_
Novo episódio do podcast no ar.
Link na bio. #podcast #educaçãofinanceira
em Piracicaba, Brazil https://t.co/7esk5D1ptn</t>
  </si>
  <si>
    <t>clubeacaobr
𝘿𝙚𝙨𝙫𝙚𝙣𝙙𝙖𝙣𝙙𝙤 𝙤 𝙢𝙞𝙨𝙩é𝙧𝙞𝙤
: 𝘼𝙥𝙧𝙚𝙣𝙙𝙖 𝙘𝙤𝙢𝙤 𝙛𝙪𝙣𝙘𝙞𝙤𝙣𝙖
𝙤 𝙢𝙚𝙧𝙘𝙖𝙙𝙤 𝙙𝙚 𝙖çõ𝙚𝙨
📉📊📈 ▶️ https://t.co/czkd2Qoh21
#investimentos #bolsadevalores
#mercadodeacoes #educaçãofinanceira
#investirparaganhar #finançaspessoais
#rendavariavel https://t.co/ZClb5pfddV</t>
  </si>
  <si>
    <t>pimpthirteen
Foque energia naquilo que você
pode controlar, nem tudo está sob
o seu controle ♾️ . #terapia #autoconhecimento
#educacaofinanceira #negocios #empreender
#finanças #investir #motivacao
#marketingdigital #israelmelo https://t.co/f0U4WVNN9b</t>
  </si>
  <si>
    <t>alexfinancas
#AlexFinanças 👉 https://t.co/zGrHvlcMVM
#ConsultoriaFinanceira #Finanças
#Campinas #EducaçãoFinanceira #GestãoFinanceira
https://t.co/IE8Oke4bhL</t>
  </si>
  <si>
    <t>jjempreendedor
O empreendedor que não entende
sobre o dinheiro, vira um escravo
do trabalho e leva sua família
junto para prisão. #educacaofinanceira
#jfinance #bottelegram #liberdade</t>
  </si>
  <si>
    <t>cajao021
"O dinheiro não traz felicidade,
mas a estabilidade financeira é
fundamental para alcançar a tranquilidade
e a segurança emocional. Investir
em si mesmo e em suas habilidades
é tão importante quanto investir
em suas finanças. Planeja-se. #finançaspessoais
#investimento"</t>
  </si>
  <si>
    <t>projaposent
Você sabia que a educação financeira
pode mudar a sua vida? Aprender
a gerenciar o seu dinheiro e investir
pode ajudá-lo a alcançar seus objetivos
financeiros e ter uma vida mais
tranquila. Comece a investir em
você hoje mesmo! #finanças #educaçãofinanceira
#investimentos</t>
  </si>
  <si>
    <t>brazen_capital
Investir é uma jornada, portanto
comece pelo básico para garantir
que você vai chegar longe... Entenda
sobre o básico de finanças pessoais
em nossa series de artigos relacionados
a #bzcWM360. . . #FinancasPessoais
#InvestidorPrudente https://t.co/ar9UuqcWSq</t>
  </si>
  <si>
    <t>sebraeto
Se você tem um negócio, sabe que
a gestão financeira é um aspecto
crucial pra saúde e pro sucesso
da empresa. 🤑🥲Pensando nisso,
separamos algumas dicas fundamentais
pra te ajudar nesse processo. Confira!
😉#OrganizaçãoFinanceira #Empreendedorismo
#EducaçãoFinanceira https://t.co/NAzwT0LlTz</t>
  </si>
  <si>
    <t>serieapalpiteir
Presidente da FPF afirma que sites
de apostas precisam pagar por educação
financeira dos clientes! Saiba
mais sobre essa notícia no blog
@SerieApalpiteiro. #apostas #educaçãofinanceira
#futebolbrasileiro https://t.co/AtaRhKPCbi</t>
  </si>
  <si>
    <t>azizbasry
Brain Evolution System! https://t.co/jiYvvsKR5E
#mercadofinanceiro #personalfinance
#financetips #educacaofinanceira
#independenciafinanceira #planejamentofinanceiro
#educaçãofinanceira</t>
  </si>
  <si>
    <t>sicoobcj
Você sabia que investir na sua
#educaçãofinanceira hoje traz muitos
benefícios para sua vida a curto,
médio e longo prazo? 💰 É por isso
que o #Sicoob participa da #SemanaENEF,
que neste ano irá acontecer de
15 a 21 de maio. 🗓 #SemanaENEF2023
https://t.co/jtQfiUQJVc</t>
  </si>
  <si>
    <t>mutualcapital3
Conheça o passo a passo para negociar
suas dívidas com os principais
bancos e recuperar sua estabilidade
financeira. Confira agora mesmo!
#NegociaçãoDeDívidas #Bancos #EducaçãoFinanceira
#emprestimocomgaratia #homeequity
#creditoimobiliario #cgi #imoveis
#credito https://t.co/X9jgaVZo4T</t>
  </si>
  <si>
    <t>edgarfmabreu
O que achas sobre isto? #investir
#investimentos #finanças #finançaspessoais
https://t.co/0mF0D3half</t>
  </si>
  <si>
    <t>bancomoc
Dicas de Poupança Esteja atento
aos nossos próximos tweets, deixe
o seu like/comentário e retweet.
#bancodemocambique #bancocentral
#educacaofinanceira #poupanca #dicadepoupanca
https://t.co/gWFCIQoNmm</t>
  </si>
  <si>
    <t>dinheiro_viva
Vale a pena entrar com a ação judicial
do superendividado? #dividas #financaspessoais
#divida https://t.co/ANgEU9IWEO</t>
  </si>
  <si>
    <t>pobrepoupa
A educação financeira é fundamental
na vida de qualquer pessoa, e no
caso dos brasileiros, ela é ainda
mais importante devido aos desafios
econômicos que o país enfrenta.
#Poupe #PobrePoupe #Finanças #Economia
#Economize #Investimentos #EducaçãoFinanceira
#Poupar #Poupança https://t.co/PynxCn3uon</t>
  </si>
  <si>
    <t>osdadosmostram
se achar erros pode comentar também!
#educacaofinanceira #selic #poupanca</t>
  </si>
  <si>
    <t>malelo2711
@paulonbjr #UtilidadePublica #EducaçãoFinanceira
#Tributação</t>
  </si>
  <si>
    <t xml:space="preserve">paulonbjr
</t>
  </si>
  <si>
    <t>recuperabrasil_
Não quer cair em cobranças indevidas?
A gente te ensina a como evitar
dores de cabeça. https://t.co/BkkKpPpbUC
#protecaodoconsumidor #dicasfinanceiras
#limpanome #nomelimpo #dívidas
#consultadedívidas #educaçãofinanceira
https://t.co/NeX7aFdFxM</t>
  </si>
  <si>
    <t>rosaangelahenr2
Não podemos deixar de agir com
coerência maturidade ética moral
respeito coersao moral andar pra
frente mete marcha O que a história
de Prometeu te faz pensar? #administração
#financaspessoais #mitologia</t>
  </si>
  <si>
    <t>sbellomo1995
🧵 Se você gostou dessas dicas,
deixe seu like! Meu nome é Samuel
e estou aqui para inspirar e orientar
você a conquistar uma vida financeira
mais saudável e inteligente. Clique
no link da bio para saber mais!
#FinançasPessoais #VidaFinanceiraSaudável
#DicasFinanceiras</t>
  </si>
  <si>
    <t>lucianfreirepro
A forma como você pensa sobre o
dinheiro pode ser um obstáculo
para alcançar a riqueza que deseja.
Mude sua mentalidade em relação
ao dinheiro e se tornará uma pessoa
próspera e bem-sucedida. 🔥🚀 #educacaofinanceira
#liberdadefinanceira #mentepositiva
#mentalidadederiqueza</t>
  </si>
  <si>
    <t>spainvestor
Você sabia que pode trocar todas
as dívidas que têm tirado o seu
sono por uma única parcela do tamanho
do seu bolso? Você coloca seu imóvel
como garantia e consegue um empréstimo
mais barato, com até 20 anos para
pagar. #creditofacil #bancobari
#future #educaçãofinanceira https://t.co/IKkFUWLb1w</t>
  </si>
  <si>
    <t>portalunico
📌 Educação Financeira nas Escolas
🖥️ Por Michele Lins Aracaty e
Silva 📰 Leia mais no Portal Único
https://t.co/SPkL7g4SSW #artigo
#opinião #educaçãofinanceira https://t.co/i88c1x1lis</t>
  </si>
  <si>
    <t>meiahora
85% dos pais afirmam que orientam
seus filhos sobre o tema. #MeiaHora
#Educaçãofinanceira https://t.co/xqn1EZUqPC</t>
  </si>
  <si>
    <t>marceloproducao
Start na formação de mais uma turma
de Day Trader 📈📊 #educacaofinanceira
#Daytrade #assessoriadeinvestimentos
https://t.co/jA9400a20C</t>
  </si>
  <si>
    <t>rafaelgouveiarg
Guia de Educação Financeira para
Empreendedores: Alcance o https://t.co/oJYlNpLxJa
#análisefinanceiraparanegócios
#planejamentosucessório #gestãodefluxodecaixa
#gerenciamentodedinheiro #estratégiasdeinvestimentoempresarial
#empreendedorismo #finanças #educaçãofinanceira</t>
  </si>
  <si>
    <t>pqquest
Marque na sua agenda: Responder
aos inquéritos Qquest Ganhe prémios
respondendo a inquéritos online.
Inscreva-se em https://t.co/FMGmO6v62p
#questionario #inquerito #painel #dinheiroextra 
#rendimentoextra #orçamentopessoal
#orcamento #opinião #finançaspessoais
#finanças https://t.co/ESd9J7jxhK</t>
  </si>
  <si>
    <t>multimidiainfo
#EducaçãoFinanceira: as #ferramentas
usadas pelas #fintechs que fazem
a ponte entre #cliente e #conhecimento
https://t.co/cPBSb4Dgcd #MultiMidiaEcommerce
via @GrupoMundoMS</t>
  </si>
  <si>
    <t xml:space="preserve">grupomundoms
</t>
  </si>
  <si>
    <t>financad
Você possui um fundo para emergências?
Muitas vezes começamos a juntar
dinheiro em vários tipos de investimentos
esquecendo-se do primeiro, e mais
básico, questionamento: e se eu
precisar do dinheiro? #investir
#dinheiro #investidor #tesouro
#fundos #finanças #financaspessoais
https://t.co/cLOMgQyBce</t>
  </si>
  <si>
    <t>astanapay
#QUIZ: Há fundos imobiliarios que
nos últimos 30 dias caíram 30%.
Os dividendos são pagos em relação
ao valor da cota. Quanto tempo
o investidor irá levar para que
seu valor patrimonial inicial supere
o CDI? #FII #Investimento #Credito
#Planejamento #Dinheiro #EducacaoFinanceira</t>
  </si>
  <si>
    <t>themage
Em dezembro publiquei o livro na
lulu e no smashwords. Ontem à noite
coloquei o site online. Finalmente.
Isto do self-publish dá muito trabalho
- https://t.co/NarAnta3V4 #livro
#finançaspessoais</t>
  </si>
  <si>
    <t>jeandearaujol
Declaração do Imposto de Renda
está chegando! Reúna seus documentos
e evite erros na hora de declarar.
Se tiver dúvidas, me mande uma
mensagem no direct. #ImpostoDeRenda
#DeclaracaoDeIR #Contabilidade
#FinançasPessoais. https://t.co/vnRcAYaqVp</t>
  </si>
  <si>
    <t>fatecferraz
💰 ATENÇÃO: ÚLTIMO DIA DE INSCRIÇÃO!
⏰ #BORA #ultimodia CURSO DE ORIENTAÇÃO
EM FINANÇAS PESSOAIS COM FOCO EM
ORGANIZAÇÃO FINANCEIRA E ENDIVIDAMENTO
https://t.co/VxzPUk0Trq #financaspessoais
#financas #endividamento #endividados
#fatecferrazdevasconcelos #fatecferraz
https://t.co/IPQS0Mp9kg</t>
  </si>
  <si>
    <t>alexsan16137953
“filosofia” Luiz Barsi investindo
com estratégia “filosofia” Luiz
Barsi investindo com estratégia
liberdadefinanceira #finançaspessoais
#finanças #viverderenda #louisebarsi
#investimentos #bolsadevalores
#dividendos … via YouTube... https://t.co/r8ZJXXfqgc</t>
  </si>
  <si>
    <t>leokuba
Qual a responsabilidade dos influenciadores
na produção de seus conteúdos?
Ana Laura Magalhães, co-fundadora
da https://t.co/803pivizkO e da
EVE.NFT, ex-sócia do Grupo XP e
criadora da marca Explica Ana,
fala sobre o tema. #podcast #investimentos
#educaçãofinanceira https://t.co/ev3aBfjVIO</t>
  </si>
  <si>
    <t>b18editora
Começamos a semana, com o artigo
do nosso autor David Silva que
trata dos #seguros internacionais
na MP 1171 e sua possível #tributação
automática se a MP for convertida
em lei. https://t.co/HMq9d4yx09
#investimentofinanceiro #finançaspessoais
#offshore #insurance #lifeinsurance
https://t.co/IVwqVYYttL</t>
  </si>
  <si>
    <t>soutaniacris
Acordei e peguei o jornal. O que
encontrei ? Uma matéria de meia
página com a @nathfinancas, sobre
"O Plano Perfeito", com direito
a uma das ilustrações do livro.
#nathfinancas #planoperfeito #educacaofinanceira</t>
  </si>
  <si>
    <t>nathfinancas
Tem noção que APENAS 1 TWEET fez
os bancos se pronunciarem no jornal?
https://t.co/ek1Ppqn0Ew</t>
  </si>
  <si>
    <t>invistafinancas
5 livros para iniciantes em investimentos
e finanças pessoais. Saiba mais:
https://t.co/Aast4wQWYG #ComoInvestir
#educaçãofinanceira #FinançasBásicas
#Investimento #livros</t>
  </si>
  <si>
    <t>judiasdemim
@petayres Não me leve junto nessa
#EducaçãoFinanceira https://t.co/JQcqpLSJ9U</t>
  </si>
  <si>
    <t xml:space="preserve">petayres
</t>
  </si>
  <si>
    <t>focuscontabili2
⏰⚠ Último dia para entrega da Declaração
de Imposto de Renda Pessoa Física
(IRPF) 2023: 31/05 ⚠⏰ #Leão #ImpostoDeRenda
#IRPF2023 #PrazoFinal #FinançasPessoais
#contabilidade #atendimento #online
#jf https://t.co/AJT4VzT8CX</t>
  </si>
  <si>
    <t>facolommoney
FECHAMENTO MERCADO 09/06/23 DAX
-0,25% SP500 +0,11% IBOVESPA +1,33%
DÓLAR 4,88 MERCADO SEGUE OTIMISTA
COM DADOS DO PIB E IPCA. #Ibovespa
#bovespa #dinheiro #rendafixa #rendavariavel
#finanças #economia #fundoimobiliario
#fundomultimercado #finançaspessoais
https://t.co/VYhm0Mieo9</t>
  </si>
  <si>
    <t>cra_es
A vida é uma jornada única, e as
experiências que fazemos ao longo
do caminho são as que dão significado
à nossa existência. 💛✨ Essa é
a publicação de hoje. Tenha uma
boa semana! 😉 #motivação #sucesso
#sonhos #esforço #gestaofinanceira
#financaspessoais #investimentos
https://t.co/BxIazxxP1i</t>
  </si>
  <si>
    <t>ronysampaioadm
Taesa sua linda 🙅🏻‍♂️🙌🏼 Quem
estava esperando dividendos em
Janeiro? 😂 #taesa #b3 #investir
#educaçãofinanceira #liberdadefinanceira
#baixadasantista #finanças #dinheiro
#economia #dividendos #viverderenda
#ações #Investimentos #mulheresnabolsa
#praiagrandesp https://t.co/98UfxvsNsY</t>
  </si>
  <si>
    <t>messiasdahora
Leia este artigo com seus amigos
para ajudá-los a aprender mais
sobre finanças pessoais e alcançar
seus objetivos financeiros! https://t.co/U6NP6u35xD
#Poupança #MetasFinanceiras #EducaçãoFinanceira
#FinançasPessoais #Dinheiro #Orçamento
#Investimento #ControleFinanceiro</t>
  </si>
  <si>
    <t>pauloro83534636
"Invista em você mesmo, sua educação
é o ativo mais valioso que você
possui." -O investimento na sua
própria educação é crucial para
construir um futuro financeiramente
sólido. #educacaofinanceira #investment
#investments #education</t>
  </si>
  <si>
    <t>nossomeio
O site foca em trazer informações
sobre a área, facilitar o acesso
a formas de investimento e trazer
dicas sobre gestão financeira.
#Inovacao #Lancamento #NordesteInvesting
#Portal #EducacaoFinanceira #Investimentos
https://t.co/5V1jqTItRg</t>
  </si>
  <si>
    <t>_defensoriars
Você sabe quais são as armadilhas
que o uso do cartão de crédito
tem? A facilidade da utilização
faz com que ele seja uma das maiores
causas endividamento, por isso
é preciso estar atento e usar essa
forma de pagamento com cuidado!
#EducaçãoFinanceira #superendividamento
https://t.co/WbzFXfXL6R</t>
  </si>
  <si>
    <t>umempreendedor
#educaçãofinanceira #Finançaspessoais
#economiadomestica #universidade
#economia Fica a Dica! @nonoinvestidor
@Miltonneves https://t.co/da2wfHhUk0</t>
  </si>
  <si>
    <t xml:space="preserve">miltonneves
</t>
  </si>
  <si>
    <t xml:space="preserve">nonoinvestidor
</t>
  </si>
  <si>
    <t xml:space="preserve">haddad_fernando
</t>
  </si>
  <si>
    <t xml:space="preserve">lulaoficial
</t>
  </si>
  <si>
    <t>isaaceducacao
📰 À CNN Rádio, a professora Veridiane
Fornari de Paula Castelli, da Escola
Municipal Visão do Futuro, afirmou
que programa prepara estudantes
para o futuro. Leia a matéria na
íntegra: https://t.co/B9YFU0Kvtc
#notícias #educação #escolas #educaçãofinanceira</t>
  </si>
  <si>
    <t>ottofinancas
Depois de algum tempo temos novidades,
evoluímos nos últimos anos para
entregar uma nova experiência em
planejamento financeiro e Finanças.
Nosso app e site estão de cara
nova. https://t.co/AadlLfiN8q #finanças
#FinançasPessoais #dinheiro</t>
  </si>
  <si>
    <t>fabiolo14426262
👉💰💸 Como organizar suas finanças
pessoais? Não é preciso fazer algo
complexo para começar. Uma planilha
simples já ajuda a evitar esquecer
de pagar contas ou deixar boletos
vencidos. #finançaspessoais #educaçãofinanceira
#investimentos #planejamentofinanceiro
#economia</t>
  </si>
  <si>
    <t>gpsdosnegocios
Tá sobrando mês no salário?🥺 Veja
essas dicas! #financas #finanças
#finançaspessoais #financaspessoais
#salario #salário #divida #dívida
#dicadehoje #dicas #dica https://t.co/MFAHmCmYFu</t>
  </si>
  <si>
    <t>dtirado1
Palestra "Educação Financeira".
Iniciando o ciclo 2023 de palestras
em Empresas e Escolas. Saiba mais
e agende a sua palestra: 📲 41
9999 14 605 #educaçãofinanceira
#f2ainvestimentos #consórcio https://t.co/qxMQBoslgC</t>
  </si>
  <si>
    <t>financasup
A verdadeira riqueza começa dentro
de você, cultive um mindset próspero
e alcance o sucesso financeiro.
#financaspessoais #organizacaofinanceira
#investimentos #prosperidade #mepoupe</t>
  </si>
  <si>
    <t>mmartinsandrade
#educacaofinanceira ajuda e muito
as pessoas a controlar as finança
pessoa e familiar.</t>
  </si>
  <si>
    <t>senacminas
Ei, você de #Araxá! Temos uma dica
que vai mexer com o seu bolso!
💰 No próximo sábado, 25/03, o
Senac Araxá promoverá a palestra
“Educação Financeira: precisamos
dialogar sobre ela”, com o professor
Wilton Rezende de Freitas. Participe!
#SenacMinas #EducaçãoFinanceira
https://t.co/RB53r7gKCy</t>
  </si>
  <si>
    <t>_lehteixeira
Como chegar no fim do mês com dinheiro
na conta? Monitore seus gastos
Sabendo pra onde tá indo o seu
dinheiro, você vai saber exatamente
onde consegue reduzir os gastos
pra fazer sobrar dinheiro no fim
do mês 1/3 #educacaofinanceira</t>
  </si>
  <si>
    <t>cleitonfinancas
Método que considero o ideal. Onde
as dívidas, se possuir, devem estar
enquadradas junto às despesas essenciais
e não-essenciais, restando 50%
dos rendimentos líquidos para alavancar
a vida financeira! #educacaofinanceira
#economia #planejamento #investimento
#orçamento https://t.co/zdapx3kwyB</t>
  </si>
  <si>
    <t>galaoda13
A favela venceu?#liberdadefinanceira
#rendavariavel #rendapassiva #educacaofinanceira
#investimento #independênnciafinanceira
#economia #criptomoedas #motivação
#atualidades #desenvolvimentopessoal
#desenvolvimentoprofissional #empreendedorismo
#utilidadepública https://t.co/zH0X9TVSyp</t>
  </si>
  <si>
    <t>marciocardial
RT @MelhorRH: Arranjo aberto e
conformidade com PAT permitiram
o surgimento de novas soluções
e operadoras, a desoneração da
rede credencia…</t>
  </si>
  <si>
    <t>melhorrh
Arranjo aberto e conformidade com
PAT permitiram o surgimento de
novas soluções e operadoras, a
desoneração da rede credenciada
e mais opções aos RHs. Confira
em https://t.co/qrQDvqBayq #benefícios
#beneficiosflexiveis #finanças
#educacaofinanceira https://t.co/xbep2oTWGv</t>
  </si>
  <si>
    <t>valdemar_hoque
RT @MarciaC42792937: Organização
financeira deve começar pelo básico.
😉💰 Este é o passo Nº 1 para o
teu sucesso financeiro. https://t.co/q…</t>
  </si>
  <si>
    <t>marciac42792937
A compra emocional é uma doença
para a tua vida financeira! 💰
Se fazes compras sem controlo,
quando estás triste ou feliz e
usas como desculpas as expressões☝️"é
só hoje", "eu mereço" ou o"só se
vive uma vez". Policia-te, o bolso
agradece! 💪🏾 #EducaçãoFinanceira</t>
  </si>
  <si>
    <t>financasportal
A Corrida dos Ratos é um termo
que se refere ao ciclo financeiro
extenuante que muitas pessoas vivenciam
durante suas vidas. [...] Leia
mais no Blog! #FinançasPessoais
#EducaçãoFinanceira #Investimentos
#Poupança #OrçamentoFamiliar #GestãoDoDinheiro
https://t.co/iZDTvda3VB https://t.co/Tg36ueXwvx</t>
  </si>
  <si>
    <t>gynbanco
💰Baixe agora mesmo o nosso app
e abra a sua conta em minutos!
🤑Venha para uma nova realidade
financeira! #ganhardinheironainternet
#financaspessoais #emprestimoinss
#finançaspessoais #dinheirofácil
#banco #fintechinshorts #empréstimoparanegativado
https://t.co/ln6maP9qN2</t>
  </si>
  <si>
    <t>mostbillion
Eu também não! E você? A liberdade
financeira é alcançada através
de educação financeira, disciplina
e perseverança. Não é necessário
ir para a faculdade para alcançá-la.
#liberdadefinanceira #educaçãofinanceira
#disciplina #perseverança #faculdade
#educação #investimento https://t.co/gNKp6sSVmj</t>
  </si>
  <si>
    <t>teddyvicker
curso online de declaração de imposto
de renda #educacaofinanceira</t>
  </si>
  <si>
    <t>bnbcryptobonus
Aprenda como sair da corrida dos
ratos e adquirir ativos que geram
renda! 📖💰 #EducaçãoFinanceira
#PaiRicoPaiPobre https://t.co/DzONiKfTmy</t>
  </si>
  <si>
    <t>stimperapp
#BolaDeNeve #FinancasPessoais #AppDeFinancas
#financas #controlefinanceiro #juros
#memes https://t.co/srfStmPqMo</t>
  </si>
  <si>
    <t>alfainvestidor1
O #caminhodoalfa é a via da #prosperidade
que pode levar qualquer um aqui
no #brasil através da #educacaofinanceira
com #Investimentos e obtenção de
#riqueza a alcançar a verdadeira
#felicidade https://t.co/2ahv9sN3Jk</t>
  </si>
  <si>
    <t>carlos_domini
Siga o @AlfaInvestidor1 #investimentos
#dinheiro #educacaofinanceira</t>
  </si>
  <si>
    <t>eabs86
Sobre se manter vivo na jornada
de investir #investimentos #educaçãofinanceira
#psicologiafinanceira https://t.co/crCPKAnHhw</t>
  </si>
  <si>
    <t>beltrameotavio
Já ouviu falar em REITs? São o
similar americano dos nossos fundos
imobiliários. A grande diferença:
pagam proventos mensais em DÓLAR.
Interessante, não? #educaçaofinanceira
#investimentosinteligentes #aprenderainvestir
#investirdozero #dinheiro #futurotranquilo</t>
  </si>
  <si>
    <t>igor_vieiraa
Enquanto muitos se encantam com
apostas e blaze, eu me dedico à
educação financeira. Porque investir
em conhecimento é a aposta mais
inteligente que podemos fazer para
garantir um futuro sólido. 💪💰
#educacaofinanceira #investimentointeligente
#conhecimentoépoder https://t.co/wOlMUUVyxM</t>
  </si>
  <si>
    <t>futureproof_wma
A Future Proof é patrocinadora
do evento, contando com Vítor Mário
Ribeiro, CFA enquanto formador
nos dias 20 a 24 de março, com
o tema "Como construir um prospectus
de investimento". Para além disso,
aos vencedores será oferecido um
curso online de #financaspessoais.</t>
  </si>
  <si>
    <t>inflamando
Qual é a importância da educação
financeira nas escolas? #EducaçãoFinanceira
#Aprendizado</t>
  </si>
  <si>
    <t>jc_rs
#FinançasPessoais: A Serasa divulgou
nesta segunda-feira (14) o resultado
da pesquisa “A relação das gerações
com as finanças pessoais”, realizada
a partir de entrevistas em julho
com consumidores de diversas idades
https://t.co/YNmMPT0ctQ</t>
  </si>
  <si>
    <t>agathac79501121
Comece agora mesmo e alcance a
independência financeira! #RendaExtra
#TrabalharEmCasa #GanharDinheiroEmCasa
#Freelancer #VendasOnline #EducaçãoFinanceira"
https://t.co/Y7c5fSwqXd</t>
  </si>
  <si>
    <t>anderson_crc
1"Dica financeira: Economizar 10%
de sua renda todo mês é um ótimo
hábito para construir uma base
sólida para o seu futuro financeiro.
#FinançasPessoais #Economia"</t>
  </si>
  <si>
    <t>iberezanski
A tranquilidade financeira é um
objetivo que pode ser alcançado
por meio de planejamento cuidadoso
e hábitos financeiros saudáveis.
#habitossaudaveis #mercadofinanceiro
#saudefinanceira #financaspessoais
#planejamentofinanceiro #dicasfinanceiras
https://t.co/JZQqqf6LBc</t>
  </si>
  <si>
    <t>robertaleitao11
Qual a tua opinião? Educação financeira
e empreendedorismo faz falta nas
escolas? Deixa nos comentários!
👇🏻 #educação #educaçãofinanceira
#empreendedorismo #escola #finanças
https://t.co/yKbA9RG2vp</t>
  </si>
  <si>
    <t>maniam_podcast
"Não importa quanto dinheiro você
tem, se você não tem educação financeira,
você é um escravo do dinheiro."
- Robert Kiyosaki #EducaçãoFinanceira
#LiberdadeFinanceira #GestãoDeDinheiro
#PlanejamentoFinanceiro #FinançasPessoais
#IndependenciaFinanceira</t>
  </si>
  <si>
    <t>fluir_ibg
O tema do próximo Encontro Fluir
é fundamental que a sua empresa
domine: Finanças! Ele será realizado
dia 21 de julho, sexta-feira, às
19h30 na IBG Taubaté. 🌐 https://t.co/FG6iyb5ALs
📆 21/07, sexta-feira, às 19h30.
#fluir #ibg #educacaofinanceira
#planejamentofinanceiro https://t.co/WFwuKS8QXN</t>
  </si>
  <si>
    <t>dav49057david
Parabéns! Sua pontuação de crédito
aumentou! Saiba que esse aumento
vai ajudar a melhorar sua saúde
financeira e abrir novas oportunidades.
Link: https://t.co/dTnMa0m8q7 #ScoreDeCrédito
#FinançasPessoais https://t.co/1uEh26J2j5</t>
  </si>
  <si>
    <t>leomorban
veja seu dinheiro render todos
os dias! #Investimento #Finanças
#RendaPassiva #DicasFinanceiras
#educacaofinanceira https://t.co/ZNFEQuEJhm</t>
  </si>
  <si>
    <t>tretacripto
O socialismo pode evoluir e ajudar
pessoas que passam por dificuldades
financeiras de várias maneiras.
Uma delas é através da #educaçãofinanceira,
que é fundamental p entender como
funciona o dinheiro e como é possível
fazer o #dinheiro trabalhar a seu
favor.</t>
  </si>
  <si>
    <t>gabriels_gouvea
Pagando DARF! #EducaçãoFinanceira
#Investimentos https://t.co/XNclEet1a4</t>
  </si>
  <si>
    <t>andrealmeidasou
Não espere mais para dar um impulso
em suas finanças! Comece agora
mesmo a traçar seu caminho rumo
à independência financeira. #FinançasSaudáveis
#Finanças #FinançasPessoais #Gestãofinanceira
#SaúdeFinanceira #EquilíbrioFinanceiro
#Desendividamento #economia #dinheiro</t>
  </si>
  <si>
    <t>jornaldooeste
Conversas Bem Contadas: Sicredi
lança websérie com dicas de educação
financeira https://t.co/LZmAanVNfs
📸Assessoria 🌐Leia a matéria completa
no site. Link na BIO #webserie
#educacaofinanceira #dicas https://t.co/4U05n7vpfR</t>
  </si>
  <si>
    <t>almepoupa
A maioria das pessoas não nasce
sabendo como administrar suas finanças.
Mas com um pouco de esforço e dedicação,
qualquer um pode aprender a controlar
seu dinheiro. #educaçãofinanceira</t>
  </si>
  <si>
    <t>escolafinance
"Dizem que não existe almoço grátis
e a mesma regra se aplica ao sucesso.
🔨 Sucesso não vem sem trabalho.
Trabalho que é muitas vezes árduo,
que exige tempo, dedicação e persistência.
Mas o esforço não é em vão, especialmente
quando você tem um propósito. #EducaçãoFinanceira
https://t.co/aiVPwBDLNb</t>
  </si>
  <si>
    <t>febraban
Se você tem esta dúvida, veja a
resposta no artigo de Uelton Carvalho,
head de Cidadania Financeira da
Febraban, que mostra como, com
controle de gastos e planejamento,
sair dessa situação sem deixar
de aproveitar a folia. https://t.co/Bj62XIqPoC
#Educaçãofinanceira</t>
  </si>
  <si>
    <t>borafalardguito
#financaspessoais #pagarteprimeiro
#liberdadefinanceira #financas
#Independenciafinanceira</t>
  </si>
  <si>
    <t>hd1pod
Gravações da 2ª temporada do podcast
"Foca nos Sonhos" da Brasilprev
concluída! 💫📷💼 Novo cenário,
influenciadores incríveis e histórias
inspiradoras sobre sonhos e educação
financeira. Mais novidades em breve!
#FocaNosSonhos #Podcast #EquipePoderosa
#EducaçãoFinanceira https://t.co/xdXkQTNFwL</t>
  </si>
  <si>
    <t>dicadehoje7
Qual a sua opinião? Muitos investidores
vão vender #PETR4? 👉 SIGA @dicadehoje_7
para mais conteúdos como esse!
#ibovespa #ibov #educacaofinanceira
#bolsadevalores #dividendos #rendapassiva
#acoes #dinheiro #rendaextra https://t.co/Ed0HBmhSrd</t>
  </si>
  <si>
    <t>ismaelguerreir6
"Quer ficar rico? Comece entendendo
o seu dinheiro! Vem comigo e vamos
juntos nessa jornada financeira.
#educacaofinanceira #dinheiro #riqueza"</t>
  </si>
  <si>
    <t>mb_galvao
"Conquistar uma vida financeira
saudável começa com o básico: controle
financeiro. Anote seus gastos,
defina metas e acompanhe seus resultados.
Com disciplina e persistência,
você alcançará seus objetivos financeiros!
#controlefinanceiro #finanças #educaçãofinanceira"</t>
  </si>
  <si>
    <t>onilgroup
Estude! Só adquirindo mais conhecimento
que você poderá entrar de forma
mais tranquila no mercado financeiro.
#onilgroup #criptomoedas #ativosdigitais
#mercadofinanceiro #educaçãofinanceira
#criptoativos #ativosfinanceiros
https://t.co/VNcv0NdwCP</t>
  </si>
  <si>
    <t>rankiabrasil
🎉📷 @Rankia chega ao Brasil com
muita emoção! 📷📷 Nossa comunidade
financeira online está pronta para
capacitar e promover o conhecimento
financeiro. Juntos, vamos criar
um futuro financeiro brilhante!
📷 #EducaçãoFinanceira #Brasil
https://t.co/Lk3LOpZTkC</t>
  </si>
  <si>
    <t xml:space="preserve">rankia
</t>
  </si>
  <si>
    <t>sicoobfluminen
Com a #educaçãofinanceira é possível
garantir o equilíbrio nas suas
escolhas e uma melhor relação com
o dinheiro. Bora começar agora
mesmo a cuidar das suas #finanças?
Acesse a plataforma https://t.co/uLKOjz81Ej
e saiba como! 💰🚀 #SemanaENEF</t>
  </si>
  <si>
    <t>edufinanceiramz
✨Venha fazer parte do maior evento
de Educação Financeira de Moçambique.🇲🇿
Não perca tempo e garanta já a
sua presença.💡 Corra já pelas
suas finanças🏃🏾‍♂️ #educacao
#financeira #educacaofinanceira
#mocambique #maputo #dinheiro #gestao
#evento #finanças https://t.co/NAQmqUd1fH</t>
  </si>
  <si>
    <t>portalestacao
Entenda de uma vez por todos a
diferença entre custos e despesas.
Clique aqui: https://t.co/bAaJVgzM6u
#custos #despesas #educacaofinanceira
https://t.co/arHjEU3Nwm</t>
  </si>
  <si>
    <t>missao_renda
Quer aprender a GANHAR DINHEIRO?
Descubra a DIFERENÇA entre Renda
do Tra... https://t.co/N3n6KuA29N
via @YouTube #dinheiro #renda #rendaextra
#investimentos #ações #fiis #financas
#financaspessoais #educacaofinanceira</t>
  </si>
  <si>
    <t>majordagrana
🚀 Bem-vindo ao Major da Grana!
Explorando finanças e investimentos
com um toque nordestino. 💰 💡
Dicas práticas, histórias inspiradoras
e muito mais! Vamos juntos em busca
da liberdade financeira! #FinançasNoSertão
#EducaçãoFinanceira</t>
  </si>
  <si>
    <t>moprify
O que é D.Y.? O D.Y. é um índice
usado para medir o rendimento de
um ativo com o pagamento de proventos.
Basta dividir o valor do provento
pelo pelo preço do ativo e multiplicar
por 100. #proventos #ações #fiis
#mercadoDeAções #educaçãoFinanceira
#ControleDeInvestimentos https://t.co/1OUfzQloQs</t>
  </si>
  <si>
    <t>marccos_pessoa
RT @mat_financeira: Hoje celebramos
a data nacional do país. Celebre
também a liberdade que a educação
proporciona. #IndependênciaDoBrasil…</t>
  </si>
  <si>
    <t>thiagosouzaeng
O brasileiro tem uma relação complicada
com o dinheiro, mas aprender sobre
finanças pode mudar essa realidade.
Descubra dicas práticas para gerir
melhor suas finanças pessoais e
construir um futuro mais seguro
e próspero aqui no perfil. #finanças
#educaçãofinanceira #dinheiro</t>
  </si>
  <si>
    <t>consultoramadii
5. Anote seus gastos diários e
identifique onde seu dinheiro está
sendo gasto. 6. Invista em seu
conhecimento financeiro através
de livros, cursos e consultorias.
#finançaspessoais #educaçãofinanceira
#planejamentofinanceiro #investimentos
#controlefinanceiro</t>
  </si>
  <si>
    <t>assessoremanuel
2-Conhecer os tipos de investimento
é fundamental para tomar decisões
informadas. Estude e entenda suas
opções antes de investir. #EducaçãoFinanceira
#Diversificação</t>
  </si>
  <si>
    <t>odouglasalex
Revolução Bitcoin: Crianças de
El Salvador Abraçam o Futuro Financeiro
na Escola! #BitcoinNaEscola #EducaçãoFinanceira
#ElSalvador #Criptomoedas #CriançasAprendendo
https://t.co/V5k25d80Ap</t>
  </si>
  <si>
    <t>hmotivationmz
Se voce nao sonha, você não existe!
Você pode realizar todos seus sonhos.
"Pense" If you don't dream, you
don't exist! You can achieve all
your dreams. "THINK" #Liberdadefinanceira
#sucesso #MarketingDifgital #educacaofinanceira
#business https://t.co/dzR5av43XW</t>
  </si>
  <si>
    <t>dyjardan
Que “leão” está lhe impedindo de
prosperar? #educacaofinanceira
#investimentos #saiadasdividas
#dinheiro #prosperidade https://t.co/IrTfluXrJ4</t>
  </si>
  <si>
    <t>dautinhooficial
Se você não souber o quanto você
gasta com alimentação por mês,
me procure o quanto antes se quiser
ter uma vida confortável 💰 #governo
#lula #pt #educacaofinanceira https://t.co/3OOMgczDAA</t>
  </si>
  <si>
    <t>maniohs
Hoje é quinta feira, 12-01-2023
Dia de Jupiter Dia de Lavagem do
Bomfim Hoje o céu (ainda) está
propício para não só se organizar
como colocar em prática essa organização.
#astrologia #educaçãofinanceira
#Lunação #marte #mercúrioretrógrado
#luaemvirgem https://t.co/ycQHLUHrvb</t>
  </si>
  <si>
    <t>adcamenhe
#FinançasPessoais #PlaneamentoFinanceiro
#Investimento #Poupança https://t.co/1S7QHEu0mN</t>
  </si>
  <si>
    <t>rafaelr36886877
Antes de buscar milagres nos investimentos,
lembre-se: a educação financeira
é o alicerce do sucesso. Descubra
por que é crucial dominar suas
finanças antes de mergulhar no
mundo dos investimentos #EducaçãoFinanceira
#Investimentos #PlanejamentoFinanceiro
https://t.co/t3rYX3u7Ik</t>
  </si>
  <si>
    <t>rickebsantiago
Educação financeira vem desde criança
💸😍 #Educacaofinanceira #mylove
#aprendendo #domingao #mygirl #meumundorosa
#Fazueli https://t.co/m27bKhQxdz</t>
  </si>
  <si>
    <t>ocleydsontrader
#FinancasPessoais https://t.co/DoEt0unBVk</t>
  </si>
  <si>
    <t>sicoobcrediara
A plataforma #SeLigaFinançasON
oferece cursos online e gratuitos
para te ajudar! 📌Sua liberdade
financeira começa aqui: https://t.co/oVgYZngZeK
(link na bio). #FinançasPessoais
#FinançasParaMEI #CursosGratuitos
#InstitutoSicoob https://t.co/eOgjHsMyYa</t>
  </si>
  <si>
    <t>anonimus7700
Dai a @Ls_lenz não ia precisar
comer no restaurante todos os dias
e ia economizar... #educaçãofinanceira
#aulacomocelsoportiolli</t>
  </si>
  <si>
    <t xml:space="preserve">ls_lenz
</t>
  </si>
  <si>
    <t>zoomdinheiro
💰💸 Quer aprender a gerenciar
suas dívidas e se livrar das contas
atrasadas? Confira agora no @zoomdinheiro
as melhores dicas para uma gestão
financeira saudável! #Dívidas #GerenciamentoDeDívidas
#FinançasPessoais #PlanejamentoFinanceiro
#ZoomDinheiro https://t.co/L9LTcFafL3
https://t.co/pvaYYdN7Fd</t>
  </si>
  <si>
    <t>ajsantos2021
#youtube Dicas de finanças #dicas#finanças,
#dicasdefinanças#educaçãofinanceira
https://t.co/bVNXnSpKlf</t>
  </si>
  <si>
    <t>santannareal_
#educaçãofinanceira #hábitosfinanceiros
#economia https://t.co/cZebpA7qtV</t>
  </si>
  <si>
    <t>henriquemg
📈 Café com Bolsa ☕📊 04/01/23
IBOVESPA -2,08% Ontem IFIX -0,21%
Ontem #educacaofinanceira #financaspessoais
https://t.co/CKUz95qiFy</t>
  </si>
  <si>
    <t>marcelmenegheti
É fundamental sabermos cuidar da
nossa saúde financeira, para isso,
precisamos falar mais sobre Educação
Financeira. #educacaofinanceira
https://t.co/OLKcQL4x30</t>
  </si>
  <si>
    <t>expofavela
#PodCast04 | A Importância da educação
financeira como impacto socialnascomunidades
/ Convidado: Uelton Carvalho -
Gestor de cidadania financeira
da Febraban #ExpoFavela2023 #ExpoFavelaSP
#educacaofinanceira #comunidades
https://t.co/4oKUlx6egz</t>
  </si>
  <si>
    <t>agrocapitais
🚴♂Você aprendeu andar de bicicleta
lendo um manual? 👇Clique no link
e descubra a conquista da sua liberdade
financeira👇 https://t.co/CUqQeB7NOa
#investimentos #educaçãofinanceira
#melhoresinvestimentos #liberdadefinanceira
#independenciafinanceira #mentoria
https://t.co/8a3bXU62Nl</t>
  </si>
  <si>
    <t>setor_saude
Além do registro dos gastos mês
a mês, o Planner traz diversos
infográficos e dicas para construção
de uma boa saúde financeira #UnicredPortoAlegre
#Uni4Life #educacaofinanceira #financaspessoais
#unicred #Uni4Talks #PlannerFinanceiro
https://t.co/poMpvc10WY</t>
  </si>
  <si>
    <t>noticiasredetv
Professores de todo o país terão
cursos de educação financeira -
Iniciativa é da CVM, Sebrae e Ministério
da Educação #Professores #EducaçãoFinanceira
#MinistériodaEducação #Educação
Saiba mais: https://t.co/Pj1r3osaek</t>
  </si>
  <si>
    <t>colband
O escritor, professor e consultor
financeiro Gustavo Cerbasi é um
dos nomes mais importantes do Brasil
quando se trata de Educação Financeira.
Ele veio ao Band para dar uma palestra
voltada para diversos “clubes”
de alunos. #educaçãofinanceira
#oalunoband #colégiobandeirantes
https://t.co/HnRy2Bi9AH</t>
  </si>
  <si>
    <t>infogainbrazil
Conhecimento é poder! Aprenda sobre
finanças pessoais, investimentos
e tome decisões mais conscientes
para alcançar seus objetivos financeiros.
📚💡 #EducaçãoFinanceira #SucessoFinanceiro
#DicasFinanceiras #infogain https://t.co/Zp9RGKJiVb</t>
  </si>
  <si>
    <t>francelmc
Mais importante do que a velocidade,
é saber para qual direção seguir.
#fmc #escritoriofmc #conselhos
#educaçãofinanceira #direçao https://t.co/cVONk3BBKv</t>
  </si>
  <si>
    <t>universidaderat
Isso é educação financeira, saiba
lidar com seu dinheiro e tenha
responsabilidade quando tiver com
ele em suas mãos. #dinheiro #blackrat
#educaçãofinanceira https://t.co/lKQunrHshQ</t>
  </si>
  <si>
    <t>umpapoqualquer
Participe de nossa gravação ao
vivo e envie suas perguntas para
o nosso convidado! Anota aí: Quinta-feira,
24 de agosto às 22h00 em nosso
canal do YouTube: https://t.co/Efh7ofMATO
e também no Twitch: https://t.co/L7js7l6Ilv
#Economia #FinançasPessoais #Investimentos
#Podcast</t>
  </si>
  <si>
    <t>geracao_lider
Você sabe por que é importante
incentivar o gosto pelo empreendedorismo
ainda na infância? Confira post
completo em:https://t.co/7ih0uszijQ
Você já conhece o Geração Líder?
Acesse: https://t.co/WwF3zlxUFp
e saiba mais. #GeraçãoLíder #EducaçãoFinanceira
https://t.co/QHKgP6ELWR</t>
  </si>
  <si>
    <t>fellipelli
Episódio 33 do Descompressão Corporativa,
com Ana Paula Hornos, falando sobre
educação financeira pessoal! Disponível
nos apps de podcast e no Youtube
no dia 12/01 (quinta-feira). #saúdemental
#inteligênciaemocional #rh #saúdecorporativa
#finanças #dinheiro #educaçãofinanceira
https://t.co/2O5JNKEMx2</t>
  </si>
  <si>
    <t>josuesilva
Olá pessoal! Hoje vamos falar sobre
a compra de imóvel. #trader #financaspessoais
#investimentofinanceiro https://t.co/WGY2ZD7zLb</t>
  </si>
  <si>
    <t>radunz_carlos
Educação financeira #educaçãofinanceira
https://t.co/D4UwpbBT5P via @YouTube</t>
  </si>
  <si>
    <t>niiwopendata
Junta-se ao time Niiw o Juan Piero
como UX / UI designer. Seja bem-vindo
meu caro! Nossa jornada está apenas
no começo. #niiw #startups #fintechs
#bigdata #dadosdecosnumo #educacaofinanceira
#api #opendata #economiacolaborativa
#acate https://t.co/gEZ0YkP7aq</t>
  </si>
  <si>
    <t xml:space="preserve">vivo
</t>
  </si>
  <si>
    <t xml:space="preserve">serpro
</t>
  </si>
  <si>
    <t>lp4planejamento
🔍💼 Pais solteiros, descubra como
planejar seu futuro financeiro
e garantir o bem-estar dos filhos.
Confira nossas dicas no Blog da
LP4 Planejamento! 👉 https://t.co/pFCxDsChzy
#PlanejamentoFinanceiro #PaisSolteiros
#EducaçãoFinanceira https://t.co/gfENkRORfs</t>
  </si>
  <si>
    <t>bancosemear
👉 Se algo parece bom demais para
ser verdade, provavelmente é um
golpe. Esteja sempre alerta e nunca
hesite em buscar ajuda profissional
se precisar. Faça como a Sandra
e esteja sempre alerta! #EducaçãoFinanceira
#BancoParceiro #BancoSEMEAR https://t.co/m74VtF1Mxb</t>
  </si>
  <si>
    <t>pabloehtos
Negocie a sua dívida coma Receita!
Aproveite essa oportunidade até
o fim de março. Faça um orçamento
conosco! #finanças #financaspessoais
#divida #negociação #receita #litigiozero
https://t.co/zjdD8eEgUC</t>
  </si>
  <si>
    <t>ferreiranews2
A educação financeira é um conjunto
de habilidades e conhecimentos
que permitem a uma pessoa tomar
decisões informadas e conscientes
sobre como gerenciar suas finanças
pessoais. https://t.co/5aGUlkhV4x
#ferreiranews #educação #educaçãoFinanceira
#dinheiro #conhecimento #news https://t.co/duhZLFkMtx</t>
  </si>
  <si>
    <t>spbancarios
📣 Não perca o programa Momento
Bancário edição especial de hoje!
O tema é Juros Altos e você vai
entender tudo sobre como eles impactam
o seu bolso. Fique ligado às 18h!
#MomentoBancário #JurosAltos #EducaçãoFinanceira
https://t.co/dGjS4xPkS3</t>
  </si>
  <si>
    <t>7kaylas
RT @mat_financeira: "A educação
financeira vem antes da prosperidade
financeira". #EducaçãoFinanceira
#ProsperidadeFinanceira #MatemáticaF…</t>
  </si>
  <si>
    <t>ndjizassabino
#EducaçãoFinanceira https://t.co/aiWzUImPAv</t>
  </si>
  <si>
    <t>teofilomartinst
Investir em educação financeira
é uma forma de se preparar para
lidar com pressões financeiras
e alcançar seus objetivos de forma
segura e eficaz. Este conteúdo
faz sentido para ti? Diz-me com
um Gosto e um Comentário. #finançaspessoais
#investimentos #orçamentopessoal
#poupanca</t>
  </si>
  <si>
    <t>noveensite
A educação financeira foi inserida
pelo MEC na Base Nacional Comum
Curricular, em 2020 https://t.co/XKQQJF7eQd
#MoonlightChicken #Educacaofinanceira
https://t.co/xibJdXNIId</t>
  </si>
  <si>
    <t>marcesemasch
Será que a Pressão Social vai te
deixar pobre? Confira nesse artigo
não só isso, mas também como --
se defender -- dos efeitos ruins
que a cobrança de outras pessoas
pode ter sobre você. #PressãoSocial
#SeuDinheiro #FinançasPessoais
https://t.co/i73bd0xNLX</t>
  </si>
  <si>
    <t>ourbooksbr
Gostou da frase? Siga a @OurbooksBR
para ver mais frases como esta.
Pare de Rasgar Dinheiro - @marcesemasch
. . #parederasgardinheiro #marcesemaschietto
#dinheirando #dinheiro #financaspessoais
#livros #leituras #frases #frasesdelivros
#frasesereflexões #trechosdelivros
https://t.co/F8NFUacomr</t>
  </si>
  <si>
    <t>cgta_carlos
RT @OurbooksBR: Gostou da frase?
Siga a @OurbooksBR para ver mais
frases como esta. O Homem Mais
Rico da Babilônia - George S. Clason
. .…</t>
  </si>
  <si>
    <t>m2msaber
📣📢📣 Aprenda tudo sobre como
declarar o imposto de renda corretamente.
Nosso novo curso apresenta uma
visão detalhada das principais
regras e definições do IRPF. Comece
já por apenas R$ 50. #IRPF #educaçãofinanceira
https://t.co/v44mD8SKM0</t>
  </si>
  <si>
    <t>investireviver8
Desbrave o mundo dos investimentos
e saiba como fazer seu dinheiro
render ao máximo! Nossas dicas
vão te orientar sobre as melhores
escolhas para alcançar seus objetivos
financeiros.💼 #Investimentos #DinheiroRendendo
#EducaçãoFinanceira https://t.co/cCmUtC7tfb</t>
  </si>
  <si>
    <t>orcose
10 milhões de pessoas ainda não
declararam o Imposto de Renda e
o prazo se encerra em 31 de maio!
O seu tempo está acabando! Mas
a ORCOSE pode te ajudar. #impostoderenda
#finançaspessoais #educaçãofinanceira
#investimentos #contabilidade https://t.co/eExIEJCjS5</t>
  </si>
  <si>
    <t>flaertes27
Como sair da crise financeira no
lar é um desafio que a população
tem enfrentado há anos, mas mesmo
diante das dificuldades, muitas
pessoas têm encontrado maneiras
de superá-la e garantir sua estabilidade
financeira. #educacaofinanceira
#comosairdacrise https://t.co/nlZYlugymk</t>
  </si>
  <si>
    <t>rmcnoticias1
Para ser uma pessoa organizada
e planejada financeiramente é necessário
aprender algumas habilidades e
se dedicar a elas. Se ensinadas
na infância, a disciplina com o
dinheiro pode virar um hábito #educacaofinanceira
#finanças #infancia #rmc #xp https://t.co/fZLSavzkJO
https://t.co/mZ90eJ5OJt</t>
  </si>
  <si>
    <t>plocplay
É igualmente importante ajustar
o valor da mesada ou semanada de
acordo com a idade da criança.
Uma sugestão é dar R$1 para cada
ano de idade do pequeno. Por exemplo,
se seu filho tem 8 anos, ele receberia
R$8 por semana.💰💡 #dicas #mesada
#filhos #educaçãofinanceira #finanças
https://t.co/JJJFOngvbh</t>
  </si>
  <si>
    <t>fabianemathes
Você está preparado para a sua
aposentadoria? Todos sabemos que
não poderemos depender o Inss,
e o que você tem feito? Saiba como
fazer um planejamento para a sua
aposentadoria. Educação financeira
(47) 992790880 #financeiro #educacaofinanceira
#liberdade #futuro #aposentadoria</t>
  </si>
  <si>
    <t>marioeudes
Não adianta a abelha falar com
a mosca que mel é melhor que 💩
#educacaofinanceira</t>
  </si>
  <si>
    <t>portalcdljovem
Programa que pretende beneficiar
cerca de 30 milhões de pessoas
com a renegociação de dívidas,
o #Desenrola incluirá um segmento
de #EducaçãoFinanceira, anunciou
o ministro da Fazenda, @Haddad_Fernando.
https://t.co/wDs9v1ZWQU</t>
  </si>
  <si>
    <t>kveira4ever
@mendlowicz O povo demora mas aprende!
Valeu irmão, vc faz parte disso!
#educacaofinanceira</t>
  </si>
  <si>
    <t xml:space="preserve">mendlowicz
</t>
  </si>
  <si>
    <t>alexandrecs79
#educacaofinanceira https://t.co/2v06hd9rZE</t>
  </si>
  <si>
    <t>flavia_pribeiro
A situação da Larissa Manoela serve
como um alerta. É essencial equilibrar
o suporte dos pais com o direito
dos jovens artistas de controlar
seus próprios ganhos e patrimônio.
#ControleFinanceiro #EducaçãoFinanceira
#TransparênciaEmpresarial</t>
  </si>
  <si>
    <t>correa899
Sicoob marca presença na 10ª edição
da Semana Nacional de Educação
Financeira - https://t.co/eanIrTA3pZ
- #EducaçãoFinanceira - #Cooperativismo</t>
  </si>
  <si>
    <t>sergioteatro
Já assistiu @familiadindim? O musical
infantil segue em cartaz até o
dia 06 de abril e os ingressos
são gratuitos! Acesse o nosso site
e acesse a agenda completa! #Teatro
#FamíliaDinDim #TeatroInfantil
#EducaçãoFinanceira #TeatroSérgioCardoso
#GovernoSP #CulturaSP #AmigosdaArte
https://t.co/OjXoPLHUaG</t>
  </si>
  <si>
    <t>haramiresearch
Mês de Março fecha em queda, crise
bancária e arcabouço fiscal, são
os temas do panorama desta semana.
#panoramasemanal #arcabouçofiscal
#crisebancaria #mercadofinanceiro
#economia #educaçãofinanceira https://t.co/Z0BDGd1Ytz</t>
  </si>
  <si>
    <t>tipomdistraido
Já conhece a APP Revolut? Com ela
você pode fazer transferências
internacionais e nacionais sem
taxas ocultas. Use o meu link para
se inscrever e ganhe uma comissão
por cada aderente. #Revolut #FinançasPessoais
https://t.co/ydzO7gWUZq</t>
  </si>
  <si>
    <t>pinto_matamba
Estamos a falar tanto da fome,
num país com tanta água e muita
terra. É necessário falar pouco
e agir. #production #agricultura
#angola #empreendedorismo #finanças
#educaçãofinanceira #comercio https://t.co/dgSFO2lPgD</t>
  </si>
  <si>
    <t>_rschweitzer
AMERICANAS AINDA VALE O PREÇO?
É oportunidade de comprar? Entenda
o caos que está acontecendo na
empresa! #investir #investimentos
#dinheiro #falencia #acoes #finançaspessoais
#economia #foryourpage #fyp #tiktokmefezassistir
https://t.co/Y8BsgWRsQJ</t>
  </si>
  <si>
    <t>agoracorretora
RT @EInvestidor: 📊📚 Em parceria
com a @agoracorretora, os leitores
têm acesso gratuito em cinco cursos
sobre finanças e economia. Acesse
e…</t>
  </si>
  <si>
    <t>xzibank
Gerencie suas finanças de forma
inteligente e segura com o XZiBank.
Baixe o app agora e descubra como
é fácil cuidar do seu dinheiro!
✅💻😎 #XZiBank #FinançasPessoais</t>
  </si>
  <si>
    <t>girofinanceiro
Se endividar é uma situação comum
para muitos de nós, mas isso não
significa que devemos simplesmente
aceitá-la como parte da vida. #girofinanceiro
#dividas #educacaofinanceira https://t.co/59i4KQF481
https://t.co/ymD3XdSvA9</t>
  </si>
  <si>
    <t>cvmeducacional
(1/2) Acesse o Portal do Investidor
para conteúdos gratuitos de educação
financeira - https://t.co/pFdbGBSDJ0
#cvmeducacional #investidor #investimento
#educacaofinanceira #educaçãofinanceira
#portaldoinvestidor #dicionariodoinvestidor
#valoresmobiliarios #mercadoacionario
https://t.co/pCes9JIXRh</t>
  </si>
  <si>
    <t>hermilton5
"Dicas para equilibrar suas finanças
em 2023: Faça um orçamento, estabeleça
metas financeiras, economize dinheiro,
invista na sua educação financeira
e busque ajuda profissional se
necessário. #finançaspessoais #dinheiro
#orçamentofamiliar" https://t.co/bcpZrCPFcN</t>
  </si>
  <si>
    <t>milan_prosper
WISHING YOU A PREDICTABLE, PROFITABLE,
SUSTAINABLE NEW YEAR AHEAD #finance
#liberdadefinanceira #personalfinance
#mercadofinanceiro #finances #educacaofinanceira
#independenciafinanceira #planejamentofinanceiro
#refinance #sucessofinanceiro #financeiro
#financetips #Inteligencia https://t.co/jl1gVdUfSu</t>
  </si>
  <si>
    <t>conciergebtc
O melhor dinheiro vence. #Bitcoin
#inflação #liberdade #mercadofinanceiro
#IPCA #IGPM #educacaofinanceira
https://t.co/eCWYZIotBk</t>
  </si>
  <si>
    <t xml:space="preserve">linaseiche_dm
</t>
  </si>
  <si>
    <t xml:space="preserve">linaseiche
</t>
  </si>
  <si>
    <t>esmaelmorais
Problema do endividamento no Brasil
não é falta de educação financeira,
mas salários indignos e tarifas
públicas abusivas https://t.co/5u3AF4utUv
#EducaçãoFinanceira #BlogdoEsmael</t>
  </si>
  <si>
    <t>rosiellepegado
É um momento mágico na minha vida
do escritor e do leitor. E nosso
mais novo livro Alimentação Infantil
e Finanças estará no estande da
editora Flyve @editoraflyve Esperamos
você na bienal do Rio de Janeiro
#bienaldolivro #financaspessoais
#rosiellepegado https://t.co/GPa30DhgVq</t>
  </si>
  <si>
    <t xml:space="preserve">editoraflyve
</t>
  </si>
  <si>
    <t>diogocavalcante
Conclusão: apesar da selic superior
ao desconto concedido, ainda é
melhor realizar o pagamento à vista.
#economizar #educacaofinanceira
#financas #impostos #investimentos
#inteligenciafinanceira https://t.co/S5DEci0wxn</t>
  </si>
  <si>
    <t>micpodcastmedia
Como comprar uma ação? Vítor Craveiro
responde essa e muitas outras perguntas
sobre o mercado financeiro e como
ele funciona na nossa conversa
no Mic. Podcasts. #mercadofinanceiro
#bolsadevalores #educaçãofinanceira
#dividendos #fiis #ações #economia
https://t.co/qerqdSGlqT</t>
  </si>
  <si>
    <t>revistacoletiva
#Revogaço #NEM #ReformadoEnsinoMedio
#EducaçaoBasica #Projetodevida
#EducaçaoFinanceira</t>
  </si>
  <si>
    <t>nomenascimento
RT @mat_financeira: "A educação
financeira vem antes da prosperidade
financeira". #EducaçãoFinanceira
#ProsperidadeFinanceira #MatemáticaF…</t>
  </si>
  <si>
    <t>profandersonmat
RT @mat_financeira: "A educação
financeira vem antes da prosperidade
financeira". #EducaçãoFinanceira
#ProsperidadeFinanceira #MatemáticaF…</t>
  </si>
  <si>
    <t>saosonegocios
Conhecimento financeiro é poder!
Ao entender como gerir seu dinheiro,
você pode criar um futuro financeiro
próspero e seguro. Invista em si
mesmo e em sua educação financeira.
💪💰 #finanças #educaçãofinanceira
#investimentos</t>
  </si>
  <si>
    <t>econcompleta
Uma crise financeira pode atingir
qualquer um, mas você pode estar
preparado. Reduza suas dívidas,
corte despesas e invista em sua
educação financeira. Planeje para
o futuro . Em tempos difíceis,
a precaução é a melhor estratégia.
#crisefinanceira #Portugal #educaçãofinanceira
https://t.co/3Fhnhhy0Zc</t>
  </si>
  <si>
    <t>paivapiovesan
Está chegando o dia de homenagearmos
as nossas mamães. Quando o assunto
é dinheiro, você sabe que tipo
de mãe é a sua? Faça o teste e
conheça a mãe das animações que
melhor representa a sua: https://t.co/osjw4kLtGA
#DiaDasMães #Mãe #TiposDeMães #EducaçãoFinanceira
https://t.co/peNihUNTTg</t>
  </si>
  <si>
    <t>viscondesd
LIVE do Pague-se Primeiro -Você
em Primeiro Lugar- Convidamos todos
vocês para uma Live que será realizada
nesta terça-feira 24/01/23 às 20hs
cujo tema será " Como Investir
em Títulos Públicos ". #educaçãofinanceira
#tesourodireto #titulospublicos
https://t.co/vpsKvkwnjD</t>
  </si>
  <si>
    <t>denisectoledo8
O Desenrola e o recorde de inadimplência
no País #comentario #finançaspessoais
#economia @JornalDaGazeta @tvgazetaoficial</t>
  </si>
  <si>
    <t xml:space="preserve">tvgazetaoficial
</t>
  </si>
  <si>
    <t>jornaldagazeta
E agora vamos ao comentário de
Economia, com Denise Campos de
Toledo. https://t.co/DWvaiNKMCm</t>
  </si>
  <si>
    <t>rafael__costa__
#planejamentofinanceiro #viverderenda
#educacaofinanceira #comoinvestir
#mercadofinanceiro #investimentos
#liberdadefinanceira #BCFF #BCFF11
#MAXIRENDA #BTG #rendimentos https://t.co/4ykJpq6fSL</t>
  </si>
  <si>
    <t>luizpersechini
Os Brics vã destruir os EUA? Descubra
no nosso novo ep do Podcast #MercadoFinanceiro
#Investimentos #BRICS #EducaçãoFinanceira
https://t.co/gkLz5Bywia</t>
  </si>
  <si>
    <t>mariade80544716
RT @mat_financeira: Hoje celebramos
a data nacional do país. Celebre
também a liberdade que a educação
proporciona. #IndependênciaDoBrasil…</t>
  </si>
  <si>
    <t>oalissonpatrick
No final não é dinheiro, é só mais
tempo!!! -Ooo... #financas #financaspessoais
#Investimentos</t>
  </si>
  <si>
    <t>tiagokeilerr
#investimento #educacaofinanceira
#dinheiro</t>
  </si>
  <si>
    <t>sistemacndl
Programa que pretende beneficiar
cerca de 30 milhões de pessoas
com a renegociação de dívidas,
o #Desenrola incluirá um segmento
de #EducaçãoFinanceira, anunciou
o ministro da Fazenda, @Haddad_Fernando.
https://t.co/yZXqEKGdsm</t>
  </si>
  <si>
    <t>receitafederal
#ImpostoDeRenda #DeclaraçãoDeIR
#DependentesIR #InformaçãoFiscal
#EducaçãoFinanceira #Financeiro
#Impostos #ReceitaFederal #FiquePorDentro
#DicasFiscais 👨‍👩‍👧‍👦</t>
  </si>
  <si>
    <t>investoom_com
Have you ever wondered which is
the largest company in the world?
#finance #liberdadefinanceira #personalfinance
#mercadofinanceiro #finances #educacaofinanceira
#independenciafinanceira #planejamentofinanceiro
#refinance #sucessofinanceiro #financeiro
#financetips https://t.co/hGSQPYyvJD</t>
  </si>
  <si>
    <t>teiadigital
Ministro Haddad fez o anúncio ao
lado de rainha dos Países Baixos.
Continue lendo em: https://t.co/T6fB4IgXV7
#desenrola #educacaofinanceira
#teiadigital https://t.co/CbEeaSTQgt</t>
  </si>
  <si>
    <t>cgdcursos
Fiquem atentos, pois essa novidade
vai ajudar a transformar a vida
financeira de muitos alunos. Link
para inscrição da Live, disponível
na tela inicial do CGD Gestão!
🚀💰 #Novidade #EducaçãoFinanceira
#Mercadofinanceiro #metodoCGD #parceriaCGD
#CursosCGD #plataformaCGD https://t.co/q0Ihm4XX5Y</t>
  </si>
  <si>
    <t>diegohenrique_i
#Investimentos #rendafixa #educaçãofinanceira
https://t.co/KZ3aT9QZ6i</t>
  </si>
  <si>
    <t>unifesp
Tem dificuldade em fazer um planejamento
financeiro? Não sabe como aplicar
o #consumo consciente? Venha aprender
na VIII Semana da #EducaçãoFinanceira
2023! De 10 e 14/7. Inscrições
gratuitas: https://t.co/URSU9u4KW6.
#unifesp #somosunifesp #unifesposasco
#eppen https://t.co/3wz2xx52bG</t>
  </si>
  <si>
    <t>rodtogneri
Concordam? #financas #financaspessoais
#investimentos #mindset #carreira
https://t.co/xI72SdRukt</t>
  </si>
  <si>
    <t>mcovesa
O Mercado Financeiro é uma grande
Pirâmide só que é Legalizado. Problemas
com o seu Patrimônio? Dr. Covesa
resolve 👊 #Contabilidade #MercadoFinanceiro
#Perícia #Patrimonio #EducacaoFinanceira</t>
  </si>
  <si>
    <t>aline_tarot
Cartas do Dia para 04/04 - 3a feira
🔮 Agende sua consulta pelo link:
https://t.co/nIMtkQLm9E 🔮 #maisoumenos
#dinheiroagora #finançaspessoais
#carinhademetida #atenção https://t.co/PYzy11nlo9</t>
  </si>
  <si>
    <t>soutosistina
“A visão que você adota para si
afeta a forma que você conduz a
sua vida” #estudos📚 #mindset #educacaofinanceira
#mulheresvirtuosas #mulheressabias
#vemcomigoquenocaminhoteexplico😘</t>
  </si>
  <si>
    <t>cnneconomia
Fazenda finaliza proposta para
correção da tabela do Imposto de
Renda https://t.co/qCLlFXt6JB</t>
  </si>
  <si>
    <t>pedromestr
Existem muitos gurus das finanças
sugerindo coisas mirabolantes,
como p. ex. chegar a 1 milhão em
pouco tempo, esquece, conversinha.
Controle o seu dinheiro e nada
medida do possível procure poupar
alguma coisa sempre, invista nos
seus estudos e habilidades... #finançaspessoais</t>
  </si>
  <si>
    <t>jornalcontabil_
Leia a matéria completa no site
Jornal Contábil clicando no link:
https://t.co/idqe70nPXs #educacaofinanceira
#financas #jornacontabil https://t.co/rOZ0AcDgi8</t>
  </si>
  <si>
    <t xml:space="preserve">darlantd
</t>
  </si>
  <si>
    <t xml:space="preserve">choquei
</t>
  </si>
  <si>
    <t xml:space="preserve">ceciliaflesch
</t>
  </si>
  <si>
    <t xml:space="preserve">pfnery
</t>
  </si>
  <si>
    <t xml:space="preserve">aod_cunha
</t>
  </si>
  <si>
    <t>estadao
Supermercados sofrem com queda
na renda do consumidor e alta no
endividamento do setor (via @EstadaoEconomia)
https://t.co/Pq38N5plQt</t>
  </si>
  <si>
    <t xml:space="preserve">ibgecomunica
</t>
  </si>
  <si>
    <t>folha
PIS/Pasep será pago nesta segunda-feira
(15) a mais de 4,4 milhões; saiba
quem tem direito https://t.co/XTMTrmvVJW</t>
  </si>
  <si>
    <t xml:space="preserve">valoreconomico
</t>
  </si>
  <si>
    <t>livrosextraordi
O Primo Rico nos ensina que existem
três pilares para atingir a independência
financia: gastar bem, investir
melhor e ganhar mais. Autor Thiago
Nigro. Quer saber mais sobre este
livro? https://t.co/jT0AcPfM6m
#livros #indicacaodelivros #leiamais
#educacaofinanceira https://t.co/LC2WJZC2Dl</t>
  </si>
  <si>
    <t>amazonprev_
No dia 27/07, a Fundação Amazonprev
promoverá uma palestra com o tema
"Círculo vicioso de quem gasta
tudo o que recebe". O evento será
gratuito e destinado a servidores,
aposentados e pensionistas. #Participe!
#amazonprev #palestras #governodoamazonas
#finançaspessoais https://t.co/DOASkWAjp4</t>
  </si>
  <si>
    <t>gaby_nunes142
"A economia é uma virtude distributiva
e consiste não em poupar mas em
escolher". - Edmund Burke #Economia
#escolhas #educacaofinanceira</t>
  </si>
  <si>
    <t>adilson900
Nos grandes "Crediário Próprio".
Mas vender fiado pode causar desequilíbrio
no caixa, inadimplência e dificuldade
de controle. Por isso, é importante
ter um sistema de gestão que ajude
a organizar as vendas e evitar
prejuízos. #famíliasbaixarenda
#educaçãofinanceira</t>
  </si>
  <si>
    <t>proffarinhas
COPOM acerta o remédio, mas erra
na dose. isso não gera empregos,
mas estimula demissão. #empregos
#finanças #finançaspessoais https://t.co/j9JEn8VM7S</t>
  </si>
  <si>
    <t>manoeldelpiero
Lembre-se, o CDB é uma opção de
investimento que oferece segurança
e previsibilidade. Avalie seu perfil
de investidor e objetivos financeiros
antes de tomar decisões. Mantenha-se
informado e faça escolhas conscientes!
#CDB #Investimentos #EducaçãoFinanceira</t>
  </si>
  <si>
    <t>belem_com_br
#Noticias #educaçãofinanceira https://t.co/s4IYDZ2evx</t>
  </si>
  <si>
    <t>forbesbr
A Turma do #MeninoMaluquinho recebe
uma convidada especial para falar
sobre #educaçãofinanceira. @nathfinancas
será personagem no mundo dos quadrinhos.
“Ser desenhada pelo #Ziraldo é
um sonho realizado e um grande
reconhecimento pelo meu trabalho.”
https://t.co/xPodY0xkV8</t>
  </si>
  <si>
    <t>cvmgovbr
Com a chegada do Dia das Mães,
a Série CVM - Educação Financeira
traz as motivações, os desafios
e as estratégias de superação enfrentadas
pelas mães empreendedoras. (1/5)
#cvm #seriecvm #educacaofinanceira
#maesempreendedoras https://t.co/B6svkRcaSf</t>
  </si>
  <si>
    <t>b3_oficial
Inflação oficial foi de 0,53% em
janeiro. O #MinutoB3 mostra quais
foram os setores da economia que
mais influenciaram nesse resultado
e como isso interfere em seus investimentos.
#educacaofinanceira https://t.co/uPRm5XaP02</t>
  </si>
  <si>
    <t xml:space="preserve">sunoasset
</t>
  </si>
  <si>
    <t xml:space="preserve">amagalhaesana
</t>
  </si>
  <si>
    <t xml:space="preserve">stealthelook
</t>
  </si>
  <si>
    <t>devinformado
É possível investir sem ter salário
fixo? Veja as opções para autônomos
Leia mais: https://t.co/tp8JqbqmkX
#Mercado #Economia #Finançaspessoais
https://t.co/zNH2RhRwWL</t>
  </si>
  <si>
    <t>doutor_financas
📻 "Tudo o que passa, passa na
TSF" e o Doutor Finanças não é
exceção! De segunda a sexta-feira,
às 9h50. 👉 Os episódios estão
disponíveis no site da TSF em: https://t.co/QHcfNU8ex3.
#radio #consulta #rubrica #financaspessoais
#tsf #doutorfinancas https://t.co/dxYtXdSSrl</t>
  </si>
  <si>
    <t>geckocripto
Descubra o grande erro cometido
por muitas pessoas ao começar a
investir em criptomoedas! Evite
armadilhas e aprenda com os erros
dos outros #Criptomoedas #Investimento
#ErrosDeInvestimento #Diversificação
#EducaçãoFinanceira https://t.co/AtoktoXVwP</t>
  </si>
  <si>
    <t>hydrainveste
Educação financeira é uma habilidade
valiosa que pode ajudar a garantir
um futuro financeiro seguro. Curta,
comente e ative as notificações
para não perder nenhum conteúdo!
Temos um monte de novidades para
contar para vocês! #hydrainveste
#educaçãofinanceira #dinheironainternet
https://t.co/P3bhbNmJle</t>
  </si>
  <si>
    <t>possasmarcelo
#educaçãofinanceira #ativos #passivos
#fluxodecaixa #ganhodecapital #investimentos
#bolsadevalores #ações #fiis #tesourodireto
#stocks #reits #etfs #cdb #bolsadevalores
https://t.co/t6al4Bgq6V</t>
  </si>
  <si>
    <t>vozdavan
Mensagens que deixam nossos corações
quentinhos kkk E assim será em
junho, julho e por aí vai ! #Contaspagas
#Fatura #Boleto #Magalu #Educaçãofinanceira
https://t.co/feXa1FOZaN</t>
  </si>
  <si>
    <t>momentoverdade
📚💰 Aprenda com o mestre! Descubra
os segredos do maior investidor
do mundo e domine suas estratégias
no novo post do blog #FortesFinanceiramente
#WarrenBuffett #EducaçãoFinanceira
https://t.co/ZUVQSEUA99 https://t.co/fNaTedaBLl</t>
  </si>
  <si>
    <t xml:space="preserve">professormira1
</t>
  </si>
  <si>
    <t>luizamrl
RT @EInvestidor: 💸Cai quem quer?
Golpe do SMS é ardiloso; fique
alerta e se proteja. #golpefinanceiro
#educaçãofinanceira https://t.co/HdeM…</t>
  </si>
  <si>
    <t>algarveiberica
Há algum tempo que ouvimos como
a vida está mais cara, a inflação
é uma autentica montanha russa
e é cada vez mais difícil chegar
ao fim do mês com dinheiro. Estas
notícias levam-nos a pensar sobre
o que podemos fazer? #financaspessoais
#poupar #investir #educacaofinanceira
https://t.co/I8R89TFhY3</t>
  </si>
  <si>
    <t>7c631721bedd411
Para qualquer eventualidade, eu
e a dona Maria, se planejamos antecipadamente.
Hoje em dia, colhemos os frutos
de não terem dívidas. #educaçãofinanceira
#finanças</t>
  </si>
  <si>
    <t>jnegocios
Conglomerado do Oráculo de Omaha
recupera dos prejuízos de há um
ano e apresenta resultados operacionais
positivos de 10 mil milhões de
dólares https://t.co/uos8TMN4Zv</t>
  </si>
  <si>
    <t>caminhodoinves1
Ninguém enriquece só com salário.
Procura criar mais fontes de rendimento.
#enriquecer #financaspessoais #motivacao
#rendimento</t>
  </si>
  <si>
    <t>sicnoticias
Os casamentos estão cada vez maiores
e mais caros. Mais de 50% das noivas
apontam para um janela entre 101
e 150 convidados e um orçamento
entre os 10 mil e os 30 mil euros.
A média de idades das noivas aproxima-se
dos 31 anos. Saiba mais aqui https://t.co/17SXxnAo0Z
https://t.co/3wwDmYUHTQ</t>
  </si>
  <si>
    <t>_active_money
Faça igual a Paola, e confira as
5 dicas sobre educação financeira!
1) Comece cedo. 2) Gerencie seu
orçamento. 3) Aprenda a gerar renda.
4) Desenvolva habilidades financeiras
cedo. 5) Pense bem sobre o dinheiro
para gerar riqueza e estabilidade
a longo prazo. #educacaofinanceira
https://t.co/KdZ6VuR6FQ</t>
  </si>
  <si>
    <t>leormoraess
Eu vou te ajudar! #dividas #finançaspessoais
https://t.co/l2zs22BYiX</t>
  </si>
  <si>
    <t>adv_wesleycesar
Quer saber como funciona um plano
de pagamento aos credores? Fique
atento à próxima postagem! #superendividamento
#dívidas #finanças #educaçãofinanceira
#AdvWesleyCesar #advocacia #advocaciaGoiânia
#advogadoflorianopolis #advogadosantacatarina
#advwesleycesar</t>
  </si>
  <si>
    <t>danielcoriolano
Gerir as finanças pessoais é um
desafio para qualquer um, inclusive
para nós médicos. Planejamento
e disciplina são fundamentais para
evitar dívidas e garantir uma vida
mais saudável. Lembre-se: cuidar
do dinheiro também é cuidar da
saúde. #financaspessoais #medicos</t>
  </si>
  <si>
    <t>santoscancio
Para palestras e treinamentos -
acesse https://t.co/aJVlshWR0s
#eleicoes #investimentos #dinheiro
#bolsadevalores #investimento #mercadofinanceiro
#finan #empreendedorismo #investir
#liberdadefinanceira #sucesso #rendaextra
#economia #educacaofinanceira #investidor
# https://t.co/QIVUemvUal</t>
  </si>
  <si>
    <t>bragaeconomics
Veja esta publicação do Instagram
de @bragaeconomics https://t.co/NwH8eBtePZ
Hoje começa um série de 4 post
sobre ALOCAÇÂO de Investimentos
#bragaeconomics #economia #investimento
#educacaofinanceira #bolsadevalores
#finançapessoal #dinheiro #money
#penserico #vocêindependente https://t.co/qQl4Ji2QZb</t>
  </si>
  <si>
    <t>lipe100dedos
Escrevi um artigo falando sobre
o salario minimo no Brasil e educação
financeira. Falamos da manutenção
do poder de compra e possiveis
soluções pra melhorar a vida de
quem vive com um salario minimo.
#hivebr #Politics #Web3 #educacaofinanceira</t>
  </si>
  <si>
    <t>03oativ
Estar no acampamento e ganhando
dinheiro é impagável, simplesmente
recebendo pra buscar a Deus #educacaofinanceira</t>
  </si>
  <si>
    <t>natanfernandop1
#educacaofinanceira</t>
  </si>
  <si>
    <t>invistamonett
A Monett está de cara nova! Um
novo aplicativo com mais tecnologia,
machine learning, mais personalização
e uma versão gratuita completíssima.
Baixe o app e aproveite a Monett.
#Monett #inteligenciaartificial
#algoritmos #educacaofinanceira
#investimentos #finanças https://t.co/aFcdLAaKQ3</t>
  </si>
  <si>
    <t>blogdohiel
Projeto de George Lins, aprovado
pela ALEAM, implementa educação
financeira nas escolas da rede
estadual Leia mais no #BlogDoHielLevy
https://t.co/TruiIu4AWf #deputado
#Aleam #GeorgeLins #educação #educaçãofinanceira
#escolas #finanças https://t.co/h5FhwwY0dg</t>
  </si>
  <si>
    <t>investedigitall
Não perca a oportunidade de investir
em empresas americanas em crescimento
nos próximos anos! Com BDRs, você
tem acesso às ações das companhias
dos EUA sem abrir conta em corretora
estrangeira. Descubra mais em:
https://t.co/6zx7Te2alI #investimentos
#BDRs #educacaofinanceira https://t.co/CESgjbyblT</t>
  </si>
  <si>
    <t>credito_jose
Como reduzir seus gastos com moradia,
transporte e alimentação no Brasil
👉 https://t.co/62YxXCk5v8 #ReduçãoDeGastos
#FinançasPessoais #MoradiaEconômica
#DicasFinanceiras https://t.co/OUbP1hpR5L</t>
  </si>
  <si>
    <t>globo_cancer_br
RT @mat_financeira: Hoje celebramos
a data nacional do país. Celebre
também a liberdade que a educação
proporciona. #IndependênciaDoBrasil…</t>
  </si>
  <si>
    <t>ravenort_links
📣 OFERTA - Amazon 🔥 34% DE DESCONTO
📚 - O homem mais rico da Babilônia,
Capa comum 💸 R$22,90 💳 Em até
2x sem juros 🚛 FRETE GRATIS (consulte
seu CEP) https://t.co/B2QRDwIh11
https://t.co/B2QRDwIh11 #ohomemmaisricodababilônia
#finançaspessoais #educaçãofinanceira
https://t.co/vHT4cQCp7x</t>
  </si>
  <si>
    <t>nascimentomma
❓Por que corretoras enviam uma
"carteira da semana" se ações são
para o longo prazo? 🤔 Pare para
refletir: se você não sabe o preço
de algo, pode estar pagando mais
do que deveria. #investimentos
#finanças #educaçãofinanceira</t>
  </si>
  <si>
    <t>fgvibre
#BlogdaConjuntura | Nathalia Arcuri,
CEO da empresa Me Poupe e influenciadora
digital falou ao Blog da Conjuntura
nesta semana sobre sua trajetória,
a inadimplência no Brasil e sobre
#EducacaoFinanceira. Não deixe
de conferir! Acesse: https://t.co/1gpNUE5I2c
https://t.co/sq1bEAr2xH</t>
  </si>
  <si>
    <t>charlesrduarte
#FinançasPessoais é mais importante
que #Investimentos? Embora as duas
coisas estejam interligadas, tudo
depende do tamanho do seu #Patrimônio
e onde seu dinheiro está investido.
Para a maioria da população brasileira,
Finanças Pessoais deve ser o #foco!</t>
  </si>
  <si>
    <t>emoneybrasil
Aprenda como investir de maneira
inteligente na Previdência Privada,
veja em: https://t.co/QqUvKEQbGw
#utilidadepublica #finançaspessoais
#investimentoseguro</t>
  </si>
  <si>
    <t>valentim01julho
Educação financeira. 👇🏾 https://t.co/3WlJcMjtgN
#educaçãofinanceira #humor #comédia</t>
  </si>
  <si>
    <t>economicnewsbr
Muitas pessoas enfrentam dificuldades
para organizar as finanças e criar
o hábito de poupar dinheiro, o
que pode tornar o equilíbrio financeiro
uma constante batalha. Mas, como
começar?#Dívida #Economia #EconomicNewsBrasil
#EducaçãoFinanceira #Poupança https://t.co/R2hdYeR1Zr
https://t.co/fjEZFV9Dwl</t>
  </si>
  <si>
    <t>pravaler
Lembre-se, a análise de crédito
é contínua. Práticas financeiras
saudáveis ajudam a construir um
histórico sólido e alcançar suas
metas financeiras. Compartilhe
essas dicas! 💼💪 #EducaçãoFinanceira
#PlanejamentoFinanceiro</t>
  </si>
  <si>
    <t>investidorcltt
Bradesco anuncia JCP de 2 Bilhões.
#acoes #fiis #bolsa #bolsadevalores
#dividendos #investimentos #ativo
#rendapassiva #renda #corretora
#b3 #educacaofinanceira #milhas
#rendavariavel #jcp #proventos
#bbdc4 #bbdc3 #bradesco https://t.co/vca07jHko3</t>
  </si>
  <si>
    <t>ssfilhorp
https://t.co/FrZ0PjXYvl #PlanodeTrading
#Trading #Bovespa #MiniÍndice #GestãoDeRisco
#AnáliseTécnica #ControleEmocional
#EducaçãoFinanceira #Disciplina
#MetasRealistas https://t.co/n58LFIvBR2</t>
  </si>
  <si>
    <t>criptoislife
RT @LeveAppBR: Building a Brazil
of the future is in our hands.
🇧🇷 Happy September 7th! #leve
#levetoken #leveinvest #sejaleve
#token #bi…</t>
  </si>
  <si>
    <t>vidasimples
💸 Você pode ganhar R$ 1 mil ou
R$ 10 mil. Se não souber se organizar
financeiramente, pode continuar
endividado alerta @nathfinancas.
Matéria: Gustavo Ranieri. Ilustração:
Tiago Gouvêa 👇👇👇 Leia mais:
https://t.co/5yyAJ1K22s #VidaSimples
#Dinheiro #EducaçãoFinanceira https://t.co/15qyvlMXbv</t>
  </si>
  <si>
    <t>keepboredbr
É HOJE, 20h no Discord do Keep
Bored!!! Nossa aula de hoje é sobre
"dívidas". Espero que seja produtivo
e contribua para auxiliar todos
aqueles que buscam planejar suas
pendências financeiras! Contamos
com a participação de todos! 😉🎓
#EducaçãoFinanceira #GestãoDeDívidas…
https://t.co/vP0u1kBJaM</t>
  </si>
  <si>
    <t>luamedeiross
Entendendo o Método Bazin de Investimento
https://t.co/rgEqCc2PzT via @YouTube
#investimentos #educacaofinanceira
#rendaextra #dinheiro</t>
  </si>
  <si>
    <t>jeffao_brabo
A criptomoeda #flokiinu pode ser
uma grande oportunidade de lucro,
mas não esqueça de fazer sua pesquisa
e investir com sabedoria. #investimentos
#educaçãofinanceira</t>
  </si>
  <si>
    <t>aureliova813892
A pessoa busca Tanto por uma coisa"Mais
do nada Não quer mais". #motivação
#Deus #crente #católica #amor #vida
#educaçãofinanceira https://t.co/MR6YHdcQL1</t>
  </si>
  <si>
    <t>dj_elmar_
Comece o dia com uma atitude positiva
em relação às suas finanças! #mindset
#EducaçãoFinanceira #ControleDeGastos
#Poupança #HábitosFinanceiros #FuturoSaudável</t>
  </si>
  <si>
    <t>livrosemresumo
#ResumoLivro #FinançasPessoais
#SabedoriaFinanceira #LivroClássico</t>
  </si>
  <si>
    <t>economistamay
Educação Financeira não é sobre
não ter dividas. É sobre saber
que está devendo, não ignorar as
dívidas e o credor e comunicar
que pretende e qual período que
irá pagar. #financas #educacaofinanceira
#dicadaeconomistamay</t>
  </si>
  <si>
    <t>djandriooficial
RENDA EXTRA COM MILHAS CURSO Cartões,
Milhas e Pontos - CMP - Com Henric...
https://t.co/76Sp30PJlE via @YouTube
#milhas #milhasaéreas #milhasaereas
#pontosemilhas #comoganhardinheirocommilhas
#milhasepontos #educaçãofinanceira
#comoganhardinheironainternet #comoganhardinheirona</t>
  </si>
  <si>
    <t>atilalemos10
https://t.co/27ZQjltiSx #educaçãofinanceira
#RomeuZema #atilalemos #itabira
#itabiramg</t>
  </si>
  <si>
    <t>empresasjornal
Férias de verão de 2024: agora
é o momento certo para começar
a organizar a sua viagem https://t.co/tLigxwret2
Planejar os detalhes traz a sensação
de estar atingido uma meta. #JoãoVictorino
#fériasdeverão #turismo #planejamento
#finançaspessoais</t>
  </si>
  <si>
    <t>lenick2008
RT @mat_financeira: "A educação
financeira vem antes da prosperidade
financeira". #EducaçãoFinanceira
#ProsperidadeFinanceira #MatemáticaF…</t>
  </si>
  <si>
    <t>robsonantenor
Quanto foi a sua dívida de consumo
no final de semana? Lazer é importante,
mas você precisa planejar a dívida
boa que cabe no seu bolso, que
é uma dívida de alavancagem. #consorcio
#cantarescorretora #cantarescorretoradeseguros
#financas #financaspessoais #casapropria
#lar https://t.co/WAJ6UpJQhc</t>
  </si>
  <si>
    <t>financaslucra
Descubra a Regra da Riqueza 50-30-20!
Aprenda a dividir seu orçamento
de forma inteligente e alcance
a prosperidade financeira. Saiba
mais no link: https://t.co/dnXDhCLstU
#FinançasPessoais #PlanejamentoFinanceiro</t>
  </si>
  <si>
    <t>thiagofm88
Minhas finanças pessoais são tão
ruins que até meu cartão de crédito
está me evitando #finançaspessoais
#vida #risos</t>
  </si>
  <si>
    <t>leiaflj
🤓 Entender o Balanço Patrimonial
de uma empresa pode te ajudar a
tomar ótimas decisões de investimento.
👉 Aprenda sobre o assunto: https://t.co/4c4F3Wny8B
#EducaçãoFinanceira #Contabilidade
#DemonstraçõesFinanceiras #PosiçãoPatrimonial
#AtivoePassivo</t>
  </si>
  <si>
    <t>robertopantojax
Faltam apenas 10 dias para uma
crise mundial... #crisemundial
#grandereset #investimentos #educacaofinanceira
#dinheiro https://t.co/tZjSIh0ykV</t>
  </si>
  <si>
    <t>ye__exe
#educacaofinanceira… pqp, a cada
dia que se passa tá cada vez mais
difícil tankar. Eu nem sei por
onde começar com isso, tanto esse
pânico ridículo ou o vídeo em si…</t>
  </si>
  <si>
    <t>britzztheking
Identifica 2 amigos que queiram
aprender a lucrar online contigo
#britzztgeking #EducaçãoFinanceira
#NegóciosDigitais #AprendizagemOnline
#MercadosFinanceiros #Investimentos
#EmpreendedorismoDigital #FinançasPessoais
#DesenvolvimentoPessoal #EducaçãoOnline
#Trading https://t.co/NWpSzZh8uQ</t>
  </si>
  <si>
    <t>kakoramos
Nesta postagem Kako Ramos escreve
a respeito de alguns aspectos básicos
sobre os bancos. #finançaspessoais
#bancos #organizaçãofinanceira
https://t.co/XAnWepaC42</t>
  </si>
  <si>
    <t>produtiveme
Para quem quer organizar suas finanças...
Agora com um novo preço: https://t.co/p0Tyqf2jFc
#Notion #FinançasPessoais #Template
https://t.co/vpDx1DPxA4</t>
  </si>
  <si>
    <t>guiftmottin7
Eu acho muito engraçado uma pessoa
que diz ser Educador, mas que no
fundo precisa até fazer greve,
se é Educador porque não faz Educação
Financeira? #EducaçãoFinanceira
#PróGovernoCentral #CapitalizaçãoéSolução</t>
  </si>
  <si>
    <t>nostranska
RT @LeveAppBR: Building a Brazil
of the future is in our hands.
🇧🇷 Happy September 7th! #leve
#levetoken #leveinvest #sejaleve
#token #bi…</t>
  </si>
  <si>
    <t>vteixeira19
Nunca aceite críticas construtivas
de quem nunca construiu nada. 😎💰💥
#boatarde #empresário #negocios
#finançaspessoais #deusnocomandofin
em Finanças e investimentos https://t.co/sTugwgv2BW</t>
  </si>
  <si>
    <t>tvcultura
De acordo com a economista, o jovem
pensa em ter tudo rápido na vida
mas tem que aprender a tomar boas
decisões quando se envolve dinheiro.
#Economia #EducaçãoFinanceira #TVCultura
https://t.co/KpaWhU7KJe</t>
  </si>
  <si>
    <t>agoraplanos
Excelente oportunidade! #consorcio
#planejamento #educaçãofinanceira
#sonhos #casapropria #meuapartamento
#meuAP #segurança #familia em Brasil
(País) https://t.co/t5zmNyVsHz</t>
  </si>
  <si>
    <t>o_lucastrader
AS 20 HORAS TEREMOS LIVEEE! 🔥🔥🔥🔥
https://t.co/z2iyfZ6S0y #metamask
#blockchain #btc #educaçãofinanceira
#futuros #tokens #bsc #cryptocurrency
#trader #inteligenciaartificial
#highfrequencytrading #psicologia
#mercadofinanceiro</t>
  </si>
  <si>
    <t>axcrestfall
https://t.co/DDmRplCXDD #PaiRicoPaiPobre
#EducaçãoFinanceira #FinançasPessoais
#Investimentos #SucessoFinanceiro
#Empreendedorismo #LiberdadeFinanceira
#PlanejamentoFinanceiro #EducaçãoFinanceiraParaTodos
#RiquezaMental</t>
  </si>
  <si>
    <t>ivipcoin
#ivipcoin #Investimentos #CorretoraCertificada
#DicasFinanceiras #SucessoFinanceiro
#EducaçãoFinanceira https://t.co/Hgsd1RmCn9</t>
  </si>
  <si>
    <t>meutudoapp
Um bom pai pode ser também um ótimo
conselheiro quando o assunto é
cuidar das finanças, concorda?
Por isso, a meutudo reconhece esse
importante papel e parabeniza a
todos os pais brasileiros por este
dia especial. #meutudo #pais #pai
#diadospais #dinheiro #educacaofinanceira
https://t.co/nMgBLC0oKQ</t>
  </si>
  <si>
    <t>fefe_ofcw
Só pra posta mesmo 🤍🤞🏻#fypシ❤️💞❤️
#reelsinstagram #motivacao #educacaofinanceira
#alegria #instagram #amigos💍 #fotografia#topicos
em Conselheiro Lafayete, Minas
Gerais, Brazil https://t.co/lTjHMS8brZ</t>
  </si>
  <si>
    <t>georgestmattos
Você sabia que pode fazer uma grana
emprestando dinheiro para o governo
federal? 💰💼✨ Se você acha que
só os bancos ganham com empréstimos,
está na hora de mudar essa história!
📚🔄💸 💪📈✨ #TesouroDireto #ganhardinheiro
#Investimentos #educacaofinanceira
https://t.co/kdxx2vIWS6</t>
  </si>
  <si>
    <t>robson63416430
@tarcisiogdf @governosp Antes de
tudo inclua #educaçãofinanceira
os jovem precisam aprender a utilizar
o dinheiro pra termos um país melhor</t>
  </si>
  <si>
    <t xml:space="preserve">governosp
</t>
  </si>
  <si>
    <t>mundocoop
Cooperativas combatem a "fobia
financeira" e impulsionam mudanças
socioeconômicas Leia a reportagem
completa no site da #MundoCoop!
📎 https://t.co/2atmSIySYr #mundocoop
#somoscoop #coop #cooperativa #cooperativismo
#economia #mercado #credito #educaçãofinanceira
#finanças https://t.co/aFezuenzvO</t>
  </si>
  <si>
    <t>leo_emp
Você NÃO PRECISA ser empreendedor,
nem gestor e nem mesmo investir
seu dinheiro. Mas isso tem que
ser uma opção. Saber e optar por
não fazer, é diferente de não poder!
#emprendedor #empreendedorismo
#trabalho #WorkHard #educaçãofinanceira</t>
  </si>
  <si>
    <t>realvictorhugog
(continuação) Estou animado com
as possibilidades que estão por
vir e determinado a fazer desta
fase um capítulo incrível da minha
vida. Vamos juntos nessa jornada
de crescimento, aprendizado e realizações!
#estrategistafinanceiro #finanças
#educaçãofinanceira #empreendedorismo</t>
  </si>
  <si>
    <t>cintiamenegazzo
Educação financeira nunca será
irrrelevante no mundo em que vivemos.
#cm #gestãoremotadeaaz #mercadofinanceiro
#produtividade #educacaofinanceira
#estilodevida #proposito #carreira
#trabalho #educação https://t.co/zdBvWChsYt</t>
  </si>
  <si>
    <t>the_new_finance
Os EUA quebra em 20 dias #crisemundial
#grandereset #investimentos #educacaofinanceira
#dinheiro https://t.co/neONFyclT8</t>
  </si>
  <si>
    <t>karlfranca
Educação financeira é essencial
para alcançar a estabilidade financeira.
Ter o controle das suas finanças
é uma habilidade fundamental para
garantir a sua tranquilidade financeira
e para alcançar seus objetivos
de vida.#educacaofinanceira #planejamentofinanceiro
#financaspessoais</t>
  </si>
  <si>
    <t>instcivitasbr
O que é e o que faz a CVM? 🤔 Entrevista
completa 👇 https://t.co/N3ZE2e9hmf
#institutocivitas #civitaslive
#cvm #educaçãofinanceira https://t.co/Z3IVUGkeda</t>
  </si>
  <si>
    <t>vincopontovc
Siga a VINCO para mais dicas e
dê os primeiros passos rumo à saúde
financeira. Lembre-se: pequenas
mudanças podem trazer resultados
incríveis a longo prazo! 💪🌈 #SaudeFinanceira
#EducaçãoFinanceira</t>
  </si>
  <si>
    <t>descomplicaft
𝐍𝐨𝐯𝐨 𝐩𝐨𝐬𝐭 𝐝𝐢𝐬𝐩𝐨𝐧𝐢́𝐯𝐞𝐥
🔔 "Investimento é abdicar de algo
hoje para poder gastar amanhã."
😉 𝐂𝐨𝐧𝐭𝐢𝐧𝐮𝐚 𝐚 𝐥𝐞𝐫 𝐞𝐦
https://t.co/un88G4vyzR #Descomplica
#Finanças #Economia #Gestão #Dinheiro
#Mercado #YouTube #Investimentos
#EducaçãoFinanceira https://t.co/leleSbjjyR</t>
  </si>
  <si>
    <t>puneetkohli1979
#finance #liberdadefinanceira #personalfinance
#mercadofinanceiro #finances #educacaofinanceira
#independenciafinanceira #planejamentofinanceiro
#refinance #sucessofinanceiro https://t.co/93yAcgAtic</t>
  </si>
  <si>
    <t>calilecalil
Enquanto eles falam, você constrói.
#Dividendos #Investimentos #Ações
#RendaPassiva #Investidores #FinançasPessoais
#BolsadeValores #IndependênciaFinanceira
#MercadoFinanceiro #EducaçãoFinanceira
https://t.co/FFZbPItQy8</t>
  </si>
  <si>
    <t>lipfiori
#educacaofinanceira #rendapassiva</t>
  </si>
  <si>
    <t>economedicos
Bom dia investidores! Mercados
amanhecem positivos no retorno
à normalidade hoje após o feriado
em várias bolsas pelo mundo #Economedicos
#Finanças #Financas #FinancasPessoais
#LiberdadeFinanceira #Economia
E hoje? Quem vence? Medo ou ganância?</t>
  </si>
  <si>
    <t>tidomundo
Você sabe a importância da educação
financeira para a família? Descubra
com Eduardo Schroeder Quer ficar
por dentro de notícias como essa?
Nos segue! #educacaofinanceira
#familia #EduardoSch Link da notícia:
https://t.co/OFl3A45U0w</t>
  </si>
  <si>
    <t>resultadossus
2/ 📌 Passo 1: Educação. Antes
de tudo, entenda o que é investimento
responsável. Leia publicações,
participe de seminários e converse
com especialistas. #EducaçãoFinanceira</t>
  </si>
  <si>
    <t>byebnk
Aproveita o final de semana para
aprender como cuidar do seu patrimônio
de forma eficaz. O e-book é gratuito:
https://t.co/cCr7L4jH2B #sextou
#finaldesemana #ebook #investimentos
#investirnoexterior #negócios #empreendedor
#educaçãofinanceira #comoinvestirnoexterior
https://t.co/FbpsK971ll</t>
  </si>
  <si>
    <t>romerofinancas
Existem várias regras que determinam
quando e como você pode sacar o
FGTS (Fundo de Garantia por Tempo
de Serviço). #finanças #dinheiro
#investimentos #economia #riqueza
#negócios #investir #liberdadefinanceira
#educaçãofinanceira #sucesso #planejamentofinanceiro
https://t.co/UR93Oud0AM</t>
  </si>
  <si>
    <t>jornaljogoserio
Guaxupeano é vítima de estelionato
em transação feita com conta rackeada
- https://t.co/bTTlXhZh0O #jornaljogoserio
#estelionato #Golpe #ViaInternet
#Crime #delito #ocorrenciapolicial
#investigacaocriminal #prejuizo
#financaspessoais #financeiro #pmmg
#pcmg #cirmevirtual https://t.co/GTy1YEm4h1</t>
  </si>
  <si>
    <t>josealv42755397
APP Fluxo de Caixa #fluxodecaixa
#educacaofinanceira #Finance #conscienciafinanceira
https://t.co/PCqoTfqSlA</t>
  </si>
  <si>
    <t>midimashup
Pra quem quiser aprender sobre
#finanças e #educação financeira.
#Cursos gratuitos da @B3_Oficial
https://t.co/M1zFc9OejE #educacaofinanceira
#curso #economia #Investimentos
#Investimento</t>
  </si>
  <si>
    <t>brindamospips
Nas100 horita esta respatando un
nivel de las 4 horas quiero ver
si el precio sigue respetando ese
nivel o si lo va quebrar y dar
los la prueba. #nas100📈 #educacaofinanceira
#educacionfinanciera #enespañol
https://t.co/F94Gmp4FGu</t>
  </si>
  <si>
    <t>islenoaraujo
"Assuma o controle de suas finanças!
Comece definindo metas financeiras,
criando um orçamento e monitorando
seus gastos. O planejamento financeiro
pessoal é a chave para alcançar
estabilidade e segurança financeira
#planejamentofinanceiro #finançaspessoais
#metasfinanceiras"</t>
  </si>
  <si>
    <t>danielsouzafp
Uma escolha te afasta da outra…
VOCÊ PEGA O CELULAR: ❌ Segue perfis
duvidosos ✅ Segue o @financaspessoais</t>
  </si>
  <si>
    <t>cidadaniapoa
Any Ortiz: omeçando a semana tratando
de um dos assuntos que eu mais
defendo: educação financeira! Veja
no Instagram de @ortizany https://t.co/tiyo4ZgVSA
#educacaofinanceira</t>
  </si>
  <si>
    <t xml:space="preserve">ortizany
</t>
  </si>
  <si>
    <t>t2id_
Listas de tarefas, um truque desatualizado?
#Notícias #carreira #desatualizado
#Finançaspessoais #gerenciamento
https://t.co/n7OcRUaf3n</t>
  </si>
  <si>
    <t>investoetf
Ali, vamos repassar dicas de como
começar a cuidar do dinheiro de
hoje e de amanhã através de investimentos
globais, como os ETFs. Cadastre-se
e boa aula! #ETF #Investimento
#Crianças #EducaçãoFinanceira #Curso
#B3</t>
  </si>
  <si>
    <t>vempragruppi
Queremos construir a maior comunidade
de experts em vida financeira do
Brasil. Por isso, tá rolando 🤑
descontão de 70% 🤑 no curso “Como
cuidar do seu dinheiro”. Basta
assinar a news da Gruppi e pronto!
Assine agora mesmo ➡️ https://t.co/ElGCIX8TYo
#educacaofinanceira #curso… https://t.co/cPGlFE1xvO</t>
  </si>
  <si>
    <t>trogloditaao
RT @mat_financeira: "A educação
financeira vem antes da prosperidade
financeira". #EducaçãoFinanceira
#ProsperidadeFinanceira #MatemáticaF…</t>
  </si>
  <si>
    <t>capemisa
A Semana Nacional da Educação Financeira
já está no ar!​ Até o dia 21 de
maio, a CAPEMISA vai trazer assuntos
para te ajudar a entender sobre
como se planejar melhor financeiramente.
Confira nosso vídeo com boas práticas
no link: https://t.co/W8ie5BF04L​
​ #EducAçãoFinanceira</t>
  </si>
  <si>
    <t>euluisconsultor
Não sabe por onde começar seu planejamento
financeiro? Confira essas dicas
para te ajudar a criar um plano
eficaz para suas finanças pessoais.
Acesse o insta: @euluisconsultor
💪💸 #finançaspessoais #planejamentofinanceiro</t>
  </si>
  <si>
    <t>richpoorapp
Novo app grátis de controle de
finanças pessoais inspirado no
livro pai rico, pai pobre #pairico
#financaspessoais #apps #richpoor
#rico #primorico #RobertKyosaki
#appfinanceiro #iPhone #Android
#fluxodecaixa #gastos #comoenriquecer
#livropairico https://t.co/y4TgQsV9IK</t>
  </si>
  <si>
    <t xml:space="preserve">justiciafiscal
</t>
  </si>
  <si>
    <t xml:space="preserve">ijfiscal
</t>
  </si>
  <si>
    <t xml:space="preserve">afocefe
</t>
  </si>
  <si>
    <t xml:space="preserve">inescoficial
</t>
  </si>
  <si>
    <t>lordtraderb3
Não importa onde você esteja financeiramente
hoje, sempre há tempo para mudar
sua situação. Vamos juntos aprender
sobre educação financeira e conquistar
a independência financeira! #educaçãofinanceira
#independenciafinanceira</t>
  </si>
  <si>
    <t>alereiscontador
Refletir sobre os erros financeiros
familiares é fundamental para uma
vida financeira saudável. Evite-os
e conquiste seus objetivos! 💰💪
#EducaçãoFinanceira #Planejamento
#FamíliaFinanceira #ErrosFinanceiros
https://t.co/iMKekhUGDh</t>
  </si>
  <si>
    <t>kontabio
Nos próximos vídeos, vamos responder
algumas dúvidas bem comuns para
quem vai entregar Declaração do
Imposto de Renda Pessoa Física.
Nesse de hoje, vamos falar de quem
trabalhou como CLT e PJ ao longo
de 2022! . . #impostoderenda #irpf2023
#irpf #contabilidade #financaspessoais
https://t.co/nDUY7tUOWJ</t>
  </si>
  <si>
    <t>powerhashia
#PowerHash #mineraçãodecriptomoedas
#criptomoedas #bitcoin #tether
#altcoin #rendapassiva #independênciafinanceira
#riqueza #investimento #finançaspessoais
https://t.co/BFhgvYkXZX</t>
  </si>
  <si>
    <t>lanistarbrasil
O conhecimento é a chave para realizar
sonhos e atingir metas 💡 Pensando
nisso, separamos uma lista com
alguns dos melhores livros sobre
finanças e mindset para te inspirar.
#Lanistar #LanistarBrasil #EducaçãoFinanceira</t>
  </si>
  <si>
    <t>hablandogrego
Corra que ainda há tempo, o sistema
vai quebrar. #primorico #jimorico
#finanças #educaçãofinanceira https://t.co/e918olPglA</t>
  </si>
  <si>
    <t>sei_services
Nem sempre o mais barato é a melhor
opção, leve em consideração a distância...
#brasilia #educacaofinanceira #gastos
https://t.co/SxNI3IhhXJ</t>
  </si>
  <si>
    <t>ojoaoulisses
#educaçãofinanceira #dinheiro #warrenbuffett
#jimsimmons #riqueza #fortuna #ricos
#investimentos</t>
  </si>
  <si>
    <t>arrascaweta
@wheelercrf eu pago tudo em dia
cara kkkkkkkkk e nunca compro nada
alem do que posso pagar #EducaçãoFinanceira</t>
  </si>
  <si>
    <t xml:space="preserve">wheelercrf
</t>
  </si>
  <si>
    <t>dividazero
Um futuro onde empreendedores e
funcionários dominam suas finanças,
criando empresas sustentáveis e
melhorando a vida de todos, é possível
com a educação financeira! 🌍💫
#Futuro #EducaçãoFinanceira #empreendedores
#empreender #rh #palestra</t>
  </si>
  <si>
    <t>redevida
Janeiro é sempre um mês muito conturbado
em relação ao dinheiro né? Para
nos dar uma ajudinha, o educador
financeiro Thiago Martello está
no Bendita Hora junto ao Padre
Lúcio Cesquin. Vem assistir! .
. #finanças #educaçãofinanceira
#dividas https://t.co/UkkHhQ1964</t>
  </si>
  <si>
    <t>proatitudeeduca
#dicas de #educaçãofinanceira #finançaspessoais
#shortvideo https://t.co/N8Url7EA3v
via @YouTube</t>
  </si>
  <si>
    <t>fnsfinancas
📊 Você Sabia?: 8 em cada 10 pessoas
não têm um orçamento mensal. Comece
o mês planejando seus gastos e
evite surpresas desagradáveis.
Uma organização simples pode ser
o primeiro passo para a riqueza!
#FinançasPessoais #FNSConselhos
https://t.co/h77ENH3bVq</t>
  </si>
  <si>
    <t>arkaonline_
Conheça o poder dos juros compostos
e como utilizá-los a seu favor
nos investimentos. Aprenda a transformar
pequenas quantias em grandes fortunas
com o tempo. Você já ouviu falar
sobre o poder dos juros compostos?
#educaçãofinanceira #investimentos
https://t.co/PAeSTDPYp8 https://t.co/nfQrWA63Rm</t>
  </si>
  <si>
    <t>beatrizdiascc
O quanto antes ensinarmos as crianças
sobre dinheiro mais saudável será
sua relação com ele. #educacaoinfantil
#educaçãofinanceira #dinheiro #Finanças
#finançasfamiliar #financaspessoais
#educacao #equilíbrio #equilibriofinanceiro
#investimento #educabrasil https://t.co/WYohpRR0g6</t>
  </si>
  <si>
    <t xml:space="preserve">disney
</t>
  </si>
  <si>
    <t xml:space="preserve">disneyplusbr
</t>
  </si>
  <si>
    <t>arthurbahia_
Invista em sua educação financeira.
Leia livros e faça cursos sobre
finanças pessoais e investimentos.
Quanto mais você souber sobre o
assunto, mais preparado estará
para tomar decisões financeiras
inteligentes. #economia #investimentos
#educaçãofinanceira #conhecimento.</t>
  </si>
  <si>
    <t>penedagerestv
Turmas da CIM Alto Minho entre
os vencedores das Olimpíadas de
Educação Financeira ⬇️ https://t.co/ybPGm2VPBG
#altominho #educacaofinanceira
#cimaltominho #vencedores #alunos
#nopouparestaoganho</t>
  </si>
  <si>
    <t>certificacaobr
Encerrando mais uma Turma CPA-20
com o compromisso de educar, qualificar,
motivar, falar umas verdades ;)
. . . #cpa20 #anbima #investimento
#educação #educacaofinanceira #aprovação
#motivacao #motivação #bancos #mercadofinanceiro
https://t.co/p0llI1MITN</t>
  </si>
  <si>
    <t>leiaagrotimes
Como funciona a tributação na holding
rural? #AgroTimes #Agronegócio
#FinançasPessoais https://t.co/CjLZjqqkJe</t>
  </si>
  <si>
    <t>andrewerneck_
Passo 4:Eduque-se e busque apoio
profissional. Invista em conhecimento
financeiro, leia livros e busque
informações confiáveis. Além disso,
considere a ajuda de um profissional
financeiro para orientá-lo em seu
plano e otimizar seus resultados.
#EducaçãoFinanceira</t>
  </si>
  <si>
    <t>workshopdantas
Gostou do conteúdo? Segue aê ➡️
@workshopdantas #educacaofinanceira
#empreendedor #dinheiro #finanças
#reflexao #empreendedorismo #vendermais
#organizacaofinanceira #rendaextra
#rendaextraemcasa #marketingdigital
#vendedor #nom #iluminate #desperte
https://t.co/wXI2khBtvt</t>
  </si>
  <si>
    <t xml:space="preserve">roxmo
</t>
  </si>
  <si>
    <t xml:space="preserve">rmotta2
</t>
  </si>
  <si>
    <t>betteroluciana
As escolhas e decisões de hoje,
apontam tempo da realização dos
seus sonhos. Não espere perfeição,
comece e se aperfeiçoe no percurso
🤩🚀 #estudo #decisão #escolhas
#financaspessoais #planejamento
https://t.co/3OcQ6agMtI</t>
  </si>
  <si>
    <t>sitemundonegro
Especialistas listam métodos de
organização financeira para quem
quer garantir realização de metas
e sonhos. #EducacaoFinanceira https://t.co/4x4vJncXVl</t>
  </si>
  <si>
    <t>arnaldosantttos
#direitodoconsumidor #consumidor
#financas #financaspessoas #consumo
#dívidas #bancos #educacaofinanceira
#chequeespecial #juros #bens #servicos
#Procon #Procomum #inflacao #debito
#emprestimo #pagamento #divida
#CDC https://t.co/aZAEguaVNY</t>
  </si>
  <si>
    <t>chocolatefabiu
Eu sei um monte sobre economia,
taxa de juros e tals. Sabe o quanto
isso impacta na taxa básica de
juros? NADAAAAAAAAAA #educacaofinanceira</t>
  </si>
  <si>
    <t>forkthebank
Algumas regras simples para uma
boa vida. #DiaDosPais #ForktheBanks
#investimentos #educaçãofinanceira
#lições https://t.co/wtKAo6j1Kf</t>
  </si>
  <si>
    <t>consorciodecarr
Altas taxas de juros no financiamento
de carros podem levar ao endividamento.
É fundamental ter educação financeira
e pesquisar opções, como o consórcio.
Saiba mais! 🔎https://t.co/dprfUCppKR
#FinançasPessoais #CompraDeCarro
#Consórcio https://t.co/lziHebYwC5</t>
  </si>
  <si>
    <t>capacita_ec
O endividamento excessivo pode
sufocar seus sonhos e transformar
sua vida em um pesadelo financeiro.
Tome as rédeas da sua situação
agora e liberte-se dessa armadilha
antes que seja tarde demais. #bemestarfinanceiro
#educaçãofinanceira #redeasdavida
#capacitaec</t>
  </si>
  <si>
    <t>revistaoeste
Randolfe Rodrigues associa Telegram
ao nazismo https://t.co/g3z2HpWj3u</t>
  </si>
  <si>
    <t>marcoscleberc
#brasil #iptv #news #apple #btc
#criptomoedas #blockchain #investimentos
#aprenda #mudesuavida #economia
#finanças #educaçaofinanceira #investidor
#iniciante #sucesso #rico #bitcoin
#token #web3 #metaverso #cripto
#liberdadefinanceira #brasil #criptoativos
#defi #web3 #crypto #nf</t>
  </si>
  <si>
    <t>felipeinvestiu
Pv 21:20: "Tesouro desejável e
azeite há na casa do sábio, mas
o homem insensato os esgota." Sabedoria
financeira na Bíblia.📖💰 #FinançasPessoais
#LiçõesBíblicas</t>
  </si>
  <si>
    <t>econofin_
Descubra como a inflação afeta
sua vida financeira. Confira nosso
guia completo sobre inflação e
aprenda a lidar com seus impactos.
#inflação #finanças #educaçãofinanceira
https://t.co/GjofkPrDn0</t>
  </si>
  <si>
    <t>bomconsorcio
Saiba onde seu dinheiro está indo
e faça um orçamento para controlar
seus gastos. #EducaçãoFinanceira</t>
  </si>
  <si>
    <t>thiagobudni
"Acho que esse é o melhor conselho
de todos: pense constantemente
sobre como você pode fazer as coisas
melhor e questione a si mesmo."
Elon Musk #investimentos #dinheiro #mercadofinanceiro
#frasedodia #pensamentos #educaçãofinanceira #comportamento #ElonMusk
#Tesla #Twitter https://t.co/WVIhKURZOv</t>
  </si>
  <si>
    <t>tradersaed
#ganhardinheiro #investimentos
#trading #finanças #empreendedorismo
#negócios #marketingdigital #rendaextra
#dinheiro #sucesso #liberdadefinanceira
#foco #motivação #economia #investir
#oportunidades #trabalharemcasa
#dinheiroextra #independenciafinanceira
#educacaofinanceira https://t.co/tshnZVARFm</t>
  </si>
  <si>
    <t>miriammariabjj
Aí está o vídeo conforme prometido.
Demorou mas chegou! #educacaofinanceira
#investimentos #desmentindofakenews
#informação #correta #gratuita
https://t.co/kRx212H6gE</t>
  </si>
  <si>
    <t>investimentoob1
Educação Financeira &amp;amp; Oportunidades
Conheça Mais https://t.co/Sl1gXrjHe9
#diversificação #investimentoobjetivo
#investimento #rendafixa #rendavariavel
#fundosdeinvestimentos #educaçãofinanceira
https://t.co/bHx50s42Ov</t>
  </si>
  <si>
    <t>educandoseubols
Conheça todas as opções disponíveis
e tome uma decisão informada para
realizar o seu desejo de #carronovo!
#EscolhasInteligentes #FinançasPessoais
#EducandoSeuBolso</t>
  </si>
  <si>
    <t>sigler_marcia
Programa Psicanálise e você - 18/07/2023
- Acupunturista - Irineu de Araújo
https://t.co/3eAGd4uU9s https://t.co/yBwqRjVYD1
#filosofia #filosofiadevida #financaspessoais
#financeiro</t>
  </si>
  <si>
    <t>investoom
Have you ever wondered which is
the largest company in the world?
#finance #liberdadefinanceira #personalfinance
#mercadofinanceiro #finances #educacaofinanceira
#independenciafinanceira #planejamentofinanceiro
#refinance #sucessofinanceiro #financeiro
#financetips https://t.co/Y511BxDs2B</t>
  </si>
  <si>
    <t>simolinfernanda
🗣Segredinhos que os bancos não
contam, mas eu falo! 💥 #Entrevista
#tv #educacaofinanceira https://t.co/lRelvjamPH</t>
  </si>
  <si>
    <t>carlos_fagundes
Finanças com a turma da Monica
#mônica #educacaofinanceira #matematicafinanceira
https://t.co/saF0yfxgwX</t>
  </si>
  <si>
    <t>tai_follmann
Conhecer suas receitas, controlar
suas despesas e fazer escolhas
inteligentes são passos importantes
rumo ao sucesso financeiro. https://t.co/hSe6vLero7
#FinançasPessoais #GestãoFinanceira</t>
  </si>
  <si>
    <t>plataformacda
Transforme sua relação com o dinheiro
com o Curso Completo de Psicologia
Financeira. Descubra como tomar
decisões inteligentes. Inscreva-se
agora! 💰💡 #PsicologiaFinanceira
#EducaçãoFinanceira https://t.co/caAfVjKL31
https://t.co/Amsu4X9kSi</t>
  </si>
  <si>
    <t>cmc_ao
Não perca, hoje, às 13h45, na página
oficial do Instagram da CMC. https://t.co/9x405PDUje
#Angola #CMC #CMC&amp;amp;U #MercadodeCapitais
#EducaçãoFinanceira #ConcursoCientífico
https://t.co/tKj71SIg4w</t>
  </si>
  <si>
    <t>moneyraio
Independente do ano o Bitcoin continua
sendo o BITCOIN. Qualquer ano que
seja, o Bitcoin permanecerá dessa
forma, como os “Enzos”. #bitcoin
#2023 #investimento #enzo #tujaparouprapensar
#Crypto #educacaofinanceira #criancasendo
#crianca https://t.co/iFDZ9zp7LA</t>
  </si>
  <si>
    <t>pammalpari
Aprenda a escolher as melhores
estratégia https://t.co/XYzm6gK0He
via @YouTube #educaçãofinanceira
#liberdadefinanceira + https://t.co/nlhYWGqcNl...
Descubra o poder da educação financeira
e aprenda a fazer escolhas inteligentes
de investimento! Você já se perguntou
como</t>
  </si>
  <si>
    <t>_oiisaias
#Investimentos #MercadoFinanceiro
#LiberdadeGeográfica #LiberdadeFinanceira
#Oportunidades #Crescimento #Prosperidade
#Conhecimento #EducaçãoFinanceira
#TrabalhoRemoto #Flexibilidade
#Persistência #IndependênciaFinanceira
#RealizaçãoDeSonhos #ApoioProfissional</t>
  </si>
  <si>
    <t>superrico_br
Essa é a Denise Thiengo, uma de
nossas planejadoras! Se você também
quer fazer parte de nosso time
de planejadores, entre em contato
conosco. #SuperRico #finançaspessoais
#investimentos #planejadoresfinanceiros
#independênciafinanceira #SaúdeFinanceira
https://t.co/WmOZXWjQ92</t>
  </si>
  <si>
    <t>keepgrowing_
Como está a sua organização financeira?
Foque na sua evolução. #keepgrowing
#keepgrowingmentoria #makeyourfuture
#desenvolvimentopessoal #liberdadefinanceira
#liberdade #inteligenciafinanceira
#educaçãofinanceira #desenvolvimentofinanceiro
#organizaçãofinanceira https://t.co/CYY5DgK4P8</t>
  </si>
  <si>
    <t>poupex_oficial
De economia em economia, vamos
construindo juntos o seu sonho.
Se você precisar de mais dicas
financeiras, acesse o nosso blog
e vem poupar com a gente na Poupança
POUPEX, a única que oferece dividendos
e outros diferenciais exclusivos.
https://t.co/L7YHH54hsJ #EducaçãoFinanceira</t>
  </si>
  <si>
    <t>arib85
RT @mat_financeira: "A educação
financeira vem antes da prosperidade
financeira". #EducaçãoFinanceira
#ProsperidadeFinanceira #MatemáticaF…</t>
  </si>
  <si>
    <t>aleatoriando_o
O planejamento financeiro mantém
suas finanças pessoais em ordem.
Saiba mais: https://t.co/LpKZk491iB
#economiadoméstica #finançaspessoais
#gestãofinanceira #orçamentopessoal
#planejamentofinanceiro</t>
  </si>
  <si>
    <t>paladinrood
🔍 📚 Preparando-se para a economia
digital? Eduque-se e forje seu
caminho para a liberdade financeira.
Conheça o Curso Bitcoin Black Pill
e explore os diferenciais do Bitcoin
em nossa análise detalhada. #EducaçãoFinanceira
#BitcoinBlackPill https://t.co/DBJ7n733bG</t>
  </si>
  <si>
    <t>siqueirainvesti
"Investir é como plantar uma semente:
precisa de cuidado e paciência,
mas com o tempo pode dar frutos
abundantes! Escolha os investimentos
certos e mantenha-os estrategicamente
#investimento #finançaspessoais
#riquezafutura 💰🌱"</t>
  </si>
  <si>
    <t>claudiaonline
A colunista Paola Carvalho (@paolacarvalho),
especialista em #finanças, fala
sobre como a educação financeira
é fundamental para mulheres. Leia
a matéria na íntegra no link a
seguir: https://t.co/X3QVp2LuoJ
#educaçãofinanceira https://t.co/BKcaEZ70Lz</t>
  </si>
  <si>
    <t xml:space="preserve">paolacarvalho
</t>
  </si>
  <si>
    <t>lukkkkhadd
@duudaismo n vou te pagar pra tu
n se iludir assim #educacaofinanceira</t>
  </si>
  <si>
    <t xml:space="preserve">duudaismo
</t>
  </si>
  <si>
    <t>otaciotrader
📣 Ensino galera a entrar no mercado
financeiro com pouca grana no meu
Insta! Segue lá ➡️ @otaciotrader
📈💰 #MercadoFinanceiro #Investimentos
#DicasFinanceiras #EducaçãoFinanceira</t>
  </si>
  <si>
    <t>holistic_invest
The keys to your financial freedom.
Play them wisely . . . #finance
#libertadfinanciera #liberdadefinanceira
#finances #personalfinance #financetips
#mercadofinanceiro #educacionfinanciera
#educacaofinanceira #planejamentofinanceiro
#independenciafinanceira #educaçãofinanceira
https://t.co/ltpHCoycnb</t>
  </si>
  <si>
    <t>osmarangelin
Tem artigo novo no blog. Série
Resenhas: O investidor inteligente.
Confere lá, curta e compartilha
para que mais pessoas tenham acesso
ao conteúdo. #resenhadelivros #educacaofinanceira
#investimentos #oinvestidorinteligente
https://t.co/MuWd8AWG6k</t>
  </si>
  <si>
    <t>marceloamartino
Com CONHECIMENTO você tomará melhores
decisões, com respeito a área que
deseja crescer! Questione, teste
e valide. Use a melhor ferramenta
que você tem para isso: o seu cérebro!
Ele pode ser reprogramado para
uma vida de conquista. #EducacaoFinanceira
não é sobre economizar, ou</t>
  </si>
  <si>
    <t>bbank_oficial
O seu primeiro emoji representa
a sua vida financeira! Não vale
roubar, hein? 😎 #jeitobbank #independenciafinanceira
#educacaofinanceira #bancodigital
#vidafinanceira</t>
  </si>
  <si>
    <t>apencapital
😵Vários fatores contribuíram para
o aumento da inadimplência, incluindo
a crise econômica, o desemprego,
a redução do poder de compra e
a falta de educação financeira.
#financas #educacaofinanceira #inadimplenia
#investimento #economia #investidor
#grafico https://t.co/ugV1oYcttJ</t>
  </si>
  <si>
    <t>admdagripsocks
Depois de quase 10 anos tento uma
vida financeira, cometi o maior
crime nessa área. Gastei mais que
o dobro do dinheiro que entrou
no mês de abril. Espero nunca mais
repetir esse feito.😭😭😭 #educacaofinanceira
#money https://t.co/EpsCRRWio5</t>
  </si>
  <si>
    <t>kamba_rico
Como mulher Angolana, quais são
os principais desafios que enfrenta
na gestão da sua vida financeira?
https://t.co/mG06uCuEVv #educaçãofinanceira</t>
  </si>
  <si>
    <t>coopmil
Você sabia que investir na sua
#educaçãofinanceira hoje traz muitos
benefícios para sua vida a curto,
médio e longo prazo? Neste ano
irá acontecer de 15 a 21 de maio.
Então, fique de olho em nossas
redes sociais! #SicoobCOOPMIL #SemanaENEF2023
https://t.co/PYBhtL85sb</t>
  </si>
  <si>
    <t>delongevidade
Finanças pessoais. Vamos neste
artigo explorar alguns pontos que
são recorrente na vida de todos.
Iniciaremos pelos problemas financeiros
comum a maioria das pessoas. https://t.co/e1GSfb4UsE
#financaspessoais #Finance #orcamento
#gastos #planejamento</t>
  </si>
  <si>
    <t>confebras
Começou nesta segunda-feira a 10º
Semana Nacional de Educação Financeira,
a Semana ENEF, organizada pelo
Banco Central. Veja a dica do mais
jovem palestrante de finanças no
Brasil, @EricoMetzner Saiba mais
em: https://t.co/yDoSF4TeMi #educacaofinanceira
#SemanaEnef https://t.co/c3MBhZLF7i</t>
  </si>
  <si>
    <t xml:space="preserve">ericometzner
</t>
  </si>
  <si>
    <t>futurarenda2
Comece pequeno, mas comece AGORA!
Faça um orçamento, guarde pelo
menos uma parte do salário todos
os meses e invista em sua educação
financeira. Lembre-se, a jornada
para a independência financeira
começa com um passo de cada vez.
#finançaspessoais #poupar #investir"</t>
  </si>
  <si>
    <t>cdlsaocaetano
Você sabe o que educação financeira
tem a ver com crescimento econômico?
Nosso presidente, Alexandre Damásio,
te explica. #cdlsaocaetano #cdl
#GMW #GlobalMoneyWeek #GMW2023
#educaçãofinanceira #economia https://t.co/F9rnRRVPTY</t>
  </si>
  <si>
    <t>oficialbna
BNA apresenta Inquérito ao Consumidor
de Produtos e Serviços Financeiros
- 2022, destacando a importância
da educação financeira e o impacto
das boas práticas. Saiba mais em:
https://t.co/3nFC5qyb4U #BNA #educacaofinanceira
https://t.co/ZDUt8D7cLQ</t>
  </si>
  <si>
    <t>synerhgon
#Colaboradores seguros sobre sua
situação #financeira são ativo
importante para qualquer #negócio.
A #Synerhgon pode auxiliar na implementação
da Educação Financeira e Previdenciária
de colaboradores. 🌐 https://t.co/PqFEdfu5pN
📱 (11) 3825-6751 #consultoria
#educaçaofinanceira https://t.co/PCRJhTPtkw</t>
  </si>
  <si>
    <t>partiuinvestir_
Quais os cursos com mais arrependidos
#educacaofinanceira #financas #cursossuperiores
https://t.co/VfHPYsWQjA</t>
  </si>
  <si>
    <t>xymenezb
Banxico mantiene la tasa de referencia
por segunda vez. . . . . . . #invertir
#finanzas #finanzaspersonales #inversionista
#gdl #mty #cdmx #feelgood #ingresosonline
#dinero #finanzaspersonales #educacaofinanceira
#ingresosresiduales #bienesraices
#invertirenbolsa https://t.co/0dOITGmgiX</t>
  </si>
  <si>
    <t>info_smarty
“A educação formal vai fazer você
ganhar a vida. A autoeducação vai
fazer você alcançar uma fortuna.” 
Jim Rohn Estudar o mercado financeiro
é a chave para obter os melhores
resultados. 💭 #investimentos #mercadofinanceiro
#educacaofinanceira</t>
  </si>
  <si>
    <t>newsgames
Esses professores de #educacaofinanceira
precisam fazer planilha para ensinar
aos três homens mais ricos do #Brasil
como recuperar 43 bilhões de reais
pulverizados pela alta gestão da
#Americanas da qual faziam parte
por meio conselheiros apadrinhados.
https://t.co/EUw011wWOw</t>
  </si>
  <si>
    <t>sicoob
Você conhece a Semana ENEF? Tweet
1: Você sabia que investir na sua
#educaçãofinanceira hoje traz muitos
benefícios para sua vida a curto,
médio e longo prazo? 💰 É por isso
que o #Sicoob participa da #SemanaENEF,
que neste ano acontece entre 15
e 21 de maio. 🗓️ https://t.co/RUDrlPjwBa</t>
  </si>
  <si>
    <t>investspace3
Assistam meu novo vídeo: JÁ CONHECE
OS POSSÍVEIS CENÁRIOS DE UMA CRISE
ENERGÉTICA MUNDIAL? #economia #educacaofinanceira,
pelo link: https://t.co/YrnX3Oufev.
#InvestSpace #economia #gestãofinanceira
#investimentos</t>
  </si>
  <si>
    <t>pablodesanctis
Fico feliz que minha mãe esteja
interessada em investimentos depois
de ver minha experiência. É gratificante
ver que plantei uma semente aos
poucos. #investimentos #educaçãofinanceira</t>
  </si>
  <si>
    <t>dompotiguaroct
7/💡 A iniciativa foca na educação
financeira e tecnológica através
de histórias, inspirando e preparando
as pessoas para enfrentar os desafios
do mundo moderno com responsabilidade
e consciência. #EducaçãoFinanceira
#EducaçãoTecnológica #Defi</t>
  </si>
  <si>
    <t>napoleaoadv
4/6 Lembre-se, no entanto, de sempre
fazer sua pesquisa e considerar
seus objetivos e perfil de risco
antes de investir. Afinal, todo
investimento traz riscos. 📚💡
#EducaçãoFinanceira</t>
  </si>
  <si>
    <t>robertojb22
Tenha um Insight sobre reserva
financeira 😉👍 salve o post para
mais tarde . . . . . #reservafinanceira
#reserva #insight #rendafixa #financaspessoais
#roberto_jefferson.b https://t.co/CBtYZsrovC</t>
  </si>
  <si>
    <t>adrianadelucca
Minha contribuição para o Consultório
Financeiro do @valoreconomico.
Essa coluna é publicada semanalmente
com artigos sobre #finançaspessoais
e #planejamentofinanceiro por profissionais
#CFP e representa mais uma ação
da #Planejar. https://t.co/0iCOynAqr8</t>
  </si>
  <si>
    <t>domingosvascon
Com abertura do presidente do Conselho
de Administração do BTG Pactual,
André Esteves, e do CEO, Roberto
Sallouti, o BTG Talks fez um relevante
debate sobre #investimentos, negócios,
ambiente econômico e #educaçãofinanceira
. @CrypticWeb3 https://t.co/VgSgjMlFKd</t>
  </si>
  <si>
    <t xml:space="preserve">crypticweb3
</t>
  </si>
  <si>
    <t>against_state
Os EUA quebra em 20 dias #crisemundial
#grandereset #investimentos #educacaofinanceira
#dinheiro https://t.co/kmbJqQR9J0
https://t.co/Ua3rvmKa2S</t>
  </si>
  <si>
    <t>rodrigo_sivieri
“Quando nos deixamos seduzir pela
promessa de ganhos rápidos, podemos
negligenciar os riscos escondidos
por trás de decisões financeiras
apressadas.” #educacaofinanceira</t>
  </si>
  <si>
    <t>achadosdomark
#EducaçãoFinanceira #FinançasPessoais
#PlanejamentoFinanceiro #LiberdadeFinanceira
#Investimentos https://t.co/OrPmXtEQGP</t>
  </si>
  <si>
    <t>infobolsainvest
"Diversifique seus investimentos,
foque em estratégias de longo prazo
e aprenda sobre o mercado financeiro.
Investir requer paciência e conhecimento,
mas os juros compostos podem ser
poderosos aliados. Invista no seu
futuro financeiro!" #Investimentos
#EducaçãoFinanceira</t>
  </si>
  <si>
    <t>jeo1oficial
#EducaçãoFinanceira, #introduçãoAOdireito,
#ética #cidadania, #cursostécnicos,
deveriam brigar para colocar isso
na grade escolar e não coisas que,
além de não acrescentar, ainda
prejudicam, será mesmo que é defesa
da educação que essas pessoas fazem?
Forte abraço a #todos</t>
  </si>
  <si>
    <t>giovaniaandre
Seja um aprendiz eterno do jogo
do dinheiro. Invista em conhecimento,
busque oportunidades de crescimento
e colha os frutos da educação financeira.
📚💼💰 #Motivação #EducaçãoFinanceira
#Crescimento</t>
  </si>
  <si>
    <t>webtcoficial
#Webitcoin #cryptonews #notíciascriptomoedas
#bancosantander #bitcoin #btc #cripto
#criptomoedas #etf #educaçãofinanceira
#santander #investimentocripto
#moedadigital</t>
  </si>
  <si>
    <t xml:space="preserve">bscnews
</t>
  </si>
  <si>
    <t xml:space="preserve">estadaoeconomia
</t>
  </si>
  <si>
    <t>etopsaber
A falência de bancos importantes
nos Estados Unidos aumentou a demanda
por criptomoedas e, em particular,
pelo Bitcoin. https://t.co/pXqjiLkTP4
#Bitcoin #Criptomoedas #MercadoFinanceiro
#FinançasPessoais #Investimentos
#Blockchain #Economia #Bancos #etopsaber
https://t.co/U86mQ7TxCt</t>
  </si>
  <si>
    <t>ubamoz
A educação financeira é importante
no nosso cotidiano pois ajuda-nos
na gestão racional das nossas finanças.
Assista o video e veja algumas
dicas de poupança. Link: https://t.co/PdppjQM49j
#poupança #finançaspessoais #educaçãofinanceira
#investimentos #dinheiro #economia…</t>
  </si>
  <si>
    <t>alvdlima
CASAIS que NUNCA VÃO prosperar
juntos: - Escondem o quanto ganham
e gastam - Delegam a responsabilidade
financeira ao parceiro - Usam o
dinheiro para manipular o outro
Uma casa dividida nunca vai prosperar!
#educaçãofinanceira #finanças</t>
  </si>
  <si>
    <t>ludinharosa
E-book Sucesso Financeiro + Bônus
imperdível #dinheiro #educaçãofinanceira
#abundância . https://t.co/7qhphwE0jD
https://t.co/clh2F0yZUG</t>
  </si>
  <si>
    <t>lucialmeida17
Luci Almeida on Instagram: “Controle
de gastos #cartaodecredito #controledegastos
#educacaofinanceira #verde” https://t.co/4eKBhJUV4V</t>
  </si>
  <si>
    <t>iconeeditora
GANHE DINHEIRO BRINCANDO Autor(a):
Hubert Krause #GanheDinheiroBrincando
#EducaçãoFinanceira #DiversãoeLucro
#IdeiasInovadoras #CriatividadeEmpreendedora
#JogosParaNegócios #SucessoeDiversão
#EstratégiasEmpreendedoras #EmpreendedorismoCriativo
#AprendaBrincando https://t.co/2sMtgxofqf</t>
  </si>
  <si>
    <t>econefinancas
https://t.co/p61ZpXX79I #economia
#financaspessoais #impostos</t>
  </si>
  <si>
    <t>wanderdossant11
Você sabia que investir em ações
pode ser mais do que apenas um
investimento financeiro? 😮🤑👇
#mercadofinanceiro #ações #indice
#ibovespa #educaçãofinanceira #crescimentofinanceiro
#investircompropósito #jornadafinanceira
#InvestMente https://t.co/zp1QiuD8QP</t>
  </si>
  <si>
    <t>andreynousi
1/5 A importância das finanças
pessoais não pode ser subestimada.
Elas são a base para alcançarmos
nossos objetivos financeiros e
garantirmos uma vida financeira
saudável. #finançaspessoais #planejamentofinanceiro</t>
  </si>
  <si>
    <t>sageousthoughts
Can anyone tell me how can i learn
more about finance? #finance #liberdadefinanceira
#personalfinance #mercadofinanceiro
#finances #educacaofinanceira #independenciafinanceira
#planejamentofinanceiro #refinance
#sucessofinanceiro #financeiro
#financetips #inteligenciafinanceira</t>
  </si>
  <si>
    <t>shnakatani
#Dinheiro #finanças #economia #educação
#educaçãoFinanceira #crianças A
educação financeira é um assunto
muito importante a ser abordado
com as crianças. https://t.co/2MQibpejLc</t>
  </si>
  <si>
    <t>nitiele_finance
Para enriquecer vc precisar ter
comportamento e cuidar da sua grana😉
#financaspessoais #inteligenciaemocional
https://t.co/sHBvnifPD6</t>
  </si>
  <si>
    <t>manderlinyde
https://t.co/7RyY627Kg6 Link do
nosso ebook! Finalmente saiu! Uma
conversa simples,prática e descontraída
com os pais e responsáveis! #educacaofinanceira
#dinheiro #paisefilhos #financas
#consciencia #vida https://t.co/n6K6oZLRRn</t>
  </si>
  <si>
    <t>rodrigo_asena
Em #finançaspessoais, a conexão
entre #crençaslimitantes impacta
nossas vidas financeiras. Nesta
thread, mostro como certas crenças
podem nos impedir de alcançar o
sucesso financeiro e como podemos
superá-las para alcançar uma maior
estabilidade financeira. Vamos
lá! 💸💸💸💸💸</t>
  </si>
  <si>
    <t>paschefrederico
Educação financeira #educaçãofinanceira
https://t.co/9rOiVxFp4s via @YouTube</t>
  </si>
  <si>
    <t>fidocomvc
Conheça as 4 vantagens de investir
na Fido, a nova plataforma de empréstimo
entre pessoas. Veja alguns benefícios.😃👉
Venha pra Fido diversificar seus
investimentos, acesse: https://t.co/q56OmkNe6F.
#Fido #FidoComVocê #FidoComVC #VemPraFido
#EducaçãoFinanceira #Investimentos
https://t.co/HoyNZ0Es7S</t>
  </si>
  <si>
    <t>oabprevrs
Longevidade financeira é sinônimo
de equilíbrio, previsibilidade
e conforto. É a união da estabilidade
dos recursos e de uma boa #QualidadeDeVida,
durante toda sua jornada, tema
que está diretamente associado
à #EducaçãoFinanceira. Por isso,
trazemos aqui seus principais pilares.
https://t.co/tUiU0Oqwez</t>
  </si>
  <si>
    <t>wiboocria_
Os games são a chave da comunicação
com essa comunidade. Sua empresa
já está preparada para a nova geração?
#gamecoins #educacaofinanceira
#gamificação #games</t>
  </si>
  <si>
    <t>previdencianeos
Ensine seu filho(a) desde agora
a ter uma educação financeira para
lá na frente ele não se meter em
problemas. #finanças #educaçãofinanceira
https://t.co/mol9adOGAI</t>
  </si>
  <si>
    <t>jotaoliver_
O que você quer para o futuro dos
seus filhos? #educacaofinanceira
#educacao #paternidade https://t.co/reAY8A6wMI</t>
  </si>
  <si>
    <t>streladomar
Você sabe o que é taxa de inadimplência?
#TaxaDeInadimplência #ControleFinanceiro
#PlanejamentoFinanceiro #Endividamento
#SaúdeFinanceira #Crédito #Dívidas
#Negociação #FinançasPessoais #ScoreDeCrédito</t>
  </si>
  <si>
    <t>lucaspereira_ef
Fala pessoal, no vídeo de hoje
eu falo sobre o Tesouro Renda+:
Vale a pena investir?! https://t.co/hsJj5ZxK2W
via @YouTube Corre lá conferir!
#dinheiro #dinheiroextra #educaçãofinanceira
#educação #economia #investimento
#investir #titulos #titulospublicos
#dicas #inteligencia</t>
  </si>
  <si>
    <t>assembleia_al
#ALENotícias: Aprovado, em 1º turno,
projeto que inclui a "Educação
Financeira" na grade curricular
💲📈 Saiba Mais▶️https://t.co/peBy6NnzZJ
#EducaçãoFinanceira #Educação #AVozDoPovo
https://t.co/nQBkz1rVO2</t>
  </si>
  <si>
    <t>fernandokobuti
Fee Fixo sempre será o melhor?
https://t.co/BBxz86C4mO #feefixo
#feebased #remuneracao #conflitodeinteresses
#assessordeinvestimentos #consultor
#gerente #planejadorfinanceiro
#tesourodireto #educacaofinanceira</t>
  </si>
  <si>
    <t>taniamariaces
Educação financeira não é ilusão
sobre ficar milionário e sim consciência
de que se não souber administrar
o dinheiro que se tem, mesmo quando
pouco, nunca saberá administrar
o muito, quando o obter 🧠 #financaspessoais
#educacaofinanceiranasescolas #educacaofinanceira</t>
  </si>
  <si>
    <t>tiagoam80
"Gerencie suas finanças pessoais:
estabeleça metas, monitore gastos
e invista com sabedoria. O futuro
financeiro depende de decisões
conscientes agora." #FinançasPessoais
#PlanejamentoFinanceiro</t>
  </si>
  <si>
    <t>_joseamaral
#CavukaJoséAmaral #educaçãofinanceira
#comunicação #escrita #soicedade
#impactosocial #emprego #voluntariadocorporativo
#voluntariado #ubagestao #remandojuntos
#sepreparai #projetoviela #favelinhas
#oportunidades #educadores #empreendedorismo
#mercadodetr…https://t.co/w4uw8FVseh</t>
  </si>
  <si>
    <t>israelpinveste
Faça isso é vera seu dinheiro se
multiplicar. . . . #comoinvestir
#financaspessoais #gatilhosmentais
#marketingdigitalbrasil #educacaofinanceira
https://t.co/mvh898Dii9</t>
  </si>
  <si>
    <t>rsm_mz
A RSM Moçambique teve muito gosto
em receber no seu escritório a
Money Savvy Mozambique para uma
formação interna, sobre Educação
Financeira, cuja sessão foi apresentada
por Sany Weng. #RSM #RSMMZ #RSMMocambique
#TakeChargeOfChange #SmallTalks
#Formação #EducaçãoFinanceira https://t.co/TEUxAeLwBY</t>
  </si>
  <si>
    <t>finsiders2
A @mozper_br quer continuar a crescer
de forma sustentável este ano e
aumentar em 300% o número de clientes.
A matéria é do portal parceiro
Startups. #Finsiders #Startups
#fintechs #educaçãofinanceira #notícias
#negócios https://t.co/By3srF78AK</t>
  </si>
  <si>
    <t xml:space="preserve">mozper_br
</t>
  </si>
  <si>
    <t>ataorienta
#mercadodeopções #derivativos #investimentos
#educaçãofinanceira #finanças #prosperidade
#prosperidadefinanceira #liberdadefinanceira
#macroeconomia #bolsadechicago
#mercadoamericano</t>
  </si>
  <si>
    <t>guerreirasgrena
A atividade foi elaborada pelo
Departamento de Desenvolvimento
Humano junto com a Gestão de Departamento
do Futebol Feminino do clube. 📸:
Cárila Covas/Ferroviária SAF #GuerreirinhasGrenas
#EducaçaoFinanceira https://t.co/94zq7iGjGF</t>
  </si>
  <si>
    <t>oproprioailton
Concordo com o @VascodaGama. Gastos
recorrentes a gente paga a vista.
Gastos extraordinários a gente
parcela. #educacaofinanceira</t>
  </si>
  <si>
    <t xml:space="preserve">vascodagama
</t>
  </si>
  <si>
    <t>newscolina
Vasco ainda busca parcelar o repasse
dos 30% que Andrey e seus empresários
precisam receber. O CRVG fez uma
proposta para pagar em 3x, no entanto,
o volante não aceitou. Andrey quer
voltar e está disposto a aceitar
um parcelamento em 2x. 🗞️ @pedrosa
https://t.co/OBWYT1xczL</t>
  </si>
  <si>
    <t>fiinewspaper
#educaçãofinanceira https://t.co/ujMI2XmDXi</t>
  </si>
  <si>
    <t>mosaico_ed_corp
Estudo da Creditas Benefícios destacou
que 84% dos RHs estão abertos para
ouvir as dores financeiras dos
colaboradores e, para 56%, existe
uma abertura por parte dos funcionários
para iniciar a discussão com a
área.#pesquisas #dividas #saudefinanceira
#educacaofinanceira #rh #sp https://t.co/QxUvzcedIh</t>
  </si>
  <si>
    <t>tedxlisboa
💰 'Poupança é pagarem-se a vocês
primeiro.' Bárbara Barroso desvenda
os segredos das finanças e ensina-nos
a traduzir a linguagem € para decisões
práticas. Não perca no TEDxLisboa!
Saiba mais: https://t.co/aBF7yCyTbN
#TEDxLisboa #BárbaraBarroso #EducaçãoFinanceira
#Poupança https://t.co/E5dmqTv8qg</t>
  </si>
  <si>
    <t>guiccfarias
A educação financeira é crucial
para a vida das pessoas, afetando
sua eficiência no trabalho e bem-estar
geral. Sua empresa está abordando
essa questão?   Confira: https://t.co/ChWFrTkPX6.
#carreira #educaçãofinanceira #literaciafinanceira
#aposentadoria</t>
  </si>
  <si>
    <t>cultivarofuturo
Como rentabilizar sua carteira
de ações sem depender da valorização
das cotações? #rentabilidade #CSF
#CultivarSeuFuturo #investimento
#investimentos #educaçãofinanceira
#desenvolvimentopessoal #renda
#rendapassiva #dividendos #ações
#acoes https://t.co/VIVHfiiKdV
https://t.co/a9M6QKNToc</t>
  </si>
  <si>
    <t>iigorheenrique
AS ESCOLAS DEVERIAM ENSINAR EDUCAÇÃO
FINANCEIRA ! #educaçãofinanceiranasescolas
#educaçãofinanceira #financas #dinheiro
#investimentos https://t.co/e8w51q9Y85</t>
  </si>
  <si>
    <t>pixtvhd
[#EducaçãoFinanceira] Em visita
ao Brasil, a rainha máxima da Holanda
passou por Brasília, e se reuniu
com o presidente do BC, Roberto
Campos Neto. #PIXTV #PixNasRedes
#Brasília #Holanda #Rainha #Educação
#EscolasPúblicas https://t.co/tueJ7gXmvJ</t>
  </si>
  <si>
    <t>brunno_brss
Ensinar sobre a riqueza aos filhos
vai além de valores monetários;
é sobre compartilhar conhecimentos
para uma vida financeira saudável
e responsável. 💰📚 #EducaçãoFinanceira
#FilhosPreparados https://t.co/kQgzID2Fqn</t>
  </si>
  <si>
    <t>joanadarcdocar1
#Repost @cassius.stauffer Vídeo
antigo já prevendo a soltura de
mais um corrupto. #liberdadefinanceira
#rendavariavel #rendapassiva #educacaofinanceira
#investimento #independênnciafinanceira
#economia #criptomoedas #motivação
#atualidades #desenvolvimentopessoal
https://t.co/dlIvPSdHch</t>
  </si>
  <si>
    <t xml:space="preserve">cassius
</t>
  </si>
  <si>
    <t>brunoberanko
O dinheiro não traz felicidade,
mas com ele você pode ter mais
opções para alcançá-la. Invista
em sua vida financeira para ter
mais liberdade e realizações. #FinançasPessoais
#Investimento #Felicidade</t>
  </si>
  <si>
    <t>felippe_analyst
espero que acrescente de uma alguma
forma na vida de todos , agradeço
de coração nessa minha nova trajetoria
na questão da forma de passar o
conteúdo de uma simples e objetiva
Boa noite a todos Se cuidem #Ibovespa
#ibov #mercadofinanceiro #artigo
#educacaofinanceira</t>
  </si>
  <si>
    <t>jeffers54624993
Quer saber mais entre em contato
via direct. #cdb #rendafixa #investimentos
#dicasdeinvestimentos #educacaofinanceira
https://t.co/8sj2JrKlys</t>
  </si>
  <si>
    <t>teixeiracosta19
Fala pessoal!!! tem post no instagram...
Link: https://t.co/JKTc2ATBwz Conteúdo
de qualidade. Sigam a nossa página
para não perder as atualizações.
Vamos juntos aumentar essa rede
de educação financeira? #pacorabanne
#educaçãofinanceira #empreendedorismo
https://t.co/79nVM7UX5d</t>
  </si>
  <si>
    <t>mqsoulja
Foi fixe ouvir o @eucli_francisco
de novo numa vertente agora diferente
, Nigga knows what he says #FlyPodcast
#EducacaoFinanceira 🌝</t>
  </si>
  <si>
    <t xml:space="preserve">eucli_francisco
</t>
  </si>
  <si>
    <t>boqnews
#EducaçãoFinanceira Com 300 vagas
e inscrições gratuitas https://t.co/zeYRlgrelI</t>
  </si>
  <si>
    <t>papoincerto
Dicas sobre investimentos com @bixarica_
ouça completa nos apps de áudio:
https://t.co/KYqKkwgtih #ativooupassivo
#papoincerto #bixarica #educaçãoFinanceira
#lgbtpodcasters https://t.co/uTzWWi8lzL</t>
  </si>
  <si>
    <t xml:space="preserve">bixarica_
</t>
  </si>
  <si>
    <t>capanema2009
Enquanto isso, no Novo Ensino Médio...
📚👨🏾‍🏫💵 ... caso você tenha
perdido #educaçãofinanceira #cidadaniafiscal
#novoensinomédio @seeducRJ #CEJK
https://t.co/ZepgqJobKy</t>
  </si>
  <si>
    <t xml:space="preserve">seeducrj
</t>
  </si>
  <si>
    <t>padraojuridico
📣 ATENÇÃO: O salário mínimo acaba
de ser reajustado para R$ 1.320
a partir de 1º de maio de 2023!
O valor diário será de R$44, e
o valor horário, de R$ 6. Fique
por dentro de como isso impacta
sua vida e suas finanças. #SalárioMínimo
#Reajuste #FinançasPessoais https://t.co/EwmnvUhb5V</t>
  </si>
  <si>
    <t>ecomportamental
Segue novo artigo: Tesouro RendA+
como mais uma alternativa de complemento
à aposentadoria: https://t.co/XPbYVnkvfa
#tesourodireto #educacaofinanceira
#investimentos</t>
  </si>
  <si>
    <t>mrochagestor
Cuidado ao aderir ao programa #Desenrola!
Uma dica valiosa: evite contrair
novas dívidas. A bola de neve financeira
pode arruinar suas Finanças pessoais.
Seja consciente e priorize economias
inteligentes. 💰 #EducaçãoFinanceira
#Planejamento https://t.co/3dVup0taYw</t>
  </si>
  <si>
    <t>cryptosight_
E, atualmente, temos uma opção:
O Bitcoin, que foi lançado em 2008,
e possui características que o
credenciam a ser uma alternativa
opção viável de moeda ou reserva
de valor global. #CryptoSight #Crypto
#Cripto #Criptomoedas #MoedaDigital
#Bitcoin #FinançasPessoais #PoderDeCompra</t>
  </si>
  <si>
    <t>gvncorretores
Confira mais informações com nosso
Suporte Operacional e Comercial!
Não esquece de salvar esse post!
#educacaofinanceira #marcasmaisfortes
#investimentos #dinheiro #conscienciafinanceira
#voceviunagvn #beneficio #consignado
https://t.co/S6u5w4ub0Z</t>
  </si>
  <si>
    <t>financas
Conta conjunta ou separada? #financaspessoais
#dinheiro https://t.co/KwqZqIQDzW
https://t.co/mG4fFF5GQQ</t>
  </si>
  <si>
    <t>lafbraga
Recadinho desse gênio que vem revolucionando
o mundo com suas ideais! __ #investir
#financaspessoais #empreender #ação
#zonadeconforto https://t.co/5DxCBKo4bQ</t>
  </si>
  <si>
    <t>sjpf_pt
Gerir as finanças pessoais é fundamental
para os jogadores de futebol que
estão sem clube. Foi com esse objetivo
que Hugo Pinheiro, especialista
em literacia financeira, esteve
esta manhã no Campus do Jogador.
#EstágiodoJogador #EducaçãoFinanceira
https://t.co/tq8ezzIRqV</t>
  </si>
  <si>
    <t>cidtff
12.ª edição do #concurso Todos
Contam, que irá distinguir os melhores
projetos de #educaçãofinanceira
para o ano letivo de 2023/2024.
#Candidaturas até 6 outubro, 2023</t>
  </si>
  <si>
    <t>anqep
Está a decorrer, até dia 6 de out.,
a 12.ª edição do concurso Todos
Contam, que irá distinguir os melhores
projetos de educação financeira
para o ano letivo de 2023/2024.
Esta é uma iniciativa do Conselho
Nacional de Supervisores Financeiros
e do Ministério da Educação. https://t.co/53rzq4Qphk</t>
  </si>
  <si>
    <t>sergiotriathlet
@B3_Oficial Sim , Bom Dia, acho
ótimo repassar a educação financeira
para todos. #aprenderfinanças #educaçãofinanceira</t>
  </si>
  <si>
    <t>fumep
A Diretoria Executiva da FUMEP
convida funcionários, gestores,
estagiários e aprendizes a participarem
do curso de capacitação com o tema
“Finanças Pessoais”. Acesse: https://t.co/Pt6HnWe8v3
#fumep #cepp #capacitaçãofuncional
#finançaspessoais #cursosincompany
https://t.co/dv2PccHMmI</t>
  </si>
  <si>
    <t>fgveaespesquisa
Diversos estudos mostram que as
dificuldades #financeiras aumentam
o #estresse, a #ansiedade e, em
alguns casos, leva até à #depressão,
afetando também o desempenho profissional.
Leia: https://t.co/VSrbCM2IV6 #diadotrabalho
#educacaofinanceira #BlogImpacto
#DicadeLeituraFGV https://t.co/zD8Rptxdke</t>
  </si>
  <si>
    <t>anapaulahornos
Como você guia suas decisões? 🤔
“Preocupa-se com o que os outros
pensam, e você será sempre prisioneiro
deles.” Lao Tzu #atitudesconscientes
#carreira #educacaofinanceira #saudemental
#comportamento #anapaulahornos
https://t.co/ECbdDusPvy</t>
  </si>
  <si>
    <t>lam0gabriel
Com vasta experiência e conhecimento
em análise técnica e fluxo, forneço
análises precisas e confiáveis
do mercado financeiro para todos
os meus clientes. O sucesso é a
consequência das suas boas escolhas.
#analistademercado #investimentos
#finançaspessoais #cnpi https://t.co/CxE9OEw6hB</t>
  </si>
  <si>
    <t xml:space="preserve">degiro
</t>
  </si>
  <si>
    <t>aulaplusbr
Aprenda a investir na Bolsa sem
prejudicar suas finanças https://t.co/FPM2PDs807
#Diversificaçãodecarteira #educaçãofinanceira</t>
  </si>
  <si>
    <t>waupalma
"Nunca gaste dinheiro antes de
você tê-lo." &amp;gt;Thomas Jefferson
Tão simples, tão sábio e tão educativo!
#educacaofinanceira https://t.co/qCAd0zQP0h</t>
  </si>
  <si>
    <t>marcia23403
https://t.co/BlboawyKdp #eafelino
#ebramec #Ecoinovação #economia
#ecossistema #educação #educaçãofinanceira
#eg https://t.co/qNr2TqNqsI</t>
  </si>
  <si>
    <t>noticiasagora23
A ideia central da internacionalização
do PIX é formar um grupo de pagamento
instantâneo com alguns países da
América Latina, usando os formatos
do PIX Brasileiro Saiba mais: https://t.co/3h52OkbzQr
#pix #pixinternacional #finanças
#bancocentral #noticias #financaspessoais
https://t.co/SCtbDHiLok</t>
  </si>
  <si>
    <t>redacontf
E se alguém te perguntar o que
é inflação e como ela impacta nossa
vida todos os dias, você saberia
responder? Aposto que saberá depois
desse vídeo. #inflação #celic #inpg
#juros #copom #financaspessoais
#dinheiro #rendaonline #GovernoLula
https://t.co/IPCzqFxkBc</t>
  </si>
  <si>
    <t>leogaspar002
https://t.co/8Oyq4C9XOX #finançaspessoais</t>
  </si>
  <si>
    <t>bruno_kleinlein
Invista em conhecimento financeiro,
o melhor investimento que você
pode fazer é em si mesmo. #mercadofinanceiro
#investimentos #educaçãofinanceira</t>
  </si>
  <si>
    <t>rafaelaon
Mira na Independência Financeira:
Transformando sonho em propósito
https://t.co/ftEs0aqxYL Livro do
@Professormira1 em pré-venda na
amazon #educaçãofinanceira #dinheiro
#Investimentos</t>
  </si>
  <si>
    <t>carlosunrise74
Curiosidade sobre #LarissaManoela
revelada! A mesada que ela recebia
dos pais impressiona: uma quantia
que muitos não imaginariam. Descubra
o detalhe surpreendente na imagem
. 💰✨ #Curiosidades #Famosos #EducaçãoFinanceira
#TransformationTuesday https://t.co/CPpgGZSWra</t>
  </si>
  <si>
    <t>lopeseconomista
Pense e aja como um Milionário!
E o primeiro passo é ter consciência
financeira e começar a viver dentro
da sua realidade financeira. #pensecadasegundocomoummilionário
#evertonlopesinvestidor #rendapassiva
#investimentos #educaçãofinanceira
#planejamentofinanceiro https://t.co/DP4hGkYlta</t>
  </si>
  <si>
    <t>aposentandonovo
Aprendendo com o melhor! 📈 Warren
Buffett é considerado um dos maiores
investidores de todos os tempos
e seus ensinamentos podem ser valiosos
para a sua vida financeira. Acesse
o link na BIO e saiba mais. #investimentos
#warrenbuffett #finançaspessoais
https://t.co/OvLdLd1MuY</t>
  </si>
  <si>
    <t>spprevcom
Não adianta fugir! Está na hora
de encontrar e mudar os hábitos
que atrapalham a sua vida. 😉 ✅Manter
a sua saúde financeira pode começar
com pequenos passos, o planejamento
é um ótimo começo. #Prevcom #EducaçãoFinanceira
#ContaComigo https://t.co/Bl55wWm6H4</t>
  </si>
  <si>
    <t>viniciusantosa
O mercado financeiro é feito de
ciclos, e aparentemente 2023 pode
marcar o ano da plantação de recursos
em busca da colheita de riquezas.
#mercadofinanceiro #educaçãofinanceira
#mindset #criptomoedas #investimentos
https://t.co/hSxA7MWX9P</t>
  </si>
  <si>
    <t>rnainvest
Neste artigo, vamos apresentar
algumas opções para iniciantes
e as melhores práticas para obter
resultados positivos. https://t.co/36Jgzl3YB3
#Investimentos #FinançasPessoais
#RNAInvest https://t.co/EtMDKUct4i</t>
  </si>
  <si>
    <t>helder_pereirah
Reposted • @jcrispimtrader Precisamos
de educação financeira na escola!
#VereadorHelderPereira #educacaofinanceira
#paulínia em Paulínia https://t.co/qprDg6G88l</t>
  </si>
  <si>
    <t>assunitel
Dinheiro e Lei da Atração. Atraia
o Dinheiro para sua Vida, com essas
2 ... https://t.co/ttD4JU5Lis via
@YouTube #dinheiro #finançaspessoais
#finanças #seudinheiro #atrairdinheiro
#comoatrairdinheiro</t>
  </si>
  <si>
    <t>m_milionarios
👁⏫De olho nos movimentos milionários!
Aprenda com os melhores e alcance
novos patamares na sua jornada
financeira. 💪📈 #Milionarios #EducacaoFinanceira
#Investimentos</t>
  </si>
  <si>
    <t xml:space="preserve">pedrosa
</t>
  </si>
  <si>
    <t>rafaelporcari
#ECONOMIA - Sobre #EducaçãoFinanceira
na #Páscoa, Em: https://t.co/zMkOmn6q6C
.</t>
  </si>
  <si>
    <t>canalbussola
App para controlar mesada dos filhos
atinge 400 mil downloads em 10
meses. Com o Mozper, pais podem
estabelecer regras de gastos para
o dinheiro mensal dos filhos. Saiba
mais https://t.co/ZeK8KSBZtg .
📷 Freepik #Bussola #EducacaoFinanceira
#Mozper #Financas https://t.co/Dk4MdJKRLF</t>
  </si>
  <si>
    <t>made_hits
Quando alguém diz que ser investidor
da quebrada é fácil... Eu:....🤣💸
#financaspessoais #oportunidades
#empresarios #dinheiroextra #empresas
#quebrada #dosquebradas #quebradavenceu
#podcastshow #newpodcast #podcast
#reelsmemes #viral #fyp #trendingvideos
#viralposts https://t.co/r8tcMYnBmM</t>
  </si>
  <si>
    <t>edimosip
RT @leiamoneytimes: Nubank antecipa
saques do FGTS #Empresas #FeedPrincipal
#FinançasPessoais https://t.co/5ixIVypQry</t>
  </si>
  <si>
    <t>romulobuniziol
Assim, caso haja uma redução compulsoria
"canetada", teremos consequências,
tais como: #politica #investimento
#economia #educacaofinanceira #dolar
#bancocentral</t>
  </si>
  <si>
    <t>robsondionisio1
Gostaria de agradecer ao @InstitutoSicoob
por me conceder essa oportunidade
dando palco e incentivando um tema
tão importante. #semanaenef #educacaofinanceira
#resiliência #institutosicoob #oportunidade</t>
  </si>
  <si>
    <t>thembaniafrica
Se precisar de ajuda ou mais informações,
entre em contacto com a Thembani
Africa. #dinheiroeletronico #thembani
#thembaniafrica #mocambique #alfabetizaçãofinanceira
#educacaofinanceira #literaciafinanceira
https://t.co/g6FCXgirFw</t>
  </si>
  <si>
    <t>andrenegociosbr
📈 Invista em seu conhecimento
financeiro. Quanto mais você aprender
sobre investimentos, mais preparado
estará para tomar decisões inteligentes
e obter melhores retornos. #EducaçãoFinanceira
#Investimentos</t>
  </si>
  <si>
    <t>allan_arthuur
🌟 Compartilhe essas preciosas
lições com seus amigos e familiares.
💬💡 Juntos, podemos construir
uma comunidade financeira mais
forte e inteligente! 💪🤝 🔗 #Riqueza
#EducaçãoFinanceira #Babilônia
#SucessoFinanceiro #Prosperidade</t>
  </si>
  <si>
    <t>edgartolara
Conoces algunas ventas y desventajas
de la #inteligencia #artificial
#venezuela #barquisimeto #tecnologia
#innovation #bitcoins #markentingdigital
#finanzas #educacaofinanceira https://t.co/msddFuiIXW</t>
  </si>
  <si>
    <t>aprenderapoupar
Equilibrar receitas e despesas
é essencial para uma vida financeira
saudável. Priorize gastos essenciais,
economize para objetivos de longo
prazo e evite dívidas desnecessárias.
#FinançasPessoais #Poupar</t>
  </si>
  <si>
    <t>gabinetedarma
Você sabia que o crédito rotativo
pode se tornar uma bola de neve
financeira? Não deixe que isso
aconteça com você! Leia nosso artigo
e aprenda a usar o crédito rotativo
de forma inteligente. #CréditoRotativo
#FinançasPessoais #EducaçãoFinanceira
https://t.co/oGs6lkIl2i</t>
  </si>
  <si>
    <t>casadeinvest
"Investiria o seu dinheiro em ações?
Não? Perdeu a oportunidade de multiplicar
o seu capital por 10." #finançaspessoais
#investimentos #valueinvesting
#poupança #ações #casadeinvestimentos
#saveandgrow #ppr https://t.co/1yGJrpo1nw</t>
  </si>
  <si>
    <t>egsinvestiment2
🚴♂Você aprendeu andar de bicicleta
lendo um manual? 👇Clique no link
e descubra a conquista da sua liberdade
financeira👇 https://t.co/6Z42ZQptAJ
#investimentos #educaçãofinanceira
#melhoresinvestimentos #liberdadefinanceira
#independenciafinanceira #mentoria
https://t.co/poaOJFDS0s</t>
  </si>
  <si>
    <t>alyson_davalle
O Poder dos juros compostos https://t.co/yM1SNfXGuk
via @YouTube O juros é pior vilão
que um endividado pode ter, mas
ele também pode ser o seu maior
aliado sabe porque? Veja este vídeo!
#educacaofinanceira #juroscompostos
#rendapassiva</t>
  </si>
  <si>
    <t>contas_online
Preparado para controlar suas finanças
e finalmente quitar suas dívidas?
Confira como! 📚 #FinançasPessoais
#PlanejamentoFinanceiro #ContasOnline
#PagarDívidas https://t.co/X0SrzBsdC4</t>
  </si>
  <si>
    <t>reidopendrive
💙 #educacaofinanceira #educacoinfantil
#empreendedorismo https://t.co/n2MCrDaKKP</t>
  </si>
  <si>
    <t>caixettanayara
Não é sobre quanto você ganha.
É sobre saber como administrar
o que você tem. #finanças #educaçãofinanceira
#organizaçãofinanceira https://t.co/fNMsh2YHGl</t>
  </si>
  <si>
    <t>hdiasboss
"Invista em seu conhecimento financeiro!
Aprenda sobre orçamento, poupança
e investimentos. Quanto mais você
sabe, melhor suas decisões. Educação
financeira é o caminho para uma
vida financeira sólida e próspera.
💰💡 #EducaçãoFinanceira #Investimentos
#Orçamento" https://t.co/D9htJ7g7ST</t>
  </si>
  <si>
    <t>marcosefmarinho
A psicologia financeira pode ajudar
a compreender e controlar suas
emoções relacionadas ao dinheiro,
o que pode levar a decisões financeiras
mais sábias e um estilo de vida
financeiro mais saudável. #PsicologiaFinanceira
#FinançasPessoais #EducaçãoFinanceira</t>
  </si>
  <si>
    <t>centralnath
VEIO AÍ, NATH CRIANÇAS 💰 O livro
"O Plano Perfeito" foi criado por
Nath Finanças e Ziraldo para ensinar,
divertir e acolher os pequenos
durante todo o processo de descoberta
do universo das finanças. 📚 Garanta
já o seu na pré-venda: https://t.co/Wt1PLG8xuY
https://t.co/EvP6QqEcAz</t>
  </si>
  <si>
    <t>fee_sa
Deveria ser matéria obrigatória
desde o ensino fundamental!! #educacaofinanceira</t>
  </si>
  <si>
    <t>grafistasclub
O vídeo de hoje esclarece meu trabalho
e método de ensino: https://t.co/V8mySuikJ4
#analisegrafica #analisetecnica
#grafistas #mercadofinanceiro #bolsadevalores
#trade #trader #educacaofinanceira
#educaçãofinanceira</t>
  </si>
  <si>
    <t>trusteduca
Veja esta publicação do Instagram
de @trust.educacaofinanceira https://t.co/t87eBvvGcf
Dica de leitura - Livro Foco |
Daniel Goleman, PhD</t>
  </si>
  <si>
    <t xml:space="preserve">fgc_br
</t>
  </si>
  <si>
    <t xml:space="preserve">undime
</t>
  </si>
  <si>
    <t xml:space="preserve">institutosicoob
</t>
  </si>
  <si>
    <t>chicosabetudo
💳 Endividamento entre jovens:
O cartão de crédito é o vilão!
Descubra por quê e como se prevenir
no #portalchicosabetudo. 👉 Leia
mais em nosso site! #finanças #educaçãofinanceira
#dívidas https://t.co/01YAPc0TDB</t>
  </si>
  <si>
    <t>GraphSource░TwitterSearch3▓GraphTerm░(educaçãofinanceira OR finançaspessoais OR #educaçãofinanceira OR #educacaofinanceira)▓ImportDescription░The graph represents a network of 912 Twitter users whose recent tweets contained "(educaçãofinanceira OR finançaspessoais OR #educaçãofinanceira OR #educacaofinanceira)", or who were replied to, mentioned, retweeted or quoted in those tweets, taken from a data set limited to a maximum of 6.000 tweets, tweeted between 01/01/2023 14:37:37 and 13/09/2023 14:37:37.  The network was obtained from Twitter on Wednesday, 13 September 2023 at 20:23 UTC._x000D_
_x000D_
The tweets in the network were tweeted over the 266-day, 6-hour, 30-minute period from Wednesday, 21 December 2022 at 11:53 UTC to Wednesday, 13 September 2023 at 18:23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above.▓ImportSuggestedTitle░(educaçãofinanceira OR finançaspessoais OR #educaçãofinanceira OR #educacaofinanceira) Twitter NodeXL SNA Map and Report for quarta-feira, 13 setembro 2023 at 16:38 UTC▓ImportSuggestedFileNameNoExtension░2023-09-13 16-38-11 NodeXL Twitter Search (educaçãofinanceira OR finançaspessoais OR #educaçãofinanceira OR #educacaofinanceira)</t>
  </si>
  <si>
    <t>Directed</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</si>
  <si>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</si>
  <si>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</si>
  <si>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</si>
  <si>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</si>
  <si>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</si>
  <si>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</si>
  <si>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</si>
  <si>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</si>
  <si>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</si>
  <si>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</si>
  <si>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</si>
  <si>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</si>
  <si>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</si>
  <si>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</si>
  <si>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</si>
  <si>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</si>
  <si>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</si>
  <si>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</si>
  <si>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1.0.1.521</t>
  </si>
  <si>
    <t>TwitterSearch3</t>
  </si>
  <si>
    <t>(educaçãofinanceira OR finançaspessoais OR #educaçãofinanceira OR #educacaofinanceira)</t>
  </si>
  <si>
    <t>The graph represents a network of 912 Twitter users whose recent tweets contained "(educaçãofinanceira OR finançaspessoais OR #educaçãofinanceira OR #educacaofinanceira)", or who were replied to, mentioned, retweeted or quoted in those tweets, taken from a data set limited to a maximum of 6.000 tweets, tweeted between 01/01/2023 14:37:37 and 13/09/2023 14:37:37.  The network was obtained from Twitter on Wednesday, 13 September 2023 at 20:23 UTC._x000D_
_x000D_
The tweets in the network were tweeted over the 266-day, 6-hour, 30-minute period from Wednesday, 21 December 2022 at 11:53 UTC to Wednesday, 13 September 2023 at 18:23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</si>
  <si>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</si>
  <si>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</si>
  <si>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</si>
  <si>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</si>
  <si>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</si>
  <si>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</si>
  <si>
    <t>&lt;?xml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&lt;value&gt;PageRank, OverallMetrics&lt;/value&gt;_x000D_
      &lt;/setting&gt;_x000D_
    &lt;/GraphMetricUserSettings&gt;_x000D_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</si>
</sst>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border outline="0">
        <left style="thin">
          <color theme="0"/>
        </left>
      </border>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639-4B54-9D44-B2333BE2BB06}"/>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FFE-4294-9B5A-84C3838C347C}"/>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C3C-47AC-89D5-312CBA33B415}"/>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723-40A3-824A-720FD12A2636}"/>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773-4726-93C6-D8C062CD2032}"/>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1C4-41CF-9E42-B08FE3D3E61A}"/>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5F2-4872-B3AC-843511800B44}"/>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4</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4</c:v>
                </c:pt>
                <c:pt idx="1">
                  <c:v>0</c:v>
                </c:pt>
                <c:pt idx="2">
                  <c:v>0</c:v>
                </c:pt>
                <c:pt idx="3">
                  <c:v>0</c:v>
                </c:pt>
                <c:pt idx="4">
                  <c:v>0</c:v>
                </c:pt>
                <c:pt idx="5">
                  <c:v>0</c:v>
                </c:pt>
                <c:pt idx="6">
                  <c:v>0</c:v>
                </c:pt>
                <c:pt idx="7">
                  <c:v>0</c:v>
                </c:pt>
                <c:pt idx="8">
                  <c:v>0</c:v>
                </c:pt>
                <c:pt idx="9">
                  <c:v>5</c:v>
                </c:pt>
                <c:pt idx="10">
                  <c:v>120</c:v>
                </c:pt>
                <c:pt idx="11">
                  <c:v>737</c:v>
                </c:pt>
                <c:pt idx="12">
                  <c:v>26</c:v>
                </c:pt>
                <c:pt idx="13">
                  <c:v>7</c:v>
                </c:pt>
                <c:pt idx="14">
                  <c:v>4</c:v>
                </c:pt>
                <c:pt idx="15">
                  <c:v>1</c:v>
                </c:pt>
                <c:pt idx="16">
                  <c:v>1</c:v>
                </c:pt>
                <c:pt idx="17">
                  <c:v>1</c:v>
                </c:pt>
                <c:pt idx="18">
                  <c:v>2</c:v>
                </c:pt>
                <c:pt idx="19">
                  <c:v>1</c:v>
                </c:pt>
                <c:pt idx="20">
                  <c:v>0</c:v>
                </c:pt>
                <c:pt idx="21">
                  <c:v>0</c:v>
                </c:pt>
                <c:pt idx="22">
                  <c:v>0</c:v>
                </c:pt>
                <c:pt idx="23">
                  <c:v>1</c:v>
                </c:pt>
                <c:pt idx="24">
                  <c:v>0</c:v>
                </c:pt>
                <c:pt idx="25">
                  <c:v>0</c:v>
                </c:pt>
                <c:pt idx="26">
                  <c:v>0</c:v>
                </c:pt>
                <c:pt idx="27">
                  <c:v>0</c:v>
                </c:pt>
                <c:pt idx="28">
                  <c:v>1</c:v>
                </c:pt>
                <c:pt idx="29">
                  <c:v>0</c:v>
                </c:pt>
                <c:pt idx="30">
                  <c:v>0</c:v>
                </c:pt>
                <c:pt idx="31">
                  <c:v>0</c:v>
                </c:pt>
                <c:pt idx="32">
                  <c:v>0</c:v>
                </c:pt>
                <c:pt idx="33">
                  <c:v>0</c:v>
                </c:pt>
                <c:pt idx="34">
                  <c:v>1</c:v>
                </c:pt>
              </c:numCache>
            </c:numRef>
          </c:val>
          <c:extLst>
            <c:ext xmlns:c16="http://schemas.microsoft.com/office/drawing/2014/chart" uri="{C3380CC4-5D6E-409C-BE32-E72D297353CC}">
              <c16:uniqueId val="{00000000-9BFD-47E6-B9CC-A28703C7D3E6}"/>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8C4B-4FDD-8B07-09C050A4225E}"/>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3063" totalsRowShown="0" headerRowDxfId="184" dataDxfId="125">
  <autoFilter ref="A2:BI3063" xr:uid="{00000000-0009-0000-0100-000001000000}"/>
  <tableColumns count="61">
    <tableColumn id="1" xr3:uid="{00000000-0010-0000-0000-000001000000}" name="Vertex 1" dataDxfId="104" dataCellStyle="NodeXL Required"/>
    <tableColumn id="2" xr3:uid="{00000000-0010-0000-0000-000002000000}" name="Vertex 2" dataDxfId="102" dataCellStyle="NodeXL Required"/>
    <tableColumn id="3" xr3:uid="{00000000-0010-0000-0000-000003000000}" name="Color" dataDxfId="103"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101" dataCellStyle="NodeXL Other Column"/>
    <tableColumn id="15" xr3:uid="{0833CE5D-8F84-4D1C-9004-60ECFC985F6A}" name="Relationship" dataDxfId="100" dataCellStyle="Normal"/>
    <tableColumn id="16" xr3:uid="{412A0731-3A20-43D8-9836-A148CA7AADEF}" name="Relationship Date (UTC)" dataDxfId="99" dataCellStyle="Normal"/>
    <tableColumn id="17" xr3:uid="{26B0AF11-228B-4631-8F89-16D99890C838}" name="Tweet" dataDxfId="98" dataCellStyle="Normal"/>
    <tableColumn id="18" xr3:uid="{1F073AC6-CACC-46CC-A997-C28379F577E4}" name="Retweet Count" dataDxfId="97" dataCellStyle="Normal"/>
    <tableColumn id="19" xr3:uid="{F138D350-111B-450B-80CA-F1D5B6351E61}" name="Favorite Count" dataDxfId="96" dataCellStyle="Normal"/>
    <tableColumn id="20" xr3:uid="{DA5C5CDC-C12A-4598-9D06-7C5E0B111360}" name="Reply Count" dataDxfId="95" dataCellStyle="Normal"/>
    <tableColumn id="21" xr3:uid="{F34AC438-74D8-4BB5-A227-74C12AD640AC}" name="Quote Count" dataDxfId="94" dataCellStyle="Normal"/>
    <tableColumn id="22" xr3:uid="{4AC6EF1D-80B5-446C-891B-2301F63BF6D3}" name="Impression Count" dataDxfId="93" dataCellStyle="Normal"/>
    <tableColumn id="23" xr3:uid="{5A0C59BA-E5A1-40DF-9677-4CF27A66515E}" name="Hashtags in Tweet" dataDxfId="92" dataCellStyle="Normal"/>
    <tableColumn id="24" xr3:uid="{1AD58119-D491-4FC2-877D-24C26B0F4484}" name="URLs in Tweet" dataDxfId="91" dataCellStyle="Normal"/>
    <tableColumn id="25" xr3:uid="{78F30684-510E-463E-ABAE-2AEF806273D3}" name="Domains in Tweet" dataDxfId="90" dataCellStyle="Normal"/>
    <tableColumn id="26" xr3:uid="{DEE7E0DF-0931-45FE-B534-2DDAD2000C2C}" name="Mentions in Tweet" dataDxfId="89" dataCellStyle="Normal"/>
    <tableColumn id="27" xr3:uid="{A1B7BE5B-B80A-4C05-87AE-E06EA7E7425C}" name="Media in Tweet" dataDxfId="88" dataCellStyle="Normal"/>
    <tableColumn id="28" xr3:uid="{5D28B40E-FC76-407B-9FC8-416DD016ADD0}" name="Media Type" dataDxfId="87" dataCellStyle="Normal"/>
    <tableColumn id="29" xr3:uid="{B79418D2-05CC-43B2-8806-A6BA9261D18F}" name="Source" dataDxfId="86" dataCellStyle="Normal"/>
    <tableColumn id="30" xr3:uid="{DD0350D8-170D-4CD1-8EFA-8539977AD073}" name="Language" dataDxfId="85" dataCellStyle="Normal"/>
    <tableColumn id="31" xr3:uid="{B2E237B8-0D16-47D2-A079-322A60BA4EB4}" name="Twitter Page for Tweet" dataDxfId="84" dataCellStyle="Normal"/>
    <tableColumn id="32" xr3:uid="{4B1B0B6B-7EE4-4957-9324-046C07B7D729}" name="Tweet Date (UTC)" dataDxfId="83" dataCellStyle="Normal"/>
    <tableColumn id="33" xr3:uid="{0C016EB2-15C5-40E4-A43F-1E958945E24A}" name="Date" dataDxfId="82" dataCellStyle="Normal"/>
    <tableColumn id="34" xr3:uid="{83F0C1C5-336D-4D24-AA0A-C5533F3CCABD}" name="Time" dataDxfId="81" dataCellStyle="Normal"/>
    <tableColumn id="35" xr3:uid="{1A92096F-C187-48BA-9302-D5D17A900508}" name="Possibly Sensitive" dataDxfId="80" dataCellStyle="Normal"/>
    <tableColumn id="36" xr3:uid="{99AEE767-3BA1-498B-B94E-BAE12F5F1D84}" name="Place Bounding Box" dataDxfId="79" dataCellStyle="Normal"/>
    <tableColumn id="37" xr3:uid="{DD22DB32-889A-44A9-837C-4C794C00941D}" name="Place Country" dataDxfId="78" dataCellStyle="Normal"/>
    <tableColumn id="38" xr3:uid="{64C86E63-9F0F-4902-B390-2431C0EA4E42}" name="Place Country Code" dataDxfId="77" dataCellStyle="Normal"/>
    <tableColumn id="39" xr3:uid="{B2065A08-5C2B-4F61-BD2F-760B79CEEF31}" name="Place Full Name" dataDxfId="76" dataCellStyle="Normal"/>
    <tableColumn id="40" xr3:uid="{D0F5D13B-F332-4218-AB15-0DEF97643A77}" name="Place ID" dataDxfId="75" dataCellStyle="Normal"/>
    <tableColumn id="41" xr3:uid="{6C1D88AC-C8B4-4136-AB1E-91444E117FCB}" name="Place Name" dataDxfId="74" dataCellStyle="Normal"/>
    <tableColumn id="42" xr3:uid="{891FF834-2689-4AD9-83A3-9340F6A92BF4}" name="Place Type" dataDxfId="73" dataCellStyle="Normal"/>
    <tableColumn id="43" xr3:uid="{9319BC42-7CDC-4A18-B161-F16328338BCF}" name="Media Key" dataDxfId="72" dataCellStyle="Normal"/>
    <tableColumn id="44" xr3:uid="{0213B2B3-28FF-4D58-8F4A-EDF823297775}" name="Media Duration (ms)" dataDxfId="71" dataCellStyle="Normal"/>
    <tableColumn id="45" xr3:uid="{0D622DD7-8DD9-46D8-8119-D14E2105F2A1}" name="Media Height" dataDxfId="70" dataCellStyle="Normal"/>
    <tableColumn id="46" xr3:uid="{A62AC18F-D6AA-4FD3-B770-83D4D4C3A591}" name="Media Width" dataDxfId="69" dataCellStyle="Normal"/>
    <tableColumn id="47" xr3:uid="{3C62C643-9B50-40D2-A4F4-C3D0C5793B37}" name="Media View Count" dataDxfId="68" dataCellStyle="Normal"/>
    <tableColumn id="48" xr3:uid="{92B22AC9-DF28-4033-BA2A-BCACFA33D41E}" name="Tweet Image File" dataDxfId="67" dataCellStyle="Normal"/>
    <tableColumn id="49" xr3:uid="{3A08F833-EFF5-4C03-83C9-770977E37241}" name="Imported ID" dataDxfId="66" dataCellStyle="Normal"/>
    <tableColumn id="50" xr3:uid="{EE4EBBAD-4559-4396-993E-96A133E9D9B1}" name="Conversation ID" dataDxfId="65" dataCellStyle="Normal"/>
    <tableColumn id="51" xr3:uid="{626E4C94-37F6-4C1B-AECB-DF4CFBEA5E2E}" name="In Reply To User ID" dataDxfId="64" dataCellStyle="Normal"/>
    <tableColumn id="52" xr3:uid="{52914D60-AAC8-4882-80A9-DBC348259CCF}" name="In Reply To Tweet ID" dataDxfId="63" dataCellStyle="Normal"/>
    <tableColumn id="53" xr3:uid="{99CB5552-C2C8-4192-8494-A3AAFC686FB2}" name="Quoted Status ID" dataDxfId="62" dataCellStyle="Normal"/>
    <tableColumn id="54" xr3:uid="{F3BF7DCF-4DC4-44C7-8008-C9E8E9633511}" name="Retweet ID" dataDxfId="61" dataCellStyle="Normal"/>
    <tableColumn id="55" xr3:uid="{5A0B1017-9A1B-498D-85FA-BD13E13F586B}" name="Unified Twitter ID" dataDxfId="60" dataCellStyle="Normal"/>
    <tableColumn id="56" xr3:uid="{AF403CDB-542C-4DA5-AAB8-FEC5FA31775D}" name="Author ID" dataDxfId="59" dataCellStyle="Normal"/>
    <tableColumn id="57" xr3:uid="{3591984F-630E-4E06-BE7D-04835B5B74E1}" name="Poll ID" dataDxfId="58" dataCellStyle="Normal"/>
    <tableColumn id="58" xr3:uid="{060CFD23-5DFC-476E-8333-22D8BD4FD3CA}" name="Poll Options" dataDxfId="57" dataCellStyle="Normal"/>
    <tableColumn id="59" xr3:uid="{A33DB38A-9449-433F-A053-212ED127EEBC}" name="Poll Duration" dataDxfId="56" dataCellStyle="Normal"/>
    <tableColumn id="60" xr3:uid="{B1C79EC9-D810-429D-A0E1-4C6D9F03D0B3}" name="Poll End Date" dataDxfId="55" dataCellStyle="Normal"/>
    <tableColumn id="61" xr3:uid="{D3E946DE-1104-4A79-834B-AE304024AFB9}" name="Poll Voting Status" dataDxfId="54"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914" totalsRowShown="0" headerRowDxfId="183" dataDxfId="105">
  <autoFilter ref="A2:BO914"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7" dataCellStyle="NodeXL Visual Property"/>
    <tableColumn id="7" xr3:uid="{00000000-0010-0000-0100-000007000000}" name="Image File" dataDxfId="15" dataCellStyle="NodeXL Visual Property"/>
    <tableColumn id="3" xr3:uid="{00000000-0010-0000-0100-000003000000}" name="Visibility" dataDxfId="16"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11" dataCellStyle="NodeXL Label"/>
    <tableColumn id="8" xr3:uid="{00000000-0010-0000-0100-000008000000}" name="Tooltip" dataDxfId="9" dataCellStyle="NodeXL Label"/>
    <tableColumn id="18" xr3:uid="{00000000-0010-0000-0100-000012000000}" name="Layout Order" dataDxfId="10"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2" dataCellStyle="NodeXL Graph Metric"/>
    <tableColumn id="15" xr3:uid="{00000000-0010-0000-0100-00000F000000}" name="PageRank" dataDxfId="0" dataCellStyle="NodeXL Graph Metric"/>
    <tableColumn id="27" xr3:uid="{00000000-0010-0000-0100-00001B000000}" name="Clustering Coefficient" dataDxfId="1" dataCellStyle="NodeXL Graph Metric"/>
    <tableColumn id="29" xr3:uid="{00000000-0010-0000-0100-00001D000000}" name="Reciprocated Vertex Pair Ratio" dataDxfId="108" dataCellStyle="NodeXL Graph Metric"/>
    <tableColumn id="11" xr3:uid="{00000000-0010-0000-0100-00000B000000}" name="ID" dataDxfId="107" dataCellStyle="NodeXL Do Not Edit"/>
    <tableColumn id="28" xr3:uid="{00000000-0010-0000-0100-00001C000000}" name="Dynamic Filter" dataDxfId="106" dataCellStyle="NodeXL Do Not Edit"/>
    <tableColumn id="17" xr3:uid="{00000000-0010-0000-0100-000011000000}" name="Add Your Own Columns Here" dataDxfId="53" dataCellStyle="NodeXL Other Column"/>
    <tableColumn id="30" xr3:uid="{5A92E915-992F-4732-A147-DC1CDBF11646}" name="Name" dataDxfId="52" dataCellStyle="Normal"/>
    <tableColumn id="31" xr3:uid="{680E8031-988A-4ABC-9514-D1E33DBB2A86}" name="User ID" dataDxfId="51" dataCellStyle="Normal"/>
    <tableColumn id="32" xr3:uid="{91120F9C-9013-4EFA-BD73-E7E2DC78F3D0}" name="Followers" dataDxfId="50" dataCellStyle="Normal"/>
    <tableColumn id="33" xr3:uid="{0095D79E-69E7-4637-B397-F52A53914BE3}" name="Followed" dataDxfId="49" dataCellStyle="Normal"/>
    <tableColumn id="34" xr3:uid="{2364F6FD-1880-4581-96D9-8D84D39F824B}" name="Tweets" dataDxfId="48" dataCellStyle="Normal"/>
    <tableColumn id="35" xr3:uid="{EF8C7FB5-50D1-470C-8F87-D7B7FA294F48}" name="Listed Count" dataDxfId="47" dataCellStyle="Normal"/>
    <tableColumn id="36" xr3:uid="{ADFD3FD3-762D-4A19-B153-0FE87C05D1DD}" name="Favourites Count" dataDxfId="46" dataCellStyle="Normal"/>
    <tableColumn id="37" xr3:uid="{E9148D74-12D7-42E2-BB65-BE04BC1FA586}" name="Media Count" dataDxfId="45" dataCellStyle="Normal"/>
    <tableColumn id="38" xr3:uid="{222C453B-7CC6-44E2-A063-CA7D30996194}" name="Verified" dataDxfId="44" dataCellStyle="Normal"/>
    <tableColumn id="39" xr3:uid="{D423AF88-813C-48C4-9180-1194869BFEF8}" name="Joined Twitter Date (UTC)" dataDxfId="43" dataCellStyle="Normal"/>
    <tableColumn id="40" xr3:uid="{ED0A77E1-A339-4DF9-B0C3-30B0FCB9D3B5}" name="Location" dataDxfId="42" dataCellStyle="Normal"/>
    <tableColumn id="41" xr3:uid="{AA135879-890F-4B62-A76D-E2729367A78C}" name="Description" dataDxfId="41" dataCellStyle="Normal"/>
    <tableColumn id="42" xr3:uid="{BF0274D7-A07D-456A-81B9-82E30697771E}" name="URLs (Details)" dataDxfId="40" dataCellStyle="Normal"/>
    <tableColumn id="43" xr3:uid="{BFF0568D-BD9B-4A9B-990A-0CEE2A28998F}" name="Expanded URLs (Details)" dataDxfId="39" dataCellStyle="Normal"/>
    <tableColumn id="44" xr3:uid="{C7209789-1CC5-4EB3-B94F-EAA526C32CD0}" name="Display URLs (Details)" dataDxfId="38" dataCellStyle="Normal"/>
    <tableColumn id="45" xr3:uid="{2724FE12-B12B-4ADE-A51C-D19178ADA690}" name="Description URLs (Details)" dataDxfId="37" dataCellStyle="Normal"/>
    <tableColumn id="46" xr3:uid="{633A004C-C3EE-4271-964A-438856B70668}" name="Description Expanded URLs (Details)" dataDxfId="36" dataCellStyle="Normal"/>
    <tableColumn id="47" xr3:uid="{73BEB914-847A-4729-A234-FDAC67515C7D}" name="Description Display URLS (Details)" dataDxfId="35" dataCellStyle="Normal"/>
    <tableColumn id="48" xr3:uid="{83BC1F3F-34EA-4EA1-8482-052CC0788F7A}" name="Pinned Tweet ID" dataDxfId="34" dataCellStyle="Normal"/>
    <tableColumn id="49" xr3:uid="{9CA5E511-2105-4F17-A600-0C5BD71E9195}" name="URL" dataDxfId="33" dataCellStyle="Normal"/>
    <tableColumn id="50" xr3:uid="{4B3DA03D-68F9-4418-9EB8-2E5FCF49A7E6}" name="Is Blue Verified" dataDxfId="32" dataCellStyle="Normal"/>
    <tableColumn id="51" xr3:uid="{21B89AF2-30B2-4658-8665-CC5F2E33C7A5}" name="You Are Followed By" dataDxfId="31" dataCellStyle="Normal"/>
    <tableColumn id="52" xr3:uid="{4F96243B-A697-42F7-80DC-D5FCF8AE8D58}" name="You Are Following" dataDxfId="30" dataCellStyle="Normal"/>
    <tableColumn id="53" xr3:uid="{53892097-CF0B-49FA-B211-531F1C010F7C}" name="Can DM" dataDxfId="29" dataCellStyle="Normal"/>
    <tableColumn id="54" xr3:uid="{0FB670B8-B311-48CE-AEC2-860BF2C08F76}" name="Can Media Tag" dataDxfId="28" dataCellStyle="Normal"/>
    <tableColumn id="55" xr3:uid="{ABEE3049-43A7-46B0-8178-58658F5ADA77}" name="Default Profile" dataDxfId="27" dataCellStyle="Normal"/>
    <tableColumn id="56" xr3:uid="{8C9A4401-982E-4259-A5A2-BE4CF22B289A}" name="Default Profile Image" dataDxfId="26" dataCellStyle="Normal"/>
    <tableColumn id="57" xr3:uid="{4A90EE0D-690E-4B8A-BCFC-063C9E208ACF}" name="Has Custom Timelines" dataDxfId="25" dataCellStyle="Normal"/>
    <tableColumn id="58" xr3:uid="{CB92B34C-5BC5-4DB8-95C9-9C3F71E19EF8}" name="Is Translator" dataDxfId="24" dataCellStyle="Normal"/>
    <tableColumn id="59" xr3:uid="{79CBFA22-C287-4411-A1CA-594CA95263D2}" name="Possibly Sensitive" dataDxfId="23" dataCellStyle="Normal"/>
    <tableColumn id="60" xr3:uid="{C34D7439-5039-4844-B3CD-AC7E873DA688}" name="Profile Banner URL" dataDxfId="22" dataCellStyle="Normal"/>
    <tableColumn id="61" xr3:uid="{D22E2CD6-1649-4C70-AFFD-6523CCE64DDF}" name="Profile Interstitial Type" dataDxfId="21" dataCellStyle="Normal"/>
    <tableColumn id="62" xr3:uid="{2CA7400A-8459-42BE-8E51-B75A1335A9AA}" name="Translator Type" dataDxfId="20" dataCellStyle="Normal"/>
    <tableColumn id="63" xr3:uid="{E34D6905-5529-4705-9304-FD9F1D40E084}" name="Want Retweets" dataDxfId="19" dataCellStyle="Normal"/>
    <tableColumn id="64" xr3:uid="{A920363B-1737-4417-B5B3-D0851156F795}" name="Withheld" dataDxfId="18" dataCellStyle="Normal"/>
    <tableColumn id="65" xr3:uid="{99072785-965E-482D-B740-348BD7B84CBE}" name="Tweeted Search Term?" dataDxfId="14" dataCellStyle="Normal"/>
    <tableColumn id="66" xr3:uid="{FBFC297D-AFCC-42B3-981D-F6F31545A401}" name="Custom Menu Item Text" dataDxfId="13" dataCellStyle="Normal"/>
    <tableColumn id="67" xr3:uid="{EA65FA0C-DAA2-491D-803F-AB34A59F18B9}" name="Custom Menu Item Action" dataDxfId="12"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8" dataCellStyle="NodeXL Graph Metric"/>
    <tableColumn id="2" xr3:uid="{00000000-0010-0000-0400-000002000000}" name="Value" dataDxfId="7"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11CB3F-4C2A-4C8A-8072-FAB3049E878D}" name="ExportOptions" displayName="ExportOptions" ref="A1:B7" totalsRowShown="0" headerRowDxfId="6" dataDxfId="5" dataCellStyle="Normal">
  <autoFilter ref="A1:B7" xr:uid="{0011CB3F-4C2A-4C8A-8072-FAB3049E878D}"/>
  <tableColumns count="2">
    <tableColumn id="1" xr3:uid="{CFE1DB85-82DC-44AA-A4FB-1D50E5F0221C}" name="Key" dataDxfId="4" dataCellStyle="Normal"/>
    <tableColumn id="2" xr3:uid="{126D148D-29BE-46BB-B634-5B94DFEB80B7}" name="Value" dataDxfId="3"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3063"/>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1049</v>
      </c>
      <c r="B3" s="62" t="s">
        <v>1049</v>
      </c>
      <c r="C3" s="63"/>
      <c r="D3" s="64"/>
      <c r="E3" s="65"/>
      <c r="F3" s="66"/>
      <c r="G3" s="63"/>
      <c r="H3" s="67"/>
      <c r="I3" s="68"/>
      <c r="J3" s="68"/>
      <c r="K3" s="32"/>
      <c r="L3" s="69">
        <v>3</v>
      </c>
      <c r="M3" s="69"/>
      <c r="N3" s="70"/>
      <c r="O3" s="76" t="s">
        <v>179</v>
      </c>
      <c r="P3" s="78">
        <v>45124.646736111114</v>
      </c>
      <c r="Q3" s="76" t="s">
        <v>4076</v>
      </c>
      <c r="R3" s="76">
        <v>0</v>
      </c>
      <c r="S3" s="76">
        <v>0</v>
      </c>
      <c r="T3" s="76">
        <v>0</v>
      </c>
      <c r="U3" s="76">
        <v>0</v>
      </c>
      <c r="V3" s="76">
        <v>4</v>
      </c>
      <c r="W3" s="81" t="s">
        <v>5986</v>
      </c>
      <c r="X3" s="83" t="str">
        <f>HYPERLINK("https://www.chicosabetudo.com.br/curiosidades/jovens-e-dividas-uma-relacao-complicada-com-o-cartao-de-credito/?feed_id=21746&amp;_unique_id=64b55ec675c9b")</f>
        <v>https://www.chicosabetudo.com.br/curiosidades/jovens-e-dividas-uma-relacao-complicada-com-o-cartao-de-credito/?feed_id=21746&amp;_unique_id=64b55ec675c9b</v>
      </c>
      <c r="Y3" s="76" t="s">
        <v>6002</v>
      </c>
      <c r="Z3" s="76"/>
      <c r="AA3" s="76"/>
      <c r="AB3" s="76"/>
      <c r="AC3" s="81" t="s">
        <v>7706</v>
      </c>
      <c r="AD3" s="76" t="s">
        <v>7745</v>
      </c>
      <c r="AE3" s="83" t="str">
        <f>HYPERLINK("https://twitter.com/chicosabetudo/status/1680963394206048258")</f>
        <v>https://twitter.com/chicosabetudo/status/1680963394206048258</v>
      </c>
      <c r="AF3" s="78">
        <v>45124.646736111114</v>
      </c>
      <c r="AG3" s="84">
        <v>45124</v>
      </c>
      <c r="AH3" s="81" t="s">
        <v>10520</v>
      </c>
      <c r="AI3" s="76" t="b">
        <v>0</v>
      </c>
      <c r="AJ3" s="76"/>
      <c r="AK3" s="76"/>
      <c r="AL3" s="76"/>
      <c r="AM3" s="76"/>
      <c r="AN3" s="76"/>
      <c r="AO3" s="76"/>
      <c r="AP3" s="76"/>
      <c r="AQ3" s="76"/>
      <c r="AR3" s="76"/>
      <c r="AS3" s="76"/>
      <c r="AT3" s="76"/>
      <c r="AU3" s="76"/>
      <c r="AV3" s="83" t="str">
        <f>HYPERLINK("https://pbs.twimg.com/profile_images/1610767945189269509/PSltd92g_normal.jpg")</f>
        <v>https://pbs.twimg.com/profile_images/1610767945189269509/PSltd92g_normal.jpg</v>
      </c>
      <c r="AW3" s="81" t="s">
        <v>15219</v>
      </c>
      <c r="AX3" s="81" t="s">
        <v>15219</v>
      </c>
      <c r="AY3" s="76"/>
      <c r="AZ3" s="81" t="s">
        <v>15804</v>
      </c>
      <c r="BA3" s="81" t="s">
        <v>15804</v>
      </c>
      <c r="BB3" s="81" t="s">
        <v>15804</v>
      </c>
      <c r="BC3" s="81" t="s">
        <v>15219</v>
      </c>
      <c r="BD3" s="76">
        <v>250804213</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1132</v>
      </c>
      <c r="P4" s="79">
        <v>45141.833865740744</v>
      </c>
      <c r="Q4" s="77" t="s">
        <v>1139</v>
      </c>
      <c r="R4" s="77">
        <v>0</v>
      </c>
      <c r="S4" s="77">
        <v>0</v>
      </c>
      <c r="T4" s="77">
        <v>1</v>
      </c>
      <c r="U4" s="77">
        <v>0</v>
      </c>
      <c r="V4" s="77">
        <v>5</v>
      </c>
      <c r="W4" s="82" t="s">
        <v>4077</v>
      </c>
      <c r="X4" s="77"/>
      <c r="Y4" s="77"/>
      <c r="Z4" s="77"/>
      <c r="AA4" s="77"/>
      <c r="AB4" s="77"/>
      <c r="AC4" s="82" t="s">
        <v>7703</v>
      </c>
      <c r="AD4" s="77" t="s">
        <v>7745</v>
      </c>
      <c r="AE4" s="80" t="str">
        <f>HYPERLINK("https://twitter.com/discipulosmidas/status/1687191798853066752")</f>
        <v>https://twitter.com/discipulosmidas/status/1687191798853066752</v>
      </c>
      <c r="AF4" s="79">
        <v>45141.833865740744</v>
      </c>
      <c r="AG4" s="85">
        <v>45141</v>
      </c>
      <c r="AH4" s="82" t="s">
        <v>7756</v>
      </c>
      <c r="AI4" s="77"/>
      <c r="AJ4" s="77"/>
      <c r="AK4" s="77"/>
      <c r="AL4" s="77"/>
      <c r="AM4" s="77"/>
      <c r="AN4" s="77"/>
      <c r="AO4" s="77"/>
      <c r="AP4" s="77"/>
      <c r="AQ4" s="77"/>
      <c r="AR4" s="77"/>
      <c r="AS4" s="77"/>
      <c r="AT4" s="77"/>
      <c r="AU4" s="77"/>
      <c r="AV4" s="80" t="str">
        <f>HYPERLINK("https://pbs.twimg.com/profile_images/1666838048586227712/u3CjSGin_normal.jpg")</f>
        <v>https://pbs.twimg.com/profile_images/1666838048586227712/u3CjSGin_normal.jpg</v>
      </c>
      <c r="AW4" s="82" t="s">
        <v>12202</v>
      </c>
      <c r="AX4" s="82" t="s">
        <v>15220</v>
      </c>
      <c r="AY4" s="82" t="s">
        <v>15672</v>
      </c>
      <c r="AZ4" s="82" t="s">
        <v>15803</v>
      </c>
      <c r="BA4" s="82" t="s">
        <v>15804</v>
      </c>
      <c r="BB4" s="82" t="s">
        <v>15804</v>
      </c>
      <c r="BC4" s="82" t="s">
        <v>15803</v>
      </c>
      <c r="BD4" s="82" t="s">
        <v>15672</v>
      </c>
      <c r="BE4" s="77"/>
      <c r="BF4" s="77"/>
      <c r="BG4" s="77"/>
      <c r="BH4" s="77"/>
      <c r="BI4" s="77"/>
    </row>
    <row r="5" spans="1:61" x14ac:dyDescent="0.25">
      <c r="A5" s="62" t="s">
        <v>225</v>
      </c>
      <c r="B5" s="62" t="s">
        <v>225</v>
      </c>
      <c r="C5" s="63"/>
      <c r="D5" s="64"/>
      <c r="E5" s="65"/>
      <c r="F5" s="66"/>
      <c r="G5" s="63"/>
      <c r="H5" s="67"/>
      <c r="I5" s="68"/>
      <c r="J5" s="68"/>
      <c r="K5" s="32"/>
      <c r="L5" s="75">
        <v>5</v>
      </c>
      <c r="M5" s="75"/>
      <c r="N5" s="70"/>
      <c r="O5" s="77" t="s">
        <v>179</v>
      </c>
      <c r="P5" s="79">
        <v>44937.947291666664</v>
      </c>
      <c r="Q5" s="77" t="s">
        <v>1140</v>
      </c>
      <c r="R5" s="77">
        <v>0</v>
      </c>
      <c r="S5" s="77">
        <v>0</v>
      </c>
      <c r="T5" s="77">
        <v>0</v>
      </c>
      <c r="U5" s="77">
        <v>0</v>
      </c>
      <c r="V5" s="77">
        <v>8</v>
      </c>
      <c r="W5" s="82" t="s">
        <v>4078</v>
      </c>
      <c r="X5" s="80" t="str">
        <f>HYPERLINK("https://www.instagram.com/p/CnRYZTntVcR/?igshid=YTgzYjQ4ZTY=")</f>
        <v>https://www.instagram.com/p/CnRYZTntVcR/?igshid=YTgzYjQ4ZTY=</v>
      </c>
      <c r="Y5" s="77" t="s">
        <v>6000</v>
      </c>
      <c r="Z5" s="77"/>
      <c r="AA5" s="77"/>
      <c r="AB5" s="77"/>
      <c r="AC5" s="82" t="s">
        <v>7704</v>
      </c>
      <c r="AD5" s="77" t="s">
        <v>7745</v>
      </c>
      <c r="AE5" s="80" t="str">
        <f>HYPERLINK("https://twitter.com/oliveiraedison3/status/1613305781415198720")</f>
        <v>https://twitter.com/oliveiraedison3/status/1613305781415198720</v>
      </c>
      <c r="AF5" s="79">
        <v>44937.947291666664</v>
      </c>
      <c r="AG5" s="85">
        <v>44937</v>
      </c>
      <c r="AH5" s="82" t="s">
        <v>7757</v>
      </c>
      <c r="AI5" s="77" t="b">
        <v>0</v>
      </c>
      <c r="AJ5" s="77"/>
      <c r="AK5" s="77"/>
      <c r="AL5" s="77"/>
      <c r="AM5" s="77"/>
      <c r="AN5" s="77"/>
      <c r="AO5" s="77"/>
      <c r="AP5" s="77"/>
      <c r="AQ5" s="77"/>
      <c r="AR5" s="77"/>
      <c r="AS5" s="77"/>
      <c r="AT5" s="77"/>
      <c r="AU5" s="77"/>
      <c r="AV5" s="80" t="str">
        <f>HYPERLINK("https://pbs.twimg.com/profile_images/1613373563041419264/sFPTfRBL_normal.jpg")</f>
        <v>https://pbs.twimg.com/profile_images/1613373563041419264/sFPTfRBL_normal.jpg</v>
      </c>
      <c r="AW5" s="82" t="s">
        <v>12203</v>
      </c>
      <c r="AX5" s="82" t="s">
        <v>12203</v>
      </c>
      <c r="AY5" s="77"/>
      <c r="AZ5" s="82" t="s">
        <v>15804</v>
      </c>
      <c r="BA5" s="82" t="s">
        <v>15804</v>
      </c>
      <c r="BB5" s="82" t="s">
        <v>15804</v>
      </c>
      <c r="BC5" s="82" t="s">
        <v>12203</v>
      </c>
      <c r="BD5" s="82" t="s">
        <v>16139</v>
      </c>
      <c r="BE5" s="77"/>
      <c r="BF5" s="77"/>
      <c r="BG5" s="77"/>
      <c r="BH5" s="77"/>
      <c r="BI5" s="77"/>
    </row>
    <row r="6" spans="1:61" x14ac:dyDescent="0.25">
      <c r="A6" s="62" t="s">
        <v>226</v>
      </c>
      <c r="B6" s="62" t="s">
        <v>226</v>
      </c>
      <c r="C6" s="63"/>
      <c r="D6" s="64"/>
      <c r="E6" s="65"/>
      <c r="F6" s="66"/>
      <c r="G6" s="63"/>
      <c r="H6" s="67"/>
      <c r="I6" s="68"/>
      <c r="J6" s="68"/>
      <c r="K6" s="32"/>
      <c r="L6" s="75">
        <v>6</v>
      </c>
      <c r="M6" s="75"/>
      <c r="N6" s="70"/>
      <c r="O6" s="77" t="s">
        <v>179</v>
      </c>
      <c r="P6" s="79">
        <v>45021.590636574074</v>
      </c>
      <c r="Q6" s="77" t="s">
        <v>1141</v>
      </c>
      <c r="R6" s="77">
        <v>4</v>
      </c>
      <c r="S6" s="77">
        <v>4</v>
      </c>
      <c r="T6" s="77">
        <v>0</v>
      </c>
      <c r="U6" s="77">
        <v>0</v>
      </c>
      <c r="V6" s="77">
        <v>313</v>
      </c>
      <c r="W6" s="82" t="s">
        <v>4079</v>
      </c>
      <c r="X6" s="77"/>
      <c r="Y6" s="77"/>
      <c r="Z6" s="77"/>
      <c r="AA6" s="77" t="s">
        <v>6146</v>
      </c>
      <c r="AB6" s="77" t="s">
        <v>7696</v>
      </c>
      <c r="AC6" s="82" t="s">
        <v>7705</v>
      </c>
      <c r="AD6" s="77" t="s">
        <v>7745</v>
      </c>
      <c r="AE6" s="80" t="str">
        <f>HYPERLINK("https://twitter.com/nerycred/status/1643617112152236032")</f>
        <v>https://twitter.com/nerycred/status/1643617112152236032</v>
      </c>
      <c r="AF6" s="79">
        <v>45021.590636574074</v>
      </c>
      <c r="AG6" s="85">
        <v>45021</v>
      </c>
      <c r="AH6" s="82" t="s">
        <v>7758</v>
      </c>
      <c r="AI6" s="77" t="b">
        <v>0</v>
      </c>
      <c r="AJ6" s="77" t="s">
        <v>10521</v>
      </c>
      <c r="AK6" s="77" t="s">
        <v>10552</v>
      </c>
      <c r="AL6" s="77" t="s">
        <v>10555</v>
      </c>
      <c r="AM6" s="77" t="s">
        <v>10558</v>
      </c>
      <c r="AN6" s="77" t="s">
        <v>10588</v>
      </c>
      <c r="AO6" s="77" t="s">
        <v>10619</v>
      </c>
      <c r="AP6" s="77" t="s">
        <v>10649</v>
      </c>
      <c r="AQ6" s="77" t="s">
        <v>10653</v>
      </c>
      <c r="AR6" s="77"/>
      <c r="AS6" s="77"/>
      <c r="AT6" s="77"/>
      <c r="AU6" s="77"/>
      <c r="AV6" s="80" t="str">
        <f>HYPERLINK("https://pbs.twimg.com/media/Fs9NDGLWAAM__wS.jpg")</f>
        <v>https://pbs.twimg.com/media/Fs9NDGLWAAM__wS.jpg</v>
      </c>
      <c r="AW6" s="82" t="s">
        <v>12204</v>
      </c>
      <c r="AX6" s="82" t="s">
        <v>12204</v>
      </c>
      <c r="AY6" s="77"/>
      <c r="AZ6" s="82" t="s">
        <v>15804</v>
      </c>
      <c r="BA6" s="82" t="s">
        <v>15804</v>
      </c>
      <c r="BB6" s="82" t="s">
        <v>15804</v>
      </c>
      <c r="BC6" s="82" t="s">
        <v>12204</v>
      </c>
      <c r="BD6" s="82" t="s">
        <v>16140</v>
      </c>
      <c r="BE6" s="77"/>
      <c r="BF6" s="77"/>
      <c r="BG6" s="77"/>
      <c r="BH6" s="77"/>
      <c r="BI6" s="77"/>
    </row>
    <row r="7" spans="1:61" x14ac:dyDescent="0.25">
      <c r="A7" s="62" t="s">
        <v>227</v>
      </c>
      <c r="B7" s="62" t="s">
        <v>227</v>
      </c>
      <c r="C7" s="63"/>
      <c r="D7" s="64"/>
      <c r="E7" s="65"/>
      <c r="F7" s="66"/>
      <c r="G7" s="63"/>
      <c r="H7" s="67"/>
      <c r="I7" s="68"/>
      <c r="J7" s="68"/>
      <c r="K7" s="32"/>
      <c r="L7" s="75">
        <v>7</v>
      </c>
      <c r="M7" s="75"/>
      <c r="N7" s="70"/>
      <c r="O7" s="77" t="s">
        <v>179</v>
      </c>
      <c r="P7" s="79">
        <v>45107.610023148147</v>
      </c>
      <c r="Q7" s="77" t="s">
        <v>1142</v>
      </c>
      <c r="R7" s="77">
        <v>0</v>
      </c>
      <c r="S7" s="77">
        <v>0</v>
      </c>
      <c r="T7" s="77">
        <v>0</v>
      </c>
      <c r="U7" s="77">
        <v>0</v>
      </c>
      <c r="V7" s="77">
        <v>8</v>
      </c>
      <c r="W7" s="82" t="s">
        <v>4080</v>
      </c>
      <c r="X7" s="80" t="str">
        <f>HYPERLINK("https://prosperidadepessoalefinanceira.blogspot.com")</f>
        <v>https://prosperidadepessoalefinanceira.blogspot.com</v>
      </c>
      <c r="Y7" s="77" t="s">
        <v>6001</v>
      </c>
      <c r="Z7" s="77"/>
      <c r="AA7" s="77" t="s">
        <v>6147</v>
      </c>
      <c r="AB7" s="77" t="s">
        <v>7696</v>
      </c>
      <c r="AC7" s="82" t="s">
        <v>7706</v>
      </c>
      <c r="AD7" s="77" t="s">
        <v>7745</v>
      </c>
      <c r="AE7" s="80" t="str">
        <f>HYPERLINK("https://twitter.com/sandrocmattos/status/1674789496133685248")</f>
        <v>https://twitter.com/sandrocmattos/status/1674789496133685248</v>
      </c>
      <c r="AF7" s="79">
        <v>45107.610023148147</v>
      </c>
      <c r="AG7" s="85">
        <v>45107</v>
      </c>
      <c r="AH7" s="82" t="s">
        <v>7759</v>
      </c>
      <c r="AI7" s="77" t="b">
        <v>0</v>
      </c>
      <c r="AJ7" s="77"/>
      <c r="AK7" s="77"/>
      <c r="AL7" s="77"/>
      <c r="AM7" s="77"/>
      <c r="AN7" s="77"/>
      <c r="AO7" s="77"/>
      <c r="AP7" s="77"/>
      <c r="AQ7" s="77" t="s">
        <v>10654</v>
      </c>
      <c r="AR7" s="77"/>
      <c r="AS7" s="77"/>
      <c r="AT7" s="77"/>
      <c r="AU7" s="77"/>
      <c r="AV7" s="80" t="str">
        <f>HYPERLINK("https://pbs.twimg.com/media/Fz4Lhk_aMAUtQ0q.jpg")</f>
        <v>https://pbs.twimg.com/media/Fz4Lhk_aMAUtQ0q.jpg</v>
      </c>
      <c r="AW7" s="82" t="s">
        <v>12205</v>
      </c>
      <c r="AX7" s="82" t="s">
        <v>12205</v>
      </c>
      <c r="AY7" s="77"/>
      <c r="AZ7" s="82" t="s">
        <v>15804</v>
      </c>
      <c r="BA7" s="82" t="s">
        <v>15804</v>
      </c>
      <c r="BB7" s="82" t="s">
        <v>15804</v>
      </c>
      <c r="BC7" s="82" t="s">
        <v>12205</v>
      </c>
      <c r="BD7" s="77">
        <v>82641951</v>
      </c>
      <c r="BE7" s="77"/>
      <c r="BF7" s="77"/>
      <c r="BG7" s="77"/>
      <c r="BH7" s="77"/>
      <c r="BI7" s="77"/>
    </row>
    <row r="8" spans="1:61" x14ac:dyDescent="0.25">
      <c r="A8" s="62" t="s">
        <v>228</v>
      </c>
      <c r="B8" s="62" t="s">
        <v>228</v>
      </c>
      <c r="C8" s="63"/>
      <c r="D8" s="64"/>
      <c r="E8" s="65"/>
      <c r="F8" s="66"/>
      <c r="G8" s="63"/>
      <c r="H8" s="67"/>
      <c r="I8" s="68"/>
      <c r="J8" s="68"/>
      <c r="K8" s="32"/>
      <c r="L8" s="75">
        <v>8</v>
      </c>
      <c r="M8" s="75"/>
      <c r="N8" s="70"/>
      <c r="O8" s="77" t="s">
        <v>179</v>
      </c>
      <c r="P8" s="79">
        <v>44963.998715277776</v>
      </c>
      <c r="Q8" s="77" t="s">
        <v>1143</v>
      </c>
      <c r="R8" s="77">
        <v>0</v>
      </c>
      <c r="S8" s="77">
        <v>4</v>
      </c>
      <c r="T8" s="77">
        <v>0</v>
      </c>
      <c r="U8" s="77">
        <v>0</v>
      </c>
      <c r="V8" s="77">
        <v>41</v>
      </c>
      <c r="W8" s="82" t="s">
        <v>4081</v>
      </c>
      <c r="X8" s="77"/>
      <c r="Y8" s="77"/>
      <c r="Z8" s="77"/>
      <c r="AA8" s="77"/>
      <c r="AB8" s="77"/>
      <c r="AC8" s="82" t="s">
        <v>7706</v>
      </c>
      <c r="AD8" s="77" t="s">
        <v>7745</v>
      </c>
      <c r="AE8" s="80" t="str">
        <f>HYPERLINK("https://twitter.com/cryptonoide_/status/1622746500848664579")</f>
        <v>https://twitter.com/cryptonoide_/status/1622746500848664579</v>
      </c>
      <c r="AF8" s="79">
        <v>44963.998715277776</v>
      </c>
      <c r="AG8" s="85">
        <v>44963</v>
      </c>
      <c r="AH8" s="82" t="s">
        <v>7760</v>
      </c>
      <c r="AI8" s="77"/>
      <c r="AJ8" s="77"/>
      <c r="AK8" s="77"/>
      <c r="AL8" s="77"/>
      <c r="AM8" s="77"/>
      <c r="AN8" s="77"/>
      <c r="AO8" s="77"/>
      <c r="AP8" s="77"/>
      <c r="AQ8" s="77"/>
      <c r="AR8" s="77"/>
      <c r="AS8" s="77"/>
      <c r="AT8" s="77"/>
      <c r="AU8" s="77"/>
      <c r="AV8" s="80" t="str">
        <f>HYPERLINK("https://pbs.twimg.com/profile_images/1622089287951962113/nGAaXMeA_normal.png")</f>
        <v>https://pbs.twimg.com/profile_images/1622089287951962113/nGAaXMeA_normal.png</v>
      </c>
      <c r="AW8" s="82" t="s">
        <v>12206</v>
      </c>
      <c r="AX8" s="82" t="s">
        <v>12206</v>
      </c>
      <c r="AY8" s="77"/>
      <c r="AZ8" s="82" t="s">
        <v>15804</v>
      </c>
      <c r="BA8" s="82" t="s">
        <v>15804</v>
      </c>
      <c r="BB8" s="82" t="s">
        <v>15804</v>
      </c>
      <c r="BC8" s="82" t="s">
        <v>12206</v>
      </c>
      <c r="BD8" s="82" t="s">
        <v>16141</v>
      </c>
      <c r="BE8" s="77"/>
      <c r="BF8" s="77"/>
      <c r="BG8" s="77"/>
      <c r="BH8" s="77"/>
      <c r="BI8" s="77"/>
    </row>
    <row r="9" spans="1:61" x14ac:dyDescent="0.25">
      <c r="A9" s="62" t="s">
        <v>229</v>
      </c>
      <c r="B9" s="62" t="s">
        <v>229</v>
      </c>
      <c r="C9" s="63"/>
      <c r="D9" s="64"/>
      <c r="E9" s="65"/>
      <c r="F9" s="66"/>
      <c r="G9" s="63"/>
      <c r="H9" s="67"/>
      <c r="I9" s="68"/>
      <c r="J9" s="68"/>
      <c r="K9" s="32"/>
      <c r="L9" s="75">
        <v>9</v>
      </c>
      <c r="M9" s="75"/>
      <c r="N9" s="70"/>
      <c r="O9" s="77" t="s">
        <v>179</v>
      </c>
      <c r="P9" s="79">
        <v>45073.537777777776</v>
      </c>
      <c r="Q9" s="77" t="s">
        <v>1144</v>
      </c>
      <c r="R9" s="77">
        <v>0</v>
      </c>
      <c r="S9" s="77">
        <v>0</v>
      </c>
      <c r="T9" s="77">
        <v>0</v>
      </c>
      <c r="U9" s="77">
        <v>0</v>
      </c>
      <c r="V9" s="77">
        <v>65</v>
      </c>
      <c r="W9" s="82" t="s">
        <v>4082</v>
      </c>
      <c r="X9" s="77"/>
      <c r="Y9" s="77"/>
      <c r="Z9" s="77"/>
      <c r="AA9" s="77" t="s">
        <v>6148</v>
      </c>
      <c r="AB9" s="77" t="s">
        <v>7696</v>
      </c>
      <c r="AC9" s="82" t="s">
        <v>7707</v>
      </c>
      <c r="AD9" s="77" t="s">
        <v>7745</v>
      </c>
      <c r="AE9" s="80" t="str">
        <f>HYPERLINK("https://twitter.com/ederlorenzobr/status/1662442128360841216")</f>
        <v>https://twitter.com/ederlorenzobr/status/1662442128360841216</v>
      </c>
      <c r="AF9" s="79">
        <v>45073.537777777776</v>
      </c>
      <c r="AG9" s="85">
        <v>45073</v>
      </c>
      <c r="AH9" s="82" t="s">
        <v>7761</v>
      </c>
      <c r="AI9" s="77" t="b">
        <v>0</v>
      </c>
      <c r="AJ9" s="77"/>
      <c r="AK9" s="77"/>
      <c r="AL9" s="77"/>
      <c r="AM9" s="77"/>
      <c r="AN9" s="77"/>
      <c r="AO9" s="77"/>
      <c r="AP9" s="77"/>
      <c r="AQ9" s="77" t="s">
        <v>10655</v>
      </c>
      <c r="AR9" s="77"/>
      <c r="AS9" s="77"/>
      <c r="AT9" s="77"/>
      <c r="AU9" s="77"/>
      <c r="AV9" s="80" t="str">
        <f>HYPERLINK("https://pbs.twimg.com/media/FxIuTgaWwAA-TwX.jpg")</f>
        <v>https://pbs.twimg.com/media/FxIuTgaWwAA-TwX.jpg</v>
      </c>
      <c r="AW9" s="82" t="s">
        <v>12207</v>
      </c>
      <c r="AX9" s="82" t="s">
        <v>12207</v>
      </c>
      <c r="AY9" s="77"/>
      <c r="AZ9" s="82" t="s">
        <v>15804</v>
      </c>
      <c r="BA9" s="82" t="s">
        <v>15804</v>
      </c>
      <c r="BB9" s="82" t="s">
        <v>15804</v>
      </c>
      <c r="BC9" s="82" t="s">
        <v>12207</v>
      </c>
      <c r="BD9" s="82" t="s">
        <v>16142</v>
      </c>
      <c r="BE9" s="77"/>
      <c r="BF9" s="77"/>
      <c r="BG9" s="77"/>
      <c r="BH9" s="77"/>
      <c r="BI9" s="77"/>
    </row>
    <row r="10" spans="1:61" x14ac:dyDescent="0.25">
      <c r="A10" s="62" t="s">
        <v>230</v>
      </c>
      <c r="B10" s="62" t="s">
        <v>230</v>
      </c>
      <c r="C10" s="63"/>
      <c r="D10" s="64"/>
      <c r="E10" s="65"/>
      <c r="F10" s="66"/>
      <c r="G10" s="63"/>
      <c r="H10" s="67"/>
      <c r="I10" s="68"/>
      <c r="J10" s="68"/>
      <c r="K10" s="32"/>
      <c r="L10" s="75">
        <v>10</v>
      </c>
      <c r="M10" s="75"/>
      <c r="N10" s="70"/>
      <c r="O10" s="77" t="s">
        <v>179</v>
      </c>
      <c r="P10" s="79">
        <v>45051.667141203703</v>
      </c>
      <c r="Q10" s="77" t="s">
        <v>1145</v>
      </c>
      <c r="R10" s="77">
        <v>0</v>
      </c>
      <c r="S10" s="77">
        <v>0</v>
      </c>
      <c r="T10" s="77">
        <v>0</v>
      </c>
      <c r="U10" s="77">
        <v>0</v>
      </c>
      <c r="V10" s="77">
        <v>8</v>
      </c>
      <c r="W10" s="82" t="s">
        <v>4083</v>
      </c>
      <c r="X10" s="77"/>
      <c r="Y10" s="77"/>
      <c r="Z10" s="77"/>
      <c r="AA10" s="77" t="s">
        <v>6149</v>
      </c>
      <c r="AB10" s="77" t="s">
        <v>7696</v>
      </c>
      <c r="AC10" s="82" t="s">
        <v>7708</v>
      </c>
      <c r="AD10" s="77" t="s">
        <v>7745</v>
      </c>
      <c r="AE10" s="80" t="str">
        <f>HYPERLINK("https://twitter.com/atlantickapital/status/1654516475351257091")</f>
        <v>https://twitter.com/atlantickapital/status/1654516475351257091</v>
      </c>
      <c r="AF10" s="79">
        <v>45051.667141203703</v>
      </c>
      <c r="AG10" s="85">
        <v>45051</v>
      </c>
      <c r="AH10" s="82" t="s">
        <v>7762</v>
      </c>
      <c r="AI10" s="77" t="b">
        <v>0</v>
      </c>
      <c r="AJ10" s="77"/>
      <c r="AK10" s="77"/>
      <c r="AL10" s="77"/>
      <c r="AM10" s="77"/>
      <c r="AN10" s="77"/>
      <c r="AO10" s="77"/>
      <c r="AP10" s="77"/>
      <c r="AQ10" s="77" t="s">
        <v>10656</v>
      </c>
      <c r="AR10" s="77"/>
      <c r="AS10" s="77"/>
      <c r="AT10" s="77"/>
      <c r="AU10" s="77"/>
      <c r="AV10" s="80" t="str">
        <f>HYPERLINK("https://pbs.twimg.com/media/FvYF92YWYAI-Bw8.jpg")</f>
        <v>https://pbs.twimg.com/media/FvYF92YWYAI-Bw8.jpg</v>
      </c>
      <c r="AW10" s="82" t="s">
        <v>12208</v>
      </c>
      <c r="AX10" s="82" t="s">
        <v>12208</v>
      </c>
      <c r="AY10" s="77"/>
      <c r="AZ10" s="82" t="s">
        <v>15804</v>
      </c>
      <c r="BA10" s="82" t="s">
        <v>15804</v>
      </c>
      <c r="BB10" s="82" t="s">
        <v>15804</v>
      </c>
      <c r="BC10" s="82" t="s">
        <v>12208</v>
      </c>
      <c r="BD10" s="82" t="s">
        <v>16143</v>
      </c>
      <c r="BE10" s="77"/>
      <c r="BF10" s="77"/>
      <c r="BG10" s="77"/>
      <c r="BH10" s="77"/>
      <c r="BI10" s="77"/>
    </row>
    <row r="11" spans="1:61" x14ac:dyDescent="0.25">
      <c r="A11" s="62" t="s">
        <v>230</v>
      </c>
      <c r="B11" s="62" t="s">
        <v>230</v>
      </c>
      <c r="C11" s="63"/>
      <c r="D11" s="64"/>
      <c r="E11" s="65"/>
      <c r="F11" s="66"/>
      <c r="G11" s="63"/>
      <c r="H11" s="67"/>
      <c r="I11" s="68"/>
      <c r="J11" s="68"/>
      <c r="K11" s="32"/>
      <c r="L11" s="75">
        <v>11</v>
      </c>
      <c r="M11" s="75"/>
      <c r="N11" s="70"/>
      <c r="O11" s="77" t="s">
        <v>179</v>
      </c>
      <c r="P11" s="79">
        <v>45062.834131944444</v>
      </c>
      <c r="Q11" s="77" t="s">
        <v>1146</v>
      </c>
      <c r="R11" s="77">
        <v>0</v>
      </c>
      <c r="S11" s="77">
        <v>0</v>
      </c>
      <c r="T11" s="77">
        <v>0</v>
      </c>
      <c r="U11" s="77">
        <v>0</v>
      </c>
      <c r="V11" s="77">
        <v>9</v>
      </c>
      <c r="W11" s="82" t="s">
        <v>4084</v>
      </c>
      <c r="X11" s="77"/>
      <c r="Y11" s="77"/>
      <c r="Z11" s="77"/>
      <c r="AA11" s="77" t="s">
        <v>6150</v>
      </c>
      <c r="AB11" s="77" t="s">
        <v>7697</v>
      </c>
      <c r="AC11" s="82" t="s">
        <v>7708</v>
      </c>
      <c r="AD11" s="77" t="s">
        <v>7745</v>
      </c>
      <c r="AE11" s="80" t="str">
        <f>HYPERLINK("https://twitter.com/atlantickapital/status/1658563256565354501")</f>
        <v>https://twitter.com/atlantickapital/status/1658563256565354501</v>
      </c>
      <c r="AF11" s="79">
        <v>45062.834131944444</v>
      </c>
      <c r="AG11" s="85">
        <v>45062</v>
      </c>
      <c r="AH11" s="82" t="s">
        <v>7763</v>
      </c>
      <c r="AI11" s="77" t="b">
        <v>0</v>
      </c>
      <c r="AJ11" s="77"/>
      <c r="AK11" s="77"/>
      <c r="AL11" s="77"/>
      <c r="AM11" s="77"/>
      <c r="AN11" s="77"/>
      <c r="AO11" s="77"/>
      <c r="AP11" s="77"/>
      <c r="AQ11" s="77" t="s">
        <v>10657</v>
      </c>
      <c r="AR11" s="77">
        <v>18210</v>
      </c>
      <c r="AS11" s="77"/>
      <c r="AT11" s="77"/>
      <c r="AU11" s="77">
        <v>1</v>
      </c>
      <c r="AV11" s="80" t="str">
        <f>HYPERLINK("https://pbs.twimg.com/ext_tw_video_thumb/1658563187422253086/pu/img/AvwTDms224GcQNGa.jpg")</f>
        <v>https://pbs.twimg.com/ext_tw_video_thumb/1658563187422253086/pu/img/AvwTDms224GcQNGa.jpg</v>
      </c>
      <c r="AW11" s="82" t="s">
        <v>12209</v>
      </c>
      <c r="AX11" s="82" t="s">
        <v>12209</v>
      </c>
      <c r="AY11" s="77"/>
      <c r="AZ11" s="82" t="s">
        <v>15804</v>
      </c>
      <c r="BA11" s="82" t="s">
        <v>15804</v>
      </c>
      <c r="BB11" s="82" t="s">
        <v>15804</v>
      </c>
      <c r="BC11" s="82" t="s">
        <v>12209</v>
      </c>
      <c r="BD11" s="82" t="s">
        <v>16143</v>
      </c>
      <c r="BE11" s="77"/>
      <c r="BF11" s="77"/>
      <c r="BG11" s="77"/>
      <c r="BH11" s="77"/>
      <c r="BI11" s="77"/>
    </row>
    <row r="12" spans="1:61" x14ac:dyDescent="0.25">
      <c r="A12" s="62" t="s">
        <v>231</v>
      </c>
      <c r="B12" s="62" t="s">
        <v>231</v>
      </c>
      <c r="C12" s="63"/>
      <c r="D12" s="64"/>
      <c r="E12" s="65"/>
      <c r="F12" s="66"/>
      <c r="G12" s="63"/>
      <c r="H12" s="67"/>
      <c r="I12" s="68"/>
      <c r="J12" s="68"/>
      <c r="K12" s="32"/>
      <c r="L12" s="75">
        <v>12</v>
      </c>
      <c r="M12" s="75"/>
      <c r="N12" s="70"/>
      <c r="O12" s="77" t="s">
        <v>179</v>
      </c>
      <c r="P12" s="79">
        <v>45090.564236111109</v>
      </c>
      <c r="Q12" s="77" t="s">
        <v>1147</v>
      </c>
      <c r="R12" s="77">
        <v>1</v>
      </c>
      <c r="S12" s="77">
        <v>1</v>
      </c>
      <c r="T12" s="77">
        <v>0</v>
      </c>
      <c r="U12" s="77">
        <v>0</v>
      </c>
      <c r="V12" s="77">
        <v>24</v>
      </c>
      <c r="W12" s="82" t="s">
        <v>4085</v>
      </c>
      <c r="X12" s="80" t="str">
        <f>HYPERLINK("https://www.politicadistrital.com.br/2023/06/13/iniciativa-leva-educacao-financeira-para-alunos-da-rede-publica-de-ensino/")</f>
        <v>https://www.politicadistrital.com.br/2023/06/13/iniciativa-leva-educacao-financeira-para-alunos-da-rede-publica-de-ensino/</v>
      </c>
      <c r="Y12" s="77" t="s">
        <v>6002</v>
      </c>
      <c r="Z12" s="77"/>
      <c r="AA12" s="77" t="s">
        <v>6151</v>
      </c>
      <c r="AB12" s="77" t="s">
        <v>7696</v>
      </c>
      <c r="AC12" s="82" t="s">
        <v>7706</v>
      </c>
      <c r="AD12" s="77" t="s">
        <v>7745</v>
      </c>
      <c r="AE12" s="80" t="str">
        <f>HYPERLINK("https://twitter.com/polidistrital/status/1668612308137025542")</f>
        <v>https://twitter.com/polidistrital/status/1668612308137025542</v>
      </c>
      <c r="AF12" s="79">
        <v>45090.564236111109</v>
      </c>
      <c r="AG12" s="85">
        <v>45090</v>
      </c>
      <c r="AH12" s="82" t="s">
        <v>7764</v>
      </c>
      <c r="AI12" s="77" t="b">
        <v>0</v>
      </c>
      <c r="AJ12" s="77"/>
      <c r="AK12" s="77"/>
      <c r="AL12" s="77"/>
      <c r="AM12" s="77"/>
      <c r="AN12" s="77"/>
      <c r="AO12" s="77"/>
      <c r="AP12" s="77"/>
      <c r="AQ12" s="77" t="s">
        <v>10658</v>
      </c>
      <c r="AR12" s="77"/>
      <c r="AS12" s="77"/>
      <c r="AT12" s="77"/>
      <c r="AU12" s="77"/>
      <c r="AV12" s="80" t="str">
        <f>HYPERLINK("https://pbs.twimg.com/media/FygaC-BaIAUP84v.jpg")</f>
        <v>https://pbs.twimg.com/media/FygaC-BaIAUP84v.jpg</v>
      </c>
      <c r="AW12" s="82" t="s">
        <v>12210</v>
      </c>
      <c r="AX12" s="82" t="s">
        <v>12210</v>
      </c>
      <c r="AY12" s="77"/>
      <c r="AZ12" s="82" t="s">
        <v>15804</v>
      </c>
      <c r="BA12" s="82" t="s">
        <v>15804</v>
      </c>
      <c r="BB12" s="82" t="s">
        <v>15804</v>
      </c>
      <c r="BC12" s="82" t="s">
        <v>12210</v>
      </c>
      <c r="BD12" s="77">
        <v>61815962</v>
      </c>
      <c r="BE12" s="77"/>
      <c r="BF12" s="77"/>
      <c r="BG12" s="77"/>
      <c r="BH12" s="77"/>
      <c r="BI12" s="77"/>
    </row>
    <row r="13" spans="1:61" x14ac:dyDescent="0.25">
      <c r="A13" s="62" t="s">
        <v>231</v>
      </c>
      <c r="B13" s="62" t="s">
        <v>231</v>
      </c>
      <c r="C13" s="63"/>
      <c r="D13" s="64"/>
      <c r="E13" s="65"/>
      <c r="F13" s="66"/>
      <c r="G13" s="63"/>
      <c r="H13" s="67"/>
      <c r="I13" s="68"/>
      <c r="J13" s="68"/>
      <c r="K13" s="32"/>
      <c r="L13" s="75">
        <v>13</v>
      </c>
      <c r="M13" s="75"/>
      <c r="N13" s="70"/>
      <c r="O13" s="77" t="s">
        <v>179</v>
      </c>
      <c r="P13" s="79">
        <v>45113.02888888889</v>
      </c>
      <c r="Q13" s="77" t="s">
        <v>1148</v>
      </c>
      <c r="R13" s="77">
        <v>1</v>
      </c>
      <c r="S13" s="77">
        <v>1</v>
      </c>
      <c r="T13" s="77">
        <v>0</v>
      </c>
      <c r="U13" s="77">
        <v>0</v>
      </c>
      <c r="V13" s="77">
        <v>18</v>
      </c>
      <c r="W13" s="82" t="s">
        <v>4086</v>
      </c>
      <c r="X13" s="80" t="str">
        <f>HYPERLINK("https://www.politicadistrital.com.br/2023/07/05/envelhecimento-da-populacao-requer-cada-vez-mais-educacao-financeira/")</f>
        <v>https://www.politicadistrital.com.br/2023/07/05/envelhecimento-da-populacao-requer-cada-vez-mais-educacao-financeira/</v>
      </c>
      <c r="Y13" s="77" t="s">
        <v>6002</v>
      </c>
      <c r="Z13" s="77"/>
      <c r="AA13" s="77" t="s">
        <v>6152</v>
      </c>
      <c r="AB13" s="77" t="s">
        <v>7696</v>
      </c>
      <c r="AC13" s="82" t="s">
        <v>7706</v>
      </c>
      <c r="AD13" s="77" t="s">
        <v>7745</v>
      </c>
      <c r="AE13" s="80" t="str">
        <f>HYPERLINK("https://twitter.com/polidistrital/status/1676753226819936261")</f>
        <v>https://twitter.com/polidistrital/status/1676753226819936261</v>
      </c>
      <c r="AF13" s="79">
        <v>45113.02888888889</v>
      </c>
      <c r="AG13" s="85">
        <v>45113</v>
      </c>
      <c r="AH13" s="82" t="s">
        <v>7765</v>
      </c>
      <c r="AI13" s="77" t="b">
        <v>0</v>
      </c>
      <c r="AJ13" s="77"/>
      <c r="AK13" s="77"/>
      <c r="AL13" s="77"/>
      <c r="AM13" s="77"/>
      <c r="AN13" s="77"/>
      <c r="AO13" s="77"/>
      <c r="AP13" s="77"/>
      <c r="AQ13" s="77" t="s">
        <v>10659</v>
      </c>
      <c r="AR13" s="77"/>
      <c r="AS13" s="77"/>
      <c r="AT13" s="77"/>
      <c r="AU13" s="77"/>
      <c r="AV13" s="80" t="str">
        <f>HYPERLINK("https://pbs.twimg.com/media/F0UGK6BXgAABSIY.jpg")</f>
        <v>https://pbs.twimg.com/media/F0UGK6BXgAABSIY.jpg</v>
      </c>
      <c r="AW13" s="82" t="s">
        <v>12211</v>
      </c>
      <c r="AX13" s="82" t="s">
        <v>12211</v>
      </c>
      <c r="AY13" s="77"/>
      <c r="AZ13" s="82" t="s">
        <v>15804</v>
      </c>
      <c r="BA13" s="82" t="s">
        <v>15804</v>
      </c>
      <c r="BB13" s="82" t="s">
        <v>15804</v>
      </c>
      <c r="BC13" s="82" t="s">
        <v>12211</v>
      </c>
      <c r="BD13" s="77">
        <v>61815962</v>
      </c>
      <c r="BE13" s="77"/>
      <c r="BF13" s="77"/>
      <c r="BG13" s="77"/>
      <c r="BH13" s="77"/>
      <c r="BI13" s="77"/>
    </row>
    <row r="14" spans="1:61" x14ac:dyDescent="0.25">
      <c r="A14" s="62" t="s">
        <v>232</v>
      </c>
      <c r="B14" s="62" t="s">
        <v>232</v>
      </c>
      <c r="C14" s="63"/>
      <c r="D14" s="64"/>
      <c r="E14" s="65"/>
      <c r="F14" s="66"/>
      <c r="G14" s="63"/>
      <c r="H14" s="67"/>
      <c r="I14" s="68"/>
      <c r="J14" s="68"/>
      <c r="K14" s="32"/>
      <c r="L14" s="75">
        <v>14</v>
      </c>
      <c r="M14" s="75"/>
      <c r="N14" s="70"/>
      <c r="O14" s="77" t="s">
        <v>179</v>
      </c>
      <c r="P14" s="79">
        <v>44933.830428240741</v>
      </c>
      <c r="Q14" s="77" t="s">
        <v>1149</v>
      </c>
      <c r="R14" s="77">
        <v>3</v>
      </c>
      <c r="S14" s="77">
        <v>16</v>
      </c>
      <c r="T14" s="77">
        <v>3</v>
      </c>
      <c r="U14" s="77">
        <v>0</v>
      </c>
      <c r="V14" s="77">
        <v>509</v>
      </c>
      <c r="W14" s="82" t="s">
        <v>4087</v>
      </c>
      <c r="X14" s="77"/>
      <c r="Y14" s="77"/>
      <c r="Z14" s="77"/>
      <c r="AA14" s="77" t="s">
        <v>6153</v>
      </c>
      <c r="AB14" s="77" t="s">
        <v>7696</v>
      </c>
      <c r="AC14" s="82" t="s">
        <v>7706</v>
      </c>
      <c r="AD14" s="77" t="s">
        <v>7745</v>
      </c>
      <c r="AE14" s="80" t="str">
        <f>HYPERLINK("https://twitter.com/thetryum/status/1611813878953811969")</f>
        <v>https://twitter.com/thetryum/status/1611813878953811969</v>
      </c>
      <c r="AF14" s="79">
        <v>44933.830428240741</v>
      </c>
      <c r="AG14" s="85">
        <v>44933</v>
      </c>
      <c r="AH14" s="82" t="s">
        <v>7766</v>
      </c>
      <c r="AI14" s="77" t="b">
        <v>0</v>
      </c>
      <c r="AJ14" s="77"/>
      <c r="AK14" s="77"/>
      <c r="AL14" s="77"/>
      <c r="AM14" s="77"/>
      <c r="AN14" s="77"/>
      <c r="AO14" s="77"/>
      <c r="AP14" s="77"/>
      <c r="AQ14" s="77" t="s">
        <v>10660</v>
      </c>
      <c r="AR14" s="77"/>
      <c r="AS14" s="77"/>
      <c r="AT14" s="77"/>
      <c r="AU14" s="77"/>
      <c r="AV14" s="80" t="str">
        <f>HYPERLINK("https://pbs.twimg.com/media/Fl5OsKUWIAgJoiI.jpg")</f>
        <v>https://pbs.twimg.com/media/Fl5OsKUWIAgJoiI.jpg</v>
      </c>
      <c r="AW14" s="82" t="s">
        <v>12212</v>
      </c>
      <c r="AX14" s="82" t="s">
        <v>12212</v>
      </c>
      <c r="AY14" s="77"/>
      <c r="AZ14" s="82" t="s">
        <v>15804</v>
      </c>
      <c r="BA14" s="82" t="s">
        <v>15804</v>
      </c>
      <c r="BB14" s="82" t="s">
        <v>15804</v>
      </c>
      <c r="BC14" s="82" t="s">
        <v>12212</v>
      </c>
      <c r="BD14" s="82" t="s">
        <v>16144</v>
      </c>
      <c r="BE14" s="77"/>
      <c r="BF14" s="77"/>
      <c r="BG14" s="77"/>
      <c r="BH14" s="77"/>
      <c r="BI14" s="77"/>
    </row>
    <row r="15" spans="1:61" x14ac:dyDescent="0.25">
      <c r="A15" s="62" t="s">
        <v>232</v>
      </c>
      <c r="B15" s="62" t="s">
        <v>232</v>
      </c>
      <c r="C15" s="63"/>
      <c r="D15" s="64"/>
      <c r="E15" s="65"/>
      <c r="F15" s="66"/>
      <c r="G15" s="63"/>
      <c r="H15" s="67"/>
      <c r="I15" s="68"/>
      <c r="J15" s="68"/>
      <c r="K15" s="32"/>
      <c r="L15" s="75">
        <v>15</v>
      </c>
      <c r="M15" s="75"/>
      <c r="N15" s="70"/>
      <c r="O15" s="77" t="s">
        <v>179</v>
      </c>
      <c r="P15" s="79">
        <v>44930.520104166666</v>
      </c>
      <c r="Q15" s="77" t="s">
        <v>1150</v>
      </c>
      <c r="R15" s="77">
        <v>2</v>
      </c>
      <c r="S15" s="77">
        <v>13</v>
      </c>
      <c r="T15" s="77">
        <v>1</v>
      </c>
      <c r="U15" s="77">
        <v>0</v>
      </c>
      <c r="V15" s="77">
        <v>214</v>
      </c>
      <c r="W15" s="82" t="s">
        <v>4088</v>
      </c>
      <c r="X15" s="77"/>
      <c r="Y15" s="77"/>
      <c r="Z15" s="77"/>
      <c r="AA15" s="77" t="s">
        <v>6154</v>
      </c>
      <c r="AB15" s="77" t="s">
        <v>7696</v>
      </c>
      <c r="AC15" s="82" t="s">
        <v>7706</v>
      </c>
      <c r="AD15" s="77" t="s">
        <v>7745</v>
      </c>
      <c r="AE15" s="80" t="str">
        <f>HYPERLINK("https://twitter.com/thetryum/status/1610614259032940549")</f>
        <v>https://twitter.com/thetryum/status/1610614259032940549</v>
      </c>
      <c r="AF15" s="79">
        <v>44930.520104166666</v>
      </c>
      <c r="AG15" s="85">
        <v>44930</v>
      </c>
      <c r="AH15" s="82" t="s">
        <v>7767</v>
      </c>
      <c r="AI15" s="77" t="b">
        <v>0</v>
      </c>
      <c r="AJ15" s="77"/>
      <c r="AK15" s="77"/>
      <c r="AL15" s="77"/>
      <c r="AM15" s="77"/>
      <c r="AN15" s="77"/>
      <c r="AO15" s="77"/>
      <c r="AP15" s="77"/>
      <c r="AQ15" s="77" t="s">
        <v>10661</v>
      </c>
      <c r="AR15" s="77"/>
      <c r="AS15" s="77"/>
      <c r="AT15" s="77"/>
      <c r="AU15" s="77"/>
      <c r="AV15" s="80" t="str">
        <f>HYPERLINK("https://pbs.twimg.com/media/FloM9zLWIAAnsag.jpg")</f>
        <v>https://pbs.twimg.com/media/FloM9zLWIAAnsag.jpg</v>
      </c>
      <c r="AW15" s="82" t="s">
        <v>12213</v>
      </c>
      <c r="AX15" s="82" t="s">
        <v>12213</v>
      </c>
      <c r="AY15" s="77"/>
      <c r="AZ15" s="82" t="s">
        <v>15804</v>
      </c>
      <c r="BA15" s="82" t="s">
        <v>15804</v>
      </c>
      <c r="BB15" s="82" t="s">
        <v>15804</v>
      </c>
      <c r="BC15" s="82" t="s">
        <v>12213</v>
      </c>
      <c r="BD15" s="82" t="s">
        <v>16144</v>
      </c>
      <c r="BE15" s="77"/>
      <c r="BF15" s="77"/>
      <c r="BG15" s="77"/>
      <c r="BH15" s="77"/>
      <c r="BI15" s="77"/>
    </row>
    <row r="16" spans="1:61" x14ac:dyDescent="0.25">
      <c r="A16" s="62" t="s">
        <v>233</v>
      </c>
      <c r="B16" s="62" t="s">
        <v>233</v>
      </c>
      <c r="C16" s="63"/>
      <c r="D16" s="64"/>
      <c r="E16" s="65"/>
      <c r="F16" s="66"/>
      <c r="G16" s="63"/>
      <c r="H16" s="67"/>
      <c r="I16" s="68"/>
      <c r="J16" s="68"/>
      <c r="K16" s="32"/>
      <c r="L16" s="75">
        <v>16</v>
      </c>
      <c r="M16" s="75"/>
      <c r="N16" s="70"/>
      <c r="O16" s="77" t="s">
        <v>179</v>
      </c>
      <c r="P16" s="79">
        <v>45082.95208333333</v>
      </c>
      <c r="Q16" s="77" t="s">
        <v>1151</v>
      </c>
      <c r="R16" s="77">
        <v>0</v>
      </c>
      <c r="S16" s="77">
        <v>0</v>
      </c>
      <c r="T16" s="77">
        <v>0</v>
      </c>
      <c r="U16" s="77">
        <v>0</v>
      </c>
      <c r="V16" s="77">
        <v>24</v>
      </c>
      <c r="W16" s="82" t="s">
        <v>4089</v>
      </c>
      <c r="X16" s="77"/>
      <c r="Y16" s="77"/>
      <c r="Z16" s="77"/>
      <c r="AA16" s="77" t="s">
        <v>6155</v>
      </c>
      <c r="AB16" s="77" t="s">
        <v>7696</v>
      </c>
      <c r="AC16" s="82" t="s">
        <v>7709</v>
      </c>
      <c r="AD16" s="77" t="s">
        <v>7745</v>
      </c>
      <c r="AE16" s="80" t="str">
        <f>HYPERLINK("https://twitter.com/poli_corretora/status/1665853759120084993")</f>
        <v>https://twitter.com/poli_corretora/status/1665853759120084993</v>
      </c>
      <c r="AF16" s="79">
        <v>45082.95208333333</v>
      </c>
      <c r="AG16" s="85">
        <v>45082</v>
      </c>
      <c r="AH16" s="82" t="s">
        <v>7768</v>
      </c>
      <c r="AI16" s="77" t="b">
        <v>0</v>
      </c>
      <c r="AJ16" s="77"/>
      <c r="AK16" s="77"/>
      <c r="AL16" s="77"/>
      <c r="AM16" s="77"/>
      <c r="AN16" s="77"/>
      <c r="AO16" s="77"/>
      <c r="AP16" s="77"/>
      <c r="AQ16" s="77" t="s">
        <v>10662</v>
      </c>
      <c r="AR16" s="77"/>
      <c r="AS16" s="77"/>
      <c r="AT16" s="77"/>
      <c r="AU16" s="77"/>
      <c r="AV16" s="80" t="str">
        <f>HYPERLINK("https://pbs.twimg.com/media/Fx5NKqSaMAAEmZM.jpg")</f>
        <v>https://pbs.twimg.com/media/Fx5NKqSaMAAEmZM.jpg</v>
      </c>
      <c r="AW16" s="82" t="s">
        <v>12214</v>
      </c>
      <c r="AX16" s="82" t="s">
        <v>12214</v>
      </c>
      <c r="AY16" s="77"/>
      <c r="AZ16" s="82" t="s">
        <v>15804</v>
      </c>
      <c r="BA16" s="82" t="s">
        <v>15804</v>
      </c>
      <c r="BB16" s="82" t="s">
        <v>15804</v>
      </c>
      <c r="BC16" s="82" t="s">
        <v>12214</v>
      </c>
      <c r="BD16" s="82" t="s">
        <v>16145</v>
      </c>
      <c r="BE16" s="77"/>
      <c r="BF16" s="77"/>
      <c r="BG16" s="77"/>
      <c r="BH16" s="77"/>
      <c r="BI16" s="77"/>
    </row>
    <row r="17" spans="1:61" x14ac:dyDescent="0.25">
      <c r="A17" s="62" t="s">
        <v>234</v>
      </c>
      <c r="B17" s="62" t="s">
        <v>1050</v>
      </c>
      <c r="C17" s="63"/>
      <c r="D17" s="64"/>
      <c r="E17" s="65"/>
      <c r="F17" s="66"/>
      <c r="G17" s="63"/>
      <c r="H17" s="67"/>
      <c r="I17" s="68"/>
      <c r="J17" s="68"/>
      <c r="K17" s="32"/>
      <c r="L17" s="75">
        <v>17</v>
      </c>
      <c r="M17" s="75"/>
      <c r="N17" s="70"/>
      <c r="O17" s="77" t="s">
        <v>1133</v>
      </c>
      <c r="P17" s="79">
        <v>44988.572731481479</v>
      </c>
      <c r="Q17" s="77" t="s">
        <v>1152</v>
      </c>
      <c r="R17" s="77">
        <v>0</v>
      </c>
      <c r="S17" s="77">
        <v>1</v>
      </c>
      <c r="T17" s="77">
        <v>0</v>
      </c>
      <c r="U17" s="77">
        <v>0</v>
      </c>
      <c r="V17" s="77">
        <v>329</v>
      </c>
      <c r="W17" s="82" t="s">
        <v>4090</v>
      </c>
      <c r="X17" s="80" t="str">
        <f>HYPERLINK("https://www.instagram.com/reel/CpU-BvRAPA5/?igshid=MWMzM2Q4ZmE=")</f>
        <v>https://www.instagram.com/reel/CpU-BvRAPA5/?igshid=MWMzM2Q4ZmE=</v>
      </c>
      <c r="Y17" s="77" t="s">
        <v>6000</v>
      </c>
      <c r="Z17" s="77" t="s">
        <v>1050</v>
      </c>
      <c r="AA17" s="77"/>
      <c r="AB17" s="77"/>
      <c r="AC17" s="82" t="s">
        <v>7707</v>
      </c>
      <c r="AD17" s="77" t="s">
        <v>7745</v>
      </c>
      <c r="AE17" s="80" t="str">
        <f>HYPERLINK("https://twitter.com/crisinveste/status/1631651824930373633")</f>
        <v>https://twitter.com/crisinveste/status/1631651824930373633</v>
      </c>
      <c r="AF17" s="79">
        <v>44988.572731481479</v>
      </c>
      <c r="AG17" s="85">
        <v>44988</v>
      </c>
      <c r="AH17" s="82" t="s">
        <v>7769</v>
      </c>
      <c r="AI17" s="77" t="b">
        <v>0</v>
      </c>
      <c r="AJ17" s="77"/>
      <c r="AK17" s="77"/>
      <c r="AL17" s="77"/>
      <c r="AM17" s="77"/>
      <c r="AN17" s="77"/>
      <c r="AO17" s="77"/>
      <c r="AP17" s="77"/>
      <c r="AQ17" s="77"/>
      <c r="AR17" s="77"/>
      <c r="AS17" s="77"/>
      <c r="AT17" s="77"/>
      <c r="AU17" s="77"/>
      <c r="AV17" s="80" t="str">
        <f>HYPERLINK("https://pbs.twimg.com/profile_images/1649087655424958467/Kj-OEYcB_normal.jpg")</f>
        <v>https://pbs.twimg.com/profile_images/1649087655424958467/Kj-OEYcB_normal.jpg</v>
      </c>
      <c r="AW17" s="82" t="s">
        <v>12215</v>
      </c>
      <c r="AX17" s="82" t="s">
        <v>12215</v>
      </c>
      <c r="AY17" s="77"/>
      <c r="AZ17" s="82" t="s">
        <v>15804</v>
      </c>
      <c r="BA17" s="82" t="s">
        <v>15804</v>
      </c>
      <c r="BB17" s="82" t="s">
        <v>15804</v>
      </c>
      <c r="BC17" s="82" t="s">
        <v>12215</v>
      </c>
      <c r="BD17" s="82" t="s">
        <v>16146</v>
      </c>
      <c r="BE17" s="77"/>
      <c r="BF17" s="77"/>
      <c r="BG17" s="77"/>
      <c r="BH17" s="77"/>
      <c r="BI17" s="77"/>
    </row>
    <row r="18" spans="1:61" x14ac:dyDescent="0.25">
      <c r="A18" s="62" t="s">
        <v>234</v>
      </c>
      <c r="B18" s="62" t="s">
        <v>234</v>
      </c>
      <c r="C18" s="63"/>
      <c r="D18" s="64"/>
      <c r="E18" s="65"/>
      <c r="F18" s="66"/>
      <c r="G18" s="63"/>
      <c r="H18" s="67"/>
      <c r="I18" s="68"/>
      <c r="J18" s="68"/>
      <c r="K18" s="32"/>
      <c r="L18" s="75">
        <v>18</v>
      </c>
      <c r="M18" s="75"/>
      <c r="N18" s="70"/>
      <c r="O18" s="77" t="s">
        <v>179</v>
      </c>
      <c r="P18" s="79">
        <v>44998.769525462965</v>
      </c>
      <c r="Q18" s="77" t="s">
        <v>1153</v>
      </c>
      <c r="R18" s="77">
        <v>0</v>
      </c>
      <c r="S18" s="77">
        <v>2</v>
      </c>
      <c r="T18" s="77">
        <v>0</v>
      </c>
      <c r="U18" s="77">
        <v>0</v>
      </c>
      <c r="V18" s="77">
        <v>498</v>
      </c>
      <c r="W18" s="82" t="s">
        <v>4091</v>
      </c>
      <c r="X18" s="80" t="str">
        <f>HYPERLINK("https://www.instagram.com/tv/CpvQg28ggP6/?igshid=MDJmNzVkMjY=")</f>
        <v>https://www.instagram.com/tv/CpvQg28ggP6/?igshid=MDJmNzVkMjY=</v>
      </c>
      <c r="Y18" s="77" t="s">
        <v>6000</v>
      </c>
      <c r="Z18" s="77"/>
      <c r="AA18" s="77"/>
      <c r="AB18" s="77"/>
      <c r="AC18" s="82" t="s">
        <v>7707</v>
      </c>
      <c r="AD18" s="77" t="s">
        <v>7745</v>
      </c>
      <c r="AE18" s="80" t="str">
        <f>HYPERLINK("https://twitter.com/crisinveste/status/1635347021514276865")</f>
        <v>https://twitter.com/crisinveste/status/1635347021514276865</v>
      </c>
      <c r="AF18" s="79">
        <v>44998.769525462965</v>
      </c>
      <c r="AG18" s="85">
        <v>44998</v>
      </c>
      <c r="AH18" s="82" t="s">
        <v>7770</v>
      </c>
      <c r="AI18" s="77" t="b">
        <v>0</v>
      </c>
      <c r="AJ18" s="77"/>
      <c r="AK18" s="77"/>
      <c r="AL18" s="77"/>
      <c r="AM18" s="77"/>
      <c r="AN18" s="77"/>
      <c r="AO18" s="77"/>
      <c r="AP18" s="77"/>
      <c r="AQ18" s="77"/>
      <c r="AR18" s="77"/>
      <c r="AS18" s="77"/>
      <c r="AT18" s="77"/>
      <c r="AU18" s="77"/>
      <c r="AV18" s="80" t="str">
        <f>HYPERLINK("https://pbs.twimg.com/profile_images/1649087655424958467/Kj-OEYcB_normal.jpg")</f>
        <v>https://pbs.twimg.com/profile_images/1649087655424958467/Kj-OEYcB_normal.jpg</v>
      </c>
      <c r="AW18" s="82" t="s">
        <v>12216</v>
      </c>
      <c r="AX18" s="82" t="s">
        <v>12216</v>
      </c>
      <c r="AY18" s="77"/>
      <c r="AZ18" s="82" t="s">
        <v>15804</v>
      </c>
      <c r="BA18" s="82" t="s">
        <v>15804</v>
      </c>
      <c r="BB18" s="82" t="s">
        <v>15804</v>
      </c>
      <c r="BC18" s="82" t="s">
        <v>12216</v>
      </c>
      <c r="BD18" s="82" t="s">
        <v>16146</v>
      </c>
      <c r="BE18" s="77"/>
      <c r="BF18" s="77"/>
      <c r="BG18" s="77"/>
      <c r="BH18" s="77"/>
      <c r="BI18" s="77"/>
    </row>
    <row r="19" spans="1:61" x14ac:dyDescent="0.25">
      <c r="A19" s="62" t="s">
        <v>234</v>
      </c>
      <c r="B19" s="62" t="s">
        <v>234</v>
      </c>
      <c r="C19" s="63"/>
      <c r="D19" s="64"/>
      <c r="E19" s="65"/>
      <c r="F19" s="66"/>
      <c r="G19" s="63"/>
      <c r="H19" s="67"/>
      <c r="I19" s="68"/>
      <c r="J19" s="68"/>
      <c r="K19" s="32"/>
      <c r="L19" s="75">
        <v>19</v>
      </c>
      <c r="M19" s="75"/>
      <c r="N19" s="70"/>
      <c r="O19" s="77" t="s">
        <v>179</v>
      </c>
      <c r="P19" s="79">
        <v>44998.76871527778</v>
      </c>
      <c r="Q19" s="77" t="s">
        <v>1154</v>
      </c>
      <c r="R19" s="77">
        <v>0</v>
      </c>
      <c r="S19" s="77">
        <v>2</v>
      </c>
      <c r="T19" s="77">
        <v>0</v>
      </c>
      <c r="U19" s="77">
        <v>0</v>
      </c>
      <c r="V19" s="77">
        <v>803</v>
      </c>
      <c r="W19" s="82" t="s">
        <v>4091</v>
      </c>
      <c r="X19" s="80" t="str">
        <f>HYPERLINK("https://youtu.be/A03vUK9moBQ")</f>
        <v>https://youtu.be/A03vUK9moBQ</v>
      </c>
      <c r="Y19" s="77" t="s">
        <v>6003</v>
      </c>
      <c r="Z19" s="77"/>
      <c r="AA19" s="77"/>
      <c r="AB19" s="77"/>
      <c r="AC19" s="82" t="s">
        <v>7707</v>
      </c>
      <c r="AD19" s="77" t="s">
        <v>7745</v>
      </c>
      <c r="AE19" s="80" t="str">
        <f>HYPERLINK("https://twitter.com/crisinveste/status/1635346726788960257")</f>
        <v>https://twitter.com/crisinveste/status/1635346726788960257</v>
      </c>
      <c r="AF19" s="79">
        <v>44998.76871527778</v>
      </c>
      <c r="AG19" s="85">
        <v>44998</v>
      </c>
      <c r="AH19" s="82" t="s">
        <v>7771</v>
      </c>
      <c r="AI19" s="77" t="b">
        <v>0</v>
      </c>
      <c r="AJ19" s="77"/>
      <c r="AK19" s="77"/>
      <c r="AL19" s="77"/>
      <c r="AM19" s="77"/>
      <c r="AN19" s="77"/>
      <c r="AO19" s="77"/>
      <c r="AP19" s="77"/>
      <c r="AQ19" s="77"/>
      <c r="AR19" s="77"/>
      <c r="AS19" s="77"/>
      <c r="AT19" s="77"/>
      <c r="AU19" s="77"/>
      <c r="AV19" s="80" t="str">
        <f>HYPERLINK("https://pbs.twimg.com/profile_images/1649087655424958467/Kj-OEYcB_normal.jpg")</f>
        <v>https://pbs.twimg.com/profile_images/1649087655424958467/Kj-OEYcB_normal.jpg</v>
      </c>
      <c r="AW19" s="82" t="s">
        <v>12217</v>
      </c>
      <c r="AX19" s="82" t="s">
        <v>12217</v>
      </c>
      <c r="AY19" s="77"/>
      <c r="AZ19" s="82" t="s">
        <v>15804</v>
      </c>
      <c r="BA19" s="82" t="s">
        <v>15804</v>
      </c>
      <c r="BB19" s="82" t="s">
        <v>15804</v>
      </c>
      <c r="BC19" s="82" t="s">
        <v>12217</v>
      </c>
      <c r="BD19" s="82" t="s">
        <v>16146</v>
      </c>
      <c r="BE19" s="77"/>
      <c r="BF19" s="77"/>
      <c r="BG19" s="77"/>
      <c r="BH19" s="77"/>
      <c r="BI19" s="77"/>
    </row>
    <row r="20" spans="1:61" x14ac:dyDescent="0.25">
      <c r="A20" s="62" t="s">
        <v>235</v>
      </c>
      <c r="B20" s="62" t="s">
        <v>235</v>
      </c>
      <c r="C20" s="63"/>
      <c r="D20" s="64"/>
      <c r="E20" s="65"/>
      <c r="F20" s="66"/>
      <c r="G20" s="63"/>
      <c r="H20" s="67"/>
      <c r="I20" s="68"/>
      <c r="J20" s="68"/>
      <c r="K20" s="32"/>
      <c r="L20" s="75">
        <v>20</v>
      </c>
      <c r="M20" s="75"/>
      <c r="N20" s="70"/>
      <c r="O20" s="77" t="s">
        <v>179</v>
      </c>
      <c r="P20" s="79">
        <v>45053.935173611113</v>
      </c>
      <c r="Q20" s="77" t="s">
        <v>1155</v>
      </c>
      <c r="R20" s="77">
        <v>0</v>
      </c>
      <c r="S20" s="77">
        <v>0</v>
      </c>
      <c r="T20" s="77">
        <v>0</v>
      </c>
      <c r="U20" s="77">
        <v>0</v>
      </c>
      <c r="V20" s="77">
        <v>17</v>
      </c>
      <c r="W20" s="82" t="s">
        <v>4092</v>
      </c>
      <c r="X20" s="77"/>
      <c r="Y20" s="77"/>
      <c r="Z20" s="77"/>
      <c r="AA20" s="77"/>
      <c r="AB20" s="77"/>
      <c r="AC20" s="82" t="s">
        <v>7707</v>
      </c>
      <c r="AD20" s="77" t="s">
        <v>7745</v>
      </c>
      <c r="AE20" s="80" t="str">
        <f>HYPERLINK("https://twitter.com/investthetagang/status/1655338380710891520")</f>
        <v>https://twitter.com/investthetagang/status/1655338380710891520</v>
      </c>
      <c r="AF20" s="79">
        <v>45053.935173611113</v>
      </c>
      <c r="AG20" s="85">
        <v>45053</v>
      </c>
      <c r="AH20" s="82" t="s">
        <v>7772</v>
      </c>
      <c r="AI20" s="77"/>
      <c r="AJ20" s="77"/>
      <c r="AK20" s="77"/>
      <c r="AL20" s="77"/>
      <c r="AM20" s="77"/>
      <c r="AN20" s="77"/>
      <c r="AO20" s="77"/>
      <c r="AP20" s="77"/>
      <c r="AQ20" s="77"/>
      <c r="AR20" s="77"/>
      <c r="AS20" s="77"/>
      <c r="AT20" s="77"/>
      <c r="AU20" s="77"/>
      <c r="AV20" s="80" t="str">
        <f>HYPERLINK("https://pbs.twimg.com/profile_images/1599558080844468231/9LDq-Cf2_normal.jpg")</f>
        <v>https://pbs.twimg.com/profile_images/1599558080844468231/9LDq-Cf2_normal.jpg</v>
      </c>
      <c r="AW20" s="82" t="s">
        <v>12218</v>
      </c>
      <c r="AX20" s="82" t="s">
        <v>12218</v>
      </c>
      <c r="AY20" s="77"/>
      <c r="AZ20" s="82" t="s">
        <v>15804</v>
      </c>
      <c r="BA20" s="82" t="s">
        <v>15804</v>
      </c>
      <c r="BB20" s="82" t="s">
        <v>15804</v>
      </c>
      <c r="BC20" s="82" t="s">
        <v>12218</v>
      </c>
      <c r="BD20" s="82" t="s">
        <v>16147</v>
      </c>
      <c r="BE20" s="77"/>
      <c r="BF20" s="77"/>
      <c r="BG20" s="77"/>
      <c r="BH20" s="77"/>
      <c r="BI20" s="77"/>
    </row>
    <row r="21" spans="1:61" x14ac:dyDescent="0.25">
      <c r="A21" s="62" t="s">
        <v>236</v>
      </c>
      <c r="B21" s="62" t="s">
        <v>236</v>
      </c>
      <c r="C21" s="63"/>
      <c r="D21" s="64"/>
      <c r="E21" s="65"/>
      <c r="F21" s="66"/>
      <c r="G21" s="63"/>
      <c r="H21" s="67"/>
      <c r="I21" s="68"/>
      <c r="J21" s="68"/>
      <c r="K21" s="32"/>
      <c r="L21" s="75">
        <v>21</v>
      </c>
      <c r="M21" s="75"/>
      <c r="N21" s="70"/>
      <c r="O21" s="77" t="s">
        <v>179</v>
      </c>
      <c r="P21" s="79">
        <v>44948.018877314818</v>
      </c>
      <c r="Q21" s="77" t="s">
        <v>1156</v>
      </c>
      <c r="R21" s="77">
        <v>0</v>
      </c>
      <c r="S21" s="77">
        <v>0</v>
      </c>
      <c r="T21" s="77">
        <v>0</v>
      </c>
      <c r="U21" s="77">
        <v>0</v>
      </c>
      <c r="V21" s="77">
        <v>13</v>
      </c>
      <c r="W21" s="82" t="s">
        <v>4093</v>
      </c>
      <c r="X21" s="80" t="str">
        <f>HYPERLINK("https://www.instagram.com/p/CnsoIr9tPDf/?igshid=YTgzYjQ4ZTY=")</f>
        <v>https://www.instagram.com/p/CnsoIr9tPDf/?igshid=YTgzYjQ4ZTY=</v>
      </c>
      <c r="Y21" s="77" t="s">
        <v>6000</v>
      </c>
      <c r="Z21" s="77"/>
      <c r="AA21" s="77"/>
      <c r="AB21" s="77"/>
      <c r="AC21" s="82" t="s">
        <v>7704</v>
      </c>
      <c r="AD21" s="77" t="s">
        <v>7745</v>
      </c>
      <c r="AE21" s="80" t="str">
        <f>HYPERLINK("https://twitter.com/mzambianco/status/1616955601615028226")</f>
        <v>https://twitter.com/mzambianco/status/1616955601615028226</v>
      </c>
      <c r="AF21" s="79">
        <v>44948.018877314818</v>
      </c>
      <c r="AG21" s="85">
        <v>44948</v>
      </c>
      <c r="AH21" s="82" t="s">
        <v>7773</v>
      </c>
      <c r="AI21" s="77" t="b">
        <v>0</v>
      </c>
      <c r="AJ21" s="77"/>
      <c r="AK21" s="77"/>
      <c r="AL21" s="77"/>
      <c r="AM21" s="77"/>
      <c r="AN21" s="77"/>
      <c r="AO21" s="77"/>
      <c r="AP21" s="77"/>
      <c r="AQ21" s="77"/>
      <c r="AR21" s="77"/>
      <c r="AS21" s="77"/>
      <c r="AT21" s="77"/>
      <c r="AU21" s="77"/>
      <c r="AV21" s="80" t="str">
        <f>HYPERLINK("https://pbs.twimg.com/profile_images/1592886496725540864/HHRb-bi3_normal.jpg")</f>
        <v>https://pbs.twimg.com/profile_images/1592886496725540864/HHRb-bi3_normal.jpg</v>
      </c>
      <c r="AW21" s="82" t="s">
        <v>12219</v>
      </c>
      <c r="AX21" s="82" t="s">
        <v>12219</v>
      </c>
      <c r="AY21" s="77"/>
      <c r="AZ21" s="82" t="s">
        <v>15804</v>
      </c>
      <c r="BA21" s="82" t="s">
        <v>15804</v>
      </c>
      <c r="BB21" s="82" t="s">
        <v>15804</v>
      </c>
      <c r="BC21" s="82" t="s">
        <v>12219</v>
      </c>
      <c r="BD21" s="77">
        <v>55358981</v>
      </c>
      <c r="BE21" s="77"/>
      <c r="BF21" s="77"/>
      <c r="BG21" s="77"/>
      <c r="BH21" s="77"/>
      <c r="BI21" s="77"/>
    </row>
    <row r="22" spans="1:61" x14ac:dyDescent="0.25">
      <c r="A22" s="62" t="s">
        <v>237</v>
      </c>
      <c r="B22" s="62" t="s">
        <v>237</v>
      </c>
      <c r="C22" s="63"/>
      <c r="D22" s="64"/>
      <c r="E22" s="65"/>
      <c r="F22" s="66"/>
      <c r="G22" s="63"/>
      <c r="H22" s="67"/>
      <c r="I22" s="68"/>
      <c r="J22" s="68"/>
      <c r="K22" s="32"/>
      <c r="L22" s="75">
        <v>22</v>
      </c>
      <c r="M22" s="75"/>
      <c r="N22" s="70"/>
      <c r="O22" s="77" t="s">
        <v>179</v>
      </c>
      <c r="P22" s="79">
        <v>44946.913900462961</v>
      </c>
      <c r="Q22" s="77" t="s">
        <v>1157</v>
      </c>
      <c r="R22" s="77">
        <v>1</v>
      </c>
      <c r="S22" s="77">
        <v>18</v>
      </c>
      <c r="T22" s="77">
        <v>0</v>
      </c>
      <c r="U22" s="77">
        <v>0</v>
      </c>
      <c r="V22" s="77">
        <v>291</v>
      </c>
      <c r="W22" s="82" t="s">
        <v>4094</v>
      </c>
      <c r="X22" s="80" t="str">
        <f>HYPERLINK("https://youtu.be/64-Tz2FrIjM")</f>
        <v>https://youtu.be/64-Tz2FrIjM</v>
      </c>
      <c r="Y22" s="77" t="s">
        <v>6003</v>
      </c>
      <c r="Z22" s="77"/>
      <c r="AA22" s="77" t="s">
        <v>6156</v>
      </c>
      <c r="AB22" s="77" t="s">
        <v>7696</v>
      </c>
      <c r="AC22" s="82" t="s">
        <v>7706</v>
      </c>
      <c r="AD22" s="77" t="s">
        <v>7745</v>
      </c>
      <c r="AE22" s="80" t="str">
        <f>HYPERLINK("https://twitter.com/_brasilpopular/status/1616555171747713034")</f>
        <v>https://twitter.com/_brasilpopular/status/1616555171747713034</v>
      </c>
      <c r="AF22" s="79">
        <v>44946.913900462961</v>
      </c>
      <c r="AG22" s="85">
        <v>44946</v>
      </c>
      <c r="AH22" s="82" t="s">
        <v>7774</v>
      </c>
      <c r="AI22" s="77" t="b">
        <v>0</v>
      </c>
      <c r="AJ22" s="77"/>
      <c r="AK22" s="77"/>
      <c r="AL22" s="77"/>
      <c r="AM22" s="77"/>
      <c r="AN22" s="77"/>
      <c r="AO22" s="77"/>
      <c r="AP22" s="77"/>
      <c r="AQ22" s="77" t="s">
        <v>10663</v>
      </c>
      <c r="AR22" s="77"/>
      <c r="AS22" s="77"/>
      <c r="AT22" s="77"/>
      <c r="AU22" s="77"/>
      <c r="AV22" s="80" t="str">
        <f>HYPERLINK("https://pbs.twimg.com/media/Fm8oNt3XgAAyJMp.jpg")</f>
        <v>https://pbs.twimg.com/media/Fm8oNt3XgAAyJMp.jpg</v>
      </c>
      <c r="AW22" s="82" t="s">
        <v>12220</v>
      </c>
      <c r="AX22" s="82" t="s">
        <v>12220</v>
      </c>
      <c r="AY22" s="77"/>
      <c r="AZ22" s="82" t="s">
        <v>15804</v>
      </c>
      <c r="BA22" s="82" t="s">
        <v>15804</v>
      </c>
      <c r="BB22" s="82" t="s">
        <v>15804</v>
      </c>
      <c r="BC22" s="82" t="s">
        <v>12220</v>
      </c>
      <c r="BD22" s="82" t="s">
        <v>16148</v>
      </c>
      <c r="BE22" s="77"/>
      <c r="BF22" s="77"/>
      <c r="BG22" s="77"/>
      <c r="BH22" s="77"/>
      <c r="BI22" s="77"/>
    </row>
    <row r="23" spans="1:61" x14ac:dyDescent="0.25">
      <c r="A23" s="62" t="s">
        <v>238</v>
      </c>
      <c r="B23" s="62" t="s">
        <v>238</v>
      </c>
      <c r="C23" s="63"/>
      <c r="D23" s="64"/>
      <c r="E23" s="65"/>
      <c r="F23" s="66"/>
      <c r="G23" s="63"/>
      <c r="H23" s="67"/>
      <c r="I23" s="68"/>
      <c r="J23" s="68"/>
      <c r="K23" s="32"/>
      <c r="L23" s="75">
        <v>23</v>
      </c>
      <c r="M23" s="75"/>
      <c r="N23" s="70"/>
      <c r="O23" s="77" t="s">
        <v>179</v>
      </c>
      <c r="P23" s="79">
        <v>44929.582442129627</v>
      </c>
      <c r="Q23" s="77" t="s">
        <v>1158</v>
      </c>
      <c r="R23" s="77">
        <v>0</v>
      </c>
      <c r="S23" s="77">
        <v>0</v>
      </c>
      <c r="T23" s="77">
        <v>0</v>
      </c>
      <c r="U23" s="77">
        <v>0</v>
      </c>
      <c r="V23" s="77">
        <v>5</v>
      </c>
      <c r="W23" s="82" t="s">
        <v>4095</v>
      </c>
      <c r="X23" s="80" t="str">
        <f>HYPERLINK("https://www.instagram.com/p/Cm9J5xbupkX/?igshid=YTgzYjQ4ZTY=")</f>
        <v>https://www.instagram.com/p/Cm9J5xbupkX/?igshid=YTgzYjQ4ZTY=</v>
      </c>
      <c r="Y23" s="77" t="s">
        <v>6000</v>
      </c>
      <c r="Z23" s="77"/>
      <c r="AA23" s="77"/>
      <c r="AB23" s="77"/>
      <c r="AC23" s="82" t="s">
        <v>7704</v>
      </c>
      <c r="AD23" s="77" t="s">
        <v>7745</v>
      </c>
      <c r="AE23" s="80" t="str">
        <f>HYPERLINK("https://twitter.com/3l0y4n/status/1610274459927171074")</f>
        <v>https://twitter.com/3l0y4n/status/1610274459927171074</v>
      </c>
      <c r="AF23" s="79">
        <v>44929.582442129627</v>
      </c>
      <c r="AG23" s="85">
        <v>44929</v>
      </c>
      <c r="AH23" s="82" t="s">
        <v>7775</v>
      </c>
      <c r="AI23" s="77" t="b">
        <v>0</v>
      </c>
      <c r="AJ23" s="77"/>
      <c r="AK23" s="77"/>
      <c r="AL23" s="77"/>
      <c r="AM23" s="77"/>
      <c r="AN23" s="77"/>
      <c r="AO23" s="77"/>
      <c r="AP23" s="77"/>
      <c r="AQ23" s="77"/>
      <c r="AR23" s="77"/>
      <c r="AS23" s="77"/>
      <c r="AT23" s="77"/>
      <c r="AU23" s="77"/>
      <c r="AV23" s="80" t="str">
        <f>HYPERLINK("https://pbs.twimg.com/profile_images/1625928128894836737/yz2R8fPT_normal.jpg")</f>
        <v>https://pbs.twimg.com/profile_images/1625928128894836737/yz2R8fPT_normal.jpg</v>
      </c>
      <c r="AW23" s="82" t="s">
        <v>12221</v>
      </c>
      <c r="AX23" s="82" t="s">
        <v>12221</v>
      </c>
      <c r="AY23" s="77"/>
      <c r="AZ23" s="82" t="s">
        <v>15804</v>
      </c>
      <c r="BA23" s="82" t="s">
        <v>15804</v>
      </c>
      <c r="BB23" s="82" t="s">
        <v>15804</v>
      </c>
      <c r="BC23" s="82" t="s">
        <v>12221</v>
      </c>
      <c r="BD23" s="77">
        <v>2198832585</v>
      </c>
      <c r="BE23" s="77"/>
      <c r="BF23" s="77"/>
      <c r="BG23" s="77"/>
      <c r="BH23" s="77"/>
      <c r="BI23" s="77"/>
    </row>
    <row r="24" spans="1:61" x14ac:dyDescent="0.25">
      <c r="A24" s="62" t="s">
        <v>239</v>
      </c>
      <c r="B24" s="62" t="s">
        <v>239</v>
      </c>
      <c r="C24" s="63"/>
      <c r="D24" s="64"/>
      <c r="E24" s="65"/>
      <c r="F24" s="66"/>
      <c r="G24" s="63"/>
      <c r="H24" s="67"/>
      <c r="I24" s="68"/>
      <c r="J24" s="68"/>
      <c r="K24" s="32"/>
      <c r="L24" s="75">
        <v>24</v>
      </c>
      <c r="M24" s="75"/>
      <c r="N24" s="70"/>
      <c r="O24" s="77" t="s">
        <v>179</v>
      </c>
      <c r="P24" s="79">
        <v>44986.818738425929</v>
      </c>
      <c r="Q24" s="77" t="s">
        <v>1159</v>
      </c>
      <c r="R24" s="77">
        <v>0</v>
      </c>
      <c r="S24" s="77">
        <v>0</v>
      </c>
      <c r="T24" s="77">
        <v>0</v>
      </c>
      <c r="U24" s="77">
        <v>0</v>
      </c>
      <c r="V24" s="77">
        <v>61</v>
      </c>
      <c r="W24" s="82" t="s">
        <v>4096</v>
      </c>
      <c r="X24" s="80" t="str">
        <f>HYPERLINK("https://bit.ly/41zjwr7")</f>
        <v>https://bit.ly/41zjwr7</v>
      </c>
      <c r="Y24" s="77" t="s">
        <v>6004</v>
      </c>
      <c r="Z24" s="77"/>
      <c r="AA24" s="77"/>
      <c r="AB24" s="77"/>
      <c r="AC24" s="82" t="s">
        <v>7710</v>
      </c>
      <c r="AD24" s="77" t="s">
        <v>7745</v>
      </c>
      <c r="AE24" s="80" t="str">
        <f>HYPERLINK("https://twitter.com/guarulhosonline/status/1631016200904888327")</f>
        <v>https://twitter.com/guarulhosonline/status/1631016200904888327</v>
      </c>
      <c r="AF24" s="79">
        <v>44986.818738425929</v>
      </c>
      <c r="AG24" s="85">
        <v>44986</v>
      </c>
      <c r="AH24" s="82" t="s">
        <v>7776</v>
      </c>
      <c r="AI24" s="77" t="b">
        <v>0</v>
      </c>
      <c r="AJ24" s="77"/>
      <c r="AK24" s="77"/>
      <c r="AL24" s="77"/>
      <c r="AM24" s="77"/>
      <c r="AN24" s="77"/>
      <c r="AO24" s="77"/>
      <c r="AP24" s="77"/>
      <c r="AQ24" s="77"/>
      <c r="AR24" s="77"/>
      <c r="AS24" s="77"/>
      <c r="AT24" s="77"/>
      <c r="AU24" s="77"/>
      <c r="AV24" s="80" t="str">
        <f>HYPERLINK("https://pbs.twimg.com/profile_images/1177212695776518144/61vDUE-Q_normal.jpg")</f>
        <v>https://pbs.twimg.com/profile_images/1177212695776518144/61vDUE-Q_normal.jpg</v>
      </c>
      <c r="AW24" s="82" t="s">
        <v>12222</v>
      </c>
      <c r="AX24" s="82" t="s">
        <v>12222</v>
      </c>
      <c r="AY24" s="77"/>
      <c r="AZ24" s="82" t="s">
        <v>15804</v>
      </c>
      <c r="BA24" s="82" t="s">
        <v>15804</v>
      </c>
      <c r="BB24" s="82" t="s">
        <v>15804</v>
      </c>
      <c r="BC24" s="82" t="s">
        <v>12222</v>
      </c>
      <c r="BD24" s="77">
        <v>70411503</v>
      </c>
      <c r="BE24" s="77"/>
      <c r="BF24" s="77"/>
      <c r="BG24" s="77"/>
      <c r="BH24" s="77"/>
      <c r="BI24" s="77"/>
    </row>
    <row r="25" spans="1:61" x14ac:dyDescent="0.25">
      <c r="A25" s="62" t="s">
        <v>240</v>
      </c>
      <c r="B25" s="62" t="s">
        <v>1051</v>
      </c>
      <c r="C25" s="63"/>
      <c r="D25" s="64"/>
      <c r="E25" s="65"/>
      <c r="F25" s="66"/>
      <c r="G25" s="63"/>
      <c r="H25" s="67"/>
      <c r="I25" s="68"/>
      <c r="J25" s="68"/>
      <c r="K25" s="32"/>
      <c r="L25" s="75">
        <v>25</v>
      </c>
      <c r="M25" s="75"/>
      <c r="N25" s="70"/>
      <c r="O25" s="77" t="s">
        <v>1133</v>
      </c>
      <c r="P25" s="79">
        <v>45000.782870370371</v>
      </c>
      <c r="Q25" s="77" t="s">
        <v>1160</v>
      </c>
      <c r="R25" s="77">
        <v>0</v>
      </c>
      <c r="S25" s="77">
        <v>0</v>
      </c>
      <c r="T25" s="77">
        <v>0</v>
      </c>
      <c r="U25" s="77">
        <v>0</v>
      </c>
      <c r="V25" s="77">
        <v>40</v>
      </c>
      <c r="W25" s="82" t="s">
        <v>4097</v>
      </c>
      <c r="X25" s="80" t="str">
        <f>HYPERLINK("https://www.jcorreiodopovo.com.br/economia/primeira-fase-da-olimpiada-brasileira-de-economia-ocorre-neste-fim-de-semana/")</f>
        <v>https://www.jcorreiodopovo.com.br/economia/primeira-fase-da-olimpiada-brasileira-de-economia-ocorre-neste-fim-de-semana/</v>
      </c>
      <c r="Y25" s="77" t="s">
        <v>6002</v>
      </c>
      <c r="Z25" s="77" t="s">
        <v>6119</v>
      </c>
      <c r="AA25" s="77"/>
      <c r="AB25" s="77"/>
      <c r="AC25" s="82" t="s">
        <v>7706</v>
      </c>
      <c r="AD25" s="77" t="s">
        <v>7745</v>
      </c>
      <c r="AE25" s="80" t="str">
        <f>HYPERLINK("https://twitter.com/amanumanoela/status/1636076631700676612")</f>
        <v>https://twitter.com/amanumanoela/status/1636076631700676612</v>
      </c>
      <c r="AF25" s="79">
        <v>45000.782870370371</v>
      </c>
      <c r="AG25" s="85">
        <v>45000</v>
      </c>
      <c r="AH25" s="82" t="s">
        <v>7777</v>
      </c>
      <c r="AI25" s="77" t="b">
        <v>0</v>
      </c>
      <c r="AJ25" s="77"/>
      <c r="AK25" s="77"/>
      <c r="AL25" s="77"/>
      <c r="AM25" s="77"/>
      <c r="AN25" s="77"/>
      <c r="AO25" s="77"/>
      <c r="AP25" s="77"/>
      <c r="AQ25" s="77"/>
      <c r="AR25" s="77"/>
      <c r="AS25" s="77"/>
      <c r="AT25" s="77"/>
      <c r="AU25" s="77"/>
      <c r="AV25" s="80" t="str">
        <f>HYPERLINK("https://pbs.twimg.com/profile_images/895288503260635136/_ghSfGnE_normal.jpg")</f>
        <v>https://pbs.twimg.com/profile_images/895288503260635136/_ghSfGnE_normal.jpg</v>
      </c>
      <c r="AW25" s="82" t="s">
        <v>12223</v>
      </c>
      <c r="AX25" s="82" t="s">
        <v>12223</v>
      </c>
      <c r="AY25" s="77"/>
      <c r="AZ25" s="82" t="s">
        <v>15804</v>
      </c>
      <c r="BA25" s="82" t="s">
        <v>15804</v>
      </c>
      <c r="BB25" s="82" t="s">
        <v>15804</v>
      </c>
      <c r="BC25" s="82" t="s">
        <v>12223</v>
      </c>
      <c r="BD25" s="82" t="s">
        <v>16149</v>
      </c>
      <c r="BE25" s="77"/>
      <c r="BF25" s="77"/>
      <c r="BG25" s="77"/>
      <c r="BH25" s="77"/>
      <c r="BI25" s="77"/>
    </row>
    <row r="26" spans="1:61" x14ac:dyDescent="0.25">
      <c r="A26" s="62" t="s">
        <v>240</v>
      </c>
      <c r="B26" s="62" t="s">
        <v>1052</v>
      </c>
      <c r="C26" s="63"/>
      <c r="D26" s="64"/>
      <c r="E26" s="65"/>
      <c r="F26" s="66"/>
      <c r="G26" s="63"/>
      <c r="H26" s="67"/>
      <c r="I26" s="68"/>
      <c r="J26" s="68"/>
      <c r="K26" s="32"/>
      <c r="L26" s="75">
        <v>26</v>
      </c>
      <c r="M26" s="75"/>
      <c r="N26" s="70"/>
      <c r="O26" s="77" t="s">
        <v>1133</v>
      </c>
      <c r="P26" s="79">
        <v>45000.782870370371</v>
      </c>
      <c r="Q26" s="77" t="s">
        <v>1160</v>
      </c>
      <c r="R26" s="77">
        <v>0</v>
      </c>
      <c r="S26" s="77">
        <v>0</v>
      </c>
      <c r="T26" s="77">
        <v>0</v>
      </c>
      <c r="U26" s="77">
        <v>0</v>
      </c>
      <c r="V26" s="77">
        <v>40</v>
      </c>
      <c r="W26" s="82" t="s">
        <v>4097</v>
      </c>
      <c r="X26" s="80" t="str">
        <f>HYPERLINK("https://www.jcorreiodopovo.com.br/economia/primeira-fase-da-olimpiada-brasileira-de-economia-ocorre-neste-fim-de-semana/")</f>
        <v>https://www.jcorreiodopovo.com.br/economia/primeira-fase-da-olimpiada-brasileira-de-economia-ocorre-neste-fim-de-semana/</v>
      </c>
      <c r="Y26" s="77" t="s">
        <v>6002</v>
      </c>
      <c r="Z26" s="77" t="s">
        <v>6119</v>
      </c>
      <c r="AA26" s="77"/>
      <c r="AB26" s="77"/>
      <c r="AC26" s="82" t="s">
        <v>7706</v>
      </c>
      <c r="AD26" s="77" t="s">
        <v>7745</v>
      </c>
      <c r="AE26" s="80" t="str">
        <f>HYPERLINK("https://twitter.com/amanumanoela/status/1636076631700676612")</f>
        <v>https://twitter.com/amanumanoela/status/1636076631700676612</v>
      </c>
      <c r="AF26" s="79">
        <v>45000.782870370371</v>
      </c>
      <c r="AG26" s="85">
        <v>45000</v>
      </c>
      <c r="AH26" s="82" t="s">
        <v>7777</v>
      </c>
      <c r="AI26" s="77" t="b">
        <v>0</v>
      </c>
      <c r="AJ26" s="77"/>
      <c r="AK26" s="77"/>
      <c r="AL26" s="77"/>
      <c r="AM26" s="77"/>
      <c r="AN26" s="77"/>
      <c r="AO26" s="77"/>
      <c r="AP26" s="77"/>
      <c r="AQ26" s="77"/>
      <c r="AR26" s="77"/>
      <c r="AS26" s="77"/>
      <c r="AT26" s="77"/>
      <c r="AU26" s="77"/>
      <c r="AV26" s="80" t="str">
        <f>HYPERLINK("https://pbs.twimg.com/profile_images/895288503260635136/_ghSfGnE_normal.jpg")</f>
        <v>https://pbs.twimg.com/profile_images/895288503260635136/_ghSfGnE_normal.jpg</v>
      </c>
      <c r="AW26" s="82" t="s">
        <v>12223</v>
      </c>
      <c r="AX26" s="82" t="s">
        <v>12223</v>
      </c>
      <c r="AY26" s="77"/>
      <c r="AZ26" s="82" t="s">
        <v>15804</v>
      </c>
      <c r="BA26" s="82" t="s">
        <v>15804</v>
      </c>
      <c r="BB26" s="82" t="s">
        <v>15804</v>
      </c>
      <c r="BC26" s="82" t="s">
        <v>12223</v>
      </c>
      <c r="BD26" s="82" t="s">
        <v>16149</v>
      </c>
      <c r="BE26" s="77"/>
      <c r="BF26" s="77"/>
      <c r="BG26" s="77"/>
      <c r="BH26" s="77"/>
      <c r="BI26" s="77"/>
    </row>
    <row r="27" spans="1:61" x14ac:dyDescent="0.25">
      <c r="A27" s="62" t="s">
        <v>241</v>
      </c>
      <c r="B27" s="62" t="s">
        <v>241</v>
      </c>
      <c r="C27" s="63"/>
      <c r="D27" s="64"/>
      <c r="E27" s="65"/>
      <c r="F27" s="66"/>
      <c r="G27" s="63"/>
      <c r="H27" s="67"/>
      <c r="I27" s="68"/>
      <c r="J27" s="68"/>
      <c r="K27" s="32"/>
      <c r="L27" s="75">
        <v>27</v>
      </c>
      <c r="M27" s="75"/>
      <c r="N27" s="70"/>
      <c r="O27" s="77" t="s">
        <v>179</v>
      </c>
      <c r="P27" s="79">
        <v>45176.892141203702</v>
      </c>
      <c r="Q27" s="77" t="s">
        <v>1161</v>
      </c>
      <c r="R27" s="77">
        <v>0</v>
      </c>
      <c r="S27" s="77">
        <v>3</v>
      </c>
      <c r="T27" s="77">
        <v>0</v>
      </c>
      <c r="U27" s="77">
        <v>0</v>
      </c>
      <c r="V27" s="77">
        <v>159</v>
      </c>
      <c r="W27" s="82" t="s">
        <v>4098</v>
      </c>
      <c r="X27" s="77"/>
      <c r="Y27" s="77"/>
      <c r="Z27" s="77"/>
      <c r="AA27" s="77" t="s">
        <v>6157</v>
      </c>
      <c r="AB27" s="77" t="s">
        <v>7697</v>
      </c>
      <c r="AC27" s="82" t="s">
        <v>7705</v>
      </c>
      <c r="AD27" s="77" t="s">
        <v>7745</v>
      </c>
      <c r="AE27" s="80" t="str">
        <f>HYPERLINK("https://twitter.com/roberto_unger_/status/1699896496001614110")</f>
        <v>https://twitter.com/roberto_unger_/status/1699896496001614110</v>
      </c>
      <c r="AF27" s="79">
        <v>45176.892141203702</v>
      </c>
      <c r="AG27" s="85">
        <v>45176</v>
      </c>
      <c r="AH27" s="82" t="s">
        <v>7778</v>
      </c>
      <c r="AI27" s="77" t="b">
        <v>0</v>
      </c>
      <c r="AJ27" s="77"/>
      <c r="AK27" s="77"/>
      <c r="AL27" s="77"/>
      <c r="AM27" s="77"/>
      <c r="AN27" s="77"/>
      <c r="AO27" s="77"/>
      <c r="AP27" s="77"/>
      <c r="AQ27" s="77" t="s">
        <v>10664</v>
      </c>
      <c r="AR27" s="77">
        <v>99083</v>
      </c>
      <c r="AS27" s="77"/>
      <c r="AT27" s="77"/>
      <c r="AU27" s="77">
        <v>58</v>
      </c>
      <c r="AV27" s="80" t="str">
        <f>HYPERLINK("https://pbs.twimg.com/ext_tw_video_thumb/1699896402552201217/pu/img/oVSQJpOOLH19tUR3.jpg")</f>
        <v>https://pbs.twimg.com/ext_tw_video_thumb/1699896402552201217/pu/img/oVSQJpOOLH19tUR3.jpg</v>
      </c>
      <c r="AW27" s="82" t="s">
        <v>12224</v>
      </c>
      <c r="AX27" s="82" t="s">
        <v>12224</v>
      </c>
      <c r="AY27" s="77"/>
      <c r="AZ27" s="82" t="s">
        <v>15804</v>
      </c>
      <c r="BA27" s="82" t="s">
        <v>15804</v>
      </c>
      <c r="BB27" s="82" t="s">
        <v>15804</v>
      </c>
      <c r="BC27" s="82" t="s">
        <v>12224</v>
      </c>
      <c r="BD27" s="82" t="s">
        <v>16150</v>
      </c>
      <c r="BE27" s="77"/>
      <c r="BF27" s="77"/>
      <c r="BG27" s="77"/>
      <c r="BH27" s="77"/>
      <c r="BI27" s="77"/>
    </row>
    <row r="28" spans="1:61" x14ac:dyDescent="0.25">
      <c r="A28" s="62" t="s">
        <v>242</v>
      </c>
      <c r="B28" s="62" t="s">
        <v>242</v>
      </c>
      <c r="C28" s="63"/>
      <c r="D28" s="64"/>
      <c r="E28" s="65"/>
      <c r="F28" s="66"/>
      <c r="G28" s="63"/>
      <c r="H28" s="67"/>
      <c r="I28" s="68"/>
      <c r="J28" s="68"/>
      <c r="K28" s="32"/>
      <c r="L28" s="75">
        <v>28</v>
      </c>
      <c r="M28" s="75"/>
      <c r="N28" s="70"/>
      <c r="O28" s="77" t="s">
        <v>179</v>
      </c>
      <c r="P28" s="79">
        <v>45055.803113425929</v>
      </c>
      <c r="Q28" s="77" t="s">
        <v>1162</v>
      </c>
      <c r="R28" s="77">
        <v>0</v>
      </c>
      <c r="S28" s="77">
        <v>0</v>
      </c>
      <c r="T28" s="77">
        <v>0</v>
      </c>
      <c r="U28" s="77">
        <v>0</v>
      </c>
      <c r="V28" s="77">
        <v>32</v>
      </c>
      <c r="W28" s="82" t="s">
        <v>4099</v>
      </c>
      <c r="X28" s="77"/>
      <c r="Y28" s="77"/>
      <c r="Z28" s="77"/>
      <c r="AA28" s="77" t="s">
        <v>6158</v>
      </c>
      <c r="AB28" s="77" t="s">
        <v>7696</v>
      </c>
      <c r="AC28" s="82" t="s">
        <v>7705</v>
      </c>
      <c r="AD28" s="77" t="s">
        <v>7745</v>
      </c>
      <c r="AE28" s="80" t="str">
        <f>HYPERLINK("https://twitter.com/stockcollector_/status/1656015298846236693")</f>
        <v>https://twitter.com/stockcollector_/status/1656015298846236693</v>
      </c>
      <c r="AF28" s="79">
        <v>45055.803113425929</v>
      </c>
      <c r="AG28" s="85">
        <v>45055</v>
      </c>
      <c r="AH28" s="82" t="s">
        <v>7779</v>
      </c>
      <c r="AI28" s="77" t="b">
        <v>0</v>
      </c>
      <c r="AJ28" s="77"/>
      <c r="AK28" s="77"/>
      <c r="AL28" s="77"/>
      <c r="AM28" s="77"/>
      <c r="AN28" s="77"/>
      <c r="AO28" s="77"/>
      <c r="AP28" s="77"/>
      <c r="AQ28" s="77" t="s">
        <v>10665</v>
      </c>
      <c r="AR28" s="77"/>
      <c r="AS28" s="77"/>
      <c r="AT28" s="77"/>
      <c r="AU28" s="77"/>
      <c r="AV28" s="80" t="str">
        <f>HYPERLINK("https://pbs.twimg.com/media/FvtZImBXgAU0dv8.jpg")</f>
        <v>https://pbs.twimg.com/media/FvtZImBXgAU0dv8.jpg</v>
      </c>
      <c r="AW28" s="82" t="s">
        <v>12225</v>
      </c>
      <c r="AX28" s="82" t="s">
        <v>12225</v>
      </c>
      <c r="AY28" s="77"/>
      <c r="AZ28" s="82" t="s">
        <v>15804</v>
      </c>
      <c r="BA28" s="82" t="s">
        <v>15804</v>
      </c>
      <c r="BB28" s="82" t="s">
        <v>15804</v>
      </c>
      <c r="BC28" s="82" t="s">
        <v>12225</v>
      </c>
      <c r="BD28" s="82" t="s">
        <v>16151</v>
      </c>
      <c r="BE28" s="77"/>
      <c r="BF28" s="77"/>
      <c r="BG28" s="77"/>
      <c r="BH28" s="77"/>
      <c r="BI28" s="77"/>
    </row>
    <row r="29" spans="1:61" x14ac:dyDescent="0.25">
      <c r="A29" s="62" t="s">
        <v>243</v>
      </c>
      <c r="B29" s="62" t="s">
        <v>243</v>
      </c>
      <c r="C29" s="63"/>
      <c r="D29" s="64"/>
      <c r="E29" s="65"/>
      <c r="F29" s="66"/>
      <c r="G29" s="63"/>
      <c r="H29" s="67"/>
      <c r="I29" s="68"/>
      <c r="J29" s="68"/>
      <c r="K29" s="32"/>
      <c r="L29" s="75">
        <v>29</v>
      </c>
      <c r="M29" s="75"/>
      <c r="N29" s="70"/>
      <c r="O29" s="77" t="s">
        <v>179</v>
      </c>
      <c r="P29" s="79">
        <v>44962.944548611114</v>
      </c>
      <c r="Q29" s="77" t="s">
        <v>1163</v>
      </c>
      <c r="R29" s="77">
        <v>0</v>
      </c>
      <c r="S29" s="77">
        <v>0</v>
      </c>
      <c r="T29" s="77">
        <v>0</v>
      </c>
      <c r="U29" s="77">
        <v>0</v>
      </c>
      <c r="V29" s="77">
        <v>10</v>
      </c>
      <c r="W29" s="82" t="s">
        <v>4100</v>
      </c>
      <c r="X29" s="80" t="str">
        <f>HYPERLINK("https://link.medium.com/0VfiJwvlbxb")</f>
        <v>https://link.medium.com/0VfiJwvlbxb</v>
      </c>
      <c r="Y29" s="77" t="s">
        <v>6005</v>
      </c>
      <c r="Z29" s="77"/>
      <c r="AA29" s="77" t="s">
        <v>6159</v>
      </c>
      <c r="AB29" s="77" t="s">
        <v>7696</v>
      </c>
      <c r="AC29" s="82" t="s">
        <v>7705</v>
      </c>
      <c r="AD29" s="77" t="s">
        <v>7745</v>
      </c>
      <c r="AE29" s="80" t="str">
        <f>HYPERLINK("https://twitter.com/hilvieira/status/1622364483984232449")</f>
        <v>https://twitter.com/hilvieira/status/1622364483984232449</v>
      </c>
      <c r="AF29" s="79">
        <v>44962.944548611114</v>
      </c>
      <c r="AG29" s="85">
        <v>44962</v>
      </c>
      <c r="AH29" s="82" t="s">
        <v>7780</v>
      </c>
      <c r="AI29" s="77" t="b">
        <v>0</v>
      </c>
      <c r="AJ29" s="77"/>
      <c r="AK29" s="77"/>
      <c r="AL29" s="77"/>
      <c r="AM29" s="77"/>
      <c r="AN29" s="77"/>
      <c r="AO29" s="77"/>
      <c r="AP29" s="77"/>
      <c r="AQ29" s="77" t="s">
        <v>10666</v>
      </c>
      <c r="AR29" s="77"/>
      <c r="AS29" s="77"/>
      <c r="AT29" s="77"/>
      <c r="AU29" s="77"/>
      <c r="AV29" s="80" t="str">
        <f>HYPERLINK("https://pbs.twimg.com/media/FoPL5fFXwAMquVg.jpg")</f>
        <v>https://pbs.twimg.com/media/FoPL5fFXwAMquVg.jpg</v>
      </c>
      <c r="AW29" s="82" t="s">
        <v>12226</v>
      </c>
      <c r="AX29" s="82" t="s">
        <v>12226</v>
      </c>
      <c r="AY29" s="77"/>
      <c r="AZ29" s="82" t="s">
        <v>15804</v>
      </c>
      <c r="BA29" s="82" t="s">
        <v>15804</v>
      </c>
      <c r="BB29" s="82" t="s">
        <v>15804</v>
      </c>
      <c r="BC29" s="82" t="s">
        <v>12226</v>
      </c>
      <c r="BD29" s="77">
        <v>38833158</v>
      </c>
      <c r="BE29" s="77"/>
      <c r="BF29" s="77"/>
      <c r="BG29" s="77"/>
      <c r="BH29" s="77"/>
      <c r="BI29" s="77"/>
    </row>
    <row r="30" spans="1:61" x14ac:dyDescent="0.25">
      <c r="A30" s="62" t="s">
        <v>244</v>
      </c>
      <c r="B30" s="62" t="s">
        <v>610</v>
      </c>
      <c r="C30" s="63"/>
      <c r="D30" s="64"/>
      <c r="E30" s="65"/>
      <c r="F30" s="66"/>
      <c r="G30" s="63"/>
      <c r="H30" s="67"/>
      <c r="I30" s="68"/>
      <c r="J30" s="68"/>
      <c r="K30" s="32"/>
      <c r="L30" s="75">
        <v>30</v>
      </c>
      <c r="M30" s="75"/>
      <c r="N30" s="70"/>
      <c r="O30" s="77" t="s">
        <v>1134</v>
      </c>
      <c r="P30" s="79">
        <v>45175.079699074071</v>
      </c>
      <c r="Q30" s="77" t="s">
        <v>1164</v>
      </c>
      <c r="R30" s="77">
        <v>4</v>
      </c>
      <c r="S30" s="77">
        <v>0</v>
      </c>
      <c r="T30" s="77">
        <v>0</v>
      </c>
      <c r="U30" s="77">
        <v>0</v>
      </c>
      <c r="V30" s="77"/>
      <c r="W30" s="82" t="s">
        <v>4101</v>
      </c>
      <c r="X30" s="80" t="str">
        <f>HYPERLINK("https://www.youtube.com/live/ezqGDVlHL80?feature=shared")</f>
        <v>https://www.youtube.com/live/ezqGDVlHL80?feature=shared</v>
      </c>
      <c r="Y30" s="77" t="s">
        <v>6006</v>
      </c>
      <c r="Z30" s="77" t="s">
        <v>610</v>
      </c>
      <c r="AA30" s="77"/>
      <c r="AB30" s="77"/>
      <c r="AC30" s="82" t="s">
        <v>7707</v>
      </c>
      <c r="AD30" s="77" t="s">
        <v>7745</v>
      </c>
      <c r="AE30" s="80" t="str">
        <f>HYPERLINK("https://twitter.com/iecamarabahia/status/1699239686772781558")</f>
        <v>https://twitter.com/iecamarabahia/status/1699239686772781558</v>
      </c>
      <c r="AF30" s="79">
        <v>45175.079699074071</v>
      </c>
      <c r="AG30" s="85">
        <v>45175</v>
      </c>
      <c r="AH30" s="82" t="s">
        <v>7781</v>
      </c>
      <c r="AI30" s="77" t="b">
        <v>0</v>
      </c>
      <c r="AJ30" s="77"/>
      <c r="AK30" s="77"/>
      <c r="AL30" s="77"/>
      <c r="AM30" s="77"/>
      <c r="AN30" s="77"/>
      <c r="AO30" s="77"/>
      <c r="AP30" s="77"/>
      <c r="AQ30" s="77"/>
      <c r="AR30" s="77"/>
      <c r="AS30" s="77"/>
      <c r="AT30" s="77"/>
      <c r="AU30" s="77"/>
      <c r="AV30" s="80" t="str">
        <f>HYPERLINK("https://pbs.twimg.com/profile_images/1700338049694015488/1-GtmB-a_normal.jpg")</f>
        <v>https://pbs.twimg.com/profile_images/1700338049694015488/1-GtmB-a_normal.jpg</v>
      </c>
      <c r="AW30" s="82" t="s">
        <v>12227</v>
      </c>
      <c r="AX30" s="82" t="s">
        <v>12227</v>
      </c>
      <c r="AY30" s="77"/>
      <c r="AZ30" s="82" t="s">
        <v>15804</v>
      </c>
      <c r="BA30" s="82" t="s">
        <v>15804</v>
      </c>
      <c r="BB30" s="82" t="s">
        <v>13443</v>
      </c>
      <c r="BC30" s="82" t="s">
        <v>13443</v>
      </c>
      <c r="BD30" s="77">
        <v>221876473</v>
      </c>
      <c r="BE30" s="77"/>
      <c r="BF30" s="77"/>
      <c r="BG30" s="77"/>
      <c r="BH30" s="77"/>
      <c r="BI30" s="77"/>
    </row>
    <row r="31" spans="1:61" x14ac:dyDescent="0.25">
      <c r="A31" s="62" t="s">
        <v>245</v>
      </c>
      <c r="B31" s="62" t="s">
        <v>1011</v>
      </c>
      <c r="C31" s="63"/>
      <c r="D31" s="64"/>
      <c r="E31" s="65"/>
      <c r="F31" s="66"/>
      <c r="G31" s="63"/>
      <c r="H31" s="67"/>
      <c r="I31" s="68"/>
      <c r="J31" s="68"/>
      <c r="K31" s="32"/>
      <c r="L31" s="75">
        <v>31</v>
      </c>
      <c r="M31" s="75"/>
      <c r="N31" s="70"/>
      <c r="O31" s="77" t="s">
        <v>1135</v>
      </c>
      <c r="P31" s="79">
        <v>44948.672696759262</v>
      </c>
      <c r="Q31" s="77" t="s">
        <v>1165</v>
      </c>
      <c r="R31" s="77">
        <v>0</v>
      </c>
      <c r="S31" s="77">
        <v>1</v>
      </c>
      <c r="T31" s="77">
        <v>0</v>
      </c>
      <c r="U31" s="77">
        <v>0</v>
      </c>
      <c r="V31" s="77">
        <v>27</v>
      </c>
      <c r="W31" s="82" t="s">
        <v>4102</v>
      </c>
      <c r="X31" s="77"/>
      <c r="Y31" s="77"/>
      <c r="Z31" s="77"/>
      <c r="AA31" s="77"/>
      <c r="AB31" s="77"/>
      <c r="AC31" s="82" t="s">
        <v>7707</v>
      </c>
      <c r="AD31" s="77" t="s">
        <v>7745</v>
      </c>
      <c r="AE31" s="80" t="str">
        <f>HYPERLINK("https://twitter.com/marianasmkt/status/1617192535209689091")</f>
        <v>https://twitter.com/marianasmkt/status/1617192535209689091</v>
      </c>
      <c r="AF31" s="79">
        <v>44948.672696759262</v>
      </c>
      <c r="AG31" s="85">
        <v>44948</v>
      </c>
      <c r="AH31" s="82" t="s">
        <v>7782</v>
      </c>
      <c r="AI31" s="77"/>
      <c r="AJ31" s="77"/>
      <c r="AK31" s="77"/>
      <c r="AL31" s="77"/>
      <c r="AM31" s="77"/>
      <c r="AN31" s="77"/>
      <c r="AO31" s="77"/>
      <c r="AP31" s="77"/>
      <c r="AQ31" s="77"/>
      <c r="AR31" s="77"/>
      <c r="AS31" s="77"/>
      <c r="AT31" s="77"/>
      <c r="AU31" s="77"/>
      <c r="AV31" s="80" t="str">
        <f>HYPERLINK("https://pbs.twimg.com/profile_images/1611812350490775553/bX1O8LhQ_normal.jpg")</f>
        <v>https://pbs.twimg.com/profile_images/1611812350490775553/bX1O8LhQ_normal.jpg</v>
      </c>
      <c r="AW31" s="82" t="s">
        <v>12228</v>
      </c>
      <c r="AX31" s="82" t="s">
        <v>12228</v>
      </c>
      <c r="AY31" s="77"/>
      <c r="AZ31" s="82" t="s">
        <v>15804</v>
      </c>
      <c r="BA31" s="82" t="s">
        <v>14911</v>
      </c>
      <c r="BB31" s="82" t="s">
        <v>15804</v>
      </c>
      <c r="BC31" s="82" t="s">
        <v>14911</v>
      </c>
      <c r="BD31" s="82" t="s">
        <v>16152</v>
      </c>
      <c r="BE31" s="77"/>
      <c r="BF31" s="77"/>
      <c r="BG31" s="77"/>
      <c r="BH31" s="77"/>
      <c r="BI31" s="77"/>
    </row>
    <row r="32" spans="1:61" x14ac:dyDescent="0.25">
      <c r="A32" s="62" t="s">
        <v>246</v>
      </c>
      <c r="B32" s="62" t="s">
        <v>246</v>
      </c>
      <c r="C32" s="63"/>
      <c r="D32" s="64"/>
      <c r="E32" s="65"/>
      <c r="F32" s="66"/>
      <c r="G32" s="63"/>
      <c r="H32" s="67"/>
      <c r="I32" s="68"/>
      <c r="J32" s="68"/>
      <c r="K32" s="32"/>
      <c r="L32" s="75">
        <v>32</v>
      </c>
      <c r="M32" s="75"/>
      <c r="N32" s="70"/>
      <c r="O32" s="77" t="s">
        <v>1132</v>
      </c>
      <c r="P32" s="79">
        <v>44929.857233796298</v>
      </c>
      <c r="Q32" s="77" t="s">
        <v>1166</v>
      </c>
      <c r="R32" s="77">
        <v>0</v>
      </c>
      <c r="S32" s="77">
        <v>0</v>
      </c>
      <c r="T32" s="77">
        <v>0</v>
      </c>
      <c r="U32" s="77">
        <v>0</v>
      </c>
      <c r="V32" s="77">
        <v>646</v>
      </c>
      <c r="W32" s="82" t="s">
        <v>4097</v>
      </c>
      <c r="X32" s="77"/>
      <c r="Y32" s="77"/>
      <c r="Z32" s="77"/>
      <c r="AA32" s="77"/>
      <c r="AB32" s="77"/>
      <c r="AC32" s="82" t="s">
        <v>7706</v>
      </c>
      <c r="AD32" s="77" t="s">
        <v>7745</v>
      </c>
      <c r="AE32" s="80" t="str">
        <f>HYPERLINK("https://twitter.com/defensoria_rj/status/1610374042577510402")</f>
        <v>https://twitter.com/defensoria_rj/status/1610374042577510402</v>
      </c>
      <c r="AF32" s="79">
        <v>44929.857233796298</v>
      </c>
      <c r="AG32" s="85">
        <v>44929</v>
      </c>
      <c r="AH32" s="82" t="s">
        <v>7783</v>
      </c>
      <c r="AI32" s="77"/>
      <c r="AJ32" s="77"/>
      <c r="AK32" s="77"/>
      <c r="AL32" s="77"/>
      <c r="AM32" s="77"/>
      <c r="AN32" s="77"/>
      <c r="AO32" s="77"/>
      <c r="AP32" s="77"/>
      <c r="AQ32" s="77"/>
      <c r="AR32" s="77"/>
      <c r="AS32" s="77"/>
      <c r="AT32" s="77"/>
      <c r="AU32" s="77"/>
      <c r="AV32" s="80" t="str">
        <f>HYPERLINK("https://pbs.twimg.com/profile_images/1587155063708983296/Ohw8mdTx_normal.jpg")</f>
        <v>https://pbs.twimg.com/profile_images/1587155063708983296/Ohw8mdTx_normal.jpg</v>
      </c>
      <c r="AW32" s="82" t="s">
        <v>12229</v>
      </c>
      <c r="AX32" s="82" t="s">
        <v>15221</v>
      </c>
      <c r="AY32" s="82" t="s">
        <v>15673</v>
      </c>
      <c r="AZ32" s="82" t="s">
        <v>15805</v>
      </c>
      <c r="BA32" s="82" t="s">
        <v>15804</v>
      </c>
      <c r="BB32" s="82" t="s">
        <v>15804</v>
      </c>
      <c r="BC32" s="82" t="s">
        <v>15805</v>
      </c>
      <c r="BD32" s="82" t="s">
        <v>15673</v>
      </c>
      <c r="BE32" s="77"/>
      <c r="BF32" s="77"/>
      <c r="BG32" s="77"/>
      <c r="BH32" s="77"/>
      <c r="BI32" s="77"/>
    </row>
    <row r="33" spans="1:61" x14ac:dyDescent="0.25">
      <c r="A33" s="62" t="s">
        <v>247</v>
      </c>
      <c r="B33" s="62" t="s">
        <v>1053</v>
      </c>
      <c r="C33" s="63"/>
      <c r="D33" s="64"/>
      <c r="E33" s="65"/>
      <c r="F33" s="66"/>
      <c r="G33" s="63"/>
      <c r="H33" s="67"/>
      <c r="I33" s="68"/>
      <c r="J33" s="68"/>
      <c r="K33" s="32"/>
      <c r="L33" s="75">
        <v>33</v>
      </c>
      <c r="M33" s="75"/>
      <c r="N33" s="70"/>
      <c r="O33" s="77" t="s">
        <v>1133</v>
      </c>
      <c r="P33" s="79">
        <v>44985.966689814813</v>
      </c>
      <c r="Q33" s="77" t="s">
        <v>1167</v>
      </c>
      <c r="R33" s="77">
        <v>0</v>
      </c>
      <c r="S33" s="77">
        <v>1</v>
      </c>
      <c r="T33" s="77">
        <v>1</v>
      </c>
      <c r="U33" s="77">
        <v>0</v>
      </c>
      <c r="V33" s="77">
        <v>19</v>
      </c>
      <c r="W33" s="82" t="s">
        <v>4103</v>
      </c>
      <c r="X33" s="77"/>
      <c r="Y33" s="77"/>
      <c r="Z33" s="77" t="s">
        <v>6120</v>
      </c>
      <c r="AA33" s="77"/>
      <c r="AB33" s="77"/>
      <c r="AC33" s="82" t="s">
        <v>7706</v>
      </c>
      <c r="AD33" s="77" t="s">
        <v>7745</v>
      </c>
      <c r="AE33" s="80" t="str">
        <f>HYPERLINK("https://twitter.com/comoreinventar/status/1630707428898533377")</f>
        <v>https://twitter.com/comoreinventar/status/1630707428898533377</v>
      </c>
      <c r="AF33" s="79">
        <v>44985.966689814813</v>
      </c>
      <c r="AG33" s="85">
        <v>44985</v>
      </c>
      <c r="AH33" s="82" t="s">
        <v>7784</v>
      </c>
      <c r="AI33" s="77"/>
      <c r="AJ33" s="77"/>
      <c r="AK33" s="77"/>
      <c r="AL33" s="77"/>
      <c r="AM33" s="77"/>
      <c r="AN33" s="77"/>
      <c r="AO33" s="77"/>
      <c r="AP33" s="77"/>
      <c r="AQ33" s="77"/>
      <c r="AR33" s="77"/>
      <c r="AS33" s="77"/>
      <c r="AT33" s="77"/>
      <c r="AU33" s="77"/>
      <c r="AV33" s="80" t="str">
        <f>HYPERLINK("https://pbs.twimg.com/profile_images/1630192989946499073/6IqvnUb5_normal.jpg")</f>
        <v>https://pbs.twimg.com/profile_images/1630192989946499073/6IqvnUb5_normal.jpg</v>
      </c>
      <c r="AW33" s="82" t="s">
        <v>12230</v>
      </c>
      <c r="AX33" s="82" t="s">
        <v>12230</v>
      </c>
      <c r="AY33" s="77"/>
      <c r="AZ33" s="82" t="s">
        <v>15804</v>
      </c>
      <c r="BA33" s="82" t="s">
        <v>15804</v>
      </c>
      <c r="BB33" s="82" t="s">
        <v>15804</v>
      </c>
      <c r="BC33" s="82" t="s">
        <v>12230</v>
      </c>
      <c r="BD33" s="82" t="s">
        <v>15674</v>
      </c>
      <c r="BE33" s="77"/>
      <c r="BF33" s="77"/>
      <c r="BG33" s="77"/>
      <c r="BH33" s="77"/>
      <c r="BI33" s="77"/>
    </row>
    <row r="34" spans="1:61" x14ac:dyDescent="0.25">
      <c r="A34" s="62" t="s">
        <v>247</v>
      </c>
      <c r="B34" s="62" t="s">
        <v>247</v>
      </c>
      <c r="C34" s="63"/>
      <c r="D34" s="64"/>
      <c r="E34" s="65"/>
      <c r="F34" s="66"/>
      <c r="G34" s="63"/>
      <c r="H34" s="67"/>
      <c r="I34" s="68"/>
      <c r="J34" s="68"/>
      <c r="K34" s="32"/>
      <c r="L34" s="75">
        <v>34</v>
      </c>
      <c r="M34" s="75"/>
      <c r="N34" s="70"/>
      <c r="O34" s="77" t="s">
        <v>1132</v>
      </c>
      <c r="P34" s="79">
        <v>44986.803657407407</v>
      </c>
      <c r="Q34" s="77" t="s">
        <v>1168</v>
      </c>
      <c r="R34" s="77">
        <v>0</v>
      </c>
      <c r="S34" s="77">
        <v>0</v>
      </c>
      <c r="T34" s="77">
        <v>1</v>
      </c>
      <c r="U34" s="77">
        <v>0</v>
      </c>
      <c r="V34" s="77">
        <v>9</v>
      </c>
      <c r="W34" s="82" t="s">
        <v>4104</v>
      </c>
      <c r="X34" s="77"/>
      <c r="Y34" s="77"/>
      <c r="Z34" s="77"/>
      <c r="AA34" s="77"/>
      <c r="AB34" s="77"/>
      <c r="AC34" s="82" t="s">
        <v>7706</v>
      </c>
      <c r="AD34" s="77" t="s">
        <v>7745</v>
      </c>
      <c r="AE34" s="80" t="str">
        <f>HYPERLINK("https://twitter.com/comoreinventar/status/1631010733487018002")</f>
        <v>https://twitter.com/comoreinventar/status/1631010733487018002</v>
      </c>
      <c r="AF34" s="79">
        <v>44986.803657407407</v>
      </c>
      <c r="AG34" s="85">
        <v>44986</v>
      </c>
      <c r="AH34" s="82" t="s">
        <v>7785</v>
      </c>
      <c r="AI34" s="77"/>
      <c r="AJ34" s="77"/>
      <c r="AK34" s="77"/>
      <c r="AL34" s="77"/>
      <c r="AM34" s="77"/>
      <c r="AN34" s="77"/>
      <c r="AO34" s="77"/>
      <c r="AP34" s="77"/>
      <c r="AQ34" s="77"/>
      <c r="AR34" s="77"/>
      <c r="AS34" s="77"/>
      <c r="AT34" s="77"/>
      <c r="AU34" s="77"/>
      <c r="AV34" s="80" t="str">
        <f>HYPERLINK("https://pbs.twimg.com/profile_images/1630192989946499073/6IqvnUb5_normal.jpg")</f>
        <v>https://pbs.twimg.com/profile_images/1630192989946499073/6IqvnUb5_normal.jpg</v>
      </c>
      <c r="AW34" s="82" t="s">
        <v>12231</v>
      </c>
      <c r="AX34" s="82" t="s">
        <v>15222</v>
      </c>
      <c r="AY34" s="82" t="s">
        <v>15674</v>
      </c>
      <c r="AZ34" s="82" t="s">
        <v>15806</v>
      </c>
      <c r="BA34" s="82" t="s">
        <v>15804</v>
      </c>
      <c r="BB34" s="82" t="s">
        <v>15804</v>
      </c>
      <c r="BC34" s="82" t="s">
        <v>15806</v>
      </c>
      <c r="BD34" s="82" t="s">
        <v>15674</v>
      </c>
      <c r="BE34" s="77"/>
      <c r="BF34" s="77"/>
      <c r="BG34" s="77"/>
      <c r="BH34" s="77"/>
      <c r="BI34" s="77"/>
    </row>
    <row r="35" spans="1:61" x14ac:dyDescent="0.25">
      <c r="A35" s="62" t="s">
        <v>247</v>
      </c>
      <c r="B35" s="62" t="s">
        <v>247</v>
      </c>
      <c r="C35" s="63"/>
      <c r="D35" s="64"/>
      <c r="E35" s="65"/>
      <c r="F35" s="66"/>
      <c r="G35" s="63"/>
      <c r="H35" s="67"/>
      <c r="I35" s="68"/>
      <c r="J35" s="68"/>
      <c r="K35" s="32"/>
      <c r="L35" s="75">
        <v>35</v>
      </c>
      <c r="M35" s="75"/>
      <c r="N35" s="70"/>
      <c r="O35" s="77" t="s">
        <v>1132</v>
      </c>
      <c r="P35" s="79">
        <v>44985.966724537036</v>
      </c>
      <c r="Q35" s="77" t="s">
        <v>1169</v>
      </c>
      <c r="R35" s="77">
        <v>0</v>
      </c>
      <c r="S35" s="77">
        <v>2</v>
      </c>
      <c r="T35" s="77">
        <v>1</v>
      </c>
      <c r="U35" s="77">
        <v>0</v>
      </c>
      <c r="V35" s="77">
        <v>30</v>
      </c>
      <c r="W35" s="82" t="s">
        <v>4105</v>
      </c>
      <c r="X35" s="77"/>
      <c r="Y35" s="77"/>
      <c r="Z35" s="77"/>
      <c r="AA35" s="77"/>
      <c r="AB35" s="77"/>
      <c r="AC35" s="82" t="s">
        <v>7706</v>
      </c>
      <c r="AD35" s="77" t="s">
        <v>7745</v>
      </c>
      <c r="AE35" s="80" t="str">
        <f>HYPERLINK("https://twitter.com/comoreinventar/status/1630707438667067393")</f>
        <v>https://twitter.com/comoreinventar/status/1630707438667067393</v>
      </c>
      <c r="AF35" s="79">
        <v>44985.966724537036</v>
      </c>
      <c r="AG35" s="85">
        <v>44985</v>
      </c>
      <c r="AH35" s="82" t="s">
        <v>7786</v>
      </c>
      <c r="AI35" s="77"/>
      <c r="AJ35" s="77"/>
      <c r="AK35" s="77"/>
      <c r="AL35" s="77"/>
      <c r="AM35" s="77"/>
      <c r="AN35" s="77"/>
      <c r="AO35" s="77"/>
      <c r="AP35" s="77"/>
      <c r="AQ35" s="77"/>
      <c r="AR35" s="77"/>
      <c r="AS35" s="77"/>
      <c r="AT35" s="77"/>
      <c r="AU35" s="77"/>
      <c r="AV35" s="80" t="str">
        <f>HYPERLINK("https://pbs.twimg.com/profile_images/1630192989946499073/6IqvnUb5_normal.jpg")</f>
        <v>https://pbs.twimg.com/profile_images/1630192989946499073/6IqvnUb5_normal.jpg</v>
      </c>
      <c r="AW35" s="82" t="s">
        <v>12232</v>
      </c>
      <c r="AX35" s="82" t="s">
        <v>12230</v>
      </c>
      <c r="AY35" s="82" t="s">
        <v>15674</v>
      </c>
      <c r="AZ35" s="82" t="s">
        <v>15807</v>
      </c>
      <c r="BA35" s="82" t="s">
        <v>15804</v>
      </c>
      <c r="BB35" s="82" t="s">
        <v>15804</v>
      </c>
      <c r="BC35" s="82" t="s">
        <v>15807</v>
      </c>
      <c r="BD35" s="82" t="s">
        <v>15674</v>
      </c>
      <c r="BE35" s="77"/>
      <c r="BF35" s="77"/>
      <c r="BG35" s="77"/>
      <c r="BH35" s="77"/>
      <c r="BI35" s="77"/>
    </row>
    <row r="36" spans="1:61" x14ac:dyDescent="0.25">
      <c r="A36" s="62" t="s">
        <v>247</v>
      </c>
      <c r="B36" s="62" t="s">
        <v>247</v>
      </c>
      <c r="C36" s="63"/>
      <c r="D36" s="64"/>
      <c r="E36" s="65"/>
      <c r="F36" s="66"/>
      <c r="G36" s="63"/>
      <c r="H36" s="67"/>
      <c r="I36" s="68"/>
      <c r="J36" s="68"/>
      <c r="K36" s="32"/>
      <c r="L36" s="75">
        <v>36</v>
      </c>
      <c r="M36" s="75"/>
      <c r="N36" s="70"/>
      <c r="O36" s="77" t="s">
        <v>1132</v>
      </c>
      <c r="P36" s="79">
        <v>44985.96670138889</v>
      </c>
      <c r="Q36" s="77" t="s">
        <v>1170</v>
      </c>
      <c r="R36" s="77">
        <v>0</v>
      </c>
      <c r="S36" s="77">
        <v>1</v>
      </c>
      <c r="T36" s="77">
        <v>1</v>
      </c>
      <c r="U36" s="77">
        <v>0</v>
      </c>
      <c r="V36" s="77">
        <v>26</v>
      </c>
      <c r="W36" s="82" t="s">
        <v>4106</v>
      </c>
      <c r="X36" s="77"/>
      <c r="Y36" s="77"/>
      <c r="Z36" s="77"/>
      <c r="AA36" s="77"/>
      <c r="AB36" s="77"/>
      <c r="AC36" s="82" t="s">
        <v>7706</v>
      </c>
      <c r="AD36" s="77" t="s">
        <v>7745</v>
      </c>
      <c r="AE36" s="80" t="str">
        <f>HYPERLINK("https://twitter.com/comoreinventar/status/1630707431276675073")</f>
        <v>https://twitter.com/comoreinventar/status/1630707431276675073</v>
      </c>
      <c r="AF36" s="79">
        <v>44985.96670138889</v>
      </c>
      <c r="AG36" s="85">
        <v>44985</v>
      </c>
      <c r="AH36" s="82" t="s">
        <v>7787</v>
      </c>
      <c r="AI36" s="77"/>
      <c r="AJ36" s="77"/>
      <c r="AK36" s="77"/>
      <c r="AL36" s="77"/>
      <c r="AM36" s="77"/>
      <c r="AN36" s="77"/>
      <c r="AO36" s="77"/>
      <c r="AP36" s="77"/>
      <c r="AQ36" s="77"/>
      <c r="AR36" s="77"/>
      <c r="AS36" s="77"/>
      <c r="AT36" s="77"/>
      <c r="AU36" s="77"/>
      <c r="AV36" s="80" t="str">
        <f>HYPERLINK("https://pbs.twimg.com/profile_images/1630192989946499073/6IqvnUb5_normal.jpg")</f>
        <v>https://pbs.twimg.com/profile_images/1630192989946499073/6IqvnUb5_normal.jpg</v>
      </c>
      <c r="AW36" s="82" t="s">
        <v>12233</v>
      </c>
      <c r="AX36" s="82" t="s">
        <v>12230</v>
      </c>
      <c r="AY36" s="82" t="s">
        <v>15674</v>
      </c>
      <c r="AZ36" s="82" t="s">
        <v>12230</v>
      </c>
      <c r="BA36" s="82" t="s">
        <v>15804</v>
      </c>
      <c r="BB36" s="82" t="s">
        <v>15804</v>
      </c>
      <c r="BC36" s="82" t="s">
        <v>12230</v>
      </c>
      <c r="BD36" s="82" t="s">
        <v>15674</v>
      </c>
      <c r="BE36" s="77"/>
      <c r="BF36" s="77"/>
      <c r="BG36" s="77"/>
      <c r="BH36" s="77"/>
      <c r="BI36" s="77"/>
    </row>
    <row r="37" spans="1:61" x14ac:dyDescent="0.25">
      <c r="A37" s="62" t="s">
        <v>247</v>
      </c>
      <c r="B37" s="62" t="s">
        <v>247</v>
      </c>
      <c r="C37" s="63"/>
      <c r="D37" s="64"/>
      <c r="E37" s="65"/>
      <c r="F37" s="66"/>
      <c r="G37" s="63"/>
      <c r="H37" s="67"/>
      <c r="I37" s="68"/>
      <c r="J37" s="68"/>
      <c r="K37" s="32"/>
      <c r="L37" s="75">
        <v>37</v>
      </c>
      <c r="M37" s="75"/>
      <c r="N37" s="70"/>
      <c r="O37" s="77" t="s">
        <v>1133</v>
      </c>
      <c r="P37" s="79">
        <v>44985.966689814813</v>
      </c>
      <c r="Q37" s="77" t="s">
        <v>1167</v>
      </c>
      <c r="R37" s="77">
        <v>0</v>
      </c>
      <c r="S37" s="77">
        <v>1</v>
      </c>
      <c r="T37" s="77">
        <v>1</v>
      </c>
      <c r="U37" s="77">
        <v>0</v>
      </c>
      <c r="V37" s="77">
        <v>19</v>
      </c>
      <c r="W37" s="82" t="s">
        <v>4103</v>
      </c>
      <c r="X37" s="77"/>
      <c r="Y37" s="77"/>
      <c r="Z37" s="77" t="s">
        <v>6120</v>
      </c>
      <c r="AA37" s="77"/>
      <c r="AB37" s="77"/>
      <c r="AC37" s="82" t="s">
        <v>7706</v>
      </c>
      <c r="AD37" s="77" t="s">
        <v>7745</v>
      </c>
      <c r="AE37" s="80" t="str">
        <f>HYPERLINK("https://twitter.com/comoreinventar/status/1630707428898533377")</f>
        <v>https://twitter.com/comoreinventar/status/1630707428898533377</v>
      </c>
      <c r="AF37" s="79">
        <v>44985.966689814813</v>
      </c>
      <c r="AG37" s="85">
        <v>44985</v>
      </c>
      <c r="AH37" s="82" t="s">
        <v>7784</v>
      </c>
      <c r="AI37" s="77"/>
      <c r="AJ37" s="77"/>
      <c r="AK37" s="77"/>
      <c r="AL37" s="77"/>
      <c r="AM37" s="77"/>
      <c r="AN37" s="77"/>
      <c r="AO37" s="77"/>
      <c r="AP37" s="77"/>
      <c r="AQ37" s="77"/>
      <c r="AR37" s="77"/>
      <c r="AS37" s="77"/>
      <c r="AT37" s="77"/>
      <c r="AU37" s="77"/>
      <c r="AV37" s="80" t="str">
        <f>HYPERLINK("https://pbs.twimg.com/profile_images/1630192989946499073/6IqvnUb5_normal.jpg")</f>
        <v>https://pbs.twimg.com/profile_images/1630192989946499073/6IqvnUb5_normal.jpg</v>
      </c>
      <c r="AW37" s="82" t="s">
        <v>12230</v>
      </c>
      <c r="AX37" s="82" t="s">
        <v>12230</v>
      </c>
      <c r="AY37" s="77"/>
      <c r="AZ37" s="82" t="s">
        <v>15804</v>
      </c>
      <c r="BA37" s="82" t="s">
        <v>15804</v>
      </c>
      <c r="BB37" s="82" t="s">
        <v>15804</v>
      </c>
      <c r="BC37" s="82" t="s">
        <v>12230</v>
      </c>
      <c r="BD37" s="82" t="s">
        <v>15674</v>
      </c>
      <c r="BE37" s="77"/>
      <c r="BF37" s="77"/>
      <c r="BG37" s="77"/>
      <c r="BH37" s="77"/>
      <c r="BI37" s="77"/>
    </row>
    <row r="38" spans="1:61" x14ac:dyDescent="0.25">
      <c r="A38" s="62" t="s">
        <v>247</v>
      </c>
      <c r="B38" s="62" t="s">
        <v>247</v>
      </c>
      <c r="C38" s="63"/>
      <c r="D38" s="64"/>
      <c r="E38" s="65"/>
      <c r="F38" s="66"/>
      <c r="G38" s="63"/>
      <c r="H38" s="67"/>
      <c r="I38" s="68"/>
      <c r="J38" s="68"/>
      <c r="K38" s="32"/>
      <c r="L38" s="75">
        <v>38</v>
      </c>
      <c r="M38" s="75"/>
      <c r="N38" s="70"/>
      <c r="O38" s="77" t="s">
        <v>1132</v>
      </c>
      <c r="P38" s="79">
        <v>44985.602951388886</v>
      </c>
      <c r="Q38" s="77" t="s">
        <v>1171</v>
      </c>
      <c r="R38" s="77">
        <v>0</v>
      </c>
      <c r="S38" s="77">
        <v>0</v>
      </c>
      <c r="T38" s="77">
        <v>1</v>
      </c>
      <c r="U38" s="77">
        <v>0</v>
      </c>
      <c r="V38" s="77">
        <v>13</v>
      </c>
      <c r="W38" s="82" t="s">
        <v>4107</v>
      </c>
      <c r="X38" s="77"/>
      <c r="Y38" s="77"/>
      <c r="Z38" s="77"/>
      <c r="AA38" s="77"/>
      <c r="AB38" s="77"/>
      <c r="AC38" s="82" t="s">
        <v>7706</v>
      </c>
      <c r="AD38" s="77" t="s">
        <v>7745</v>
      </c>
      <c r="AE38" s="80" t="str">
        <f>HYPERLINK("https://twitter.com/comoreinventar/status/1630575615253331968")</f>
        <v>https://twitter.com/comoreinventar/status/1630575615253331968</v>
      </c>
      <c r="AF38" s="79">
        <v>44985.602951388886</v>
      </c>
      <c r="AG38" s="85">
        <v>44985</v>
      </c>
      <c r="AH38" s="82" t="s">
        <v>7788</v>
      </c>
      <c r="AI38" s="77"/>
      <c r="AJ38" s="77"/>
      <c r="AK38" s="77"/>
      <c r="AL38" s="77"/>
      <c r="AM38" s="77"/>
      <c r="AN38" s="77"/>
      <c r="AO38" s="77"/>
      <c r="AP38" s="77"/>
      <c r="AQ38" s="77"/>
      <c r="AR38" s="77"/>
      <c r="AS38" s="77"/>
      <c r="AT38" s="77"/>
      <c r="AU38" s="77"/>
      <c r="AV38" s="80" t="str">
        <f>HYPERLINK("https://pbs.twimg.com/profile_images/1630192989946499073/6IqvnUb5_normal.jpg")</f>
        <v>https://pbs.twimg.com/profile_images/1630192989946499073/6IqvnUb5_normal.jpg</v>
      </c>
      <c r="AW38" s="82" t="s">
        <v>12234</v>
      </c>
      <c r="AX38" s="82" t="s">
        <v>15223</v>
      </c>
      <c r="AY38" s="82" t="s">
        <v>15674</v>
      </c>
      <c r="AZ38" s="82" t="s">
        <v>15223</v>
      </c>
      <c r="BA38" s="82" t="s">
        <v>15804</v>
      </c>
      <c r="BB38" s="82" t="s">
        <v>15804</v>
      </c>
      <c r="BC38" s="82" t="s">
        <v>15223</v>
      </c>
      <c r="BD38" s="82" t="s">
        <v>15674</v>
      </c>
      <c r="BE38" s="77"/>
      <c r="BF38" s="77"/>
      <c r="BG38" s="77"/>
      <c r="BH38" s="77"/>
      <c r="BI38" s="77"/>
    </row>
    <row r="39" spans="1:61" x14ac:dyDescent="0.25">
      <c r="A39" s="62" t="s">
        <v>248</v>
      </c>
      <c r="B39" s="62" t="s">
        <v>248</v>
      </c>
      <c r="C39" s="63"/>
      <c r="D39" s="64"/>
      <c r="E39" s="65"/>
      <c r="F39" s="66"/>
      <c r="G39" s="63"/>
      <c r="H39" s="67"/>
      <c r="I39" s="68"/>
      <c r="J39" s="68"/>
      <c r="K39" s="32"/>
      <c r="L39" s="75">
        <v>39</v>
      </c>
      <c r="M39" s="75"/>
      <c r="N39" s="70"/>
      <c r="O39" s="77" t="s">
        <v>179</v>
      </c>
      <c r="P39" s="79">
        <v>44936.875347222223</v>
      </c>
      <c r="Q39" s="77" t="s">
        <v>1172</v>
      </c>
      <c r="R39" s="77">
        <v>0</v>
      </c>
      <c r="S39" s="77">
        <v>4</v>
      </c>
      <c r="T39" s="77">
        <v>1</v>
      </c>
      <c r="U39" s="77">
        <v>0</v>
      </c>
      <c r="V39" s="77">
        <v>488</v>
      </c>
      <c r="W39" s="82" t="s">
        <v>4108</v>
      </c>
      <c r="X39" s="80" t="str">
        <f>HYPERLINK("https://www.originalidades.com.br/os-influenciadores-e-a-democratizacao-do-conteudo-economico/")</f>
        <v>https://www.originalidades.com.br/os-influenciadores-e-a-democratizacao-do-conteudo-economico/</v>
      </c>
      <c r="Y39" s="77" t="s">
        <v>6002</v>
      </c>
      <c r="Z39" s="77"/>
      <c r="AA39" s="77"/>
      <c r="AB39" s="77"/>
      <c r="AC39" s="82" t="s">
        <v>7706</v>
      </c>
      <c r="AD39" s="77" t="s">
        <v>7745</v>
      </c>
      <c r="AE39" s="80" t="str">
        <f>HYPERLINK("https://twitter.com/bancooriginal/status/1612917320644435991")</f>
        <v>https://twitter.com/bancooriginal/status/1612917320644435991</v>
      </c>
      <c r="AF39" s="79">
        <v>44936.875347222223</v>
      </c>
      <c r="AG39" s="85">
        <v>44936</v>
      </c>
      <c r="AH39" s="82" t="s">
        <v>7789</v>
      </c>
      <c r="AI39" s="77" t="b">
        <v>0</v>
      </c>
      <c r="AJ39" s="77"/>
      <c r="AK39" s="77"/>
      <c r="AL39" s="77"/>
      <c r="AM39" s="77"/>
      <c r="AN39" s="77"/>
      <c r="AO39" s="77"/>
      <c r="AP39" s="77"/>
      <c r="AQ39" s="77"/>
      <c r="AR39" s="77"/>
      <c r="AS39" s="77"/>
      <c r="AT39" s="77"/>
      <c r="AU39" s="77"/>
      <c r="AV39" s="80" t="str">
        <f>HYPERLINK("https://pbs.twimg.com/profile_images/1381393729790091266/OpNx3ruq_normal.png")</f>
        <v>https://pbs.twimg.com/profile_images/1381393729790091266/OpNx3ruq_normal.png</v>
      </c>
      <c r="AW39" s="82" t="s">
        <v>12235</v>
      </c>
      <c r="AX39" s="82" t="s">
        <v>12235</v>
      </c>
      <c r="AY39" s="77"/>
      <c r="AZ39" s="82" t="s">
        <v>15804</v>
      </c>
      <c r="BA39" s="82" t="s">
        <v>15804</v>
      </c>
      <c r="BB39" s="82" t="s">
        <v>15804</v>
      </c>
      <c r="BC39" s="82" t="s">
        <v>12235</v>
      </c>
      <c r="BD39" s="77">
        <v>1615322238</v>
      </c>
      <c r="BE39" s="77"/>
      <c r="BF39" s="77"/>
      <c r="BG39" s="77"/>
      <c r="BH39" s="77"/>
      <c r="BI39" s="77"/>
    </row>
    <row r="40" spans="1:61" x14ac:dyDescent="0.25">
      <c r="A40" s="62" t="s">
        <v>249</v>
      </c>
      <c r="B40" s="62" t="s">
        <v>249</v>
      </c>
      <c r="C40" s="63"/>
      <c r="D40" s="64"/>
      <c r="E40" s="65"/>
      <c r="F40" s="66"/>
      <c r="G40" s="63"/>
      <c r="H40" s="67"/>
      <c r="I40" s="68"/>
      <c r="J40" s="68"/>
      <c r="K40" s="32"/>
      <c r="L40" s="75">
        <v>40</v>
      </c>
      <c r="M40" s="75"/>
      <c r="N40" s="70"/>
      <c r="O40" s="77" t="s">
        <v>179</v>
      </c>
      <c r="P40" s="79">
        <v>44966.166921296295</v>
      </c>
      <c r="Q40" s="77" t="s">
        <v>1173</v>
      </c>
      <c r="R40" s="77">
        <v>0</v>
      </c>
      <c r="S40" s="77">
        <v>1</v>
      </c>
      <c r="T40" s="77">
        <v>0</v>
      </c>
      <c r="U40" s="77">
        <v>0</v>
      </c>
      <c r="V40" s="77">
        <v>37</v>
      </c>
      <c r="W40" s="82" t="s">
        <v>4109</v>
      </c>
      <c r="X40" s="77"/>
      <c r="Y40" s="77"/>
      <c r="Z40" s="77"/>
      <c r="AA40" s="77" t="s">
        <v>6160</v>
      </c>
      <c r="AB40" s="77" t="s">
        <v>7698</v>
      </c>
      <c r="AC40" s="82" t="s">
        <v>7706</v>
      </c>
      <c r="AD40" s="77" t="s">
        <v>7745</v>
      </c>
      <c r="AE40" s="80" t="str">
        <f>HYPERLINK("https://twitter.com/angeluscrane/status/1623532233620353024")</f>
        <v>https://twitter.com/angeluscrane/status/1623532233620353024</v>
      </c>
      <c r="AF40" s="79">
        <v>44966.166921296295</v>
      </c>
      <c r="AG40" s="85">
        <v>44966</v>
      </c>
      <c r="AH40" s="82" t="s">
        <v>7790</v>
      </c>
      <c r="AI40" s="77" t="b">
        <v>0</v>
      </c>
      <c r="AJ40" s="77"/>
      <c r="AK40" s="77"/>
      <c r="AL40" s="77"/>
      <c r="AM40" s="77"/>
      <c r="AN40" s="77"/>
      <c r="AO40" s="77"/>
      <c r="AP40" s="77"/>
      <c r="AQ40" s="77" t="s">
        <v>10667</v>
      </c>
      <c r="AR40" s="77"/>
      <c r="AS40" s="77"/>
      <c r="AT40" s="77"/>
      <c r="AU40" s="77"/>
      <c r="AV40" s="80" t="str">
        <f>HYPERLINK("https://pbs.twimg.com/media/Fofx858X0AAiMFT.jpg")</f>
        <v>https://pbs.twimg.com/media/Fofx858X0AAiMFT.jpg</v>
      </c>
      <c r="AW40" s="82" t="s">
        <v>12236</v>
      </c>
      <c r="AX40" s="82" t="s">
        <v>12236</v>
      </c>
      <c r="AY40" s="77"/>
      <c r="AZ40" s="82" t="s">
        <v>15804</v>
      </c>
      <c r="BA40" s="82" t="s">
        <v>15804</v>
      </c>
      <c r="BB40" s="82" t="s">
        <v>15804</v>
      </c>
      <c r="BC40" s="82" t="s">
        <v>12236</v>
      </c>
      <c r="BD40" s="82" t="s">
        <v>16153</v>
      </c>
      <c r="BE40" s="77"/>
      <c r="BF40" s="77"/>
      <c r="BG40" s="77"/>
      <c r="BH40" s="77"/>
      <c r="BI40" s="77"/>
    </row>
    <row r="41" spans="1:61" x14ac:dyDescent="0.25">
      <c r="A41" s="62" t="s">
        <v>250</v>
      </c>
      <c r="B41" s="62" t="s">
        <v>250</v>
      </c>
      <c r="C41" s="63"/>
      <c r="D41" s="64"/>
      <c r="E41" s="65"/>
      <c r="F41" s="66"/>
      <c r="G41" s="63"/>
      <c r="H41" s="67"/>
      <c r="I41" s="68"/>
      <c r="J41" s="68"/>
      <c r="K41" s="32"/>
      <c r="L41" s="75">
        <v>41</v>
      </c>
      <c r="M41" s="75"/>
      <c r="N41" s="70"/>
      <c r="O41" s="77" t="s">
        <v>179</v>
      </c>
      <c r="P41" s="79">
        <v>45124.077847222223</v>
      </c>
      <c r="Q41" s="77" t="s">
        <v>1174</v>
      </c>
      <c r="R41" s="77">
        <v>0</v>
      </c>
      <c r="S41" s="77">
        <v>0</v>
      </c>
      <c r="T41" s="77">
        <v>0</v>
      </c>
      <c r="U41" s="77">
        <v>0</v>
      </c>
      <c r="V41" s="77">
        <v>157</v>
      </c>
      <c r="W41" s="82" t="s">
        <v>4110</v>
      </c>
      <c r="X41" s="77"/>
      <c r="Y41" s="77"/>
      <c r="Z41" s="77"/>
      <c r="AA41" s="77" t="s">
        <v>6161</v>
      </c>
      <c r="AB41" s="77" t="s">
        <v>7697</v>
      </c>
      <c r="AC41" s="82" t="s">
        <v>7706</v>
      </c>
      <c r="AD41" s="77" t="s">
        <v>7745</v>
      </c>
      <c r="AE41" s="80" t="str">
        <f>HYPERLINK("https://twitter.com/blumenauagora/status/1680757234022621184")</f>
        <v>https://twitter.com/blumenauagora/status/1680757234022621184</v>
      </c>
      <c r="AF41" s="79">
        <v>45124.077847222223</v>
      </c>
      <c r="AG41" s="85">
        <v>45124</v>
      </c>
      <c r="AH41" s="82" t="s">
        <v>7791</v>
      </c>
      <c r="AI41" s="77" t="b">
        <v>0</v>
      </c>
      <c r="AJ41" s="77"/>
      <c r="AK41" s="77"/>
      <c r="AL41" s="77"/>
      <c r="AM41" s="77"/>
      <c r="AN41" s="77"/>
      <c r="AO41" s="77"/>
      <c r="AP41" s="77"/>
      <c r="AQ41" s="77" t="s">
        <v>10668</v>
      </c>
      <c r="AR41" s="77">
        <v>43166</v>
      </c>
      <c r="AS41" s="77"/>
      <c r="AT41" s="77"/>
      <c r="AU41" s="77">
        <v>37</v>
      </c>
      <c r="AV41" s="80" t="str">
        <f>HYPERLINK("https://pbs.twimg.com/ext_tw_video_thumb/1680756966430326785/pu/img/St0olVtCuCUSH_tR.jpg")</f>
        <v>https://pbs.twimg.com/ext_tw_video_thumb/1680756966430326785/pu/img/St0olVtCuCUSH_tR.jpg</v>
      </c>
      <c r="AW41" s="82" t="s">
        <v>12237</v>
      </c>
      <c r="AX41" s="82" t="s">
        <v>12237</v>
      </c>
      <c r="AY41" s="77"/>
      <c r="AZ41" s="82" t="s">
        <v>15804</v>
      </c>
      <c r="BA41" s="82" t="s">
        <v>15804</v>
      </c>
      <c r="BB41" s="82" t="s">
        <v>15804</v>
      </c>
      <c r="BC41" s="82" t="s">
        <v>12237</v>
      </c>
      <c r="BD41" s="77">
        <v>116233438</v>
      </c>
      <c r="BE41" s="77"/>
      <c r="BF41" s="77"/>
      <c r="BG41" s="77"/>
      <c r="BH41" s="77"/>
      <c r="BI41" s="77"/>
    </row>
    <row r="42" spans="1:61" x14ac:dyDescent="0.25">
      <c r="A42" s="62" t="s">
        <v>251</v>
      </c>
      <c r="B42" s="62" t="s">
        <v>251</v>
      </c>
      <c r="C42" s="63"/>
      <c r="D42" s="64"/>
      <c r="E42" s="65"/>
      <c r="F42" s="66"/>
      <c r="G42" s="63"/>
      <c r="H42" s="67"/>
      <c r="I42" s="68"/>
      <c r="J42" s="68"/>
      <c r="K42" s="32"/>
      <c r="L42" s="75">
        <v>42</v>
      </c>
      <c r="M42" s="75"/>
      <c r="N42" s="70"/>
      <c r="O42" s="77" t="s">
        <v>179</v>
      </c>
      <c r="P42" s="79">
        <v>45014.673101851855</v>
      </c>
      <c r="Q42" s="77" t="s">
        <v>1175</v>
      </c>
      <c r="R42" s="77">
        <v>0</v>
      </c>
      <c r="S42" s="77">
        <v>0</v>
      </c>
      <c r="T42" s="77">
        <v>0</v>
      </c>
      <c r="U42" s="77">
        <v>0</v>
      </c>
      <c r="V42" s="77">
        <v>22</v>
      </c>
      <c r="W42" s="82" t="s">
        <v>4111</v>
      </c>
      <c r="X42" s="77"/>
      <c r="Y42" s="77"/>
      <c r="Z42" s="77"/>
      <c r="AA42" s="77"/>
      <c r="AB42" s="77"/>
      <c r="AC42" s="82" t="s">
        <v>7705</v>
      </c>
      <c r="AD42" s="77" t="s">
        <v>7745</v>
      </c>
      <c r="AE42" s="80" t="str">
        <f>HYPERLINK("https://twitter.com/aju_manganelli/status/1641110283060928513")</f>
        <v>https://twitter.com/aju_manganelli/status/1641110283060928513</v>
      </c>
      <c r="AF42" s="79">
        <v>45014.673101851855</v>
      </c>
      <c r="AG42" s="85">
        <v>45014</v>
      </c>
      <c r="AH42" s="82" t="s">
        <v>7792</v>
      </c>
      <c r="AI42" s="77"/>
      <c r="AJ42" s="77"/>
      <c r="AK42" s="77"/>
      <c r="AL42" s="77"/>
      <c r="AM42" s="77"/>
      <c r="AN42" s="77"/>
      <c r="AO42" s="77"/>
      <c r="AP42" s="77"/>
      <c r="AQ42" s="77"/>
      <c r="AR42" s="77"/>
      <c r="AS42" s="77"/>
      <c r="AT42" s="77"/>
      <c r="AU42" s="77"/>
      <c r="AV42" s="80" t="str">
        <f>HYPERLINK("https://pbs.twimg.com/profile_images/1678518151162503171/a6ShhjJ2_normal.jpg")</f>
        <v>https://pbs.twimg.com/profile_images/1678518151162503171/a6ShhjJ2_normal.jpg</v>
      </c>
      <c r="AW42" s="82" t="s">
        <v>12238</v>
      </c>
      <c r="AX42" s="82" t="s">
        <v>12238</v>
      </c>
      <c r="AY42" s="77"/>
      <c r="AZ42" s="82" t="s">
        <v>15804</v>
      </c>
      <c r="BA42" s="82" t="s">
        <v>15804</v>
      </c>
      <c r="BB42" s="82" t="s">
        <v>15804</v>
      </c>
      <c r="BC42" s="82" t="s">
        <v>12238</v>
      </c>
      <c r="BD42" s="82" t="s">
        <v>16154</v>
      </c>
      <c r="BE42" s="77"/>
      <c r="BF42" s="77"/>
      <c r="BG42" s="77"/>
      <c r="BH42" s="77"/>
      <c r="BI42" s="77"/>
    </row>
    <row r="43" spans="1:61" x14ac:dyDescent="0.25">
      <c r="A43" s="62" t="s">
        <v>251</v>
      </c>
      <c r="B43" s="62" t="s">
        <v>251</v>
      </c>
      <c r="C43" s="63"/>
      <c r="D43" s="64"/>
      <c r="E43" s="65"/>
      <c r="F43" s="66"/>
      <c r="G43" s="63"/>
      <c r="H43" s="67"/>
      <c r="I43" s="68"/>
      <c r="J43" s="68"/>
      <c r="K43" s="32"/>
      <c r="L43" s="75">
        <v>43</v>
      </c>
      <c r="M43" s="75"/>
      <c r="N43" s="70"/>
      <c r="O43" s="77" t="s">
        <v>179</v>
      </c>
      <c r="P43" s="79">
        <v>45031.574918981481</v>
      </c>
      <c r="Q43" s="77" t="s">
        <v>1176</v>
      </c>
      <c r="R43" s="77">
        <v>0</v>
      </c>
      <c r="S43" s="77">
        <v>0</v>
      </c>
      <c r="T43" s="77">
        <v>0</v>
      </c>
      <c r="U43" s="77">
        <v>0</v>
      </c>
      <c r="V43" s="77">
        <v>23</v>
      </c>
      <c r="W43" s="82" t="s">
        <v>4112</v>
      </c>
      <c r="X43" s="77"/>
      <c r="Y43" s="77"/>
      <c r="Z43" s="77"/>
      <c r="AA43" s="77"/>
      <c r="AB43" s="77"/>
      <c r="AC43" s="82" t="s">
        <v>7705</v>
      </c>
      <c r="AD43" s="77" t="s">
        <v>7745</v>
      </c>
      <c r="AE43" s="80" t="str">
        <f>HYPERLINK("https://twitter.com/aju_manganelli/status/1647235294729519105")</f>
        <v>https://twitter.com/aju_manganelli/status/1647235294729519105</v>
      </c>
      <c r="AF43" s="79">
        <v>45031.574918981481</v>
      </c>
      <c r="AG43" s="85">
        <v>45031</v>
      </c>
      <c r="AH43" s="82" t="s">
        <v>7793</v>
      </c>
      <c r="AI43" s="77"/>
      <c r="AJ43" s="77"/>
      <c r="AK43" s="77"/>
      <c r="AL43" s="77"/>
      <c r="AM43" s="77"/>
      <c r="AN43" s="77"/>
      <c r="AO43" s="77"/>
      <c r="AP43" s="77"/>
      <c r="AQ43" s="77"/>
      <c r="AR43" s="77"/>
      <c r="AS43" s="77"/>
      <c r="AT43" s="77"/>
      <c r="AU43" s="77"/>
      <c r="AV43" s="80" t="str">
        <f>HYPERLINK("https://pbs.twimg.com/profile_images/1678518151162503171/a6ShhjJ2_normal.jpg")</f>
        <v>https://pbs.twimg.com/profile_images/1678518151162503171/a6ShhjJ2_normal.jpg</v>
      </c>
      <c r="AW43" s="82" t="s">
        <v>12239</v>
      </c>
      <c r="AX43" s="82" t="s">
        <v>12239</v>
      </c>
      <c r="AY43" s="77"/>
      <c r="AZ43" s="82" t="s">
        <v>15804</v>
      </c>
      <c r="BA43" s="82" t="s">
        <v>15804</v>
      </c>
      <c r="BB43" s="82" t="s">
        <v>15804</v>
      </c>
      <c r="BC43" s="82" t="s">
        <v>12239</v>
      </c>
      <c r="BD43" s="82" t="s">
        <v>16154</v>
      </c>
      <c r="BE43" s="77"/>
      <c r="BF43" s="77"/>
      <c r="BG43" s="77"/>
      <c r="BH43" s="77"/>
      <c r="BI43" s="77"/>
    </row>
    <row r="44" spans="1:61" x14ac:dyDescent="0.25">
      <c r="A44" s="62" t="s">
        <v>252</v>
      </c>
      <c r="B44" s="62" t="s">
        <v>252</v>
      </c>
      <c r="C44" s="63"/>
      <c r="D44" s="64"/>
      <c r="E44" s="65"/>
      <c r="F44" s="66"/>
      <c r="G44" s="63"/>
      <c r="H44" s="67"/>
      <c r="I44" s="68"/>
      <c r="J44" s="68"/>
      <c r="K44" s="32"/>
      <c r="L44" s="75">
        <v>44</v>
      </c>
      <c r="M44" s="75"/>
      <c r="N44" s="70"/>
      <c r="O44" s="77" t="s">
        <v>1133</v>
      </c>
      <c r="P44" s="79">
        <v>44968.710543981484</v>
      </c>
      <c r="Q44" s="77" t="s">
        <v>1177</v>
      </c>
      <c r="R44" s="77">
        <v>0</v>
      </c>
      <c r="S44" s="77">
        <v>0</v>
      </c>
      <c r="T44" s="77">
        <v>0</v>
      </c>
      <c r="U44" s="77">
        <v>0</v>
      </c>
      <c r="V44" s="77">
        <v>8</v>
      </c>
      <c r="W44" s="82" t="s">
        <v>4113</v>
      </c>
      <c r="X44" s="77"/>
      <c r="Y44" s="77"/>
      <c r="Z44" s="77" t="s">
        <v>252</v>
      </c>
      <c r="AA44" s="77" t="s">
        <v>6162</v>
      </c>
      <c r="AB44" s="77" t="s">
        <v>7697</v>
      </c>
      <c r="AC44" s="82" t="s">
        <v>7706</v>
      </c>
      <c r="AD44" s="77" t="s">
        <v>7745</v>
      </c>
      <c r="AE44" s="80" t="str">
        <f>HYPERLINK("https://twitter.com/euedinheiro/status/1624454011221835779")</f>
        <v>https://twitter.com/euedinheiro/status/1624454011221835779</v>
      </c>
      <c r="AF44" s="79">
        <v>44968.710543981484</v>
      </c>
      <c r="AG44" s="85">
        <v>44968</v>
      </c>
      <c r="AH44" s="82" t="s">
        <v>7794</v>
      </c>
      <c r="AI44" s="77" t="b">
        <v>0</v>
      </c>
      <c r="AJ44" s="77"/>
      <c r="AK44" s="77"/>
      <c r="AL44" s="77"/>
      <c r="AM44" s="77"/>
      <c r="AN44" s="77"/>
      <c r="AO44" s="77"/>
      <c r="AP44" s="77"/>
      <c r="AQ44" s="77" t="s">
        <v>10669</v>
      </c>
      <c r="AR44" s="77">
        <v>26000</v>
      </c>
      <c r="AS44" s="77"/>
      <c r="AT44" s="77"/>
      <c r="AU44" s="77">
        <v>2</v>
      </c>
      <c r="AV44" s="80" t="str">
        <f>HYPERLINK("https://pbs.twimg.com/ext_tw_video_thumb/1624453938832461826/pu/img/-rGrAd71NBdtcRb_.jpg")</f>
        <v>https://pbs.twimg.com/ext_tw_video_thumb/1624453938832461826/pu/img/-rGrAd71NBdtcRb_.jpg</v>
      </c>
      <c r="AW44" s="82" t="s">
        <v>12240</v>
      </c>
      <c r="AX44" s="82" t="s">
        <v>12240</v>
      </c>
      <c r="AY44" s="77"/>
      <c r="AZ44" s="82" t="s">
        <v>15804</v>
      </c>
      <c r="BA44" s="82" t="s">
        <v>15804</v>
      </c>
      <c r="BB44" s="82" t="s">
        <v>15804</v>
      </c>
      <c r="BC44" s="82" t="s">
        <v>12240</v>
      </c>
      <c r="BD44" s="82" t="s">
        <v>16155</v>
      </c>
      <c r="BE44" s="77"/>
      <c r="BF44" s="77"/>
      <c r="BG44" s="77"/>
      <c r="BH44" s="77"/>
      <c r="BI44" s="77"/>
    </row>
    <row r="45" spans="1:61" x14ac:dyDescent="0.25">
      <c r="A45" s="62" t="s">
        <v>253</v>
      </c>
      <c r="B45" s="62" t="s">
        <v>253</v>
      </c>
      <c r="C45" s="63"/>
      <c r="D45" s="64"/>
      <c r="E45" s="65"/>
      <c r="F45" s="66"/>
      <c r="G45" s="63"/>
      <c r="H45" s="67"/>
      <c r="I45" s="68"/>
      <c r="J45" s="68"/>
      <c r="K45" s="32"/>
      <c r="L45" s="75">
        <v>45</v>
      </c>
      <c r="M45" s="75"/>
      <c r="N45" s="70"/>
      <c r="O45" s="77" t="s">
        <v>1132</v>
      </c>
      <c r="P45" s="79">
        <v>45063.730763888889</v>
      </c>
      <c r="Q45" s="77" t="s">
        <v>1178</v>
      </c>
      <c r="R45" s="77">
        <v>0</v>
      </c>
      <c r="S45" s="77">
        <v>0</v>
      </c>
      <c r="T45" s="77">
        <v>0</v>
      </c>
      <c r="U45" s="77">
        <v>0</v>
      </c>
      <c r="V45" s="77">
        <v>18</v>
      </c>
      <c r="W45" s="82" t="s">
        <v>4114</v>
      </c>
      <c r="X45" s="80" t="str">
        <f>HYPERLINK("http://seligafinancas.institutosicoob.org.br")</f>
        <v>http://seligafinancas.institutosicoob.org.br</v>
      </c>
      <c r="Y45" s="77" t="s">
        <v>6007</v>
      </c>
      <c r="Z45" s="77"/>
      <c r="AA45" s="77"/>
      <c r="AB45" s="77"/>
      <c r="AC45" s="82" t="s">
        <v>7706</v>
      </c>
      <c r="AD45" s="77" t="s">
        <v>7745</v>
      </c>
      <c r="AE45" s="80" t="str">
        <f>HYPERLINK("https://twitter.com/crediembrapa/status/1658888185881952275")</f>
        <v>https://twitter.com/crediembrapa/status/1658888185881952275</v>
      </c>
      <c r="AF45" s="79">
        <v>45063.730763888889</v>
      </c>
      <c r="AG45" s="85">
        <v>45063</v>
      </c>
      <c r="AH45" s="82" t="s">
        <v>7795</v>
      </c>
      <c r="AI45" s="77" t="b">
        <v>0</v>
      </c>
      <c r="AJ45" s="77"/>
      <c r="AK45" s="77"/>
      <c r="AL45" s="77"/>
      <c r="AM45" s="77"/>
      <c r="AN45" s="77"/>
      <c r="AO45" s="77"/>
      <c r="AP45" s="77"/>
      <c r="AQ45" s="77"/>
      <c r="AR45" s="77"/>
      <c r="AS45" s="77"/>
      <c r="AT45" s="77"/>
      <c r="AU45" s="77"/>
      <c r="AV45" s="80" t="str">
        <f>HYPERLINK("https://pbs.twimg.com/profile_images/1427607722770550805/zfjF2I1H_normal.jpg")</f>
        <v>https://pbs.twimg.com/profile_images/1427607722770550805/zfjF2I1H_normal.jpg</v>
      </c>
      <c r="AW45" s="82" t="s">
        <v>12241</v>
      </c>
      <c r="AX45" s="82" t="s">
        <v>15224</v>
      </c>
      <c r="AY45" s="82" t="s">
        <v>15675</v>
      </c>
      <c r="AZ45" s="82" t="s">
        <v>15224</v>
      </c>
      <c r="BA45" s="82" t="s">
        <v>15804</v>
      </c>
      <c r="BB45" s="82" t="s">
        <v>15804</v>
      </c>
      <c r="BC45" s="82" t="s">
        <v>15224</v>
      </c>
      <c r="BD45" s="77">
        <v>64757742</v>
      </c>
      <c r="BE45" s="77"/>
      <c r="BF45" s="77"/>
      <c r="BG45" s="77"/>
      <c r="BH45" s="77"/>
      <c r="BI45" s="77"/>
    </row>
    <row r="46" spans="1:61" x14ac:dyDescent="0.25">
      <c r="A46" s="62" t="s">
        <v>254</v>
      </c>
      <c r="B46" s="62" t="s">
        <v>254</v>
      </c>
      <c r="C46" s="63"/>
      <c r="D46" s="64"/>
      <c r="E46" s="65"/>
      <c r="F46" s="66"/>
      <c r="G46" s="63"/>
      <c r="H46" s="67"/>
      <c r="I46" s="68"/>
      <c r="J46" s="68"/>
      <c r="K46" s="32"/>
      <c r="L46" s="75">
        <v>46</v>
      </c>
      <c r="M46" s="75"/>
      <c r="N46" s="70"/>
      <c r="O46" s="77" t="s">
        <v>179</v>
      </c>
      <c r="P46" s="79">
        <v>45115.937418981484</v>
      </c>
      <c r="Q46" s="77" t="s">
        <v>1179</v>
      </c>
      <c r="R46" s="77">
        <v>0</v>
      </c>
      <c r="S46" s="77">
        <v>0</v>
      </c>
      <c r="T46" s="77">
        <v>0</v>
      </c>
      <c r="U46" s="77">
        <v>0</v>
      </c>
      <c r="V46" s="77">
        <v>28</v>
      </c>
      <c r="W46" s="82" t="s">
        <v>4115</v>
      </c>
      <c r="X46" s="77"/>
      <c r="Y46" s="77"/>
      <c r="Z46" s="77"/>
      <c r="AA46" s="77"/>
      <c r="AB46" s="77"/>
      <c r="AC46" s="82" t="s">
        <v>7706</v>
      </c>
      <c r="AD46" s="77" t="s">
        <v>7745</v>
      </c>
      <c r="AE46" s="80" t="str">
        <f>HYPERLINK("https://twitter.com/uchoavf/status/1677807241175465985")</f>
        <v>https://twitter.com/uchoavf/status/1677807241175465985</v>
      </c>
      <c r="AF46" s="79">
        <v>45115.937418981484</v>
      </c>
      <c r="AG46" s="85">
        <v>45115</v>
      </c>
      <c r="AH46" s="82" t="s">
        <v>7796</v>
      </c>
      <c r="AI46" s="77"/>
      <c r="AJ46" s="77"/>
      <c r="AK46" s="77"/>
      <c r="AL46" s="77"/>
      <c r="AM46" s="77"/>
      <c r="AN46" s="77"/>
      <c r="AO46" s="77"/>
      <c r="AP46" s="77"/>
      <c r="AQ46" s="77"/>
      <c r="AR46" s="77"/>
      <c r="AS46" s="77"/>
      <c r="AT46" s="77"/>
      <c r="AU46" s="77"/>
      <c r="AV46" s="80" t="str">
        <f>HYPERLINK("https://pbs.twimg.com/profile_images/1510225048971489284/Z_xI6ZEz_normal.png")</f>
        <v>https://pbs.twimg.com/profile_images/1510225048971489284/Z_xI6ZEz_normal.png</v>
      </c>
      <c r="AW46" s="82" t="s">
        <v>12242</v>
      </c>
      <c r="AX46" s="82" t="s">
        <v>12242</v>
      </c>
      <c r="AY46" s="77"/>
      <c r="AZ46" s="82" t="s">
        <v>15804</v>
      </c>
      <c r="BA46" s="82" t="s">
        <v>15804</v>
      </c>
      <c r="BB46" s="82" t="s">
        <v>15804</v>
      </c>
      <c r="BC46" s="82" t="s">
        <v>12242</v>
      </c>
      <c r="BD46" s="82" t="s">
        <v>16156</v>
      </c>
      <c r="BE46" s="77"/>
      <c r="BF46" s="77"/>
      <c r="BG46" s="77"/>
      <c r="BH46" s="77"/>
      <c r="BI46" s="77"/>
    </row>
    <row r="47" spans="1:61" x14ac:dyDescent="0.25">
      <c r="A47" s="62" t="s">
        <v>254</v>
      </c>
      <c r="B47" s="62" t="s">
        <v>254</v>
      </c>
      <c r="C47" s="63"/>
      <c r="D47" s="64"/>
      <c r="E47" s="65"/>
      <c r="F47" s="66"/>
      <c r="G47" s="63"/>
      <c r="H47" s="67"/>
      <c r="I47" s="68"/>
      <c r="J47" s="68"/>
      <c r="K47" s="32"/>
      <c r="L47" s="75">
        <v>47</v>
      </c>
      <c r="M47" s="75"/>
      <c r="N47" s="70"/>
      <c r="O47" s="77" t="s">
        <v>179</v>
      </c>
      <c r="P47" s="79">
        <v>45115.937256944446</v>
      </c>
      <c r="Q47" s="77" t="s">
        <v>1180</v>
      </c>
      <c r="R47" s="77">
        <v>0</v>
      </c>
      <c r="S47" s="77">
        <v>0</v>
      </c>
      <c r="T47" s="77">
        <v>0</v>
      </c>
      <c r="U47" s="77">
        <v>0</v>
      </c>
      <c r="V47" s="77">
        <v>13</v>
      </c>
      <c r="W47" s="82" t="s">
        <v>4116</v>
      </c>
      <c r="X47" s="77"/>
      <c r="Y47" s="77"/>
      <c r="Z47" s="77"/>
      <c r="AA47" s="77"/>
      <c r="AB47" s="77"/>
      <c r="AC47" s="82" t="s">
        <v>7706</v>
      </c>
      <c r="AD47" s="77" t="s">
        <v>7745</v>
      </c>
      <c r="AE47" s="80" t="str">
        <f>HYPERLINK("https://twitter.com/uchoavf/status/1677807184954941443")</f>
        <v>https://twitter.com/uchoavf/status/1677807184954941443</v>
      </c>
      <c r="AF47" s="79">
        <v>45115.937256944446</v>
      </c>
      <c r="AG47" s="85">
        <v>45115</v>
      </c>
      <c r="AH47" s="82" t="s">
        <v>7797</v>
      </c>
      <c r="AI47" s="77"/>
      <c r="AJ47" s="77"/>
      <c r="AK47" s="77"/>
      <c r="AL47" s="77"/>
      <c r="AM47" s="77"/>
      <c r="AN47" s="77"/>
      <c r="AO47" s="77"/>
      <c r="AP47" s="77"/>
      <c r="AQ47" s="77"/>
      <c r="AR47" s="77"/>
      <c r="AS47" s="77"/>
      <c r="AT47" s="77"/>
      <c r="AU47" s="77"/>
      <c r="AV47" s="80" t="str">
        <f>HYPERLINK("https://pbs.twimg.com/profile_images/1510225048971489284/Z_xI6ZEz_normal.png")</f>
        <v>https://pbs.twimg.com/profile_images/1510225048971489284/Z_xI6ZEz_normal.png</v>
      </c>
      <c r="AW47" s="82" t="s">
        <v>12243</v>
      </c>
      <c r="AX47" s="82" t="s">
        <v>12243</v>
      </c>
      <c r="AY47" s="77"/>
      <c r="AZ47" s="82" t="s">
        <v>15804</v>
      </c>
      <c r="BA47" s="82" t="s">
        <v>15804</v>
      </c>
      <c r="BB47" s="82" t="s">
        <v>15804</v>
      </c>
      <c r="BC47" s="82" t="s">
        <v>12243</v>
      </c>
      <c r="BD47" s="82" t="s">
        <v>16156</v>
      </c>
      <c r="BE47" s="77"/>
      <c r="BF47" s="77"/>
      <c r="BG47" s="77"/>
      <c r="BH47" s="77"/>
      <c r="BI47" s="77"/>
    </row>
    <row r="48" spans="1:61" x14ac:dyDescent="0.25">
      <c r="A48" s="62" t="s">
        <v>254</v>
      </c>
      <c r="B48" s="62" t="s">
        <v>254</v>
      </c>
      <c r="C48" s="63"/>
      <c r="D48" s="64"/>
      <c r="E48" s="65"/>
      <c r="F48" s="66"/>
      <c r="G48" s="63"/>
      <c r="H48" s="67"/>
      <c r="I48" s="68"/>
      <c r="J48" s="68"/>
      <c r="K48" s="32"/>
      <c r="L48" s="75">
        <v>48</v>
      </c>
      <c r="M48" s="75"/>
      <c r="N48" s="70"/>
      <c r="O48" s="77" t="s">
        <v>179</v>
      </c>
      <c r="P48" s="79">
        <v>45115.766064814816</v>
      </c>
      <c r="Q48" s="77" t="s">
        <v>1181</v>
      </c>
      <c r="R48" s="77">
        <v>0</v>
      </c>
      <c r="S48" s="77">
        <v>0</v>
      </c>
      <c r="T48" s="77">
        <v>0</v>
      </c>
      <c r="U48" s="77">
        <v>0</v>
      </c>
      <c r="V48" s="77">
        <v>9</v>
      </c>
      <c r="W48" s="82" t="s">
        <v>4117</v>
      </c>
      <c r="X48" s="77"/>
      <c r="Y48" s="77"/>
      <c r="Z48" s="77"/>
      <c r="AA48" s="77"/>
      <c r="AB48" s="77"/>
      <c r="AC48" s="82" t="s">
        <v>7706</v>
      </c>
      <c r="AD48" s="77" t="s">
        <v>7745</v>
      </c>
      <c r="AE48" s="80" t="str">
        <f>HYPERLINK("https://twitter.com/uchoavf/status/1677745144366235653")</f>
        <v>https://twitter.com/uchoavf/status/1677745144366235653</v>
      </c>
      <c r="AF48" s="79">
        <v>45115.766064814816</v>
      </c>
      <c r="AG48" s="85">
        <v>45115</v>
      </c>
      <c r="AH48" s="82" t="s">
        <v>7798</v>
      </c>
      <c r="AI48" s="77"/>
      <c r="AJ48" s="77"/>
      <c r="AK48" s="77"/>
      <c r="AL48" s="77"/>
      <c r="AM48" s="77"/>
      <c r="AN48" s="77"/>
      <c r="AO48" s="77"/>
      <c r="AP48" s="77"/>
      <c r="AQ48" s="77"/>
      <c r="AR48" s="77"/>
      <c r="AS48" s="77"/>
      <c r="AT48" s="77"/>
      <c r="AU48" s="77"/>
      <c r="AV48" s="80" t="str">
        <f>HYPERLINK("https://pbs.twimg.com/profile_images/1510225048971489284/Z_xI6ZEz_normal.png")</f>
        <v>https://pbs.twimg.com/profile_images/1510225048971489284/Z_xI6ZEz_normal.png</v>
      </c>
      <c r="AW48" s="82" t="s">
        <v>12244</v>
      </c>
      <c r="AX48" s="82" t="s">
        <v>12244</v>
      </c>
      <c r="AY48" s="77"/>
      <c r="AZ48" s="82" t="s">
        <v>15804</v>
      </c>
      <c r="BA48" s="82" t="s">
        <v>15804</v>
      </c>
      <c r="BB48" s="82" t="s">
        <v>15804</v>
      </c>
      <c r="BC48" s="82" t="s">
        <v>12244</v>
      </c>
      <c r="BD48" s="82" t="s">
        <v>16156</v>
      </c>
      <c r="BE48" s="77"/>
      <c r="BF48" s="77"/>
      <c r="BG48" s="77"/>
      <c r="BH48" s="77"/>
      <c r="BI48" s="77"/>
    </row>
    <row r="49" spans="1:61" x14ac:dyDescent="0.25">
      <c r="A49" s="62" t="s">
        <v>254</v>
      </c>
      <c r="B49" s="62" t="s">
        <v>254</v>
      </c>
      <c r="C49" s="63"/>
      <c r="D49" s="64"/>
      <c r="E49" s="65"/>
      <c r="F49" s="66"/>
      <c r="G49" s="63"/>
      <c r="H49" s="67"/>
      <c r="I49" s="68"/>
      <c r="J49" s="68"/>
      <c r="K49" s="32"/>
      <c r="L49" s="75">
        <v>49</v>
      </c>
      <c r="M49" s="75"/>
      <c r="N49" s="70"/>
      <c r="O49" s="77" t="s">
        <v>179</v>
      </c>
      <c r="P49" s="79">
        <v>45115.765833333331</v>
      </c>
      <c r="Q49" s="77" t="s">
        <v>1182</v>
      </c>
      <c r="R49" s="77">
        <v>0</v>
      </c>
      <c r="S49" s="77">
        <v>0</v>
      </c>
      <c r="T49" s="77">
        <v>0</v>
      </c>
      <c r="U49" s="77">
        <v>0</v>
      </c>
      <c r="V49" s="77">
        <v>11</v>
      </c>
      <c r="W49" s="82" t="s">
        <v>4104</v>
      </c>
      <c r="X49" s="77"/>
      <c r="Y49" s="77"/>
      <c r="Z49" s="77"/>
      <c r="AA49" s="77"/>
      <c r="AB49" s="77"/>
      <c r="AC49" s="82" t="s">
        <v>7706</v>
      </c>
      <c r="AD49" s="77" t="s">
        <v>7745</v>
      </c>
      <c r="AE49" s="80" t="str">
        <f>HYPERLINK("https://twitter.com/uchoavf/status/1677745062749302785")</f>
        <v>https://twitter.com/uchoavf/status/1677745062749302785</v>
      </c>
      <c r="AF49" s="79">
        <v>45115.765833333331</v>
      </c>
      <c r="AG49" s="85">
        <v>45115</v>
      </c>
      <c r="AH49" s="82" t="s">
        <v>7799</v>
      </c>
      <c r="AI49" s="77"/>
      <c r="AJ49" s="77"/>
      <c r="AK49" s="77"/>
      <c r="AL49" s="77"/>
      <c r="AM49" s="77"/>
      <c r="AN49" s="77"/>
      <c r="AO49" s="77"/>
      <c r="AP49" s="77"/>
      <c r="AQ49" s="77"/>
      <c r="AR49" s="77"/>
      <c r="AS49" s="77"/>
      <c r="AT49" s="77"/>
      <c r="AU49" s="77"/>
      <c r="AV49" s="80" t="str">
        <f>HYPERLINK("https://pbs.twimg.com/profile_images/1510225048971489284/Z_xI6ZEz_normal.png")</f>
        <v>https://pbs.twimg.com/profile_images/1510225048971489284/Z_xI6ZEz_normal.png</v>
      </c>
      <c r="AW49" s="82" t="s">
        <v>12245</v>
      </c>
      <c r="AX49" s="82" t="s">
        <v>12245</v>
      </c>
      <c r="AY49" s="77"/>
      <c r="AZ49" s="82" t="s">
        <v>15804</v>
      </c>
      <c r="BA49" s="82" t="s">
        <v>15804</v>
      </c>
      <c r="BB49" s="82" t="s">
        <v>15804</v>
      </c>
      <c r="BC49" s="82" t="s">
        <v>12245</v>
      </c>
      <c r="BD49" s="82" t="s">
        <v>16156</v>
      </c>
      <c r="BE49" s="77"/>
      <c r="BF49" s="77"/>
      <c r="BG49" s="77"/>
      <c r="BH49" s="77"/>
      <c r="BI49" s="77"/>
    </row>
    <row r="50" spans="1:61" x14ac:dyDescent="0.25">
      <c r="A50" s="62" t="s">
        <v>254</v>
      </c>
      <c r="B50" s="62" t="s">
        <v>254</v>
      </c>
      <c r="C50" s="63"/>
      <c r="D50" s="64"/>
      <c r="E50" s="65"/>
      <c r="F50" s="66"/>
      <c r="G50" s="63"/>
      <c r="H50" s="67"/>
      <c r="I50" s="68"/>
      <c r="J50" s="68"/>
      <c r="K50" s="32"/>
      <c r="L50" s="75">
        <v>50</v>
      </c>
      <c r="M50" s="75"/>
      <c r="N50" s="70"/>
      <c r="O50" s="77" t="s">
        <v>179</v>
      </c>
      <c r="P50" s="79">
        <v>45115.765613425923</v>
      </c>
      <c r="Q50" s="77" t="s">
        <v>1183</v>
      </c>
      <c r="R50" s="77">
        <v>0</v>
      </c>
      <c r="S50" s="77">
        <v>0</v>
      </c>
      <c r="T50" s="77">
        <v>0</v>
      </c>
      <c r="U50" s="77">
        <v>0</v>
      </c>
      <c r="V50" s="77">
        <v>9</v>
      </c>
      <c r="W50" s="82" t="s">
        <v>4118</v>
      </c>
      <c r="X50" s="77"/>
      <c r="Y50" s="77"/>
      <c r="Z50" s="77"/>
      <c r="AA50" s="77"/>
      <c r="AB50" s="77"/>
      <c r="AC50" s="82" t="s">
        <v>7706</v>
      </c>
      <c r="AD50" s="77" t="s">
        <v>7745</v>
      </c>
      <c r="AE50" s="80" t="str">
        <f>HYPERLINK("https://twitter.com/uchoavf/status/1677744981883101185")</f>
        <v>https://twitter.com/uchoavf/status/1677744981883101185</v>
      </c>
      <c r="AF50" s="79">
        <v>45115.765613425923</v>
      </c>
      <c r="AG50" s="85">
        <v>45115</v>
      </c>
      <c r="AH50" s="82" t="s">
        <v>7800</v>
      </c>
      <c r="AI50" s="77"/>
      <c r="AJ50" s="77"/>
      <c r="AK50" s="77"/>
      <c r="AL50" s="77"/>
      <c r="AM50" s="77"/>
      <c r="AN50" s="77"/>
      <c r="AO50" s="77"/>
      <c r="AP50" s="77"/>
      <c r="AQ50" s="77"/>
      <c r="AR50" s="77"/>
      <c r="AS50" s="77"/>
      <c r="AT50" s="77"/>
      <c r="AU50" s="77"/>
      <c r="AV50" s="80" t="str">
        <f>HYPERLINK("https://pbs.twimg.com/profile_images/1510225048971489284/Z_xI6ZEz_normal.png")</f>
        <v>https://pbs.twimg.com/profile_images/1510225048971489284/Z_xI6ZEz_normal.png</v>
      </c>
      <c r="AW50" s="82" t="s">
        <v>12246</v>
      </c>
      <c r="AX50" s="82" t="s">
        <v>12246</v>
      </c>
      <c r="AY50" s="77"/>
      <c r="AZ50" s="82" t="s">
        <v>15804</v>
      </c>
      <c r="BA50" s="82" t="s">
        <v>15804</v>
      </c>
      <c r="BB50" s="82" t="s">
        <v>15804</v>
      </c>
      <c r="BC50" s="82" t="s">
        <v>12246</v>
      </c>
      <c r="BD50" s="82" t="s">
        <v>16156</v>
      </c>
      <c r="BE50" s="77"/>
      <c r="BF50" s="77"/>
      <c r="BG50" s="77"/>
      <c r="BH50" s="77"/>
      <c r="BI50" s="77"/>
    </row>
    <row r="51" spans="1:61" x14ac:dyDescent="0.25">
      <c r="A51" s="62" t="s">
        <v>255</v>
      </c>
      <c r="B51" s="62" t="s">
        <v>255</v>
      </c>
      <c r="C51" s="63"/>
      <c r="D51" s="64"/>
      <c r="E51" s="65"/>
      <c r="F51" s="66"/>
      <c r="G51" s="63"/>
      <c r="H51" s="67"/>
      <c r="I51" s="68"/>
      <c r="J51" s="68"/>
      <c r="K51" s="32"/>
      <c r="L51" s="75">
        <v>51</v>
      </c>
      <c r="M51" s="75"/>
      <c r="N51" s="70"/>
      <c r="O51" s="77" t="s">
        <v>179</v>
      </c>
      <c r="P51" s="79">
        <v>45119.575856481482</v>
      </c>
      <c r="Q51" s="77" t="s">
        <v>1184</v>
      </c>
      <c r="R51" s="77">
        <v>0</v>
      </c>
      <c r="S51" s="77">
        <v>0</v>
      </c>
      <c r="T51" s="77">
        <v>0</v>
      </c>
      <c r="U51" s="77">
        <v>0</v>
      </c>
      <c r="V51" s="77">
        <v>13</v>
      </c>
      <c r="W51" s="82" t="s">
        <v>4119</v>
      </c>
      <c r="X51" s="77"/>
      <c r="Y51" s="77"/>
      <c r="Z51" s="77"/>
      <c r="AA51" s="77" t="s">
        <v>6163</v>
      </c>
      <c r="AB51" s="77" t="s">
        <v>7696</v>
      </c>
      <c r="AC51" s="82" t="s">
        <v>7707</v>
      </c>
      <c r="AD51" s="77" t="s">
        <v>7745</v>
      </c>
      <c r="AE51" s="80" t="str">
        <f>HYPERLINK("https://twitter.com/ivana_p_almeida/status/1679125769308569601")</f>
        <v>https://twitter.com/ivana_p_almeida/status/1679125769308569601</v>
      </c>
      <c r="AF51" s="79">
        <v>45119.575856481482</v>
      </c>
      <c r="AG51" s="85">
        <v>45119</v>
      </c>
      <c r="AH51" s="82" t="s">
        <v>7801</v>
      </c>
      <c r="AI51" s="77" t="b">
        <v>0</v>
      </c>
      <c r="AJ51" s="77"/>
      <c r="AK51" s="77"/>
      <c r="AL51" s="77"/>
      <c r="AM51" s="77"/>
      <c r="AN51" s="77"/>
      <c r="AO51" s="77"/>
      <c r="AP51" s="77"/>
      <c r="AQ51" s="77" t="s">
        <v>10670</v>
      </c>
      <c r="AR51" s="77"/>
      <c r="AS51" s="77"/>
      <c r="AT51" s="77"/>
      <c r="AU51" s="77"/>
      <c r="AV51" s="80" t="str">
        <f>HYPERLINK("https://pbs.twimg.com/media/F01z_PxXwCAnTGx.jpg")</f>
        <v>https://pbs.twimg.com/media/F01z_PxXwCAnTGx.jpg</v>
      </c>
      <c r="AW51" s="82" t="s">
        <v>12247</v>
      </c>
      <c r="AX51" s="82" t="s">
        <v>12247</v>
      </c>
      <c r="AY51" s="77"/>
      <c r="AZ51" s="82" t="s">
        <v>15804</v>
      </c>
      <c r="BA51" s="82" t="s">
        <v>15804</v>
      </c>
      <c r="BB51" s="82" t="s">
        <v>15804</v>
      </c>
      <c r="BC51" s="82" t="s">
        <v>12247</v>
      </c>
      <c r="BD51" s="82" t="s">
        <v>16157</v>
      </c>
      <c r="BE51" s="77"/>
      <c r="BF51" s="77"/>
      <c r="BG51" s="77"/>
      <c r="BH51" s="77"/>
      <c r="BI51" s="77"/>
    </row>
    <row r="52" spans="1:61" x14ac:dyDescent="0.25">
      <c r="A52" s="62" t="s">
        <v>256</v>
      </c>
      <c r="B52" s="62" t="s">
        <v>256</v>
      </c>
      <c r="C52" s="63"/>
      <c r="D52" s="64"/>
      <c r="E52" s="65"/>
      <c r="F52" s="66"/>
      <c r="G52" s="63"/>
      <c r="H52" s="67"/>
      <c r="I52" s="68"/>
      <c r="J52" s="68"/>
      <c r="K52" s="32"/>
      <c r="L52" s="75">
        <v>52</v>
      </c>
      <c r="M52" s="75"/>
      <c r="N52" s="70"/>
      <c r="O52" s="77" t="s">
        <v>179</v>
      </c>
      <c r="P52" s="79">
        <v>44952.965995370374</v>
      </c>
      <c r="Q52" s="77" t="s">
        <v>1185</v>
      </c>
      <c r="R52" s="77">
        <v>0</v>
      </c>
      <c r="S52" s="77">
        <v>2</v>
      </c>
      <c r="T52" s="77">
        <v>0</v>
      </c>
      <c r="U52" s="77">
        <v>0</v>
      </c>
      <c r="V52" s="77">
        <v>44</v>
      </c>
      <c r="W52" s="82" t="s">
        <v>4120</v>
      </c>
      <c r="X52" s="77"/>
      <c r="Y52" s="77"/>
      <c r="Z52" s="77"/>
      <c r="AA52" s="77" t="s">
        <v>6164</v>
      </c>
      <c r="AB52" s="77" t="s">
        <v>7696</v>
      </c>
      <c r="AC52" s="82" t="s">
        <v>7707</v>
      </c>
      <c r="AD52" s="77" t="s">
        <v>7745</v>
      </c>
      <c r="AE52" s="80" t="str">
        <f>HYPERLINK("https://twitter.com/analistainvest/status/1618748376090308608")</f>
        <v>https://twitter.com/analistainvest/status/1618748376090308608</v>
      </c>
      <c r="AF52" s="79">
        <v>44952.965995370374</v>
      </c>
      <c r="AG52" s="85">
        <v>44952</v>
      </c>
      <c r="AH52" s="82" t="s">
        <v>7802</v>
      </c>
      <c r="AI52" s="77" t="b">
        <v>0</v>
      </c>
      <c r="AJ52" s="77"/>
      <c r="AK52" s="77"/>
      <c r="AL52" s="77"/>
      <c r="AM52" s="77"/>
      <c r="AN52" s="77"/>
      <c r="AO52" s="77"/>
      <c r="AP52" s="77"/>
      <c r="AQ52" s="77" t="s">
        <v>10671</v>
      </c>
      <c r="AR52" s="77"/>
      <c r="AS52" s="77"/>
      <c r="AT52" s="77"/>
      <c r="AU52" s="77"/>
      <c r="AV52" s="80" t="str">
        <f>HYPERLINK("https://pbs.twimg.com/media/FnbzEZ8XgAEXlFO.jpg")</f>
        <v>https://pbs.twimg.com/media/FnbzEZ8XgAEXlFO.jpg</v>
      </c>
      <c r="AW52" s="82" t="s">
        <v>12248</v>
      </c>
      <c r="AX52" s="82" t="s">
        <v>12248</v>
      </c>
      <c r="AY52" s="77"/>
      <c r="AZ52" s="82" t="s">
        <v>15804</v>
      </c>
      <c r="BA52" s="82" t="s">
        <v>15804</v>
      </c>
      <c r="BB52" s="82" t="s">
        <v>15804</v>
      </c>
      <c r="BC52" s="82" t="s">
        <v>12248</v>
      </c>
      <c r="BD52" s="82" t="s">
        <v>16158</v>
      </c>
      <c r="BE52" s="77"/>
      <c r="BF52" s="77"/>
      <c r="BG52" s="77"/>
      <c r="BH52" s="77"/>
      <c r="BI52" s="77"/>
    </row>
    <row r="53" spans="1:61" x14ac:dyDescent="0.25">
      <c r="A53" s="62" t="s">
        <v>257</v>
      </c>
      <c r="B53" s="62" t="s">
        <v>839</v>
      </c>
      <c r="C53" s="63"/>
      <c r="D53" s="64"/>
      <c r="E53" s="65"/>
      <c r="F53" s="66"/>
      <c r="G53" s="63"/>
      <c r="H53" s="67"/>
      <c r="I53" s="68"/>
      <c r="J53" s="68"/>
      <c r="K53" s="32"/>
      <c r="L53" s="75">
        <v>53</v>
      </c>
      <c r="M53" s="75"/>
      <c r="N53" s="70"/>
      <c r="O53" s="77" t="s">
        <v>1135</v>
      </c>
      <c r="P53" s="79">
        <v>45057.922314814816</v>
      </c>
      <c r="Q53" s="77" t="s">
        <v>1186</v>
      </c>
      <c r="R53" s="77">
        <v>0</v>
      </c>
      <c r="S53" s="77">
        <v>4</v>
      </c>
      <c r="T53" s="77">
        <v>0</v>
      </c>
      <c r="U53" s="77">
        <v>0</v>
      </c>
      <c r="V53" s="77">
        <v>111</v>
      </c>
      <c r="W53" s="82" t="s">
        <v>4121</v>
      </c>
      <c r="X53" s="77"/>
      <c r="Y53" s="77"/>
      <c r="Z53" s="77"/>
      <c r="AA53" s="77"/>
      <c r="AB53" s="77"/>
      <c r="AC53" s="82" t="s">
        <v>7706</v>
      </c>
      <c r="AD53" s="77" t="s">
        <v>7745</v>
      </c>
      <c r="AE53" s="80" t="str">
        <f>HYPERLINK("https://twitter.com/econandreiaferr/status/1656783273643720706")</f>
        <v>https://twitter.com/econandreiaferr/status/1656783273643720706</v>
      </c>
      <c r="AF53" s="79">
        <v>45057.922314814816</v>
      </c>
      <c r="AG53" s="85">
        <v>45057</v>
      </c>
      <c r="AH53" s="82" t="s">
        <v>7803</v>
      </c>
      <c r="AI53" s="77"/>
      <c r="AJ53" s="77"/>
      <c r="AK53" s="77"/>
      <c r="AL53" s="77"/>
      <c r="AM53" s="77"/>
      <c r="AN53" s="77"/>
      <c r="AO53" s="77"/>
      <c r="AP53" s="77"/>
      <c r="AQ53" s="77"/>
      <c r="AR53" s="77"/>
      <c r="AS53" s="77"/>
      <c r="AT53" s="77"/>
      <c r="AU53" s="77"/>
      <c r="AV53" s="80" t="str">
        <f>HYPERLINK("https://pbs.twimg.com/profile_images/1260317888675819520/A2bQu2FT_normal.png")</f>
        <v>https://pbs.twimg.com/profile_images/1260317888675819520/A2bQu2FT_normal.png</v>
      </c>
      <c r="AW53" s="82" t="s">
        <v>12249</v>
      </c>
      <c r="AX53" s="82" t="s">
        <v>12249</v>
      </c>
      <c r="AY53" s="77"/>
      <c r="AZ53" s="82" t="s">
        <v>15804</v>
      </c>
      <c r="BA53" s="82" t="s">
        <v>14160</v>
      </c>
      <c r="BB53" s="82" t="s">
        <v>15804</v>
      </c>
      <c r="BC53" s="82" t="s">
        <v>14160</v>
      </c>
      <c r="BD53" s="82" t="s">
        <v>16159</v>
      </c>
      <c r="BE53" s="77"/>
      <c r="BF53" s="77"/>
      <c r="BG53" s="77"/>
      <c r="BH53" s="77"/>
      <c r="BI53" s="77"/>
    </row>
    <row r="54" spans="1:61" x14ac:dyDescent="0.25">
      <c r="A54" s="62" t="s">
        <v>258</v>
      </c>
      <c r="B54" s="62" t="s">
        <v>258</v>
      </c>
      <c r="C54" s="63"/>
      <c r="D54" s="64"/>
      <c r="E54" s="65"/>
      <c r="F54" s="66"/>
      <c r="G54" s="63"/>
      <c r="H54" s="67"/>
      <c r="I54" s="68"/>
      <c r="J54" s="68"/>
      <c r="K54" s="32"/>
      <c r="L54" s="75">
        <v>54</v>
      </c>
      <c r="M54" s="75"/>
      <c r="N54" s="70"/>
      <c r="O54" s="77" t="s">
        <v>179</v>
      </c>
      <c r="P54" s="79">
        <v>45170.595185185186</v>
      </c>
      <c r="Q54" s="77" t="s">
        <v>1187</v>
      </c>
      <c r="R54" s="77">
        <v>0</v>
      </c>
      <c r="S54" s="77">
        <v>0</v>
      </c>
      <c r="T54" s="77">
        <v>0</v>
      </c>
      <c r="U54" s="77">
        <v>0</v>
      </c>
      <c r="V54" s="77">
        <v>2</v>
      </c>
      <c r="W54" s="82" t="s">
        <v>4122</v>
      </c>
      <c r="X54" s="77"/>
      <c r="Y54" s="77"/>
      <c r="Z54" s="77"/>
      <c r="AA54" s="77" t="s">
        <v>6165</v>
      </c>
      <c r="AB54" s="77" t="s">
        <v>7697</v>
      </c>
      <c r="AC54" s="82" t="s">
        <v>7706</v>
      </c>
      <c r="AD54" s="77" t="s">
        <v>7745</v>
      </c>
      <c r="AE54" s="80" t="str">
        <f>HYPERLINK("https://twitter.com/marcos_b_39/status/1697614553419243652")</f>
        <v>https://twitter.com/marcos_b_39/status/1697614553419243652</v>
      </c>
      <c r="AF54" s="79">
        <v>45170.595185185186</v>
      </c>
      <c r="AG54" s="85">
        <v>45170</v>
      </c>
      <c r="AH54" s="82" t="s">
        <v>7804</v>
      </c>
      <c r="AI54" s="77" t="b">
        <v>0</v>
      </c>
      <c r="AJ54" s="77"/>
      <c r="AK54" s="77"/>
      <c r="AL54" s="77"/>
      <c r="AM54" s="77"/>
      <c r="AN54" s="77"/>
      <c r="AO54" s="77"/>
      <c r="AP54" s="77"/>
      <c r="AQ54" s="77" t="s">
        <v>10672</v>
      </c>
      <c r="AR54" s="77">
        <v>68100</v>
      </c>
      <c r="AS54" s="77"/>
      <c r="AT54" s="77"/>
      <c r="AU54" s="77">
        <v>4</v>
      </c>
      <c r="AV54" s="80" t="str">
        <f>HYPERLINK("https://pbs.twimg.com/ext_tw_video_thumb/1697614102573490176/pu/img/DdsRG702fAMN3iyJ.jpg")</f>
        <v>https://pbs.twimg.com/ext_tw_video_thumb/1697614102573490176/pu/img/DdsRG702fAMN3iyJ.jpg</v>
      </c>
      <c r="AW54" s="82" t="s">
        <v>12250</v>
      </c>
      <c r="AX54" s="82" t="s">
        <v>12250</v>
      </c>
      <c r="AY54" s="77"/>
      <c r="AZ54" s="82" t="s">
        <v>15804</v>
      </c>
      <c r="BA54" s="82" t="s">
        <v>15804</v>
      </c>
      <c r="BB54" s="82" t="s">
        <v>15804</v>
      </c>
      <c r="BC54" s="82" t="s">
        <v>12250</v>
      </c>
      <c r="BD54" s="77">
        <v>95668137</v>
      </c>
      <c r="BE54" s="77"/>
      <c r="BF54" s="77"/>
      <c r="BG54" s="77"/>
      <c r="BH54" s="77"/>
      <c r="BI54" s="77"/>
    </row>
    <row r="55" spans="1:61" x14ac:dyDescent="0.25">
      <c r="A55" s="62" t="s">
        <v>259</v>
      </c>
      <c r="B55" s="62" t="s">
        <v>259</v>
      </c>
      <c r="C55" s="63"/>
      <c r="D55" s="64"/>
      <c r="E55" s="65"/>
      <c r="F55" s="66"/>
      <c r="G55" s="63"/>
      <c r="H55" s="67"/>
      <c r="I55" s="68"/>
      <c r="J55" s="68"/>
      <c r="K55" s="32"/>
      <c r="L55" s="75">
        <v>55</v>
      </c>
      <c r="M55" s="75"/>
      <c r="N55" s="70"/>
      <c r="O55" s="77" t="s">
        <v>179</v>
      </c>
      <c r="P55" s="79">
        <v>44995.659467592595</v>
      </c>
      <c r="Q55" s="77" t="s">
        <v>1188</v>
      </c>
      <c r="R55" s="77">
        <v>0</v>
      </c>
      <c r="S55" s="77">
        <v>0</v>
      </c>
      <c r="T55" s="77">
        <v>0</v>
      </c>
      <c r="U55" s="77">
        <v>0</v>
      </c>
      <c r="V55" s="77">
        <v>9</v>
      </c>
      <c r="W55" s="82" t="s">
        <v>4097</v>
      </c>
      <c r="X55" s="80" t="str">
        <f>HYPERLINK("https://ief.com.br/dicas/10-dicas-de-educacao-financeira.html/?utm_source=dlvr.it&amp;utm_medium=twitter")</f>
        <v>https://ief.com.br/dicas/10-dicas-de-educacao-financeira.html/?utm_source=dlvr.it&amp;utm_medium=twitter</v>
      </c>
      <c r="Y55" s="77" t="s">
        <v>6002</v>
      </c>
      <c r="Z55" s="77"/>
      <c r="AA55" s="77" t="s">
        <v>6166</v>
      </c>
      <c r="AB55" s="77" t="s">
        <v>7696</v>
      </c>
      <c r="AC55" s="82" t="s">
        <v>6089</v>
      </c>
      <c r="AD55" s="77" t="s">
        <v>7745</v>
      </c>
      <c r="AE55" s="80" t="str">
        <f>HYPERLINK("https://twitter.com/informacaoief/status/1634219972250722304")</f>
        <v>https://twitter.com/informacaoief/status/1634219972250722304</v>
      </c>
      <c r="AF55" s="79">
        <v>44995.659467592595</v>
      </c>
      <c r="AG55" s="85">
        <v>44995</v>
      </c>
      <c r="AH55" s="82" t="s">
        <v>7805</v>
      </c>
      <c r="AI55" s="77" t="b">
        <v>0</v>
      </c>
      <c r="AJ55" s="77"/>
      <c r="AK55" s="77"/>
      <c r="AL55" s="77"/>
      <c r="AM55" s="77"/>
      <c r="AN55" s="77"/>
      <c r="AO55" s="77"/>
      <c r="AP55" s="77"/>
      <c r="AQ55" s="77" t="s">
        <v>10673</v>
      </c>
      <c r="AR55" s="77"/>
      <c r="AS55" s="77"/>
      <c r="AT55" s="77"/>
      <c r="AU55" s="77"/>
      <c r="AV55" s="80" t="str">
        <f>HYPERLINK("https://pbs.twimg.com/media/Fq3qZ2raEAQ4HFY.jpg")</f>
        <v>https://pbs.twimg.com/media/Fq3qZ2raEAQ4HFY.jpg</v>
      </c>
      <c r="AW55" s="82" t="s">
        <v>12251</v>
      </c>
      <c r="AX55" s="82" t="s">
        <v>12251</v>
      </c>
      <c r="AY55" s="77"/>
      <c r="AZ55" s="82" t="s">
        <v>15804</v>
      </c>
      <c r="BA55" s="82" t="s">
        <v>15804</v>
      </c>
      <c r="BB55" s="82" t="s">
        <v>15804</v>
      </c>
      <c r="BC55" s="82" t="s">
        <v>12251</v>
      </c>
      <c r="BD55" s="82" t="s">
        <v>16160</v>
      </c>
      <c r="BE55" s="77"/>
      <c r="BF55" s="77"/>
      <c r="BG55" s="77"/>
      <c r="BH55" s="77"/>
      <c r="BI55" s="77"/>
    </row>
    <row r="56" spans="1:61" x14ac:dyDescent="0.25">
      <c r="A56" s="62" t="s">
        <v>260</v>
      </c>
      <c r="B56" s="62" t="s">
        <v>260</v>
      </c>
      <c r="C56" s="63"/>
      <c r="D56" s="64"/>
      <c r="E56" s="65"/>
      <c r="F56" s="66"/>
      <c r="G56" s="63"/>
      <c r="H56" s="67"/>
      <c r="I56" s="68"/>
      <c r="J56" s="68"/>
      <c r="K56" s="32"/>
      <c r="L56" s="75">
        <v>56</v>
      </c>
      <c r="M56" s="75"/>
      <c r="N56" s="70"/>
      <c r="O56" s="77" t="s">
        <v>179</v>
      </c>
      <c r="P56" s="79">
        <v>45134.758368055554</v>
      </c>
      <c r="Q56" s="77" t="s">
        <v>1189</v>
      </c>
      <c r="R56" s="77">
        <v>0</v>
      </c>
      <c r="S56" s="77">
        <v>0</v>
      </c>
      <c r="T56" s="77">
        <v>0</v>
      </c>
      <c r="U56" s="77">
        <v>0</v>
      </c>
      <c r="V56" s="77">
        <v>10</v>
      </c>
      <c r="W56" s="82" t="s">
        <v>4080</v>
      </c>
      <c r="X56" s="77"/>
      <c r="Y56" s="77"/>
      <c r="Z56" s="77"/>
      <c r="AA56" s="77"/>
      <c r="AB56" s="77"/>
      <c r="AC56" s="82" t="s">
        <v>7707</v>
      </c>
      <c r="AD56" s="77" t="s">
        <v>7745</v>
      </c>
      <c r="AE56" s="80" t="str">
        <f>HYPERLINK("https://twitter.com/wellersonferr13/status/1684627726706089985")</f>
        <v>https://twitter.com/wellersonferr13/status/1684627726706089985</v>
      </c>
      <c r="AF56" s="79">
        <v>45134.758368055554</v>
      </c>
      <c r="AG56" s="85">
        <v>45134</v>
      </c>
      <c r="AH56" s="82" t="s">
        <v>7806</v>
      </c>
      <c r="AI56" s="77"/>
      <c r="AJ56" s="77"/>
      <c r="AK56" s="77"/>
      <c r="AL56" s="77"/>
      <c r="AM56" s="77"/>
      <c r="AN56" s="77"/>
      <c r="AO56" s="77"/>
      <c r="AP56" s="77"/>
      <c r="AQ56" s="77"/>
      <c r="AR56" s="77"/>
      <c r="AS56" s="77"/>
      <c r="AT56" s="77"/>
      <c r="AU56" s="77"/>
      <c r="AV56" s="80" t="str">
        <f>HYPERLINK("https://pbs.twimg.com/profile_images/1496870997680697349/A2S-vjoY_normal.jpg")</f>
        <v>https://pbs.twimg.com/profile_images/1496870997680697349/A2S-vjoY_normal.jpg</v>
      </c>
      <c r="AW56" s="82" t="s">
        <v>12252</v>
      </c>
      <c r="AX56" s="82" t="s">
        <v>12252</v>
      </c>
      <c r="AY56" s="77"/>
      <c r="AZ56" s="82" t="s">
        <v>15804</v>
      </c>
      <c r="BA56" s="82" t="s">
        <v>15804</v>
      </c>
      <c r="BB56" s="82" t="s">
        <v>15804</v>
      </c>
      <c r="BC56" s="82" t="s">
        <v>12252</v>
      </c>
      <c r="BD56" s="82" t="s">
        <v>16161</v>
      </c>
      <c r="BE56" s="77"/>
      <c r="BF56" s="77"/>
      <c r="BG56" s="77"/>
      <c r="BH56" s="77"/>
      <c r="BI56" s="77"/>
    </row>
    <row r="57" spans="1:61" x14ac:dyDescent="0.25">
      <c r="A57" s="62" t="s">
        <v>261</v>
      </c>
      <c r="B57" s="62" t="s">
        <v>261</v>
      </c>
      <c r="C57" s="63"/>
      <c r="D57" s="64"/>
      <c r="E57" s="65"/>
      <c r="F57" s="66"/>
      <c r="G57" s="63"/>
      <c r="H57" s="67"/>
      <c r="I57" s="68"/>
      <c r="J57" s="68"/>
      <c r="K57" s="32"/>
      <c r="L57" s="75">
        <v>57</v>
      </c>
      <c r="M57" s="75"/>
      <c r="N57" s="70"/>
      <c r="O57" s="77" t="s">
        <v>179</v>
      </c>
      <c r="P57" s="79">
        <v>45166.440300925926</v>
      </c>
      <c r="Q57" s="77" t="s">
        <v>1190</v>
      </c>
      <c r="R57" s="77">
        <v>0</v>
      </c>
      <c r="S57" s="77">
        <v>0</v>
      </c>
      <c r="T57" s="77">
        <v>0</v>
      </c>
      <c r="U57" s="77">
        <v>0</v>
      </c>
      <c r="V57" s="77">
        <v>13</v>
      </c>
      <c r="W57" s="82" t="s">
        <v>4123</v>
      </c>
      <c r="X57" s="77"/>
      <c r="Y57" s="77"/>
      <c r="Z57" s="77"/>
      <c r="AA57" s="77" t="s">
        <v>6167</v>
      </c>
      <c r="AB57" s="77" t="s">
        <v>7696</v>
      </c>
      <c r="AC57" s="82" t="s">
        <v>7705</v>
      </c>
      <c r="AD57" s="77" t="s">
        <v>7746</v>
      </c>
      <c r="AE57" s="80" t="str">
        <f>HYPERLINK("https://twitter.com/flaviosouza2810/status/1696108873151549458")</f>
        <v>https://twitter.com/flaviosouza2810/status/1696108873151549458</v>
      </c>
      <c r="AF57" s="79">
        <v>45166.440300925926</v>
      </c>
      <c r="AG57" s="85">
        <v>45166</v>
      </c>
      <c r="AH57" s="82" t="s">
        <v>7807</v>
      </c>
      <c r="AI57" s="77" t="b">
        <v>0</v>
      </c>
      <c r="AJ57" s="77"/>
      <c r="AK57" s="77"/>
      <c r="AL57" s="77"/>
      <c r="AM57" s="77"/>
      <c r="AN57" s="77"/>
      <c r="AO57" s="77"/>
      <c r="AP57" s="77"/>
      <c r="AQ57" s="77" t="s">
        <v>10674</v>
      </c>
      <c r="AR57" s="77"/>
      <c r="AS57" s="77"/>
      <c r="AT57" s="77"/>
      <c r="AU57" s="77"/>
      <c r="AV57" s="80" t="str">
        <f>HYPERLINK("https://pbs.twimg.com/media/F4nKB8nWkAAvwyS.jpg")</f>
        <v>https://pbs.twimg.com/media/F4nKB8nWkAAvwyS.jpg</v>
      </c>
      <c r="AW57" s="82" t="s">
        <v>12253</v>
      </c>
      <c r="AX57" s="82" t="s">
        <v>12253</v>
      </c>
      <c r="AY57" s="77"/>
      <c r="AZ57" s="82" t="s">
        <v>15804</v>
      </c>
      <c r="BA57" s="82" t="s">
        <v>15804</v>
      </c>
      <c r="BB57" s="82" t="s">
        <v>15804</v>
      </c>
      <c r="BC57" s="82" t="s">
        <v>12253</v>
      </c>
      <c r="BD57" s="82" t="s">
        <v>16162</v>
      </c>
      <c r="BE57" s="77"/>
      <c r="BF57" s="77"/>
      <c r="BG57" s="77"/>
      <c r="BH57" s="77"/>
      <c r="BI57" s="77"/>
    </row>
    <row r="58" spans="1:61" x14ac:dyDescent="0.25">
      <c r="A58" s="62" t="s">
        <v>261</v>
      </c>
      <c r="B58" s="62" t="s">
        <v>261</v>
      </c>
      <c r="C58" s="63"/>
      <c r="D58" s="64"/>
      <c r="E58" s="65"/>
      <c r="F58" s="66"/>
      <c r="G58" s="63"/>
      <c r="H58" s="67"/>
      <c r="I58" s="68"/>
      <c r="J58" s="68"/>
      <c r="K58" s="32"/>
      <c r="L58" s="75">
        <v>58</v>
      </c>
      <c r="M58" s="75"/>
      <c r="N58" s="70"/>
      <c r="O58" s="77" t="s">
        <v>179</v>
      </c>
      <c r="P58" s="79">
        <v>45164.509039351855</v>
      </c>
      <c r="Q58" s="77" t="s">
        <v>1191</v>
      </c>
      <c r="R58" s="77">
        <v>0</v>
      </c>
      <c r="S58" s="77">
        <v>0</v>
      </c>
      <c r="T58" s="77">
        <v>0</v>
      </c>
      <c r="U58" s="77">
        <v>0</v>
      </c>
      <c r="V58" s="77">
        <v>32</v>
      </c>
      <c r="W58" s="82" t="s">
        <v>4123</v>
      </c>
      <c r="X58" s="77"/>
      <c r="Y58" s="77"/>
      <c r="Z58" s="77"/>
      <c r="AA58" s="77" t="s">
        <v>6168</v>
      </c>
      <c r="AB58" s="77" t="s">
        <v>7696</v>
      </c>
      <c r="AC58" s="82" t="s">
        <v>7705</v>
      </c>
      <c r="AD58" s="77" t="s">
        <v>7746</v>
      </c>
      <c r="AE58" s="80" t="str">
        <f>HYPERLINK("https://twitter.com/flaviosouza2810/status/1695409009824587818")</f>
        <v>https://twitter.com/flaviosouza2810/status/1695409009824587818</v>
      </c>
      <c r="AF58" s="79">
        <v>45164.509039351855</v>
      </c>
      <c r="AG58" s="85">
        <v>45164</v>
      </c>
      <c r="AH58" s="82" t="s">
        <v>7808</v>
      </c>
      <c r="AI58" s="77" t="b">
        <v>0</v>
      </c>
      <c r="AJ58" s="77"/>
      <c r="AK58" s="77"/>
      <c r="AL58" s="77"/>
      <c r="AM58" s="77"/>
      <c r="AN58" s="77"/>
      <c r="AO58" s="77"/>
      <c r="AP58" s="77"/>
      <c r="AQ58" s="77" t="s">
        <v>10675</v>
      </c>
      <c r="AR58" s="77"/>
      <c r="AS58" s="77"/>
      <c r="AT58" s="77"/>
      <c r="AU58" s="77"/>
      <c r="AV58" s="80" t="str">
        <f>HYPERLINK("https://pbs.twimg.com/media/F4dNgcvXcAA71Kw.jpg")</f>
        <v>https://pbs.twimg.com/media/F4dNgcvXcAA71Kw.jpg</v>
      </c>
      <c r="AW58" s="82" t="s">
        <v>12254</v>
      </c>
      <c r="AX58" s="82" t="s">
        <v>12254</v>
      </c>
      <c r="AY58" s="77"/>
      <c r="AZ58" s="82" t="s">
        <v>15804</v>
      </c>
      <c r="BA58" s="82" t="s">
        <v>15804</v>
      </c>
      <c r="BB58" s="82" t="s">
        <v>15804</v>
      </c>
      <c r="BC58" s="82" t="s">
        <v>12254</v>
      </c>
      <c r="BD58" s="82" t="s">
        <v>16162</v>
      </c>
      <c r="BE58" s="77"/>
      <c r="BF58" s="77"/>
      <c r="BG58" s="77"/>
      <c r="BH58" s="77"/>
      <c r="BI58" s="77"/>
    </row>
    <row r="59" spans="1:61" x14ac:dyDescent="0.25">
      <c r="A59" s="62" t="s">
        <v>261</v>
      </c>
      <c r="B59" s="62" t="s">
        <v>261</v>
      </c>
      <c r="C59" s="63"/>
      <c r="D59" s="64"/>
      <c r="E59" s="65"/>
      <c r="F59" s="66"/>
      <c r="G59" s="63"/>
      <c r="H59" s="67"/>
      <c r="I59" s="68"/>
      <c r="J59" s="68"/>
      <c r="K59" s="32"/>
      <c r="L59" s="75">
        <v>59</v>
      </c>
      <c r="M59" s="75"/>
      <c r="N59" s="70"/>
      <c r="O59" s="77" t="s">
        <v>179</v>
      </c>
      <c r="P59" s="79">
        <v>45164.508761574078</v>
      </c>
      <c r="Q59" s="77" t="s">
        <v>1192</v>
      </c>
      <c r="R59" s="77">
        <v>0</v>
      </c>
      <c r="S59" s="77">
        <v>0</v>
      </c>
      <c r="T59" s="77">
        <v>0</v>
      </c>
      <c r="U59" s="77">
        <v>0</v>
      </c>
      <c r="V59" s="77">
        <v>27</v>
      </c>
      <c r="W59" s="82" t="s">
        <v>4123</v>
      </c>
      <c r="X59" s="77"/>
      <c r="Y59" s="77"/>
      <c r="Z59" s="77"/>
      <c r="AA59" s="77" t="s">
        <v>6169</v>
      </c>
      <c r="AB59" s="77" t="s">
        <v>7696</v>
      </c>
      <c r="AC59" s="82" t="s">
        <v>7705</v>
      </c>
      <c r="AD59" s="77" t="s">
        <v>7746</v>
      </c>
      <c r="AE59" s="80" t="str">
        <f>HYPERLINK("https://twitter.com/flaviosouza2810/status/1695408910000132385")</f>
        <v>https://twitter.com/flaviosouza2810/status/1695408910000132385</v>
      </c>
      <c r="AF59" s="79">
        <v>45164.508761574078</v>
      </c>
      <c r="AG59" s="85">
        <v>45164</v>
      </c>
      <c r="AH59" s="82" t="s">
        <v>7809</v>
      </c>
      <c r="AI59" s="77" t="b">
        <v>0</v>
      </c>
      <c r="AJ59" s="77"/>
      <c r="AK59" s="77"/>
      <c r="AL59" s="77"/>
      <c r="AM59" s="77"/>
      <c r="AN59" s="77"/>
      <c r="AO59" s="77"/>
      <c r="AP59" s="77"/>
      <c r="AQ59" s="77" t="s">
        <v>10676</v>
      </c>
      <c r="AR59" s="77"/>
      <c r="AS59" s="77"/>
      <c r="AT59" s="77"/>
      <c r="AU59" s="77"/>
      <c r="AV59" s="80" t="str">
        <f>HYPERLINK("https://pbs.twimg.com/media/F4dNan8XQAA1Y9R.jpg")</f>
        <v>https://pbs.twimg.com/media/F4dNan8XQAA1Y9R.jpg</v>
      </c>
      <c r="AW59" s="82" t="s">
        <v>12255</v>
      </c>
      <c r="AX59" s="82" t="s">
        <v>12255</v>
      </c>
      <c r="AY59" s="77"/>
      <c r="AZ59" s="82" t="s">
        <v>15804</v>
      </c>
      <c r="BA59" s="82" t="s">
        <v>15804</v>
      </c>
      <c r="BB59" s="82" t="s">
        <v>15804</v>
      </c>
      <c r="BC59" s="82" t="s">
        <v>12255</v>
      </c>
      <c r="BD59" s="82" t="s">
        <v>16162</v>
      </c>
      <c r="BE59" s="77"/>
      <c r="BF59" s="77"/>
      <c r="BG59" s="77"/>
      <c r="BH59" s="77"/>
      <c r="BI59" s="77"/>
    </row>
    <row r="60" spans="1:61" x14ac:dyDescent="0.25">
      <c r="A60" s="62" t="s">
        <v>261</v>
      </c>
      <c r="B60" s="62" t="s">
        <v>261</v>
      </c>
      <c r="C60" s="63"/>
      <c r="D60" s="64"/>
      <c r="E60" s="65"/>
      <c r="F60" s="66"/>
      <c r="G60" s="63"/>
      <c r="H60" s="67"/>
      <c r="I60" s="68"/>
      <c r="J60" s="68"/>
      <c r="K60" s="32"/>
      <c r="L60" s="75">
        <v>60</v>
      </c>
      <c r="M60" s="75"/>
      <c r="N60" s="70"/>
      <c r="O60" s="77" t="s">
        <v>179</v>
      </c>
      <c r="P60" s="79">
        <v>45161.406018518515</v>
      </c>
      <c r="Q60" s="77" t="s">
        <v>1193</v>
      </c>
      <c r="R60" s="77">
        <v>0</v>
      </c>
      <c r="S60" s="77">
        <v>0</v>
      </c>
      <c r="T60" s="77">
        <v>0</v>
      </c>
      <c r="U60" s="77">
        <v>0</v>
      </c>
      <c r="V60" s="77">
        <v>10</v>
      </c>
      <c r="W60" s="82" t="s">
        <v>4124</v>
      </c>
      <c r="X60" s="77"/>
      <c r="Y60" s="77"/>
      <c r="Z60" s="77"/>
      <c r="AA60" s="77" t="s">
        <v>6170</v>
      </c>
      <c r="AB60" s="77" t="s">
        <v>7696</v>
      </c>
      <c r="AC60" s="82" t="s">
        <v>7705</v>
      </c>
      <c r="AD60" s="77" t="s">
        <v>7746</v>
      </c>
      <c r="AE60" s="80" t="str">
        <f>HYPERLINK("https://twitter.com/flaviosouza2810/status/1694284511540855028")</f>
        <v>https://twitter.com/flaviosouza2810/status/1694284511540855028</v>
      </c>
      <c r="AF60" s="79">
        <v>45161.406018518515</v>
      </c>
      <c r="AG60" s="85">
        <v>45161</v>
      </c>
      <c r="AH60" s="82" t="s">
        <v>7810</v>
      </c>
      <c r="AI60" s="77" t="b">
        <v>0</v>
      </c>
      <c r="AJ60" s="77"/>
      <c r="AK60" s="77"/>
      <c r="AL60" s="77"/>
      <c r="AM60" s="77"/>
      <c r="AN60" s="77"/>
      <c r="AO60" s="77"/>
      <c r="AP60" s="77"/>
      <c r="AQ60" s="77" t="s">
        <v>10677</v>
      </c>
      <c r="AR60" s="77"/>
      <c r="AS60" s="77"/>
      <c r="AT60" s="77"/>
      <c r="AU60" s="77"/>
      <c r="AV60" s="80" t="str">
        <f>HYPERLINK("https://pbs.twimg.com/media/F4NOyHDXsAA6rhu.jpg")</f>
        <v>https://pbs.twimg.com/media/F4NOyHDXsAA6rhu.jpg</v>
      </c>
      <c r="AW60" s="82" t="s">
        <v>12256</v>
      </c>
      <c r="AX60" s="82" t="s">
        <v>12256</v>
      </c>
      <c r="AY60" s="77"/>
      <c r="AZ60" s="82" t="s">
        <v>15804</v>
      </c>
      <c r="BA60" s="82" t="s">
        <v>15804</v>
      </c>
      <c r="BB60" s="82" t="s">
        <v>15804</v>
      </c>
      <c r="BC60" s="82" t="s">
        <v>12256</v>
      </c>
      <c r="BD60" s="82" t="s">
        <v>16162</v>
      </c>
      <c r="BE60" s="77"/>
      <c r="BF60" s="77"/>
      <c r="BG60" s="77"/>
      <c r="BH60" s="77"/>
      <c r="BI60" s="77"/>
    </row>
    <row r="61" spans="1:61" x14ac:dyDescent="0.25">
      <c r="A61" s="62" t="s">
        <v>261</v>
      </c>
      <c r="B61" s="62" t="s">
        <v>261</v>
      </c>
      <c r="C61" s="63"/>
      <c r="D61" s="64"/>
      <c r="E61" s="65"/>
      <c r="F61" s="66"/>
      <c r="G61" s="63"/>
      <c r="H61" s="67"/>
      <c r="I61" s="68"/>
      <c r="J61" s="68"/>
      <c r="K61" s="32"/>
      <c r="L61" s="75">
        <v>61</v>
      </c>
      <c r="M61" s="75"/>
      <c r="N61" s="70"/>
      <c r="O61" s="77" t="s">
        <v>179</v>
      </c>
      <c r="P61" s="79">
        <v>45160.884884259256</v>
      </c>
      <c r="Q61" s="77" t="s">
        <v>1194</v>
      </c>
      <c r="R61" s="77">
        <v>0</v>
      </c>
      <c r="S61" s="77">
        <v>0</v>
      </c>
      <c r="T61" s="77">
        <v>0</v>
      </c>
      <c r="U61" s="77">
        <v>0</v>
      </c>
      <c r="V61" s="77">
        <v>9</v>
      </c>
      <c r="W61" s="82" t="s">
        <v>4124</v>
      </c>
      <c r="X61" s="77"/>
      <c r="Y61" s="77"/>
      <c r="Z61" s="77"/>
      <c r="AA61" s="77" t="s">
        <v>6171</v>
      </c>
      <c r="AB61" s="77" t="s">
        <v>7696</v>
      </c>
      <c r="AC61" s="82" t="s">
        <v>7705</v>
      </c>
      <c r="AD61" s="77" t="s">
        <v>7746</v>
      </c>
      <c r="AE61" s="80" t="str">
        <f>HYPERLINK("https://twitter.com/flaviosouza2810/status/1694095657772913019")</f>
        <v>https://twitter.com/flaviosouza2810/status/1694095657772913019</v>
      </c>
      <c r="AF61" s="79">
        <v>45160.884884259256</v>
      </c>
      <c r="AG61" s="85">
        <v>45160</v>
      </c>
      <c r="AH61" s="82" t="s">
        <v>7811</v>
      </c>
      <c r="AI61" s="77" t="b">
        <v>0</v>
      </c>
      <c r="AJ61" s="77"/>
      <c r="AK61" s="77"/>
      <c r="AL61" s="77"/>
      <c r="AM61" s="77"/>
      <c r="AN61" s="77"/>
      <c r="AO61" s="77"/>
      <c r="AP61" s="77"/>
      <c r="AQ61" s="77" t="s">
        <v>10678</v>
      </c>
      <c r="AR61" s="77"/>
      <c r="AS61" s="77"/>
      <c r="AT61" s="77"/>
      <c r="AU61" s="77"/>
      <c r="AV61" s="80" t="str">
        <f>HYPERLINK("https://pbs.twimg.com/media/F4KjBCtXwAAXMmf.jpg")</f>
        <v>https://pbs.twimg.com/media/F4KjBCtXwAAXMmf.jpg</v>
      </c>
      <c r="AW61" s="82" t="s">
        <v>12257</v>
      </c>
      <c r="AX61" s="82" t="s">
        <v>12257</v>
      </c>
      <c r="AY61" s="77"/>
      <c r="AZ61" s="82" t="s">
        <v>15804</v>
      </c>
      <c r="BA61" s="82" t="s">
        <v>15804</v>
      </c>
      <c r="BB61" s="82" t="s">
        <v>15804</v>
      </c>
      <c r="BC61" s="82" t="s">
        <v>12257</v>
      </c>
      <c r="BD61" s="82" t="s">
        <v>16162</v>
      </c>
      <c r="BE61" s="77"/>
      <c r="BF61" s="77"/>
      <c r="BG61" s="77"/>
      <c r="BH61" s="77"/>
      <c r="BI61" s="77"/>
    </row>
    <row r="62" spans="1:61" x14ac:dyDescent="0.25">
      <c r="A62" s="62" t="s">
        <v>261</v>
      </c>
      <c r="B62" s="62" t="s">
        <v>261</v>
      </c>
      <c r="C62" s="63"/>
      <c r="D62" s="64"/>
      <c r="E62" s="65"/>
      <c r="F62" s="66"/>
      <c r="G62" s="63"/>
      <c r="H62" s="67"/>
      <c r="I62" s="68"/>
      <c r="J62" s="68"/>
      <c r="K62" s="32"/>
      <c r="L62" s="75">
        <v>62</v>
      </c>
      <c r="M62" s="75"/>
      <c r="N62" s="70"/>
      <c r="O62" s="77" t="s">
        <v>179</v>
      </c>
      <c r="P62" s="79">
        <v>45160.401064814818</v>
      </c>
      <c r="Q62" s="77" t="s">
        <v>1195</v>
      </c>
      <c r="R62" s="77">
        <v>0</v>
      </c>
      <c r="S62" s="77">
        <v>0</v>
      </c>
      <c r="T62" s="77">
        <v>0</v>
      </c>
      <c r="U62" s="77">
        <v>0</v>
      </c>
      <c r="V62" s="77">
        <v>6</v>
      </c>
      <c r="W62" s="82" t="s">
        <v>4124</v>
      </c>
      <c r="X62" s="77"/>
      <c r="Y62" s="77"/>
      <c r="Z62" s="77"/>
      <c r="AA62" s="77" t="s">
        <v>6172</v>
      </c>
      <c r="AB62" s="77" t="s">
        <v>7696</v>
      </c>
      <c r="AC62" s="82" t="s">
        <v>7705</v>
      </c>
      <c r="AD62" s="77" t="s">
        <v>7746</v>
      </c>
      <c r="AE62" s="80" t="str">
        <f>HYPERLINK("https://twitter.com/flaviosouza2810/status/1693920329435869365")</f>
        <v>https://twitter.com/flaviosouza2810/status/1693920329435869365</v>
      </c>
      <c r="AF62" s="79">
        <v>45160.401064814818</v>
      </c>
      <c r="AG62" s="85">
        <v>45160</v>
      </c>
      <c r="AH62" s="82" t="s">
        <v>7812</v>
      </c>
      <c r="AI62" s="77" t="b">
        <v>0</v>
      </c>
      <c r="AJ62" s="77"/>
      <c r="AK62" s="77"/>
      <c r="AL62" s="77"/>
      <c r="AM62" s="77"/>
      <c r="AN62" s="77"/>
      <c r="AO62" s="77"/>
      <c r="AP62" s="77"/>
      <c r="AQ62" s="77" t="s">
        <v>10679</v>
      </c>
      <c r="AR62" s="77"/>
      <c r="AS62" s="77"/>
      <c r="AT62" s="77"/>
      <c r="AU62" s="77"/>
      <c r="AV62" s="80" t="str">
        <f>HYPERLINK("https://pbs.twimg.com/media/F4IDj6BWcAAYgk9.jpg")</f>
        <v>https://pbs.twimg.com/media/F4IDj6BWcAAYgk9.jpg</v>
      </c>
      <c r="AW62" s="82" t="s">
        <v>12258</v>
      </c>
      <c r="AX62" s="82" t="s">
        <v>12258</v>
      </c>
      <c r="AY62" s="77"/>
      <c r="AZ62" s="82" t="s">
        <v>15804</v>
      </c>
      <c r="BA62" s="82" t="s">
        <v>15804</v>
      </c>
      <c r="BB62" s="82" t="s">
        <v>15804</v>
      </c>
      <c r="BC62" s="82" t="s">
        <v>12258</v>
      </c>
      <c r="BD62" s="82" t="s">
        <v>16162</v>
      </c>
      <c r="BE62" s="77"/>
      <c r="BF62" s="77"/>
      <c r="BG62" s="77"/>
      <c r="BH62" s="77"/>
      <c r="BI62" s="77"/>
    </row>
    <row r="63" spans="1:61" x14ac:dyDescent="0.25">
      <c r="A63" s="62" t="s">
        <v>261</v>
      </c>
      <c r="B63" s="62" t="s">
        <v>261</v>
      </c>
      <c r="C63" s="63"/>
      <c r="D63" s="64"/>
      <c r="E63" s="65"/>
      <c r="F63" s="66"/>
      <c r="G63" s="63"/>
      <c r="H63" s="67"/>
      <c r="I63" s="68"/>
      <c r="J63" s="68"/>
      <c r="K63" s="32"/>
      <c r="L63" s="75">
        <v>63</v>
      </c>
      <c r="M63" s="75"/>
      <c r="N63" s="70"/>
      <c r="O63" s="77" t="s">
        <v>179</v>
      </c>
      <c r="P63" s="79">
        <v>45159.489016203705</v>
      </c>
      <c r="Q63" s="77" t="s">
        <v>1196</v>
      </c>
      <c r="R63" s="77">
        <v>0</v>
      </c>
      <c r="S63" s="77">
        <v>0</v>
      </c>
      <c r="T63" s="77">
        <v>0</v>
      </c>
      <c r="U63" s="77">
        <v>0</v>
      </c>
      <c r="V63" s="77">
        <v>5</v>
      </c>
      <c r="W63" s="82" t="s">
        <v>4124</v>
      </c>
      <c r="X63" s="77"/>
      <c r="Y63" s="77"/>
      <c r="Z63" s="77"/>
      <c r="AA63" s="77" t="s">
        <v>6173</v>
      </c>
      <c r="AB63" s="77" t="s">
        <v>7696</v>
      </c>
      <c r="AC63" s="82" t="s">
        <v>7705</v>
      </c>
      <c r="AD63" s="77" t="s">
        <v>7746</v>
      </c>
      <c r="AE63" s="80" t="str">
        <f>HYPERLINK("https://twitter.com/flaviosouza2810/status/1693589814937850294")</f>
        <v>https://twitter.com/flaviosouza2810/status/1693589814937850294</v>
      </c>
      <c r="AF63" s="79">
        <v>45159.489016203705</v>
      </c>
      <c r="AG63" s="85">
        <v>45159</v>
      </c>
      <c r="AH63" s="82" t="s">
        <v>7813</v>
      </c>
      <c r="AI63" s="77" t="b">
        <v>0</v>
      </c>
      <c r="AJ63" s="77"/>
      <c r="AK63" s="77"/>
      <c r="AL63" s="77"/>
      <c r="AM63" s="77"/>
      <c r="AN63" s="77"/>
      <c r="AO63" s="77"/>
      <c r="AP63" s="77"/>
      <c r="AQ63" s="77" t="s">
        <v>10680</v>
      </c>
      <c r="AR63" s="77"/>
      <c r="AS63" s="77"/>
      <c r="AT63" s="77"/>
      <c r="AU63" s="77"/>
      <c r="AV63" s="80" t="str">
        <f>HYPERLINK("https://pbs.twimg.com/media/F4DW9eVXIAA-Pam.jpg")</f>
        <v>https://pbs.twimg.com/media/F4DW9eVXIAA-Pam.jpg</v>
      </c>
      <c r="AW63" s="82" t="s">
        <v>12259</v>
      </c>
      <c r="AX63" s="82" t="s">
        <v>12259</v>
      </c>
      <c r="AY63" s="77"/>
      <c r="AZ63" s="82" t="s">
        <v>15804</v>
      </c>
      <c r="BA63" s="82" t="s">
        <v>15804</v>
      </c>
      <c r="BB63" s="82" t="s">
        <v>15804</v>
      </c>
      <c r="BC63" s="82" t="s">
        <v>12259</v>
      </c>
      <c r="BD63" s="82" t="s">
        <v>16162</v>
      </c>
      <c r="BE63" s="77"/>
      <c r="BF63" s="77"/>
      <c r="BG63" s="77"/>
      <c r="BH63" s="77"/>
      <c r="BI63" s="77"/>
    </row>
    <row r="64" spans="1:61" x14ac:dyDescent="0.25">
      <c r="A64" s="62" t="s">
        <v>261</v>
      </c>
      <c r="B64" s="62" t="s">
        <v>261</v>
      </c>
      <c r="C64" s="63"/>
      <c r="D64" s="64"/>
      <c r="E64" s="65"/>
      <c r="F64" s="66"/>
      <c r="G64" s="63"/>
      <c r="H64" s="67"/>
      <c r="I64" s="68"/>
      <c r="J64" s="68"/>
      <c r="K64" s="32"/>
      <c r="L64" s="75">
        <v>64</v>
      </c>
      <c r="M64" s="75"/>
      <c r="N64" s="70"/>
      <c r="O64" s="77" t="s">
        <v>179</v>
      </c>
      <c r="P64" s="79">
        <v>45159.394317129627</v>
      </c>
      <c r="Q64" s="77" t="s">
        <v>1197</v>
      </c>
      <c r="R64" s="77">
        <v>0</v>
      </c>
      <c r="S64" s="77">
        <v>0</v>
      </c>
      <c r="T64" s="77">
        <v>0</v>
      </c>
      <c r="U64" s="77">
        <v>0</v>
      </c>
      <c r="V64" s="77">
        <v>1</v>
      </c>
      <c r="W64" s="82" t="s">
        <v>4123</v>
      </c>
      <c r="X64" s="77"/>
      <c r="Y64" s="77"/>
      <c r="Z64" s="77"/>
      <c r="AA64" s="77" t="s">
        <v>6174</v>
      </c>
      <c r="AB64" s="77" t="s">
        <v>7696</v>
      </c>
      <c r="AC64" s="82" t="s">
        <v>7705</v>
      </c>
      <c r="AD64" s="77" t="s">
        <v>7746</v>
      </c>
      <c r="AE64" s="80" t="str">
        <f>HYPERLINK("https://twitter.com/flaviosouza2810/status/1693555494063935685")</f>
        <v>https://twitter.com/flaviosouza2810/status/1693555494063935685</v>
      </c>
      <c r="AF64" s="79">
        <v>45159.394317129627</v>
      </c>
      <c r="AG64" s="85">
        <v>45159</v>
      </c>
      <c r="AH64" s="82" t="s">
        <v>7814</v>
      </c>
      <c r="AI64" s="77" t="b">
        <v>0</v>
      </c>
      <c r="AJ64" s="77"/>
      <c r="AK64" s="77"/>
      <c r="AL64" s="77"/>
      <c r="AM64" s="77"/>
      <c r="AN64" s="77"/>
      <c r="AO64" s="77"/>
      <c r="AP64" s="77"/>
      <c r="AQ64" s="77" t="s">
        <v>10681</v>
      </c>
      <c r="AR64" s="77"/>
      <c r="AS64" s="77"/>
      <c r="AT64" s="77"/>
      <c r="AU64" s="77"/>
      <c r="AV64" s="80" t="str">
        <f>HYPERLINK("https://pbs.twimg.com/media/F4C3vqZXIAA2hUB.jpg")</f>
        <v>https://pbs.twimg.com/media/F4C3vqZXIAA2hUB.jpg</v>
      </c>
      <c r="AW64" s="82" t="s">
        <v>12260</v>
      </c>
      <c r="AX64" s="82" t="s">
        <v>12260</v>
      </c>
      <c r="AY64" s="77"/>
      <c r="AZ64" s="82" t="s">
        <v>15804</v>
      </c>
      <c r="BA64" s="82" t="s">
        <v>15804</v>
      </c>
      <c r="BB64" s="82" t="s">
        <v>15804</v>
      </c>
      <c r="BC64" s="82" t="s">
        <v>12260</v>
      </c>
      <c r="BD64" s="82" t="s">
        <v>16162</v>
      </c>
      <c r="BE64" s="77"/>
      <c r="BF64" s="77"/>
      <c r="BG64" s="77"/>
      <c r="BH64" s="77"/>
      <c r="BI64" s="77"/>
    </row>
    <row r="65" spans="1:61" x14ac:dyDescent="0.25">
      <c r="A65" s="62" t="s">
        <v>261</v>
      </c>
      <c r="B65" s="62" t="s">
        <v>261</v>
      </c>
      <c r="C65" s="63"/>
      <c r="D65" s="64"/>
      <c r="E65" s="65"/>
      <c r="F65" s="66"/>
      <c r="G65" s="63"/>
      <c r="H65" s="67"/>
      <c r="I65" s="68"/>
      <c r="J65" s="68"/>
      <c r="K65" s="32"/>
      <c r="L65" s="75">
        <v>65</v>
      </c>
      <c r="M65" s="75"/>
      <c r="N65" s="70"/>
      <c r="O65" s="77" t="s">
        <v>179</v>
      </c>
      <c r="P65" s="79">
        <v>45153.869849537034</v>
      </c>
      <c r="Q65" s="77" t="s">
        <v>1198</v>
      </c>
      <c r="R65" s="77">
        <v>0</v>
      </c>
      <c r="S65" s="77">
        <v>0</v>
      </c>
      <c r="T65" s="77">
        <v>0</v>
      </c>
      <c r="U65" s="77">
        <v>0</v>
      </c>
      <c r="V65" s="77">
        <v>5</v>
      </c>
      <c r="W65" s="82" t="s">
        <v>4124</v>
      </c>
      <c r="X65" s="77"/>
      <c r="Y65" s="77"/>
      <c r="Z65" s="77"/>
      <c r="AA65" s="77" t="s">
        <v>6175</v>
      </c>
      <c r="AB65" s="77" t="s">
        <v>7696</v>
      </c>
      <c r="AC65" s="82" t="s">
        <v>7705</v>
      </c>
      <c r="AD65" s="77" t="s">
        <v>7746</v>
      </c>
      <c r="AE65" s="80" t="str">
        <f>HYPERLINK("https://twitter.com/flaviosouza2810/status/1691553494828716347")</f>
        <v>https://twitter.com/flaviosouza2810/status/1691553494828716347</v>
      </c>
      <c r="AF65" s="79">
        <v>45153.869849537034</v>
      </c>
      <c r="AG65" s="85">
        <v>45153</v>
      </c>
      <c r="AH65" s="82" t="s">
        <v>7815</v>
      </c>
      <c r="AI65" s="77" t="b">
        <v>0</v>
      </c>
      <c r="AJ65" s="77"/>
      <c r="AK65" s="77"/>
      <c r="AL65" s="77"/>
      <c r="AM65" s="77"/>
      <c r="AN65" s="77"/>
      <c r="AO65" s="77"/>
      <c r="AP65" s="77"/>
      <c r="AQ65" s="77" t="s">
        <v>10682</v>
      </c>
      <c r="AR65" s="77"/>
      <c r="AS65" s="77"/>
      <c r="AT65" s="77"/>
      <c r="AU65" s="77"/>
      <c r="AV65" s="80" t="str">
        <f>HYPERLINK("https://pbs.twimg.com/media/F3ma73VWIAAtCi0.jpg")</f>
        <v>https://pbs.twimg.com/media/F3ma73VWIAAtCi0.jpg</v>
      </c>
      <c r="AW65" s="82" t="s">
        <v>12261</v>
      </c>
      <c r="AX65" s="82" t="s">
        <v>12261</v>
      </c>
      <c r="AY65" s="77"/>
      <c r="AZ65" s="82" t="s">
        <v>15804</v>
      </c>
      <c r="BA65" s="82" t="s">
        <v>15804</v>
      </c>
      <c r="BB65" s="82" t="s">
        <v>15804</v>
      </c>
      <c r="BC65" s="82" t="s">
        <v>12261</v>
      </c>
      <c r="BD65" s="82" t="s">
        <v>16162</v>
      </c>
      <c r="BE65" s="77"/>
      <c r="BF65" s="77"/>
      <c r="BG65" s="77"/>
      <c r="BH65" s="77"/>
      <c r="BI65" s="77"/>
    </row>
    <row r="66" spans="1:61" x14ac:dyDescent="0.25">
      <c r="A66" s="62" t="s">
        <v>261</v>
      </c>
      <c r="B66" s="62" t="s">
        <v>261</v>
      </c>
      <c r="C66" s="63"/>
      <c r="D66" s="64"/>
      <c r="E66" s="65"/>
      <c r="F66" s="66"/>
      <c r="G66" s="63"/>
      <c r="H66" s="67"/>
      <c r="I66" s="68"/>
      <c r="J66" s="68"/>
      <c r="K66" s="32"/>
      <c r="L66" s="75">
        <v>66</v>
      </c>
      <c r="M66" s="75"/>
      <c r="N66" s="70"/>
      <c r="O66" s="77" t="s">
        <v>179</v>
      </c>
      <c r="P66" s="79">
        <v>45152.393946759257</v>
      </c>
      <c r="Q66" s="77" t="s">
        <v>1199</v>
      </c>
      <c r="R66" s="77">
        <v>0</v>
      </c>
      <c r="S66" s="77">
        <v>0</v>
      </c>
      <c r="T66" s="77">
        <v>0</v>
      </c>
      <c r="U66" s="77">
        <v>0</v>
      </c>
      <c r="V66" s="77">
        <v>6</v>
      </c>
      <c r="W66" s="82" t="s">
        <v>4124</v>
      </c>
      <c r="X66" s="77"/>
      <c r="Y66" s="77"/>
      <c r="Z66" s="77"/>
      <c r="AA66" s="77" t="s">
        <v>6176</v>
      </c>
      <c r="AB66" s="77" t="s">
        <v>7696</v>
      </c>
      <c r="AC66" s="82" t="s">
        <v>7705</v>
      </c>
      <c r="AD66" s="77" t="s">
        <v>7746</v>
      </c>
      <c r="AE66" s="80" t="str">
        <f>HYPERLINK("https://twitter.com/flaviosouza2810/status/1691018645504212992")</f>
        <v>https://twitter.com/flaviosouza2810/status/1691018645504212992</v>
      </c>
      <c r="AF66" s="79">
        <v>45152.393946759257</v>
      </c>
      <c r="AG66" s="85">
        <v>45152</v>
      </c>
      <c r="AH66" s="82" t="s">
        <v>7816</v>
      </c>
      <c r="AI66" s="77" t="b">
        <v>0</v>
      </c>
      <c r="AJ66" s="77"/>
      <c r="AK66" s="77"/>
      <c r="AL66" s="77"/>
      <c r="AM66" s="77"/>
      <c r="AN66" s="77"/>
      <c r="AO66" s="77"/>
      <c r="AP66" s="77"/>
      <c r="AQ66" s="77" t="s">
        <v>10683</v>
      </c>
      <c r="AR66" s="77"/>
      <c r="AS66" s="77"/>
      <c r="AT66" s="77"/>
      <c r="AU66" s="77"/>
      <c r="AV66" s="80" t="str">
        <f>HYPERLINK("https://pbs.twimg.com/media/F3e0fqPW0AAAYoL.jpg")</f>
        <v>https://pbs.twimg.com/media/F3e0fqPW0AAAYoL.jpg</v>
      </c>
      <c r="AW66" s="82" t="s">
        <v>12262</v>
      </c>
      <c r="AX66" s="82" t="s">
        <v>12262</v>
      </c>
      <c r="AY66" s="77"/>
      <c r="AZ66" s="82" t="s">
        <v>15804</v>
      </c>
      <c r="BA66" s="82" t="s">
        <v>15804</v>
      </c>
      <c r="BB66" s="82" t="s">
        <v>15804</v>
      </c>
      <c r="BC66" s="82" t="s">
        <v>12262</v>
      </c>
      <c r="BD66" s="82" t="s">
        <v>16162</v>
      </c>
      <c r="BE66" s="77"/>
      <c r="BF66" s="77"/>
      <c r="BG66" s="77"/>
      <c r="BH66" s="77"/>
      <c r="BI66" s="77"/>
    </row>
    <row r="67" spans="1:61" x14ac:dyDescent="0.25">
      <c r="A67" s="62" t="s">
        <v>261</v>
      </c>
      <c r="B67" s="62" t="s">
        <v>261</v>
      </c>
      <c r="C67" s="63"/>
      <c r="D67" s="64"/>
      <c r="E67" s="65"/>
      <c r="F67" s="66"/>
      <c r="G67" s="63"/>
      <c r="H67" s="67"/>
      <c r="I67" s="68"/>
      <c r="J67" s="68"/>
      <c r="K67" s="32"/>
      <c r="L67" s="75">
        <v>67</v>
      </c>
      <c r="M67" s="75"/>
      <c r="N67" s="70"/>
      <c r="O67" s="77" t="s">
        <v>179</v>
      </c>
      <c r="P67" s="79">
        <v>45152.393506944441</v>
      </c>
      <c r="Q67" s="77" t="s">
        <v>1200</v>
      </c>
      <c r="R67" s="77">
        <v>0</v>
      </c>
      <c r="S67" s="77">
        <v>0</v>
      </c>
      <c r="T67" s="77">
        <v>0</v>
      </c>
      <c r="U67" s="77">
        <v>0</v>
      </c>
      <c r="V67" s="77">
        <v>6</v>
      </c>
      <c r="W67" s="82" t="s">
        <v>4124</v>
      </c>
      <c r="X67" s="77"/>
      <c r="Y67" s="77"/>
      <c r="Z67" s="77"/>
      <c r="AA67" s="77" t="s">
        <v>6177</v>
      </c>
      <c r="AB67" s="77" t="s">
        <v>7696</v>
      </c>
      <c r="AC67" s="82" t="s">
        <v>7705</v>
      </c>
      <c r="AD67" s="77" t="s">
        <v>7746</v>
      </c>
      <c r="AE67" s="80" t="str">
        <f>HYPERLINK("https://twitter.com/flaviosouza2810/status/1691018487815094272")</f>
        <v>https://twitter.com/flaviosouza2810/status/1691018487815094272</v>
      </c>
      <c r="AF67" s="79">
        <v>45152.393506944441</v>
      </c>
      <c r="AG67" s="85">
        <v>45152</v>
      </c>
      <c r="AH67" s="82" t="s">
        <v>7817</v>
      </c>
      <c r="AI67" s="77" t="b">
        <v>0</v>
      </c>
      <c r="AJ67" s="77"/>
      <c r="AK67" s="77"/>
      <c r="AL67" s="77"/>
      <c r="AM67" s="77"/>
      <c r="AN67" s="77"/>
      <c r="AO67" s="77"/>
      <c r="AP67" s="77"/>
      <c r="AQ67" s="77" t="s">
        <v>10684</v>
      </c>
      <c r="AR67" s="77"/>
      <c r="AS67" s="77"/>
      <c r="AT67" s="77"/>
      <c r="AU67" s="77"/>
      <c r="AV67" s="80" t="str">
        <f>HYPERLINK("https://pbs.twimg.com/media/F3e0WizWoAADvQB.jpg")</f>
        <v>https://pbs.twimg.com/media/F3e0WizWoAADvQB.jpg</v>
      </c>
      <c r="AW67" s="82" t="s">
        <v>12263</v>
      </c>
      <c r="AX67" s="82" t="s">
        <v>12263</v>
      </c>
      <c r="AY67" s="77"/>
      <c r="AZ67" s="82" t="s">
        <v>15804</v>
      </c>
      <c r="BA67" s="82" t="s">
        <v>15804</v>
      </c>
      <c r="BB67" s="82" t="s">
        <v>15804</v>
      </c>
      <c r="BC67" s="82" t="s">
        <v>12263</v>
      </c>
      <c r="BD67" s="82" t="s">
        <v>16162</v>
      </c>
      <c r="BE67" s="77"/>
      <c r="BF67" s="77"/>
      <c r="BG67" s="77"/>
      <c r="BH67" s="77"/>
      <c r="BI67" s="77"/>
    </row>
    <row r="68" spans="1:61" x14ac:dyDescent="0.25">
      <c r="A68" s="62" t="s">
        <v>261</v>
      </c>
      <c r="B68" s="62" t="s">
        <v>261</v>
      </c>
      <c r="C68" s="63"/>
      <c r="D68" s="64"/>
      <c r="E68" s="65"/>
      <c r="F68" s="66"/>
      <c r="G68" s="63"/>
      <c r="H68" s="67"/>
      <c r="I68" s="68"/>
      <c r="J68" s="68"/>
      <c r="K68" s="32"/>
      <c r="L68" s="75">
        <v>68</v>
      </c>
      <c r="M68" s="75"/>
      <c r="N68" s="70"/>
      <c r="O68" s="77" t="s">
        <v>179</v>
      </c>
      <c r="P68" s="79">
        <v>45121.375543981485</v>
      </c>
      <c r="Q68" s="77" t="s">
        <v>1201</v>
      </c>
      <c r="R68" s="77">
        <v>0</v>
      </c>
      <c r="S68" s="77">
        <v>0</v>
      </c>
      <c r="T68" s="77">
        <v>0</v>
      </c>
      <c r="U68" s="77">
        <v>0</v>
      </c>
      <c r="V68" s="77">
        <v>13</v>
      </c>
      <c r="W68" s="82" t="s">
        <v>4125</v>
      </c>
      <c r="X68" s="77"/>
      <c r="Y68" s="77"/>
      <c r="Z68" s="77"/>
      <c r="AA68" s="77" t="s">
        <v>6178</v>
      </c>
      <c r="AB68" s="77" t="s">
        <v>7696</v>
      </c>
      <c r="AC68" s="82" t="s">
        <v>7705</v>
      </c>
      <c r="AD68" s="77" t="s">
        <v>7746</v>
      </c>
      <c r="AE68" s="80" t="str">
        <f>HYPERLINK("https://twitter.com/flaviosouza2810/status/1679777955076091904")</f>
        <v>https://twitter.com/flaviosouza2810/status/1679777955076091904</v>
      </c>
      <c r="AF68" s="79">
        <v>45121.375543981485</v>
      </c>
      <c r="AG68" s="85">
        <v>45121</v>
      </c>
      <c r="AH68" s="82" t="s">
        <v>7818</v>
      </c>
      <c r="AI68" s="77" t="b">
        <v>0</v>
      </c>
      <c r="AJ68" s="77"/>
      <c r="AK68" s="77"/>
      <c r="AL68" s="77"/>
      <c r="AM68" s="77"/>
      <c r="AN68" s="77"/>
      <c r="AO68" s="77"/>
      <c r="AP68" s="77"/>
      <c r="AQ68" s="77" t="s">
        <v>10685</v>
      </c>
      <c r="AR68" s="77"/>
      <c r="AS68" s="77"/>
      <c r="AT68" s="77"/>
      <c r="AU68" s="77"/>
      <c r="AV68" s="80" t="str">
        <f>HYPERLINK("https://pbs.twimg.com/media/F0_FJOgXoAENy_4.jpg")</f>
        <v>https://pbs.twimg.com/media/F0_FJOgXoAENy_4.jpg</v>
      </c>
      <c r="AW68" s="82" t="s">
        <v>12264</v>
      </c>
      <c r="AX68" s="82" t="s">
        <v>12264</v>
      </c>
      <c r="AY68" s="77"/>
      <c r="AZ68" s="82" t="s">
        <v>15804</v>
      </c>
      <c r="BA68" s="82" t="s">
        <v>15804</v>
      </c>
      <c r="BB68" s="82" t="s">
        <v>15804</v>
      </c>
      <c r="BC68" s="82" t="s">
        <v>12264</v>
      </c>
      <c r="BD68" s="82" t="s">
        <v>16162</v>
      </c>
      <c r="BE68" s="77"/>
      <c r="BF68" s="77"/>
      <c r="BG68" s="77"/>
      <c r="BH68" s="77"/>
      <c r="BI68" s="77"/>
    </row>
    <row r="69" spans="1:61" x14ac:dyDescent="0.25">
      <c r="A69" s="62" t="s">
        <v>261</v>
      </c>
      <c r="B69" s="62" t="s">
        <v>261</v>
      </c>
      <c r="C69" s="63"/>
      <c r="D69" s="64"/>
      <c r="E69" s="65"/>
      <c r="F69" s="66"/>
      <c r="G69" s="63"/>
      <c r="H69" s="67"/>
      <c r="I69" s="68"/>
      <c r="J69" s="68"/>
      <c r="K69" s="32"/>
      <c r="L69" s="75">
        <v>69</v>
      </c>
      <c r="M69" s="75"/>
      <c r="N69" s="70"/>
      <c r="O69" s="77" t="s">
        <v>179</v>
      </c>
      <c r="P69" s="79">
        <v>45167.39634259259</v>
      </c>
      <c r="Q69" s="77" t="s">
        <v>1202</v>
      </c>
      <c r="R69" s="77">
        <v>0</v>
      </c>
      <c r="S69" s="77">
        <v>0</v>
      </c>
      <c r="T69" s="77">
        <v>0</v>
      </c>
      <c r="U69" s="77">
        <v>0</v>
      </c>
      <c r="V69" s="77">
        <v>11</v>
      </c>
      <c r="W69" s="82" t="s">
        <v>4123</v>
      </c>
      <c r="X69" s="77"/>
      <c r="Y69" s="77"/>
      <c r="Z69" s="77"/>
      <c r="AA69" s="77" t="s">
        <v>6179</v>
      </c>
      <c r="AB69" s="77" t="s">
        <v>7696</v>
      </c>
      <c r="AC69" s="82" t="s">
        <v>7705</v>
      </c>
      <c r="AD69" s="77" t="s">
        <v>7746</v>
      </c>
      <c r="AE69" s="80" t="str">
        <f>HYPERLINK("https://twitter.com/flaviosouza2810/status/1696455333076418714")</f>
        <v>https://twitter.com/flaviosouza2810/status/1696455333076418714</v>
      </c>
      <c r="AF69" s="79">
        <v>45167.39634259259</v>
      </c>
      <c r="AG69" s="85">
        <v>45167</v>
      </c>
      <c r="AH69" s="82" t="s">
        <v>7819</v>
      </c>
      <c r="AI69" s="77" t="b">
        <v>0</v>
      </c>
      <c r="AJ69" s="77"/>
      <c r="AK69" s="77"/>
      <c r="AL69" s="77"/>
      <c r="AM69" s="77"/>
      <c r="AN69" s="77"/>
      <c r="AO69" s="77"/>
      <c r="AP69" s="77"/>
      <c r="AQ69" s="77" t="s">
        <v>10686</v>
      </c>
      <c r="AR69" s="77"/>
      <c r="AS69" s="77"/>
      <c r="AT69" s="77"/>
      <c r="AU69" s="77"/>
      <c r="AV69" s="80" t="str">
        <f>HYPERLINK("https://pbs.twimg.com/media/F4sFIk4WgAA8A37.jpg")</f>
        <v>https://pbs.twimg.com/media/F4sFIk4WgAA8A37.jpg</v>
      </c>
      <c r="AW69" s="82" t="s">
        <v>12265</v>
      </c>
      <c r="AX69" s="82" t="s">
        <v>12265</v>
      </c>
      <c r="AY69" s="77"/>
      <c r="AZ69" s="82" t="s">
        <v>15804</v>
      </c>
      <c r="BA69" s="82" t="s">
        <v>15804</v>
      </c>
      <c r="BB69" s="82" t="s">
        <v>15804</v>
      </c>
      <c r="BC69" s="82" t="s">
        <v>12265</v>
      </c>
      <c r="BD69" s="82" t="s">
        <v>16162</v>
      </c>
      <c r="BE69" s="77"/>
      <c r="BF69" s="77"/>
      <c r="BG69" s="77"/>
      <c r="BH69" s="77"/>
      <c r="BI69" s="77"/>
    </row>
    <row r="70" spans="1:61" x14ac:dyDescent="0.25">
      <c r="A70" s="62" t="s">
        <v>261</v>
      </c>
      <c r="B70" s="62" t="s">
        <v>261</v>
      </c>
      <c r="C70" s="63"/>
      <c r="D70" s="64"/>
      <c r="E70" s="65"/>
      <c r="F70" s="66"/>
      <c r="G70" s="63"/>
      <c r="H70" s="67"/>
      <c r="I70" s="68"/>
      <c r="J70" s="68"/>
      <c r="K70" s="32"/>
      <c r="L70" s="75">
        <v>70</v>
      </c>
      <c r="M70" s="75"/>
      <c r="N70" s="70"/>
      <c r="O70" s="77" t="s">
        <v>179</v>
      </c>
      <c r="P70" s="79">
        <v>45166.491932870369</v>
      </c>
      <c r="Q70" s="77" t="s">
        <v>1203</v>
      </c>
      <c r="R70" s="77">
        <v>0</v>
      </c>
      <c r="S70" s="77">
        <v>0</v>
      </c>
      <c r="T70" s="77">
        <v>0</v>
      </c>
      <c r="U70" s="77">
        <v>0</v>
      </c>
      <c r="V70" s="77">
        <v>11</v>
      </c>
      <c r="W70" s="82" t="s">
        <v>4123</v>
      </c>
      <c r="X70" s="77"/>
      <c r="Y70" s="77"/>
      <c r="Z70" s="77"/>
      <c r="AA70" s="77" t="s">
        <v>6180</v>
      </c>
      <c r="AB70" s="77" t="s">
        <v>7696</v>
      </c>
      <c r="AC70" s="82" t="s">
        <v>7705</v>
      </c>
      <c r="AD70" s="77" t="s">
        <v>7746</v>
      </c>
      <c r="AE70" s="80" t="str">
        <f>HYPERLINK("https://twitter.com/flaviosouza2810/status/1696127584830890047")</f>
        <v>https://twitter.com/flaviosouza2810/status/1696127584830890047</v>
      </c>
      <c r="AF70" s="79">
        <v>45166.491932870369</v>
      </c>
      <c r="AG70" s="85">
        <v>45166</v>
      </c>
      <c r="AH70" s="82" t="s">
        <v>7820</v>
      </c>
      <c r="AI70" s="77" t="b">
        <v>0</v>
      </c>
      <c r="AJ70" s="77"/>
      <c r="AK70" s="77"/>
      <c r="AL70" s="77"/>
      <c r="AM70" s="77"/>
      <c r="AN70" s="77"/>
      <c r="AO70" s="77"/>
      <c r="AP70" s="77"/>
      <c r="AQ70" s="77" t="s">
        <v>10687</v>
      </c>
      <c r="AR70" s="77"/>
      <c r="AS70" s="77"/>
      <c r="AT70" s="77"/>
      <c r="AU70" s="77"/>
      <c r="AV70" s="80" t="str">
        <f>HYPERLINK("https://pbs.twimg.com/media/F4nbDFDWoAE5Zgq.jpg")</f>
        <v>https://pbs.twimg.com/media/F4nbDFDWoAE5Zgq.jpg</v>
      </c>
      <c r="AW70" s="82" t="s">
        <v>12266</v>
      </c>
      <c r="AX70" s="82" t="s">
        <v>12266</v>
      </c>
      <c r="AY70" s="77"/>
      <c r="AZ70" s="82" t="s">
        <v>15804</v>
      </c>
      <c r="BA70" s="82" t="s">
        <v>15804</v>
      </c>
      <c r="BB70" s="82" t="s">
        <v>15804</v>
      </c>
      <c r="BC70" s="82" t="s">
        <v>12266</v>
      </c>
      <c r="BD70" s="82" t="s">
        <v>16162</v>
      </c>
      <c r="BE70" s="77"/>
      <c r="BF70" s="77"/>
      <c r="BG70" s="77"/>
      <c r="BH70" s="77"/>
      <c r="BI70" s="77"/>
    </row>
    <row r="71" spans="1:61" x14ac:dyDescent="0.25">
      <c r="A71" s="62" t="s">
        <v>261</v>
      </c>
      <c r="B71" s="62" t="s">
        <v>261</v>
      </c>
      <c r="C71" s="63"/>
      <c r="D71" s="64"/>
      <c r="E71" s="65"/>
      <c r="F71" s="66"/>
      <c r="G71" s="63"/>
      <c r="H71" s="67"/>
      <c r="I71" s="68"/>
      <c r="J71" s="68"/>
      <c r="K71" s="32"/>
      <c r="L71" s="75">
        <v>71</v>
      </c>
      <c r="M71" s="75"/>
      <c r="N71" s="70"/>
      <c r="O71" s="77" t="s">
        <v>179</v>
      </c>
      <c r="P71" s="79">
        <v>45161.406967592593</v>
      </c>
      <c r="Q71" s="77" t="s">
        <v>1204</v>
      </c>
      <c r="R71" s="77">
        <v>0</v>
      </c>
      <c r="S71" s="77">
        <v>0</v>
      </c>
      <c r="T71" s="77">
        <v>0</v>
      </c>
      <c r="U71" s="77">
        <v>0</v>
      </c>
      <c r="V71" s="77">
        <v>10</v>
      </c>
      <c r="W71" s="82" t="s">
        <v>4124</v>
      </c>
      <c r="X71" s="77"/>
      <c r="Y71" s="77"/>
      <c r="Z71" s="77"/>
      <c r="AA71" s="77" t="s">
        <v>6181</v>
      </c>
      <c r="AB71" s="77" t="s">
        <v>7696</v>
      </c>
      <c r="AC71" s="82" t="s">
        <v>7705</v>
      </c>
      <c r="AD71" s="77" t="s">
        <v>7746</v>
      </c>
      <c r="AE71" s="80" t="str">
        <f>HYPERLINK("https://twitter.com/flaviosouza2810/status/1694284854265774539")</f>
        <v>https://twitter.com/flaviosouza2810/status/1694284854265774539</v>
      </c>
      <c r="AF71" s="79">
        <v>45161.406967592593</v>
      </c>
      <c r="AG71" s="85">
        <v>45161</v>
      </c>
      <c r="AH71" s="82" t="s">
        <v>7821</v>
      </c>
      <c r="AI71" s="77" t="b">
        <v>0</v>
      </c>
      <c r="AJ71" s="77"/>
      <c r="AK71" s="77"/>
      <c r="AL71" s="77"/>
      <c r="AM71" s="77"/>
      <c r="AN71" s="77"/>
      <c r="AO71" s="77"/>
      <c r="AP71" s="77"/>
      <c r="AQ71" s="77" t="s">
        <v>10688</v>
      </c>
      <c r="AR71" s="77"/>
      <c r="AS71" s="77"/>
      <c r="AT71" s="77"/>
      <c r="AU71" s="77"/>
      <c r="AV71" s="80" t="str">
        <f>HYPERLINK("https://pbs.twimg.com/media/F4NPGBIXoAEJIFi.jpg")</f>
        <v>https://pbs.twimg.com/media/F4NPGBIXoAEJIFi.jpg</v>
      </c>
      <c r="AW71" s="82" t="s">
        <v>12267</v>
      </c>
      <c r="AX71" s="82" t="s">
        <v>12267</v>
      </c>
      <c r="AY71" s="77"/>
      <c r="AZ71" s="82" t="s">
        <v>15804</v>
      </c>
      <c r="BA71" s="82" t="s">
        <v>15804</v>
      </c>
      <c r="BB71" s="82" t="s">
        <v>15804</v>
      </c>
      <c r="BC71" s="82" t="s">
        <v>12267</v>
      </c>
      <c r="BD71" s="82" t="s">
        <v>16162</v>
      </c>
      <c r="BE71" s="77"/>
      <c r="BF71" s="77"/>
      <c r="BG71" s="77"/>
      <c r="BH71" s="77"/>
      <c r="BI71" s="77"/>
    </row>
    <row r="72" spans="1:61" x14ac:dyDescent="0.25">
      <c r="A72" s="62" t="s">
        <v>261</v>
      </c>
      <c r="B72" s="62" t="s">
        <v>261</v>
      </c>
      <c r="C72" s="63"/>
      <c r="D72" s="64"/>
      <c r="E72" s="65"/>
      <c r="F72" s="66"/>
      <c r="G72" s="63"/>
      <c r="H72" s="67"/>
      <c r="I72" s="68"/>
      <c r="J72" s="68"/>
      <c r="K72" s="32"/>
      <c r="L72" s="75">
        <v>72</v>
      </c>
      <c r="M72" s="75"/>
      <c r="N72" s="70"/>
      <c r="O72" s="77" t="s">
        <v>179</v>
      </c>
      <c r="P72" s="79">
        <v>45161.406215277777</v>
      </c>
      <c r="Q72" s="77" t="s">
        <v>1205</v>
      </c>
      <c r="R72" s="77">
        <v>0</v>
      </c>
      <c r="S72" s="77">
        <v>0</v>
      </c>
      <c r="T72" s="77">
        <v>0</v>
      </c>
      <c r="U72" s="77">
        <v>0</v>
      </c>
      <c r="V72" s="77">
        <v>11</v>
      </c>
      <c r="W72" s="82" t="s">
        <v>4124</v>
      </c>
      <c r="X72" s="77"/>
      <c r="Y72" s="77"/>
      <c r="Z72" s="77"/>
      <c r="AA72" s="77" t="s">
        <v>6182</v>
      </c>
      <c r="AB72" s="77" t="s">
        <v>7696</v>
      </c>
      <c r="AC72" s="82" t="s">
        <v>7705</v>
      </c>
      <c r="AD72" s="77" t="s">
        <v>7746</v>
      </c>
      <c r="AE72" s="80" t="str">
        <f>HYPERLINK("https://twitter.com/flaviosouza2810/status/1694284583183786487")</f>
        <v>https://twitter.com/flaviosouza2810/status/1694284583183786487</v>
      </c>
      <c r="AF72" s="79">
        <v>45161.406215277777</v>
      </c>
      <c r="AG72" s="85">
        <v>45161</v>
      </c>
      <c r="AH72" s="82" t="s">
        <v>7822</v>
      </c>
      <c r="AI72" s="77" t="b">
        <v>0</v>
      </c>
      <c r="AJ72" s="77"/>
      <c r="AK72" s="77"/>
      <c r="AL72" s="77"/>
      <c r="AM72" s="77"/>
      <c r="AN72" s="77"/>
      <c r="AO72" s="77"/>
      <c r="AP72" s="77"/>
      <c r="AQ72" s="77" t="s">
        <v>10689</v>
      </c>
      <c r="AR72" s="77"/>
      <c r="AS72" s="77"/>
      <c r="AT72" s="77"/>
      <c r="AU72" s="77"/>
      <c r="AV72" s="80" t="str">
        <f>HYPERLINK("https://pbs.twimg.com/media/F4NO2TTXgAEjYak.jpg")</f>
        <v>https://pbs.twimg.com/media/F4NO2TTXgAEjYak.jpg</v>
      </c>
      <c r="AW72" s="82" t="s">
        <v>12268</v>
      </c>
      <c r="AX72" s="82" t="s">
        <v>12268</v>
      </c>
      <c r="AY72" s="77"/>
      <c r="AZ72" s="82" t="s">
        <v>15804</v>
      </c>
      <c r="BA72" s="82" t="s">
        <v>15804</v>
      </c>
      <c r="BB72" s="82" t="s">
        <v>15804</v>
      </c>
      <c r="BC72" s="82" t="s">
        <v>12268</v>
      </c>
      <c r="BD72" s="82" t="s">
        <v>16162</v>
      </c>
      <c r="BE72" s="77"/>
      <c r="BF72" s="77"/>
      <c r="BG72" s="77"/>
      <c r="BH72" s="77"/>
      <c r="BI72" s="77"/>
    </row>
    <row r="73" spans="1:61" x14ac:dyDescent="0.25">
      <c r="A73" s="62" t="s">
        <v>261</v>
      </c>
      <c r="B73" s="62" t="s">
        <v>261</v>
      </c>
      <c r="C73" s="63"/>
      <c r="D73" s="64"/>
      <c r="E73" s="65"/>
      <c r="F73" s="66"/>
      <c r="G73" s="63"/>
      <c r="H73" s="67"/>
      <c r="I73" s="68"/>
      <c r="J73" s="68"/>
      <c r="K73" s="32"/>
      <c r="L73" s="75">
        <v>73</v>
      </c>
      <c r="M73" s="75"/>
      <c r="N73" s="70"/>
      <c r="O73" s="77" t="s">
        <v>179</v>
      </c>
      <c r="P73" s="79">
        <v>45160.400821759256</v>
      </c>
      <c r="Q73" s="77" t="s">
        <v>1206</v>
      </c>
      <c r="R73" s="77">
        <v>0</v>
      </c>
      <c r="S73" s="77">
        <v>0</v>
      </c>
      <c r="T73" s="77">
        <v>0</v>
      </c>
      <c r="U73" s="77">
        <v>0</v>
      </c>
      <c r="V73" s="77">
        <v>6</v>
      </c>
      <c r="W73" s="82" t="s">
        <v>4124</v>
      </c>
      <c r="X73" s="77"/>
      <c r="Y73" s="77"/>
      <c r="Z73" s="77"/>
      <c r="AA73" s="77" t="s">
        <v>6183</v>
      </c>
      <c r="AB73" s="77" t="s">
        <v>7696</v>
      </c>
      <c r="AC73" s="82" t="s">
        <v>7705</v>
      </c>
      <c r="AD73" s="77" t="s">
        <v>7746</v>
      </c>
      <c r="AE73" s="80" t="str">
        <f>HYPERLINK("https://twitter.com/flaviosouza2810/status/1693920240969650290")</f>
        <v>https://twitter.com/flaviosouza2810/status/1693920240969650290</v>
      </c>
      <c r="AF73" s="79">
        <v>45160.400821759256</v>
      </c>
      <c r="AG73" s="85">
        <v>45160</v>
      </c>
      <c r="AH73" s="82" t="s">
        <v>7823</v>
      </c>
      <c r="AI73" s="77" t="b">
        <v>0</v>
      </c>
      <c r="AJ73" s="77"/>
      <c r="AK73" s="77"/>
      <c r="AL73" s="77"/>
      <c r="AM73" s="77"/>
      <c r="AN73" s="77"/>
      <c r="AO73" s="77"/>
      <c r="AP73" s="77"/>
      <c r="AQ73" s="77" t="s">
        <v>10690</v>
      </c>
      <c r="AR73" s="77"/>
      <c r="AS73" s="77"/>
      <c r="AT73" s="77"/>
      <c r="AU73" s="77"/>
      <c r="AV73" s="80" t="str">
        <f>HYPERLINK("https://pbs.twimg.com/media/F4IDeyuWAAAcpbD.jpg")</f>
        <v>https://pbs.twimg.com/media/F4IDeyuWAAAcpbD.jpg</v>
      </c>
      <c r="AW73" s="82" t="s">
        <v>12269</v>
      </c>
      <c r="AX73" s="82" t="s">
        <v>12269</v>
      </c>
      <c r="AY73" s="77"/>
      <c r="AZ73" s="82" t="s">
        <v>15804</v>
      </c>
      <c r="BA73" s="82" t="s">
        <v>15804</v>
      </c>
      <c r="BB73" s="82" t="s">
        <v>15804</v>
      </c>
      <c r="BC73" s="82" t="s">
        <v>12269</v>
      </c>
      <c r="BD73" s="82" t="s">
        <v>16162</v>
      </c>
      <c r="BE73" s="77"/>
      <c r="BF73" s="77"/>
      <c r="BG73" s="77"/>
      <c r="BH73" s="77"/>
      <c r="BI73" s="77"/>
    </row>
    <row r="74" spans="1:61" x14ac:dyDescent="0.25">
      <c r="A74" s="62" t="s">
        <v>261</v>
      </c>
      <c r="B74" s="62" t="s">
        <v>261</v>
      </c>
      <c r="C74" s="63"/>
      <c r="D74" s="64"/>
      <c r="E74" s="65"/>
      <c r="F74" s="66"/>
      <c r="G74" s="63"/>
      <c r="H74" s="67"/>
      <c r="I74" s="68"/>
      <c r="J74" s="68"/>
      <c r="K74" s="32"/>
      <c r="L74" s="75">
        <v>74</v>
      </c>
      <c r="M74" s="75"/>
      <c r="N74" s="70"/>
      <c r="O74" s="77" t="s">
        <v>179</v>
      </c>
      <c r="P74" s="79">
        <v>45160.400567129633</v>
      </c>
      <c r="Q74" s="77" t="s">
        <v>1207</v>
      </c>
      <c r="R74" s="77">
        <v>0</v>
      </c>
      <c r="S74" s="77">
        <v>0</v>
      </c>
      <c r="T74" s="77">
        <v>0</v>
      </c>
      <c r="U74" s="77">
        <v>0</v>
      </c>
      <c r="V74" s="77">
        <v>7</v>
      </c>
      <c r="W74" s="82" t="s">
        <v>4124</v>
      </c>
      <c r="X74" s="77"/>
      <c r="Y74" s="77"/>
      <c r="Z74" s="77"/>
      <c r="AA74" s="77" t="s">
        <v>6184</v>
      </c>
      <c r="AB74" s="77" t="s">
        <v>7696</v>
      </c>
      <c r="AC74" s="82" t="s">
        <v>7705</v>
      </c>
      <c r="AD74" s="77" t="s">
        <v>7746</v>
      </c>
      <c r="AE74" s="80" t="str">
        <f>HYPERLINK("https://twitter.com/flaviosouza2810/status/1693920147772211373")</f>
        <v>https://twitter.com/flaviosouza2810/status/1693920147772211373</v>
      </c>
      <c r="AF74" s="79">
        <v>45160.400567129633</v>
      </c>
      <c r="AG74" s="85">
        <v>45160</v>
      </c>
      <c r="AH74" s="82" t="s">
        <v>7824</v>
      </c>
      <c r="AI74" s="77" t="b">
        <v>0</v>
      </c>
      <c r="AJ74" s="77"/>
      <c r="AK74" s="77"/>
      <c r="AL74" s="77"/>
      <c r="AM74" s="77"/>
      <c r="AN74" s="77"/>
      <c r="AO74" s="77"/>
      <c r="AP74" s="77"/>
      <c r="AQ74" s="77" t="s">
        <v>10691</v>
      </c>
      <c r="AR74" s="77"/>
      <c r="AS74" s="77"/>
      <c r="AT74" s="77"/>
      <c r="AU74" s="77"/>
      <c r="AV74" s="80" t="str">
        <f>HYPERLINK("https://pbs.twimg.com/media/F4IDZXTWMAAN0Je.jpg")</f>
        <v>https://pbs.twimg.com/media/F4IDZXTWMAAN0Je.jpg</v>
      </c>
      <c r="AW74" s="82" t="s">
        <v>12270</v>
      </c>
      <c r="AX74" s="82" t="s">
        <v>12270</v>
      </c>
      <c r="AY74" s="77"/>
      <c r="AZ74" s="82" t="s">
        <v>15804</v>
      </c>
      <c r="BA74" s="82" t="s">
        <v>15804</v>
      </c>
      <c r="BB74" s="82" t="s">
        <v>15804</v>
      </c>
      <c r="BC74" s="82" t="s">
        <v>12270</v>
      </c>
      <c r="BD74" s="82" t="s">
        <v>16162</v>
      </c>
      <c r="BE74" s="77"/>
      <c r="BF74" s="77"/>
      <c r="BG74" s="77"/>
      <c r="BH74" s="77"/>
      <c r="BI74" s="77"/>
    </row>
    <row r="75" spans="1:61" x14ac:dyDescent="0.25">
      <c r="A75" s="62" t="s">
        <v>261</v>
      </c>
      <c r="B75" s="62" t="s">
        <v>261</v>
      </c>
      <c r="C75" s="63"/>
      <c r="D75" s="64"/>
      <c r="E75" s="65"/>
      <c r="F75" s="66"/>
      <c r="G75" s="63"/>
      <c r="H75" s="67"/>
      <c r="I75" s="68"/>
      <c r="J75" s="68"/>
      <c r="K75" s="32"/>
      <c r="L75" s="75">
        <v>75</v>
      </c>
      <c r="M75" s="75"/>
      <c r="N75" s="70"/>
      <c r="O75" s="77" t="s">
        <v>179</v>
      </c>
      <c r="P75" s="79">
        <v>45159.394108796296</v>
      </c>
      <c r="Q75" s="77" t="s">
        <v>1208</v>
      </c>
      <c r="R75" s="77">
        <v>0</v>
      </c>
      <c r="S75" s="77">
        <v>0</v>
      </c>
      <c r="T75" s="77">
        <v>0</v>
      </c>
      <c r="U75" s="77">
        <v>0</v>
      </c>
      <c r="V75" s="77">
        <v>1</v>
      </c>
      <c r="W75" s="82" t="s">
        <v>4123</v>
      </c>
      <c r="X75" s="77"/>
      <c r="Y75" s="77"/>
      <c r="Z75" s="77"/>
      <c r="AA75" s="77" t="s">
        <v>6185</v>
      </c>
      <c r="AB75" s="77" t="s">
        <v>7696</v>
      </c>
      <c r="AC75" s="82" t="s">
        <v>7705</v>
      </c>
      <c r="AD75" s="77" t="s">
        <v>7746</v>
      </c>
      <c r="AE75" s="80" t="str">
        <f>HYPERLINK("https://twitter.com/flaviosouza2810/status/1693555420692955219")</f>
        <v>https://twitter.com/flaviosouza2810/status/1693555420692955219</v>
      </c>
      <c r="AF75" s="79">
        <v>45159.394108796296</v>
      </c>
      <c r="AG75" s="85">
        <v>45159</v>
      </c>
      <c r="AH75" s="82" t="s">
        <v>7825</v>
      </c>
      <c r="AI75" s="77" t="b">
        <v>0</v>
      </c>
      <c r="AJ75" s="77"/>
      <c r="AK75" s="77"/>
      <c r="AL75" s="77"/>
      <c r="AM75" s="77"/>
      <c r="AN75" s="77"/>
      <c r="AO75" s="77"/>
      <c r="AP75" s="77"/>
      <c r="AQ75" s="77" t="s">
        <v>10692</v>
      </c>
      <c r="AR75" s="77"/>
      <c r="AS75" s="77"/>
      <c r="AT75" s="77"/>
      <c r="AU75" s="77"/>
      <c r="AV75" s="80" t="str">
        <f>HYPERLINK("https://pbs.twimg.com/media/F4C3ra2WUAA4mF_.jpg")</f>
        <v>https://pbs.twimg.com/media/F4C3ra2WUAA4mF_.jpg</v>
      </c>
      <c r="AW75" s="82" t="s">
        <v>12271</v>
      </c>
      <c r="AX75" s="82" t="s">
        <v>12271</v>
      </c>
      <c r="AY75" s="77"/>
      <c r="AZ75" s="82" t="s">
        <v>15804</v>
      </c>
      <c r="BA75" s="82" t="s">
        <v>15804</v>
      </c>
      <c r="BB75" s="82" t="s">
        <v>15804</v>
      </c>
      <c r="BC75" s="82" t="s">
        <v>12271</v>
      </c>
      <c r="BD75" s="82" t="s">
        <v>16162</v>
      </c>
      <c r="BE75" s="77"/>
      <c r="BF75" s="77"/>
      <c r="BG75" s="77"/>
      <c r="BH75" s="77"/>
      <c r="BI75" s="77"/>
    </row>
    <row r="76" spans="1:61" x14ac:dyDescent="0.25">
      <c r="A76" s="62" t="s">
        <v>261</v>
      </c>
      <c r="B76" s="62" t="s">
        <v>261</v>
      </c>
      <c r="C76" s="63"/>
      <c r="D76" s="64"/>
      <c r="E76" s="65"/>
      <c r="F76" s="66"/>
      <c r="G76" s="63"/>
      <c r="H76" s="67"/>
      <c r="I76" s="68"/>
      <c r="J76" s="68"/>
      <c r="K76" s="32"/>
      <c r="L76" s="75">
        <v>76</v>
      </c>
      <c r="M76" s="75"/>
      <c r="N76" s="70"/>
      <c r="O76" s="77" t="s">
        <v>179</v>
      </c>
      <c r="P76" s="79">
        <v>45157.502511574072</v>
      </c>
      <c r="Q76" s="77" t="s">
        <v>1209</v>
      </c>
      <c r="R76" s="77">
        <v>0</v>
      </c>
      <c r="S76" s="77">
        <v>0</v>
      </c>
      <c r="T76" s="77">
        <v>0</v>
      </c>
      <c r="U76" s="77">
        <v>0</v>
      </c>
      <c r="V76" s="77">
        <v>6</v>
      </c>
      <c r="W76" s="82" t="s">
        <v>4123</v>
      </c>
      <c r="X76" s="77"/>
      <c r="Y76" s="77"/>
      <c r="Z76" s="77"/>
      <c r="AA76" s="77" t="s">
        <v>6186</v>
      </c>
      <c r="AB76" s="77" t="s">
        <v>7696</v>
      </c>
      <c r="AC76" s="82" t="s">
        <v>7705</v>
      </c>
      <c r="AD76" s="77" t="s">
        <v>7746</v>
      </c>
      <c r="AE76" s="80" t="str">
        <f>HYPERLINK("https://twitter.com/flaviosouza2810/status/1692869927588249984")</f>
        <v>https://twitter.com/flaviosouza2810/status/1692869927588249984</v>
      </c>
      <c r="AF76" s="79">
        <v>45157.502511574072</v>
      </c>
      <c r="AG76" s="85">
        <v>45157</v>
      </c>
      <c r="AH76" s="82" t="s">
        <v>7826</v>
      </c>
      <c r="AI76" s="77" t="b">
        <v>0</v>
      </c>
      <c r="AJ76" s="77"/>
      <c r="AK76" s="77"/>
      <c r="AL76" s="77"/>
      <c r="AM76" s="77"/>
      <c r="AN76" s="77"/>
      <c r="AO76" s="77"/>
      <c r="AP76" s="77"/>
      <c r="AQ76" s="77" t="s">
        <v>10693</v>
      </c>
      <c r="AR76" s="77"/>
      <c r="AS76" s="77"/>
      <c r="AT76" s="77"/>
      <c r="AU76" s="77"/>
      <c r="AV76" s="80" t="str">
        <f>HYPERLINK("https://pbs.twimg.com/media/F35IOaTWUAA5RcI.jpg")</f>
        <v>https://pbs.twimg.com/media/F35IOaTWUAA5RcI.jpg</v>
      </c>
      <c r="AW76" s="82" t="s">
        <v>12272</v>
      </c>
      <c r="AX76" s="82" t="s">
        <v>12272</v>
      </c>
      <c r="AY76" s="77"/>
      <c r="AZ76" s="82" t="s">
        <v>15804</v>
      </c>
      <c r="BA76" s="82" t="s">
        <v>15804</v>
      </c>
      <c r="BB76" s="82" t="s">
        <v>15804</v>
      </c>
      <c r="BC76" s="82" t="s">
        <v>12272</v>
      </c>
      <c r="BD76" s="82" t="s">
        <v>16162</v>
      </c>
      <c r="BE76" s="77"/>
      <c r="BF76" s="77"/>
      <c r="BG76" s="77"/>
      <c r="BH76" s="77"/>
      <c r="BI76" s="77"/>
    </row>
    <row r="77" spans="1:61" x14ac:dyDescent="0.25">
      <c r="A77" s="62" t="s">
        <v>261</v>
      </c>
      <c r="B77" s="62" t="s">
        <v>261</v>
      </c>
      <c r="C77" s="63"/>
      <c r="D77" s="64"/>
      <c r="E77" s="65"/>
      <c r="F77" s="66"/>
      <c r="G77" s="63"/>
      <c r="H77" s="67"/>
      <c r="I77" s="68"/>
      <c r="J77" s="68"/>
      <c r="K77" s="32"/>
      <c r="L77" s="75">
        <v>77</v>
      </c>
      <c r="M77" s="75"/>
      <c r="N77" s="70"/>
      <c r="O77" s="77" t="s">
        <v>179</v>
      </c>
      <c r="P77" s="79">
        <v>45153.404583333337</v>
      </c>
      <c r="Q77" s="77" t="s">
        <v>1210</v>
      </c>
      <c r="R77" s="77">
        <v>0</v>
      </c>
      <c r="S77" s="77">
        <v>0</v>
      </c>
      <c r="T77" s="77">
        <v>0</v>
      </c>
      <c r="U77" s="77">
        <v>0</v>
      </c>
      <c r="V77" s="77">
        <v>5</v>
      </c>
      <c r="W77" s="82" t="s">
        <v>4123</v>
      </c>
      <c r="X77" s="77"/>
      <c r="Y77" s="77"/>
      <c r="Z77" s="77"/>
      <c r="AA77" s="77" t="s">
        <v>6187</v>
      </c>
      <c r="AB77" s="77" t="s">
        <v>7696</v>
      </c>
      <c r="AC77" s="82" t="s">
        <v>7705</v>
      </c>
      <c r="AD77" s="77" t="s">
        <v>7746</v>
      </c>
      <c r="AE77" s="80" t="str">
        <f>HYPERLINK("https://twitter.com/flaviosouza2810/status/1691384887964569600")</f>
        <v>https://twitter.com/flaviosouza2810/status/1691384887964569600</v>
      </c>
      <c r="AF77" s="79">
        <v>45153.404583333337</v>
      </c>
      <c r="AG77" s="85">
        <v>45153</v>
      </c>
      <c r="AH77" s="82" t="s">
        <v>7827</v>
      </c>
      <c r="AI77" s="77" t="b">
        <v>0</v>
      </c>
      <c r="AJ77" s="77"/>
      <c r="AK77" s="77"/>
      <c r="AL77" s="77"/>
      <c r="AM77" s="77"/>
      <c r="AN77" s="77"/>
      <c r="AO77" s="77"/>
      <c r="AP77" s="77"/>
      <c r="AQ77" s="77" t="s">
        <v>10694</v>
      </c>
      <c r="AR77" s="77"/>
      <c r="AS77" s="77"/>
      <c r="AT77" s="77"/>
      <c r="AU77" s="77"/>
      <c r="AV77" s="80" t="str">
        <f>HYPERLINK("https://pbs.twimg.com/media/F3kBl0VWAAA1Uio.jpg")</f>
        <v>https://pbs.twimg.com/media/F3kBl0VWAAA1Uio.jpg</v>
      </c>
      <c r="AW77" s="82" t="s">
        <v>12273</v>
      </c>
      <c r="AX77" s="82" t="s">
        <v>12273</v>
      </c>
      <c r="AY77" s="77"/>
      <c r="AZ77" s="82" t="s">
        <v>15804</v>
      </c>
      <c r="BA77" s="82" t="s">
        <v>15804</v>
      </c>
      <c r="BB77" s="82" t="s">
        <v>15804</v>
      </c>
      <c r="BC77" s="82" t="s">
        <v>12273</v>
      </c>
      <c r="BD77" s="82" t="s">
        <v>16162</v>
      </c>
      <c r="BE77" s="77"/>
      <c r="BF77" s="77"/>
      <c r="BG77" s="77"/>
      <c r="BH77" s="77"/>
      <c r="BI77" s="77"/>
    </row>
    <row r="78" spans="1:61" x14ac:dyDescent="0.25">
      <c r="A78" s="62" t="s">
        <v>261</v>
      </c>
      <c r="B78" s="62" t="s">
        <v>261</v>
      </c>
      <c r="C78" s="63"/>
      <c r="D78" s="64"/>
      <c r="E78" s="65"/>
      <c r="F78" s="66"/>
      <c r="G78" s="63"/>
      <c r="H78" s="67"/>
      <c r="I78" s="68"/>
      <c r="J78" s="68"/>
      <c r="K78" s="32"/>
      <c r="L78" s="75">
        <v>78</v>
      </c>
      <c r="M78" s="75"/>
      <c r="N78" s="70"/>
      <c r="O78" s="77" t="s">
        <v>179</v>
      </c>
      <c r="P78" s="79">
        <v>45153.40421296296</v>
      </c>
      <c r="Q78" s="77" t="s">
        <v>1211</v>
      </c>
      <c r="R78" s="77">
        <v>0</v>
      </c>
      <c r="S78" s="77">
        <v>0</v>
      </c>
      <c r="T78" s="77">
        <v>0</v>
      </c>
      <c r="U78" s="77">
        <v>0</v>
      </c>
      <c r="V78" s="77">
        <v>8</v>
      </c>
      <c r="W78" s="82" t="s">
        <v>4123</v>
      </c>
      <c r="X78" s="77"/>
      <c r="Y78" s="77"/>
      <c r="Z78" s="77"/>
      <c r="AA78" s="77" t="s">
        <v>6188</v>
      </c>
      <c r="AB78" s="77" t="s">
        <v>7696</v>
      </c>
      <c r="AC78" s="82" t="s">
        <v>7705</v>
      </c>
      <c r="AD78" s="77" t="s">
        <v>7746</v>
      </c>
      <c r="AE78" s="80" t="str">
        <f>HYPERLINK("https://twitter.com/flaviosouza2810/status/1691384753545527296")</f>
        <v>https://twitter.com/flaviosouza2810/status/1691384753545527296</v>
      </c>
      <c r="AF78" s="79">
        <v>45153.40421296296</v>
      </c>
      <c r="AG78" s="85">
        <v>45153</v>
      </c>
      <c r="AH78" s="82" t="s">
        <v>7828</v>
      </c>
      <c r="AI78" s="77" t="b">
        <v>0</v>
      </c>
      <c r="AJ78" s="77"/>
      <c r="AK78" s="77"/>
      <c r="AL78" s="77"/>
      <c r="AM78" s="77"/>
      <c r="AN78" s="77"/>
      <c r="AO78" s="77"/>
      <c r="AP78" s="77"/>
      <c r="AQ78" s="77" t="s">
        <v>10695</v>
      </c>
      <c r="AR78" s="77"/>
      <c r="AS78" s="77"/>
      <c r="AT78" s="77"/>
      <c r="AU78" s="77"/>
      <c r="AV78" s="80" t="str">
        <f>HYPERLINK("https://pbs.twimg.com/media/F3kBd9HXYAAzSPE.jpg")</f>
        <v>https://pbs.twimg.com/media/F3kBd9HXYAAzSPE.jpg</v>
      </c>
      <c r="AW78" s="82" t="s">
        <v>12274</v>
      </c>
      <c r="AX78" s="82" t="s">
        <v>12274</v>
      </c>
      <c r="AY78" s="77"/>
      <c r="AZ78" s="82" t="s">
        <v>15804</v>
      </c>
      <c r="BA78" s="82" t="s">
        <v>15804</v>
      </c>
      <c r="BB78" s="82" t="s">
        <v>15804</v>
      </c>
      <c r="BC78" s="82" t="s">
        <v>12274</v>
      </c>
      <c r="BD78" s="82" t="s">
        <v>16162</v>
      </c>
      <c r="BE78" s="77"/>
      <c r="BF78" s="77"/>
      <c r="BG78" s="77"/>
      <c r="BH78" s="77"/>
      <c r="BI78" s="77"/>
    </row>
    <row r="79" spans="1:61" x14ac:dyDescent="0.25">
      <c r="A79" s="62" t="s">
        <v>261</v>
      </c>
      <c r="B79" s="62" t="s">
        <v>261</v>
      </c>
      <c r="C79" s="63"/>
      <c r="D79" s="64"/>
      <c r="E79" s="65"/>
      <c r="F79" s="66"/>
      <c r="G79" s="63"/>
      <c r="H79" s="67"/>
      <c r="I79" s="68"/>
      <c r="J79" s="68"/>
      <c r="K79" s="32"/>
      <c r="L79" s="75">
        <v>79</v>
      </c>
      <c r="M79" s="75"/>
      <c r="N79" s="70"/>
      <c r="O79" s="77" t="s">
        <v>179</v>
      </c>
      <c r="P79" s="79">
        <v>45153.403946759259</v>
      </c>
      <c r="Q79" s="77" t="s">
        <v>1212</v>
      </c>
      <c r="R79" s="77">
        <v>0</v>
      </c>
      <c r="S79" s="77">
        <v>0</v>
      </c>
      <c r="T79" s="77">
        <v>0</v>
      </c>
      <c r="U79" s="77">
        <v>0</v>
      </c>
      <c r="V79" s="77">
        <v>2</v>
      </c>
      <c r="W79" s="82" t="s">
        <v>4123</v>
      </c>
      <c r="X79" s="77"/>
      <c r="Y79" s="77"/>
      <c r="Z79" s="77"/>
      <c r="AA79" s="77" t="s">
        <v>6189</v>
      </c>
      <c r="AB79" s="77" t="s">
        <v>7696</v>
      </c>
      <c r="AC79" s="82" t="s">
        <v>7705</v>
      </c>
      <c r="AD79" s="77" t="s">
        <v>7746</v>
      </c>
      <c r="AE79" s="80" t="str">
        <f>HYPERLINK("https://twitter.com/flaviosouza2810/status/1691384657936318464")</f>
        <v>https://twitter.com/flaviosouza2810/status/1691384657936318464</v>
      </c>
      <c r="AF79" s="79">
        <v>45153.403946759259</v>
      </c>
      <c r="AG79" s="85">
        <v>45153</v>
      </c>
      <c r="AH79" s="82" t="s">
        <v>7829</v>
      </c>
      <c r="AI79" s="77" t="b">
        <v>0</v>
      </c>
      <c r="AJ79" s="77"/>
      <c r="AK79" s="77"/>
      <c r="AL79" s="77"/>
      <c r="AM79" s="77"/>
      <c r="AN79" s="77"/>
      <c r="AO79" s="77"/>
      <c r="AP79" s="77"/>
      <c r="AQ79" s="77" t="s">
        <v>10696</v>
      </c>
      <c r="AR79" s="77"/>
      <c r="AS79" s="77"/>
      <c r="AT79" s="77"/>
      <c r="AU79" s="77"/>
      <c r="AV79" s="80" t="str">
        <f>HYPERLINK("https://pbs.twimg.com/media/F3kBYVBWYAAYTJv.jpg")</f>
        <v>https://pbs.twimg.com/media/F3kBYVBWYAAYTJv.jpg</v>
      </c>
      <c r="AW79" s="82" t="s">
        <v>12275</v>
      </c>
      <c r="AX79" s="82" t="s">
        <v>12275</v>
      </c>
      <c r="AY79" s="77"/>
      <c r="AZ79" s="82" t="s">
        <v>15804</v>
      </c>
      <c r="BA79" s="82" t="s">
        <v>15804</v>
      </c>
      <c r="BB79" s="82" t="s">
        <v>15804</v>
      </c>
      <c r="BC79" s="82" t="s">
        <v>12275</v>
      </c>
      <c r="BD79" s="82" t="s">
        <v>16162</v>
      </c>
      <c r="BE79" s="77"/>
      <c r="BF79" s="77"/>
      <c r="BG79" s="77"/>
      <c r="BH79" s="77"/>
      <c r="BI79" s="77"/>
    </row>
    <row r="80" spans="1:61" x14ac:dyDescent="0.25">
      <c r="A80" s="62" t="s">
        <v>261</v>
      </c>
      <c r="B80" s="62" t="s">
        <v>261</v>
      </c>
      <c r="C80" s="63"/>
      <c r="D80" s="64"/>
      <c r="E80" s="65"/>
      <c r="F80" s="66"/>
      <c r="G80" s="63"/>
      <c r="H80" s="67"/>
      <c r="I80" s="68"/>
      <c r="J80" s="68"/>
      <c r="K80" s="32"/>
      <c r="L80" s="75">
        <v>80</v>
      </c>
      <c r="M80" s="75"/>
      <c r="N80" s="70"/>
      <c r="O80" s="77" t="s">
        <v>179</v>
      </c>
      <c r="P80" s="79">
        <v>45152.865115740744</v>
      </c>
      <c r="Q80" s="77" t="s">
        <v>1213</v>
      </c>
      <c r="R80" s="77">
        <v>0</v>
      </c>
      <c r="S80" s="77">
        <v>0</v>
      </c>
      <c r="T80" s="77">
        <v>0</v>
      </c>
      <c r="U80" s="77">
        <v>0</v>
      </c>
      <c r="V80" s="77">
        <v>7</v>
      </c>
      <c r="W80" s="82" t="s">
        <v>4123</v>
      </c>
      <c r="X80" s="77"/>
      <c r="Y80" s="77"/>
      <c r="Z80" s="77"/>
      <c r="AA80" s="77" t="s">
        <v>6190</v>
      </c>
      <c r="AB80" s="77" t="s">
        <v>7696</v>
      </c>
      <c r="AC80" s="82" t="s">
        <v>7705</v>
      </c>
      <c r="AD80" s="77" t="s">
        <v>7746</v>
      </c>
      <c r="AE80" s="80" t="str">
        <f>HYPERLINK("https://twitter.com/flaviosouza2810/status/1691189392977612801")</f>
        <v>https://twitter.com/flaviosouza2810/status/1691189392977612801</v>
      </c>
      <c r="AF80" s="79">
        <v>45152.865115740744</v>
      </c>
      <c r="AG80" s="85">
        <v>45152</v>
      </c>
      <c r="AH80" s="82" t="s">
        <v>7830</v>
      </c>
      <c r="AI80" s="77" t="b">
        <v>0</v>
      </c>
      <c r="AJ80" s="77"/>
      <c r="AK80" s="77"/>
      <c r="AL80" s="77"/>
      <c r="AM80" s="77"/>
      <c r="AN80" s="77"/>
      <c r="AO80" s="77"/>
      <c r="AP80" s="77"/>
      <c r="AQ80" s="77" t="s">
        <v>10697</v>
      </c>
      <c r="AR80" s="77"/>
      <c r="AS80" s="77"/>
      <c r="AT80" s="77"/>
      <c r="AU80" s="77"/>
      <c r="AV80" s="80" t="str">
        <f>HYPERLINK("https://pbs.twimg.com/media/F3hPyd0XIAAvLqA.jpg")</f>
        <v>https://pbs.twimg.com/media/F3hPyd0XIAAvLqA.jpg</v>
      </c>
      <c r="AW80" s="82" t="s">
        <v>12276</v>
      </c>
      <c r="AX80" s="82" t="s">
        <v>12276</v>
      </c>
      <c r="AY80" s="77"/>
      <c r="AZ80" s="82" t="s">
        <v>15804</v>
      </c>
      <c r="BA80" s="82" t="s">
        <v>15804</v>
      </c>
      <c r="BB80" s="82" t="s">
        <v>15804</v>
      </c>
      <c r="BC80" s="82" t="s">
        <v>12276</v>
      </c>
      <c r="BD80" s="82" t="s">
        <v>16162</v>
      </c>
      <c r="BE80" s="77"/>
      <c r="BF80" s="77"/>
      <c r="BG80" s="77"/>
      <c r="BH80" s="77"/>
      <c r="BI80" s="77"/>
    </row>
    <row r="81" spans="1:61" x14ac:dyDescent="0.25">
      <c r="A81" s="62" t="s">
        <v>261</v>
      </c>
      <c r="B81" s="62" t="s">
        <v>261</v>
      </c>
      <c r="C81" s="63"/>
      <c r="D81" s="64"/>
      <c r="E81" s="65"/>
      <c r="F81" s="66"/>
      <c r="G81" s="63"/>
      <c r="H81" s="67"/>
      <c r="I81" s="68"/>
      <c r="J81" s="68"/>
      <c r="K81" s="32"/>
      <c r="L81" s="75">
        <v>81</v>
      </c>
      <c r="M81" s="75"/>
      <c r="N81" s="70"/>
      <c r="O81" s="77" t="s">
        <v>179</v>
      </c>
      <c r="P81" s="79">
        <v>45151.533229166664</v>
      </c>
      <c r="Q81" s="77" t="s">
        <v>1214</v>
      </c>
      <c r="R81" s="77">
        <v>0</v>
      </c>
      <c r="S81" s="77">
        <v>0</v>
      </c>
      <c r="T81" s="77">
        <v>0</v>
      </c>
      <c r="U81" s="77">
        <v>0</v>
      </c>
      <c r="V81" s="77">
        <v>10</v>
      </c>
      <c r="W81" s="82" t="s">
        <v>4124</v>
      </c>
      <c r="X81" s="77"/>
      <c r="Y81" s="77"/>
      <c r="Z81" s="77"/>
      <c r="AA81" s="77" t="s">
        <v>6191</v>
      </c>
      <c r="AB81" s="77" t="s">
        <v>7696</v>
      </c>
      <c r="AC81" s="82" t="s">
        <v>7705</v>
      </c>
      <c r="AD81" s="77" t="s">
        <v>7746</v>
      </c>
      <c r="AE81" s="80" t="str">
        <f>HYPERLINK("https://twitter.com/flaviosouza2810/status/1690706733289672704")</f>
        <v>https://twitter.com/flaviosouza2810/status/1690706733289672704</v>
      </c>
      <c r="AF81" s="79">
        <v>45151.533229166664</v>
      </c>
      <c r="AG81" s="85">
        <v>45151</v>
      </c>
      <c r="AH81" s="82" t="s">
        <v>7831</v>
      </c>
      <c r="AI81" s="77" t="b">
        <v>0</v>
      </c>
      <c r="AJ81" s="77"/>
      <c r="AK81" s="77"/>
      <c r="AL81" s="77"/>
      <c r="AM81" s="77"/>
      <c r="AN81" s="77"/>
      <c r="AO81" s="77"/>
      <c r="AP81" s="77"/>
      <c r="AQ81" s="77" t="s">
        <v>10698</v>
      </c>
      <c r="AR81" s="77"/>
      <c r="AS81" s="77"/>
      <c r="AT81" s="77"/>
      <c r="AU81" s="77"/>
      <c r="AV81" s="80" t="str">
        <f>HYPERLINK("https://pbs.twimg.com/media/F3aYz8LWcAAAblg.jpg")</f>
        <v>https://pbs.twimg.com/media/F3aYz8LWcAAAblg.jpg</v>
      </c>
      <c r="AW81" s="82" t="s">
        <v>12277</v>
      </c>
      <c r="AX81" s="82" t="s">
        <v>12277</v>
      </c>
      <c r="AY81" s="77"/>
      <c r="AZ81" s="82" t="s">
        <v>15804</v>
      </c>
      <c r="BA81" s="82" t="s">
        <v>15804</v>
      </c>
      <c r="BB81" s="82" t="s">
        <v>15804</v>
      </c>
      <c r="BC81" s="82" t="s">
        <v>12277</v>
      </c>
      <c r="BD81" s="82" t="s">
        <v>16162</v>
      </c>
      <c r="BE81" s="77"/>
      <c r="BF81" s="77"/>
      <c r="BG81" s="77"/>
      <c r="BH81" s="77"/>
      <c r="BI81" s="77"/>
    </row>
    <row r="82" spans="1:61" x14ac:dyDescent="0.25">
      <c r="A82" s="62" t="s">
        <v>261</v>
      </c>
      <c r="B82" s="62" t="s">
        <v>261</v>
      </c>
      <c r="C82" s="63"/>
      <c r="D82" s="64"/>
      <c r="E82" s="65"/>
      <c r="F82" s="66"/>
      <c r="G82" s="63"/>
      <c r="H82" s="67"/>
      <c r="I82" s="68"/>
      <c r="J82" s="68"/>
      <c r="K82" s="32"/>
      <c r="L82" s="75">
        <v>82</v>
      </c>
      <c r="M82" s="75"/>
      <c r="N82" s="70"/>
      <c r="O82" s="77" t="s">
        <v>179</v>
      </c>
      <c r="P82" s="79">
        <v>45167.88689814815</v>
      </c>
      <c r="Q82" s="77" t="s">
        <v>1215</v>
      </c>
      <c r="R82" s="77">
        <v>0</v>
      </c>
      <c r="S82" s="77">
        <v>0</v>
      </c>
      <c r="T82" s="77">
        <v>0</v>
      </c>
      <c r="U82" s="77">
        <v>0</v>
      </c>
      <c r="V82" s="77">
        <v>23</v>
      </c>
      <c r="W82" s="82" t="s">
        <v>4123</v>
      </c>
      <c r="X82" s="77"/>
      <c r="Y82" s="77"/>
      <c r="Z82" s="77"/>
      <c r="AA82" s="77" t="s">
        <v>6192</v>
      </c>
      <c r="AB82" s="77" t="s">
        <v>7696</v>
      </c>
      <c r="AC82" s="82" t="s">
        <v>7705</v>
      </c>
      <c r="AD82" s="77" t="s">
        <v>7746</v>
      </c>
      <c r="AE82" s="80" t="str">
        <f>HYPERLINK("https://twitter.com/flaviosouza2810/status/1696633105073746360")</f>
        <v>https://twitter.com/flaviosouza2810/status/1696633105073746360</v>
      </c>
      <c r="AF82" s="79">
        <v>45167.88689814815</v>
      </c>
      <c r="AG82" s="85">
        <v>45167</v>
      </c>
      <c r="AH82" s="82" t="s">
        <v>7832</v>
      </c>
      <c r="AI82" s="77" t="b">
        <v>0</v>
      </c>
      <c r="AJ82" s="77"/>
      <c r="AK82" s="77"/>
      <c r="AL82" s="77"/>
      <c r="AM82" s="77"/>
      <c r="AN82" s="77"/>
      <c r="AO82" s="77"/>
      <c r="AP82" s="77"/>
      <c r="AQ82" s="77" t="s">
        <v>10699</v>
      </c>
      <c r="AR82" s="77"/>
      <c r="AS82" s="77"/>
      <c r="AT82" s="77"/>
      <c r="AU82" s="77"/>
      <c r="AV82" s="80" t="str">
        <f>HYPERLINK("https://pbs.twimg.com/media/F4um0K0XkAAMd-M.jpg")</f>
        <v>https://pbs.twimg.com/media/F4um0K0XkAAMd-M.jpg</v>
      </c>
      <c r="AW82" s="82" t="s">
        <v>12278</v>
      </c>
      <c r="AX82" s="82" t="s">
        <v>12278</v>
      </c>
      <c r="AY82" s="77"/>
      <c r="AZ82" s="82" t="s">
        <v>15804</v>
      </c>
      <c r="BA82" s="82" t="s">
        <v>15804</v>
      </c>
      <c r="BB82" s="82" t="s">
        <v>15804</v>
      </c>
      <c r="BC82" s="82" t="s">
        <v>12278</v>
      </c>
      <c r="BD82" s="82" t="s">
        <v>16162</v>
      </c>
      <c r="BE82" s="77"/>
      <c r="BF82" s="77"/>
      <c r="BG82" s="77"/>
      <c r="BH82" s="77"/>
      <c r="BI82" s="77"/>
    </row>
    <row r="83" spans="1:61" x14ac:dyDescent="0.25">
      <c r="A83" s="62" t="s">
        <v>261</v>
      </c>
      <c r="B83" s="62" t="s">
        <v>261</v>
      </c>
      <c r="C83" s="63"/>
      <c r="D83" s="64"/>
      <c r="E83" s="65"/>
      <c r="F83" s="66"/>
      <c r="G83" s="63"/>
      <c r="H83" s="67"/>
      <c r="I83" s="68"/>
      <c r="J83" s="68"/>
      <c r="K83" s="32"/>
      <c r="L83" s="75">
        <v>83</v>
      </c>
      <c r="M83" s="75"/>
      <c r="N83" s="70"/>
      <c r="O83" s="77" t="s">
        <v>179</v>
      </c>
      <c r="P83" s="79">
        <v>45167.396851851852</v>
      </c>
      <c r="Q83" s="77" t="s">
        <v>1216</v>
      </c>
      <c r="R83" s="77">
        <v>0</v>
      </c>
      <c r="S83" s="77">
        <v>0</v>
      </c>
      <c r="T83" s="77">
        <v>0</v>
      </c>
      <c r="U83" s="77">
        <v>0</v>
      </c>
      <c r="V83" s="77">
        <v>21</v>
      </c>
      <c r="W83" s="82" t="s">
        <v>4123</v>
      </c>
      <c r="X83" s="77"/>
      <c r="Y83" s="77"/>
      <c r="Z83" s="77"/>
      <c r="AA83" s="77" t="s">
        <v>6193</v>
      </c>
      <c r="AB83" s="77" t="s">
        <v>7696</v>
      </c>
      <c r="AC83" s="82" t="s">
        <v>7705</v>
      </c>
      <c r="AD83" s="77" t="s">
        <v>7746</v>
      </c>
      <c r="AE83" s="80" t="str">
        <f>HYPERLINK("https://twitter.com/flaviosouza2810/status/1696455518712135880")</f>
        <v>https://twitter.com/flaviosouza2810/status/1696455518712135880</v>
      </c>
      <c r="AF83" s="79">
        <v>45167.396851851852</v>
      </c>
      <c r="AG83" s="85">
        <v>45167</v>
      </c>
      <c r="AH83" s="82" t="s">
        <v>7833</v>
      </c>
      <c r="AI83" s="77" t="b">
        <v>0</v>
      </c>
      <c r="AJ83" s="77"/>
      <c r="AK83" s="77"/>
      <c r="AL83" s="77"/>
      <c r="AM83" s="77"/>
      <c r="AN83" s="77"/>
      <c r="AO83" s="77"/>
      <c r="AP83" s="77"/>
      <c r="AQ83" s="77" t="s">
        <v>10700</v>
      </c>
      <c r="AR83" s="77"/>
      <c r="AS83" s="77"/>
      <c r="AT83" s="77"/>
      <c r="AU83" s="77"/>
      <c r="AV83" s="80" t="str">
        <f>HYPERLINK("https://pbs.twimg.com/media/F4sFTYiWUAAQWjq.jpg")</f>
        <v>https://pbs.twimg.com/media/F4sFTYiWUAAQWjq.jpg</v>
      </c>
      <c r="AW83" s="82" t="s">
        <v>12279</v>
      </c>
      <c r="AX83" s="82" t="s">
        <v>12279</v>
      </c>
      <c r="AY83" s="77"/>
      <c r="AZ83" s="82" t="s">
        <v>15804</v>
      </c>
      <c r="BA83" s="82" t="s">
        <v>15804</v>
      </c>
      <c r="BB83" s="82" t="s">
        <v>15804</v>
      </c>
      <c r="BC83" s="82" t="s">
        <v>12279</v>
      </c>
      <c r="BD83" s="82" t="s">
        <v>16162</v>
      </c>
      <c r="BE83" s="77"/>
      <c r="BF83" s="77"/>
      <c r="BG83" s="77"/>
      <c r="BH83" s="77"/>
      <c r="BI83" s="77"/>
    </row>
    <row r="84" spans="1:61" x14ac:dyDescent="0.25">
      <c r="A84" s="62" t="s">
        <v>261</v>
      </c>
      <c r="B84" s="62" t="s">
        <v>261</v>
      </c>
      <c r="C84" s="63"/>
      <c r="D84" s="64"/>
      <c r="E84" s="65"/>
      <c r="F84" s="66"/>
      <c r="G84" s="63"/>
      <c r="H84" s="67"/>
      <c r="I84" s="68"/>
      <c r="J84" s="68"/>
      <c r="K84" s="32"/>
      <c r="L84" s="75">
        <v>84</v>
      </c>
      <c r="M84" s="75"/>
      <c r="N84" s="70"/>
      <c r="O84" s="77" t="s">
        <v>179</v>
      </c>
      <c r="P84" s="79">
        <v>45167.396562499998</v>
      </c>
      <c r="Q84" s="77" t="s">
        <v>1217</v>
      </c>
      <c r="R84" s="77">
        <v>0</v>
      </c>
      <c r="S84" s="77">
        <v>0</v>
      </c>
      <c r="T84" s="77">
        <v>0</v>
      </c>
      <c r="U84" s="77">
        <v>0</v>
      </c>
      <c r="V84" s="77">
        <v>13</v>
      </c>
      <c r="W84" s="82" t="s">
        <v>4123</v>
      </c>
      <c r="X84" s="77"/>
      <c r="Y84" s="77"/>
      <c r="Z84" s="77"/>
      <c r="AA84" s="77" t="s">
        <v>6194</v>
      </c>
      <c r="AB84" s="77" t="s">
        <v>7696</v>
      </c>
      <c r="AC84" s="82" t="s">
        <v>7705</v>
      </c>
      <c r="AD84" s="77" t="s">
        <v>7746</v>
      </c>
      <c r="AE84" s="80" t="str">
        <f>HYPERLINK("https://twitter.com/flaviosouza2810/status/1696455413376393547")</f>
        <v>https://twitter.com/flaviosouza2810/status/1696455413376393547</v>
      </c>
      <c r="AF84" s="79">
        <v>45167.396562499998</v>
      </c>
      <c r="AG84" s="85">
        <v>45167</v>
      </c>
      <c r="AH84" s="82" t="s">
        <v>7834</v>
      </c>
      <c r="AI84" s="77" t="b">
        <v>0</v>
      </c>
      <c r="AJ84" s="77"/>
      <c r="AK84" s="77"/>
      <c r="AL84" s="77"/>
      <c r="AM84" s="77"/>
      <c r="AN84" s="77"/>
      <c r="AO84" s="77"/>
      <c r="AP84" s="77"/>
      <c r="AQ84" s="77" t="s">
        <v>10701</v>
      </c>
      <c r="AR84" s="77"/>
      <c r="AS84" s="77"/>
      <c r="AT84" s="77"/>
      <c r="AU84" s="77"/>
      <c r="AV84" s="80" t="str">
        <f>HYPERLINK("https://pbs.twimg.com/media/F4sFNQuWAAEX_v2.jpg")</f>
        <v>https://pbs.twimg.com/media/F4sFNQuWAAEX_v2.jpg</v>
      </c>
      <c r="AW84" s="82" t="s">
        <v>12280</v>
      </c>
      <c r="AX84" s="82" t="s">
        <v>12280</v>
      </c>
      <c r="AY84" s="77"/>
      <c r="AZ84" s="82" t="s">
        <v>15804</v>
      </c>
      <c r="BA84" s="82" t="s">
        <v>15804</v>
      </c>
      <c r="BB84" s="82" t="s">
        <v>15804</v>
      </c>
      <c r="BC84" s="82" t="s">
        <v>12280</v>
      </c>
      <c r="BD84" s="82" t="s">
        <v>16162</v>
      </c>
      <c r="BE84" s="77"/>
      <c r="BF84" s="77"/>
      <c r="BG84" s="77"/>
      <c r="BH84" s="77"/>
      <c r="BI84" s="77"/>
    </row>
    <row r="85" spans="1:61" x14ac:dyDescent="0.25">
      <c r="A85" s="62" t="s">
        <v>261</v>
      </c>
      <c r="B85" s="62" t="s">
        <v>261</v>
      </c>
      <c r="C85" s="63"/>
      <c r="D85" s="64"/>
      <c r="E85" s="65"/>
      <c r="F85" s="66"/>
      <c r="G85" s="63"/>
      <c r="H85" s="67"/>
      <c r="I85" s="68"/>
      <c r="J85" s="68"/>
      <c r="K85" s="32"/>
      <c r="L85" s="75">
        <v>85</v>
      </c>
      <c r="M85" s="75"/>
      <c r="N85" s="70"/>
      <c r="O85" s="77" t="s">
        <v>179</v>
      </c>
      <c r="P85" s="79">
        <v>45166.872986111113</v>
      </c>
      <c r="Q85" s="77" t="s">
        <v>1218</v>
      </c>
      <c r="R85" s="77">
        <v>0</v>
      </c>
      <c r="S85" s="77">
        <v>0</v>
      </c>
      <c r="T85" s="77">
        <v>0</v>
      </c>
      <c r="U85" s="77">
        <v>0</v>
      </c>
      <c r="V85" s="77">
        <v>10</v>
      </c>
      <c r="W85" s="82" t="s">
        <v>4124</v>
      </c>
      <c r="X85" s="77"/>
      <c r="Y85" s="77"/>
      <c r="Z85" s="77"/>
      <c r="AA85" s="77" t="s">
        <v>6195</v>
      </c>
      <c r="AB85" s="77" t="s">
        <v>7696</v>
      </c>
      <c r="AC85" s="82" t="s">
        <v>7705</v>
      </c>
      <c r="AD85" s="77" t="s">
        <v>7746</v>
      </c>
      <c r="AE85" s="80" t="str">
        <f>HYPERLINK("https://twitter.com/flaviosouza2810/status/1696265672328937961")</f>
        <v>https://twitter.com/flaviosouza2810/status/1696265672328937961</v>
      </c>
      <c r="AF85" s="79">
        <v>45166.872986111113</v>
      </c>
      <c r="AG85" s="85">
        <v>45166</v>
      </c>
      <c r="AH85" s="82" t="s">
        <v>7835</v>
      </c>
      <c r="AI85" s="77" t="b">
        <v>0</v>
      </c>
      <c r="AJ85" s="77"/>
      <c r="AK85" s="77"/>
      <c r="AL85" s="77"/>
      <c r="AM85" s="77"/>
      <c r="AN85" s="77"/>
      <c r="AO85" s="77"/>
      <c r="AP85" s="77"/>
      <c r="AQ85" s="77" t="s">
        <v>10702</v>
      </c>
      <c r="AR85" s="77"/>
      <c r="AS85" s="77"/>
      <c r="AT85" s="77"/>
      <c r="AU85" s="77"/>
      <c r="AV85" s="80" t="str">
        <f>HYPERLINK("https://pbs.twimg.com/media/F4pYo0tXkAAxQ0A.jpg")</f>
        <v>https://pbs.twimg.com/media/F4pYo0tXkAAxQ0A.jpg</v>
      </c>
      <c r="AW85" s="82" t="s">
        <v>12281</v>
      </c>
      <c r="AX85" s="82" t="s">
        <v>12281</v>
      </c>
      <c r="AY85" s="77"/>
      <c r="AZ85" s="82" t="s">
        <v>15804</v>
      </c>
      <c r="BA85" s="82" t="s">
        <v>15804</v>
      </c>
      <c r="BB85" s="82" t="s">
        <v>15804</v>
      </c>
      <c r="BC85" s="82" t="s">
        <v>12281</v>
      </c>
      <c r="BD85" s="82" t="s">
        <v>16162</v>
      </c>
      <c r="BE85" s="77"/>
      <c r="BF85" s="77"/>
      <c r="BG85" s="77"/>
      <c r="BH85" s="77"/>
      <c r="BI85" s="77"/>
    </row>
    <row r="86" spans="1:61" x14ac:dyDescent="0.25">
      <c r="A86" s="62" t="s">
        <v>261</v>
      </c>
      <c r="B86" s="62" t="s">
        <v>261</v>
      </c>
      <c r="C86" s="63"/>
      <c r="D86" s="64"/>
      <c r="E86" s="65"/>
      <c r="F86" s="66"/>
      <c r="G86" s="63"/>
      <c r="H86" s="67"/>
      <c r="I86" s="68"/>
      <c r="J86" s="68"/>
      <c r="K86" s="32"/>
      <c r="L86" s="75">
        <v>86</v>
      </c>
      <c r="M86" s="75"/>
      <c r="N86" s="70"/>
      <c r="O86" s="77" t="s">
        <v>179</v>
      </c>
      <c r="P86" s="79">
        <v>45166.440081018518</v>
      </c>
      <c r="Q86" s="77" t="s">
        <v>1219</v>
      </c>
      <c r="R86" s="77">
        <v>0</v>
      </c>
      <c r="S86" s="77">
        <v>0</v>
      </c>
      <c r="T86" s="77">
        <v>0</v>
      </c>
      <c r="U86" s="77">
        <v>0</v>
      </c>
      <c r="V86" s="77">
        <v>11</v>
      </c>
      <c r="W86" s="82" t="s">
        <v>4123</v>
      </c>
      <c r="X86" s="77"/>
      <c r="Y86" s="77"/>
      <c r="Z86" s="77"/>
      <c r="AA86" s="77" t="s">
        <v>6196</v>
      </c>
      <c r="AB86" s="77" t="s">
        <v>7696</v>
      </c>
      <c r="AC86" s="82" t="s">
        <v>7705</v>
      </c>
      <c r="AD86" s="77" t="s">
        <v>7746</v>
      </c>
      <c r="AE86" s="80" t="str">
        <f>HYPERLINK("https://twitter.com/flaviosouza2810/status/1696108794692956364")</f>
        <v>https://twitter.com/flaviosouza2810/status/1696108794692956364</v>
      </c>
      <c r="AF86" s="79">
        <v>45166.440081018518</v>
      </c>
      <c r="AG86" s="85">
        <v>45166</v>
      </c>
      <c r="AH86" s="82" t="s">
        <v>7836</v>
      </c>
      <c r="AI86" s="77" t="b">
        <v>0</v>
      </c>
      <c r="AJ86" s="77"/>
      <c r="AK86" s="77"/>
      <c r="AL86" s="77"/>
      <c r="AM86" s="77"/>
      <c r="AN86" s="77"/>
      <c r="AO86" s="77"/>
      <c r="AP86" s="77"/>
      <c r="AQ86" s="77" t="s">
        <v>10703</v>
      </c>
      <c r="AR86" s="77"/>
      <c r="AS86" s="77"/>
      <c r="AT86" s="77"/>
      <c r="AU86" s="77"/>
      <c r="AV86" s="80" t="str">
        <f>HYPERLINK("https://pbs.twimg.com/media/F4nJ9WJXcAA3_QG.jpg")</f>
        <v>https://pbs.twimg.com/media/F4nJ9WJXcAA3_QG.jpg</v>
      </c>
      <c r="AW86" s="82" t="s">
        <v>12282</v>
      </c>
      <c r="AX86" s="82" t="s">
        <v>12282</v>
      </c>
      <c r="AY86" s="77"/>
      <c r="AZ86" s="82" t="s">
        <v>15804</v>
      </c>
      <c r="BA86" s="82" t="s">
        <v>15804</v>
      </c>
      <c r="BB86" s="82" t="s">
        <v>15804</v>
      </c>
      <c r="BC86" s="82" t="s">
        <v>12282</v>
      </c>
      <c r="BD86" s="82" t="s">
        <v>16162</v>
      </c>
      <c r="BE86" s="77"/>
      <c r="BF86" s="77"/>
      <c r="BG86" s="77"/>
      <c r="BH86" s="77"/>
      <c r="BI86" s="77"/>
    </row>
    <row r="87" spans="1:61" x14ac:dyDescent="0.25">
      <c r="A87" s="62" t="s">
        <v>261</v>
      </c>
      <c r="B87" s="62" t="s">
        <v>261</v>
      </c>
      <c r="C87" s="63"/>
      <c r="D87" s="64"/>
      <c r="E87" s="65"/>
      <c r="F87" s="66"/>
      <c r="G87" s="63"/>
      <c r="H87" s="67"/>
      <c r="I87" s="68"/>
      <c r="J87" s="68"/>
      <c r="K87" s="32"/>
      <c r="L87" s="75">
        <v>87</v>
      </c>
      <c r="M87" s="75"/>
      <c r="N87" s="70"/>
      <c r="O87" s="77" t="s">
        <v>179</v>
      </c>
      <c r="P87" s="79">
        <v>45159.890752314815</v>
      </c>
      <c r="Q87" s="77" t="s">
        <v>1220</v>
      </c>
      <c r="R87" s="77">
        <v>0</v>
      </c>
      <c r="S87" s="77">
        <v>0</v>
      </c>
      <c r="T87" s="77">
        <v>0</v>
      </c>
      <c r="U87" s="77">
        <v>0</v>
      </c>
      <c r="V87" s="77">
        <v>5</v>
      </c>
      <c r="W87" s="82" t="s">
        <v>4124</v>
      </c>
      <c r="X87" s="77"/>
      <c r="Y87" s="77"/>
      <c r="Z87" s="77"/>
      <c r="AA87" s="77" t="s">
        <v>6197</v>
      </c>
      <c r="AB87" s="77" t="s">
        <v>7696</v>
      </c>
      <c r="AC87" s="82" t="s">
        <v>7705</v>
      </c>
      <c r="AD87" s="77" t="s">
        <v>7746</v>
      </c>
      <c r="AE87" s="80" t="str">
        <f>HYPERLINK("https://twitter.com/flaviosouza2810/status/1693735396432114120")</f>
        <v>https://twitter.com/flaviosouza2810/status/1693735396432114120</v>
      </c>
      <c r="AF87" s="79">
        <v>45159.890752314815</v>
      </c>
      <c r="AG87" s="85">
        <v>45159</v>
      </c>
      <c r="AH87" s="82" t="s">
        <v>7837</v>
      </c>
      <c r="AI87" s="77" t="b">
        <v>0</v>
      </c>
      <c r="AJ87" s="77"/>
      <c r="AK87" s="77"/>
      <c r="AL87" s="77"/>
      <c r="AM87" s="77"/>
      <c r="AN87" s="77"/>
      <c r="AO87" s="77"/>
      <c r="AP87" s="77"/>
      <c r="AQ87" s="77" t="s">
        <v>10704</v>
      </c>
      <c r="AR87" s="77"/>
      <c r="AS87" s="77"/>
      <c r="AT87" s="77"/>
      <c r="AU87" s="77"/>
      <c r="AV87" s="80" t="str">
        <f>HYPERLINK("https://pbs.twimg.com/media/F4FbXPHWIAADWT-.jpg")</f>
        <v>https://pbs.twimg.com/media/F4FbXPHWIAADWT-.jpg</v>
      </c>
      <c r="AW87" s="82" t="s">
        <v>12283</v>
      </c>
      <c r="AX87" s="82" t="s">
        <v>12283</v>
      </c>
      <c r="AY87" s="77"/>
      <c r="AZ87" s="82" t="s">
        <v>15804</v>
      </c>
      <c r="BA87" s="82" t="s">
        <v>15804</v>
      </c>
      <c r="BB87" s="82" t="s">
        <v>15804</v>
      </c>
      <c r="BC87" s="82" t="s">
        <v>12283</v>
      </c>
      <c r="BD87" s="82" t="s">
        <v>16162</v>
      </c>
      <c r="BE87" s="77"/>
      <c r="BF87" s="77"/>
      <c r="BG87" s="77"/>
      <c r="BH87" s="77"/>
      <c r="BI87" s="77"/>
    </row>
    <row r="88" spans="1:61" x14ac:dyDescent="0.25">
      <c r="A88" s="62" t="s">
        <v>261</v>
      </c>
      <c r="B88" s="62" t="s">
        <v>261</v>
      </c>
      <c r="C88" s="63"/>
      <c r="D88" s="64"/>
      <c r="E88" s="65"/>
      <c r="F88" s="66"/>
      <c r="G88" s="63"/>
      <c r="H88" s="67"/>
      <c r="I88" s="68"/>
      <c r="J88" s="68"/>
      <c r="K88" s="32"/>
      <c r="L88" s="75">
        <v>88</v>
      </c>
      <c r="M88" s="75"/>
      <c r="N88" s="70"/>
      <c r="O88" s="77" t="s">
        <v>179</v>
      </c>
      <c r="P88" s="79">
        <v>45157.502314814818</v>
      </c>
      <c r="Q88" s="77" t="s">
        <v>1221</v>
      </c>
      <c r="R88" s="77">
        <v>0</v>
      </c>
      <c r="S88" s="77">
        <v>0</v>
      </c>
      <c r="T88" s="77">
        <v>0</v>
      </c>
      <c r="U88" s="77">
        <v>0</v>
      </c>
      <c r="V88" s="77">
        <v>10</v>
      </c>
      <c r="W88" s="82" t="s">
        <v>4123</v>
      </c>
      <c r="X88" s="77"/>
      <c r="Y88" s="77"/>
      <c r="Z88" s="77"/>
      <c r="AA88" s="77" t="s">
        <v>6198</v>
      </c>
      <c r="AB88" s="77" t="s">
        <v>7696</v>
      </c>
      <c r="AC88" s="82" t="s">
        <v>7705</v>
      </c>
      <c r="AD88" s="77" t="s">
        <v>7746</v>
      </c>
      <c r="AE88" s="80" t="str">
        <f>HYPERLINK("https://twitter.com/flaviosouza2810/status/1692869855714619858")</f>
        <v>https://twitter.com/flaviosouza2810/status/1692869855714619858</v>
      </c>
      <c r="AF88" s="79">
        <v>45157.502314814818</v>
      </c>
      <c r="AG88" s="85">
        <v>45157</v>
      </c>
      <c r="AH88" s="82" t="s">
        <v>7838</v>
      </c>
      <c r="AI88" s="77" t="b">
        <v>0</v>
      </c>
      <c r="AJ88" s="77"/>
      <c r="AK88" s="77"/>
      <c r="AL88" s="77"/>
      <c r="AM88" s="77"/>
      <c r="AN88" s="77"/>
      <c r="AO88" s="77"/>
      <c r="AP88" s="77"/>
      <c r="AQ88" s="77" t="s">
        <v>10705</v>
      </c>
      <c r="AR88" s="77"/>
      <c r="AS88" s="77"/>
      <c r="AT88" s="77"/>
      <c r="AU88" s="77"/>
      <c r="AV88" s="80" t="str">
        <f>HYPERLINK("https://pbs.twimg.com/media/F35IKKTXgAAuDpi.jpg")</f>
        <v>https://pbs.twimg.com/media/F35IKKTXgAAuDpi.jpg</v>
      </c>
      <c r="AW88" s="82" t="s">
        <v>12284</v>
      </c>
      <c r="AX88" s="82" t="s">
        <v>12284</v>
      </c>
      <c r="AY88" s="77"/>
      <c r="AZ88" s="82" t="s">
        <v>15804</v>
      </c>
      <c r="BA88" s="82" t="s">
        <v>15804</v>
      </c>
      <c r="BB88" s="82" t="s">
        <v>15804</v>
      </c>
      <c r="BC88" s="82" t="s">
        <v>12284</v>
      </c>
      <c r="BD88" s="82" t="s">
        <v>16162</v>
      </c>
      <c r="BE88" s="77"/>
      <c r="BF88" s="77"/>
      <c r="BG88" s="77"/>
      <c r="BH88" s="77"/>
      <c r="BI88" s="77"/>
    </row>
    <row r="89" spans="1:61" x14ac:dyDescent="0.25">
      <c r="A89" s="62" t="s">
        <v>261</v>
      </c>
      <c r="B89" s="62" t="s">
        <v>261</v>
      </c>
      <c r="C89" s="63"/>
      <c r="D89" s="64"/>
      <c r="E89" s="65"/>
      <c r="F89" s="66"/>
      <c r="G89" s="63"/>
      <c r="H89" s="67"/>
      <c r="I89" s="68"/>
      <c r="J89" s="68"/>
      <c r="K89" s="32"/>
      <c r="L89" s="75">
        <v>89</v>
      </c>
      <c r="M89" s="75"/>
      <c r="N89" s="70"/>
      <c r="O89" s="77" t="s">
        <v>179</v>
      </c>
      <c r="P89" s="79">
        <v>45156.893043981479</v>
      </c>
      <c r="Q89" s="77" t="s">
        <v>1222</v>
      </c>
      <c r="R89" s="77">
        <v>0</v>
      </c>
      <c r="S89" s="77">
        <v>0</v>
      </c>
      <c r="T89" s="77">
        <v>0</v>
      </c>
      <c r="U89" s="77">
        <v>0</v>
      </c>
      <c r="V89" s="77">
        <v>5</v>
      </c>
      <c r="W89" s="82" t="s">
        <v>4123</v>
      </c>
      <c r="X89" s="77"/>
      <c r="Y89" s="77"/>
      <c r="Z89" s="77"/>
      <c r="AA89" s="77" t="s">
        <v>6199</v>
      </c>
      <c r="AB89" s="77" t="s">
        <v>7696</v>
      </c>
      <c r="AC89" s="82" t="s">
        <v>7705</v>
      </c>
      <c r="AD89" s="77" t="s">
        <v>7746</v>
      </c>
      <c r="AE89" s="80" t="str">
        <f>HYPERLINK("https://twitter.com/flaviosouza2810/status/1692649062682546555")</f>
        <v>https://twitter.com/flaviosouza2810/status/1692649062682546555</v>
      </c>
      <c r="AF89" s="79">
        <v>45156.893043981479</v>
      </c>
      <c r="AG89" s="85">
        <v>45156</v>
      </c>
      <c r="AH89" s="82" t="s">
        <v>7839</v>
      </c>
      <c r="AI89" s="77" t="b">
        <v>0</v>
      </c>
      <c r="AJ89" s="77"/>
      <c r="AK89" s="77"/>
      <c r="AL89" s="77"/>
      <c r="AM89" s="77"/>
      <c r="AN89" s="77"/>
      <c r="AO89" s="77"/>
      <c r="AP89" s="77"/>
      <c r="AQ89" s="77" t="s">
        <v>10706</v>
      </c>
      <c r="AR89" s="77"/>
      <c r="AS89" s="77"/>
      <c r="AT89" s="77"/>
      <c r="AU89" s="77"/>
      <c r="AV89" s="80" t="str">
        <f>HYPERLINK("https://pbs.twimg.com/media/F31_WWRXsAAiB4k.jpg")</f>
        <v>https://pbs.twimg.com/media/F31_WWRXsAAiB4k.jpg</v>
      </c>
      <c r="AW89" s="82" t="s">
        <v>12285</v>
      </c>
      <c r="AX89" s="82" t="s">
        <v>12285</v>
      </c>
      <c r="AY89" s="77"/>
      <c r="AZ89" s="82" t="s">
        <v>15804</v>
      </c>
      <c r="BA89" s="82" t="s">
        <v>15804</v>
      </c>
      <c r="BB89" s="82" t="s">
        <v>15804</v>
      </c>
      <c r="BC89" s="82" t="s">
        <v>12285</v>
      </c>
      <c r="BD89" s="82" t="s">
        <v>16162</v>
      </c>
      <c r="BE89" s="77"/>
      <c r="BF89" s="77"/>
      <c r="BG89" s="77"/>
      <c r="BH89" s="77"/>
      <c r="BI89" s="77"/>
    </row>
    <row r="90" spans="1:61" x14ac:dyDescent="0.25">
      <c r="A90" s="62" t="s">
        <v>261</v>
      </c>
      <c r="B90" s="62" t="s">
        <v>261</v>
      </c>
      <c r="C90" s="63"/>
      <c r="D90" s="64"/>
      <c r="E90" s="65"/>
      <c r="F90" s="66"/>
      <c r="G90" s="63"/>
      <c r="H90" s="67"/>
      <c r="I90" s="68"/>
      <c r="J90" s="68"/>
      <c r="K90" s="32"/>
      <c r="L90" s="75">
        <v>90</v>
      </c>
      <c r="M90" s="75"/>
      <c r="N90" s="70"/>
      <c r="O90" s="77" t="s">
        <v>179</v>
      </c>
      <c r="P90" s="79">
        <v>45156.425069444442</v>
      </c>
      <c r="Q90" s="77" t="s">
        <v>1223</v>
      </c>
      <c r="R90" s="77">
        <v>0</v>
      </c>
      <c r="S90" s="77">
        <v>0</v>
      </c>
      <c r="T90" s="77">
        <v>0</v>
      </c>
      <c r="U90" s="77">
        <v>0</v>
      </c>
      <c r="V90" s="77">
        <v>6</v>
      </c>
      <c r="W90" s="82" t="s">
        <v>4123</v>
      </c>
      <c r="X90" s="77"/>
      <c r="Y90" s="77"/>
      <c r="Z90" s="77"/>
      <c r="AA90" s="77" t="s">
        <v>6200</v>
      </c>
      <c r="AB90" s="77" t="s">
        <v>7696</v>
      </c>
      <c r="AC90" s="82" t="s">
        <v>7705</v>
      </c>
      <c r="AD90" s="77" t="s">
        <v>7746</v>
      </c>
      <c r="AE90" s="80" t="str">
        <f>HYPERLINK("https://twitter.com/flaviosouza2810/status/1692479475332608028")</f>
        <v>https://twitter.com/flaviosouza2810/status/1692479475332608028</v>
      </c>
      <c r="AF90" s="79">
        <v>45156.425069444442</v>
      </c>
      <c r="AG90" s="85">
        <v>45156</v>
      </c>
      <c r="AH90" s="82" t="s">
        <v>7840</v>
      </c>
      <c r="AI90" s="77" t="b">
        <v>0</v>
      </c>
      <c r="AJ90" s="77"/>
      <c r="AK90" s="77"/>
      <c r="AL90" s="77"/>
      <c r="AM90" s="77"/>
      <c r="AN90" s="77"/>
      <c r="AO90" s="77"/>
      <c r="AP90" s="77"/>
      <c r="AQ90" s="77" t="s">
        <v>10707</v>
      </c>
      <c r="AR90" s="77"/>
      <c r="AS90" s="77"/>
      <c r="AT90" s="77"/>
      <c r="AU90" s="77"/>
      <c r="AV90" s="80" t="str">
        <f>HYPERLINK("https://pbs.twimg.com/media/F3zlHHDXAAAxZTy.jpg")</f>
        <v>https://pbs.twimg.com/media/F3zlHHDXAAAxZTy.jpg</v>
      </c>
      <c r="AW90" s="82" t="s">
        <v>12286</v>
      </c>
      <c r="AX90" s="82" t="s">
        <v>12286</v>
      </c>
      <c r="AY90" s="77"/>
      <c r="AZ90" s="82" t="s">
        <v>15804</v>
      </c>
      <c r="BA90" s="82" t="s">
        <v>15804</v>
      </c>
      <c r="BB90" s="82" t="s">
        <v>15804</v>
      </c>
      <c r="BC90" s="82" t="s">
        <v>12286</v>
      </c>
      <c r="BD90" s="82" t="s">
        <v>16162</v>
      </c>
      <c r="BE90" s="77"/>
      <c r="BF90" s="77"/>
      <c r="BG90" s="77"/>
      <c r="BH90" s="77"/>
      <c r="BI90" s="77"/>
    </row>
    <row r="91" spans="1:61" x14ac:dyDescent="0.25">
      <c r="A91" s="62" t="s">
        <v>261</v>
      </c>
      <c r="B91" s="62" t="s">
        <v>261</v>
      </c>
      <c r="C91" s="63"/>
      <c r="D91" s="64"/>
      <c r="E91" s="65"/>
      <c r="F91" s="66"/>
      <c r="G91" s="63"/>
      <c r="H91" s="67"/>
      <c r="I91" s="68"/>
      <c r="J91" s="68"/>
      <c r="K91" s="32"/>
      <c r="L91" s="75">
        <v>91</v>
      </c>
      <c r="M91" s="75"/>
      <c r="N91" s="70"/>
      <c r="O91" s="77" t="s">
        <v>179</v>
      </c>
      <c r="P91" s="79">
        <v>45156.424803240741</v>
      </c>
      <c r="Q91" s="77" t="s">
        <v>1224</v>
      </c>
      <c r="R91" s="77">
        <v>0</v>
      </c>
      <c r="S91" s="77">
        <v>0</v>
      </c>
      <c r="T91" s="77">
        <v>0</v>
      </c>
      <c r="U91" s="77">
        <v>0</v>
      </c>
      <c r="V91" s="77">
        <v>5</v>
      </c>
      <c r="W91" s="82" t="s">
        <v>4123</v>
      </c>
      <c r="X91" s="77"/>
      <c r="Y91" s="77"/>
      <c r="Z91" s="77"/>
      <c r="AA91" s="77" t="s">
        <v>6201</v>
      </c>
      <c r="AB91" s="77" t="s">
        <v>7696</v>
      </c>
      <c r="AC91" s="82" t="s">
        <v>7705</v>
      </c>
      <c r="AD91" s="77" t="s">
        <v>7746</v>
      </c>
      <c r="AE91" s="80" t="str">
        <f>HYPERLINK("https://twitter.com/flaviosouza2810/status/1692479378892939303")</f>
        <v>https://twitter.com/flaviosouza2810/status/1692479378892939303</v>
      </c>
      <c r="AF91" s="79">
        <v>45156.424803240741</v>
      </c>
      <c r="AG91" s="85">
        <v>45156</v>
      </c>
      <c r="AH91" s="82" t="s">
        <v>7841</v>
      </c>
      <c r="AI91" s="77" t="b">
        <v>0</v>
      </c>
      <c r="AJ91" s="77"/>
      <c r="AK91" s="77"/>
      <c r="AL91" s="77"/>
      <c r="AM91" s="77"/>
      <c r="AN91" s="77"/>
      <c r="AO91" s="77"/>
      <c r="AP91" s="77"/>
      <c r="AQ91" s="77" t="s">
        <v>10708</v>
      </c>
      <c r="AR91" s="77"/>
      <c r="AS91" s="77"/>
      <c r="AT91" s="77"/>
      <c r="AU91" s="77"/>
      <c r="AV91" s="80" t="str">
        <f>HYPERLINK("https://pbs.twimg.com/media/F3zlBdlWMAELvs6.jpg")</f>
        <v>https://pbs.twimg.com/media/F3zlBdlWMAELvs6.jpg</v>
      </c>
      <c r="AW91" s="82" t="s">
        <v>12287</v>
      </c>
      <c r="AX91" s="82" t="s">
        <v>12287</v>
      </c>
      <c r="AY91" s="77"/>
      <c r="AZ91" s="82" t="s">
        <v>15804</v>
      </c>
      <c r="BA91" s="82" t="s">
        <v>15804</v>
      </c>
      <c r="BB91" s="82" t="s">
        <v>15804</v>
      </c>
      <c r="BC91" s="82" t="s">
        <v>12287</v>
      </c>
      <c r="BD91" s="82" t="s">
        <v>16162</v>
      </c>
      <c r="BE91" s="77"/>
      <c r="BF91" s="77"/>
      <c r="BG91" s="77"/>
      <c r="BH91" s="77"/>
      <c r="BI91" s="77"/>
    </row>
    <row r="92" spans="1:61" x14ac:dyDescent="0.25">
      <c r="A92" s="62" t="s">
        <v>261</v>
      </c>
      <c r="B92" s="62" t="s">
        <v>261</v>
      </c>
      <c r="C92" s="63"/>
      <c r="D92" s="64"/>
      <c r="E92" s="65"/>
      <c r="F92" s="66"/>
      <c r="G92" s="63"/>
      <c r="H92" s="67"/>
      <c r="I92" s="68"/>
      <c r="J92" s="68"/>
      <c r="K92" s="32"/>
      <c r="L92" s="75">
        <v>92</v>
      </c>
      <c r="M92" s="75"/>
      <c r="N92" s="70"/>
      <c r="O92" s="77" t="s">
        <v>179</v>
      </c>
      <c r="P92" s="79">
        <v>45152.481458333335</v>
      </c>
      <c r="Q92" s="77" t="s">
        <v>1225</v>
      </c>
      <c r="R92" s="77">
        <v>0</v>
      </c>
      <c r="S92" s="77">
        <v>0</v>
      </c>
      <c r="T92" s="77">
        <v>0</v>
      </c>
      <c r="U92" s="77">
        <v>0</v>
      </c>
      <c r="V92" s="77">
        <v>4</v>
      </c>
      <c r="W92" s="82" t="s">
        <v>4124</v>
      </c>
      <c r="X92" s="77"/>
      <c r="Y92" s="77"/>
      <c r="Z92" s="77"/>
      <c r="AA92" s="77" t="s">
        <v>6202</v>
      </c>
      <c r="AB92" s="77" t="s">
        <v>7696</v>
      </c>
      <c r="AC92" s="82" t="s">
        <v>7705</v>
      </c>
      <c r="AD92" s="77" t="s">
        <v>7746</v>
      </c>
      <c r="AE92" s="80" t="str">
        <f>HYPERLINK("https://twitter.com/flaviosouza2810/status/1691050360851324929")</f>
        <v>https://twitter.com/flaviosouza2810/status/1691050360851324929</v>
      </c>
      <c r="AF92" s="79">
        <v>45152.481458333335</v>
      </c>
      <c r="AG92" s="85">
        <v>45152</v>
      </c>
      <c r="AH92" s="82" t="s">
        <v>7842</v>
      </c>
      <c r="AI92" s="77" t="b">
        <v>0</v>
      </c>
      <c r="AJ92" s="77"/>
      <c r="AK92" s="77"/>
      <c r="AL92" s="77"/>
      <c r="AM92" s="77"/>
      <c r="AN92" s="77"/>
      <c r="AO92" s="77"/>
      <c r="AP92" s="77"/>
      <c r="AQ92" s="77" t="s">
        <v>10709</v>
      </c>
      <c r="AR92" s="77"/>
      <c r="AS92" s="77"/>
      <c r="AT92" s="77"/>
      <c r="AU92" s="77"/>
      <c r="AV92" s="80" t="str">
        <f>HYPERLINK("https://pbs.twimg.com/media/F3fRVxJXwAA7kZJ.jpg")</f>
        <v>https://pbs.twimg.com/media/F3fRVxJXwAA7kZJ.jpg</v>
      </c>
      <c r="AW92" s="82" t="s">
        <v>12288</v>
      </c>
      <c r="AX92" s="82" t="s">
        <v>12288</v>
      </c>
      <c r="AY92" s="77"/>
      <c r="AZ92" s="82" t="s">
        <v>15804</v>
      </c>
      <c r="BA92" s="82" t="s">
        <v>15804</v>
      </c>
      <c r="BB92" s="82" t="s">
        <v>15804</v>
      </c>
      <c r="BC92" s="82" t="s">
        <v>12288</v>
      </c>
      <c r="BD92" s="82" t="s">
        <v>16162</v>
      </c>
      <c r="BE92" s="77"/>
      <c r="BF92" s="77"/>
      <c r="BG92" s="77"/>
      <c r="BH92" s="77"/>
      <c r="BI92" s="77"/>
    </row>
    <row r="93" spans="1:61" x14ac:dyDescent="0.25">
      <c r="A93" s="62" t="s">
        <v>261</v>
      </c>
      <c r="B93" s="62" t="s">
        <v>261</v>
      </c>
      <c r="C93" s="63"/>
      <c r="D93" s="64"/>
      <c r="E93" s="65"/>
      <c r="F93" s="66"/>
      <c r="G93" s="63"/>
      <c r="H93" s="67"/>
      <c r="I93" s="68"/>
      <c r="J93" s="68"/>
      <c r="K93" s="32"/>
      <c r="L93" s="75">
        <v>93</v>
      </c>
      <c r="M93" s="75"/>
      <c r="N93" s="70"/>
      <c r="O93" s="77" t="s">
        <v>179</v>
      </c>
      <c r="P93" s="79">
        <v>45169.903425925928</v>
      </c>
      <c r="Q93" s="77" t="s">
        <v>1226</v>
      </c>
      <c r="R93" s="77">
        <v>0</v>
      </c>
      <c r="S93" s="77">
        <v>0</v>
      </c>
      <c r="T93" s="77">
        <v>0</v>
      </c>
      <c r="U93" s="77">
        <v>0</v>
      </c>
      <c r="V93" s="77">
        <v>19</v>
      </c>
      <c r="W93" s="82" t="s">
        <v>4123</v>
      </c>
      <c r="X93" s="77"/>
      <c r="Y93" s="77"/>
      <c r="Z93" s="77"/>
      <c r="AA93" s="77" t="s">
        <v>6203</v>
      </c>
      <c r="AB93" s="77" t="s">
        <v>7696</v>
      </c>
      <c r="AC93" s="82" t="s">
        <v>7705</v>
      </c>
      <c r="AD93" s="77" t="s">
        <v>7746</v>
      </c>
      <c r="AE93" s="80" t="str">
        <f>HYPERLINK("https://twitter.com/flaviosouza2810/status/1697363867465081340")</f>
        <v>https://twitter.com/flaviosouza2810/status/1697363867465081340</v>
      </c>
      <c r="AF93" s="79">
        <v>45169.903425925928</v>
      </c>
      <c r="AG93" s="85">
        <v>45169</v>
      </c>
      <c r="AH93" s="82" t="s">
        <v>7843</v>
      </c>
      <c r="AI93" s="77" t="b">
        <v>0</v>
      </c>
      <c r="AJ93" s="77"/>
      <c r="AK93" s="77"/>
      <c r="AL93" s="77"/>
      <c r="AM93" s="77"/>
      <c r="AN93" s="77"/>
      <c r="AO93" s="77"/>
      <c r="AP93" s="77"/>
      <c r="AQ93" s="77" t="s">
        <v>10710</v>
      </c>
      <c r="AR93" s="77"/>
      <c r="AS93" s="77"/>
      <c r="AT93" s="77"/>
      <c r="AU93" s="77"/>
      <c r="AV93" s="80" t="str">
        <f>HYPERLINK("https://pbs.twimg.com/media/F44_cFRXUAAVxvM.jpg")</f>
        <v>https://pbs.twimg.com/media/F44_cFRXUAAVxvM.jpg</v>
      </c>
      <c r="AW93" s="82" t="s">
        <v>12289</v>
      </c>
      <c r="AX93" s="82" t="s">
        <v>12289</v>
      </c>
      <c r="AY93" s="77"/>
      <c r="AZ93" s="82" t="s">
        <v>15804</v>
      </c>
      <c r="BA93" s="82" t="s">
        <v>15804</v>
      </c>
      <c r="BB93" s="82" t="s">
        <v>15804</v>
      </c>
      <c r="BC93" s="82" t="s">
        <v>12289</v>
      </c>
      <c r="BD93" s="82" t="s">
        <v>16162</v>
      </c>
      <c r="BE93" s="77"/>
      <c r="BF93" s="77"/>
      <c r="BG93" s="77"/>
      <c r="BH93" s="77"/>
      <c r="BI93" s="77"/>
    </row>
    <row r="94" spans="1:61" x14ac:dyDescent="0.25">
      <c r="A94" s="62" t="s">
        <v>261</v>
      </c>
      <c r="B94" s="62" t="s">
        <v>261</v>
      </c>
      <c r="C94" s="63"/>
      <c r="D94" s="64"/>
      <c r="E94" s="65"/>
      <c r="F94" s="66"/>
      <c r="G94" s="63"/>
      <c r="H94" s="67"/>
      <c r="I94" s="68"/>
      <c r="J94" s="68"/>
      <c r="K94" s="32"/>
      <c r="L94" s="75">
        <v>94</v>
      </c>
      <c r="M94" s="75"/>
      <c r="N94" s="70"/>
      <c r="O94" s="77" t="s">
        <v>179</v>
      </c>
      <c r="P94" s="79">
        <v>45169.408680555556</v>
      </c>
      <c r="Q94" s="77" t="s">
        <v>1227</v>
      </c>
      <c r="R94" s="77">
        <v>0</v>
      </c>
      <c r="S94" s="77">
        <v>0</v>
      </c>
      <c r="T94" s="77">
        <v>0</v>
      </c>
      <c r="U94" s="77">
        <v>0</v>
      </c>
      <c r="V94" s="77">
        <v>14</v>
      </c>
      <c r="W94" s="82" t="s">
        <v>4123</v>
      </c>
      <c r="X94" s="77"/>
      <c r="Y94" s="77"/>
      <c r="Z94" s="77"/>
      <c r="AA94" s="77" t="s">
        <v>6204</v>
      </c>
      <c r="AB94" s="77" t="s">
        <v>7696</v>
      </c>
      <c r="AC94" s="82" t="s">
        <v>7705</v>
      </c>
      <c r="AD94" s="77" t="s">
        <v>7746</v>
      </c>
      <c r="AE94" s="80" t="str">
        <f>HYPERLINK("https://twitter.com/flaviosouza2810/status/1697184579184930870")</f>
        <v>https://twitter.com/flaviosouza2810/status/1697184579184930870</v>
      </c>
      <c r="AF94" s="79">
        <v>45169.408680555556</v>
      </c>
      <c r="AG94" s="85">
        <v>45169</v>
      </c>
      <c r="AH94" s="82" t="s">
        <v>7844</v>
      </c>
      <c r="AI94" s="77" t="b">
        <v>0</v>
      </c>
      <c r="AJ94" s="77"/>
      <c r="AK94" s="77"/>
      <c r="AL94" s="77"/>
      <c r="AM94" s="77"/>
      <c r="AN94" s="77"/>
      <c r="AO94" s="77"/>
      <c r="AP94" s="77"/>
      <c r="AQ94" s="77" t="s">
        <v>10711</v>
      </c>
      <c r="AR94" s="77"/>
      <c r="AS94" s="77"/>
      <c r="AT94" s="77"/>
      <c r="AU94" s="77"/>
      <c r="AV94" s="80" t="str">
        <f>HYPERLINK("https://pbs.twimg.com/media/F42cYPLWoAAGf5x.jpg")</f>
        <v>https://pbs.twimg.com/media/F42cYPLWoAAGf5x.jpg</v>
      </c>
      <c r="AW94" s="82" t="s">
        <v>12290</v>
      </c>
      <c r="AX94" s="82" t="s">
        <v>12290</v>
      </c>
      <c r="AY94" s="77"/>
      <c r="AZ94" s="82" t="s">
        <v>15804</v>
      </c>
      <c r="BA94" s="82" t="s">
        <v>15804</v>
      </c>
      <c r="BB94" s="82" t="s">
        <v>15804</v>
      </c>
      <c r="BC94" s="82" t="s">
        <v>12290</v>
      </c>
      <c r="BD94" s="82" t="s">
        <v>16162</v>
      </c>
      <c r="BE94" s="77"/>
      <c r="BF94" s="77"/>
      <c r="BG94" s="77"/>
      <c r="BH94" s="77"/>
      <c r="BI94" s="77"/>
    </row>
    <row r="95" spans="1:61" x14ac:dyDescent="0.25">
      <c r="A95" s="62" t="s">
        <v>261</v>
      </c>
      <c r="B95" s="62" t="s">
        <v>261</v>
      </c>
      <c r="C95" s="63"/>
      <c r="D95" s="64"/>
      <c r="E95" s="65"/>
      <c r="F95" s="66"/>
      <c r="G95" s="63"/>
      <c r="H95" s="67"/>
      <c r="I95" s="68"/>
      <c r="J95" s="68"/>
      <c r="K95" s="32"/>
      <c r="L95" s="75">
        <v>95</v>
      </c>
      <c r="M95" s="75"/>
      <c r="N95" s="70"/>
      <c r="O95" s="77" t="s">
        <v>179</v>
      </c>
      <c r="P95" s="79">
        <v>45169.408472222225</v>
      </c>
      <c r="Q95" s="77" t="s">
        <v>1228</v>
      </c>
      <c r="R95" s="77">
        <v>0</v>
      </c>
      <c r="S95" s="77">
        <v>0</v>
      </c>
      <c r="T95" s="77">
        <v>0</v>
      </c>
      <c r="U95" s="77">
        <v>0</v>
      </c>
      <c r="V95" s="77">
        <v>11</v>
      </c>
      <c r="W95" s="82" t="s">
        <v>4123</v>
      </c>
      <c r="X95" s="77"/>
      <c r="Y95" s="77"/>
      <c r="Z95" s="77"/>
      <c r="AA95" s="77" t="s">
        <v>6205</v>
      </c>
      <c r="AB95" s="77" t="s">
        <v>7696</v>
      </c>
      <c r="AC95" s="82" t="s">
        <v>7705</v>
      </c>
      <c r="AD95" s="77" t="s">
        <v>7746</v>
      </c>
      <c r="AE95" s="80" t="str">
        <f>HYPERLINK("https://twitter.com/flaviosouza2810/status/1697184503058280868")</f>
        <v>https://twitter.com/flaviosouza2810/status/1697184503058280868</v>
      </c>
      <c r="AF95" s="79">
        <v>45169.408472222225</v>
      </c>
      <c r="AG95" s="85">
        <v>45169</v>
      </c>
      <c r="AH95" s="82" t="s">
        <v>7845</v>
      </c>
      <c r="AI95" s="77" t="b">
        <v>0</v>
      </c>
      <c r="AJ95" s="77"/>
      <c r="AK95" s="77"/>
      <c r="AL95" s="77"/>
      <c r="AM95" s="77"/>
      <c r="AN95" s="77"/>
      <c r="AO95" s="77"/>
      <c r="AP95" s="77"/>
      <c r="AQ95" s="77" t="s">
        <v>10712</v>
      </c>
      <c r="AR95" s="77"/>
      <c r="AS95" s="77"/>
      <c r="AT95" s="77"/>
      <c r="AU95" s="77"/>
      <c r="AV95" s="80" t="str">
        <f>HYPERLINK("https://pbs.twimg.com/media/F42cTzyXgAEQJxc.jpg")</f>
        <v>https://pbs.twimg.com/media/F42cTzyXgAEQJxc.jpg</v>
      </c>
      <c r="AW95" s="82" t="s">
        <v>12291</v>
      </c>
      <c r="AX95" s="82" t="s">
        <v>12291</v>
      </c>
      <c r="AY95" s="77"/>
      <c r="AZ95" s="82" t="s">
        <v>15804</v>
      </c>
      <c r="BA95" s="82" t="s">
        <v>15804</v>
      </c>
      <c r="BB95" s="82" t="s">
        <v>15804</v>
      </c>
      <c r="BC95" s="82" t="s">
        <v>12291</v>
      </c>
      <c r="BD95" s="82" t="s">
        <v>16162</v>
      </c>
      <c r="BE95" s="77"/>
      <c r="BF95" s="77"/>
      <c r="BG95" s="77"/>
      <c r="BH95" s="77"/>
      <c r="BI95" s="77"/>
    </row>
    <row r="96" spans="1:61" x14ac:dyDescent="0.25">
      <c r="A96" s="62" t="s">
        <v>261</v>
      </c>
      <c r="B96" s="62" t="s">
        <v>261</v>
      </c>
      <c r="C96" s="63"/>
      <c r="D96" s="64"/>
      <c r="E96" s="65"/>
      <c r="F96" s="66"/>
      <c r="G96" s="63"/>
      <c r="H96" s="67"/>
      <c r="I96" s="68"/>
      <c r="J96" s="68"/>
      <c r="K96" s="32"/>
      <c r="L96" s="75">
        <v>96</v>
      </c>
      <c r="M96" s="75"/>
      <c r="N96" s="70"/>
      <c r="O96" s="77" t="s">
        <v>179</v>
      </c>
      <c r="P96" s="79">
        <v>45169.408194444448</v>
      </c>
      <c r="Q96" s="77" t="s">
        <v>1229</v>
      </c>
      <c r="R96" s="77">
        <v>0</v>
      </c>
      <c r="S96" s="77">
        <v>0</v>
      </c>
      <c r="T96" s="77">
        <v>0</v>
      </c>
      <c r="U96" s="77">
        <v>0</v>
      </c>
      <c r="V96" s="77">
        <v>9</v>
      </c>
      <c r="W96" s="82" t="s">
        <v>4123</v>
      </c>
      <c r="X96" s="77"/>
      <c r="Y96" s="77"/>
      <c r="Z96" s="77"/>
      <c r="AA96" s="77" t="s">
        <v>6206</v>
      </c>
      <c r="AB96" s="77" t="s">
        <v>7696</v>
      </c>
      <c r="AC96" s="82" t="s">
        <v>7705</v>
      </c>
      <c r="AD96" s="77" t="s">
        <v>7746</v>
      </c>
      <c r="AE96" s="80" t="str">
        <f>HYPERLINK("https://twitter.com/flaviosouza2810/status/1697184403875590597")</f>
        <v>https://twitter.com/flaviosouza2810/status/1697184403875590597</v>
      </c>
      <c r="AF96" s="79">
        <v>45169.408194444448</v>
      </c>
      <c r="AG96" s="85">
        <v>45169</v>
      </c>
      <c r="AH96" s="82" t="s">
        <v>7846</v>
      </c>
      <c r="AI96" s="77" t="b">
        <v>0</v>
      </c>
      <c r="AJ96" s="77"/>
      <c r="AK96" s="77"/>
      <c r="AL96" s="77"/>
      <c r="AM96" s="77"/>
      <c r="AN96" s="77"/>
      <c r="AO96" s="77"/>
      <c r="AP96" s="77"/>
      <c r="AQ96" s="77" t="s">
        <v>10713</v>
      </c>
      <c r="AR96" s="77"/>
      <c r="AS96" s="77"/>
      <c r="AT96" s="77"/>
      <c r="AU96" s="77"/>
      <c r="AV96" s="80" t="str">
        <f>HYPERLINK("https://pbs.twimg.com/media/F42cOBbWEAATTT1.jpg")</f>
        <v>https://pbs.twimg.com/media/F42cOBbWEAATTT1.jpg</v>
      </c>
      <c r="AW96" s="82" t="s">
        <v>12292</v>
      </c>
      <c r="AX96" s="82" t="s">
        <v>12292</v>
      </c>
      <c r="AY96" s="77"/>
      <c r="AZ96" s="82" t="s">
        <v>15804</v>
      </c>
      <c r="BA96" s="82" t="s">
        <v>15804</v>
      </c>
      <c r="BB96" s="82" t="s">
        <v>15804</v>
      </c>
      <c r="BC96" s="82" t="s">
        <v>12292</v>
      </c>
      <c r="BD96" s="82" t="s">
        <v>16162</v>
      </c>
      <c r="BE96" s="77"/>
      <c r="BF96" s="77"/>
      <c r="BG96" s="77"/>
      <c r="BH96" s="77"/>
      <c r="BI96" s="77"/>
    </row>
    <row r="97" spans="1:61" x14ac:dyDescent="0.25">
      <c r="A97" s="62" t="s">
        <v>261</v>
      </c>
      <c r="B97" s="62" t="s">
        <v>261</v>
      </c>
      <c r="C97" s="63"/>
      <c r="D97" s="64"/>
      <c r="E97" s="65"/>
      <c r="F97" s="66"/>
      <c r="G97" s="63"/>
      <c r="H97" s="67"/>
      <c r="I97" s="68"/>
      <c r="J97" s="68"/>
      <c r="K97" s="32"/>
      <c r="L97" s="75">
        <v>97</v>
      </c>
      <c r="M97" s="75"/>
      <c r="N97" s="70"/>
      <c r="O97" s="77" t="s">
        <v>179</v>
      </c>
      <c r="P97" s="79">
        <v>45168.87159722222</v>
      </c>
      <c r="Q97" s="77" t="s">
        <v>1230</v>
      </c>
      <c r="R97" s="77">
        <v>0</v>
      </c>
      <c r="S97" s="77">
        <v>0</v>
      </c>
      <c r="T97" s="77">
        <v>0</v>
      </c>
      <c r="U97" s="77">
        <v>0</v>
      </c>
      <c r="V97" s="77">
        <v>22</v>
      </c>
      <c r="W97" s="82" t="s">
        <v>4123</v>
      </c>
      <c r="X97" s="77"/>
      <c r="Y97" s="77"/>
      <c r="Z97" s="77"/>
      <c r="AA97" s="77" t="s">
        <v>6207</v>
      </c>
      <c r="AB97" s="77" t="s">
        <v>7696</v>
      </c>
      <c r="AC97" s="82" t="s">
        <v>7705</v>
      </c>
      <c r="AD97" s="77" t="s">
        <v>7746</v>
      </c>
      <c r="AE97" s="80" t="str">
        <f>HYPERLINK("https://twitter.com/flaviosouza2810/status/1696989947939406280")</f>
        <v>https://twitter.com/flaviosouza2810/status/1696989947939406280</v>
      </c>
      <c r="AF97" s="79">
        <v>45168.87159722222</v>
      </c>
      <c r="AG97" s="85">
        <v>45168</v>
      </c>
      <c r="AH97" s="82" t="s">
        <v>7847</v>
      </c>
      <c r="AI97" s="77" t="b">
        <v>0</v>
      </c>
      <c r="AJ97" s="77"/>
      <c r="AK97" s="77"/>
      <c r="AL97" s="77"/>
      <c r="AM97" s="77"/>
      <c r="AN97" s="77"/>
      <c r="AO97" s="77"/>
      <c r="AP97" s="77"/>
      <c r="AQ97" s="77" t="s">
        <v>10714</v>
      </c>
      <c r="AR97" s="77"/>
      <c r="AS97" s="77"/>
      <c r="AT97" s="77"/>
      <c r="AU97" s="77"/>
      <c r="AV97" s="80" t="str">
        <f>HYPERLINK("https://pbs.twimg.com/media/F4zrXO9W4AAdISJ.jpg")</f>
        <v>https://pbs.twimg.com/media/F4zrXO9W4AAdISJ.jpg</v>
      </c>
      <c r="AW97" s="82" t="s">
        <v>12293</v>
      </c>
      <c r="AX97" s="82" t="s">
        <v>12293</v>
      </c>
      <c r="AY97" s="77"/>
      <c r="AZ97" s="82" t="s">
        <v>15804</v>
      </c>
      <c r="BA97" s="82" t="s">
        <v>15804</v>
      </c>
      <c r="BB97" s="82" t="s">
        <v>15804</v>
      </c>
      <c r="BC97" s="82" t="s">
        <v>12293</v>
      </c>
      <c r="BD97" s="82" t="s">
        <v>16162</v>
      </c>
      <c r="BE97" s="77"/>
      <c r="BF97" s="77"/>
      <c r="BG97" s="77"/>
      <c r="BH97" s="77"/>
      <c r="BI97" s="77"/>
    </row>
    <row r="98" spans="1:61" x14ac:dyDescent="0.25">
      <c r="A98" s="62" t="s">
        <v>261</v>
      </c>
      <c r="B98" s="62" t="s">
        <v>261</v>
      </c>
      <c r="C98" s="63"/>
      <c r="D98" s="64"/>
      <c r="E98" s="65"/>
      <c r="F98" s="66"/>
      <c r="G98" s="63"/>
      <c r="H98" s="67"/>
      <c r="I98" s="68"/>
      <c r="J98" s="68"/>
      <c r="K98" s="32"/>
      <c r="L98" s="75">
        <v>98</v>
      </c>
      <c r="M98" s="75"/>
      <c r="N98" s="70"/>
      <c r="O98" s="77" t="s">
        <v>179</v>
      </c>
      <c r="P98" s="79">
        <v>45163.88585648148</v>
      </c>
      <c r="Q98" s="77" t="s">
        <v>1231</v>
      </c>
      <c r="R98" s="77">
        <v>0</v>
      </c>
      <c r="S98" s="77">
        <v>0</v>
      </c>
      <c r="T98" s="77">
        <v>0</v>
      </c>
      <c r="U98" s="77">
        <v>0</v>
      </c>
      <c r="V98" s="77">
        <v>26</v>
      </c>
      <c r="W98" s="82" t="s">
        <v>4123</v>
      </c>
      <c r="X98" s="77"/>
      <c r="Y98" s="77"/>
      <c r="Z98" s="77"/>
      <c r="AA98" s="77" t="s">
        <v>6208</v>
      </c>
      <c r="AB98" s="77" t="s">
        <v>7696</v>
      </c>
      <c r="AC98" s="82" t="s">
        <v>7705</v>
      </c>
      <c r="AD98" s="77" t="s">
        <v>7746</v>
      </c>
      <c r="AE98" s="80" t="str">
        <f>HYPERLINK("https://twitter.com/flaviosouza2810/status/1695183174106525979")</f>
        <v>https://twitter.com/flaviosouza2810/status/1695183174106525979</v>
      </c>
      <c r="AF98" s="79">
        <v>45163.88585648148</v>
      </c>
      <c r="AG98" s="85">
        <v>45163</v>
      </c>
      <c r="AH98" s="82" t="s">
        <v>7848</v>
      </c>
      <c r="AI98" s="77" t="b">
        <v>0</v>
      </c>
      <c r="AJ98" s="77"/>
      <c r="AK98" s="77"/>
      <c r="AL98" s="77"/>
      <c r="AM98" s="77"/>
      <c r="AN98" s="77"/>
      <c r="AO98" s="77"/>
      <c r="AP98" s="77"/>
      <c r="AQ98" s="77" t="s">
        <v>10715</v>
      </c>
      <c r="AR98" s="77"/>
      <c r="AS98" s="77"/>
      <c r="AT98" s="77"/>
      <c r="AU98" s="77"/>
      <c r="AV98" s="80" t="str">
        <f>HYPERLINK("https://pbs.twimg.com/media/F4aAGuwWgAAu-DQ.jpg")</f>
        <v>https://pbs.twimg.com/media/F4aAGuwWgAAu-DQ.jpg</v>
      </c>
      <c r="AW98" s="82" t="s">
        <v>12294</v>
      </c>
      <c r="AX98" s="82" t="s">
        <v>12294</v>
      </c>
      <c r="AY98" s="77"/>
      <c r="AZ98" s="82" t="s">
        <v>15804</v>
      </c>
      <c r="BA98" s="82" t="s">
        <v>15804</v>
      </c>
      <c r="BB98" s="82" t="s">
        <v>15804</v>
      </c>
      <c r="BC98" s="82" t="s">
        <v>12294</v>
      </c>
      <c r="BD98" s="82" t="s">
        <v>16162</v>
      </c>
      <c r="BE98" s="77"/>
      <c r="BF98" s="77"/>
      <c r="BG98" s="77"/>
      <c r="BH98" s="77"/>
      <c r="BI98" s="77"/>
    </row>
    <row r="99" spans="1:61" x14ac:dyDescent="0.25">
      <c r="A99" s="62" t="s">
        <v>261</v>
      </c>
      <c r="B99" s="62" t="s">
        <v>261</v>
      </c>
      <c r="C99" s="63"/>
      <c r="D99" s="64"/>
      <c r="E99" s="65"/>
      <c r="F99" s="66"/>
      <c r="G99" s="63"/>
      <c r="H99" s="67"/>
      <c r="I99" s="68"/>
      <c r="J99" s="68"/>
      <c r="K99" s="32"/>
      <c r="L99" s="75">
        <v>99</v>
      </c>
      <c r="M99" s="75"/>
      <c r="N99" s="70"/>
      <c r="O99" s="77" t="s">
        <v>179</v>
      </c>
      <c r="P99" s="79">
        <v>45163.410925925928</v>
      </c>
      <c r="Q99" s="77" t="s">
        <v>1232</v>
      </c>
      <c r="R99" s="77">
        <v>0</v>
      </c>
      <c r="S99" s="77">
        <v>0</v>
      </c>
      <c r="T99" s="77">
        <v>0</v>
      </c>
      <c r="U99" s="77">
        <v>0</v>
      </c>
      <c r="V99" s="77">
        <v>19</v>
      </c>
      <c r="W99" s="82" t="s">
        <v>4124</v>
      </c>
      <c r="X99" s="77"/>
      <c r="Y99" s="77"/>
      <c r="Z99" s="77"/>
      <c r="AA99" s="77" t="s">
        <v>6209</v>
      </c>
      <c r="AB99" s="77" t="s">
        <v>7696</v>
      </c>
      <c r="AC99" s="82" t="s">
        <v>7705</v>
      </c>
      <c r="AD99" s="77" t="s">
        <v>7746</v>
      </c>
      <c r="AE99" s="80" t="str">
        <f>HYPERLINK("https://twitter.com/flaviosouza2810/status/1695011065078161425")</f>
        <v>https://twitter.com/flaviosouza2810/status/1695011065078161425</v>
      </c>
      <c r="AF99" s="79">
        <v>45163.410925925928</v>
      </c>
      <c r="AG99" s="85">
        <v>45163</v>
      </c>
      <c r="AH99" s="82" t="s">
        <v>7849</v>
      </c>
      <c r="AI99" s="77" t="b">
        <v>0</v>
      </c>
      <c r="AJ99" s="77"/>
      <c r="AK99" s="77"/>
      <c r="AL99" s="77"/>
      <c r="AM99" s="77"/>
      <c r="AN99" s="77"/>
      <c r="AO99" s="77"/>
      <c r="AP99" s="77"/>
      <c r="AQ99" s="77" t="s">
        <v>10716</v>
      </c>
      <c r="AR99" s="77"/>
      <c r="AS99" s="77"/>
      <c r="AT99" s="77"/>
      <c r="AU99" s="77"/>
      <c r="AV99" s="80" t="str">
        <f>HYPERLINK("https://pbs.twimg.com/media/F4XjlEyXEAAthuf.jpg")</f>
        <v>https://pbs.twimg.com/media/F4XjlEyXEAAthuf.jpg</v>
      </c>
      <c r="AW99" s="82" t="s">
        <v>12295</v>
      </c>
      <c r="AX99" s="82" t="s">
        <v>12295</v>
      </c>
      <c r="AY99" s="77"/>
      <c r="AZ99" s="82" t="s">
        <v>15804</v>
      </c>
      <c r="BA99" s="82" t="s">
        <v>15804</v>
      </c>
      <c r="BB99" s="82" t="s">
        <v>15804</v>
      </c>
      <c r="BC99" s="82" t="s">
        <v>12295</v>
      </c>
      <c r="BD99" s="82" t="s">
        <v>16162</v>
      </c>
      <c r="BE99" s="77"/>
      <c r="BF99" s="77"/>
      <c r="BG99" s="77"/>
      <c r="BH99" s="77"/>
      <c r="BI99" s="77"/>
    </row>
    <row r="100" spans="1:61" x14ac:dyDescent="0.25">
      <c r="A100" s="62" t="s">
        <v>261</v>
      </c>
      <c r="B100" s="62" t="s">
        <v>261</v>
      </c>
      <c r="C100" s="63"/>
      <c r="D100" s="64"/>
      <c r="E100" s="65"/>
      <c r="F100" s="66"/>
      <c r="G100" s="63"/>
      <c r="H100" s="67"/>
      <c r="I100" s="68"/>
      <c r="J100" s="68"/>
      <c r="K100" s="32"/>
      <c r="L100" s="75">
        <v>100</v>
      </c>
      <c r="M100" s="75"/>
      <c r="N100" s="70"/>
      <c r="O100" s="77" t="s">
        <v>179</v>
      </c>
      <c r="P100" s="79">
        <v>45163.41065972222</v>
      </c>
      <c r="Q100" s="77" t="s">
        <v>1233</v>
      </c>
      <c r="R100" s="77">
        <v>0</v>
      </c>
      <c r="S100" s="77">
        <v>0</v>
      </c>
      <c r="T100" s="77">
        <v>0</v>
      </c>
      <c r="U100" s="77">
        <v>0</v>
      </c>
      <c r="V100" s="77">
        <v>16</v>
      </c>
      <c r="W100" s="82" t="s">
        <v>4124</v>
      </c>
      <c r="X100" s="77"/>
      <c r="Y100" s="77"/>
      <c r="Z100" s="77"/>
      <c r="AA100" s="77" t="s">
        <v>6210</v>
      </c>
      <c r="AB100" s="77" t="s">
        <v>7696</v>
      </c>
      <c r="AC100" s="82" t="s">
        <v>7705</v>
      </c>
      <c r="AD100" s="77" t="s">
        <v>7746</v>
      </c>
      <c r="AE100" s="80" t="str">
        <f>HYPERLINK("https://twitter.com/flaviosouza2810/status/1695010969745863088")</f>
        <v>https://twitter.com/flaviosouza2810/status/1695010969745863088</v>
      </c>
      <c r="AF100" s="79">
        <v>45163.41065972222</v>
      </c>
      <c r="AG100" s="85">
        <v>45163</v>
      </c>
      <c r="AH100" s="82" t="s">
        <v>7850</v>
      </c>
      <c r="AI100" s="77" t="b">
        <v>0</v>
      </c>
      <c r="AJ100" s="77"/>
      <c r="AK100" s="77"/>
      <c r="AL100" s="77"/>
      <c r="AM100" s="77"/>
      <c r="AN100" s="77"/>
      <c r="AO100" s="77"/>
      <c r="AP100" s="77"/>
      <c r="AQ100" s="77" t="s">
        <v>10717</v>
      </c>
      <c r="AR100" s="77"/>
      <c r="AS100" s="77"/>
      <c r="AT100" s="77"/>
      <c r="AU100" s="77"/>
      <c r="AV100" s="80" t="str">
        <f>HYPERLINK("https://pbs.twimg.com/media/F4XjfcXXUAAZihk.jpg")</f>
        <v>https://pbs.twimg.com/media/F4XjfcXXUAAZihk.jpg</v>
      </c>
      <c r="AW100" s="82" t="s">
        <v>12296</v>
      </c>
      <c r="AX100" s="82" t="s">
        <v>12296</v>
      </c>
      <c r="AY100" s="77"/>
      <c r="AZ100" s="82" t="s">
        <v>15804</v>
      </c>
      <c r="BA100" s="82" t="s">
        <v>15804</v>
      </c>
      <c r="BB100" s="82" t="s">
        <v>15804</v>
      </c>
      <c r="BC100" s="82" t="s">
        <v>12296</v>
      </c>
      <c r="BD100" s="82" t="s">
        <v>16162</v>
      </c>
      <c r="BE100" s="77"/>
      <c r="BF100" s="77"/>
      <c r="BG100" s="77"/>
      <c r="BH100" s="77"/>
      <c r="BI100" s="77"/>
    </row>
    <row r="101" spans="1:61" x14ac:dyDescent="0.25">
      <c r="A101" s="62" t="s">
        <v>261</v>
      </c>
      <c r="B101" s="62" t="s">
        <v>261</v>
      </c>
      <c r="C101" s="63"/>
      <c r="D101" s="64"/>
      <c r="E101" s="65"/>
      <c r="F101" s="66"/>
      <c r="G101" s="63"/>
      <c r="H101" s="67"/>
      <c r="I101" s="68"/>
      <c r="J101" s="68"/>
      <c r="K101" s="32"/>
      <c r="L101" s="75">
        <v>101</v>
      </c>
      <c r="M101" s="75"/>
      <c r="N101" s="70"/>
      <c r="O101" s="77" t="s">
        <v>179</v>
      </c>
      <c r="P101" s="79">
        <v>45163.410439814812</v>
      </c>
      <c r="Q101" s="77" t="s">
        <v>1234</v>
      </c>
      <c r="R101" s="77">
        <v>0</v>
      </c>
      <c r="S101" s="77">
        <v>0</v>
      </c>
      <c r="T101" s="77">
        <v>0</v>
      </c>
      <c r="U101" s="77">
        <v>0</v>
      </c>
      <c r="V101" s="77">
        <v>13</v>
      </c>
      <c r="W101" s="82" t="s">
        <v>4124</v>
      </c>
      <c r="X101" s="77"/>
      <c r="Y101" s="77"/>
      <c r="Z101" s="77"/>
      <c r="AA101" s="77" t="s">
        <v>6211</v>
      </c>
      <c r="AB101" s="77" t="s">
        <v>7696</v>
      </c>
      <c r="AC101" s="82" t="s">
        <v>7705</v>
      </c>
      <c r="AD101" s="77" t="s">
        <v>7746</v>
      </c>
      <c r="AE101" s="80" t="str">
        <f>HYPERLINK("https://twitter.com/flaviosouza2810/status/1695010889793933796")</f>
        <v>https://twitter.com/flaviosouza2810/status/1695010889793933796</v>
      </c>
      <c r="AF101" s="79">
        <v>45163.410439814812</v>
      </c>
      <c r="AG101" s="85">
        <v>45163</v>
      </c>
      <c r="AH101" s="82" t="s">
        <v>7851</v>
      </c>
      <c r="AI101" s="77" t="b">
        <v>0</v>
      </c>
      <c r="AJ101" s="77"/>
      <c r="AK101" s="77"/>
      <c r="AL101" s="77"/>
      <c r="AM101" s="77"/>
      <c r="AN101" s="77"/>
      <c r="AO101" s="77"/>
      <c r="AP101" s="77"/>
      <c r="AQ101" s="77" t="s">
        <v>10718</v>
      </c>
      <c r="AR101" s="77"/>
      <c r="AS101" s="77"/>
      <c r="AT101" s="77"/>
      <c r="AU101" s="77"/>
      <c r="AV101" s="80" t="str">
        <f>HYPERLINK("https://pbs.twimg.com/media/F4Xja4JWAAA5Sgg.jpg")</f>
        <v>https://pbs.twimg.com/media/F4Xja4JWAAA5Sgg.jpg</v>
      </c>
      <c r="AW101" s="82" t="s">
        <v>12297</v>
      </c>
      <c r="AX101" s="82" t="s">
        <v>12297</v>
      </c>
      <c r="AY101" s="77"/>
      <c r="AZ101" s="82" t="s">
        <v>15804</v>
      </c>
      <c r="BA101" s="82" t="s">
        <v>15804</v>
      </c>
      <c r="BB101" s="82" t="s">
        <v>15804</v>
      </c>
      <c r="BC101" s="82" t="s">
        <v>12297</v>
      </c>
      <c r="BD101" s="82" t="s">
        <v>16162</v>
      </c>
      <c r="BE101" s="77"/>
      <c r="BF101" s="77"/>
      <c r="BG101" s="77"/>
      <c r="BH101" s="77"/>
      <c r="BI101" s="77"/>
    </row>
    <row r="102" spans="1:61" x14ac:dyDescent="0.25">
      <c r="A102" s="62" t="s">
        <v>261</v>
      </c>
      <c r="B102" s="62" t="s">
        <v>261</v>
      </c>
      <c r="C102" s="63"/>
      <c r="D102" s="64"/>
      <c r="E102" s="65"/>
      <c r="F102" s="66"/>
      <c r="G102" s="63"/>
      <c r="H102" s="67"/>
      <c r="I102" s="68"/>
      <c r="J102" s="68"/>
      <c r="K102" s="32"/>
      <c r="L102" s="75">
        <v>102</v>
      </c>
      <c r="M102" s="75"/>
      <c r="N102" s="70"/>
      <c r="O102" s="77" t="s">
        <v>179</v>
      </c>
      <c r="P102" s="79">
        <v>45162.874120370368</v>
      </c>
      <c r="Q102" s="77" t="s">
        <v>1235</v>
      </c>
      <c r="R102" s="77">
        <v>0</v>
      </c>
      <c r="S102" s="77">
        <v>0</v>
      </c>
      <c r="T102" s="77">
        <v>0</v>
      </c>
      <c r="U102" s="77">
        <v>0</v>
      </c>
      <c r="V102" s="77">
        <v>30</v>
      </c>
      <c r="W102" s="82" t="s">
        <v>4123</v>
      </c>
      <c r="X102" s="77"/>
      <c r="Y102" s="77"/>
      <c r="Z102" s="77"/>
      <c r="AA102" s="77" t="s">
        <v>6212</v>
      </c>
      <c r="AB102" s="77" t="s">
        <v>7696</v>
      </c>
      <c r="AC102" s="82" t="s">
        <v>7705</v>
      </c>
      <c r="AD102" s="77" t="s">
        <v>7746</v>
      </c>
      <c r="AE102" s="80" t="str">
        <f>HYPERLINK("https://twitter.com/flaviosouza2810/status/1694816532017135658")</f>
        <v>https://twitter.com/flaviosouza2810/status/1694816532017135658</v>
      </c>
      <c r="AF102" s="79">
        <v>45162.874120370368</v>
      </c>
      <c r="AG102" s="85">
        <v>45162</v>
      </c>
      <c r="AH102" s="82" t="s">
        <v>7852</v>
      </c>
      <c r="AI102" s="77" t="b">
        <v>0</v>
      </c>
      <c r="AJ102" s="77"/>
      <c r="AK102" s="77"/>
      <c r="AL102" s="77"/>
      <c r="AM102" s="77"/>
      <c r="AN102" s="77"/>
      <c r="AO102" s="77"/>
      <c r="AP102" s="77"/>
      <c r="AQ102" s="77" t="s">
        <v>10719</v>
      </c>
      <c r="AR102" s="77"/>
      <c r="AS102" s="77"/>
      <c r="AT102" s="77"/>
      <c r="AU102" s="77"/>
      <c r="AV102" s="80" t="str">
        <f>HYPERLINK("https://pbs.twimg.com/media/F4UypLbXIAA8rBa.jpg")</f>
        <v>https://pbs.twimg.com/media/F4UypLbXIAA8rBa.jpg</v>
      </c>
      <c r="AW102" s="82" t="s">
        <v>12298</v>
      </c>
      <c r="AX102" s="82" t="s">
        <v>12298</v>
      </c>
      <c r="AY102" s="77"/>
      <c r="AZ102" s="82" t="s">
        <v>15804</v>
      </c>
      <c r="BA102" s="82" t="s">
        <v>15804</v>
      </c>
      <c r="BB102" s="82" t="s">
        <v>15804</v>
      </c>
      <c r="BC102" s="82" t="s">
        <v>12298</v>
      </c>
      <c r="BD102" s="82" t="s">
        <v>16162</v>
      </c>
      <c r="BE102" s="77"/>
      <c r="BF102" s="77"/>
      <c r="BG102" s="77"/>
      <c r="BH102" s="77"/>
      <c r="BI102" s="77"/>
    </row>
    <row r="103" spans="1:61" x14ac:dyDescent="0.25">
      <c r="A103" s="62" t="s">
        <v>261</v>
      </c>
      <c r="B103" s="62" t="s">
        <v>261</v>
      </c>
      <c r="C103" s="63"/>
      <c r="D103" s="64"/>
      <c r="E103" s="65"/>
      <c r="F103" s="66"/>
      <c r="G103" s="63"/>
      <c r="H103" s="67"/>
      <c r="I103" s="68"/>
      <c r="J103" s="68"/>
      <c r="K103" s="32"/>
      <c r="L103" s="75">
        <v>103</v>
      </c>
      <c r="M103" s="75"/>
      <c r="N103" s="70"/>
      <c r="O103" s="77" t="s">
        <v>179</v>
      </c>
      <c r="P103" s="79">
        <v>45162.411400462966</v>
      </c>
      <c r="Q103" s="77" t="s">
        <v>1236</v>
      </c>
      <c r="R103" s="77">
        <v>0</v>
      </c>
      <c r="S103" s="77">
        <v>0</v>
      </c>
      <c r="T103" s="77">
        <v>0</v>
      </c>
      <c r="U103" s="77">
        <v>0</v>
      </c>
      <c r="V103" s="77">
        <v>25</v>
      </c>
      <c r="W103" s="82" t="s">
        <v>4123</v>
      </c>
      <c r="X103" s="77"/>
      <c r="Y103" s="77"/>
      <c r="Z103" s="77"/>
      <c r="AA103" s="77" t="s">
        <v>6213</v>
      </c>
      <c r="AB103" s="77" t="s">
        <v>7696</v>
      </c>
      <c r="AC103" s="82" t="s">
        <v>7705</v>
      </c>
      <c r="AD103" s="77" t="s">
        <v>7746</v>
      </c>
      <c r="AE103" s="80" t="str">
        <f>HYPERLINK("https://twitter.com/flaviosouza2810/status/1694648851142001086")</f>
        <v>https://twitter.com/flaviosouza2810/status/1694648851142001086</v>
      </c>
      <c r="AF103" s="79">
        <v>45162.411400462966</v>
      </c>
      <c r="AG103" s="85">
        <v>45162</v>
      </c>
      <c r="AH103" s="82" t="s">
        <v>7853</v>
      </c>
      <c r="AI103" s="77" t="b">
        <v>0</v>
      </c>
      <c r="AJ103" s="77"/>
      <c r="AK103" s="77"/>
      <c r="AL103" s="77"/>
      <c r="AM103" s="77"/>
      <c r="AN103" s="77"/>
      <c r="AO103" s="77"/>
      <c r="AP103" s="77"/>
      <c r="AQ103" s="77" t="s">
        <v>10720</v>
      </c>
      <c r="AR103" s="77"/>
      <c r="AS103" s="77"/>
      <c r="AT103" s="77"/>
      <c r="AU103" s="77"/>
      <c r="AV103" s="80" t="str">
        <f>HYPERLINK("https://pbs.twimg.com/media/F4SaJd0WAAAZRP3.jpg")</f>
        <v>https://pbs.twimg.com/media/F4SaJd0WAAAZRP3.jpg</v>
      </c>
      <c r="AW103" s="82" t="s">
        <v>12299</v>
      </c>
      <c r="AX103" s="82" t="s">
        <v>12299</v>
      </c>
      <c r="AY103" s="77"/>
      <c r="AZ103" s="82" t="s">
        <v>15804</v>
      </c>
      <c r="BA103" s="82" t="s">
        <v>15804</v>
      </c>
      <c r="BB103" s="82" t="s">
        <v>15804</v>
      </c>
      <c r="BC103" s="82" t="s">
        <v>12299</v>
      </c>
      <c r="BD103" s="82" t="s">
        <v>16162</v>
      </c>
      <c r="BE103" s="77"/>
      <c r="BF103" s="77"/>
      <c r="BG103" s="77"/>
      <c r="BH103" s="77"/>
      <c r="BI103" s="77"/>
    </row>
    <row r="104" spans="1:61" x14ac:dyDescent="0.25">
      <c r="A104" s="62" t="s">
        <v>261</v>
      </c>
      <c r="B104" s="62" t="s">
        <v>261</v>
      </c>
      <c r="C104" s="63"/>
      <c r="D104" s="64"/>
      <c r="E104" s="65"/>
      <c r="F104" s="66"/>
      <c r="G104" s="63"/>
      <c r="H104" s="67"/>
      <c r="I104" s="68"/>
      <c r="J104" s="68"/>
      <c r="K104" s="32"/>
      <c r="L104" s="75">
        <v>104</v>
      </c>
      <c r="M104" s="75"/>
      <c r="N104" s="70"/>
      <c r="O104" s="77" t="s">
        <v>179</v>
      </c>
      <c r="P104" s="79">
        <v>45162.410879629628</v>
      </c>
      <c r="Q104" s="77" t="s">
        <v>1237</v>
      </c>
      <c r="R104" s="77">
        <v>0</v>
      </c>
      <c r="S104" s="77">
        <v>0</v>
      </c>
      <c r="T104" s="77">
        <v>0</v>
      </c>
      <c r="U104" s="77">
        <v>0</v>
      </c>
      <c r="V104" s="77">
        <v>14</v>
      </c>
      <c r="W104" s="82" t="s">
        <v>4124</v>
      </c>
      <c r="X104" s="77"/>
      <c r="Y104" s="77"/>
      <c r="Z104" s="77"/>
      <c r="AA104" s="77" t="s">
        <v>6214</v>
      </c>
      <c r="AB104" s="77" t="s">
        <v>7696</v>
      </c>
      <c r="AC104" s="82" t="s">
        <v>7705</v>
      </c>
      <c r="AD104" s="77" t="s">
        <v>7746</v>
      </c>
      <c r="AE104" s="80" t="str">
        <f>HYPERLINK("https://twitter.com/flaviosouza2810/status/1694648662775779631")</f>
        <v>https://twitter.com/flaviosouza2810/status/1694648662775779631</v>
      </c>
      <c r="AF104" s="79">
        <v>45162.410879629628</v>
      </c>
      <c r="AG104" s="85">
        <v>45162</v>
      </c>
      <c r="AH104" s="82" t="s">
        <v>7854</v>
      </c>
      <c r="AI104" s="77" t="b">
        <v>0</v>
      </c>
      <c r="AJ104" s="77"/>
      <c r="AK104" s="77"/>
      <c r="AL104" s="77"/>
      <c r="AM104" s="77"/>
      <c r="AN104" s="77"/>
      <c r="AO104" s="77"/>
      <c r="AP104" s="77"/>
      <c r="AQ104" s="77" t="s">
        <v>10721</v>
      </c>
      <c r="AR104" s="77"/>
      <c r="AS104" s="77"/>
      <c r="AT104" s="77"/>
      <c r="AU104" s="77"/>
      <c r="AV104" s="80" t="str">
        <f>HYPERLINK("https://pbs.twimg.com/media/F4SZ-eIXsAEnhQu.jpg")</f>
        <v>https://pbs.twimg.com/media/F4SZ-eIXsAEnhQu.jpg</v>
      </c>
      <c r="AW104" s="82" t="s">
        <v>12300</v>
      </c>
      <c r="AX104" s="82" t="s">
        <v>12300</v>
      </c>
      <c r="AY104" s="77"/>
      <c r="AZ104" s="82" t="s">
        <v>15804</v>
      </c>
      <c r="BA104" s="82" t="s">
        <v>15804</v>
      </c>
      <c r="BB104" s="82" t="s">
        <v>15804</v>
      </c>
      <c r="BC104" s="82" t="s">
        <v>12300</v>
      </c>
      <c r="BD104" s="82" t="s">
        <v>16162</v>
      </c>
      <c r="BE104" s="77"/>
      <c r="BF104" s="77"/>
      <c r="BG104" s="77"/>
      <c r="BH104" s="77"/>
      <c r="BI104" s="77"/>
    </row>
    <row r="105" spans="1:61" x14ac:dyDescent="0.25">
      <c r="A105" s="62" t="s">
        <v>261</v>
      </c>
      <c r="B105" s="62" t="s">
        <v>261</v>
      </c>
      <c r="C105" s="63"/>
      <c r="D105" s="64"/>
      <c r="E105" s="65"/>
      <c r="F105" s="66"/>
      <c r="G105" s="63"/>
      <c r="H105" s="67"/>
      <c r="I105" s="68"/>
      <c r="J105" s="68"/>
      <c r="K105" s="32"/>
      <c r="L105" s="75">
        <v>105</v>
      </c>
      <c r="M105" s="75"/>
      <c r="N105" s="70"/>
      <c r="O105" s="77" t="s">
        <v>179</v>
      </c>
      <c r="P105" s="79">
        <v>45161.888321759259</v>
      </c>
      <c r="Q105" s="77" t="s">
        <v>1238</v>
      </c>
      <c r="R105" s="77">
        <v>0</v>
      </c>
      <c r="S105" s="77">
        <v>0</v>
      </c>
      <c r="T105" s="77">
        <v>0</v>
      </c>
      <c r="U105" s="77">
        <v>0</v>
      </c>
      <c r="V105" s="77">
        <v>24</v>
      </c>
      <c r="W105" s="82" t="s">
        <v>4124</v>
      </c>
      <c r="X105" s="77"/>
      <c r="Y105" s="77"/>
      <c r="Z105" s="77"/>
      <c r="AA105" s="77" t="s">
        <v>6215</v>
      </c>
      <c r="AB105" s="77" t="s">
        <v>7696</v>
      </c>
      <c r="AC105" s="82" t="s">
        <v>7705</v>
      </c>
      <c r="AD105" s="77" t="s">
        <v>7746</v>
      </c>
      <c r="AE105" s="80" t="str">
        <f>HYPERLINK("https://twitter.com/flaviosouza2810/status/1694459292697428236")</f>
        <v>https://twitter.com/flaviosouza2810/status/1694459292697428236</v>
      </c>
      <c r="AF105" s="79">
        <v>45161.888321759259</v>
      </c>
      <c r="AG105" s="85">
        <v>45161</v>
      </c>
      <c r="AH105" s="82" t="s">
        <v>7855</v>
      </c>
      <c r="AI105" s="77" t="b">
        <v>0</v>
      </c>
      <c r="AJ105" s="77"/>
      <c r="AK105" s="77"/>
      <c r="AL105" s="77"/>
      <c r="AM105" s="77"/>
      <c r="AN105" s="77"/>
      <c r="AO105" s="77"/>
      <c r="AP105" s="77"/>
      <c r="AQ105" s="77" t="s">
        <v>10722</v>
      </c>
      <c r="AR105" s="77"/>
      <c r="AS105" s="77"/>
      <c r="AT105" s="77"/>
      <c r="AU105" s="77"/>
      <c r="AV105" s="80" t="str">
        <f>HYPERLINK("https://pbs.twimg.com/media/F4PtvpOXAAAYWeJ.jpg")</f>
        <v>https://pbs.twimg.com/media/F4PtvpOXAAAYWeJ.jpg</v>
      </c>
      <c r="AW105" s="82" t="s">
        <v>12301</v>
      </c>
      <c r="AX105" s="82" t="s">
        <v>12301</v>
      </c>
      <c r="AY105" s="77"/>
      <c r="AZ105" s="82" t="s">
        <v>15804</v>
      </c>
      <c r="BA105" s="82" t="s">
        <v>15804</v>
      </c>
      <c r="BB105" s="82" t="s">
        <v>15804</v>
      </c>
      <c r="BC105" s="82" t="s">
        <v>12301</v>
      </c>
      <c r="BD105" s="82" t="s">
        <v>16162</v>
      </c>
      <c r="BE105" s="77"/>
      <c r="BF105" s="77"/>
      <c r="BG105" s="77"/>
      <c r="BH105" s="77"/>
      <c r="BI105" s="77"/>
    </row>
    <row r="106" spans="1:61" x14ac:dyDescent="0.25">
      <c r="A106" s="62" t="s">
        <v>261</v>
      </c>
      <c r="B106" s="62" t="s">
        <v>261</v>
      </c>
      <c r="C106" s="63"/>
      <c r="D106" s="64"/>
      <c r="E106" s="65"/>
      <c r="F106" s="66"/>
      <c r="G106" s="63"/>
      <c r="H106" s="67"/>
      <c r="I106" s="68"/>
      <c r="J106" s="68"/>
      <c r="K106" s="32"/>
      <c r="L106" s="75">
        <v>106</v>
      </c>
      <c r="M106" s="75"/>
      <c r="N106" s="70"/>
      <c r="O106" s="77" t="s">
        <v>179</v>
      </c>
      <c r="P106" s="79">
        <v>45150.536574074074</v>
      </c>
      <c r="Q106" s="77" t="s">
        <v>1239</v>
      </c>
      <c r="R106" s="77">
        <v>0</v>
      </c>
      <c r="S106" s="77">
        <v>0</v>
      </c>
      <c r="T106" s="77">
        <v>0</v>
      </c>
      <c r="U106" s="77">
        <v>0</v>
      </c>
      <c r="V106" s="77">
        <v>4</v>
      </c>
      <c r="W106" s="82" t="s">
        <v>4123</v>
      </c>
      <c r="X106" s="77"/>
      <c r="Y106" s="77"/>
      <c r="Z106" s="77"/>
      <c r="AA106" s="77" t="s">
        <v>6216</v>
      </c>
      <c r="AB106" s="77" t="s">
        <v>7696</v>
      </c>
      <c r="AC106" s="82" t="s">
        <v>7705</v>
      </c>
      <c r="AD106" s="77" t="s">
        <v>7746</v>
      </c>
      <c r="AE106" s="80" t="str">
        <f>HYPERLINK("https://twitter.com/flaviosouza2810/status/1690345555145166848")</f>
        <v>https://twitter.com/flaviosouza2810/status/1690345555145166848</v>
      </c>
      <c r="AF106" s="79">
        <v>45150.536574074074</v>
      </c>
      <c r="AG106" s="85">
        <v>45150</v>
      </c>
      <c r="AH106" s="82" t="s">
        <v>7856</v>
      </c>
      <c r="AI106" s="77" t="b">
        <v>0</v>
      </c>
      <c r="AJ106" s="77"/>
      <c r="AK106" s="77"/>
      <c r="AL106" s="77"/>
      <c r="AM106" s="77"/>
      <c r="AN106" s="77"/>
      <c r="AO106" s="77"/>
      <c r="AP106" s="77"/>
      <c r="AQ106" s="77" t="s">
        <v>10723</v>
      </c>
      <c r="AR106" s="77"/>
      <c r="AS106" s="77"/>
      <c r="AT106" s="77"/>
      <c r="AU106" s="77"/>
      <c r="AV106" s="80" t="str">
        <f>HYPERLINK("https://pbs.twimg.com/media/F3VQUovXkAAOsgM.jpg")</f>
        <v>https://pbs.twimg.com/media/F3VQUovXkAAOsgM.jpg</v>
      </c>
      <c r="AW106" s="82" t="s">
        <v>12302</v>
      </c>
      <c r="AX106" s="82" t="s">
        <v>12302</v>
      </c>
      <c r="AY106" s="77"/>
      <c r="AZ106" s="82" t="s">
        <v>15804</v>
      </c>
      <c r="BA106" s="82" t="s">
        <v>15804</v>
      </c>
      <c r="BB106" s="82" t="s">
        <v>15804</v>
      </c>
      <c r="BC106" s="82" t="s">
        <v>12302</v>
      </c>
      <c r="BD106" s="82" t="s">
        <v>16162</v>
      </c>
      <c r="BE106" s="77"/>
      <c r="BF106" s="77"/>
      <c r="BG106" s="77"/>
      <c r="BH106" s="77"/>
      <c r="BI106" s="77"/>
    </row>
    <row r="107" spans="1:61" x14ac:dyDescent="0.25">
      <c r="A107" s="62" t="s">
        <v>261</v>
      </c>
      <c r="B107" s="62" t="s">
        <v>261</v>
      </c>
      <c r="C107" s="63"/>
      <c r="D107" s="64"/>
      <c r="E107" s="65"/>
      <c r="F107" s="66"/>
      <c r="G107" s="63"/>
      <c r="H107" s="67"/>
      <c r="I107" s="68"/>
      <c r="J107" s="68"/>
      <c r="K107" s="32"/>
      <c r="L107" s="75">
        <v>107</v>
      </c>
      <c r="M107" s="75"/>
      <c r="N107" s="70"/>
      <c r="O107" s="77" t="s">
        <v>179</v>
      </c>
      <c r="P107" s="79">
        <v>45150.536319444444</v>
      </c>
      <c r="Q107" s="77" t="s">
        <v>1240</v>
      </c>
      <c r="R107" s="77">
        <v>0</v>
      </c>
      <c r="S107" s="77">
        <v>0</v>
      </c>
      <c r="T107" s="77">
        <v>0</v>
      </c>
      <c r="U107" s="77">
        <v>0</v>
      </c>
      <c r="V107" s="77">
        <v>3</v>
      </c>
      <c r="W107" s="82" t="s">
        <v>4123</v>
      </c>
      <c r="X107" s="77"/>
      <c r="Y107" s="77"/>
      <c r="Z107" s="77"/>
      <c r="AA107" s="77" t="s">
        <v>6217</v>
      </c>
      <c r="AB107" s="77" t="s">
        <v>7696</v>
      </c>
      <c r="AC107" s="82" t="s">
        <v>7705</v>
      </c>
      <c r="AD107" s="77" t="s">
        <v>7746</v>
      </c>
      <c r="AE107" s="80" t="str">
        <f>HYPERLINK("https://twitter.com/flaviosouza2810/status/1690345466595020800")</f>
        <v>https://twitter.com/flaviosouza2810/status/1690345466595020800</v>
      </c>
      <c r="AF107" s="79">
        <v>45150.536319444444</v>
      </c>
      <c r="AG107" s="85">
        <v>45150</v>
      </c>
      <c r="AH107" s="82" t="s">
        <v>7857</v>
      </c>
      <c r="AI107" s="77" t="b">
        <v>0</v>
      </c>
      <c r="AJ107" s="77"/>
      <c r="AK107" s="77"/>
      <c r="AL107" s="77"/>
      <c r="AM107" s="77"/>
      <c r="AN107" s="77"/>
      <c r="AO107" s="77"/>
      <c r="AP107" s="77"/>
      <c r="AQ107" s="77" t="s">
        <v>10724</v>
      </c>
      <c r="AR107" s="77"/>
      <c r="AS107" s="77"/>
      <c r="AT107" s="77"/>
      <c r="AU107" s="77"/>
      <c r="AV107" s="80" t="str">
        <f>HYPERLINK("https://pbs.twimg.com/media/F3VQPatW4AA0sIs.jpg")</f>
        <v>https://pbs.twimg.com/media/F3VQPatW4AA0sIs.jpg</v>
      </c>
      <c r="AW107" s="82" t="s">
        <v>12303</v>
      </c>
      <c r="AX107" s="82" t="s">
        <v>12303</v>
      </c>
      <c r="AY107" s="77"/>
      <c r="AZ107" s="82" t="s">
        <v>15804</v>
      </c>
      <c r="BA107" s="82" t="s">
        <v>15804</v>
      </c>
      <c r="BB107" s="82" t="s">
        <v>15804</v>
      </c>
      <c r="BC107" s="82" t="s">
        <v>12303</v>
      </c>
      <c r="BD107" s="82" t="s">
        <v>16162</v>
      </c>
      <c r="BE107" s="77"/>
      <c r="BF107" s="77"/>
      <c r="BG107" s="77"/>
      <c r="BH107" s="77"/>
      <c r="BI107" s="77"/>
    </row>
    <row r="108" spans="1:61" x14ac:dyDescent="0.25">
      <c r="A108" s="62" t="s">
        <v>261</v>
      </c>
      <c r="B108" s="62" t="s">
        <v>261</v>
      </c>
      <c r="C108" s="63"/>
      <c r="D108" s="64"/>
      <c r="E108" s="65"/>
      <c r="F108" s="66"/>
      <c r="G108" s="63"/>
      <c r="H108" s="67"/>
      <c r="I108" s="68"/>
      <c r="J108" s="68"/>
      <c r="K108" s="32"/>
      <c r="L108" s="75">
        <v>108</v>
      </c>
      <c r="M108" s="75"/>
      <c r="N108" s="70"/>
      <c r="O108" s="77" t="s">
        <v>179</v>
      </c>
      <c r="P108" s="79">
        <v>45170.417731481481</v>
      </c>
      <c r="Q108" s="77" t="s">
        <v>1241</v>
      </c>
      <c r="R108" s="77">
        <v>0</v>
      </c>
      <c r="S108" s="77">
        <v>0</v>
      </c>
      <c r="T108" s="77">
        <v>0</v>
      </c>
      <c r="U108" s="77">
        <v>0</v>
      </c>
      <c r="V108" s="77">
        <v>24</v>
      </c>
      <c r="W108" s="82" t="s">
        <v>4123</v>
      </c>
      <c r="X108" s="77"/>
      <c r="Y108" s="77"/>
      <c r="Z108" s="77"/>
      <c r="AA108" s="77" t="s">
        <v>6218</v>
      </c>
      <c r="AB108" s="77" t="s">
        <v>7696</v>
      </c>
      <c r="AC108" s="82" t="s">
        <v>7705</v>
      </c>
      <c r="AD108" s="77" t="s">
        <v>7746</v>
      </c>
      <c r="AE108" s="80" t="str">
        <f>HYPERLINK("https://twitter.com/flaviosouza2810/status/1697550246841053595")</f>
        <v>https://twitter.com/flaviosouza2810/status/1697550246841053595</v>
      </c>
      <c r="AF108" s="79">
        <v>45170.417731481481</v>
      </c>
      <c r="AG108" s="85">
        <v>45170</v>
      </c>
      <c r="AH108" s="82" t="s">
        <v>7858</v>
      </c>
      <c r="AI108" s="77" t="b">
        <v>0</v>
      </c>
      <c r="AJ108" s="77"/>
      <c r="AK108" s="77"/>
      <c r="AL108" s="77"/>
      <c r="AM108" s="77"/>
      <c r="AN108" s="77"/>
      <c r="AO108" s="77"/>
      <c r="AP108" s="77"/>
      <c r="AQ108" s="77" t="s">
        <v>10725</v>
      </c>
      <c r="AR108" s="77"/>
      <c r="AS108" s="77"/>
      <c r="AT108" s="77"/>
      <c r="AU108" s="77"/>
      <c r="AV108" s="80" t="str">
        <f>HYPERLINK("https://pbs.twimg.com/media/F47o8owWoAAphcY.jpg")</f>
        <v>https://pbs.twimg.com/media/F47o8owWoAAphcY.jpg</v>
      </c>
      <c r="AW108" s="82" t="s">
        <v>12304</v>
      </c>
      <c r="AX108" s="82" t="s">
        <v>12304</v>
      </c>
      <c r="AY108" s="77"/>
      <c r="AZ108" s="82" t="s">
        <v>15804</v>
      </c>
      <c r="BA108" s="82" t="s">
        <v>15804</v>
      </c>
      <c r="BB108" s="82" t="s">
        <v>15804</v>
      </c>
      <c r="BC108" s="82" t="s">
        <v>12304</v>
      </c>
      <c r="BD108" s="82" t="s">
        <v>16162</v>
      </c>
      <c r="BE108" s="77"/>
      <c r="BF108" s="77"/>
      <c r="BG108" s="77"/>
      <c r="BH108" s="77"/>
      <c r="BI108" s="77"/>
    </row>
    <row r="109" spans="1:61" x14ac:dyDescent="0.25">
      <c r="A109" s="62" t="s">
        <v>261</v>
      </c>
      <c r="B109" s="62" t="s">
        <v>261</v>
      </c>
      <c r="C109" s="63"/>
      <c r="D109" s="64"/>
      <c r="E109" s="65"/>
      <c r="F109" s="66"/>
      <c r="G109" s="63"/>
      <c r="H109" s="67"/>
      <c r="I109" s="68"/>
      <c r="J109" s="68"/>
      <c r="K109" s="32"/>
      <c r="L109" s="75">
        <v>109</v>
      </c>
      <c r="M109" s="75"/>
      <c r="N109" s="70"/>
      <c r="O109" s="77" t="s">
        <v>179</v>
      </c>
      <c r="P109" s="79">
        <v>45170.41741898148</v>
      </c>
      <c r="Q109" s="77" t="s">
        <v>1242</v>
      </c>
      <c r="R109" s="77">
        <v>0</v>
      </c>
      <c r="S109" s="77">
        <v>0</v>
      </c>
      <c r="T109" s="77">
        <v>0</v>
      </c>
      <c r="U109" s="77">
        <v>0</v>
      </c>
      <c r="V109" s="77">
        <v>16</v>
      </c>
      <c r="W109" s="82" t="s">
        <v>4123</v>
      </c>
      <c r="X109" s="77"/>
      <c r="Y109" s="77"/>
      <c r="Z109" s="77"/>
      <c r="AA109" s="77" t="s">
        <v>6219</v>
      </c>
      <c r="AB109" s="77" t="s">
        <v>7696</v>
      </c>
      <c r="AC109" s="82" t="s">
        <v>7705</v>
      </c>
      <c r="AD109" s="77" t="s">
        <v>7746</v>
      </c>
      <c r="AE109" s="80" t="str">
        <f>HYPERLINK("https://twitter.com/flaviosouza2810/status/1697550134148473056")</f>
        <v>https://twitter.com/flaviosouza2810/status/1697550134148473056</v>
      </c>
      <c r="AF109" s="79">
        <v>45170.41741898148</v>
      </c>
      <c r="AG109" s="85">
        <v>45170</v>
      </c>
      <c r="AH109" s="82" t="s">
        <v>7859</v>
      </c>
      <c r="AI109" s="77" t="b">
        <v>0</v>
      </c>
      <c r="AJ109" s="77"/>
      <c r="AK109" s="77"/>
      <c r="AL109" s="77"/>
      <c r="AM109" s="77"/>
      <c r="AN109" s="77"/>
      <c r="AO109" s="77"/>
      <c r="AP109" s="77"/>
      <c r="AQ109" s="77" t="s">
        <v>10726</v>
      </c>
      <c r="AR109" s="77"/>
      <c r="AS109" s="77"/>
      <c r="AT109" s="77"/>
      <c r="AU109" s="77"/>
      <c r="AV109" s="80" t="str">
        <f>HYPERLINK("https://pbs.twimg.com/media/F47o2VsXkAAaVgP.jpg")</f>
        <v>https://pbs.twimg.com/media/F47o2VsXkAAaVgP.jpg</v>
      </c>
      <c r="AW109" s="82" t="s">
        <v>12305</v>
      </c>
      <c r="AX109" s="82" t="s">
        <v>12305</v>
      </c>
      <c r="AY109" s="77"/>
      <c r="AZ109" s="82" t="s">
        <v>15804</v>
      </c>
      <c r="BA109" s="82" t="s">
        <v>15804</v>
      </c>
      <c r="BB109" s="82" t="s">
        <v>15804</v>
      </c>
      <c r="BC109" s="82" t="s">
        <v>12305</v>
      </c>
      <c r="BD109" s="82" t="s">
        <v>16162</v>
      </c>
      <c r="BE109" s="77"/>
      <c r="BF109" s="77"/>
      <c r="BG109" s="77"/>
      <c r="BH109" s="77"/>
      <c r="BI109" s="77"/>
    </row>
    <row r="110" spans="1:61" x14ac:dyDescent="0.25">
      <c r="A110" s="62" t="s">
        <v>261</v>
      </c>
      <c r="B110" s="62" t="s">
        <v>261</v>
      </c>
      <c r="C110" s="63"/>
      <c r="D110" s="64"/>
      <c r="E110" s="65"/>
      <c r="F110" s="66"/>
      <c r="G110" s="63"/>
      <c r="H110" s="67"/>
      <c r="I110" s="68"/>
      <c r="J110" s="68"/>
      <c r="K110" s="32"/>
      <c r="L110" s="75">
        <v>110</v>
      </c>
      <c r="M110" s="75"/>
      <c r="N110" s="70"/>
      <c r="O110" s="77" t="s">
        <v>179</v>
      </c>
      <c r="P110" s="79">
        <v>45170.417210648149</v>
      </c>
      <c r="Q110" s="77" t="s">
        <v>1243</v>
      </c>
      <c r="R110" s="77">
        <v>0</v>
      </c>
      <c r="S110" s="77">
        <v>0</v>
      </c>
      <c r="T110" s="77">
        <v>0</v>
      </c>
      <c r="U110" s="77">
        <v>0</v>
      </c>
      <c r="V110" s="77">
        <v>13</v>
      </c>
      <c r="W110" s="82" t="s">
        <v>4123</v>
      </c>
      <c r="X110" s="77"/>
      <c r="Y110" s="77"/>
      <c r="Z110" s="77"/>
      <c r="AA110" s="77" t="s">
        <v>6220</v>
      </c>
      <c r="AB110" s="77" t="s">
        <v>7696</v>
      </c>
      <c r="AC110" s="82" t="s">
        <v>7705</v>
      </c>
      <c r="AD110" s="77" t="s">
        <v>7746</v>
      </c>
      <c r="AE110" s="80" t="str">
        <f>HYPERLINK("https://twitter.com/flaviosouza2810/status/1697550056549654606")</f>
        <v>https://twitter.com/flaviosouza2810/status/1697550056549654606</v>
      </c>
      <c r="AF110" s="79">
        <v>45170.417210648149</v>
      </c>
      <c r="AG110" s="85">
        <v>45170</v>
      </c>
      <c r="AH110" s="82" t="s">
        <v>7860</v>
      </c>
      <c r="AI110" s="77" t="b">
        <v>0</v>
      </c>
      <c r="AJ110" s="77"/>
      <c r="AK110" s="77"/>
      <c r="AL110" s="77"/>
      <c r="AM110" s="77"/>
      <c r="AN110" s="77"/>
      <c r="AO110" s="77"/>
      <c r="AP110" s="77"/>
      <c r="AQ110" s="77" t="s">
        <v>10727</v>
      </c>
      <c r="AR110" s="77"/>
      <c r="AS110" s="77"/>
      <c r="AT110" s="77"/>
      <c r="AU110" s="77"/>
      <c r="AV110" s="80" t="str">
        <f>HYPERLINK("https://pbs.twimg.com/media/F47oxjcWYAAiwe1.jpg")</f>
        <v>https://pbs.twimg.com/media/F47oxjcWYAAiwe1.jpg</v>
      </c>
      <c r="AW110" s="82" t="s">
        <v>12306</v>
      </c>
      <c r="AX110" s="82" t="s">
        <v>12306</v>
      </c>
      <c r="AY110" s="77"/>
      <c r="AZ110" s="82" t="s">
        <v>15804</v>
      </c>
      <c r="BA110" s="82" t="s">
        <v>15804</v>
      </c>
      <c r="BB110" s="82" t="s">
        <v>15804</v>
      </c>
      <c r="BC110" s="82" t="s">
        <v>12306</v>
      </c>
      <c r="BD110" s="82" t="s">
        <v>16162</v>
      </c>
      <c r="BE110" s="77"/>
      <c r="BF110" s="77"/>
      <c r="BG110" s="77"/>
      <c r="BH110" s="77"/>
      <c r="BI110" s="77"/>
    </row>
    <row r="111" spans="1:61" x14ac:dyDescent="0.25">
      <c r="A111" s="62" t="s">
        <v>261</v>
      </c>
      <c r="B111" s="62" t="s">
        <v>261</v>
      </c>
      <c r="C111" s="63"/>
      <c r="D111" s="64"/>
      <c r="E111" s="65"/>
      <c r="F111" s="66"/>
      <c r="G111" s="63"/>
      <c r="H111" s="67"/>
      <c r="I111" s="68"/>
      <c r="J111" s="68"/>
      <c r="K111" s="32"/>
      <c r="L111" s="75">
        <v>111</v>
      </c>
      <c r="M111" s="75"/>
      <c r="N111" s="70"/>
      <c r="O111" s="77" t="s">
        <v>179</v>
      </c>
      <c r="P111" s="79">
        <v>45168.382349537038</v>
      </c>
      <c r="Q111" s="77" t="s">
        <v>1244</v>
      </c>
      <c r="R111" s="77">
        <v>0</v>
      </c>
      <c r="S111" s="77">
        <v>0</v>
      </c>
      <c r="T111" s="77">
        <v>0</v>
      </c>
      <c r="U111" s="77">
        <v>0</v>
      </c>
      <c r="V111" s="77">
        <v>13</v>
      </c>
      <c r="W111" s="82" t="s">
        <v>4124</v>
      </c>
      <c r="X111" s="77"/>
      <c r="Y111" s="77"/>
      <c r="Z111" s="77"/>
      <c r="AA111" s="77" t="s">
        <v>6221</v>
      </c>
      <c r="AB111" s="77" t="s">
        <v>7696</v>
      </c>
      <c r="AC111" s="82" t="s">
        <v>7705</v>
      </c>
      <c r="AD111" s="77" t="s">
        <v>7746</v>
      </c>
      <c r="AE111" s="80" t="str">
        <f>HYPERLINK("https://twitter.com/flaviosouza2810/status/1696812647713288549")</f>
        <v>https://twitter.com/flaviosouza2810/status/1696812647713288549</v>
      </c>
      <c r="AF111" s="79">
        <v>45168.382349537038</v>
      </c>
      <c r="AG111" s="85">
        <v>45168</v>
      </c>
      <c r="AH111" s="82" t="s">
        <v>7861</v>
      </c>
      <c r="AI111" s="77" t="b">
        <v>0</v>
      </c>
      <c r="AJ111" s="77"/>
      <c r="AK111" s="77"/>
      <c r="AL111" s="77"/>
      <c r="AM111" s="77"/>
      <c r="AN111" s="77"/>
      <c r="AO111" s="77"/>
      <c r="AP111" s="77"/>
      <c r="AQ111" s="77" t="s">
        <v>10728</v>
      </c>
      <c r="AR111" s="77"/>
      <c r="AS111" s="77"/>
      <c r="AT111" s="77"/>
      <c r="AU111" s="77"/>
      <c r="AV111" s="80" t="str">
        <f>HYPERLINK("https://pbs.twimg.com/media/F4xKG_HWEAAje5Z.jpg")</f>
        <v>https://pbs.twimg.com/media/F4xKG_HWEAAje5Z.jpg</v>
      </c>
      <c r="AW111" s="82" t="s">
        <v>12307</v>
      </c>
      <c r="AX111" s="82" t="s">
        <v>12307</v>
      </c>
      <c r="AY111" s="77"/>
      <c r="AZ111" s="82" t="s">
        <v>15804</v>
      </c>
      <c r="BA111" s="82" t="s">
        <v>15804</v>
      </c>
      <c r="BB111" s="82" t="s">
        <v>15804</v>
      </c>
      <c r="BC111" s="82" t="s">
        <v>12307</v>
      </c>
      <c r="BD111" s="82" t="s">
        <v>16162</v>
      </c>
      <c r="BE111" s="77"/>
      <c r="BF111" s="77"/>
      <c r="BG111" s="77"/>
      <c r="BH111" s="77"/>
      <c r="BI111" s="77"/>
    </row>
    <row r="112" spans="1:61" x14ac:dyDescent="0.25">
      <c r="A112" s="62" t="s">
        <v>261</v>
      </c>
      <c r="B112" s="62" t="s">
        <v>261</v>
      </c>
      <c r="C112" s="63"/>
      <c r="D112" s="64"/>
      <c r="E112" s="65"/>
      <c r="F112" s="66"/>
      <c r="G112" s="63"/>
      <c r="H112" s="67"/>
      <c r="I112" s="68"/>
      <c r="J112" s="68"/>
      <c r="K112" s="32"/>
      <c r="L112" s="75">
        <v>112</v>
      </c>
      <c r="M112" s="75"/>
      <c r="N112" s="70"/>
      <c r="O112" s="77" t="s">
        <v>179</v>
      </c>
      <c r="P112" s="79">
        <v>45168.382094907407</v>
      </c>
      <c r="Q112" s="77" t="s">
        <v>1245</v>
      </c>
      <c r="R112" s="77">
        <v>0</v>
      </c>
      <c r="S112" s="77">
        <v>0</v>
      </c>
      <c r="T112" s="77">
        <v>0</v>
      </c>
      <c r="U112" s="77">
        <v>0</v>
      </c>
      <c r="V112" s="77">
        <v>10</v>
      </c>
      <c r="W112" s="82" t="s">
        <v>4124</v>
      </c>
      <c r="X112" s="77"/>
      <c r="Y112" s="77"/>
      <c r="Z112" s="77"/>
      <c r="AA112" s="77" t="s">
        <v>6222</v>
      </c>
      <c r="AB112" s="77" t="s">
        <v>7696</v>
      </c>
      <c r="AC112" s="82" t="s">
        <v>7705</v>
      </c>
      <c r="AD112" s="77" t="s">
        <v>7746</v>
      </c>
      <c r="AE112" s="80" t="str">
        <f>HYPERLINK("https://twitter.com/flaviosouza2810/status/1696812555774112016")</f>
        <v>https://twitter.com/flaviosouza2810/status/1696812555774112016</v>
      </c>
      <c r="AF112" s="79">
        <v>45168.382094907407</v>
      </c>
      <c r="AG112" s="85">
        <v>45168</v>
      </c>
      <c r="AH112" s="82" t="s">
        <v>7862</v>
      </c>
      <c r="AI112" s="77" t="b">
        <v>0</v>
      </c>
      <c r="AJ112" s="77"/>
      <c r="AK112" s="77"/>
      <c r="AL112" s="77"/>
      <c r="AM112" s="77"/>
      <c r="AN112" s="77"/>
      <c r="AO112" s="77"/>
      <c r="AP112" s="77"/>
      <c r="AQ112" s="77" t="s">
        <v>10729</v>
      </c>
      <c r="AR112" s="77"/>
      <c r="AS112" s="77"/>
      <c r="AT112" s="77"/>
      <c r="AU112" s="77"/>
      <c r="AV112" s="80" t="str">
        <f>HYPERLINK("https://pbs.twimg.com/media/F4xKBp9XMAA00lQ.jpg")</f>
        <v>https://pbs.twimg.com/media/F4xKBp9XMAA00lQ.jpg</v>
      </c>
      <c r="AW112" s="82" t="s">
        <v>12308</v>
      </c>
      <c r="AX112" s="82" t="s">
        <v>12308</v>
      </c>
      <c r="AY112" s="77"/>
      <c r="AZ112" s="82" t="s">
        <v>15804</v>
      </c>
      <c r="BA112" s="82" t="s">
        <v>15804</v>
      </c>
      <c r="BB112" s="82" t="s">
        <v>15804</v>
      </c>
      <c r="BC112" s="82" t="s">
        <v>12308</v>
      </c>
      <c r="BD112" s="82" t="s">
        <v>16162</v>
      </c>
      <c r="BE112" s="77"/>
      <c r="BF112" s="77"/>
      <c r="BG112" s="77"/>
      <c r="BH112" s="77"/>
      <c r="BI112" s="77"/>
    </row>
    <row r="113" spans="1:61" x14ac:dyDescent="0.25">
      <c r="A113" s="62" t="s">
        <v>261</v>
      </c>
      <c r="B113" s="62" t="s">
        <v>261</v>
      </c>
      <c r="C113" s="63"/>
      <c r="D113" s="64"/>
      <c r="E113" s="65"/>
      <c r="F113" s="66"/>
      <c r="G113" s="63"/>
      <c r="H113" s="67"/>
      <c r="I113" s="68"/>
      <c r="J113" s="68"/>
      <c r="K113" s="32"/>
      <c r="L113" s="75">
        <v>113</v>
      </c>
      <c r="M113" s="75"/>
      <c r="N113" s="70"/>
      <c r="O113" s="77" t="s">
        <v>179</v>
      </c>
      <c r="P113" s="79">
        <v>45168.381898148145</v>
      </c>
      <c r="Q113" s="77" t="s">
        <v>1246</v>
      </c>
      <c r="R113" s="77">
        <v>0</v>
      </c>
      <c r="S113" s="77">
        <v>0</v>
      </c>
      <c r="T113" s="77">
        <v>0</v>
      </c>
      <c r="U113" s="77">
        <v>0</v>
      </c>
      <c r="V113" s="77">
        <v>9</v>
      </c>
      <c r="W113" s="82" t="s">
        <v>4124</v>
      </c>
      <c r="X113" s="77"/>
      <c r="Y113" s="77"/>
      <c r="Z113" s="77"/>
      <c r="AA113" s="77" t="s">
        <v>6223</v>
      </c>
      <c r="AB113" s="77" t="s">
        <v>7696</v>
      </c>
      <c r="AC113" s="82" t="s">
        <v>7705</v>
      </c>
      <c r="AD113" s="77" t="s">
        <v>7746</v>
      </c>
      <c r="AE113" s="80" t="str">
        <f>HYPERLINK("https://twitter.com/flaviosouza2810/status/1696812485720846378")</f>
        <v>https://twitter.com/flaviosouza2810/status/1696812485720846378</v>
      </c>
      <c r="AF113" s="79">
        <v>45168.381898148145</v>
      </c>
      <c r="AG113" s="85">
        <v>45168</v>
      </c>
      <c r="AH113" s="82" t="s">
        <v>7863</v>
      </c>
      <c r="AI113" s="77" t="b">
        <v>0</v>
      </c>
      <c r="AJ113" s="77"/>
      <c r="AK113" s="77"/>
      <c r="AL113" s="77"/>
      <c r="AM113" s="77"/>
      <c r="AN113" s="77"/>
      <c r="AO113" s="77"/>
      <c r="AP113" s="77"/>
      <c r="AQ113" s="77" t="s">
        <v>10730</v>
      </c>
      <c r="AR113" s="77"/>
      <c r="AS113" s="77"/>
      <c r="AT113" s="77"/>
      <c r="AU113" s="77"/>
      <c r="AV113" s="80" t="str">
        <f>HYPERLINK("https://pbs.twimg.com/media/F4xJ9ihXEAAT8Ic.jpg")</f>
        <v>https://pbs.twimg.com/media/F4xJ9ihXEAAT8Ic.jpg</v>
      </c>
      <c r="AW113" s="82" t="s">
        <v>12309</v>
      </c>
      <c r="AX113" s="82" t="s">
        <v>12309</v>
      </c>
      <c r="AY113" s="77"/>
      <c r="AZ113" s="82" t="s">
        <v>15804</v>
      </c>
      <c r="BA113" s="82" t="s">
        <v>15804</v>
      </c>
      <c r="BB113" s="82" t="s">
        <v>15804</v>
      </c>
      <c r="BC113" s="82" t="s">
        <v>12309</v>
      </c>
      <c r="BD113" s="82" t="s">
        <v>16162</v>
      </c>
      <c r="BE113" s="77"/>
      <c r="BF113" s="77"/>
      <c r="BG113" s="77"/>
      <c r="BH113" s="77"/>
      <c r="BI113" s="77"/>
    </row>
    <row r="114" spans="1:61" x14ac:dyDescent="0.25">
      <c r="A114" s="62" t="s">
        <v>261</v>
      </c>
      <c r="B114" s="62" t="s">
        <v>261</v>
      </c>
      <c r="C114" s="63"/>
      <c r="D114" s="64"/>
      <c r="E114" s="65"/>
      <c r="F114" s="66"/>
      <c r="G114" s="63"/>
      <c r="H114" s="67"/>
      <c r="I114" s="68"/>
      <c r="J114" s="68"/>
      <c r="K114" s="32"/>
      <c r="L114" s="75">
        <v>114</v>
      </c>
      <c r="M114" s="75"/>
      <c r="N114" s="70"/>
      <c r="O114" s="77" t="s">
        <v>179</v>
      </c>
      <c r="P114" s="79">
        <v>45156.42459490741</v>
      </c>
      <c r="Q114" s="77" t="s">
        <v>1247</v>
      </c>
      <c r="R114" s="77">
        <v>0</v>
      </c>
      <c r="S114" s="77">
        <v>0</v>
      </c>
      <c r="T114" s="77">
        <v>0</v>
      </c>
      <c r="U114" s="77">
        <v>0</v>
      </c>
      <c r="V114" s="77">
        <v>5</v>
      </c>
      <c r="W114" s="82" t="s">
        <v>4124</v>
      </c>
      <c r="X114" s="77"/>
      <c r="Y114" s="77"/>
      <c r="Z114" s="77"/>
      <c r="AA114" s="77" t="s">
        <v>6224</v>
      </c>
      <c r="AB114" s="77" t="s">
        <v>7696</v>
      </c>
      <c r="AC114" s="82" t="s">
        <v>7705</v>
      </c>
      <c r="AD114" s="77" t="s">
        <v>7746</v>
      </c>
      <c r="AE114" s="80" t="str">
        <f>HYPERLINK("https://twitter.com/flaviosouza2810/status/1692479302372139496")</f>
        <v>https://twitter.com/flaviosouza2810/status/1692479302372139496</v>
      </c>
      <c r="AF114" s="79">
        <v>45156.42459490741</v>
      </c>
      <c r="AG114" s="85">
        <v>45156</v>
      </c>
      <c r="AH114" s="82" t="s">
        <v>7864</v>
      </c>
      <c r="AI114" s="77" t="b">
        <v>0</v>
      </c>
      <c r="AJ114" s="77"/>
      <c r="AK114" s="77"/>
      <c r="AL114" s="77"/>
      <c r="AM114" s="77"/>
      <c r="AN114" s="77"/>
      <c r="AO114" s="77"/>
      <c r="AP114" s="77"/>
      <c r="AQ114" s="77" t="s">
        <v>10731</v>
      </c>
      <c r="AR114" s="77"/>
      <c r="AS114" s="77"/>
      <c r="AT114" s="77"/>
      <c r="AU114" s="77"/>
      <c r="AV114" s="80" t="str">
        <f>HYPERLINK("https://pbs.twimg.com/media/F3zk9AIWMAAs6Tz.jpg")</f>
        <v>https://pbs.twimg.com/media/F3zk9AIWMAAs6Tz.jpg</v>
      </c>
      <c r="AW114" s="82" t="s">
        <v>12310</v>
      </c>
      <c r="AX114" s="82" t="s">
        <v>12310</v>
      </c>
      <c r="AY114" s="77"/>
      <c r="AZ114" s="82" t="s">
        <v>15804</v>
      </c>
      <c r="BA114" s="82" t="s">
        <v>15804</v>
      </c>
      <c r="BB114" s="82" t="s">
        <v>15804</v>
      </c>
      <c r="BC114" s="82" t="s">
        <v>12310</v>
      </c>
      <c r="BD114" s="82" t="s">
        <v>16162</v>
      </c>
      <c r="BE114" s="77"/>
      <c r="BF114" s="77"/>
      <c r="BG114" s="77"/>
      <c r="BH114" s="77"/>
      <c r="BI114" s="77"/>
    </row>
    <row r="115" spans="1:61" x14ac:dyDescent="0.25">
      <c r="A115" s="62" t="s">
        <v>261</v>
      </c>
      <c r="B115" s="62" t="s">
        <v>261</v>
      </c>
      <c r="C115" s="63"/>
      <c r="D115" s="64"/>
      <c r="E115" s="65"/>
      <c r="F115" s="66"/>
      <c r="G115" s="63"/>
      <c r="H115" s="67"/>
      <c r="I115" s="68"/>
      <c r="J115" s="68"/>
      <c r="K115" s="32"/>
      <c r="L115" s="75">
        <v>115</v>
      </c>
      <c r="M115" s="75"/>
      <c r="N115" s="70"/>
      <c r="O115" s="77" t="s">
        <v>179</v>
      </c>
      <c r="P115" s="79">
        <v>45155.914803240739</v>
      </c>
      <c r="Q115" s="77" t="s">
        <v>1248</v>
      </c>
      <c r="R115" s="77">
        <v>0</v>
      </c>
      <c r="S115" s="77">
        <v>0</v>
      </c>
      <c r="T115" s="77">
        <v>0</v>
      </c>
      <c r="U115" s="77">
        <v>0</v>
      </c>
      <c r="V115" s="77">
        <v>19</v>
      </c>
      <c r="W115" s="82" t="s">
        <v>4124</v>
      </c>
      <c r="X115" s="77"/>
      <c r="Y115" s="77"/>
      <c r="Z115" s="77"/>
      <c r="AA115" s="77" t="s">
        <v>6225</v>
      </c>
      <c r="AB115" s="77" t="s">
        <v>7696</v>
      </c>
      <c r="AC115" s="82" t="s">
        <v>7705</v>
      </c>
      <c r="AD115" s="77" t="s">
        <v>7746</v>
      </c>
      <c r="AE115" s="80" t="str">
        <f>HYPERLINK("https://twitter.com/flaviosouza2810/status/1692294560410411182")</f>
        <v>https://twitter.com/flaviosouza2810/status/1692294560410411182</v>
      </c>
      <c r="AF115" s="79">
        <v>45155.914803240739</v>
      </c>
      <c r="AG115" s="85">
        <v>45155</v>
      </c>
      <c r="AH115" s="82" t="s">
        <v>7865</v>
      </c>
      <c r="AI115" s="77" t="b">
        <v>0</v>
      </c>
      <c r="AJ115" s="77"/>
      <c r="AK115" s="77"/>
      <c r="AL115" s="77"/>
      <c r="AM115" s="77"/>
      <c r="AN115" s="77"/>
      <c r="AO115" s="77"/>
      <c r="AP115" s="77"/>
      <c r="AQ115" s="77" t="s">
        <v>10732</v>
      </c>
      <c r="AR115" s="77"/>
      <c r="AS115" s="77"/>
      <c r="AT115" s="77"/>
      <c r="AU115" s="77"/>
      <c r="AV115" s="80" t="str">
        <f>HYPERLINK("https://pbs.twimg.com/media/F3w87u3WYAApcPA.jpg")</f>
        <v>https://pbs.twimg.com/media/F3w87u3WYAApcPA.jpg</v>
      </c>
      <c r="AW115" s="82" t="s">
        <v>12311</v>
      </c>
      <c r="AX115" s="82" t="s">
        <v>12311</v>
      </c>
      <c r="AY115" s="77"/>
      <c r="AZ115" s="82" t="s">
        <v>15804</v>
      </c>
      <c r="BA115" s="82" t="s">
        <v>15804</v>
      </c>
      <c r="BB115" s="82" t="s">
        <v>15804</v>
      </c>
      <c r="BC115" s="82" t="s">
        <v>12311</v>
      </c>
      <c r="BD115" s="82" t="s">
        <v>16162</v>
      </c>
      <c r="BE115" s="77"/>
      <c r="BF115" s="77"/>
      <c r="BG115" s="77"/>
      <c r="BH115" s="77"/>
      <c r="BI115" s="77"/>
    </row>
    <row r="116" spans="1:61" x14ac:dyDescent="0.25">
      <c r="A116" s="62" t="s">
        <v>261</v>
      </c>
      <c r="B116" s="62" t="s">
        <v>261</v>
      </c>
      <c r="C116" s="63"/>
      <c r="D116" s="64"/>
      <c r="E116" s="65"/>
      <c r="F116" s="66"/>
      <c r="G116" s="63"/>
      <c r="H116" s="67"/>
      <c r="I116" s="68"/>
      <c r="J116" s="68"/>
      <c r="K116" s="32"/>
      <c r="L116" s="75">
        <v>116</v>
      </c>
      <c r="M116" s="75"/>
      <c r="N116" s="70"/>
      <c r="O116" s="77" t="s">
        <v>179</v>
      </c>
      <c r="P116" s="79">
        <v>45155.415370370371</v>
      </c>
      <c r="Q116" s="77" t="s">
        <v>1249</v>
      </c>
      <c r="R116" s="77">
        <v>0</v>
      </c>
      <c r="S116" s="77">
        <v>0</v>
      </c>
      <c r="T116" s="77">
        <v>0</v>
      </c>
      <c r="U116" s="77">
        <v>0</v>
      </c>
      <c r="V116" s="77">
        <v>5</v>
      </c>
      <c r="W116" s="82" t="s">
        <v>4124</v>
      </c>
      <c r="X116" s="77"/>
      <c r="Y116" s="77"/>
      <c r="Z116" s="77"/>
      <c r="AA116" s="77" t="s">
        <v>6226</v>
      </c>
      <c r="AB116" s="77" t="s">
        <v>7696</v>
      </c>
      <c r="AC116" s="82" t="s">
        <v>7705</v>
      </c>
      <c r="AD116" s="77" t="s">
        <v>7746</v>
      </c>
      <c r="AE116" s="80" t="str">
        <f>HYPERLINK("https://twitter.com/flaviosouza2810/status/1692113573638443198")</f>
        <v>https://twitter.com/flaviosouza2810/status/1692113573638443198</v>
      </c>
      <c r="AF116" s="79">
        <v>45155.415370370371</v>
      </c>
      <c r="AG116" s="85">
        <v>45155</v>
      </c>
      <c r="AH116" s="82" t="s">
        <v>7866</v>
      </c>
      <c r="AI116" s="77" t="b">
        <v>0</v>
      </c>
      <c r="AJ116" s="77"/>
      <c r="AK116" s="77"/>
      <c r="AL116" s="77"/>
      <c r="AM116" s="77"/>
      <c r="AN116" s="77"/>
      <c r="AO116" s="77"/>
      <c r="AP116" s="77"/>
      <c r="AQ116" s="77" t="s">
        <v>10733</v>
      </c>
      <c r="AR116" s="77"/>
      <c r="AS116" s="77"/>
      <c r="AT116" s="77"/>
      <c r="AU116" s="77"/>
      <c r="AV116" s="80" t="str">
        <f>HYPERLINK("https://pbs.twimg.com/media/F3uYU17WoAIByY5.jpg")</f>
        <v>https://pbs.twimg.com/media/F3uYU17WoAIByY5.jpg</v>
      </c>
      <c r="AW116" s="82" t="s">
        <v>12312</v>
      </c>
      <c r="AX116" s="82" t="s">
        <v>12312</v>
      </c>
      <c r="AY116" s="77"/>
      <c r="AZ116" s="82" t="s">
        <v>15804</v>
      </c>
      <c r="BA116" s="82" t="s">
        <v>15804</v>
      </c>
      <c r="BB116" s="82" t="s">
        <v>15804</v>
      </c>
      <c r="BC116" s="82" t="s">
        <v>12312</v>
      </c>
      <c r="BD116" s="82" t="s">
        <v>16162</v>
      </c>
      <c r="BE116" s="77"/>
      <c r="BF116" s="77"/>
      <c r="BG116" s="77"/>
      <c r="BH116" s="77"/>
      <c r="BI116" s="77"/>
    </row>
    <row r="117" spans="1:61" x14ac:dyDescent="0.25">
      <c r="A117" s="62" t="s">
        <v>261</v>
      </c>
      <c r="B117" s="62" t="s">
        <v>261</v>
      </c>
      <c r="C117" s="63"/>
      <c r="D117" s="64"/>
      <c r="E117" s="65"/>
      <c r="F117" s="66"/>
      <c r="G117" s="63"/>
      <c r="H117" s="67"/>
      <c r="I117" s="68"/>
      <c r="J117" s="68"/>
      <c r="K117" s="32"/>
      <c r="L117" s="75">
        <v>117</v>
      </c>
      <c r="M117" s="75"/>
      <c r="N117" s="70"/>
      <c r="O117" s="77" t="s">
        <v>179</v>
      </c>
      <c r="P117" s="79">
        <v>45155.414837962962</v>
      </c>
      <c r="Q117" s="77" t="s">
        <v>1250</v>
      </c>
      <c r="R117" s="77">
        <v>0</v>
      </c>
      <c r="S117" s="77">
        <v>0</v>
      </c>
      <c r="T117" s="77">
        <v>0</v>
      </c>
      <c r="U117" s="77">
        <v>0</v>
      </c>
      <c r="V117" s="77">
        <v>5</v>
      </c>
      <c r="W117" s="82" t="s">
        <v>4124</v>
      </c>
      <c r="X117" s="77"/>
      <c r="Y117" s="77"/>
      <c r="Z117" s="77"/>
      <c r="AA117" s="77" t="s">
        <v>6227</v>
      </c>
      <c r="AB117" s="77" t="s">
        <v>7696</v>
      </c>
      <c r="AC117" s="82" t="s">
        <v>7705</v>
      </c>
      <c r="AD117" s="77" t="s">
        <v>7746</v>
      </c>
      <c r="AE117" s="80" t="str">
        <f>HYPERLINK("https://twitter.com/flaviosouza2810/status/1692113379492573447")</f>
        <v>https://twitter.com/flaviosouza2810/status/1692113379492573447</v>
      </c>
      <c r="AF117" s="79">
        <v>45155.414837962962</v>
      </c>
      <c r="AG117" s="85">
        <v>45155</v>
      </c>
      <c r="AH117" s="82" t="s">
        <v>7867</v>
      </c>
      <c r="AI117" s="77" t="b">
        <v>0</v>
      </c>
      <c r="AJ117" s="77"/>
      <c r="AK117" s="77"/>
      <c r="AL117" s="77"/>
      <c r="AM117" s="77"/>
      <c r="AN117" s="77"/>
      <c r="AO117" s="77"/>
      <c r="AP117" s="77"/>
      <c r="AQ117" s="77" t="s">
        <v>10734</v>
      </c>
      <c r="AR117" s="77"/>
      <c r="AS117" s="77"/>
      <c r="AT117" s="77"/>
      <c r="AU117" s="77"/>
      <c r="AV117" s="80" t="str">
        <f>HYPERLINK("https://pbs.twimg.com/media/F3uYJoOW8AIN3xn.jpg")</f>
        <v>https://pbs.twimg.com/media/F3uYJoOW8AIN3xn.jpg</v>
      </c>
      <c r="AW117" s="82" t="s">
        <v>12313</v>
      </c>
      <c r="AX117" s="82" t="s">
        <v>12313</v>
      </c>
      <c r="AY117" s="77"/>
      <c r="AZ117" s="82" t="s">
        <v>15804</v>
      </c>
      <c r="BA117" s="82" t="s">
        <v>15804</v>
      </c>
      <c r="BB117" s="82" t="s">
        <v>15804</v>
      </c>
      <c r="BC117" s="82" t="s">
        <v>12313</v>
      </c>
      <c r="BD117" s="82" t="s">
        <v>16162</v>
      </c>
      <c r="BE117" s="77"/>
      <c r="BF117" s="77"/>
      <c r="BG117" s="77"/>
      <c r="BH117" s="77"/>
      <c r="BI117" s="77"/>
    </row>
    <row r="118" spans="1:61" x14ac:dyDescent="0.25">
      <c r="A118" s="62" t="s">
        <v>261</v>
      </c>
      <c r="B118" s="62" t="s">
        <v>261</v>
      </c>
      <c r="C118" s="63"/>
      <c r="D118" s="64"/>
      <c r="E118" s="65"/>
      <c r="F118" s="66"/>
      <c r="G118" s="63"/>
      <c r="H118" s="67"/>
      <c r="I118" s="68"/>
      <c r="J118" s="68"/>
      <c r="K118" s="32"/>
      <c r="L118" s="75">
        <v>118</v>
      </c>
      <c r="M118" s="75"/>
      <c r="N118" s="70"/>
      <c r="O118" s="77" t="s">
        <v>179</v>
      </c>
      <c r="P118" s="79">
        <v>45155.414444444446</v>
      </c>
      <c r="Q118" s="77" t="s">
        <v>1251</v>
      </c>
      <c r="R118" s="77">
        <v>0</v>
      </c>
      <c r="S118" s="77">
        <v>0</v>
      </c>
      <c r="T118" s="77">
        <v>0</v>
      </c>
      <c r="U118" s="77">
        <v>0</v>
      </c>
      <c r="V118" s="77">
        <v>5</v>
      </c>
      <c r="W118" s="82" t="s">
        <v>4123</v>
      </c>
      <c r="X118" s="77"/>
      <c r="Y118" s="77"/>
      <c r="Z118" s="77"/>
      <c r="AA118" s="77" t="s">
        <v>6228</v>
      </c>
      <c r="AB118" s="77" t="s">
        <v>7696</v>
      </c>
      <c r="AC118" s="82" t="s">
        <v>7705</v>
      </c>
      <c r="AD118" s="77" t="s">
        <v>7746</v>
      </c>
      <c r="AE118" s="80" t="str">
        <f>HYPERLINK("https://twitter.com/flaviosouza2810/status/1692113238224142547")</f>
        <v>https://twitter.com/flaviosouza2810/status/1692113238224142547</v>
      </c>
      <c r="AF118" s="79">
        <v>45155.414444444446</v>
      </c>
      <c r="AG118" s="85">
        <v>45155</v>
      </c>
      <c r="AH118" s="82" t="s">
        <v>7868</v>
      </c>
      <c r="AI118" s="77" t="b">
        <v>0</v>
      </c>
      <c r="AJ118" s="77"/>
      <c r="AK118" s="77"/>
      <c r="AL118" s="77"/>
      <c r="AM118" s="77"/>
      <c r="AN118" s="77"/>
      <c r="AO118" s="77"/>
      <c r="AP118" s="77"/>
      <c r="AQ118" s="77" t="s">
        <v>10735</v>
      </c>
      <c r="AR118" s="77"/>
      <c r="AS118" s="77"/>
      <c r="AT118" s="77"/>
      <c r="AU118" s="77"/>
      <c r="AV118" s="80" t="str">
        <f>HYPERLINK("https://pbs.twimg.com/media/F3uYBWhXMAMuMtZ.jpg")</f>
        <v>https://pbs.twimg.com/media/F3uYBWhXMAMuMtZ.jpg</v>
      </c>
      <c r="AW118" s="82" t="s">
        <v>12314</v>
      </c>
      <c r="AX118" s="82" t="s">
        <v>12314</v>
      </c>
      <c r="AY118" s="77"/>
      <c r="AZ118" s="82" t="s">
        <v>15804</v>
      </c>
      <c r="BA118" s="82" t="s">
        <v>15804</v>
      </c>
      <c r="BB118" s="82" t="s">
        <v>15804</v>
      </c>
      <c r="BC118" s="82" t="s">
        <v>12314</v>
      </c>
      <c r="BD118" s="82" t="s">
        <v>16162</v>
      </c>
      <c r="BE118" s="77"/>
      <c r="BF118" s="77"/>
      <c r="BG118" s="77"/>
      <c r="BH118" s="77"/>
      <c r="BI118" s="77"/>
    </row>
    <row r="119" spans="1:61" x14ac:dyDescent="0.25">
      <c r="A119" s="62" t="s">
        <v>261</v>
      </c>
      <c r="B119" s="62" t="s">
        <v>261</v>
      </c>
      <c r="C119" s="63"/>
      <c r="D119" s="64"/>
      <c r="E119" s="65"/>
      <c r="F119" s="66"/>
      <c r="G119" s="63"/>
      <c r="H119" s="67"/>
      <c r="I119" s="68"/>
      <c r="J119" s="68"/>
      <c r="K119" s="32"/>
      <c r="L119" s="75">
        <v>119</v>
      </c>
      <c r="M119" s="75"/>
      <c r="N119" s="70"/>
      <c r="O119" s="77" t="s">
        <v>179</v>
      </c>
      <c r="P119" s="79">
        <v>45154.884120370371</v>
      </c>
      <c r="Q119" s="77" t="s">
        <v>1252</v>
      </c>
      <c r="R119" s="77">
        <v>0</v>
      </c>
      <c r="S119" s="77">
        <v>0</v>
      </c>
      <c r="T119" s="77">
        <v>0</v>
      </c>
      <c r="U119" s="77">
        <v>0</v>
      </c>
      <c r="V119" s="77">
        <v>5</v>
      </c>
      <c r="W119" s="82" t="s">
        <v>4123</v>
      </c>
      <c r="X119" s="77"/>
      <c r="Y119" s="77"/>
      <c r="Z119" s="77"/>
      <c r="AA119" s="77" t="s">
        <v>6229</v>
      </c>
      <c r="AB119" s="77" t="s">
        <v>7696</v>
      </c>
      <c r="AC119" s="82" t="s">
        <v>7705</v>
      </c>
      <c r="AD119" s="77" t="s">
        <v>7746</v>
      </c>
      <c r="AE119" s="80" t="str">
        <f>HYPERLINK("https://twitter.com/flaviosouza2810/status/1691921055965757608")</f>
        <v>https://twitter.com/flaviosouza2810/status/1691921055965757608</v>
      </c>
      <c r="AF119" s="79">
        <v>45154.884120370371</v>
      </c>
      <c r="AG119" s="85">
        <v>45154</v>
      </c>
      <c r="AH119" s="82" t="s">
        <v>7869</v>
      </c>
      <c r="AI119" s="77" t="b">
        <v>0</v>
      </c>
      <c r="AJ119" s="77"/>
      <c r="AK119" s="77"/>
      <c r="AL119" s="77"/>
      <c r="AM119" s="77"/>
      <c r="AN119" s="77"/>
      <c r="AO119" s="77"/>
      <c r="AP119" s="77"/>
      <c r="AQ119" s="77" t="s">
        <v>10736</v>
      </c>
      <c r="AR119" s="77"/>
      <c r="AS119" s="77"/>
      <c r="AT119" s="77"/>
      <c r="AU119" s="77"/>
      <c r="AV119" s="80" t="str">
        <f>HYPERLINK("https://pbs.twimg.com/media/F3rpOZnXwAAZ2Vy.jpg")</f>
        <v>https://pbs.twimg.com/media/F3rpOZnXwAAZ2Vy.jpg</v>
      </c>
      <c r="AW119" s="82" t="s">
        <v>12315</v>
      </c>
      <c r="AX119" s="82" t="s">
        <v>12315</v>
      </c>
      <c r="AY119" s="77"/>
      <c r="AZ119" s="82" t="s">
        <v>15804</v>
      </c>
      <c r="BA119" s="82" t="s">
        <v>15804</v>
      </c>
      <c r="BB119" s="82" t="s">
        <v>15804</v>
      </c>
      <c r="BC119" s="82" t="s">
        <v>12315</v>
      </c>
      <c r="BD119" s="82" t="s">
        <v>16162</v>
      </c>
      <c r="BE119" s="77"/>
      <c r="BF119" s="77"/>
      <c r="BG119" s="77"/>
      <c r="BH119" s="77"/>
      <c r="BI119" s="77"/>
    </row>
    <row r="120" spans="1:61" x14ac:dyDescent="0.25">
      <c r="A120" s="62" t="s">
        <v>261</v>
      </c>
      <c r="B120" s="62" t="s">
        <v>261</v>
      </c>
      <c r="C120" s="63"/>
      <c r="D120" s="64"/>
      <c r="E120" s="65"/>
      <c r="F120" s="66"/>
      <c r="G120" s="63"/>
      <c r="H120" s="67"/>
      <c r="I120" s="68"/>
      <c r="J120" s="68"/>
      <c r="K120" s="32"/>
      <c r="L120" s="75">
        <v>120</v>
      </c>
      <c r="M120" s="75"/>
      <c r="N120" s="70"/>
      <c r="O120" s="77" t="s">
        <v>179</v>
      </c>
      <c r="P120" s="79">
        <v>45154.416875000003</v>
      </c>
      <c r="Q120" s="77" t="s">
        <v>1253</v>
      </c>
      <c r="R120" s="77">
        <v>0</v>
      </c>
      <c r="S120" s="77">
        <v>0</v>
      </c>
      <c r="T120" s="77">
        <v>0</v>
      </c>
      <c r="U120" s="77">
        <v>0</v>
      </c>
      <c r="V120" s="77">
        <v>2</v>
      </c>
      <c r="W120" s="82" t="s">
        <v>4123</v>
      </c>
      <c r="X120" s="77"/>
      <c r="Y120" s="77"/>
      <c r="Z120" s="77"/>
      <c r="AA120" s="77" t="s">
        <v>6230</v>
      </c>
      <c r="AB120" s="77" t="s">
        <v>7696</v>
      </c>
      <c r="AC120" s="82" t="s">
        <v>7705</v>
      </c>
      <c r="AD120" s="77" t="s">
        <v>7746</v>
      </c>
      <c r="AE120" s="80" t="str">
        <f>HYPERLINK("https://twitter.com/flaviosouza2810/status/1691751730122231906")</f>
        <v>https://twitter.com/flaviosouza2810/status/1691751730122231906</v>
      </c>
      <c r="AF120" s="79">
        <v>45154.416875000003</v>
      </c>
      <c r="AG120" s="85">
        <v>45154</v>
      </c>
      <c r="AH120" s="82" t="s">
        <v>7870</v>
      </c>
      <c r="AI120" s="77" t="b">
        <v>0</v>
      </c>
      <c r="AJ120" s="77"/>
      <c r="AK120" s="77"/>
      <c r="AL120" s="77"/>
      <c r="AM120" s="77"/>
      <c r="AN120" s="77"/>
      <c r="AO120" s="77"/>
      <c r="AP120" s="77"/>
      <c r="AQ120" s="77" t="s">
        <v>10737</v>
      </c>
      <c r="AR120" s="77"/>
      <c r="AS120" s="77"/>
      <c r="AT120" s="77"/>
      <c r="AU120" s="77"/>
      <c r="AV120" s="80" t="str">
        <f>HYPERLINK("https://pbs.twimg.com/media/F3pPO1cXcAAVo-h.jpg")</f>
        <v>https://pbs.twimg.com/media/F3pPO1cXcAAVo-h.jpg</v>
      </c>
      <c r="AW120" s="82" t="s">
        <v>12316</v>
      </c>
      <c r="AX120" s="82" t="s">
        <v>12316</v>
      </c>
      <c r="AY120" s="77"/>
      <c r="AZ120" s="82" t="s">
        <v>15804</v>
      </c>
      <c r="BA120" s="82" t="s">
        <v>15804</v>
      </c>
      <c r="BB120" s="82" t="s">
        <v>15804</v>
      </c>
      <c r="BC120" s="82" t="s">
        <v>12316</v>
      </c>
      <c r="BD120" s="82" t="s">
        <v>16162</v>
      </c>
      <c r="BE120" s="77"/>
      <c r="BF120" s="77"/>
      <c r="BG120" s="77"/>
      <c r="BH120" s="77"/>
      <c r="BI120" s="77"/>
    </row>
    <row r="121" spans="1:61" x14ac:dyDescent="0.25">
      <c r="A121" s="62" t="s">
        <v>261</v>
      </c>
      <c r="B121" s="62" t="s">
        <v>261</v>
      </c>
      <c r="C121" s="63"/>
      <c r="D121" s="64"/>
      <c r="E121" s="65"/>
      <c r="F121" s="66"/>
      <c r="G121" s="63"/>
      <c r="H121" s="67"/>
      <c r="I121" s="68"/>
      <c r="J121" s="68"/>
      <c r="K121" s="32"/>
      <c r="L121" s="75">
        <v>121</v>
      </c>
      <c r="M121" s="75"/>
      <c r="N121" s="70"/>
      <c r="O121" s="77" t="s">
        <v>179</v>
      </c>
      <c r="P121" s="79">
        <v>45154.416620370372</v>
      </c>
      <c r="Q121" s="77" t="s">
        <v>1254</v>
      </c>
      <c r="R121" s="77">
        <v>0</v>
      </c>
      <c r="S121" s="77">
        <v>0</v>
      </c>
      <c r="T121" s="77">
        <v>0</v>
      </c>
      <c r="U121" s="77">
        <v>0</v>
      </c>
      <c r="V121" s="77">
        <v>1</v>
      </c>
      <c r="W121" s="82" t="s">
        <v>4123</v>
      </c>
      <c r="X121" s="77"/>
      <c r="Y121" s="77"/>
      <c r="Z121" s="77"/>
      <c r="AA121" s="77" t="s">
        <v>6231</v>
      </c>
      <c r="AB121" s="77" t="s">
        <v>7696</v>
      </c>
      <c r="AC121" s="82" t="s">
        <v>7705</v>
      </c>
      <c r="AD121" s="77" t="s">
        <v>7746</v>
      </c>
      <c r="AE121" s="80" t="str">
        <f>HYPERLINK("https://twitter.com/flaviosouza2810/status/1691751636790645146")</f>
        <v>https://twitter.com/flaviosouza2810/status/1691751636790645146</v>
      </c>
      <c r="AF121" s="79">
        <v>45154.416620370372</v>
      </c>
      <c r="AG121" s="85">
        <v>45154</v>
      </c>
      <c r="AH121" s="82" t="s">
        <v>7871</v>
      </c>
      <c r="AI121" s="77" t="b">
        <v>0</v>
      </c>
      <c r="AJ121" s="77"/>
      <c r="AK121" s="77"/>
      <c r="AL121" s="77"/>
      <c r="AM121" s="77"/>
      <c r="AN121" s="77"/>
      <c r="AO121" s="77"/>
      <c r="AP121" s="77"/>
      <c r="AQ121" s="77" t="s">
        <v>10738</v>
      </c>
      <c r="AR121" s="77"/>
      <c r="AS121" s="77"/>
      <c r="AT121" s="77"/>
      <c r="AU121" s="77"/>
      <c r="AV121" s="80" t="str">
        <f>HYPERLINK("https://pbs.twimg.com/media/F3pPJVNXcAABRCt.jpg")</f>
        <v>https://pbs.twimg.com/media/F3pPJVNXcAABRCt.jpg</v>
      </c>
      <c r="AW121" s="82" t="s">
        <v>12317</v>
      </c>
      <c r="AX121" s="82" t="s">
        <v>12317</v>
      </c>
      <c r="AY121" s="77"/>
      <c r="AZ121" s="82" t="s">
        <v>15804</v>
      </c>
      <c r="BA121" s="82" t="s">
        <v>15804</v>
      </c>
      <c r="BB121" s="82" t="s">
        <v>15804</v>
      </c>
      <c r="BC121" s="82" t="s">
        <v>12317</v>
      </c>
      <c r="BD121" s="82" t="s">
        <v>16162</v>
      </c>
      <c r="BE121" s="77"/>
      <c r="BF121" s="77"/>
      <c r="BG121" s="77"/>
      <c r="BH121" s="77"/>
      <c r="BI121" s="77"/>
    </row>
    <row r="122" spans="1:61" x14ac:dyDescent="0.25">
      <c r="A122" s="62" t="s">
        <v>261</v>
      </c>
      <c r="B122" s="62" t="s">
        <v>261</v>
      </c>
      <c r="C122" s="63"/>
      <c r="D122" s="64"/>
      <c r="E122" s="65"/>
      <c r="F122" s="66"/>
      <c r="G122" s="63"/>
      <c r="H122" s="67"/>
      <c r="I122" s="68"/>
      <c r="J122" s="68"/>
      <c r="K122" s="32"/>
      <c r="L122" s="75">
        <v>122</v>
      </c>
      <c r="M122" s="75"/>
      <c r="N122" s="70"/>
      <c r="O122" s="77" t="s">
        <v>179</v>
      </c>
      <c r="P122" s="79">
        <v>45154.416041666664</v>
      </c>
      <c r="Q122" s="77" t="s">
        <v>1255</v>
      </c>
      <c r="R122" s="77">
        <v>0</v>
      </c>
      <c r="S122" s="77">
        <v>0</v>
      </c>
      <c r="T122" s="77">
        <v>0</v>
      </c>
      <c r="U122" s="77">
        <v>0</v>
      </c>
      <c r="V122" s="77">
        <v>3</v>
      </c>
      <c r="W122" s="82" t="s">
        <v>4123</v>
      </c>
      <c r="X122" s="77"/>
      <c r="Y122" s="77"/>
      <c r="Z122" s="77"/>
      <c r="AA122" s="77" t="s">
        <v>6232</v>
      </c>
      <c r="AB122" s="77" t="s">
        <v>7696</v>
      </c>
      <c r="AC122" s="82" t="s">
        <v>7705</v>
      </c>
      <c r="AD122" s="77" t="s">
        <v>7746</v>
      </c>
      <c r="AE122" s="80" t="str">
        <f>HYPERLINK("https://twitter.com/flaviosouza2810/status/1691751429705211971")</f>
        <v>https://twitter.com/flaviosouza2810/status/1691751429705211971</v>
      </c>
      <c r="AF122" s="79">
        <v>45154.416041666664</v>
      </c>
      <c r="AG122" s="85">
        <v>45154</v>
      </c>
      <c r="AH122" s="82" t="s">
        <v>7872</v>
      </c>
      <c r="AI122" s="77" t="b">
        <v>0</v>
      </c>
      <c r="AJ122" s="77"/>
      <c r="AK122" s="77"/>
      <c r="AL122" s="77"/>
      <c r="AM122" s="77"/>
      <c r="AN122" s="77"/>
      <c r="AO122" s="77"/>
      <c r="AP122" s="77"/>
      <c r="AQ122" s="77" t="s">
        <v>10739</v>
      </c>
      <c r="AR122" s="77"/>
      <c r="AS122" s="77"/>
      <c r="AT122" s="77"/>
      <c r="AU122" s="77"/>
      <c r="AV122" s="80" t="str">
        <f>HYPERLINK("https://pbs.twimg.com/media/F3pO9VlWUAAIsPr.jpg")</f>
        <v>https://pbs.twimg.com/media/F3pO9VlWUAAIsPr.jpg</v>
      </c>
      <c r="AW122" s="82" t="s">
        <v>12318</v>
      </c>
      <c r="AX122" s="82" t="s">
        <v>12318</v>
      </c>
      <c r="AY122" s="77"/>
      <c r="AZ122" s="82" t="s">
        <v>15804</v>
      </c>
      <c r="BA122" s="82" t="s">
        <v>15804</v>
      </c>
      <c r="BB122" s="82" t="s">
        <v>15804</v>
      </c>
      <c r="BC122" s="82" t="s">
        <v>12318</v>
      </c>
      <c r="BD122" s="82" t="s">
        <v>16162</v>
      </c>
      <c r="BE122" s="77"/>
      <c r="BF122" s="77"/>
      <c r="BG122" s="77"/>
      <c r="BH122" s="77"/>
      <c r="BI122" s="77"/>
    </row>
    <row r="123" spans="1:61" x14ac:dyDescent="0.25">
      <c r="A123" s="62" t="s">
        <v>261</v>
      </c>
      <c r="B123" s="62" t="s">
        <v>261</v>
      </c>
      <c r="C123" s="63"/>
      <c r="D123" s="64"/>
      <c r="E123" s="65"/>
      <c r="F123" s="66"/>
      <c r="G123" s="63"/>
      <c r="H123" s="67"/>
      <c r="I123" s="68"/>
      <c r="J123" s="68"/>
      <c r="K123" s="32"/>
      <c r="L123" s="75">
        <v>123</v>
      </c>
      <c r="M123" s="75"/>
      <c r="N123" s="70"/>
      <c r="O123" s="77" t="s">
        <v>179</v>
      </c>
      <c r="P123" s="79">
        <v>45118.432696759257</v>
      </c>
      <c r="Q123" s="77" t="s">
        <v>1256</v>
      </c>
      <c r="R123" s="77">
        <v>0</v>
      </c>
      <c r="S123" s="77">
        <v>0</v>
      </c>
      <c r="T123" s="77">
        <v>0</v>
      </c>
      <c r="U123" s="77">
        <v>0</v>
      </c>
      <c r="V123" s="77">
        <v>13</v>
      </c>
      <c r="W123" s="82" t="s">
        <v>4126</v>
      </c>
      <c r="X123" s="77"/>
      <c r="Y123" s="77"/>
      <c r="Z123" s="77"/>
      <c r="AA123" s="77" t="s">
        <v>6233</v>
      </c>
      <c r="AB123" s="77" t="s">
        <v>7696</v>
      </c>
      <c r="AC123" s="82" t="s">
        <v>7705</v>
      </c>
      <c r="AD123" s="77" t="s">
        <v>7746</v>
      </c>
      <c r="AE123" s="80" t="str">
        <f>HYPERLINK("https://twitter.com/flaviosouza2810/status/1678711500251201537")</f>
        <v>https://twitter.com/flaviosouza2810/status/1678711500251201537</v>
      </c>
      <c r="AF123" s="79">
        <v>45118.432696759257</v>
      </c>
      <c r="AG123" s="85">
        <v>45118</v>
      </c>
      <c r="AH123" s="82" t="s">
        <v>7873</v>
      </c>
      <c r="AI123" s="77" t="b">
        <v>0</v>
      </c>
      <c r="AJ123" s="77"/>
      <c r="AK123" s="77"/>
      <c r="AL123" s="77"/>
      <c r="AM123" s="77"/>
      <c r="AN123" s="77"/>
      <c r="AO123" s="77"/>
      <c r="AP123" s="77"/>
      <c r="AQ123" s="77" t="s">
        <v>10740</v>
      </c>
      <c r="AR123" s="77"/>
      <c r="AS123" s="77"/>
      <c r="AT123" s="77"/>
      <c r="AU123" s="77"/>
      <c r="AV123" s="80" t="str">
        <f>HYPERLINK("https://pbs.twimg.com/media/F0v7NiQXoAArGMg.jpg")</f>
        <v>https://pbs.twimg.com/media/F0v7NiQXoAArGMg.jpg</v>
      </c>
      <c r="AW123" s="82" t="s">
        <v>12319</v>
      </c>
      <c r="AX123" s="82" t="s">
        <v>12319</v>
      </c>
      <c r="AY123" s="77"/>
      <c r="AZ123" s="82" t="s">
        <v>15804</v>
      </c>
      <c r="BA123" s="82" t="s">
        <v>15804</v>
      </c>
      <c r="BB123" s="82" t="s">
        <v>15804</v>
      </c>
      <c r="BC123" s="82" t="s">
        <v>12319</v>
      </c>
      <c r="BD123" s="82" t="s">
        <v>16162</v>
      </c>
      <c r="BE123" s="77"/>
      <c r="BF123" s="77"/>
      <c r="BG123" s="77"/>
      <c r="BH123" s="77"/>
      <c r="BI123" s="77"/>
    </row>
    <row r="124" spans="1:61" x14ac:dyDescent="0.25">
      <c r="A124" s="62" t="s">
        <v>261</v>
      </c>
      <c r="B124" s="62" t="s">
        <v>261</v>
      </c>
      <c r="C124" s="63"/>
      <c r="D124" s="64"/>
      <c r="E124" s="65"/>
      <c r="F124" s="66"/>
      <c r="G124" s="63"/>
      <c r="H124" s="67"/>
      <c r="I124" s="68"/>
      <c r="J124" s="68"/>
      <c r="K124" s="32"/>
      <c r="L124" s="75">
        <v>124</v>
      </c>
      <c r="M124" s="75"/>
      <c r="N124" s="70"/>
      <c r="O124" s="77" t="s">
        <v>179</v>
      </c>
      <c r="P124" s="79">
        <v>45100.925081018519</v>
      </c>
      <c r="Q124" s="77" t="s">
        <v>1257</v>
      </c>
      <c r="R124" s="77">
        <v>0</v>
      </c>
      <c r="S124" s="77">
        <v>0</v>
      </c>
      <c r="T124" s="77">
        <v>0</v>
      </c>
      <c r="U124" s="77">
        <v>0</v>
      </c>
      <c r="V124" s="77">
        <v>34</v>
      </c>
      <c r="W124" s="82" t="s">
        <v>4127</v>
      </c>
      <c r="X124" s="77"/>
      <c r="Y124" s="77"/>
      <c r="Z124" s="77"/>
      <c r="AA124" s="77" t="s">
        <v>6234</v>
      </c>
      <c r="AB124" s="77" t="s">
        <v>7696</v>
      </c>
      <c r="AC124" s="82" t="s">
        <v>7705</v>
      </c>
      <c r="AD124" s="77" t="s">
        <v>7746</v>
      </c>
      <c r="AE124" s="80" t="str">
        <f>HYPERLINK("https://twitter.com/flaviosouza2810/status/1672366953174908928")</f>
        <v>https://twitter.com/flaviosouza2810/status/1672366953174908928</v>
      </c>
      <c r="AF124" s="79">
        <v>45100.925081018519</v>
      </c>
      <c r="AG124" s="85">
        <v>45100</v>
      </c>
      <c r="AH124" s="82" t="s">
        <v>7874</v>
      </c>
      <c r="AI124" s="77" t="b">
        <v>0</v>
      </c>
      <c r="AJ124" s="77"/>
      <c r="AK124" s="77"/>
      <c r="AL124" s="77"/>
      <c r="AM124" s="77"/>
      <c r="AN124" s="77"/>
      <c r="AO124" s="77"/>
      <c r="AP124" s="77"/>
      <c r="AQ124" s="77" t="s">
        <v>10741</v>
      </c>
      <c r="AR124" s="77"/>
      <c r="AS124" s="77"/>
      <c r="AT124" s="77"/>
      <c r="AU124" s="77"/>
      <c r="AV124" s="80" t="str">
        <f>HYPERLINK("https://pbs.twimg.com/media/FzVw4KGWAAAq0uS.jpg")</f>
        <v>https://pbs.twimg.com/media/FzVw4KGWAAAq0uS.jpg</v>
      </c>
      <c r="AW124" s="82" t="s">
        <v>12320</v>
      </c>
      <c r="AX124" s="82" t="s">
        <v>12320</v>
      </c>
      <c r="AY124" s="77"/>
      <c r="AZ124" s="82" t="s">
        <v>15804</v>
      </c>
      <c r="BA124" s="82" t="s">
        <v>15804</v>
      </c>
      <c r="BB124" s="82" t="s">
        <v>15804</v>
      </c>
      <c r="BC124" s="82" t="s">
        <v>12320</v>
      </c>
      <c r="BD124" s="82" t="s">
        <v>16162</v>
      </c>
      <c r="BE124" s="77"/>
      <c r="BF124" s="77"/>
      <c r="BG124" s="77"/>
      <c r="BH124" s="77"/>
      <c r="BI124" s="77"/>
    </row>
    <row r="125" spans="1:61" x14ac:dyDescent="0.25">
      <c r="A125" s="62" t="s">
        <v>262</v>
      </c>
      <c r="B125" s="62" t="s">
        <v>262</v>
      </c>
      <c r="C125" s="63"/>
      <c r="D125" s="64"/>
      <c r="E125" s="65"/>
      <c r="F125" s="66"/>
      <c r="G125" s="63"/>
      <c r="H125" s="67"/>
      <c r="I125" s="68"/>
      <c r="J125" s="68"/>
      <c r="K125" s="32"/>
      <c r="L125" s="75">
        <v>125</v>
      </c>
      <c r="M125" s="75"/>
      <c r="N125" s="70"/>
      <c r="O125" s="77" t="s">
        <v>179</v>
      </c>
      <c r="P125" s="79">
        <v>44992.995335648149</v>
      </c>
      <c r="Q125" s="77" t="s">
        <v>1258</v>
      </c>
      <c r="R125" s="77">
        <v>0</v>
      </c>
      <c r="S125" s="77">
        <v>0</v>
      </c>
      <c r="T125" s="77">
        <v>0</v>
      </c>
      <c r="U125" s="77">
        <v>0</v>
      </c>
      <c r="V125" s="77">
        <v>5</v>
      </c>
      <c r="W125" s="82" t="s">
        <v>4128</v>
      </c>
      <c r="X125" s="77" t="s">
        <v>5987</v>
      </c>
      <c r="Y125" s="77" t="s">
        <v>6008</v>
      </c>
      <c r="Z125" s="77"/>
      <c r="AA125" s="77" t="s">
        <v>6235</v>
      </c>
      <c r="AB125" s="77" t="s">
        <v>7696</v>
      </c>
      <c r="AC125" s="82" t="s">
        <v>7707</v>
      </c>
      <c r="AD125" s="77" t="s">
        <v>7745</v>
      </c>
      <c r="AE125" s="80" t="str">
        <f>HYPERLINK("https://twitter.com/ocesarkato/status/1633254522788225026")</f>
        <v>https://twitter.com/ocesarkato/status/1633254522788225026</v>
      </c>
      <c r="AF125" s="79">
        <v>44992.995335648149</v>
      </c>
      <c r="AG125" s="85">
        <v>44992</v>
      </c>
      <c r="AH125" s="82" t="s">
        <v>7875</v>
      </c>
      <c r="AI125" s="77" t="b">
        <v>0</v>
      </c>
      <c r="AJ125" s="77"/>
      <c r="AK125" s="77"/>
      <c r="AL125" s="77"/>
      <c r="AM125" s="77"/>
      <c r="AN125" s="77"/>
      <c r="AO125" s="77"/>
      <c r="AP125" s="77"/>
      <c r="AQ125" s="77" t="s">
        <v>10742</v>
      </c>
      <c r="AR125" s="77"/>
      <c r="AS125" s="77"/>
      <c r="AT125" s="77"/>
      <c r="AU125" s="77"/>
      <c r="AV125" s="80" t="str">
        <f>HYPERLINK("https://pbs.twimg.com/media/Fqp8VR2XgAYJC3o.jpg")</f>
        <v>https://pbs.twimg.com/media/Fqp8VR2XgAYJC3o.jpg</v>
      </c>
      <c r="AW125" s="82" t="s">
        <v>12321</v>
      </c>
      <c r="AX125" s="82" t="s">
        <v>12321</v>
      </c>
      <c r="AY125" s="77"/>
      <c r="AZ125" s="82" t="s">
        <v>15804</v>
      </c>
      <c r="BA125" s="82" t="s">
        <v>15804</v>
      </c>
      <c r="BB125" s="82" t="s">
        <v>15804</v>
      </c>
      <c r="BC125" s="82" t="s">
        <v>12321</v>
      </c>
      <c r="BD125" s="82" t="s">
        <v>16163</v>
      </c>
      <c r="BE125" s="77"/>
      <c r="BF125" s="77"/>
      <c r="BG125" s="77"/>
      <c r="BH125" s="77"/>
      <c r="BI125" s="77"/>
    </row>
    <row r="126" spans="1:61" x14ac:dyDescent="0.25">
      <c r="A126" s="62" t="s">
        <v>263</v>
      </c>
      <c r="B126" s="62" t="s">
        <v>263</v>
      </c>
      <c r="C126" s="63"/>
      <c r="D126" s="64"/>
      <c r="E126" s="65"/>
      <c r="F126" s="66"/>
      <c r="G126" s="63"/>
      <c r="H126" s="67"/>
      <c r="I126" s="68"/>
      <c r="J126" s="68"/>
      <c r="K126" s="32"/>
      <c r="L126" s="75">
        <v>126</v>
      </c>
      <c r="M126" s="75"/>
      <c r="N126" s="70"/>
      <c r="O126" s="77" t="s">
        <v>179</v>
      </c>
      <c r="P126" s="79">
        <v>45149.911180555559</v>
      </c>
      <c r="Q126" s="77" t="s">
        <v>1259</v>
      </c>
      <c r="R126" s="77">
        <v>0</v>
      </c>
      <c r="S126" s="77">
        <v>0</v>
      </c>
      <c r="T126" s="77">
        <v>0</v>
      </c>
      <c r="U126" s="77">
        <v>0</v>
      </c>
      <c r="V126" s="77">
        <v>7</v>
      </c>
      <c r="W126" s="82" t="s">
        <v>4129</v>
      </c>
      <c r="X126" s="80" t="str">
        <f>HYPERLINK("https://ocapital.digital/educacao-financeira/juros-compostos-a-maquina-de-multiplicar-o-seu-dinheiro/")</f>
        <v>https://ocapital.digital/educacao-financeira/juros-compostos-a-maquina-de-multiplicar-o-seu-dinheiro/</v>
      </c>
      <c r="Y126" s="77" t="s">
        <v>6009</v>
      </c>
      <c r="Z126" s="77"/>
      <c r="AA126" s="77"/>
      <c r="AB126" s="77"/>
      <c r="AC126" s="82" t="s">
        <v>7706</v>
      </c>
      <c r="AD126" s="77" t="s">
        <v>7745</v>
      </c>
      <c r="AE126" s="80" t="str">
        <f>HYPERLINK("https://twitter.com/ocapitaldigital/status/1690118920282193920")</f>
        <v>https://twitter.com/ocapitaldigital/status/1690118920282193920</v>
      </c>
      <c r="AF126" s="79">
        <v>45149.911180555559</v>
      </c>
      <c r="AG126" s="85">
        <v>45149</v>
      </c>
      <c r="AH126" s="82" t="s">
        <v>7876</v>
      </c>
      <c r="AI126" s="77" t="b">
        <v>0</v>
      </c>
      <c r="AJ126" s="77"/>
      <c r="AK126" s="77"/>
      <c r="AL126" s="77"/>
      <c r="AM126" s="77"/>
      <c r="AN126" s="77"/>
      <c r="AO126" s="77"/>
      <c r="AP126" s="77"/>
      <c r="AQ126" s="77"/>
      <c r="AR126" s="77"/>
      <c r="AS126" s="77"/>
      <c r="AT126" s="77"/>
      <c r="AU126" s="77"/>
      <c r="AV126" s="80" t="str">
        <f>HYPERLINK("https://pbs.twimg.com/profile_images/1686163878537752576/OVdOC0bK_normal.jpg")</f>
        <v>https://pbs.twimg.com/profile_images/1686163878537752576/OVdOC0bK_normal.jpg</v>
      </c>
      <c r="AW126" s="82" t="s">
        <v>12322</v>
      </c>
      <c r="AX126" s="82" t="s">
        <v>12322</v>
      </c>
      <c r="AY126" s="77"/>
      <c r="AZ126" s="82" t="s">
        <v>15804</v>
      </c>
      <c r="BA126" s="82" t="s">
        <v>15804</v>
      </c>
      <c r="BB126" s="82" t="s">
        <v>15804</v>
      </c>
      <c r="BC126" s="82" t="s">
        <v>12322</v>
      </c>
      <c r="BD126" s="82" t="s">
        <v>16164</v>
      </c>
      <c r="BE126" s="77"/>
      <c r="BF126" s="77"/>
      <c r="BG126" s="77"/>
      <c r="BH126" s="77"/>
      <c r="BI126" s="77"/>
    </row>
    <row r="127" spans="1:61" x14ac:dyDescent="0.25">
      <c r="A127" s="62" t="s">
        <v>264</v>
      </c>
      <c r="B127" s="62" t="s">
        <v>264</v>
      </c>
      <c r="C127" s="63"/>
      <c r="D127" s="64"/>
      <c r="E127" s="65"/>
      <c r="F127" s="66"/>
      <c r="G127" s="63"/>
      <c r="H127" s="67"/>
      <c r="I127" s="68"/>
      <c r="J127" s="68"/>
      <c r="K127" s="32"/>
      <c r="L127" s="75">
        <v>127</v>
      </c>
      <c r="M127" s="75"/>
      <c r="N127" s="70"/>
      <c r="O127" s="77" t="s">
        <v>179</v>
      </c>
      <c r="P127" s="79">
        <v>44957.81659722222</v>
      </c>
      <c r="Q127" s="77" t="s">
        <v>1260</v>
      </c>
      <c r="R127" s="77">
        <v>0</v>
      </c>
      <c r="S127" s="77">
        <v>0</v>
      </c>
      <c r="T127" s="77">
        <v>0</v>
      </c>
      <c r="U127" s="77">
        <v>0</v>
      </c>
      <c r="V127" s="77">
        <v>28</v>
      </c>
      <c r="W127" s="82" t="s">
        <v>4130</v>
      </c>
      <c r="X127" s="80" t="str">
        <f>HYPERLINK("https://www.instagram.com/p/CoF2v6vO-k1/?igshid=YTgzYjQ4ZTY=")</f>
        <v>https://www.instagram.com/p/CoF2v6vO-k1/?igshid=YTgzYjQ4ZTY=</v>
      </c>
      <c r="Y127" s="77" t="s">
        <v>6000</v>
      </c>
      <c r="Z127" s="77"/>
      <c r="AA127" s="77"/>
      <c r="AB127" s="77"/>
      <c r="AC127" s="82" t="s">
        <v>7704</v>
      </c>
      <c r="AD127" s="77" t="s">
        <v>7745</v>
      </c>
      <c r="AE127" s="80" t="str">
        <f>HYPERLINK("https://twitter.com/albert_taka/status/1620506176617336833")</f>
        <v>https://twitter.com/albert_taka/status/1620506176617336833</v>
      </c>
      <c r="AF127" s="79">
        <v>44957.81659722222</v>
      </c>
      <c r="AG127" s="85">
        <v>44957</v>
      </c>
      <c r="AH127" s="82" t="s">
        <v>7877</v>
      </c>
      <c r="AI127" s="77" t="b">
        <v>0</v>
      </c>
      <c r="AJ127" s="77"/>
      <c r="AK127" s="77"/>
      <c r="AL127" s="77"/>
      <c r="AM127" s="77"/>
      <c r="AN127" s="77"/>
      <c r="AO127" s="77"/>
      <c r="AP127" s="77"/>
      <c r="AQ127" s="77"/>
      <c r="AR127" s="77"/>
      <c r="AS127" s="77"/>
      <c r="AT127" s="77"/>
      <c r="AU127" s="77"/>
      <c r="AV127" s="80" t="str">
        <f>HYPERLINK("https://pbs.twimg.com/profile_images/1582143568927490048/mj1dEvyI_normal.jpg")</f>
        <v>https://pbs.twimg.com/profile_images/1582143568927490048/mj1dEvyI_normal.jpg</v>
      </c>
      <c r="AW127" s="82" t="s">
        <v>12323</v>
      </c>
      <c r="AX127" s="82" t="s">
        <v>12323</v>
      </c>
      <c r="AY127" s="77"/>
      <c r="AZ127" s="82" t="s">
        <v>15804</v>
      </c>
      <c r="BA127" s="82" t="s">
        <v>15804</v>
      </c>
      <c r="BB127" s="82" t="s">
        <v>15804</v>
      </c>
      <c r="BC127" s="82" t="s">
        <v>12323</v>
      </c>
      <c r="BD127" s="77">
        <v>15238801</v>
      </c>
      <c r="BE127" s="77"/>
      <c r="BF127" s="77"/>
      <c r="BG127" s="77"/>
      <c r="BH127" s="77"/>
      <c r="BI127" s="77"/>
    </row>
    <row r="128" spans="1:61" x14ac:dyDescent="0.25">
      <c r="A128" s="62" t="s">
        <v>265</v>
      </c>
      <c r="B128" s="62" t="s">
        <v>265</v>
      </c>
      <c r="C128" s="63"/>
      <c r="D128" s="64"/>
      <c r="E128" s="65"/>
      <c r="F128" s="66"/>
      <c r="G128" s="63"/>
      <c r="H128" s="67"/>
      <c r="I128" s="68"/>
      <c r="J128" s="68"/>
      <c r="K128" s="32"/>
      <c r="L128" s="75">
        <v>128</v>
      </c>
      <c r="M128" s="75"/>
      <c r="N128" s="70"/>
      <c r="O128" s="77" t="s">
        <v>179</v>
      </c>
      <c r="P128" s="79">
        <v>45161.879201388889</v>
      </c>
      <c r="Q128" s="77" t="s">
        <v>1261</v>
      </c>
      <c r="R128" s="77">
        <v>0</v>
      </c>
      <c r="S128" s="77">
        <v>0</v>
      </c>
      <c r="T128" s="77">
        <v>0</v>
      </c>
      <c r="U128" s="77">
        <v>0</v>
      </c>
      <c r="V128" s="77">
        <v>32</v>
      </c>
      <c r="W128" s="82" t="s">
        <v>4131</v>
      </c>
      <c r="X128" s="80" t="str">
        <f>HYPERLINK("https://www.instagram.com/p/CwTI2mtPHMX/?igshid=MzRlODBiNWFlZA")</f>
        <v>https://www.instagram.com/p/CwTI2mtPHMX/?igshid=MzRlODBiNWFlZA</v>
      </c>
      <c r="Y128" s="77" t="s">
        <v>6000</v>
      </c>
      <c r="Z128" s="77"/>
      <c r="AA128" s="77"/>
      <c r="AB128" s="77"/>
      <c r="AC128" s="82" t="s">
        <v>7705</v>
      </c>
      <c r="AD128" s="77" t="s">
        <v>7745</v>
      </c>
      <c r="AE128" s="80" t="str">
        <f>HYPERLINK("https://twitter.com/desenvolve_sp/status/1694455986944090260")</f>
        <v>https://twitter.com/desenvolve_sp/status/1694455986944090260</v>
      </c>
      <c r="AF128" s="79">
        <v>45161.879201388889</v>
      </c>
      <c r="AG128" s="85">
        <v>45161</v>
      </c>
      <c r="AH128" s="82" t="s">
        <v>7878</v>
      </c>
      <c r="AI128" s="77" t="b">
        <v>0</v>
      </c>
      <c r="AJ128" s="77"/>
      <c r="AK128" s="77"/>
      <c r="AL128" s="77"/>
      <c r="AM128" s="77"/>
      <c r="AN128" s="77"/>
      <c r="AO128" s="77"/>
      <c r="AP128" s="77"/>
      <c r="AQ128" s="77"/>
      <c r="AR128" s="77"/>
      <c r="AS128" s="77"/>
      <c r="AT128" s="77"/>
      <c r="AU128" s="77"/>
      <c r="AV128" s="80" t="str">
        <f>HYPERLINK("https://pbs.twimg.com/profile_images/1688892765646503936/0D5iBx8P_normal.jpg")</f>
        <v>https://pbs.twimg.com/profile_images/1688892765646503936/0D5iBx8P_normal.jpg</v>
      </c>
      <c r="AW128" s="82" t="s">
        <v>12324</v>
      </c>
      <c r="AX128" s="82" t="s">
        <v>12324</v>
      </c>
      <c r="AY128" s="77"/>
      <c r="AZ128" s="82" t="s">
        <v>15804</v>
      </c>
      <c r="BA128" s="82" t="s">
        <v>15804</v>
      </c>
      <c r="BB128" s="82" t="s">
        <v>15804</v>
      </c>
      <c r="BC128" s="82" t="s">
        <v>12324</v>
      </c>
      <c r="BD128" s="77">
        <v>561322533</v>
      </c>
      <c r="BE128" s="77"/>
      <c r="BF128" s="77"/>
      <c r="BG128" s="77"/>
      <c r="BH128" s="77"/>
      <c r="BI128" s="77"/>
    </row>
    <row r="129" spans="1:61" x14ac:dyDescent="0.25">
      <c r="A129" s="62" t="s">
        <v>266</v>
      </c>
      <c r="B129" s="62" t="s">
        <v>266</v>
      </c>
      <c r="C129" s="63"/>
      <c r="D129" s="64"/>
      <c r="E129" s="65"/>
      <c r="F129" s="66"/>
      <c r="G129" s="63"/>
      <c r="H129" s="67"/>
      <c r="I129" s="68"/>
      <c r="J129" s="68"/>
      <c r="K129" s="32"/>
      <c r="L129" s="75">
        <v>129</v>
      </c>
      <c r="M129" s="75"/>
      <c r="N129" s="70"/>
      <c r="O129" s="77" t="s">
        <v>1132</v>
      </c>
      <c r="P129" s="79">
        <v>45181.738657407404</v>
      </c>
      <c r="Q129" s="77" t="s">
        <v>1262</v>
      </c>
      <c r="R129" s="77">
        <v>0</v>
      </c>
      <c r="S129" s="77">
        <v>1</v>
      </c>
      <c r="T129" s="77">
        <v>0</v>
      </c>
      <c r="U129" s="77">
        <v>0</v>
      </c>
      <c r="V129" s="77">
        <v>21</v>
      </c>
      <c r="W129" s="82" t="s">
        <v>4132</v>
      </c>
      <c r="X129" s="77"/>
      <c r="Y129" s="77"/>
      <c r="Z129" s="77"/>
      <c r="AA129" s="77"/>
      <c r="AB129" s="77"/>
      <c r="AC129" s="82" t="s">
        <v>7707</v>
      </c>
      <c r="AD129" s="77" t="s">
        <v>7745</v>
      </c>
      <c r="AE129" s="80" t="str">
        <f>HYPERLINK("https://twitter.com/financialstream/status/1701652814517158109")</f>
        <v>https://twitter.com/financialstream/status/1701652814517158109</v>
      </c>
      <c r="AF129" s="79">
        <v>45181.738657407404</v>
      </c>
      <c r="AG129" s="85">
        <v>45181</v>
      </c>
      <c r="AH129" s="82" t="s">
        <v>7879</v>
      </c>
      <c r="AI129" s="77"/>
      <c r="AJ129" s="77"/>
      <c r="AK129" s="77"/>
      <c r="AL129" s="77"/>
      <c r="AM129" s="77"/>
      <c r="AN129" s="77"/>
      <c r="AO129" s="77"/>
      <c r="AP129" s="77"/>
      <c r="AQ129" s="77"/>
      <c r="AR129" s="77"/>
      <c r="AS129" s="77"/>
      <c r="AT129" s="77"/>
      <c r="AU129" s="77"/>
      <c r="AV129" s="80" t="str">
        <f>HYPERLINK("https://pbs.twimg.com/profile_images/1550999438952464384/tFhqdbVs_normal.jpg")</f>
        <v>https://pbs.twimg.com/profile_images/1550999438952464384/tFhqdbVs_normal.jpg</v>
      </c>
      <c r="AW129" s="82" t="s">
        <v>12325</v>
      </c>
      <c r="AX129" s="82" t="s">
        <v>15225</v>
      </c>
      <c r="AY129" s="82" t="s">
        <v>15676</v>
      </c>
      <c r="AZ129" s="82" t="s">
        <v>15808</v>
      </c>
      <c r="BA129" s="82" t="s">
        <v>15804</v>
      </c>
      <c r="BB129" s="82" t="s">
        <v>15804</v>
      </c>
      <c r="BC129" s="82" t="s">
        <v>15808</v>
      </c>
      <c r="BD129" s="82" t="s">
        <v>15676</v>
      </c>
      <c r="BE129" s="77"/>
      <c r="BF129" s="77"/>
      <c r="BG129" s="77"/>
      <c r="BH129" s="77"/>
      <c r="BI129" s="77"/>
    </row>
    <row r="130" spans="1:61" x14ac:dyDescent="0.25">
      <c r="A130" s="62" t="s">
        <v>267</v>
      </c>
      <c r="B130" s="62" t="s">
        <v>610</v>
      </c>
      <c r="C130" s="63"/>
      <c r="D130" s="64"/>
      <c r="E130" s="65"/>
      <c r="F130" s="66"/>
      <c r="G130" s="63"/>
      <c r="H130" s="67"/>
      <c r="I130" s="68"/>
      <c r="J130" s="68"/>
      <c r="K130" s="32"/>
      <c r="L130" s="75">
        <v>130</v>
      </c>
      <c r="M130" s="75"/>
      <c r="N130" s="70"/>
      <c r="O130" s="77" t="s">
        <v>1134</v>
      </c>
      <c r="P130" s="79">
        <v>45175.01284722222</v>
      </c>
      <c r="Q130" s="77" t="s">
        <v>1164</v>
      </c>
      <c r="R130" s="77">
        <v>4</v>
      </c>
      <c r="S130" s="77">
        <v>0</v>
      </c>
      <c r="T130" s="77">
        <v>0</v>
      </c>
      <c r="U130" s="77">
        <v>0</v>
      </c>
      <c r="V130" s="77"/>
      <c r="W130" s="82" t="s">
        <v>4101</v>
      </c>
      <c r="X130" s="80" t="str">
        <f>HYPERLINK("https://www.youtube.com/live/ezqGDVlHL80?feature=shared")</f>
        <v>https://www.youtube.com/live/ezqGDVlHL80?feature=shared</v>
      </c>
      <c r="Y130" s="77" t="s">
        <v>6006</v>
      </c>
      <c r="Z130" s="77" t="s">
        <v>610</v>
      </c>
      <c r="AA130" s="77"/>
      <c r="AB130" s="77"/>
      <c r="AC130" s="82" t="s">
        <v>7707</v>
      </c>
      <c r="AD130" s="77" t="s">
        <v>7745</v>
      </c>
      <c r="AE130" s="80" t="str">
        <f>HYPERLINK("https://twitter.com/vagasdesalvador/status/1699215459604746507")</f>
        <v>https://twitter.com/vagasdesalvador/status/1699215459604746507</v>
      </c>
      <c r="AF130" s="79">
        <v>45175.01284722222</v>
      </c>
      <c r="AG130" s="85">
        <v>45175</v>
      </c>
      <c r="AH130" s="82" t="s">
        <v>7880</v>
      </c>
      <c r="AI130" s="77" t="b">
        <v>0</v>
      </c>
      <c r="AJ130" s="77"/>
      <c r="AK130" s="77"/>
      <c r="AL130" s="77"/>
      <c r="AM130" s="77"/>
      <c r="AN130" s="77"/>
      <c r="AO130" s="77"/>
      <c r="AP130" s="77"/>
      <c r="AQ130" s="77"/>
      <c r="AR130" s="77"/>
      <c r="AS130" s="77"/>
      <c r="AT130" s="77"/>
      <c r="AU130" s="77"/>
      <c r="AV130" s="80" t="str">
        <f>HYPERLINK("https://pbs.twimg.com/profile_images/1570481566039539715/leEExsEx_normal.jpg")</f>
        <v>https://pbs.twimg.com/profile_images/1570481566039539715/leEExsEx_normal.jpg</v>
      </c>
      <c r="AW130" s="82" t="s">
        <v>12326</v>
      </c>
      <c r="AX130" s="82" t="s">
        <v>12326</v>
      </c>
      <c r="AY130" s="77"/>
      <c r="AZ130" s="82" t="s">
        <v>15804</v>
      </c>
      <c r="BA130" s="82" t="s">
        <v>15804</v>
      </c>
      <c r="BB130" s="82" t="s">
        <v>13443</v>
      </c>
      <c r="BC130" s="82" t="s">
        <v>13443</v>
      </c>
      <c r="BD130" s="82" t="s">
        <v>16165</v>
      </c>
      <c r="BE130" s="77"/>
      <c r="BF130" s="77"/>
      <c r="BG130" s="77"/>
      <c r="BH130" s="77"/>
      <c r="BI130" s="77"/>
    </row>
    <row r="131" spans="1:61" x14ac:dyDescent="0.25">
      <c r="A131" s="62" t="s">
        <v>268</v>
      </c>
      <c r="B131" s="62" t="s">
        <v>1054</v>
      </c>
      <c r="C131" s="63"/>
      <c r="D131" s="64"/>
      <c r="E131" s="65"/>
      <c r="F131" s="66"/>
      <c r="G131" s="63"/>
      <c r="H131" s="67"/>
      <c r="I131" s="68"/>
      <c r="J131" s="68"/>
      <c r="K131" s="32"/>
      <c r="L131" s="75">
        <v>131</v>
      </c>
      <c r="M131" s="75"/>
      <c r="N131" s="70"/>
      <c r="O131" s="77" t="s">
        <v>1133</v>
      </c>
      <c r="P131" s="79">
        <v>45056.940810185188</v>
      </c>
      <c r="Q131" s="77" t="s">
        <v>1263</v>
      </c>
      <c r="R131" s="77">
        <v>0</v>
      </c>
      <c r="S131" s="77">
        <v>1</v>
      </c>
      <c r="T131" s="77">
        <v>0</v>
      </c>
      <c r="U131" s="77">
        <v>0</v>
      </c>
      <c r="V131" s="77">
        <v>31</v>
      </c>
      <c r="W131" s="82" t="s">
        <v>4133</v>
      </c>
      <c r="X131" s="77"/>
      <c r="Y131" s="77"/>
      <c r="Z131" s="77" t="s">
        <v>1054</v>
      </c>
      <c r="AA131" s="77" t="s">
        <v>6236</v>
      </c>
      <c r="AB131" s="77" t="s">
        <v>7697</v>
      </c>
      <c r="AC131" s="82" t="s">
        <v>7707</v>
      </c>
      <c r="AD131" s="77" t="s">
        <v>7745</v>
      </c>
      <c r="AE131" s="80" t="str">
        <f>HYPERLINK("https://twitter.com/linsdoceara/status/1656427587252436992")</f>
        <v>https://twitter.com/linsdoceara/status/1656427587252436992</v>
      </c>
      <c r="AF131" s="79">
        <v>45056.940810185188</v>
      </c>
      <c r="AG131" s="85">
        <v>45056</v>
      </c>
      <c r="AH131" s="82" t="s">
        <v>7881</v>
      </c>
      <c r="AI131" s="77" t="b">
        <v>0</v>
      </c>
      <c r="AJ131" s="77" t="s">
        <v>10522</v>
      </c>
      <c r="AK131" s="77" t="s">
        <v>10552</v>
      </c>
      <c r="AL131" s="77" t="s">
        <v>10555</v>
      </c>
      <c r="AM131" s="77" t="s">
        <v>10559</v>
      </c>
      <c r="AN131" s="77" t="s">
        <v>10589</v>
      </c>
      <c r="AO131" s="77" t="s">
        <v>10620</v>
      </c>
      <c r="AP131" s="77" t="s">
        <v>10649</v>
      </c>
      <c r="AQ131" s="77" t="s">
        <v>10743</v>
      </c>
      <c r="AR131" s="77">
        <v>61033</v>
      </c>
      <c r="AS131" s="77"/>
      <c r="AT131" s="77"/>
      <c r="AU131" s="77">
        <v>14</v>
      </c>
      <c r="AV131" s="80" t="str">
        <f>HYPERLINK("https://pbs.twimg.com/ext_tw_video_thumb/1656427514066026497/pu/img/sNPW6PHXTWhNaOMf.jpg")</f>
        <v>https://pbs.twimg.com/ext_tw_video_thumb/1656427514066026497/pu/img/sNPW6PHXTWhNaOMf.jpg</v>
      </c>
      <c r="AW131" s="82" t="s">
        <v>12327</v>
      </c>
      <c r="AX131" s="82" t="s">
        <v>12327</v>
      </c>
      <c r="AY131" s="77"/>
      <c r="AZ131" s="82" t="s">
        <v>15804</v>
      </c>
      <c r="BA131" s="82" t="s">
        <v>15804</v>
      </c>
      <c r="BB131" s="82" t="s">
        <v>15804</v>
      </c>
      <c r="BC131" s="82" t="s">
        <v>12327</v>
      </c>
      <c r="BD131" s="77">
        <v>861499507</v>
      </c>
      <c r="BE131" s="77"/>
      <c r="BF131" s="77"/>
      <c r="BG131" s="77"/>
      <c r="BH131" s="77"/>
      <c r="BI131" s="77"/>
    </row>
    <row r="132" spans="1:61" x14ac:dyDescent="0.25">
      <c r="A132" s="62" t="s">
        <v>269</v>
      </c>
      <c r="B132" s="62" t="s">
        <v>1055</v>
      </c>
      <c r="C132" s="63"/>
      <c r="D132" s="64"/>
      <c r="E132" s="65"/>
      <c r="F132" s="66"/>
      <c r="G132" s="63"/>
      <c r="H132" s="67"/>
      <c r="I132" s="68"/>
      <c r="J132" s="68"/>
      <c r="K132" s="32"/>
      <c r="L132" s="75">
        <v>132</v>
      </c>
      <c r="M132" s="75"/>
      <c r="N132" s="70"/>
      <c r="O132" s="77" t="s">
        <v>1132</v>
      </c>
      <c r="P132" s="79">
        <v>45145.0156712963</v>
      </c>
      <c r="Q132" s="77" t="s">
        <v>1264</v>
      </c>
      <c r="R132" s="77">
        <v>0</v>
      </c>
      <c r="S132" s="77">
        <v>0</v>
      </c>
      <c r="T132" s="77">
        <v>0</v>
      </c>
      <c r="U132" s="77">
        <v>0</v>
      </c>
      <c r="V132" s="77">
        <v>17</v>
      </c>
      <c r="W132" s="82" t="s">
        <v>4097</v>
      </c>
      <c r="X132" s="77"/>
      <c r="Y132" s="77"/>
      <c r="Z132" s="77" t="s">
        <v>1055</v>
      </c>
      <c r="AA132" s="77"/>
      <c r="AB132" s="77"/>
      <c r="AC132" s="82" t="s">
        <v>7705</v>
      </c>
      <c r="AD132" s="77" t="s">
        <v>7746</v>
      </c>
      <c r="AE132" s="80" t="str">
        <f>HYPERLINK("https://twitter.com/gersonantunesc1/status/1688344849219481600")</f>
        <v>https://twitter.com/gersonantunesc1/status/1688344849219481600</v>
      </c>
      <c r="AF132" s="79">
        <v>45145.0156712963</v>
      </c>
      <c r="AG132" s="85">
        <v>45145</v>
      </c>
      <c r="AH132" s="82" t="s">
        <v>7882</v>
      </c>
      <c r="AI132" s="77"/>
      <c r="AJ132" s="77"/>
      <c r="AK132" s="77"/>
      <c r="AL132" s="77"/>
      <c r="AM132" s="77"/>
      <c r="AN132" s="77"/>
      <c r="AO132" s="77"/>
      <c r="AP132" s="77"/>
      <c r="AQ132" s="77"/>
      <c r="AR132" s="77"/>
      <c r="AS132" s="77"/>
      <c r="AT132" s="77"/>
      <c r="AU132" s="77"/>
      <c r="AV132" s="80" t="str">
        <f>HYPERLINK("https://pbs.twimg.com/profile_images/1229068388678406145/3fQb3p23_normal.jpg")</f>
        <v>https://pbs.twimg.com/profile_images/1229068388678406145/3fQb3p23_normal.jpg</v>
      </c>
      <c r="AW132" s="82" t="s">
        <v>12328</v>
      </c>
      <c r="AX132" s="82" t="s">
        <v>15226</v>
      </c>
      <c r="AY132" s="82" t="s">
        <v>15677</v>
      </c>
      <c r="AZ132" s="82" t="s">
        <v>15226</v>
      </c>
      <c r="BA132" s="82" t="s">
        <v>15804</v>
      </c>
      <c r="BB132" s="82" t="s">
        <v>15804</v>
      </c>
      <c r="BC132" s="82" t="s">
        <v>15226</v>
      </c>
      <c r="BD132" s="82" t="s">
        <v>16166</v>
      </c>
      <c r="BE132" s="77"/>
      <c r="BF132" s="77"/>
      <c r="BG132" s="77"/>
      <c r="BH132" s="77"/>
      <c r="BI132" s="77"/>
    </row>
    <row r="133" spans="1:61" x14ac:dyDescent="0.25">
      <c r="A133" s="62" t="s">
        <v>270</v>
      </c>
      <c r="B133" s="62" t="s">
        <v>270</v>
      </c>
      <c r="C133" s="63"/>
      <c r="D133" s="64"/>
      <c r="E133" s="65"/>
      <c r="F133" s="66"/>
      <c r="G133" s="63"/>
      <c r="H133" s="67"/>
      <c r="I133" s="68"/>
      <c r="J133" s="68"/>
      <c r="K133" s="32"/>
      <c r="L133" s="75">
        <v>133</v>
      </c>
      <c r="M133" s="75"/>
      <c r="N133" s="70"/>
      <c r="O133" s="77" t="s">
        <v>1132</v>
      </c>
      <c r="P133" s="79">
        <v>45069.593854166669</v>
      </c>
      <c r="Q133" s="77" t="s">
        <v>1265</v>
      </c>
      <c r="R133" s="77">
        <v>0</v>
      </c>
      <c r="S133" s="77">
        <v>0</v>
      </c>
      <c r="T133" s="77">
        <v>1</v>
      </c>
      <c r="U133" s="77">
        <v>0</v>
      </c>
      <c r="V133" s="77">
        <v>12</v>
      </c>
      <c r="W133" s="82" t="s">
        <v>4097</v>
      </c>
      <c r="X133" s="77"/>
      <c r="Y133" s="77"/>
      <c r="Z133" s="77"/>
      <c r="AA133" s="77"/>
      <c r="AB133" s="77"/>
      <c r="AC133" s="82" t="s">
        <v>7706</v>
      </c>
      <c r="AD133" s="77" t="s">
        <v>7745</v>
      </c>
      <c r="AE133" s="80" t="str">
        <f>HYPERLINK("https://twitter.com/focanoimposto/status/1661012897747861505")</f>
        <v>https://twitter.com/focanoimposto/status/1661012897747861505</v>
      </c>
      <c r="AF133" s="79">
        <v>45069.593854166669</v>
      </c>
      <c r="AG133" s="85">
        <v>45069</v>
      </c>
      <c r="AH133" s="82" t="s">
        <v>7883</v>
      </c>
      <c r="AI133" s="77"/>
      <c r="AJ133" s="77"/>
      <c r="AK133" s="77"/>
      <c r="AL133" s="77"/>
      <c r="AM133" s="77"/>
      <c r="AN133" s="77"/>
      <c r="AO133" s="77"/>
      <c r="AP133" s="77"/>
      <c r="AQ133" s="77"/>
      <c r="AR133" s="77"/>
      <c r="AS133" s="77"/>
      <c r="AT133" s="77"/>
      <c r="AU133" s="77"/>
      <c r="AV133" s="80" t="str">
        <f>HYPERLINK("https://pbs.twimg.com/profile_images/1656004536211841032/HRnhFWb4_normal.jpg")</f>
        <v>https://pbs.twimg.com/profile_images/1656004536211841032/HRnhFWb4_normal.jpg</v>
      </c>
      <c r="AW133" s="82" t="s">
        <v>12329</v>
      </c>
      <c r="AX133" s="82" t="s">
        <v>15227</v>
      </c>
      <c r="AY133" s="82" t="s">
        <v>15678</v>
      </c>
      <c r="AZ133" s="82" t="s">
        <v>15227</v>
      </c>
      <c r="BA133" s="82" t="s">
        <v>15804</v>
      </c>
      <c r="BB133" s="82" t="s">
        <v>15804</v>
      </c>
      <c r="BC133" s="82" t="s">
        <v>15227</v>
      </c>
      <c r="BD133" s="82" t="s">
        <v>15678</v>
      </c>
      <c r="BE133" s="77"/>
      <c r="BF133" s="77"/>
      <c r="BG133" s="77"/>
      <c r="BH133" s="77"/>
      <c r="BI133" s="77"/>
    </row>
    <row r="134" spans="1:61" x14ac:dyDescent="0.25">
      <c r="A134" s="62" t="s">
        <v>271</v>
      </c>
      <c r="B134" s="62" t="s">
        <v>271</v>
      </c>
      <c r="C134" s="63"/>
      <c r="D134" s="64"/>
      <c r="E134" s="65"/>
      <c r="F134" s="66"/>
      <c r="G134" s="63"/>
      <c r="H134" s="67"/>
      <c r="I134" s="68"/>
      <c r="J134" s="68"/>
      <c r="K134" s="32"/>
      <c r="L134" s="75">
        <v>134</v>
      </c>
      <c r="M134" s="75"/>
      <c r="N134" s="70"/>
      <c r="O134" s="77" t="s">
        <v>179</v>
      </c>
      <c r="P134" s="79">
        <v>45034.070254629631</v>
      </c>
      <c r="Q134" s="77" t="s">
        <v>1266</v>
      </c>
      <c r="R134" s="77">
        <v>0</v>
      </c>
      <c r="S134" s="77">
        <v>2</v>
      </c>
      <c r="T134" s="77">
        <v>2</v>
      </c>
      <c r="U134" s="77">
        <v>0</v>
      </c>
      <c r="V134" s="77">
        <v>96</v>
      </c>
      <c r="W134" s="82" t="s">
        <v>4134</v>
      </c>
      <c r="X134" s="77"/>
      <c r="Y134" s="77"/>
      <c r="Z134" s="77"/>
      <c r="AA134" s="77"/>
      <c r="AB134" s="77"/>
      <c r="AC134" s="82" t="s">
        <v>7705</v>
      </c>
      <c r="AD134" s="77" t="s">
        <v>7745</v>
      </c>
      <c r="AE134" s="80" t="str">
        <f>HYPERLINK("https://twitter.com/chaleira__/status/1648139576052006919")</f>
        <v>https://twitter.com/chaleira__/status/1648139576052006919</v>
      </c>
      <c r="AF134" s="79">
        <v>45034.070254629631</v>
      </c>
      <c r="AG134" s="85">
        <v>45034</v>
      </c>
      <c r="AH134" s="82" t="s">
        <v>7884</v>
      </c>
      <c r="AI134" s="77"/>
      <c r="AJ134" s="77"/>
      <c r="AK134" s="77"/>
      <c r="AL134" s="77"/>
      <c r="AM134" s="77"/>
      <c r="AN134" s="77"/>
      <c r="AO134" s="77"/>
      <c r="AP134" s="77"/>
      <c r="AQ134" s="77"/>
      <c r="AR134" s="77"/>
      <c r="AS134" s="77"/>
      <c r="AT134" s="77"/>
      <c r="AU134" s="77"/>
      <c r="AV134" s="80" t="str">
        <f>HYPERLINK("https://pbs.twimg.com/profile_images/1662657806854500352/u83X0UAc_normal.jpg")</f>
        <v>https://pbs.twimg.com/profile_images/1662657806854500352/u83X0UAc_normal.jpg</v>
      </c>
      <c r="AW134" s="82" t="s">
        <v>12330</v>
      </c>
      <c r="AX134" s="82" t="s">
        <v>12330</v>
      </c>
      <c r="AY134" s="77"/>
      <c r="AZ134" s="82" t="s">
        <v>15804</v>
      </c>
      <c r="BA134" s="82" t="s">
        <v>15804</v>
      </c>
      <c r="BB134" s="82" t="s">
        <v>15804</v>
      </c>
      <c r="BC134" s="82" t="s">
        <v>12330</v>
      </c>
      <c r="BD134" s="77">
        <v>178797676</v>
      </c>
      <c r="BE134" s="77"/>
      <c r="BF134" s="77"/>
      <c r="BG134" s="77"/>
      <c r="BH134" s="77"/>
      <c r="BI134" s="77"/>
    </row>
    <row r="135" spans="1:61" x14ac:dyDescent="0.25">
      <c r="A135" s="62" t="s">
        <v>272</v>
      </c>
      <c r="B135" s="62" t="s">
        <v>272</v>
      </c>
      <c r="C135" s="63"/>
      <c r="D135" s="64"/>
      <c r="E135" s="65"/>
      <c r="F135" s="66"/>
      <c r="G135" s="63"/>
      <c r="H135" s="67"/>
      <c r="I135" s="68"/>
      <c r="J135" s="68"/>
      <c r="K135" s="32"/>
      <c r="L135" s="75">
        <v>135</v>
      </c>
      <c r="M135" s="75"/>
      <c r="N135" s="70"/>
      <c r="O135" s="77" t="s">
        <v>179</v>
      </c>
      <c r="P135" s="79">
        <v>45004.566527777781</v>
      </c>
      <c r="Q135" s="77" t="s">
        <v>1267</v>
      </c>
      <c r="R135" s="77">
        <v>0</v>
      </c>
      <c r="S135" s="77">
        <v>0</v>
      </c>
      <c r="T135" s="77">
        <v>0</v>
      </c>
      <c r="U135" s="77">
        <v>0</v>
      </c>
      <c r="V135" s="77">
        <v>9</v>
      </c>
      <c r="W135" s="82" t="s">
        <v>4135</v>
      </c>
      <c r="X135" s="80" t="str">
        <f>HYPERLINK("https://enriquecaacoes.com.br/origem-e-evolucao-do-capitalismo/")</f>
        <v>https://enriquecaacoes.com.br/origem-e-evolucao-do-capitalismo/</v>
      </c>
      <c r="Y135" s="77" t="s">
        <v>6002</v>
      </c>
      <c r="Z135" s="77"/>
      <c r="AA135" s="77"/>
      <c r="AB135" s="77"/>
      <c r="AC135" s="82" t="s">
        <v>7711</v>
      </c>
      <c r="AD135" s="77" t="s">
        <v>7745</v>
      </c>
      <c r="AE135" s="80" t="str">
        <f>HYPERLINK("https://twitter.com/eacoes/status/1637447782016471040")</f>
        <v>https://twitter.com/eacoes/status/1637447782016471040</v>
      </c>
      <c r="AF135" s="79">
        <v>45004.566527777781</v>
      </c>
      <c r="AG135" s="85">
        <v>45004</v>
      </c>
      <c r="AH135" s="82" t="s">
        <v>7885</v>
      </c>
      <c r="AI135" s="77" t="b">
        <v>0</v>
      </c>
      <c r="AJ135" s="77"/>
      <c r="AK135" s="77"/>
      <c r="AL135" s="77"/>
      <c r="AM135" s="77"/>
      <c r="AN135" s="77"/>
      <c r="AO135" s="77"/>
      <c r="AP135" s="77"/>
      <c r="AQ135" s="77"/>
      <c r="AR135" s="77"/>
      <c r="AS135" s="77"/>
      <c r="AT135" s="77"/>
      <c r="AU135" s="77"/>
      <c r="AV135" s="80" t="str">
        <f>HYPERLINK("https://pbs.twimg.com/profile_images/1288565039629246468/FpQ5WkT9_normal.jpg")</f>
        <v>https://pbs.twimg.com/profile_images/1288565039629246468/FpQ5WkT9_normal.jpg</v>
      </c>
      <c r="AW135" s="82" t="s">
        <v>12331</v>
      </c>
      <c r="AX135" s="82" t="s">
        <v>12331</v>
      </c>
      <c r="AY135" s="77"/>
      <c r="AZ135" s="82" t="s">
        <v>15804</v>
      </c>
      <c r="BA135" s="82" t="s">
        <v>15804</v>
      </c>
      <c r="BB135" s="82" t="s">
        <v>15804</v>
      </c>
      <c r="BC135" s="82" t="s">
        <v>12331</v>
      </c>
      <c r="BD135" s="82" t="s">
        <v>16167</v>
      </c>
      <c r="BE135" s="77"/>
      <c r="BF135" s="77"/>
      <c r="BG135" s="77"/>
      <c r="BH135" s="77"/>
      <c r="BI135" s="77"/>
    </row>
    <row r="136" spans="1:61" x14ac:dyDescent="0.25">
      <c r="A136" s="62" t="s">
        <v>273</v>
      </c>
      <c r="B136" s="62" t="s">
        <v>527</v>
      </c>
      <c r="C136" s="63"/>
      <c r="D136" s="64"/>
      <c r="E136" s="65"/>
      <c r="F136" s="66"/>
      <c r="G136" s="63"/>
      <c r="H136" s="67"/>
      <c r="I136" s="68"/>
      <c r="J136" s="68"/>
      <c r="K136" s="32"/>
      <c r="L136" s="75">
        <v>136</v>
      </c>
      <c r="M136" s="75"/>
      <c r="N136" s="70"/>
      <c r="O136" s="77" t="s">
        <v>1133</v>
      </c>
      <c r="P136" s="79">
        <v>44944.920868055553</v>
      </c>
      <c r="Q136" s="77" t="s">
        <v>1268</v>
      </c>
      <c r="R136" s="77">
        <v>0</v>
      </c>
      <c r="S136" s="77">
        <v>1</v>
      </c>
      <c r="T136" s="77">
        <v>0</v>
      </c>
      <c r="U136" s="77">
        <v>0</v>
      </c>
      <c r="V136" s="77">
        <v>109</v>
      </c>
      <c r="W136" s="82" t="s">
        <v>4136</v>
      </c>
      <c r="X136" s="77"/>
      <c r="Y136" s="77"/>
      <c r="Z136" s="77" t="s">
        <v>527</v>
      </c>
      <c r="AA136" s="77" t="s">
        <v>6237</v>
      </c>
      <c r="AB136" s="77" t="s">
        <v>7697</v>
      </c>
      <c r="AC136" s="82" t="s">
        <v>7706</v>
      </c>
      <c r="AD136" s="77" t="s">
        <v>7745</v>
      </c>
      <c r="AE136" s="80" t="str">
        <f>HYPERLINK("https://twitter.com/diogojorn/status/1615832920039780353")</f>
        <v>https://twitter.com/diogojorn/status/1615832920039780353</v>
      </c>
      <c r="AF136" s="79">
        <v>44944.920868055553</v>
      </c>
      <c r="AG136" s="85">
        <v>44944</v>
      </c>
      <c r="AH136" s="82" t="s">
        <v>7886</v>
      </c>
      <c r="AI136" s="77" t="b">
        <v>0</v>
      </c>
      <c r="AJ136" s="77"/>
      <c r="AK136" s="77"/>
      <c r="AL136" s="77"/>
      <c r="AM136" s="77"/>
      <c r="AN136" s="77"/>
      <c r="AO136" s="77"/>
      <c r="AP136" s="77"/>
      <c r="AQ136" s="77" t="s">
        <v>10744</v>
      </c>
      <c r="AR136" s="77">
        <v>99079</v>
      </c>
      <c r="AS136" s="77"/>
      <c r="AT136" s="77"/>
      <c r="AU136" s="77">
        <v>43</v>
      </c>
      <c r="AV136" s="80" t="str">
        <f>HYPERLINK("https://pbs.twimg.com/ext_tw_video_thumb/1615825723842863107/pu/img/WsMnxJHAVN5y2uCF.jpg")</f>
        <v>https://pbs.twimg.com/ext_tw_video_thumb/1615825723842863107/pu/img/WsMnxJHAVN5y2uCF.jpg</v>
      </c>
      <c r="AW136" s="82" t="s">
        <v>12332</v>
      </c>
      <c r="AX136" s="82" t="s">
        <v>12332</v>
      </c>
      <c r="AY136" s="77"/>
      <c r="AZ136" s="82" t="s">
        <v>15804</v>
      </c>
      <c r="BA136" s="82" t="s">
        <v>15804</v>
      </c>
      <c r="BB136" s="82" t="s">
        <v>15804</v>
      </c>
      <c r="BC136" s="82" t="s">
        <v>12332</v>
      </c>
      <c r="BD136" s="77">
        <v>20231571</v>
      </c>
      <c r="BE136" s="77"/>
      <c r="BF136" s="77"/>
      <c r="BG136" s="77"/>
      <c r="BH136" s="77"/>
      <c r="BI136" s="77"/>
    </row>
    <row r="137" spans="1:61" x14ac:dyDescent="0.25">
      <c r="A137" s="62" t="s">
        <v>274</v>
      </c>
      <c r="B137" s="62" t="s">
        <v>274</v>
      </c>
      <c r="C137" s="63"/>
      <c r="D137" s="64"/>
      <c r="E137" s="65"/>
      <c r="F137" s="66"/>
      <c r="G137" s="63"/>
      <c r="H137" s="67"/>
      <c r="I137" s="68"/>
      <c r="J137" s="68"/>
      <c r="K137" s="32"/>
      <c r="L137" s="75">
        <v>137</v>
      </c>
      <c r="M137" s="75"/>
      <c r="N137" s="70"/>
      <c r="O137" s="77" t="s">
        <v>1132</v>
      </c>
      <c r="P137" s="79">
        <v>44952.964884259258</v>
      </c>
      <c r="Q137" s="77" t="s">
        <v>1269</v>
      </c>
      <c r="R137" s="77">
        <v>0</v>
      </c>
      <c r="S137" s="77">
        <v>0</v>
      </c>
      <c r="T137" s="77">
        <v>1</v>
      </c>
      <c r="U137" s="77">
        <v>0</v>
      </c>
      <c r="V137" s="77">
        <v>20</v>
      </c>
      <c r="W137" s="82" t="s">
        <v>4137</v>
      </c>
      <c r="X137" s="77"/>
      <c r="Y137" s="77"/>
      <c r="Z137" s="77"/>
      <c r="AA137" s="77"/>
      <c r="AB137" s="77"/>
      <c r="AC137" s="82" t="s">
        <v>7705</v>
      </c>
      <c r="AD137" s="77" t="s">
        <v>7745</v>
      </c>
      <c r="AE137" s="80" t="str">
        <f>HYPERLINK("https://twitter.com/explibertario/status/1618747973114134530")</f>
        <v>https://twitter.com/explibertario/status/1618747973114134530</v>
      </c>
      <c r="AF137" s="79">
        <v>44952.964884259258</v>
      </c>
      <c r="AG137" s="85">
        <v>44952</v>
      </c>
      <c r="AH137" s="82" t="s">
        <v>7887</v>
      </c>
      <c r="AI137" s="77"/>
      <c r="AJ137" s="77"/>
      <c r="AK137" s="77"/>
      <c r="AL137" s="77"/>
      <c r="AM137" s="77"/>
      <c r="AN137" s="77"/>
      <c r="AO137" s="77"/>
      <c r="AP137" s="77"/>
      <c r="AQ137" s="77"/>
      <c r="AR137" s="77"/>
      <c r="AS137" s="77"/>
      <c r="AT137" s="77"/>
      <c r="AU137" s="77"/>
      <c r="AV137" s="80" t="str">
        <f>HYPERLINK("https://pbs.twimg.com/profile_images/1617627128605949954/-kKKlOMk_normal.jpg")</f>
        <v>https://pbs.twimg.com/profile_images/1617627128605949954/-kKKlOMk_normal.jpg</v>
      </c>
      <c r="AW137" s="82" t="s">
        <v>12333</v>
      </c>
      <c r="AX137" s="82" t="s">
        <v>15228</v>
      </c>
      <c r="AY137" s="82" t="s">
        <v>15679</v>
      </c>
      <c r="AZ137" s="82" t="s">
        <v>15809</v>
      </c>
      <c r="BA137" s="82" t="s">
        <v>15804</v>
      </c>
      <c r="BB137" s="82" t="s">
        <v>15804</v>
      </c>
      <c r="BC137" s="82" t="s">
        <v>15809</v>
      </c>
      <c r="BD137" s="82" t="s">
        <v>15679</v>
      </c>
      <c r="BE137" s="77"/>
      <c r="BF137" s="77"/>
      <c r="BG137" s="77"/>
      <c r="BH137" s="77"/>
      <c r="BI137" s="77"/>
    </row>
    <row r="138" spans="1:61" x14ac:dyDescent="0.25">
      <c r="A138" s="62" t="s">
        <v>275</v>
      </c>
      <c r="B138" s="62" t="s">
        <v>275</v>
      </c>
      <c r="C138" s="63"/>
      <c r="D138" s="64"/>
      <c r="E138" s="65"/>
      <c r="F138" s="66"/>
      <c r="G138" s="63"/>
      <c r="H138" s="67"/>
      <c r="I138" s="68"/>
      <c r="J138" s="68"/>
      <c r="K138" s="32"/>
      <c r="L138" s="75">
        <v>138</v>
      </c>
      <c r="M138" s="75"/>
      <c r="N138" s="70"/>
      <c r="O138" s="77" t="s">
        <v>1132</v>
      </c>
      <c r="P138" s="79">
        <v>45090.632650462961</v>
      </c>
      <c r="Q138" s="77" t="s">
        <v>1270</v>
      </c>
      <c r="R138" s="77">
        <v>0</v>
      </c>
      <c r="S138" s="77">
        <v>0</v>
      </c>
      <c r="T138" s="77">
        <v>0</v>
      </c>
      <c r="U138" s="77">
        <v>0</v>
      </c>
      <c r="V138" s="77">
        <v>9</v>
      </c>
      <c r="W138" s="82" t="s">
        <v>4138</v>
      </c>
      <c r="X138" s="80" t="str">
        <f>HYPERLINK("https://www.ilean.com.br/post/gest%C3%A3o-financeira-saia-da-escurid%C3%A3o-e-tenha-o-controle-na-palma-da-m%C3%A3o")</f>
        <v>https://www.ilean.com.br/post/gest%C3%A3o-financeira-saia-da-escurid%C3%A3o-e-tenha-o-controle-na-palma-da-m%C3%A3o</v>
      </c>
      <c r="Y138" s="77" t="s">
        <v>6002</v>
      </c>
      <c r="Z138" s="77"/>
      <c r="AA138" s="77"/>
      <c r="AB138" s="77"/>
      <c r="AC138" s="82" t="s">
        <v>7706</v>
      </c>
      <c r="AD138" s="77" t="s">
        <v>7746</v>
      </c>
      <c r="AE138" s="80" t="str">
        <f>HYPERLINK("https://twitter.com/inovacao_lean/status/1668637100948717570")</f>
        <v>https://twitter.com/inovacao_lean/status/1668637100948717570</v>
      </c>
      <c r="AF138" s="79">
        <v>45090.632650462961</v>
      </c>
      <c r="AG138" s="85">
        <v>45090</v>
      </c>
      <c r="AH138" s="82" t="s">
        <v>7888</v>
      </c>
      <c r="AI138" s="77" t="b">
        <v>0</v>
      </c>
      <c r="AJ138" s="77"/>
      <c r="AK138" s="77"/>
      <c r="AL138" s="77"/>
      <c r="AM138" s="77"/>
      <c r="AN138" s="77"/>
      <c r="AO138" s="77"/>
      <c r="AP138" s="77"/>
      <c r="AQ138" s="77"/>
      <c r="AR138" s="77"/>
      <c r="AS138" s="77"/>
      <c r="AT138" s="77"/>
      <c r="AU138" s="77"/>
      <c r="AV138" s="80" t="str">
        <f>HYPERLINK("https://pbs.twimg.com/profile_images/1483811240761872388/DhXZGQ1j_normal.jpg")</f>
        <v>https://pbs.twimg.com/profile_images/1483811240761872388/DhXZGQ1j_normal.jpg</v>
      </c>
      <c r="AW138" s="82" t="s">
        <v>12334</v>
      </c>
      <c r="AX138" s="82" t="s">
        <v>15229</v>
      </c>
      <c r="AY138" s="82" t="s">
        <v>15680</v>
      </c>
      <c r="AZ138" s="82" t="s">
        <v>15229</v>
      </c>
      <c r="BA138" s="82" t="s">
        <v>15804</v>
      </c>
      <c r="BB138" s="82" t="s">
        <v>15804</v>
      </c>
      <c r="BC138" s="82" t="s">
        <v>15229</v>
      </c>
      <c r="BD138" s="82" t="s">
        <v>15680</v>
      </c>
      <c r="BE138" s="77"/>
      <c r="BF138" s="77"/>
      <c r="BG138" s="77"/>
      <c r="BH138" s="77"/>
      <c r="BI138" s="77"/>
    </row>
    <row r="139" spans="1:61" x14ac:dyDescent="0.25">
      <c r="A139" s="62" t="s">
        <v>276</v>
      </c>
      <c r="B139" s="62" t="s">
        <v>276</v>
      </c>
      <c r="C139" s="63"/>
      <c r="D139" s="64"/>
      <c r="E139" s="65"/>
      <c r="F139" s="66"/>
      <c r="G139" s="63"/>
      <c r="H139" s="67"/>
      <c r="I139" s="68"/>
      <c r="J139" s="68"/>
      <c r="K139" s="32"/>
      <c r="L139" s="75">
        <v>139</v>
      </c>
      <c r="M139" s="75"/>
      <c r="N139" s="70"/>
      <c r="O139" s="77" t="s">
        <v>179</v>
      </c>
      <c r="P139" s="79">
        <v>45003.663680555554</v>
      </c>
      <c r="Q139" s="77" t="s">
        <v>1271</v>
      </c>
      <c r="R139" s="77">
        <v>1</v>
      </c>
      <c r="S139" s="77">
        <v>2</v>
      </c>
      <c r="T139" s="77">
        <v>0</v>
      </c>
      <c r="U139" s="77">
        <v>0</v>
      </c>
      <c r="V139" s="77">
        <v>32</v>
      </c>
      <c r="W139" s="82" t="s">
        <v>4139</v>
      </c>
      <c r="X139" s="80" t="str">
        <f>HYPERLINK("https://www.infomoney.com.br/minhas-financas/consignado-inss-suspensao-caixa/")</f>
        <v>https://www.infomoney.com.br/minhas-financas/consignado-inss-suspensao-caixa/</v>
      </c>
      <c r="Y139" s="77" t="s">
        <v>6002</v>
      </c>
      <c r="Z139" s="77"/>
      <c r="AA139" s="77"/>
      <c r="AB139" s="77"/>
      <c r="AC139" s="82" t="s">
        <v>7706</v>
      </c>
      <c r="AD139" s="77" t="s">
        <v>7745</v>
      </c>
      <c r="AE139" s="80" t="str">
        <f>HYPERLINK("https://twitter.com/roggia/status/1637120602644291585")</f>
        <v>https://twitter.com/roggia/status/1637120602644291585</v>
      </c>
      <c r="AF139" s="79">
        <v>45003.663680555554</v>
      </c>
      <c r="AG139" s="85">
        <v>45003</v>
      </c>
      <c r="AH139" s="82" t="s">
        <v>7889</v>
      </c>
      <c r="AI139" s="77" t="b">
        <v>0</v>
      </c>
      <c r="AJ139" s="77"/>
      <c r="AK139" s="77"/>
      <c r="AL139" s="77"/>
      <c r="AM139" s="77"/>
      <c r="AN139" s="77"/>
      <c r="AO139" s="77"/>
      <c r="AP139" s="77"/>
      <c r="AQ139" s="77"/>
      <c r="AR139" s="77"/>
      <c r="AS139" s="77"/>
      <c r="AT139" s="77"/>
      <c r="AU139" s="77"/>
      <c r="AV139" s="80" t="str">
        <f>HYPERLINK("https://pbs.twimg.com/profile_images/338641028/daniel_normal.jpg")</f>
        <v>https://pbs.twimg.com/profile_images/338641028/daniel_normal.jpg</v>
      </c>
      <c r="AW139" s="82" t="s">
        <v>12335</v>
      </c>
      <c r="AX139" s="82" t="s">
        <v>12335</v>
      </c>
      <c r="AY139" s="77"/>
      <c r="AZ139" s="82" t="s">
        <v>15804</v>
      </c>
      <c r="BA139" s="82" t="s">
        <v>15804</v>
      </c>
      <c r="BB139" s="82" t="s">
        <v>15804</v>
      </c>
      <c r="BC139" s="82" t="s">
        <v>12335</v>
      </c>
      <c r="BD139" s="77">
        <v>17047630</v>
      </c>
      <c r="BE139" s="77"/>
      <c r="BF139" s="77"/>
      <c r="BG139" s="77"/>
      <c r="BH139" s="77"/>
      <c r="BI139" s="77"/>
    </row>
    <row r="140" spans="1:61" x14ac:dyDescent="0.25">
      <c r="A140" s="62" t="s">
        <v>276</v>
      </c>
      <c r="B140" s="62" t="s">
        <v>276</v>
      </c>
      <c r="C140" s="63"/>
      <c r="D140" s="64"/>
      <c r="E140" s="65"/>
      <c r="F140" s="66"/>
      <c r="G140" s="63"/>
      <c r="H140" s="67"/>
      <c r="I140" s="68"/>
      <c r="J140" s="68"/>
      <c r="K140" s="32"/>
      <c r="L140" s="75">
        <v>140</v>
      </c>
      <c r="M140" s="75"/>
      <c r="N140" s="70"/>
      <c r="O140" s="77" t="s">
        <v>179</v>
      </c>
      <c r="P140" s="79">
        <v>45100.868703703702</v>
      </c>
      <c r="Q140" s="77" t="s">
        <v>1272</v>
      </c>
      <c r="R140" s="77">
        <v>0</v>
      </c>
      <c r="S140" s="77">
        <v>1</v>
      </c>
      <c r="T140" s="77">
        <v>0</v>
      </c>
      <c r="U140" s="77">
        <v>0</v>
      </c>
      <c r="V140" s="77">
        <v>111</v>
      </c>
      <c r="W140" s="82" t="s">
        <v>4140</v>
      </c>
      <c r="X140" s="77"/>
      <c r="Y140" s="77"/>
      <c r="Z140" s="77"/>
      <c r="AA140" s="77"/>
      <c r="AB140" s="77"/>
      <c r="AC140" s="82" t="s">
        <v>7707</v>
      </c>
      <c r="AD140" s="77" t="s">
        <v>7745</v>
      </c>
      <c r="AE140" s="80" t="str">
        <f>HYPERLINK("https://twitter.com/roggia/status/1672346523550482437")</f>
        <v>https://twitter.com/roggia/status/1672346523550482437</v>
      </c>
      <c r="AF140" s="79">
        <v>45100.868703703702</v>
      </c>
      <c r="AG140" s="85">
        <v>45100</v>
      </c>
      <c r="AH140" s="82" t="s">
        <v>7890</v>
      </c>
      <c r="AI140" s="77"/>
      <c r="AJ140" s="77"/>
      <c r="AK140" s="77"/>
      <c r="AL140" s="77"/>
      <c r="AM140" s="77"/>
      <c r="AN140" s="77"/>
      <c r="AO140" s="77"/>
      <c r="AP140" s="77"/>
      <c r="AQ140" s="77"/>
      <c r="AR140" s="77"/>
      <c r="AS140" s="77"/>
      <c r="AT140" s="77"/>
      <c r="AU140" s="77"/>
      <c r="AV140" s="80" t="str">
        <f>HYPERLINK("https://pbs.twimg.com/profile_images/338641028/daniel_normal.jpg")</f>
        <v>https://pbs.twimg.com/profile_images/338641028/daniel_normal.jpg</v>
      </c>
      <c r="AW140" s="82" t="s">
        <v>12336</v>
      </c>
      <c r="AX140" s="82" t="s">
        <v>12336</v>
      </c>
      <c r="AY140" s="77"/>
      <c r="AZ140" s="82" t="s">
        <v>15804</v>
      </c>
      <c r="BA140" s="82" t="s">
        <v>15804</v>
      </c>
      <c r="BB140" s="82" t="s">
        <v>15804</v>
      </c>
      <c r="BC140" s="82" t="s">
        <v>12336</v>
      </c>
      <c r="BD140" s="77">
        <v>17047630</v>
      </c>
      <c r="BE140" s="77"/>
      <c r="BF140" s="77"/>
      <c r="BG140" s="77"/>
      <c r="BH140" s="77"/>
      <c r="BI140" s="77"/>
    </row>
    <row r="141" spans="1:61" x14ac:dyDescent="0.25">
      <c r="A141" s="62" t="s">
        <v>276</v>
      </c>
      <c r="B141" s="62" t="s">
        <v>441</v>
      </c>
      <c r="C141" s="63"/>
      <c r="D141" s="64"/>
      <c r="E141" s="65"/>
      <c r="F141" s="66"/>
      <c r="G141" s="63"/>
      <c r="H141" s="67"/>
      <c r="I141" s="68"/>
      <c r="J141" s="68"/>
      <c r="K141" s="32"/>
      <c r="L141" s="75">
        <v>141</v>
      </c>
      <c r="M141" s="75"/>
      <c r="N141" s="70"/>
      <c r="O141" s="77" t="s">
        <v>1135</v>
      </c>
      <c r="P141" s="79">
        <v>44950.801724537036</v>
      </c>
      <c r="Q141" s="77" t="s">
        <v>1273</v>
      </c>
      <c r="R141" s="77">
        <v>0</v>
      </c>
      <c r="S141" s="77">
        <v>0</v>
      </c>
      <c r="T141" s="77">
        <v>0</v>
      </c>
      <c r="U141" s="77">
        <v>0</v>
      </c>
      <c r="V141" s="77">
        <v>46</v>
      </c>
      <c r="W141" s="82" t="s">
        <v>4141</v>
      </c>
      <c r="X141" s="77"/>
      <c r="Y141" s="77"/>
      <c r="Z141" s="77"/>
      <c r="AA141" s="77"/>
      <c r="AB141" s="77"/>
      <c r="AC141" s="82" t="s">
        <v>7707</v>
      </c>
      <c r="AD141" s="77" t="s">
        <v>7745</v>
      </c>
      <c r="AE141" s="80" t="str">
        <f>HYPERLINK("https://twitter.com/roggia/status/1617964069432229888")</f>
        <v>https://twitter.com/roggia/status/1617964069432229888</v>
      </c>
      <c r="AF141" s="79">
        <v>44950.801724537036</v>
      </c>
      <c r="AG141" s="85">
        <v>44950</v>
      </c>
      <c r="AH141" s="82" t="s">
        <v>7891</v>
      </c>
      <c r="AI141" s="77"/>
      <c r="AJ141" s="77" t="s">
        <v>10523</v>
      </c>
      <c r="AK141" s="77" t="s">
        <v>10552</v>
      </c>
      <c r="AL141" s="77" t="s">
        <v>10555</v>
      </c>
      <c r="AM141" s="77" t="s">
        <v>10560</v>
      </c>
      <c r="AN141" s="77" t="s">
        <v>10590</v>
      </c>
      <c r="AO141" s="77" t="s">
        <v>10621</v>
      </c>
      <c r="AP141" s="77" t="s">
        <v>10649</v>
      </c>
      <c r="AQ141" s="77"/>
      <c r="AR141" s="77"/>
      <c r="AS141" s="77"/>
      <c r="AT141" s="77"/>
      <c r="AU141" s="77"/>
      <c r="AV141" s="80" t="str">
        <f>HYPERLINK("https://pbs.twimg.com/profile_images/338641028/daniel_normal.jpg")</f>
        <v>https://pbs.twimg.com/profile_images/338641028/daniel_normal.jpg</v>
      </c>
      <c r="AW141" s="82" t="s">
        <v>12337</v>
      </c>
      <c r="AX141" s="82" t="s">
        <v>12337</v>
      </c>
      <c r="AY141" s="77"/>
      <c r="AZ141" s="82" t="s">
        <v>15804</v>
      </c>
      <c r="BA141" s="82" t="s">
        <v>12885</v>
      </c>
      <c r="BB141" s="82" t="s">
        <v>15804</v>
      </c>
      <c r="BC141" s="82" t="s">
        <v>12885</v>
      </c>
      <c r="BD141" s="77">
        <v>17047630</v>
      </c>
      <c r="BE141" s="77"/>
      <c r="BF141" s="77"/>
      <c r="BG141" s="77"/>
      <c r="BH141" s="77"/>
      <c r="BI141" s="77"/>
    </row>
    <row r="142" spans="1:61" x14ac:dyDescent="0.25">
      <c r="A142" s="62" t="s">
        <v>277</v>
      </c>
      <c r="B142" s="62" t="s">
        <v>277</v>
      </c>
      <c r="C142" s="63"/>
      <c r="D142" s="64"/>
      <c r="E142" s="65"/>
      <c r="F142" s="66"/>
      <c r="G142" s="63"/>
      <c r="H142" s="67"/>
      <c r="I142" s="68"/>
      <c r="J142" s="68"/>
      <c r="K142" s="32"/>
      <c r="L142" s="75">
        <v>142</v>
      </c>
      <c r="M142" s="75"/>
      <c r="N142" s="70"/>
      <c r="O142" s="77" t="s">
        <v>179</v>
      </c>
      <c r="P142" s="79">
        <v>45056.837881944448</v>
      </c>
      <c r="Q142" s="77" t="s">
        <v>1274</v>
      </c>
      <c r="R142" s="77">
        <v>0</v>
      </c>
      <c r="S142" s="77">
        <v>0</v>
      </c>
      <c r="T142" s="77">
        <v>0</v>
      </c>
      <c r="U142" s="77">
        <v>0</v>
      </c>
      <c r="V142" s="77">
        <v>22</v>
      </c>
      <c r="W142" s="82" t="s">
        <v>4142</v>
      </c>
      <c r="X142" s="80" t="str">
        <f>HYPERLINK("https://www.jornaldealagoas.com.br/municipios/2023/05/10/6519-prefeitura-de-penedo-e-sebrae-levam-educacao-financeira-e-empreendedorismo-para-sala-de-aula")</f>
        <v>https://www.jornaldealagoas.com.br/municipios/2023/05/10/6519-prefeitura-de-penedo-e-sebrae-levam-educacao-financeira-e-empreendedorismo-para-sala-de-aula</v>
      </c>
      <c r="Y142" s="77" t="s">
        <v>6002</v>
      </c>
      <c r="Z142" s="77"/>
      <c r="AA142" s="77"/>
      <c r="AB142" s="77"/>
      <c r="AC142" s="82" t="s">
        <v>7706</v>
      </c>
      <c r="AD142" s="77" t="s">
        <v>7745</v>
      </c>
      <c r="AE142" s="80" t="str">
        <f>HYPERLINK("https://twitter.com/jornaldealagoas/status/1656390286329667586")</f>
        <v>https://twitter.com/jornaldealagoas/status/1656390286329667586</v>
      </c>
      <c r="AF142" s="79">
        <v>45056.837881944448</v>
      </c>
      <c r="AG142" s="85">
        <v>45056</v>
      </c>
      <c r="AH142" s="82" t="s">
        <v>7892</v>
      </c>
      <c r="AI142" s="77" t="b">
        <v>0</v>
      </c>
      <c r="AJ142" s="77"/>
      <c r="AK142" s="77"/>
      <c r="AL142" s="77"/>
      <c r="AM142" s="77"/>
      <c r="AN142" s="77"/>
      <c r="AO142" s="77"/>
      <c r="AP142" s="77"/>
      <c r="AQ142" s="77"/>
      <c r="AR142" s="77"/>
      <c r="AS142" s="77"/>
      <c r="AT142" s="77"/>
      <c r="AU142" s="77"/>
      <c r="AV142" s="80" t="str">
        <f>HYPERLINK("https://pbs.twimg.com/profile_images/1403025377639940101/CZQOoL51_normal.jpg")</f>
        <v>https://pbs.twimg.com/profile_images/1403025377639940101/CZQOoL51_normal.jpg</v>
      </c>
      <c r="AW142" s="82" t="s">
        <v>12338</v>
      </c>
      <c r="AX142" s="82" t="s">
        <v>12338</v>
      </c>
      <c r="AY142" s="77"/>
      <c r="AZ142" s="82" t="s">
        <v>15804</v>
      </c>
      <c r="BA142" s="82" t="s">
        <v>15804</v>
      </c>
      <c r="BB142" s="82" t="s">
        <v>15804</v>
      </c>
      <c r="BC142" s="82" t="s">
        <v>12338</v>
      </c>
      <c r="BD142" s="77">
        <v>2557438489</v>
      </c>
      <c r="BE142" s="77"/>
      <c r="BF142" s="77"/>
      <c r="BG142" s="77"/>
      <c r="BH142" s="77"/>
      <c r="BI142" s="77"/>
    </row>
    <row r="143" spans="1:61" x14ac:dyDescent="0.25">
      <c r="A143" s="62" t="s">
        <v>278</v>
      </c>
      <c r="B143" s="62" t="s">
        <v>934</v>
      </c>
      <c r="C143" s="63"/>
      <c r="D143" s="64"/>
      <c r="E143" s="65"/>
      <c r="F143" s="66"/>
      <c r="G143" s="63"/>
      <c r="H143" s="67"/>
      <c r="I143" s="68"/>
      <c r="J143" s="68"/>
      <c r="K143" s="32"/>
      <c r="L143" s="75">
        <v>143</v>
      </c>
      <c r="M143" s="75"/>
      <c r="N143" s="70"/>
      <c r="O143" s="77" t="s">
        <v>1134</v>
      </c>
      <c r="P143" s="79">
        <v>45176.982951388891</v>
      </c>
      <c r="Q143" s="77" t="s">
        <v>1275</v>
      </c>
      <c r="R143" s="77">
        <v>4</v>
      </c>
      <c r="S143" s="77">
        <v>0</v>
      </c>
      <c r="T143" s="77">
        <v>0</v>
      </c>
      <c r="U143" s="77">
        <v>0</v>
      </c>
      <c r="V143" s="77"/>
      <c r="W143" s="82" t="s">
        <v>4143</v>
      </c>
      <c r="X143" s="77"/>
      <c r="Y143" s="77"/>
      <c r="Z143" s="77" t="s">
        <v>934</v>
      </c>
      <c r="AA143" s="77"/>
      <c r="AB143" s="77"/>
      <c r="AC143" s="82" t="s">
        <v>7707</v>
      </c>
      <c r="AD143" s="77" t="s">
        <v>7747</v>
      </c>
      <c r="AE143" s="80" t="str">
        <f>HYPERLINK("https://twitter.com/j_caio_r/status/1699929403415781450")</f>
        <v>https://twitter.com/j_caio_r/status/1699929403415781450</v>
      </c>
      <c r="AF143" s="79">
        <v>45176.982951388891</v>
      </c>
      <c r="AG143" s="85">
        <v>45176</v>
      </c>
      <c r="AH143" s="82" t="s">
        <v>7893</v>
      </c>
      <c r="AI143" s="77"/>
      <c r="AJ143" s="77"/>
      <c r="AK143" s="77"/>
      <c r="AL143" s="77"/>
      <c r="AM143" s="77"/>
      <c r="AN143" s="77"/>
      <c r="AO143" s="77"/>
      <c r="AP143" s="77"/>
      <c r="AQ143" s="77"/>
      <c r="AR143" s="77"/>
      <c r="AS143" s="77"/>
      <c r="AT143" s="77"/>
      <c r="AU143" s="77"/>
      <c r="AV143" s="80" t="str">
        <f>HYPERLINK("https://pbs.twimg.com/profile_images/1050746979943354373/GDnOnAx4_normal.jpg")</f>
        <v>https://pbs.twimg.com/profile_images/1050746979943354373/GDnOnAx4_normal.jpg</v>
      </c>
      <c r="AW143" s="82" t="s">
        <v>12339</v>
      </c>
      <c r="AX143" s="82" t="s">
        <v>12339</v>
      </c>
      <c r="AY143" s="77"/>
      <c r="AZ143" s="82" t="s">
        <v>15804</v>
      </c>
      <c r="BA143" s="82" t="s">
        <v>15804</v>
      </c>
      <c r="BB143" s="82" t="s">
        <v>14575</v>
      </c>
      <c r="BC143" s="82" t="s">
        <v>14575</v>
      </c>
      <c r="BD143" s="82" t="s">
        <v>16168</v>
      </c>
      <c r="BE143" s="77"/>
      <c r="BF143" s="77"/>
      <c r="BG143" s="77"/>
      <c r="BH143" s="77"/>
      <c r="BI143" s="77"/>
    </row>
    <row r="144" spans="1:61" x14ac:dyDescent="0.25">
      <c r="A144" s="62" t="s">
        <v>279</v>
      </c>
      <c r="B144" s="62" t="s">
        <v>279</v>
      </c>
      <c r="C144" s="63"/>
      <c r="D144" s="64"/>
      <c r="E144" s="65"/>
      <c r="F144" s="66"/>
      <c r="G144" s="63"/>
      <c r="H144" s="67"/>
      <c r="I144" s="68"/>
      <c r="J144" s="68"/>
      <c r="K144" s="32"/>
      <c r="L144" s="75">
        <v>144</v>
      </c>
      <c r="M144" s="75"/>
      <c r="N144" s="70"/>
      <c r="O144" s="77" t="s">
        <v>179</v>
      </c>
      <c r="P144" s="79">
        <v>45020.83388888889</v>
      </c>
      <c r="Q144" s="77" t="s">
        <v>1276</v>
      </c>
      <c r="R144" s="77">
        <v>0</v>
      </c>
      <c r="S144" s="77">
        <v>0</v>
      </c>
      <c r="T144" s="77">
        <v>0</v>
      </c>
      <c r="U144" s="77">
        <v>0</v>
      </c>
      <c r="V144" s="77">
        <v>35</v>
      </c>
      <c r="W144" s="82" t="s">
        <v>4144</v>
      </c>
      <c r="X144" s="77"/>
      <c r="Y144" s="77"/>
      <c r="Z144" s="77"/>
      <c r="AA144" s="77" t="s">
        <v>6238</v>
      </c>
      <c r="AB144" s="77" t="s">
        <v>7696</v>
      </c>
      <c r="AC144" s="82" t="s">
        <v>7708</v>
      </c>
      <c r="AD144" s="77" t="s">
        <v>7745</v>
      </c>
      <c r="AE144" s="80" t="str">
        <f>HYPERLINK("https://twitter.com/_meunomelimpo/status/1643342879501303810")</f>
        <v>https://twitter.com/_meunomelimpo/status/1643342879501303810</v>
      </c>
      <c r="AF144" s="79">
        <v>45020.83388888889</v>
      </c>
      <c r="AG144" s="85">
        <v>45020</v>
      </c>
      <c r="AH144" s="82" t="s">
        <v>7894</v>
      </c>
      <c r="AI144" s="77" t="b">
        <v>0</v>
      </c>
      <c r="AJ144" s="77"/>
      <c r="AK144" s="77"/>
      <c r="AL144" s="77"/>
      <c r="AM144" s="77"/>
      <c r="AN144" s="77"/>
      <c r="AO144" s="77"/>
      <c r="AP144" s="77"/>
      <c r="AQ144" s="77" t="s">
        <v>10745</v>
      </c>
      <c r="AR144" s="77"/>
      <c r="AS144" s="77"/>
      <c r="AT144" s="77"/>
      <c r="AU144" s="77"/>
      <c r="AV144" s="80" t="str">
        <f>HYPERLINK("https://pbs.twimg.com/media/Fs5To-GX0AkHzDX.jpg")</f>
        <v>https://pbs.twimg.com/media/Fs5To-GX0AkHzDX.jpg</v>
      </c>
      <c r="AW144" s="82" t="s">
        <v>12340</v>
      </c>
      <c r="AX144" s="82" t="s">
        <v>12340</v>
      </c>
      <c r="AY144" s="77"/>
      <c r="AZ144" s="82" t="s">
        <v>15804</v>
      </c>
      <c r="BA144" s="82" t="s">
        <v>15804</v>
      </c>
      <c r="BB144" s="82" t="s">
        <v>15804</v>
      </c>
      <c r="BC144" s="82" t="s">
        <v>12340</v>
      </c>
      <c r="BD144" s="82" t="s">
        <v>16169</v>
      </c>
      <c r="BE144" s="77"/>
      <c r="BF144" s="77"/>
      <c r="BG144" s="77"/>
      <c r="BH144" s="77"/>
      <c r="BI144" s="77"/>
    </row>
    <row r="145" spans="1:61" x14ac:dyDescent="0.25">
      <c r="A145" s="62" t="s">
        <v>279</v>
      </c>
      <c r="B145" s="62" t="s">
        <v>279</v>
      </c>
      <c r="C145" s="63"/>
      <c r="D145" s="64"/>
      <c r="E145" s="65"/>
      <c r="F145" s="66"/>
      <c r="G145" s="63"/>
      <c r="H145" s="67"/>
      <c r="I145" s="68"/>
      <c r="J145" s="68"/>
      <c r="K145" s="32"/>
      <c r="L145" s="75">
        <v>145</v>
      </c>
      <c r="M145" s="75"/>
      <c r="N145" s="70"/>
      <c r="O145" s="77" t="s">
        <v>179</v>
      </c>
      <c r="P145" s="79">
        <v>45015.833958333336</v>
      </c>
      <c r="Q145" s="77" t="s">
        <v>1277</v>
      </c>
      <c r="R145" s="77">
        <v>0</v>
      </c>
      <c r="S145" s="77">
        <v>0</v>
      </c>
      <c r="T145" s="77">
        <v>0</v>
      </c>
      <c r="U145" s="77">
        <v>0</v>
      </c>
      <c r="V145" s="77">
        <v>27</v>
      </c>
      <c r="W145" s="82" t="s">
        <v>4145</v>
      </c>
      <c r="X145" s="77"/>
      <c r="Y145" s="77"/>
      <c r="Z145" s="77"/>
      <c r="AA145" s="77" t="s">
        <v>6239</v>
      </c>
      <c r="AB145" s="77" t="s">
        <v>7696</v>
      </c>
      <c r="AC145" s="82" t="s">
        <v>7708</v>
      </c>
      <c r="AD145" s="77" t="s">
        <v>7745</v>
      </c>
      <c r="AE145" s="80" t="str">
        <f>HYPERLINK("https://twitter.com/_meunomelimpo/status/1641530964378546176")</f>
        <v>https://twitter.com/_meunomelimpo/status/1641530964378546176</v>
      </c>
      <c r="AF145" s="79">
        <v>45015.833958333336</v>
      </c>
      <c r="AG145" s="85">
        <v>45015</v>
      </c>
      <c r="AH145" s="82" t="s">
        <v>7895</v>
      </c>
      <c r="AI145" s="77" t="b">
        <v>0</v>
      </c>
      <c r="AJ145" s="77"/>
      <c r="AK145" s="77"/>
      <c r="AL145" s="77"/>
      <c r="AM145" s="77"/>
      <c r="AN145" s="77"/>
      <c r="AO145" s="77"/>
      <c r="AP145" s="77"/>
      <c r="AQ145" s="77" t="s">
        <v>10746</v>
      </c>
      <c r="AR145" s="77"/>
      <c r="AS145" s="77"/>
      <c r="AT145" s="77"/>
      <c r="AU145" s="77"/>
      <c r="AV145" s="80" t="str">
        <f>HYPERLINK("https://pbs.twimg.com/media/FsfjtopWIBE0XUR.jpg")</f>
        <v>https://pbs.twimg.com/media/FsfjtopWIBE0XUR.jpg</v>
      </c>
      <c r="AW145" s="82" t="s">
        <v>12341</v>
      </c>
      <c r="AX145" s="82" t="s">
        <v>12341</v>
      </c>
      <c r="AY145" s="77"/>
      <c r="AZ145" s="82" t="s">
        <v>15804</v>
      </c>
      <c r="BA145" s="82" t="s">
        <v>15804</v>
      </c>
      <c r="BB145" s="82" t="s">
        <v>15804</v>
      </c>
      <c r="BC145" s="82" t="s">
        <v>12341</v>
      </c>
      <c r="BD145" s="82" t="s">
        <v>16169</v>
      </c>
      <c r="BE145" s="77"/>
      <c r="BF145" s="77"/>
      <c r="BG145" s="77"/>
      <c r="BH145" s="77"/>
      <c r="BI145" s="77"/>
    </row>
    <row r="146" spans="1:61" x14ac:dyDescent="0.25">
      <c r="A146" s="62" t="s">
        <v>279</v>
      </c>
      <c r="B146" s="62" t="s">
        <v>279</v>
      </c>
      <c r="C146" s="63"/>
      <c r="D146" s="64"/>
      <c r="E146" s="65"/>
      <c r="F146" s="66"/>
      <c r="G146" s="63"/>
      <c r="H146" s="67"/>
      <c r="I146" s="68"/>
      <c r="J146" s="68"/>
      <c r="K146" s="32"/>
      <c r="L146" s="75">
        <v>146</v>
      </c>
      <c r="M146" s="75"/>
      <c r="N146" s="70"/>
      <c r="O146" s="77" t="s">
        <v>179</v>
      </c>
      <c r="P146" s="79">
        <v>45014.833912037036</v>
      </c>
      <c r="Q146" s="77" t="s">
        <v>1278</v>
      </c>
      <c r="R146" s="77">
        <v>0</v>
      </c>
      <c r="S146" s="77">
        <v>0</v>
      </c>
      <c r="T146" s="77">
        <v>0</v>
      </c>
      <c r="U146" s="77">
        <v>0</v>
      </c>
      <c r="V146" s="77">
        <v>35</v>
      </c>
      <c r="W146" s="82" t="s">
        <v>4145</v>
      </c>
      <c r="X146" s="77"/>
      <c r="Y146" s="77"/>
      <c r="Z146" s="77"/>
      <c r="AA146" s="77" t="s">
        <v>6240</v>
      </c>
      <c r="AB146" s="77" t="s">
        <v>7696</v>
      </c>
      <c r="AC146" s="82" t="s">
        <v>7708</v>
      </c>
      <c r="AD146" s="77" t="s">
        <v>7745</v>
      </c>
      <c r="AE146" s="80" t="str">
        <f>HYPERLINK("https://twitter.com/_meunomelimpo/status/1641168558427189249")</f>
        <v>https://twitter.com/_meunomelimpo/status/1641168558427189249</v>
      </c>
      <c r="AF146" s="79">
        <v>45014.833912037036</v>
      </c>
      <c r="AG146" s="85">
        <v>45014</v>
      </c>
      <c r="AH146" s="82" t="s">
        <v>7896</v>
      </c>
      <c r="AI146" s="77" t="b">
        <v>0</v>
      </c>
      <c r="AJ146" s="77"/>
      <c r="AK146" s="77"/>
      <c r="AL146" s="77"/>
      <c r="AM146" s="77"/>
      <c r="AN146" s="77"/>
      <c r="AO146" s="77"/>
      <c r="AP146" s="77"/>
      <c r="AQ146" s="77" t="s">
        <v>10747</v>
      </c>
      <c r="AR146" s="77"/>
      <c r="AS146" s="77"/>
      <c r="AT146" s="77"/>
      <c r="AU146" s="77"/>
      <c r="AV146" s="80" t="str">
        <f>HYPERLINK("https://pbs.twimg.com/media/FsaaG2NXgAcW63_.jpg")</f>
        <v>https://pbs.twimg.com/media/FsaaG2NXgAcW63_.jpg</v>
      </c>
      <c r="AW146" s="82" t="s">
        <v>12342</v>
      </c>
      <c r="AX146" s="82" t="s">
        <v>12342</v>
      </c>
      <c r="AY146" s="77"/>
      <c r="AZ146" s="82" t="s">
        <v>15804</v>
      </c>
      <c r="BA146" s="82" t="s">
        <v>15804</v>
      </c>
      <c r="BB146" s="82" t="s">
        <v>15804</v>
      </c>
      <c r="BC146" s="82" t="s">
        <v>12342</v>
      </c>
      <c r="BD146" s="82" t="s">
        <v>16169</v>
      </c>
      <c r="BE146" s="77"/>
      <c r="BF146" s="77"/>
      <c r="BG146" s="77"/>
      <c r="BH146" s="77"/>
      <c r="BI146" s="77"/>
    </row>
    <row r="147" spans="1:61" x14ac:dyDescent="0.25">
      <c r="A147" s="62" t="s">
        <v>279</v>
      </c>
      <c r="B147" s="62" t="s">
        <v>279</v>
      </c>
      <c r="C147" s="63"/>
      <c r="D147" s="64"/>
      <c r="E147" s="65"/>
      <c r="F147" s="66"/>
      <c r="G147" s="63"/>
      <c r="H147" s="67"/>
      <c r="I147" s="68"/>
      <c r="J147" s="68"/>
      <c r="K147" s="32"/>
      <c r="L147" s="75">
        <v>147</v>
      </c>
      <c r="M147" s="75"/>
      <c r="N147" s="70"/>
      <c r="O147" s="77" t="s">
        <v>179</v>
      </c>
      <c r="P147" s="79">
        <v>45013.833703703705</v>
      </c>
      <c r="Q147" s="77" t="s">
        <v>1279</v>
      </c>
      <c r="R147" s="77">
        <v>0</v>
      </c>
      <c r="S147" s="77">
        <v>0</v>
      </c>
      <c r="T147" s="77">
        <v>0</v>
      </c>
      <c r="U147" s="77">
        <v>0</v>
      </c>
      <c r="V147" s="77">
        <v>17</v>
      </c>
      <c r="W147" s="82" t="s">
        <v>4145</v>
      </c>
      <c r="X147" s="77"/>
      <c r="Y147" s="77"/>
      <c r="Z147" s="77"/>
      <c r="AA147" s="77" t="s">
        <v>6241</v>
      </c>
      <c r="AB147" s="77" t="s">
        <v>7696</v>
      </c>
      <c r="AC147" s="82" t="s">
        <v>7708</v>
      </c>
      <c r="AD147" s="77" t="s">
        <v>7745</v>
      </c>
      <c r="AE147" s="80" t="str">
        <f>HYPERLINK("https://twitter.com/_meunomelimpo/status/1640806097152888866")</f>
        <v>https://twitter.com/_meunomelimpo/status/1640806097152888866</v>
      </c>
      <c r="AF147" s="79">
        <v>45013.833703703705</v>
      </c>
      <c r="AG147" s="85">
        <v>45013</v>
      </c>
      <c r="AH147" s="82" t="s">
        <v>7897</v>
      </c>
      <c r="AI147" s="77" t="b">
        <v>0</v>
      </c>
      <c r="AJ147" s="77"/>
      <c r="AK147" s="77"/>
      <c r="AL147" s="77"/>
      <c r="AM147" s="77"/>
      <c r="AN147" s="77"/>
      <c r="AO147" s="77"/>
      <c r="AP147" s="77"/>
      <c r="AQ147" s="77" t="s">
        <v>10748</v>
      </c>
      <c r="AR147" s="77"/>
      <c r="AS147" s="77"/>
      <c r="AT147" s="77"/>
      <c r="AU147" s="77"/>
      <c r="AV147" s="80" t="str">
        <f>HYPERLINK("https://pbs.twimg.com/media/FsVQc0tX0Akg7U9.jpg")</f>
        <v>https://pbs.twimg.com/media/FsVQc0tX0Akg7U9.jpg</v>
      </c>
      <c r="AW147" s="82" t="s">
        <v>12343</v>
      </c>
      <c r="AX147" s="82" t="s">
        <v>12343</v>
      </c>
      <c r="AY147" s="77"/>
      <c r="AZ147" s="82" t="s">
        <v>15804</v>
      </c>
      <c r="BA147" s="82" t="s">
        <v>15804</v>
      </c>
      <c r="BB147" s="82" t="s">
        <v>15804</v>
      </c>
      <c r="BC147" s="82" t="s">
        <v>12343</v>
      </c>
      <c r="BD147" s="82" t="s">
        <v>16169</v>
      </c>
      <c r="BE147" s="77"/>
      <c r="BF147" s="77"/>
      <c r="BG147" s="77"/>
      <c r="BH147" s="77"/>
      <c r="BI147" s="77"/>
    </row>
    <row r="148" spans="1:61" x14ac:dyDescent="0.25">
      <c r="A148" s="62" t="s">
        <v>279</v>
      </c>
      <c r="B148" s="62" t="s">
        <v>279</v>
      </c>
      <c r="C148" s="63"/>
      <c r="D148" s="64"/>
      <c r="E148" s="65"/>
      <c r="F148" s="66"/>
      <c r="G148" s="63"/>
      <c r="H148" s="67"/>
      <c r="I148" s="68"/>
      <c r="J148" s="68"/>
      <c r="K148" s="32"/>
      <c r="L148" s="75">
        <v>148</v>
      </c>
      <c r="M148" s="75"/>
      <c r="N148" s="70"/>
      <c r="O148" s="77" t="s">
        <v>179</v>
      </c>
      <c r="P148" s="79">
        <v>45008.575486111113</v>
      </c>
      <c r="Q148" s="77" t="s">
        <v>1280</v>
      </c>
      <c r="R148" s="77">
        <v>0</v>
      </c>
      <c r="S148" s="77">
        <v>0</v>
      </c>
      <c r="T148" s="77">
        <v>0</v>
      </c>
      <c r="U148" s="77">
        <v>0</v>
      </c>
      <c r="V148" s="77">
        <v>7</v>
      </c>
      <c r="W148" s="82" t="s">
        <v>4146</v>
      </c>
      <c r="X148" s="77"/>
      <c r="Y148" s="77"/>
      <c r="Z148" s="77"/>
      <c r="AA148" s="77" t="s">
        <v>6242</v>
      </c>
      <c r="AB148" s="77" t="s">
        <v>7696</v>
      </c>
      <c r="AC148" s="82" t="s">
        <v>7706</v>
      </c>
      <c r="AD148" s="77" t="s">
        <v>7745</v>
      </c>
      <c r="AE148" s="80" t="str">
        <f>HYPERLINK("https://twitter.com/_meunomelimpo/status/1638900580394610688")</f>
        <v>https://twitter.com/_meunomelimpo/status/1638900580394610688</v>
      </c>
      <c r="AF148" s="79">
        <v>45008.575486111113</v>
      </c>
      <c r="AG148" s="85">
        <v>45008</v>
      </c>
      <c r="AH148" s="82" t="s">
        <v>7898</v>
      </c>
      <c r="AI148" s="77" t="b">
        <v>0</v>
      </c>
      <c r="AJ148" s="77"/>
      <c r="AK148" s="77"/>
      <c r="AL148" s="77"/>
      <c r="AM148" s="77"/>
      <c r="AN148" s="77"/>
      <c r="AO148" s="77"/>
      <c r="AP148" s="77"/>
      <c r="AQ148" s="77" t="s">
        <v>10749</v>
      </c>
      <c r="AR148" s="77"/>
      <c r="AS148" s="77"/>
      <c r="AT148" s="77"/>
      <c r="AU148" s="77"/>
      <c r="AV148" s="80" t="str">
        <f>HYPERLINK("https://pbs.twimg.com/media/Fr6LYyYWAAke6vl.jpg")</f>
        <v>https://pbs.twimg.com/media/Fr6LYyYWAAke6vl.jpg</v>
      </c>
      <c r="AW148" s="82" t="s">
        <v>12344</v>
      </c>
      <c r="AX148" s="82" t="s">
        <v>12344</v>
      </c>
      <c r="AY148" s="77"/>
      <c r="AZ148" s="82" t="s">
        <v>15804</v>
      </c>
      <c r="BA148" s="82" t="s">
        <v>15804</v>
      </c>
      <c r="BB148" s="82" t="s">
        <v>15804</v>
      </c>
      <c r="BC148" s="82" t="s">
        <v>12344</v>
      </c>
      <c r="BD148" s="82" t="s">
        <v>16169</v>
      </c>
      <c r="BE148" s="77"/>
      <c r="BF148" s="77"/>
      <c r="BG148" s="77"/>
      <c r="BH148" s="77"/>
      <c r="BI148" s="77"/>
    </row>
    <row r="149" spans="1:61" x14ac:dyDescent="0.25">
      <c r="A149" s="62" t="s">
        <v>280</v>
      </c>
      <c r="B149" s="62" t="s">
        <v>280</v>
      </c>
      <c r="C149" s="63"/>
      <c r="D149" s="64"/>
      <c r="E149" s="65"/>
      <c r="F149" s="66"/>
      <c r="G149" s="63"/>
      <c r="H149" s="67"/>
      <c r="I149" s="68"/>
      <c r="J149" s="68"/>
      <c r="K149" s="32"/>
      <c r="L149" s="75">
        <v>149</v>
      </c>
      <c r="M149" s="75"/>
      <c r="N149" s="70"/>
      <c r="O149" s="77" t="s">
        <v>179</v>
      </c>
      <c r="P149" s="79">
        <v>45142.667951388888</v>
      </c>
      <c r="Q149" s="77" t="s">
        <v>1281</v>
      </c>
      <c r="R149" s="77">
        <v>0</v>
      </c>
      <c r="S149" s="77">
        <v>0</v>
      </c>
      <c r="T149" s="77">
        <v>0</v>
      </c>
      <c r="U149" s="77">
        <v>0</v>
      </c>
      <c r="V149" s="77">
        <v>3</v>
      </c>
      <c r="W149" s="82" t="s">
        <v>4147</v>
      </c>
      <c r="X149" s="77"/>
      <c r="Y149" s="77"/>
      <c r="Z149" s="77"/>
      <c r="AA149" s="77"/>
      <c r="AB149" s="77"/>
      <c r="AC149" s="82" t="s">
        <v>7706</v>
      </c>
      <c r="AD149" s="77" t="s">
        <v>7745</v>
      </c>
      <c r="AE149" s="80" t="str">
        <f>HYPERLINK("https://twitter.com/manframing/status/1687494062889189377")</f>
        <v>https://twitter.com/manframing/status/1687494062889189377</v>
      </c>
      <c r="AF149" s="79">
        <v>45142.667951388888</v>
      </c>
      <c r="AG149" s="85">
        <v>45142</v>
      </c>
      <c r="AH149" s="82" t="s">
        <v>7899</v>
      </c>
      <c r="AI149" s="77"/>
      <c r="AJ149" s="77"/>
      <c r="AK149" s="77"/>
      <c r="AL149" s="77"/>
      <c r="AM149" s="77"/>
      <c r="AN149" s="77"/>
      <c r="AO149" s="77"/>
      <c r="AP149" s="77"/>
      <c r="AQ149" s="77"/>
      <c r="AR149" s="77"/>
      <c r="AS149" s="77"/>
      <c r="AT149" s="77"/>
      <c r="AU149" s="77"/>
      <c r="AV149" s="80" t="str">
        <f>HYPERLINK("https://pbs.twimg.com/profile_images/1681320842687332352/5SWEz6Q4_normal.jpg")</f>
        <v>https://pbs.twimg.com/profile_images/1681320842687332352/5SWEz6Q4_normal.jpg</v>
      </c>
      <c r="AW149" s="82" t="s">
        <v>12345</v>
      </c>
      <c r="AX149" s="82" t="s">
        <v>12345</v>
      </c>
      <c r="AY149" s="77"/>
      <c r="AZ149" s="82" t="s">
        <v>15804</v>
      </c>
      <c r="BA149" s="82" t="s">
        <v>15804</v>
      </c>
      <c r="BB149" s="82" t="s">
        <v>15804</v>
      </c>
      <c r="BC149" s="82" t="s">
        <v>12345</v>
      </c>
      <c r="BD149" s="82" t="s">
        <v>16170</v>
      </c>
      <c r="BE149" s="77"/>
      <c r="BF149" s="77"/>
      <c r="BG149" s="77"/>
      <c r="BH149" s="77"/>
      <c r="BI149" s="77"/>
    </row>
    <row r="150" spans="1:61" x14ac:dyDescent="0.25">
      <c r="A150" s="62" t="s">
        <v>281</v>
      </c>
      <c r="B150" s="62" t="s">
        <v>281</v>
      </c>
      <c r="C150" s="63"/>
      <c r="D150" s="64"/>
      <c r="E150" s="65"/>
      <c r="F150" s="66"/>
      <c r="G150" s="63"/>
      <c r="H150" s="67"/>
      <c r="I150" s="68"/>
      <c r="J150" s="68"/>
      <c r="K150" s="32"/>
      <c r="L150" s="75">
        <v>150</v>
      </c>
      <c r="M150" s="75"/>
      <c r="N150" s="70"/>
      <c r="O150" s="77" t="s">
        <v>179</v>
      </c>
      <c r="P150" s="79">
        <v>45134.650243055556</v>
      </c>
      <c r="Q150" s="77" t="s">
        <v>1282</v>
      </c>
      <c r="R150" s="77">
        <v>0</v>
      </c>
      <c r="S150" s="77">
        <v>0</v>
      </c>
      <c r="T150" s="77">
        <v>0</v>
      </c>
      <c r="U150" s="77">
        <v>0</v>
      </c>
      <c r="V150" s="77">
        <v>31</v>
      </c>
      <c r="W150" s="82" t="s">
        <v>4097</v>
      </c>
      <c r="X150" s="80" t="str">
        <f>HYPERLINK("https://www.economiapersonal.com.ar")</f>
        <v>https://www.economiapersonal.com.ar</v>
      </c>
      <c r="Y150" s="77" t="s">
        <v>6010</v>
      </c>
      <c r="Z150" s="77"/>
      <c r="AA150" s="77" t="s">
        <v>6243</v>
      </c>
      <c r="AB150" s="77" t="s">
        <v>7696</v>
      </c>
      <c r="AC150" s="82" t="s">
        <v>7712</v>
      </c>
      <c r="AD150" s="77" t="s">
        <v>7745</v>
      </c>
      <c r="AE150" s="80" t="str">
        <f>HYPERLINK("https://twitter.com/gustavoipadilla/status/1684588544730320898")</f>
        <v>https://twitter.com/gustavoipadilla/status/1684588544730320898</v>
      </c>
      <c r="AF150" s="79">
        <v>45134.650243055556</v>
      </c>
      <c r="AG150" s="85">
        <v>45134</v>
      </c>
      <c r="AH150" s="82" t="s">
        <v>7900</v>
      </c>
      <c r="AI150" s="77" t="b">
        <v>0</v>
      </c>
      <c r="AJ150" s="77"/>
      <c r="AK150" s="77"/>
      <c r="AL150" s="77"/>
      <c r="AM150" s="77"/>
      <c r="AN150" s="77"/>
      <c r="AO150" s="77"/>
      <c r="AP150" s="77"/>
      <c r="AQ150" s="77" t="s">
        <v>10750</v>
      </c>
      <c r="AR150" s="77"/>
      <c r="AS150" s="77"/>
      <c r="AT150" s="77"/>
      <c r="AU150" s="77"/>
      <c r="AV150" s="80" t="str">
        <f>HYPERLINK("https://pbs.twimg.com/media/EmPeaPZU4AQJG5v.jpg")</f>
        <v>https://pbs.twimg.com/media/EmPeaPZU4AQJG5v.jpg</v>
      </c>
      <c r="AW150" s="82" t="s">
        <v>12346</v>
      </c>
      <c r="AX150" s="82" t="s">
        <v>12346</v>
      </c>
      <c r="AY150" s="77"/>
      <c r="AZ150" s="82" t="s">
        <v>15804</v>
      </c>
      <c r="BA150" s="82" t="s">
        <v>15804</v>
      </c>
      <c r="BB150" s="82" t="s">
        <v>15804</v>
      </c>
      <c r="BC150" s="82" t="s">
        <v>12346</v>
      </c>
      <c r="BD150" s="82" t="s">
        <v>16171</v>
      </c>
      <c r="BE150" s="77"/>
      <c r="BF150" s="77"/>
      <c r="BG150" s="77"/>
      <c r="BH150" s="77"/>
      <c r="BI150" s="77"/>
    </row>
    <row r="151" spans="1:61" x14ac:dyDescent="0.25">
      <c r="A151" s="62" t="s">
        <v>282</v>
      </c>
      <c r="B151" s="62" t="s">
        <v>282</v>
      </c>
      <c r="C151" s="63"/>
      <c r="D151" s="64"/>
      <c r="E151" s="65"/>
      <c r="F151" s="66"/>
      <c r="G151" s="63"/>
      <c r="H151" s="67"/>
      <c r="I151" s="68"/>
      <c r="J151" s="68"/>
      <c r="K151" s="32"/>
      <c r="L151" s="75">
        <v>151</v>
      </c>
      <c r="M151" s="75"/>
      <c r="N151" s="70"/>
      <c r="O151" s="77" t="s">
        <v>179</v>
      </c>
      <c r="P151" s="79">
        <v>45147.722511574073</v>
      </c>
      <c r="Q151" s="77" t="s">
        <v>1283</v>
      </c>
      <c r="R151" s="77">
        <v>0</v>
      </c>
      <c r="S151" s="77">
        <v>0</v>
      </c>
      <c r="T151" s="77">
        <v>0</v>
      </c>
      <c r="U151" s="77">
        <v>0</v>
      </c>
      <c r="V151" s="77">
        <v>13</v>
      </c>
      <c r="W151" s="82" t="s">
        <v>4148</v>
      </c>
      <c r="X151" s="80" t="str">
        <f>HYPERLINK("https://www.instagram.com/p/CvuweVgOTTn/?utm_source=ig_web_copy_link&amp;igshid=MzRlODBiNWFlZA==")</f>
        <v>https://www.instagram.com/p/CvuweVgOTTn/?utm_source=ig_web_copy_link&amp;igshid=MzRlODBiNWFlZA==</v>
      </c>
      <c r="Y151" s="77" t="s">
        <v>6000</v>
      </c>
      <c r="Z151" s="77"/>
      <c r="AA151" s="77" t="s">
        <v>6244</v>
      </c>
      <c r="AB151" s="77" t="s">
        <v>7696</v>
      </c>
      <c r="AC151" s="82" t="s">
        <v>7706</v>
      </c>
      <c r="AD151" s="77" t="s">
        <v>7745</v>
      </c>
      <c r="AE151" s="80" t="str">
        <f>HYPERLINK("https://twitter.com/acqua_vero/status/1689325773809754124")</f>
        <v>https://twitter.com/acqua_vero/status/1689325773809754124</v>
      </c>
      <c r="AF151" s="79">
        <v>45147.722511574073</v>
      </c>
      <c r="AG151" s="85">
        <v>45147</v>
      </c>
      <c r="AH151" s="82" t="s">
        <v>7901</v>
      </c>
      <c r="AI151" s="77" t="b">
        <v>0</v>
      </c>
      <c r="AJ151" s="77"/>
      <c r="AK151" s="77"/>
      <c r="AL151" s="77"/>
      <c r="AM151" s="77"/>
      <c r="AN151" s="77"/>
      <c r="AO151" s="77"/>
      <c r="AP151" s="77"/>
      <c r="AQ151" s="77" t="s">
        <v>10751</v>
      </c>
      <c r="AR151" s="77"/>
      <c r="AS151" s="77"/>
      <c r="AT151" s="77"/>
      <c r="AU151" s="77"/>
      <c r="AV151" s="80" t="str">
        <f>HYPERLINK("https://pbs.twimg.com/media/F3Gw1WmWEAAICwO.jpg")</f>
        <v>https://pbs.twimg.com/media/F3Gw1WmWEAAICwO.jpg</v>
      </c>
      <c r="AW151" s="82" t="s">
        <v>12347</v>
      </c>
      <c r="AX151" s="82" t="s">
        <v>12347</v>
      </c>
      <c r="AY151" s="77"/>
      <c r="AZ151" s="82" t="s">
        <v>15804</v>
      </c>
      <c r="BA151" s="82" t="s">
        <v>15804</v>
      </c>
      <c r="BB151" s="82" t="s">
        <v>15804</v>
      </c>
      <c r="BC151" s="82" t="s">
        <v>12347</v>
      </c>
      <c r="BD151" s="82" t="s">
        <v>16172</v>
      </c>
      <c r="BE151" s="77"/>
      <c r="BF151" s="77"/>
      <c r="BG151" s="77"/>
      <c r="BH151" s="77"/>
      <c r="BI151" s="77"/>
    </row>
    <row r="152" spans="1:61" x14ac:dyDescent="0.25">
      <c r="A152" s="62" t="s">
        <v>282</v>
      </c>
      <c r="B152" s="62" t="s">
        <v>282</v>
      </c>
      <c r="C152" s="63"/>
      <c r="D152" s="64"/>
      <c r="E152" s="65"/>
      <c r="F152" s="66"/>
      <c r="G152" s="63"/>
      <c r="H152" s="67"/>
      <c r="I152" s="68"/>
      <c r="J152" s="68"/>
      <c r="K152" s="32"/>
      <c r="L152" s="75">
        <v>152</v>
      </c>
      <c r="M152" s="75"/>
      <c r="N152" s="70"/>
      <c r="O152" s="77" t="s">
        <v>179</v>
      </c>
      <c r="P152" s="79">
        <v>45175.736250000002</v>
      </c>
      <c r="Q152" s="77" t="s">
        <v>1284</v>
      </c>
      <c r="R152" s="77">
        <v>0</v>
      </c>
      <c r="S152" s="77">
        <v>0</v>
      </c>
      <c r="T152" s="77">
        <v>0</v>
      </c>
      <c r="U152" s="77">
        <v>0</v>
      </c>
      <c r="V152" s="77">
        <v>10</v>
      </c>
      <c r="W152" s="82" t="s">
        <v>4148</v>
      </c>
      <c r="X152" s="80" t="str">
        <f>HYPERLINK("https://www.instagram.com/reel/Cw2t7iUO6zA/?utm_source=ig_web_copy_link&amp;igshid=MzRlODBiNWFlZA==")</f>
        <v>https://www.instagram.com/reel/Cw2t7iUO6zA/?utm_source=ig_web_copy_link&amp;igshid=MzRlODBiNWFlZA==</v>
      </c>
      <c r="Y152" s="77" t="s">
        <v>6000</v>
      </c>
      <c r="Z152" s="77"/>
      <c r="AA152" s="77"/>
      <c r="AB152" s="77"/>
      <c r="AC152" s="82" t="s">
        <v>7706</v>
      </c>
      <c r="AD152" s="77" t="s">
        <v>7745</v>
      </c>
      <c r="AE152" s="80" t="str">
        <f>HYPERLINK("https://twitter.com/acqua_vero/status/1699477614333763778")</f>
        <v>https://twitter.com/acqua_vero/status/1699477614333763778</v>
      </c>
      <c r="AF152" s="79">
        <v>45175.736250000002</v>
      </c>
      <c r="AG152" s="85">
        <v>45175</v>
      </c>
      <c r="AH152" s="82" t="s">
        <v>7902</v>
      </c>
      <c r="AI152" s="77" t="b">
        <v>0</v>
      </c>
      <c r="AJ152" s="77"/>
      <c r="AK152" s="77"/>
      <c r="AL152" s="77"/>
      <c r="AM152" s="77"/>
      <c r="AN152" s="77"/>
      <c r="AO152" s="77"/>
      <c r="AP152" s="77"/>
      <c r="AQ152" s="77"/>
      <c r="AR152" s="77"/>
      <c r="AS152" s="77"/>
      <c r="AT152" s="77"/>
      <c r="AU152" s="77"/>
      <c r="AV152" s="80" t="str">
        <f>HYPERLINK("https://pbs.twimg.com/profile_images/1409966028889731073/kTZPYPUa_normal.jpg")</f>
        <v>https://pbs.twimg.com/profile_images/1409966028889731073/kTZPYPUa_normal.jpg</v>
      </c>
      <c r="AW152" s="82" t="s">
        <v>12348</v>
      </c>
      <c r="AX152" s="82" t="s">
        <v>12348</v>
      </c>
      <c r="AY152" s="77"/>
      <c r="AZ152" s="82" t="s">
        <v>15804</v>
      </c>
      <c r="BA152" s="82" t="s">
        <v>15804</v>
      </c>
      <c r="BB152" s="82" t="s">
        <v>15804</v>
      </c>
      <c r="BC152" s="82" t="s">
        <v>12348</v>
      </c>
      <c r="BD152" s="82" t="s">
        <v>16172</v>
      </c>
      <c r="BE152" s="77"/>
      <c r="BF152" s="77"/>
      <c r="BG152" s="77"/>
      <c r="BH152" s="77"/>
      <c r="BI152" s="77"/>
    </row>
    <row r="153" spans="1:61" x14ac:dyDescent="0.25">
      <c r="A153" s="62" t="s">
        <v>283</v>
      </c>
      <c r="B153" s="62" t="s">
        <v>283</v>
      </c>
      <c r="C153" s="63"/>
      <c r="D153" s="64"/>
      <c r="E153" s="65"/>
      <c r="F153" s="66"/>
      <c r="G153" s="63"/>
      <c r="H153" s="67"/>
      <c r="I153" s="68"/>
      <c r="J153" s="68"/>
      <c r="K153" s="32"/>
      <c r="L153" s="75">
        <v>153</v>
      </c>
      <c r="M153" s="75"/>
      <c r="N153" s="70"/>
      <c r="O153" s="77" t="s">
        <v>179</v>
      </c>
      <c r="P153" s="79">
        <v>45094.022476851853</v>
      </c>
      <c r="Q153" s="77" t="s">
        <v>1285</v>
      </c>
      <c r="R153" s="77">
        <v>0</v>
      </c>
      <c r="S153" s="77">
        <v>0</v>
      </c>
      <c r="T153" s="77">
        <v>0</v>
      </c>
      <c r="U153" s="77">
        <v>0</v>
      </c>
      <c r="V153" s="77">
        <v>27</v>
      </c>
      <c r="W153" s="82" t="s">
        <v>4149</v>
      </c>
      <c r="X153" s="80" t="str">
        <f>HYPERLINK("https://rb.gy/u38j0")</f>
        <v>https://rb.gy/u38j0</v>
      </c>
      <c r="Y153" s="77" t="s">
        <v>6011</v>
      </c>
      <c r="Z153" s="77"/>
      <c r="AA153" s="77" t="s">
        <v>6245</v>
      </c>
      <c r="AB153" s="77" t="s">
        <v>7696</v>
      </c>
      <c r="AC153" s="82" t="s">
        <v>7706</v>
      </c>
      <c r="AD153" s="77" t="s">
        <v>7745</v>
      </c>
      <c r="AE153" s="80" t="str">
        <f>HYPERLINK("https://twitter.com/juliocrrf/status/1669865533544488962")</f>
        <v>https://twitter.com/juliocrrf/status/1669865533544488962</v>
      </c>
      <c r="AF153" s="79">
        <v>45094.022476851853</v>
      </c>
      <c r="AG153" s="85">
        <v>45094</v>
      </c>
      <c r="AH153" s="82" t="s">
        <v>7903</v>
      </c>
      <c r="AI153" s="77" t="b">
        <v>0</v>
      </c>
      <c r="AJ153" s="77"/>
      <c r="AK153" s="77"/>
      <c r="AL153" s="77"/>
      <c r="AM153" s="77"/>
      <c r="AN153" s="77"/>
      <c r="AO153" s="77"/>
      <c r="AP153" s="77"/>
      <c r="AQ153" s="77" t="s">
        <v>10752</v>
      </c>
      <c r="AR153" s="77"/>
      <c r="AS153" s="77"/>
      <c r="AT153" s="77"/>
      <c r="AU153" s="77"/>
      <c r="AV153" s="80" t="str">
        <f>HYPERLINK("https://pbs.twimg.com/media/FyyN2S0XoAMOWph.jpg")</f>
        <v>https://pbs.twimg.com/media/FyyN2S0XoAMOWph.jpg</v>
      </c>
      <c r="AW153" s="82" t="s">
        <v>12349</v>
      </c>
      <c r="AX153" s="82" t="s">
        <v>12349</v>
      </c>
      <c r="AY153" s="77"/>
      <c r="AZ153" s="82" t="s">
        <v>15804</v>
      </c>
      <c r="BA153" s="82" t="s">
        <v>15804</v>
      </c>
      <c r="BB153" s="82" t="s">
        <v>15804</v>
      </c>
      <c r="BC153" s="82" t="s">
        <v>12349</v>
      </c>
      <c r="BD153" s="77">
        <v>4357245737</v>
      </c>
      <c r="BE153" s="77"/>
      <c r="BF153" s="77"/>
      <c r="BG153" s="77"/>
      <c r="BH153" s="77"/>
      <c r="BI153" s="77"/>
    </row>
    <row r="154" spans="1:61" x14ac:dyDescent="0.25">
      <c r="A154" s="62" t="s">
        <v>283</v>
      </c>
      <c r="B154" s="62" t="s">
        <v>283</v>
      </c>
      <c r="C154" s="63"/>
      <c r="D154" s="64"/>
      <c r="E154" s="65"/>
      <c r="F154" s="66"/>
      <c r="G154" s="63"/>
      <c r="H154" s="67"/>
      <c r="I154" s="68"/>
      <c r="J154" s="68"/>
      <c r="K154" s="32"/>
      <c r="L154" s="75">
        <v>154</v>
      </c>
      <c r="M154" s="75"/>
      <c r="N154" s="70"/>
      <c r="O154" s="77" t="s">
        <v>179</v>
      </c>
      <c r="P154" s="79">
        <v>45112.677083333336</v>
      </c>
      <c r="Q154" s="77" t="s">
        <v>1286</v>
      </c>
      <c r="R154" s="77">
        <v>0</v>
      </c>
      <c r="S154" s="77">
        <v>0</v>
      </c>
      <c r="T154" s="77">
        <v>0</v>
      </c>
      <c r="U154" s="77">
        <v>0</v>
      </c>
      <c r="V154" s="77">
        <v>11</v>
      </c>
      <c r="W154" s="82" t="s">
        <v>4150</v>
      </c>
      <c r="X154" s="77"/>
      <c r="Y154" s="77"/>
      <c r="Z154" s="77"/>
      <c r="AA154" s="77"/>
      <c r="AB154" s="77"/>
      <c r="AC154" s="82" t="s">
        <v>7706</v>
      </c>
      <c r="AD154" s="77" t="s">
        <v>7745</v>
      </c>
      <c r="AE154" s="80" t="str">
        <f>HYPERLINK("https://twitter.com/juliocrrf/status/1676625735614881793")</f>
        <v>https://twitter.com/juliocrrf/status/1676625735614881793</v>
      </c>
      <c r="AF154" s="79">
        <v>45112.677083333336</v>
      </c>
      <c r="AG154" s="85">
        <v>45112</v>
      </c>
      <c r="AH154" s="82" t="s">
        <v>7904</v>
      </c>
      <c r="AI154" s="77"/>
      <c r="AJ154" s="77"/>
      <c r="AK154" s="77"/>
      <c r="AL154" s="77"/>
      <c r="AM154" s="77"/>
      <c r="AN154" s="77"/>
      <c r="AO154" s="77"/>
      <c r="AP154" s="77"/>
      <c r="AQ154" s="77"/>
      <c r="AR154" s="77"/>
      <c r="AS154" s="77"/>
      <c r="AT154" s="77"/>
      <c r="AU154" s="77"/>
      <c r="AV154" s="80" t="str">
        <f>HYPERLINK("https://pbs.twimg.com/profile_images/1638555528002404354/zYyRgIoe_normal.jpg")</f>
        <v>https://pbs.twimg.com/profile_images/1638555528002404354/zYyRgIoe_normal.jpg</v>
      </c>
      <c r="AW154" s="82" t="s">
        <v>12350</v>
      </c>
      <c r="AX154" s="82" t="s">
        <v>12350</v>
      </c>
      <c r="AY154" s="77"/>
      <c r="AZ154" s="82" t="s">
        <v>15804</v>
      </c>
      <c r="BA154" s="82" t="s">
        <v>15804</v>
      </c>
      <c r="BB154" s="82" t="s">
        <v>15804</v>
      </c>
      <c r="BC154" s="82" t="s">
        <v>12350</v>
      </c>
      <c r="BD154" s="77">
        <v>4357245737</v>
      </c>
      <c r="BE154" s="77"/>
      <c r="BF154" s="77"/>
      <c r="BG154" s="77"/>
      <c r="BH154" s="77"/>
      <c r="BI154" s="77"/>
    </row>
    <row r="155" spans="1:61" x14ac:dyDescent="0.25">
      <c r="A155" s="62" t="s">
        <v>283</v>
      </c>
      <c r="B155" s="62" t="s">
        <v>283</v>
      </c>
      <c r="C155" s="63"/>
      <c r="D155" s="64"/>
      <c r="E155" s="65"/>
      <c r="F155" s="66"/>
      <c r="G155" s="63"/>
      <c r="H155" s="67"/>
      <c r="I155" s="68"/>
      <c r="J155" s="68"/>
      <c r="K155" s="32"/>
      <c r="L155" s="75">
        <v>155</v>
      </c>
      <c r="M155" s="75"/>
      <c r="N155" s="70"/>
      <c r="O155" s="77" t="s">
        <v>179</v>
      </c>
      <c r="P155" s="79">
        <v>45112.488194444442</v>
      </c>
      <c r="Q155" s="77" t="s">
        <v>1287</v>
      </c>
      <c r="R155" s="77">
        <v>0</v>
      </c>
      <c r="S155" s="77">
        <v>0</v>
      </c>
      <c r="T155" s="77">
        <v>0</v>
      </c>
      <c r="U155" s="77">
        <v>0</v>
      </c>
      <c r="V155" s="77">
        <v>15</v>
      </c>
      <c r="W155" s="82" t="s">
        <v>4151</v>
      </c>
      <c r="X155" s="77"/>
      <c r="Y155" s="77"/>
      <c r="Z155" s="77"/>
      <c r="AA155" s="77"/>
      <c r="AB155" s="77"/>
      <c r="AC155" s="82" t="s">
        <v>7706</v>
      </c>
      <c r="AD155" s="77" t="s">
        <v>7745</v>
      </c>
      <c r="AE155" s="80" t="str">
        <f>HYPERLINK("https://twitter.com/juliocrrf/status/1676557284611354624")</f>
        <v>https://twitter.com/juliocrrf/status/1676557284611354624</v>
      </c>
      <c r="AF155" s="79">
        <v>45112.488194444442</v>
      </c>
      <c r="AG155" s="85">
        <v>45112</v>
      </c>
      <c r="AH155" s="82" t="s">
        <v>7905</v>
      </c>
      <c r="AI155" s="77"/>
      <c r="AJ155" s="77"/>
      <c r="AK155" s="77"/>
      <c r="AL155" s="77"/>
      <c r="AM155" s="77"/>
      <c r="AN155" s="77"/>
      <c r="AO155" s="77"/>
      <c r="AP155" s="77"/>
      <c r="AQ155" s="77"/>
      <c r="AR155" s="77"/>
      <c r="AS155" s="77"/>
      <c r="AT155" s="77"/>
      <c r="AU155" s="77"/>
      <c r="AV155" s="80" t="str">
        <f>HYPERLINK("https://pbs.twimg.com/profile_images/1638555528002404354/zYyRgIoe_normal.jpg")</f>
        <v>https://pbs.twimg.com/profile_images/1638555528002404354/zYyRgIoe_normal.jpg</v>
      </c>
      <c r="AW155" s="82" t="s">
        <v>12351</v>
      </c>
      <c r="AX155" s="82" t="s">
        <v>12351</v>
      </c>
      <c r="AY155" s="77"/>
      <c r="AZ155" s="82" t="s">
        <v>15804</v>
      </c>
      <c r="BA155" s="82" t="s">
        <v>15804</v>
      </c>
      <c r="BB155" s="82" t="s">
        <v>15804</v>
      </c>
      <c r="BC155" s="82" t="s">
        <v>12351</v>
      </c>
      <c r="BD155" s="77">
        <v>4357245737</v>
      </c>
      <c r="BE155" s="77"/>
      <c r="BF155" s="77"/>
      <c r="BG155" s="77"/>
      <c r="BH155" s="77"/>
      <c r="BI155" s="77"/>
    </row>
    <row r="156" spans="1:61" x14ac:dyDescent="0.25">
      <c r="A156" s="62" t="s">
        <v>283</v>
      </c>
      <c r="B156" s="62" t="s">
        <v>283</v>
      </c>
      <c r="C156" s="63"/>
      <c r="D156" s="64"/>
      <c r="E156" s="65"/>
      <c r="F156" s="66"/>
      <c r="G156" s="63"/>
      <c r="H156" s="67"/>
      <c r="I156" s="68"/>
      <c r="J156" s="68"/>
      <c r="K156" s="32"/>
      <c r="L156" s="75">
        <v>156</v>
      </c>
      <c r="M156" s="75"/>
      <c r="N156" s="70"/>
      <c r="O156" s="77" t="s">
        <v>179</v>
      </c>
      <c r="P156" s="79">
        <v>45111.915277777778</v>
      </c>
      <c r="Q156" s="77" t="s">
        <v>1288</v>
      </c>
      <c r="R156" s="77">
        <v>0</v>
      </c>
      <c r="S156" s="77">
        <v>0</v>
      </c>
      <c r="T156" s="77">
        <v>0</v>
      </c>
      <c r="U156" s="77">
        <v>0</v>
      </c>
      <c r="V156" s="77">
        <v>11</v>
      </c>
      <c r="W156" s="82" t="s">
        <v>4152</v>
      </c>
      <c r="X156" s="77"/>
      <c r="Y156" s="77"/>
      <c r="Z156" s="77"/>
      <c r="AA156" s="77"/>
      <c r="AB156" s="77"/>
      <c r="AC156" s="82" t="s">
        <v>7706</v>
      </c>
      <c r="AD156" s="77" t="s">
        <v>7745</v>
      </c>
      <c r="AE156" s="80" t="str">
        <f>HYPERLINK("https://twitter.com/juliocrrf/status/1676349666361856002")</f>
        <v>https://twitter.com/juliocrrf/status/1676349666361856002</v>
      </c>
      <c r="AF156" s="79">
        <v>45111.915277777778</v>
      </c>
      <c r="AG156" s="85">
        <v>45111</v>
      </c>
      <c r="AH156" s="82" t="s">
        <v>7906</v>
      </c>
      <c r="AI156" s="77"/>
      <c r="AJ156" s="77"/>
      <c r="AK156" s="77"/>
      <c r="AL156" s="77"/>
      <c r="AM156" s="77"/>
      <c r="AN156" s="77"/>
      <c r="AO156" s="77"/>
      <c r="AP156" s="77"/>
      <c r="AQ156" s="77"/>
      <c r="AR156" s="77"/>
      <c r="AS156" s="77"/>
      <c r="AT156" s="77"/>
      <c r="AU156" s="77"/>
      <c r="AV156" s="80" t="str">
        <f>HYPERLINK("https://pbs.twimg.com/profile_images/1638555528002404354/zYyRgIoe_normal.jpg")</f>
        <v>https://pbs.twimg.com/profile_images/1638555528002404354/zYyRgIoe_normal.jpg</v>
      </c>
      <c r="AW156" s="82" t="s">
        <v>12352</v>
      </c>
      <c r="AX156" s="82" t="s">
        <v>12352</v>
      </c>
      <c r="AY156" s="77"/>
      <c r="AZ156" s="82" t="s">
        <v>15804</v>
      </c>
      <c r="BA156" s="82" t="s">
        <v>15804</v>
      </c>
      <c r="BB156" s="82" t="s">
        <v>15804</v>
      </c>
      <c r="BC156" s="82" t="s">
        <v>12352</v>
      </c>
      <c r="BD156" s="77">
        <v>4357245737</v>
      </c>
      <c r="BE156" s="77"/>
      <c r="BF156" s="77"/>
      <c r="BG156" s="77"/>
      <c r="BH156" s="77"/>
      <c r="BI156" s="77"/>
    </row>
    <row r="157" spans="1:61" x14ac:dyDescent="0.25">
      <c r="A157" s="62" t="s">
        <v>283</v>
      </c>
      <c r="B157" s="62" t="s">
        <v>283</v>
      </c>
      <c r="C157" s="63"/>
      <c r="D157" s="64"/>
      <c r="E157" s="65"/>
      <c r="F157" s="66"/>
      <c r="G157" s="63"/>
      <c r="H157" s="67"/>
      <c r="I157" s="68"/>
      <c r="J157" s="68"/>
      <c r="K157" s="32"/>
      <c r="L157" s="75">
        <v>157</v>
      </c>
      <c r="M157" s="75"/>
      <c r="N157" s="70"/>
      <c r="O157" s="77" t="s">
        <v>179</v>
      </c>
      <c r="P157" s="79">
        <v>45111.668749999997</v>
      </c>
      <c r="Q157" s="77" t="s">
        <v>1289</v>
      </c>
      <c r="R157" s="77">
        <v>0</v>
      </c>
      <c r="S157" s="77">
        <v>0</v>
      </c>
      <c r="T157" s="77">
        <v>0</v>
      </c>
      <c r="U157" s="77">
        <v>0</v>
      </c>
      <c r="V157" s="77">
        <v>3</v>
      </c>
      <c r="W157" s="82" t="s">
        <v>4153</v>
      </c>
      <c r="X157" s="77"/>
      <c r="Y157" s="77"/>
      <c r="Z157" s="77"/>
      <c r="AA157" s="77"/>
      <c r="AB157" s="77"/>
      <c r="AC157" s="82" t="s">
        <v>7706</v>
      </c>
      <c r="AD157" s="77" t="s">
        <v>7745</v>
      </c>
      <c r="AE157" s="80" t="str">
        <f>HYPERLINK("https://twitter.com/juliocrrf/status/1676260328169148418")</f>
        <v>https://twitter.com/juliocrrf/status/1676260328169148418</v>
      </c>
      <c r="AF157" s="79">
        <v>45111.668749999997</v>
      </c>
      <c r="AG157" s="85">
        <v>45111</v>
      </c>
      <c r="AH157" s="82" t="s">
        <v>7907</v>
      </c>
      <c r="AI157" s="77"/>
      <c r="AJ157" s="77"/>
      <c r="AK157" s="77"/>
      <c r="AL157" s="77"/>
      <c r="AM157" s="77"/>
      <c r="AN157" s="77"/>
      <c r="AO157" s="77"/>
      <c r="AP157" s="77"/>
      <c r="AQ157" s="77"/>
      <c r="AR157" s="77"/>
      <c r="AS157" s="77"/>
      <c r="AT157" s="77"/>
      <c r="AU157" s="77"/>
      <c r="AV157" s="80" t="str">
        <f>HYPERLINK("https://pbs.twimg.com/profile_images/1638555528002404354/zYyRgIoe_normal.jpg")</f>
        <v>https://pbs.twimg.com/profile_images/1638555528002404354/zYyRgIoe_normal.jpg</v>
      </c>
      <c r="AW157" s="82" t="s">
        <v>12353</v>
      </c>
      <c r="AX157" s="82" t="s">
        <v>12353</v>
      </c>
      <c r="AY157" s="77"/>
      <c r="AZ157" s="82" t="s">
        <v>15804</v>
      </c>
      <c r="BA157" s="82" t="s">
        <v>15804</v>
      </c>
      <c r="BB157" s="82" t="s">
        <v>15804</v>
      </c>
      <c r="BC157" s="82" t="s">
        <v>12353</v>
      </c>
      <c r="BD157" s="77">
        <v>4357245737</v>
      </c>
      <c r="BE157" s="77"/>
      <c r="BF157" s="77"/>
      <c r="BG157" s="77"/>
      <c r="BH157" s="77"/>
      <c r="BI157" s="77"/>
    </row>
    <row r="158" spans="1:61" x14ac:dyDescent="0.25">
      <c r="A158" s="62" t="s">
        <v>283</v>
      </c>
      <c r="B158" s="62" t="s">
        <v>283</v>
      </c>
      <c r="C158" s="63"/>
      <c r="D158" s="64"/>
      <c r="E158" s="65"/>
      <c r="F158" s="66"/>
      <c r="G158" s="63"/>
      <c r="H158" s="67"/>
      <c r="I158" s="68"/>
      <c r="J158" s="68"/>
      <c r="K158" s="32"/>
      <c r="L158" s="75">
        <v>158</v>
      </c>
      <c r="M158" s="75"/>
      <c r="N158" s="70"/>
      <c r="O158" s="77" t="s">
        <v>179</v>
      </c>
      <c r="P158" s="79">
        <v>45111.496527777781</v>
      </c>
      <c r="Q158" s="77" t="s">
        <v>1290</v>
      </c>
      <c r="R158" s="77">
        <v>0</v>
      </c>
      <c r="S158" s="77">
        <v>0</v>
      </c>
      <c r="T158" s="77">
        <v>0</v>
      </c>
      <c r="U158" s="77">
        <v>0</v>
      </c>
      <c r="V158" s="77">
        <v>14</v>
      </c>
      <c r="W158" s="82" t="s">
        <v>4154</v>
      </c>
      <c r="X158" s="77"/>
      <c r="Y158" s="77"/>
      <c r="Z158" s="77"/>
      <c r="AA158" s="77"/>
      <c r="AB158" s="77"/>
      <c r="AC158" s="82" t="s">
        <v>7706</v>
      </c>
      <c r="AD158" s="77" t="s">
        <v>7745</v>
      </c>
      <c r="AE158" s="80" t="str">
        <f>HYPERLINK("https://twitter.com/juliocrrf/status/1676197916569133057")</f>
        <v>https://twitter.com/juliocrrf/status/1676197916569133057</v>
      </c>
      <c r="AF158" s="79">
        <v>45111.496527777781</v>
      </c>
      <c r="AG158" s="85">
        <v>45111</v>
      </c>
      <c r="AH158" s="82" t="s">
        <v>7908</v>
      </c>
      <c r="AI158" s="77"/>
      <c r="AJ158" s="77"/>
      <c r="AK158" s="77"/>
      <c r="AL158" s="77"/>
      <c r="AM158" s="77"/>
      <c r="AN158" s="77"/>
      <c r="AO158" s="77"/>
      <c r="AP158" s="77"/>
      <c r="AQ158" s="77"/>
      <c r="AR158" s="77"/>
      <c r="AS158" s="77"/>
      <c r="AT158" s="77"/>
      <c r="AU158" s="77"/>
      <c r="AV158" s="80" t="str">
        <f>HYPERLINK("https://pbs.twimg.com/profile_images/1638555528002404354/zYyRgIoe_normal.jpg")</f>
        <v>https://pbs.twimg.com/profile_images/1638555528002404354/zYyRgIoe_normal.jpg</v>
      </c>
      <c r="AW158" s="82" t="s">
        <v>12354</v>
      </c>
      <c r="AX158" s="82" t="s">
        <v>12354</v>
      </c>
      <c r="AY158" s="77"/>
      <c r="AZ158" s="82" t="s">
        <v>15804</v>
      </c>
      <c r="BA158" s="82" t="s">
        <v>15804</v>
      </c>
      <c r="BB158" s="82" t="s">
        <v>15804</v>
      </c>
      <c r="BC158" s="82" t="s">
        <v>12354</v>
      </c>
      <c r="BD158" s="77">
        <v>4357245737</v>
      </c>
      <c r="BE158" s="77"/>
      <c r="BF158" s="77"/>
      <c r="BG158" s="77"/>
      <c r="BH158" s="77"/>
      <c r="BI158" s="77"/>
    </row>
    <row r="159" spans="1:61" x14ac:dyDescent="0.25">
      <c r="A159" s="62" t="s">
        <v>283</v>
      </c>
      <c r="B159" s="62" t="s">
        <v>283</v>
      </c>
      <c r="C159" s="63"/>
      <c r="D159" s="64"/>
      <c r="E159" s="65"/>
      <c r="F159" s="66"/>
      <c r="G159" s="63"/>
      <c r="H159" s="67"/>
      <c r="I159" s="68"/>
      <c r="J159" s="68"/>
      <c r="K159" s="32"/>
      <c r="L159" s="75">
        <v>159</v>
      </c>
      <c r="M159" s="75"/>
      <c r="N159" s="70"/>
      <c r="O159" s="77" t="s">
        <v>179</v>
      </c>
      <c r="P159" s="79">
        <v>45110.921527777777</v>
      </c>
      <c r="Q159" s="77" t="s">
        <v>1291</v>
      </c>
      <c r="R159" s="77">
        <v>0</v>
      </c>
      <c r="S159" s="77">
        <v>0</v>
      </c>
      <c r="T159" s="77">
        <v>0</v>
      </c>
      <c r="U159" s="77">
        <v>0</v>
      </c>
      <c r="V159" s="77">
        <v>17</v>
      </c>
      <c r="W159" s="82" t="s">
        <v>4155</v>
      </c>
      <c r="X159" s="77"/>
      <c r="Y159" s="77"/>
      <c r="Z159" s="77"/>
      <c r="AA159" s="77"/>
      <c r="AB159" s="77"/>
      <c r="AC159" s="82" t="s">
        <v>7706</v>
      </c>
      <c r="AD159" s="77" t="s">
        <v>7745</v>
      </c>
      <c r="AE159" s="80" t="str">
        <f>HYPERLINK("https://twitter.com/juliocrrf/status/1675989543726759936")</f>
        <v>https://twitter.com/juliocrrf/status/1675989543726759936</v>
      </c>
      <c r="AF159" s="79">
        <v>45110.921527777777</v>
      </c>
      <c r="AG159" s="85">
        <v>45110</v>
      </c>
      <c r="AH159" s="82" t="s">
        <v>7909</v>
      </c>
      <c r="AI159" s="77"/>
      <c r="AJ159" s="77"/>
      <c r="AK159" s="77"/>
      <c r="AL159" s="77"/>
      <c r="AM159" s="77"/>
      <c r="AN159" s="77"/>
      <c r="AO159" s="77"/>
      <c r="AP159" s="77"/>
      <c r="AQ159" s="77"/>
      <c r="AR159" s="77"/>
      <c r="AS159" s="77"/>
      <c r="AT159" s="77"/>
      <c r="AU159" s="77"/>
      <c r="AV159" s="80" t="str">
        <f>HYPERLINK("https://pbs.twimg.com/profile_images/1638555528002404354/zYyRgIoe_normal.jpg")</f>
        <v>https://pbs.twimg.com/profile_images/1638555528002404354/zYyRgIoe_normal.jpg</v>
      </c>
      <c r="AW159" s="82" t="s">
        <v>12355</v>
      </c>
      <c r="AX159" s="82" t="s">
        <v>12355</v>
      </c>
      <c r="AY159" s="77"/>
      <c r="AZ159" s="82" t="s">
        <v>15804</v>
      </c>
      <c r="BA159" s="82" t="s">
        <v>15804</v>
      </c>
      <c r="BB159" s="82" t="s">
        <v>15804</v>
      </c>
      <c r="BC159" s="82" t="s">
        <v>12355</v>
      </c>
      <c r="BD159" s="77">
        <v>4357245737</v>
      </c>
      <c r="BE159" s="77"/>
      <c r="BF159" s="77"/>
      <c r="BG159" s="77"/>
      <c r="BH159" s="77"/>
      <c r="BI159" s="77"/>
    </row>
    <row r="160" spans="1:61" x14ac:dyDescent="0.25">
      <c r="A160" s="62" t="s">
        <v>283</v>
      </c>
      <c r="B160" s="62" t="s">
        <v>283</v>
      </c>
      <c r="C160" s="63"/>
      <c r="D160" s="64"/>
      <c r="E160" s="65"/>
      <c r="F160" s="66"/>
      <c r="G160" s="63"/>
      <c r="H160" s="67"/>
      <c r="I160" s="68"/>
      <c r="J160" s="68"/>
      <c r="K160" s="32"/>
      <c r="L160" s="75">
        <v>160</v>
      </c>
      <c r="M160" s="75"/>
      <c r="N160" s="70"/>
      <c r="O160" s="77" t="s">
        <v>179</v>
      </c>
      <c r="P160" s="79">
        <v>45110.668055555558</v>
      </c>
      <c r="Q160" s="77" t="s">
        <v>1292</v>
      </c>
      <c r="R160" s="77">
        <v>0</v>
      </c>
      <c r="S160" s="77">
        <v>0</v>
      </c>
      <c r="T160" s="77">
        <v>0</v>
      </c>
      <c r="U160" s="77">
        <v>0</v>
      </c>
      <c r="V160" s="77">
        <v>17</v>
      </c>
      <c r="W160" s="82" t="s">
        <v>4156</v>
      </c>
      <c r="X160" s="77"/>
      <c r="Y160" s="77"/>
      <c r="Z160" s="77"/>
      <c r="AA160" s="77"/>
      <c r="AB160" s="77"/>
      <c r="AC160" s="82" t="s">
        <v>7706</v>
      </c>
      <c r="AD160" s="77" t="s">
        <v>7745</v>
      </c>
      <c r="AE160" s="80" t="str">
        <f>HYPERLINK("https://twitter.com/juliocrrf/status/1675897688674508806")</f>
        <v>https://twitter.com/juliocrrf/status/1675897688674508806</v>
      </c>
      <c r="AF160" s="79">
        <v>45110.668055555558</v>
      </c>
      <c r="AG160" s="85">
        <v>45110</v>
      </c>
      <c r="AH160" s="82" t="s">
        <v>7910</v>
      </c>
      <c r="AI160" s="77"/>
      <c r="AJ160" s="77"/>
      <c r="AK160" s="77"/>
      <c r="AL160" s="77"/>
      <c r="AM160" s="77"/>
      <c r="AN160" s="77"/>
      <c r="AO160" s="77"/>
      <c r="AP160" s="77"/>
      <c r="AQ160" s="77"/>
      <c r="AR160" s="77"/>
      <c r="AS160" s="77"/>
      <c r="AT160" s="77"/>
      <c r="AU160" s="77"/>
      <c r="AV160" s="80" t="str">
        <f>HYPERLINK("https://pbs.twimg.com/profile_images/1638555528002404354/zYyRgIoe_normal.jpg")</f>
        <v>https://pbs.twimg.com/profile_images/1638555528002404354/zYyRgIoe_normal.jpg</v>
      </c>
      <c r="AW160" s="82" t="s">
        <v>12356</v>
      </c>
      <c r="AX160" s="82" t="s">
        <v>12356</v>
      </c>
      <c r="AY160" s="77"/>
      <c r="AZ160" s="82" t="s">
        <v>15804</v>
      </c>
      <c r="BA160" s="82" t="s">
        <v>15804</v>
      </c>
      <c r="BB160" s="82" t="s">
        <v>15804</v>
      </c>
      <c r="BC160" s="82" t="s">
        <v>12356</v>
      </c>
      <c r="BD160" s="77">
        <v>4357245737</v>
      </c>
      <c r="BE160" s="77"/>
      <c r="BF160" s="77"/>
      <c r="BG160" s="77"/>
      <c r="BH160" s="77"/>
      <c r="BI160" s="77"/>
    </row>
    <row r="161" spans="1:61" x14ac:dyDescent="0.25">
      <c r="A161" s="62" t="s">
        <v>283</v>
      </c>
      <c r="B161" s="62" t="s">
        <v>283</v>
      </c>
      <c r="C161" s="63"/>
      <c r="D161" s="64"/>
      <c r="E161" s="65"/>
      <c r="F161" s="66"/>
      <c r="G161" s="63"/>
      <c r="H161" s="67"/>
      <c r="I161" s="68"/>
      <c r="J161" s="68"/>
      <c r="K161" s="32"/>
      <c r="L161" s="75">
        <v>161</v>
      </c>
      <c r="M161" s="75"/>
      <c r="N161" s="70"/>
      <c r="O161" s="77" t="s">
        <v>179</v>
      </c>
      <c r="P161" s="79">
        <v>45102.918749999997</v>
      </c>
      <c r="Q161" s="77" t="s">
        <v>1293</v>
      </c>
      <c r="R161" s="77">
        <v>0</v>
      </c>
      <c r="S161" s="77">
        <v>0</v>
      </c>
      <c r="T161" s="77">
        <v>0</v>
      </c>
      <c r="U161" s="77">
        <v>0</v>
      </c>
      <c r="V161" s="77">
        <v>13</v>
      </c>
      <c r="W161" s="82" t="s">
        <v>4157</v>
      </c>
      <c r="X161" s="77"/>
      <c r="Y161" s="77"/>
      <c r="Z161" s="77"/>
      <c r="AA161" s="77"/>
      <c r="AB161" s="77"/>
      <c r="AC161" s="82" t="s">
        <v>7706</v>
      </c>
      <c r="AD161" s="77" t="s">
        <v>7745</v>
      </c>
      <c r="AE161" s="80" t="str">
        <f>HYPERLINK("https://twitter.com/juliocrrf/status/1673089434437419008")</f>
        <v>https://twitter.com/juliocrrf/status/1673089434437419008</v>
      </c>
      <c r="AF161" s="79">
        <v>45102.918749999997</v>
      </c>
      <c r="AG161" s="85">
        <v>45102</v>
      </c>
      <c r="AH161" s="82" t="s">
        <v>7911</v>
      </c>
      <c r="AI161" s="77"/>
      <c r="AJ161" s="77"/>
      <c r="AK161" s="77"/>
      <c r="AL161" s="77"/>
      <c r="AM161" s="77"/>
      <c r="AN161" s="77"/>
      <c r="AO161" s="77"/>
      <c r="AP161" s="77"/>
      <c r="AQ161" s="77"/>
      <c r="AR161" s="77"/>
      <c r="AS161" s="77"/>
      <c r="AT161" s="77"/>
      <c r="AU161" s="77"/>
      <c r="AV161" s="80" t="str">
        <f>HYPERLINK("https://pbs.twimg.com/profile_images/1638555528002404354/zYyRgIoe_normal.jpg")</f>
        <v>https://pbs.twimg.com/profile_images/1638555528002404354/zYyRgIoe_normal.jpg</v>
      </c>
      <c r="AW161" s="82" t="s">
        <v>12357</v>
      </c>
      <c r="AX161" s="82" t="s">
        <v>12357</v>
      </c>
      <c r="AY161" s="77"/>
      <c r="AZ161" s="82" t="s">
        <v>15804</v>
      </c>
      <c r="BA161" s="82" t="s">
        <v>15804</v>
      </c>
      <c r="BB161" s="82" t="s">
        <v>15804</v>
      </c>
      <c r="BC161" s="82" t="s">
        <v>12357</v>
      </c>
      <c r="BD161" s="77">
        <v>4357245737</v>
      </c>
      <c r="BE161" s="77"/>
      <c r="BF161" s="77"/>
      <c r="BG161" s="77"/>
      <c r="BH161" s="77"/>
      <c r="BI161" s="77"/>
    </row>
    <row r="162" spans="1:61" x14ac:dyDescent="0.25">
      <c r="A162" s="62" t="s">
        <v>283</v>
      </c>
      <c r="B162" s="62" t="s">
        <v>283</v>
      </c>
      <c r="C162" s="63"/>
      <c r="D162" s="64"/>
      <c r="E162" s="65"/>
      <c r="F162" s="66"/>
      <c r="G162" s="63"/>
      <c r="H162" s="67"/>
      <c r="I162" s="68"/>
      <c r="J162" s="68"/>
      <c r="K162" s="32"/>
      <c r="L162" s="75">
        <v>162</v>
      </c>
      <c r="M162" s="75"/>
      <c r="N162" s="70"/>
      <c r="O162" s="77" t="s">
        <v>179</v>
      </c>
      <c r="P162" s="79">
        <v>45102.668055555558</v>
      </c>
      <c r="Q162" s="77" t="s">
        <v>1294</v>
      </c>
      <c r="R162" s="77">
        <v>0</v>
      </c>
      <c r="S162" s="77">
        <v>0</v>
      </c>
      <c r="T162" s="77">
        <v>0</v>
      </c>
      <c r="U162" s="77">
        <v>0</v>
      </c>
      <c r="V162" s="77">
        <v>16</v>
      </c>
      <c r="W162" s="82" t="s">
        <v>4158</v>
      </c>
      <c r="X162" s="77"/>
      <c r="Y162" s="77"/>
      <c r="Z162" s="77"/>
      <c r="AA162" s="77"/>
      <c r="AB162" s="77"/>
      <c r="AC162" s="82" t="s">
        <v>7706</v>
      </c>
      <c r="AD162" s="77" t="s">
        <v>7745</v>
      </c>
      <c r="AE162" s="80" t="str">
        <f>HYPERLINK("https://twitter.com/juliocrrf/status/1672998585850314753")</f>
        <v>https://twitter.com/juliocrrf/status/1672998585850314753</v>
      </c>
      <c r="AF162" s="79">
        <v>45102.668055555558</v>
      </c>
      <c r="AG162" s="85">
        <v>45102</v>
      </c>
      <c r="AH162" s="82" t="s">
        <v>7910</v>
      </c>
      <c r="AI162" s="77"/>
      <c r="AJ162" s="77"/>
      <c r="AK162" s="77"/>
      <c r="AL162" s="77"/>
      <c r="AM162" s="77"/>
      <c r="AN162" s="77"/>
      <c r="AO162" s="77"/>
      <c r="AP162" s="77"/>
      <c r="AQ162" s="77"/>
      <c r="AR162" s="77"/>
      <c r="AS162" s="77"/>
      <c r="AT162" s="77"/>
      <c r="AU162" s="77"/>
      <c r="AV162" s="80" t="str">
        <f>HYPERLINK("https://pbs.twimg.com/profile_images/1638555528002404354/zYyRgIoe_normal.jpg")</f>
        <v>https://pbs.twimg.com/profile_images/1638555528002404354/zYyRgIoe_normal.jpg</v>
      </c>
      <c r="AW162" s="82" t="s">
        <v>12358</v>
      </c>
      <c r="AX162" s="82" t="s">
        <v>12358</v>
      </c>
      <c r="AY162" s="77"/>
      <c r="AZ162" s="82" t="s">
        <v>15804</v>
      </c>
      <c r="BA162" s="82" t="s">
        <v>15804</v>
      </c>
      <c r="BB162" s="82" t="s">
        <v>15804</v>
      </c>
      <c r="BC162" s="82" t="s">
        <v>12358</v>
      </c>
      <c r="BD162" s="77">
        <v>4357245737</v>
      </c>
      <c r="BE162" s="77"/>
      <c r="BF162" s="77"/>
      <c r="BG162" s="77"/>
      <c r="BH162" s="77"/>
      <c r="BI162" s="77"/>
    </row>
    <row r="163" spans="1:61" x14ac:dyDescent="0.25">
      <c r="A163" s="62" t="s">
        <v>283</v>
      </c>
      <c r="B163" s="62" t="s">
        <v>283</v>
      </c>
      <c r="C163" s="63"/>
      <c r="D163" s="64"/>
      <c r="E163" s="65"/>
      <c r="F163" s="66"/>
      <c r="G163" s="63"/>
      <c r="H163" s="67"/>
      <c r="I163" s="68"/>
      <c r="J163" s="68"/>
      <c r="K163" s="32"/>
      <c r="L163" s="75">
        <v>163</v>
      </c>
      <c r="M163" s="75"/>
      <c r="N163" s="70"/>
      <c r="O163" s="77" t="s">
        <v>179</v>
      </c>
      <c r="P163" s="79">
        <v>45101.873611111114</v>
      </c>
      <c r="Q163" s="77" t="s">
        <v>1295</v>
      </c>
      <c r="R163" s="77">
        <v>0</v>
      </c>
      <c r="S163" s="77">
        <v>0</v>
      </c>
      <c r="T163" s="77">
        <v>0</v>
      </c>
      <c r="U163" s="77">
        <v>0</v>
      </c>
      <c r="V163" s="77">
        <v>24</v>
      </c>
      <c r="W163" s="82" t="s">
        <v>4159</v>
      </c>
      <c r="X163" s="77"/>
      <c r="Y163" s="77"/>
      <c r="Z163" s="77"/>
      <c r="AA163" s="77"/>
      <c r="AB163" s="77"/>
      <c r="AC163" s="82" t="s">
        <v>7706</v>
      </c>
      <c r="AD163" s="77" t="s">
        <v>7745</v>
      </c>
      <c r="AE163" s="80" t="str">
        <f>HYPERLINK("https://twitter.com/juliocrrf/status/1672710688270356480")</f>
        <v>https://twitter.com/juliocrrf/status/1672710688270356480</v>
      </c>
      <c r="AF163" s="79">
        <v>45101.873611111114</v>
      </c>
      <c r="AG163" s="85">
        <v>45101</v>
      </c>
      <c r="AH163" s="82" t="s">
        <v>7912</v>
      </c>
      <c r="AI163" s="77"/>
      <c r="AJ163" s="77"/>
      <c r="AK163" s="77"/>
      <c r="AL163" s="77"/>
      <c r="AM163" s="77"/>
      <c r="AN163" s="77"/>
      <c r="AO163" s="77"/>
      <c r="AP163" s="77"/>
      <c r="AQ163" s="77"/>
      <c r="AR163" s="77"/>
      <c r="AS163" s="77"/>
      <c r="AT163" s="77"/>
      <c r="AU163" s="77"/>
      <c r="AV163" s="80" t="str">
        <f>HYPERLINK("https://pbs.twimg.com/profile_images/1638555528002404354/zYyRgIoe_normal.jpg")</f>
        <v>https://pbs.twimg.com/profile_images/1638555528002404354/zYyRgIoe_normal.jpg</v>
      </c>
      <c r="AW163" s="82" t="s">
        <v>12359</v>
      </c>
      <c r="AX163" s="82" t="s">
        <v>12359</v>
      </c>
      <c r="AY163" s="77"/>
      <c r="AZ163" s="82" t="s">
        <v>15804</v>
      </c>
      <c r="BA163" s="82" t="s">
        <v>15804</v>
      </c>
      <c r="BB163" s="82" t="s">
        <v>15804</v>
      </c>
      <c r="BC163" s="82" t="s">
        <v>12359</v>
      </c>
      <c r="BD163" s="77">
        <v>4357245737</v>
      </c>
      <c r="BE163" s="77"/>
      <c r="BF163" s="77"/>
      <c r="BG163" s="77"/>
      <c r="BH163" s="77"/>
      <c r="BI163" s="77"/>
    </row>
    <row r="164" spans="1:61" x14ac:dyDescent="0.25">
      <c r="A164" s="62" t="s">
        <v>283</v>
      </c>
      <c r="B164" s="62" t="s">
        <v>283</v>
      </c>
      <c r="C164" s="63"/>
      <c r="D164" s="64"/>
      <c r="E164" s="65"/>
      <c r="F164" s="66"/>
      <c r="G164" s="63"/>
      <c r="H164" s="67"/>
      <c r="I164" s="68"/>
      <c r="J164" s="68"/>
      <c r="K164" s="32"/>
      <c r="L164" s="75">
        <v>164</v>
      </c>
      <c r="M164" s="75"/>
      <c r="N164" s="70"/>
      <c r="O164" s="77" t="s">
        <v>179</v>
      </c>
      <c r="P164" s="79">
        <v>45101.705555555556</v>
      </c>
      <c r="Q164" s="77" t="s">
        <v>1296</v>
      </c>
      <c r="R164" s="77">
        <v>0</v>
      </c>
      <c r="S164" s="77">
        <v>0</v>
      </c>
      <c r="T164" s="77">
        <v>0</v>
      </c>
      <c r="U164" s="77">
        <v>0</v>
      </c>
      <c r="V164" s="77">
        <v>14</v>
      </c>
      <c r="W164" s="82" t="s">
        <v>4160</v>
      </c>
      <c r="X164" s="77"/>
      <c r="Y164" s="77"/>
      <c r="Z164" s="77"/>
      <c r="AA164" s="77"/>
      <c r="AB164" s="77"/>
      <c r="AC164" s="82" t="s">
        <v>7706</v>
      </c>
      <c r="AD164" s="77" t="s">
        <v>7745</v>
      </c>
      <c r="AE164" s="80" t="str">
        <f>HYPERLINK("https://twitter.com/juliocrrf/status/1672649787059912706")</f>
        <v>https://twitter.com/juliocrrf/status/1672649787059912706</v>
      </c>
      <c r="AF164" s="79">
        <v>45101.705555555556</v>
      </c>
      <c r="AG164" s="85">
        <v>45101</v>
      </c>
      <c r="AH164" s="82" t="s">
        <v>7913</v>
      </c>
      <c r="AI164" s="77"/>
      <c r="AJ164" s="77"/>
      <c r="AK164" s="77"/>
      <c r="AL164" s="77"/>
      <c r="AM164" s="77"/>
      <c r="AN164" s="77"/>
      <c r="AO164" s="77"/>
      <c r="AP164" s="77"/>
      <c r="AQ164" s="77"/>
      <c r="AR164" s="77"/>
      <c r="AS164" s="77"/>
      <c r="AT164" s="77"/>
      <c r="AU164" s="77"/>
      <c r="AV164" s="80" t="str">
        <f>HYPERLINK("https://pbs.twimg.com/profile_images/1638555528002404354/zYyRgIoe_normal.jpg")</f>
        <v>https://pbs.twimg.com/profile_images/1638555528002404354/zYyRgIoe_normal.jpg</v>
      </c>
      <c r="AW164" s="82" t="s">
        <v>12360</v>
      </c>
      <c r="AX164" s="82" t="s">
        <v>12360</v>
      </c>
      <c r="AY164" s="77"/>
      <c r="AZ164" s="82" t="s">
        <v>15804</v>
      </c>
      <c r="BA164" s="82" t="s">
        <v>15804</v>
      </c>
      <c r="BB164" s="82" t="s">
        <v>15804</v>
      </c>
      <c r="BC164" s="82" t="s">
        <v>12360</v>
      </c>
      <c r="BD164" s="77">
        <v>4357245737</v>
      </c>
      <c r="BE164" s="77"/>
      <c r="BF164" s="77"/>
      <c r="BG164" s="77"/>
      <c r="BH164" s="77"/>
      <c r="BI164" s="77"/>
    </row>
    <row r="165" spans="1:61" x14ac:dyDescent="0.25">
      <c r="A165" s="62" t="s">
        <v>283</v>
      </c>
      <c r="B165" s="62" t="s">
        <v>283</v>
      </c>
      <c r="C165" s="63"/>
      <c r="D165" s="64"/>
      <c r="E165" s="65"/>
      <c r="F165" s="66"/>
      <c r="G165" s="63"/>
      <c r="H165" s="67"/>
      <c r="I165" s="68"/>
      <c r="J165" s="68"/>
      <c r="K165" s="32"/>
      <c r="L165" s="75">
        <v>165</v>
      </c>
      <c r="M165" s="75"/>
      <c r="N165" s="70"/>
      <c r="O165" s="77" t="s">
        <v>179</v>
      </c>
      <c r="P165" s="79">
        <v>45104.925694444442</v>
      </c>
      <c r="Q165" s="77" t="s">
        <v>1297</v>
      </c>
      <c r="R165" s="77">
        <v>0</v>
      </c>
      <c r="S165" s="77">
        <v>0</v>
      </c>
      <c r="T165" s="77">
        <v>0</v>
      </c>
      <c r="U165" s="77">
        <v>0</v>
      </c>
      <c r="V165" s="77">
        <v>17</v>
      </c>
      <c r="W165" s="82" t="s">
        <v>4161</v>
      </c>
      <c r="X165" s="77"/>
      <c r="Y165" s="77"/>
      <c r="Z165" s="77"/>
      <c r="AA165" s="77"/>
      <c r="AB165" s="77"/>
      <c r="AC165" s="82" t="s">
        <v>7706</v>
      </c>
      <c r="AD165" s="77" t="s">
        <v>7745</v>
      </c>
      <c r="AE165" s="80" t="str">
        <f>HYPERLINK("https://twitter.com/juliocrrf/status/1673816726373384193")</f>
        <v>https://twitter.com/juliocrrf/status/1673816726373384193</v>
      </c>
      <c r="AF165" s="79">
        <v>45104.925694444442</v>
      </c>
      <c r="AG165" s="85">
        <v>45104</v>
      </c>
      <c r="AH165" s="82" t="s">
        <v>7914</v>
      </c>
      <c r="AI165" s="77"/>
      <c r="AJ165" s="77"/>
      <c r="AK165" s="77"/>
      <c r="AL165" s="77"/>
      <c r="AM165" s="77"/>
      <c r="AN165" s="77"/>
      <c r="AO165" s="77"/>
      <c r="AP165" s="77"/>
      <c r="AQ165" s="77"/>
      <c r="AR165" s="77"/>
      <c r="AS165" s="77"/>
      <c r="AT165" s="77"/>
      <c r="AU165" s="77"/>
      <c r="AV165" s="80" t="str">
        <f>HYPERLINK("https://pbs.twimg.com/profile_images/1638555528002404354/zYyRgIoe_normal.jpg")</f>
        <v>https://pbs.twimg.com/profile_images/1638555528002404354/zYyRgIoe_normal.jpg</v>
      </c>
      <c r="AW165" s="82" t="s">
        <v>12361</v>
      </c>
      <c r="AX165" s="82" t="s">
        <v>12361</v>
      </c>
      <c r="AY165" s="77"/>
      <c r="AZ165" s="82" t="s">
        <v>15804</v>
      </c>
      <c r="BA165" s="82" t="s">
        <v>15804</v>
      </c>
      <c r="BB165" s="82" t="s">
        <v>15804</v>
      </c>
      <c r="BC165" s="82" t="s">
        <v>12361</v>
      </c>
      <c r="BD165" s="77">
        <v>4357245737</v>
      </c>
      <c r="BE165" s="77"/>
      <c r="BF165" s="77"/>
      <c r="BG165" s="77"/>
      <c r="BH165" s="77"/>
      <c r="BI165" s="77"/>
    </row>
    <row r="166" spans="1:61" x14ac:dyDescent="0.25">
      <c r="A166" s="62" t="s">
        <v>283</v>
      </c>
      <c r="B166" s="62" t="s">
        <v>283</v>
      </c>
      <c r="C166" s="63"/>
      <c r="D166" s="64"/>
      <c r="E166" s="65"/>
      <c r="F166" s="66"/>
      <c r="G166" s="63"/>
      <c r="H166" s="67"/>
      <c r="I166" s="68"/>
      <c r="J166" s="68"/>
      <c r="K166" s="32"/>
      <c r="L166" s="75">
        <v>166</v>
      </c>
      <c r="M166" s="75"/>
      <c r="N166" s="70"/>
      <c r="O166" s="77" t="s">
        <v>179</v>
      </c>
      <c r="P166" s="79">
        <v>45104.674305555556</v>
      </c>
      <c r="Q166" s="77" t="s">
        <v>1298</v>
      </c>
      <c r="R166" s="77">
        <v>0</v>
      </c>
      <c r="S166" s="77">
        <v>0</v>
      </c>
      <c r="T166" s="77">
        <v>0</v>
      </c>
      <c r="U166" s="77">
        <v>0</v>
      </c>
      <c r="V166" s="77">
        <v>16</v>
      </c>
      <c r="W166" s="82" t="s">
        <v>4162</v>
      </c>
      <c r="X166" s="77"/>
      <c r="Y166" s="77"/>
      <c r="Z166" s="77"/>
      <c r="AA166" s="77"/>
      <c r="AB166" s="77"/>
      <c r="AC166" s="82" t="s">
        <v>7706</v>
      </c>
      <c r="AD166" s="77" t="s">
        <v>7745</v>
      </c>
      <c r="AE166" s="80" t="str">
        <f>HYPERLINK("https://twitter.com/juliocrrf/status/1673725625977405443")</f>
        <v>https://twitter.com/juliocrrf/status/1673725625977405443</v>
      </c>
      <c r="AF166" s="79">
        <v>45104.674305555556</v>
      </c>
      <c r="AG166" s="85">
        <v>45104</v>
      </c>
      <c r="AH166" s="82" t="s">
        <v>7915</v>
      </c>
      <c r="AI166" s="77"/>
      <c r="AJ166" s="77"/>
      <c r="AK166" s="77"/>
      <c r="AL166" s="77"/>
      <c r="AM166" s="77"/>
      <c r="AN166" s="77"/>
      <c r="AO166" s="77"/>
      <c r="AP166" s="77"/>
      <c r="AQ166" s="77"/>
      <c r="AR166" s="77"/>
      <c r="AS166" s="77"/>
      <c r="AT166" s="77"/>
      <c r="AU166" s="77"/>
      <c r="AV166" s="80" t="str">
        <f>HYPERLINK("https://pbs.twimg.com/profile_images/1638555528002404354/zYyRgIoe_normal.jpg")</f>
        <v>https://pbs.twimg.com/profile_images/1638555528002404354/zYyRgIoe_normal.jpg</v>
      </c>
      <c r="AW166" s="82" t="s">
        <v>12362</v>
      </c>
      <c r="AX166" s="82" t="s">
        <v>12362</v>
      </c>
      <c r="AY166" s="77"/>
      <c r="AZ166" s="82" t="s">
        <v>15804</v>
      </c>
      <c r="BA166" s="82" t="s">
        <v>15804</v>
      </c>
      <c r="BB166" s="82" t="s">
        <v>15804</v>
      </c>
      <c r="BC166" s="82" t="s">
        <v>12362</v>
      </c>
      <c r="BD166" s="77">
        <v>4357245737</v>
      </c>
      <c r="BE166" s="77"/>
      <c r="BF166" s="77"/>
      <c r="BG166" s="77"/>
      <c r="BH166" s="77"/>
      <c r="BI166" s="77"/>
    </row>
    <row r="167" spans="1:61" x14ac:dyDescent="0.25">
      <c r="A167" s="62" t="s">
        <v>283</v>
      </c>
      <c r="B167" s="62" t="s">
        <v>283</v>
      </c>
      <c r="C167" s="63"/>
      <c r="D167" s="64"/>
      <c r="E167" s="65"/>
      <c r="F167" s="66"/>
      <c r="G167" s="63"/>
      <c r="H167" s="67"/>
      <c r="I167" s="68"/>
      <c r="J167" s="68"/>
      <c r="K167" s="32"/>
      <c r="L167" s="75">
        <v>167</v>
      </c>
      <c r="M167" s="75"/>
      <c r="N167" s="70"/>
      <c r="O167" s="77" t="s">
        <v>179</v>
      </c>
      <c r="P167" s="79">
        <v>45104.506944444445</v>
      </c>
      <c r="Q167" s="77" t="s">
        <v>1299</v>
      </c>
      <c r="R167" s="77">
        <v>0</v>
      </c>
      <c r="S167" s="77">
        <v>0</v>
      </c>
      <c r="T167" s="77">
        <v>0</v>
      </c>
      <c r="U167" s="77">
        <v>0</v>
      </c>
      <c r="V167" s="77">
        <v>19</v>
      </c>
      <c r="W167" s="82" t="s">
        <v>4163</v>
      </c>
      <c r="X167" s="77"/>
      <c r="Y167" s="77"/>
      <c r="Z167" s="77"/>
      <c r="AA167" s="77"/>
      <c r="AB167" s="77"/>
      <c r="AC167" s="82" t="s">
        <v>7706</v>
      </c>
      <c r="AD167" s="77" t="s">
        <v>7745</v>
      </c>
      <c r="AE167" s="80" t="str">
        <f>HYPERLINK("https://twitter.com/juliocrrf/status/1673664977029169152")</f>
        <v>https://twitter.com/juliocrrf/status/1673664977029169152</v>
      </c>
      <c r="AF167" s="79">
        <v>45104.506944444445</v>
      </c>
      <c r="AG167" s="85">
        <v>45104</v>
      </c>
      <c r="AH167" s="82" t="s">
        <v>7916</v>
      </c>
      <c r="AI167" s="77"/>
      <c r="AJ167" s="77"/>
      <c r="AK167" s="77"/>
      <c r="AL167" s="77"/>
      <c r="AM167" s="77"/>
      <c r="AN167" s="77"/>
      <c r="AO167" s="77"/>
      <c r="AP167" s="77"/>
      <c r="AQ167" s="77"/>
      <c r="AR167" s="77"/>
      <c r="AS167" s="77"/>
      <c r="AT167" s="77"/>
      <c r="AU167" s="77"/>
      <c r="AV167" s="80" t="str">
        <f>HYPERLINK("https://pbs.twimg.com/profile_images/1638555528002404354/zYyRgIoe_normal.jpg")</f>
        <v>https://pbs.twimg.com/profile_images/1638555528002404354/zYyRgIoe_normal.jpg</v>
      </c>
      <c r="AW167" s="82" t="s">
        <v>12363</v>
      </c>
      <c r="AX167" s="82" t="s">
        <v>12363</v>
      </c>
      <c r="AY167" s="77"/>
      <c r="AZ167" s="82" t="s">
        <v>15804</v>
      </c>
      <c r="BA167" s="82" t="s">
        <v>15804</v>
      </c>
      <c r="BB167" s="82" t="s">
        <v>15804</v>
      </c>
      <c r="BC167" s="82" t="s">
        <v>12363</v>
      </c>
      <c r="BD167" s="77">
        <v>4357245737</v>
      </c>
      <c r="BE167" s="77"/>
      <c r="BF167" s="77"/>
      <c r="BG167" s="77"/>
      <c r="BH167" s="77"/>
      <c r="BI167" s="77"/>
    </row>
    <row r="168" spans="1:61" x14ac:dyDescent="0.25">
      <c r="A168" s="62" t="s">
        <v>283</v>
      </c>
      <c r="B168" s="62" t="s">
        <v>283</v>
      </c>
      <c r="C168" s="63"/>
      <c r="D168" s="64"/>
      <c r="E168" s="65"/>
      <c r="F168" s="66"/>
      <c r="G168" s="63"/>
      <c r="H168" s="67"/>
      <c r="I168" s="68"/>
      <c r="J168" s="68"/>
      <c r="K168" s="32"/>
      <c r="L168" s="75">
        <v>168</v>
      </c>
      <c r="M168" s="75"/>
      <c r="N168" s="70"/>
      <c r="O168" s="77" t="s">
        <v>179</v>
      </c>
      <c r="P168" s="79">
        <v>45103.922222222223</v>
      </c>
      <c r="Q168" s="77" t="s">
        <v>1300</v>
      </c>
      <c r="R168" s="77">
        <v>0</v>
      </c>
      <c r="S168" s="77">
        <v>0</v>
      </c>
      <c r="T168" s="77">
        <v>0</v>
      </c>
      <c r="U168" s="77">
        <v>0</v>
      </c>
      <c r="V168" s="77">
        <v>15</v>
      </c>
      <c r="W168" s="82" t="s">
        <v>4164</v>
      </c>
      <c r="X168" s="77"/>
      <c r="Y168" s="77"/>
      <c r="Z168" s="77"/>
      <c r="AA168" s="77"/>
      <c r="AB168" s="77"/>
      <c r="AC168" s="82" t="s">
        <v>7706</v>
      </c>
      <c r="AD168" s="77" t="s">
        <v>7745</v>
      </c>
      <c r="AE168" s="80" t="str">
        <f>HYPERLINK("https://twitter.com/juliocrrf/status/1673453080300384257")</f>
        <v>https://twitter.com/juliocrrf/status/1673453080300384257</v>
      </c>
      <c r="AF168" s="79">
        <v>45103.922222222223</v>
      </c>
      <c r="AG168" s="85">
        <v>45103</v>
      </c>
      <c r="AH168" s="82" t="s">
        <v>7917</v>
      </c>
      <c r="AI168" s="77"/>
      <c r="AJ168" s="77"/>
      <c r="AK168" s="77"/>
      <c r="AL168" s="77"/>
      <c r="AM168" s="77"/>
      <c r="AN168" s="77"/>
      <c r="AO168" s="77"/>
      <c r="AP168" s="77"/>
      <c r="AQ168" s="77"/>
      <c r="AR168" s="77"/>
      <c r="AS168" s="77"/>
      <c r="AT168" s="77"/>
      <c r="AU168" s="77"/>
      <c r="AV168" s="80" t="str">
        <f>HYPERLINK("https://pbs.twimg.com/profile_images/1638555528002404354/zYyRgIoe_normal.jpg")</f>
        <v>https://pbs.twimg.com/profile_images/1638555528002404354/zYyRgIoe_normal.jpg</v>
      </c>
      <c r="AW168" s="82" t="s">
        <v>12364</v>
      </c>
      <c r="AX168" s="82" t="s">
        <v>12364</v>
      </c>
      <c r="AY168" s="77"/>
      <c r="AZ168" s="82" t="s">
        <v>15804</v>
      </c>
      <c r="BA168" s="82" t="s">
        <v>15804</v>
      </c>
      <c r="BB168" s="82" t="s">
        <v>15804</v>
      </c>
      <c r="BC168" s="82" t="s">
        <v>12364</v>
      </c>
      <c r="BD168" s="77">
        <v>4357245737</v>
      </c>
      <c r="BE168" s="77"/>
      <c r="BF168" s="77"/>
      <c r="BG168" s="77"/>
      <c r="BH168" s="77"/>
      <c r="BI168" s="77"/>
    </row>
    <row r="169" spans="1:61" x14ac:dyDescent="0.25">
      <c r="A169" s="62" t="s">
        <v>283</v>
      </c>
      <c r="B169" s="62" t="s">
        <v>283</v>
      </c>
      <c r="C169" s="63"/>
      <c r="D169" s="64"/>
      <c r="E169" s="65"/>
      <c r="F169" s="66"/>
      <c r="G169" s="63"/>
      <c r="H169" s="67"/>
      <c r="I169" s="68"/>
      <c r="J169" s="68"/>
      <c r="K169" s="32"/>
      <c r="L169" s="75">
        <v>169</v>
      </c>
      <c r="M169" s="75"/>
      <c r="N169" s="70"/>
      <c r="O169" s="77" t="s">
        <v>179</v>
      </c>
      <c r="P169" s="79">
        <v>45103.671527777777</v>
      </c>
      <c r="Q169" s="77" t="s">
        <v>1301</v>
      </c>
      <c r="R169" s="77">
        <v>0</v>
      </c>
      <c r="S169" s="77">
        <v>0</v>
      </c>
      <c r="T169" s="77">
        <v>0</v>
      </c>
      <c r="U169" s="77">
        <v>0</v>
      </c>
      <c r="V169" s="77">
        <v>13</v>
      </c>
      <c r="W169" s="82" t="s">
        <v>4165</v>
      </c>
      <c r="X169" s="77"/>
      <c r="Y169" s="77"/>
      <c r="Z169" s="77"/>
      <c r="AA169" s="77"/>
      <c r="AB169" s="77"/>
      <c r="AC169" s="82" t="s">
        <v>7706</v>
      </c>
      <c r="AD169" s="77" t="s">
        <v>7745</v>
      </c>
      <c r="AE169" s="80" t="str">
        <f>HYPERLINK("https://twitter.com/juliocrrf/status/1673362231847731201")</f>
        <v>https://twitter.com/juliocrrf/status/1673362231847731201</v>
      </c>
      <c r="AF169" s="79">
        <v>45103.671527777777</v>
      </c>
      <c r="AG169" s="85">
        <v>45103</v>
      </c>
      <c r="AH169" s="82" t="s">
        <v>7918</v>
      </c>
      <c r="AI169" s="77"/>
      <c r="AJ169" s="77"/>
      <c r="AK169" s="77"/>
      <c r="AL169" s="77"/>
      <c r="AM169" s="77"/>
      <c r="AN169" s="77"/>
      <c r="AO169" s="77"/>
      <c r="AP169" s="77"/>
      <c r="AQ169" s="77"/>
      <c r="AR169" s="77"/>
      <c r="AS169" s="77"/>
      <c r="AT169" s="77"/>
      <c r="AU169" s="77"/>
      <c r="AV169" s="80" t="str">
        <f>HYPERLINK("https://pbs.twimg.com/profile_images/1638555528002404354/zYyRgIoe_normal.jpg")</f>
        <v>https://pbs.twimg.com/profile_images/1638555528002404354/zYyRgIoe_normal.jpg</v>
      </c>
      <c r="AW169" s="82" t="s">
        <v>12365</v>
      </c>
      <c r="AX169" s="82" t="s">
        <v>12365</v>
      </c>
      <c r="AY169" s="77"/>
      <c r="AZ169" s="82" t="s">
        <v>15804</v>
      </c>
      <c r="BA169" s="82" t="s">
        <v>15804</v>
      </c>
      <c r="BB169" s="82" t="s">
        <v>15804</v>
      </c>
      <c r="BC169" s="82" t="s">
        <v>12365</v>
      </c>
      <c r="BD169" s="77">
        <v>4357245737</v>
      </c>
      <c r="BE169" s="77"/>
      <c r="BF169" s="77"/>
      <c r="BG169" s="77"/>
      <c r="BH169" s="77"/>
      <c r="BI169" s="77"/>
    </row>
    <row r="170" spans="1:61" x14ac:dyDescent="0.25">
      <c r="A170" s="62" t="s">
        <v>283</v>
      </c>
      <c r="B170" s="62" t="s">
        <v>283</v>
      </c>
      <c r="C170" s="63"/>
      <c r="D170" s="64"/>
      <c r="E170" s="65"/>
      <c r="F170" s="66"/>
      <c r="G170" s="63"/>
      <c r="H170" s="67"/>
      <c r="I170" s="68"/>
      <c r="J170" s="68"/>
      <c r="K170" s="32"/>
      <c r="L170" s="75">
        <v>170</v>
      </c>
      <c r="M170" s="75"/>
      <c r="N170" s="70"/>
      <c r="O170" s="77" t="s">
        <v>179</v>
      </c>
      <c r="P170" s="79">
        <v>45103.503472222219</v>
      </c>
      <c r="Q170" s="77" t="s">
        <v>1302</v>
      </c>
      <c r="R170" s="77">
        <v>0</v>
      </c>
      <c r="S170" s="77">
        <v>0</v>
      </c>
      <c r="T170" s="77">
        <v>0</v>
      </c>
      <c r="U170" s="77">
        <v>0</v>
      </c>
      <c r="V170" s="77">
        <v>10</v>
      </c>
      <c r="W170" s="82" t="s">
        <v>4166</v>
      </c>
      <c r="X170" s="77"/>
      <c r="Y170" s="77"/>
      <c r="Z170" s="77"/>
      <c r="AA170" s="77"/>
      <c r="AB170" s="77"/>
      <c r="AC170" s="82" t="s">
        <v>7706</v>
      </c>
      <c r="AD170" s="77" t="s">
        <v>7745</v>
      </c>
      <c r="AE170" s="80" t="str">
        <f>HYPERLINK("https://twitter.com/juliocrrf/status/1673301331233103872")</f>
        <v>https://twitter.com/juliocrrf/status/1673301331233103872</v>
      </c>
      <c r="AF170" s="79">
        <v>45103.503472222219</v>
      </c>
      <c r="AG170" s="85">
        <v>45103</v>
      </c>
      <c r="AH170" s="82" t="s">
        <v>7919</v>
      </c>
      <c r="AI170" s="77"/>
      <c r="AJ170" s="77"/>
      <c r="AK170" s="77"/>
      <c r="AL170" s="77"/>
      <c r="AM170" s="77"/>
      <c r="AN170" s="77"/>
      <c r="AO170" s="77"/>
      <c r="AP170" s="77"/>
      <c r="AQ170" s="77"/>
      <c r="AR170" s="77"/>
      <c r="AS170" s="77"/>
      <c r="AT170" s="77"/>
      <c r="AU170" s="77"/>
      <c r="AV170" s="80" t="str">
        <f>HYPERLINK("https://pbs.twimg.com/profile_images/1638555528002404354/zYyRgIoe_normal.jpg")</f>
        <v>https://pbs.twimg.com/profile_images/1638555528002404354/zYyRgIoe_normal.jpg</v>
      </c>
      <c r="AW170" s="82" t="s">
        <v>12366</v>
      </c>
      <c r="AX170" s="82" t="s">
        <v>12366</v>
      </c>
      <c r="AY170" s="77"/>
      <c r="AZ170" s="82" t="s">
        <v>15804</v>
      </c>
      <c r="BA170" s="82" t="s">
        <v>15804</v>
      </c>
      <c r="BB170" s="82" t="s">
        <v>15804</v>
      </c>
      <c r="BC170" s="82" t="s">
        <v>12366</v>
      </c>
      <c r="BD170" s="77">
        <v>4357245737</v>
      </c>
      <c r="BE170" s="77"/>
      <c r="BF170" s="77"/>
      <c r="BG170" s="77"/>
      <c r="BH170" s="77"/>
      <c r="BI170" s="77"/>
    </row>
    <row r="171" spans="1:61" x14ac:dyDescent="0.25">
      <c r="A171" s="62" t="s">
        <v>283</v>
      </c>
      <c r="B171" s="62" t="s">
        <v>283</v>
      </c>
      <c r="C171" s="63"/>
      <c r="D171" s="64"/>
      <c r="E171" s="65"/>
      <c r="F171" s="66"/>
      <c r="G171" s="63"/>
      <c r="H171" s="67"/>
      <c r="I171" s="68"/>
      <c r="J171" s="68"/>
      <c r="K171" s="32"/>
      <c r="L171" s="75">
        <v>171</v>
      </c>
      <c r="M171" s="75"/>
      <c r="N171" s="70"/>
      <c r="O171" s="77" t="s">
        <v>179</v>
      </c>
      <c r="P171" s="79">
        <v>45108.477777777778</v>
      </c>
      <c r="Q171" s="77" t="s">
        <v>1303</v>
      </c>
      <c r="R171" s="77">
        <v>0</v>
      </c>
      <c r="S171" s="77">
        <v>0</v>
      </c>
      <c r="T171" s="77">
        <v>0</v>
      </c>
      <c r="U171" s="77">
        <v>0</v>
      </c>
      <c r="V171" s="77">
        <v>17</v>
      </c>
      <c r="W171" s="82" t="s">
        <v>4167</v>
      </c>
      <c r="X171" s="77"/>
      <c r="Y171" s="77"/>
      <c r="Z171" s="77"/>
      <c r="AA171" s="77"/>
      <c r="AB171" s="77"/>
      <c r="AC171" s="82" t="s">
        <v>7706</v>
      </c>
      <c r="AD171" s="77" t="s">
        <v>7745</v>
      </c>
      <c r="AE171" s="80" t="str">
        <f>HYPERLINK("https://twitter.com/juliocrrf/status/1675103958204030978")</f>
        <v>https://twitter.com/juliocrrf/status/1675103958204030978</v>
      </c>
      <c r="AF171" s="79">
        <v>45108.477777777778</v>
      </c>
      <c r="AG171" s="85">
        <v>45108</v>
      </c>
      <c r="AH171" s="82" t="s">
        <v>7920</v>
      </c>
      <c r="AI171" s="77"/>
      <c r="AJ171" s="77"/>
      <c r="AK171" s="77"/>
      <c r="AL171" s="77"/>
      <c r="AM171" s="77"/>
      <c r="AN171" s="77"/>
      <c r="AO171" s="77"/>
      <c r="AP171" s="77"/>
      <c r="AQ171" s="77"/>
      <c r="AR171" s="77"/>
      <c r="AS171" s="77"/>
      <c r="AT171" s="77"/>
      <c r="AU171" s="77"/>
      <c r="AV171" s="80" t="str">
        <f>HYPERLINK("https://pbs.twimg.com/profile_images/1638555528002404354/zYyRgIoe_normal.jpg")</f>
        <v>https://pbs.twimg.com/profile_images/1638555528002404354/zYyRgIoe_normal.jpg</v>
      </c>
      <c r="AW171" s="82" t="s">
        <v>12367</v>
      </c>
      <c r="AX171" s="82" t="s">
        <v>12367</v>
      </c>
      <c r="AY171" s="77"/>
      <c r="AZ171" s="82" t="s">
        <v>15804</v>
      </c>
      <c r="BA171" s="82" t="s">
        <v>15804</v>
      </c>
      <c r="BB171" s="82" t="s">
        <v>15804</v>
      </c>
      <c r="BC171" s="82" t="s">
        <v>12367</v>
      </c>
      <c r="BD171" s="77">
        <v>4357245737</v>
      </c>
      <c r="BE171" s="77"/>
      <c r="BF171" s="77"/>
      <c r="BG171" s="77"/>
      <c r="BH171" s="77"/>
      <c r="BI171" s="77"/>
    </row>
    <row r="172" spans="1:61" x14ac:dyDescent="0.25">
      <c r="A172" s="62" t="s">
        <v>283</v>
      </c>
      <c r="B172" s="62" t="s">
        <v>283</v>
      </c>
      <c r="C172" s="63"/>
      <c r="D172" s="64"/>
      <c r="E172" s="65"/>
      <c r="F172" s="66"/>
      <c r="G172" s="63"/>
      <c r="H172" s="67"/>
      <c r="I172" s="68"/>
      <c r="J172" s="68"/>
      <c r="K172" s="32"/>
      <c r="L172" s="75">
        <v>172</v>
      </c>
      <c r="M172" s="75"/>
      <c r="N172" s="70"/>
      <c r="O172" s="77" t="s">
        <v>179</v>
      </c>
      <c r="P172" s="79">
        <v>45107.916689814818</v>
      </c>
      <c r="Q172" s="77" t="s">
        <v>1304</v>
      </c>
      <c r="R172" s="77">
        <v>0</v>
      </c>
      <c r="S172" s="77">
        <v>0</v>
      </c>
      <c r="T172" s="77">
        <v>1</v>
      </c>
      <c r="U172" s="77">
        <v>0</v>
      </c>
      <c r="V172" s="77">
        <v>22</v>
      </c>
      <c r="W172" s="82" t="s">
        <v>4168</v>
      </c>
      <c r="X172" s="77"/>
      <c r="Y172" s="77"/>
      <c r="Z172" s="77"/>
      <c r="AA172" s="77"/>
      <c r="AB172" s="77"/>
      <c r="AC172" s="82" t="s">
        <v>7706</v>
      </c>
      <c r="AD172" s="77" t="s">
        <v>7745</v>
      </c>
      <c r="AE172" s="80" t="str">
        <f>HYPERLINK("https://twitter.com/juliocrrf/status/1674900627619557379")</f>
        <v>https://twitter.com/juliocrrf/status/1674900627619557379</v>
      </c>
      <c r="AF172" s="79">
        <v>45107.916689814818</v>
      </c>
      <c r="AG172" s="85">
        <v>45107</v>
      </c>
      <c r="AH172" s="82" t="s">
        <v>7921</v>
      </c>
      <c r="AI172" s="77"/>
      <c r="AJ172" s="77"/>
      <c r="AK172" s="77"/>
      <c r="AL172" s="77"/>
      <c r="AM172" s="77"/>
      <c r="AN172" s="77"/>
      <c r="AO172" s="77"/>
      <c r="AP172" s="77"/>
      <c r="AQ172" s="77"/>
      <c r="AR172" s="77"/>
      <c r="AS172" s="77"/>
      <c r="AT172" s="77"/>
      <c r="AU172" s="77"/>
      <c r="AV172" s="80" t="str">
        <f>HYPERLINK("https://pbs.twimg.com/profile_images/1638555528002404354/zYyRgIoe_normal.jpg")</f>
        <v>https://pbs.twimg.com/profile_images/1638555528002404354/zYyRgIoe_normal.jpg</v>
      </c>
      <c r="AW172" s="82" t="s">
        <v>12368</v>
      </c>
      <c r="AX172" s="82" t="s">
        <v>12368</v>
      </c>
      <c r="AY172" s="77"/>
      <c r="AZ172" s="82" t="s">
        <v>15804</v>
      </c>
      <c r="BA172" s="82" t="s">
        <v>15804</v>
      </c>
      <c r="BB172" s="82" t="s">
        <v>15804</v>
      </c>
      <c r="BC172" s="82" t="s">
        <v>12368</v>
      </c>
      <c r="BD172" s="77">
        <v>4357245737</v>
      </c>
      <c r="BE172" s="77"/>
      <c r="BF172" s="77"/>
      <c r="BG172" s="77"/>
      <c r="BH172" s="77"/>
      <c r="BI172" s="77"/>
    </row>
    <row r="173" spans="1:61" x14ac:dyDescent="0.25">
      <c r="A173" s="62" t="s">
        <v>283</v>
      </c>
      <c r="B173" s="62" t="s">
        <v>283</v>
      </c>
      <c r="C173" s="63"/>
      <c r="D173" s="64"/>
      <c r="E173" s="65"/>
      <c r="F173" s="66"/>
      <c r="G173" s="63"/>
      <c r="H173" s="67"/>
      <c r="I173" s="68"/>
      <c r="J173" s="68"/>
      <c r="K173" s="32"/>
      <c r="L173" s="75">
        <v>173</v>
      </c>
      <c r="M173" s="75"/>
      <c r="N173" s="70"/>
      <c r="O173" s="77" t="s">
        <v>179</v>
      </c>
      <c r="P173" s="79">
        <v>45107.666678240741</v>
      </c>
      <c r="Q173" s="77" t="s">
        <v>1305</v>
      </c>
      <c r="R173" s="77">
        <v>0</v>
      </c>
      <c r="S173" s="77">
        <v>0</v>
      </c>
      <c r="T173" s="77">
        <v>0</v>
      </c>
      <c r="U173" s="77">
        <v>0</v>
      </c>
      <c r="V173" s="77">
        <v>17</v>
      </c>
      <c r="W173" s="82" t="s">
        <v>4169</v>
      </c>
      <c r="X173" s="77"/>
      <c r="Y173" s="77"/>
      <c r="Z173" s="77"/>
      <c r="AA173" s="77"/>
      <c r="AB173" s="77"/>
      <c r="AC173" s="82" t="s">
        <v>7706</v>
      </c>
      <c r="AD173" s="77" t="s">
        <v>7745</v>
      </c>
      <c r="AE173" s="80" t="str">
        <f>HYPERLINK("https://twitter.com/juliocrrf/status/1674810026408439808")</f>
        <v>https://twitter.com/juliocrrf/status/1674810026408439808</v>
      </c>
      <c r="AF173" s="79">
        <v>45107.666678240741</v>
      </c>
      <c r="AG173" s="85">
        <v>45107</v>
      </c>
      <c r="AH173" s="82" t="s">
        <v>7922</v>
      </c>
      <c r="AI173" s="77"/>
      <c r="AJ173" s="77"/>
      <c r="AK173" s="77"/>
      <c r="AL173" s="77"/>
      <c r="AM173" s="77"/>
      <c r="AN173" s="77"/>
      <c r="AO173" s="77"/>
      <c r="AP173" s="77"/>
      <c r="AQ173" s="77"/>
      <c r="AR173" s="77"/>
      <c r="AS173" s="77"/>
      <c r="AT173" s="77"/>
      <c r="AU173" s="77"/>
      <c r="AV173" s="80" t="str">
        <f>HYPERLINK("https://pbs.twimg.com/profile_images/1638555528002404354/zYyRgIoe_normal.jpg")</f>
        <v>https://pbs.twimg.com/profile_images/1638555528002404354/zYyRgIoe_normal.jpg</v>
      </c>
      <c r="AW173" s="82" t="s">
        <v>12369</v>
      </c>
      <c r="AX173" s="82" t="s">
        <v>12369</v>
      </c>
      <c r="AY173" s="77"/>
      <c r="AZ173" s="82" t="s">
        <v>15804</v>
      </c>
      <c r="BA173" s="82" t="s">
        <v>15804</v>
      </c>
      <c r="BB173" s="82" t="s">
        <v>15804</v>
      </c>
      <c r="BC173" s="82" t="s">
        <v>12369</v>
      </c>
      <c r="BD173" s="77">
        <v>4357245737</v>
      </c>
      <c r="BE173" s="77"/>
      <c r="BF173" s="77"/>
      <c r="BG173" s="77"/>
      <c r="BH173" s="77"/>
      <c r="BI173" s="77"/>
    </row>
    <row r="174" spans="1:61" x14ac:dyDescent="0.25">
      <c r="A174" s="62" t="s">
        <v>283</v>
      </c>
      <c r="B174" s="62" t="s">
        <v>283</v>
      </c>
      <c r="C174" s="63"/>
      <c r="D174" s="64"/>
      <c r="E174" s="65"/>
      <c r="F174" s="66"/>
      <c r="G174" s="63"/>
      <c r="H174" s="67"/>
      <c r="I174" s="68"/>
      <c r="J174" s="68"/>
      <c r="K174" s="32"/>
      <c r="L174" s="75">
        <v>174</v>
      </c>
      <c r="M174" s="75"/>
      <c r="N174" s="70"/>
      <c r="O174" s="77" t="s">
        <v>179</v>
      </c>
      <c r="P174" s="79">
        <v>45107.500011574077</v>
      </c>
      <c r="Q174" s="77" t="s">
        <v>1306</v>
      </c>
      <c r="R174" s="77">
        <v>0</v>
      </c>
      <c r="S174" s="77">
        <v>0</v>
      </c>
      <c r="T174" s="77">
        <v>0</v>
      </c>
      <c r="U174" s="77">
        <v>0</v>
      </c>
      <c r="V174" s="77">
        <v>17</v>
      </c>
      <c r="W174" s="82" t="s">
        <v>4170</v>
      </c>
      <c r="X174" s="77"/>
      <c r="Y174" s="77"/>
      <c r="Z174" s="77"/>
      <c r="AA174" s="77"/>
      <c r="AB174" s="77"/>
      <c r="AC174" s="82" t="s">
        <v>7706</v>
      </c>
      <c r="AD174" s="77" t="s">
        <v>7745</v>
      </c>
      <c r="AE174" s="80" t="str">
        <f>HYPERLINK("https://twitter.com/juliocrrf/status/1674749627378049025")</f>
        <v>https://twitter.com/juliocrrf/status/1674749627378049025</v>
      </c>
      <c r="AF174" s="79">
        <v>45107.500011574077</v>
      </c>
      <c r="AG174" s="85">
        <v>45107</v>
      </c>
      <c r="AH174" s="82" t="s">
        <v>7923</v>
      </c>
      <c r="AI174" s="77"/>
      <c r="AJ174" s="77"/>
      <c r="AK174" s="77"/>
      <c r="AL174" s="77"/>
      <c r="AM174" s="77"/>
      <c r="AN174" s="77"/>
      <c r="AO174" s="77"/>
      <c r="AP174" s="77"/>
      <c r="AQ174" s="77"/>
      <c r="AR174" s="77"/>
      <c r="AS174" s="77"/>
      <c r="AT174" s="77"/>
      <c r="AU174" s="77"/>
      <c r="AV174" s="80" t="str">
        <f>HYPERLINK("https://pbs.twimg.com/profile_images/1638555528002404354/zYyRgIoe_normal.jpg")</f>
        <v>https://pbs.twimg.com/profile_images/1638555528002404354/zYyRgIoe_normal.jpg</v>
      </c>
      <c r="AW174" s="82" t="s">
        <v>12370</v>
      </c>
      <c r="AX174" s="82" t="s">
        <v>12370</v>
      </c>
      <c r="AY174" s="77"/>
      <c r="AZ174" s="82" t="s">
        <v>15804</v>
      </c>
      <c r="BA174" s="82" t="s">
        <v>15804</v>
      </c>
      <c r="BB174" s="82" t="s">
        <v>15804</v>
      </c>
      <c r="BC174" s="82" t="s">
        <v>12370</v>
      </c>
      <c r="BD174" s="77">
        <v>4357245737</v>
      </c>
      <c r="BE174" s="77"/>
      <c r="BF174" s="77"/>
      <c r="BG174" s="77"/>
      <c r="BH174" s="77"/>
      <c r="BI174" s="77"/>
    </row>
    <row r="175" spans="1:61" x14ac:dyDescent="0.25">
      <c r="A175" s="62" t="s">
        <v>283</v>
      </c>
      <c r="B175" s="62" t="s">
        <v>283</v>
      </c>
      <c r="C175" s="63"/>
      <c r="D175" s="64"/>
      <c r="E175" s="65"/>
      <c r="F175" s="66"/>
      <c r="G175" s="63"/>
      <c r="H175" s="67"/>
      <c r="I175" s="68"/>
      <c r="J175" s="68"/>
      <c r="K175" s="32"/>
      <c r="L175" s="75">
        <v>175</v>
      </c>
      <c r="M175" s="75"/>
      <c r="N175" s="70"/>
      <c r="O175" s="77" t="s">
        <v>179</v>
      </c>
      <c r="P175" s="79">
        <v>45106.931944444441</v>
      </c>
      <c r="Q175" s="77" t="s">
        <v>1307</v>
      </c>
      <c r="R175" s="77">
        <v>0</v>
      </c>
      <c r="S175" s="77">
        <v>0</v>
      </c>
      <c r="T175" s="77">
        <v>1</v>
      </c>
      <c r="U175" s="77">
        <v>0</v>
      </c>
      <c r="V175" s="77">
        <v>10</v>
      </c>
      <c r="W175" s="82" t="s">
        <v>4153</v>
      </c>
      <c r="X175" s="77"/>
      <c r="Y175" s="77"/>
      <c r="Z175" s="77"/>
      <c r="AA175" s="77"/>
      <c r="AB175" s="77"/>
      <c r="AC175" s="82" t="s">
        <v>7706</v>
      </c>
      <c r="AD175" s="77" t="s">
        <v>7745</v>
      </c>
      <c r="AE175" s="80" t="str">
        <f>HYPERLINK("https://twitter.com/juliocrrf/status/1674543766986801152")</f>
        <v>https://twitter.com/juliocrrf/status/1674543766986801152</v>
      </c>
      <c r="AF175" s="79">
        <v>45106.931944444441</v>
      </c>
      <c r="AG175" s="85">
        <v>45106</v>
      </c>
      <c r="AH175" s="82" t="s">
        <v>7924</v>
      </c>
      <c r="AI175" s="77"/>
      <c r="AJ175" s="77"/>
      <c r="AK175" s="77"/>
      <c r="AL175" s="77"/>
      <c r="AM175" s="77"/>
      <c r="AN175" s="77"/>
      <c r="AO175" s="77"/>
      <c r="AP175" s="77"/>
      <c r="AQ175" s="77"/>
      <c r="AR175" s="77"/>
      <c r="AS175" s="77"/>
      <c r="AT175" s="77"/>
      <c r="AU175" s="77"/>
      <c r="AV175" s="80" t="str">
        <f>HYPERLINK("https://pbs.twimg.com/profile_images/1638555528002404354/zYyRgIoe_normal.jpg")</f>
        <v>https://pbs.twimg.com/profile_images/1638555528002404354/zYyRgIoe_normal.jpg</v>
      </c>
      <c r="AW175" s="82" t="s">
        <v>12371</v>
      </c>
      <c r="AX175" s="82" t="s">
        <v>12371</v>
      </c>
      <c r="AY175" s="77"/>
      <c r="AZ175" s="82" t="s">
        <v>15804</v>
      </c>
      <c r="BA175" s="82" t="s">
        <v>15804</v>
      </c>
      <c r="BB175" s="82" t="s">
        <v>15804</v>
      </c>
      <c r="BC175" s="82" t="s">
        <v>12371</v>
      </c>
      <c r="BD175" s="77">
        <v>4357245737</v>
      </c>
      <c r="BE175" s="77"/>
      <c r="BF175" s="77"/>
      <c r="BG175" s="77"/>
      <c r="BH175" s="77"/>
      <c r="BI175" s="77"/>
    </row>
    <row r="176" spans="1:61" x14ac:dyDescent="0.25">
      <c r="A176" s="62" t="s">
        <v>283</v>
      </c>
      <c r="B176" s="62" t="s">
        <v>283</v>
      </c>
      <c r="C176" s="63"/>
      <c r="D176" s="64"/>
      <c r="E176" s="65"/>
      <c r="F176" s="66"/>
      <c r="G176" s="63"/>
      <c r="H176" s="67"/>
      <c r="I176" s="68"/>
      <c r="J176" s="68"/>
      <c r="K176" s="32"/>
      <c r="L176" s="75">
        <v>176</v>
      </c>
      <c r="M176" s="75"/>
      <c r="N176" s="70"/>
      <c r="O176" s="77" t="s">
        <v>179</v>
      </c>
      <c r="P176" s="79">
        <v>45106.681250000001</v>
      </c>
      <c r="Q176" s="77" t="s">
        <v>1308</v>
      </c>
      <c r="R176" s="77">
        <v>0</v>
      </c>
      <c r="S176" s="77">
        <v>0</v>
      </c>
      <c r="T176" s="77">
        <v>0</v>
      </c>
      <c r="U176" s="77">
        <v>0</v>
      </c>
      <c r="V176" s="77">
        <v>12</v>
      </c>
      <c r="W176" s="82" t="s">
        <v>4171</v>
      </c>
      <c r="X176" s="77"/>
      <c r="Y176" s="77"/>
      <c r="Z176" s="77"/>
      <c r="AA176" s="77"/>
      <c r="AB176" s="77"/>
      <c r="AC176" s="82" t="s">
        <v>7706</v>
      </c>
      <c r="AD176" s="77" t="s">
        <v>7745</v>
      </c>
      <c r="AE176" s="80" t="str">
        <f>HYPERLINK("https://twitter.com/juliocrrf/status/1674452918420877318")</f>
        <v>https://twitter.com/juliocrrf/status/1674452918420877318</v>
      </c>
      <c r="AF176" s="79">
        <v>45106.681250000001</v>
      </c>
      <c r="AG176" s="85">
        <v>45106</v>
      </c>
      <c r="AH176" s="82" t="s">
        <v>7925</v>
      </c>
      <c r="AI176" s="77"/>
      <c r="AJ176" s="77"/>
      <c r="AK176" s="77"/>
      <c r="AL176" s="77"/>
      <c r="AM176" s="77"/>
      <c r="AN176" s="77"/>
      <c r="AO176" s="77"/>
      <c r="AP176" s="77"/>
      <c r="AQ176" s="77"/>
      <c r="AR176" s="77"/>
      <c r="AS176" s="77"/>
      <c r="AT176" s="77"/>
      <c r="AU176" s="77"/>
      <c r="AV176" s="80" t="str">
        <f>HYPERLINK("https://pbs.twimg.com/profile_images/1638555528002404354/zYyRgIoe_normal.jpg")</f>
        <v>https://pbs.twimg.com/profile_images/1638555528002404354/zYyRgIoe_normal.jpg</v>
      </c>
      <c r="AW176" s="82" t="s">
        <v>12372</v>
      </c>
      <c r="AX176" s="82" t="s">
        <v>12372</v>
      </c>
      <c r="AY176" s="77"/>
      <c r="AZ176" s="82" t="s">
        <v>15804</v>
      </c>
      <c r="BA176" s="82" t="s">
        <v>15804</v>
      </c>
      <c r="BB176" s="82" t="s">
        <v>15804</v>
      </c>
      <c r="BC176" s="82" t="s">
        <v>12372</v>
      </c>
      <c r="BD176" s="77">
        <v>4357245737</v>
      </c>
      <c r="BE176" s="77"/>
      <c r="BF176" s="77"/>
      <c r="BG176" s="77"/>
      <c r="BH176" s="77"/>
      <c r="BI176" s="77"/>
    </row>
    <row r="177" spans="1:61" x14ac:dyDescent="0.25">
      <c r="A177" s="62" t="s">
        <v>283</v>
      </c>
      <c r="B177" s="62" t="s">
        <v>283</v>
      </c>
      <c r="C177" s="63"/>
      <c r="D177" s="64"/>
      <c r="E177" s="65"/>
      <c r="F177" s="66"/>
      <c r="G177" s="63"/>
      <c r="H177" s="67"/>
      <c r="I177" s="68"/>
      <c r="J177" s="68"/>
      <c r="K177" s="32"/>
      <c r="L177" s="75">
        <v>177</v>
      </c>
      <c r="M177" s="75"/>
      <c r="N177" s="70"/>
      <c r="O177" s="77" t="s">
        <v>179</v>
      </c>
      <c r="P177" s="79">
        <v>45106.513194444444</v>
      </c>
      <c r="Q177" s="77" t="s">
        <v>1309</v>
      </c>
      <c r="R177" s="77">
        <v>0</v>
      </c>
      <c r="S177" s="77">
        <v>0</v>
      </c>
      <c r="T177" s="77">
        <v>0</v>
      </c>
      <c r="U177" s="77">
        <v>0</v>
      </c>
      <c r="V177" s="77">
        <v>12</v>
      </c>
      <c r="W177" s="82" t="s">
        <v>4172</v>
      </c>
      <c r="X177" s="77"/>
      <c r="Y177" s="77"/>
      <c r="Z177" s="77"/>
      <c r="AA177" s="77"/>
      <c r="AB177" s="77"/>
      <c r="AC177" s="82" t="s">
        <v>7706</v>
      </c>
      <c r="AD177" s="77" t="s">
        <v>7745</v>
      </c>
      <c r="AE177" s="80" t="str">
        <f>HYPERLINK("https://twitter.com/juliocrrf/status/1674392017206407174")</f>
        <v>https://twitter.com/juliocrrf/status/1674392017206407174</v>
      </c>
      <c r="AF177" s="79">
        <v>45106.513194444444</v>
      </c>
      <c r="AG177" s="85">
        <v>45106</v>
      </c>
      <c r="AH177" s="82" t="s">
        <v>7926</v>
      </c>
      <c r="AI177" s="77"/>
      <c r="AJ177" s="77"/>
      <c r="AK177" s="77"/>
      <c r="AL177" s="77"/>
      <c r="AM177" s="77"/>
      <c r="AN177" s="77"/>
      <c r="AO177" s="77"/>
      <c r="AP177" s="77"/>
      <c r="AQ177" s="77"/>
      <c r="AR177" s="77"/>
      <c r="AS177" s="77"/>
      <c r="AT177" s="77"/>
      <c r="AU177" s="77"/>
      <c r="AV177" s="80" t="str">
        <f>HYPERLINK("https://pbs.twimg.com/profile_images/1638555528002404354/zYyRgIoe_normal.jpg")</f>
        <v>https://pbs.twimg.com/profile_images/1638555528002404354/zYyRgIoe_normal.jpg</v>
      </c>
      <c r="AW177" s="82" t="s">
        <v>12373</v>
      </c>
      <c r="AX177" s="82" t="s">
        <v>12373</v>
      </c>
      <c r="AY177" s="77"/>
      <c r="AZ177" s="82" t="s">
        <v>15804</v>
      </c>
      <c r="BA177" s="82" t="s">
        <v>15804</v>
      </c>
      <c r="BB177" s="82" t="s">
        <v>15804</v>
      </c>
      <c r="BC177" s="82" t="s">
        <v>12373</v>
      </c>
      <c r="BD177" s="77">
        <v>4357245737</v>
      </c>
      <c r="BE177" s="77"/>
      <c r="BF177" s="77"/>
      <c r="BG177" s="77"/>
      <c r="BH177" s="77"/>
      <c r="BI177" s="77"/>
    </row>
    <row r="178" spans="1:61" x14ac:dyDescent="0.25">
      <c r="A178" s="62" t="s">
        <v>283</v>
      </c>
      <c r="B178" s="62" t="s">
        <v>283</v>
      </c>
      <c r="C178" s="63"/>
      <c r="D178" s="64"/>
      <c r="E178" s="65"/>
      <c r="F178" s="66"/>
      <c r="G178" s="63"/>
      <c r="H178" s="67"/>
      <c r="I178" s="68"/>
      <c r="J178" s="68"/>
      <c r="K178" s="32"/>
      <c r="L178" s="75">
        <v>178</v>
      </c>
      <c r="M178" s="75"/>
      <c r="N178" s="70"/>
      <c r="O178" s="77" t="s">
        <v>179</v>
      </c>
      <c r="P178" s="79">
        <v>45062.81181712963</v>
      </c>
      <c r="Q178" s="77" t="s">
        <v>1310</v>
      </c>
      <c r="R178" s="77">
        <v>0</v>
      </c>
      <c r="S178" s="77">
        <v>0</v>
      </c>
      <c r="T178" s="77">
        <v>0</v>
      </c>
      <c r="U178" s="77">
        <v>0</v>
      </c>
      <c r="V178" s="77">
        <v>29</v>
      </c>
      <c r="W178" s="82" t="s">
        <v>4173</v>
      </c>
      <c r="X178" s="77"/>
      <c r="Y178" s="77"/>
      <c r="Z178" s="77"/>
      <c r="AA178" s="77" t="s">
        <v>6246</v>
      </c>
      <c r="AB178" s="77" t="s">
        <v>7696</v>
      </c>
      <c r="AC178" s="82" t="s">
        <v>7706</v>
      </c>
      <c r="AD178" s="77" t="s">
        <v>7745</v>
      </c>
      <c r="AE178" s="80" t="str">
        <f>HYPERLINK("https://twitter.com/juliocrrf/status/1658555168005189632")</f>
        <v>https://twitter.com/juliocrrf/status/1658555168005189632</v>
      </c>
      <c r="AF178" s="79">
        <v>45062.81181712963</v>
      </c>
      <c r="AG178" s="85">
        <v>45062</v>
      </c>
      <c r="AH178" s="82" t="s">
        <v>7927</v>
      </c>
      <c r="AI178" s="77" t="b">
        <v>0</v>
      </c>
      <c r="AJ178" s="77"/>
      <c r="AK178" s="77"/>
      <c r="AL178" s="77"/>
      <c r="AM178" s="77"/>
      <c r="AN178" s="77"/>
      <c r="AO178" s="77"/>
      <c r="AP178" s="77"/>
      <c r="AQ178" s="77" t="s">
        <v>10753</v>
      </c>
      <c r="AR178" s="77"/>
      <c r="AS178" s="77"/>
      <c r="AT178" s="77"/>
      <c r="AU178" s="77"/>
      <c r="AV178" s="80" t="str">
        <f>HYPERLINK("https://pbs.twimg.com/media/FwRfDqZXgAIsFCz.jpg")</f>
        <v>https://pbs.twimg.com/media/FwRfDqZXgAIsFCz.jpg</v>
      </c>
      <c r="AW178" s="82" t="s">
        <v>12374</v>
      </c>
      <c r="AX178" s="82" t="s">
        <v>12374</v>
      </c>
      <c r="AY178" s="77"/>
      <c r="AZ178" s="82" t="s">
        <v>15804</v>
      </c>
      <c r="BA178" s="82" t="s">
        <v>15804</v>
      </c>
      <c r="BB178" s="82" t="s">
        <v>15804</v>
      </c>
      <c r="BC178" s="82" t="s">
        <v>12374</v>
      </c>
      <c r="BD178" s="77">
        <v>4357245737</v>
      </c>
      <c r="BE178" s="77"/>
      <c r="BF178" s="77"/>
      <c r="BG178" s="77"/>
      <c r="BH178" s="77"/>
      <c r="BI178" s="77"/>
    </row>
    <row r="179" spans="1:61" x14ac:dyDescent="0.25">
      <c r="A179" s="62" t="s">
        <v>283</v>
      </c>
      <c r="B179" s="62" t="s">
        <v>283</v>
      </c>
      <c r="C179" s="63"/>
      <c r="D179" s="64"/>
      <c r="E179" s="65"/>
      <c r="F179" s="66"/>
      <c r="G179" s="63"/>
      <c r="H179" s="67"/>
      <c r="I179" s="68"/>
      <c r="J179" s="68"/>
      <c r="K179" s="32"/>
      <c r="L179" s="75">
        <v>179</v>
      </c>
      <c r="M179" s="75"/>
      <c r="N179" s="70"/>
      <c r="O179" s="77" t="s">
        <v>179</v>
      </c>
      <c r="P179" s="79">
        <v>45108.917361111111</v>
      </c>
      <c r="Q179" s="77" t="s">
        <v>1311</v>
      </c>
      <c r="R179" s="77">
        <v>0</v>
      </c>
      <c r="S179" s="77">
        <v>1</v>
      </c>
      <c r="T179" s="77">
        <v>0</v>
      </c>
      <c r="U179" s="77">
        <v>0</v>
      </c>
      <c r="V179" s="77">
        <v>17</v>
      </c>
      <c r="W179" s="82" t="s">
        <v>4174</v>
      </c>
      <c r="X179" s="77"/>
      <c r="Y179" s="77"/>
      <c r="Z179" s="77"/>
      <c r="AA179" s="77"/>
      <c r="AB179" s="77"/>
      <c r="AC179" s="82" t="s">
        <v>7706</v>
      </c>
      <c r="AD179" s="77" t="s">
        <v>7745</v>
      </c>
      <c r="AE179" s="80" t="str">
        <f>HYPERLINK("https://twitter.com/juliocrrf/status/1675263258037727232")</f>
        <v>https://twitter.com/juliocrrf/status/1675263258037727232</v>
      </c>
      <c r="AF179" s="79">
        <v>45108.917361111111</v>
      </c>
      <c r="AG179" s="85">
        <v>45108</v>
      </c>
      <c r="AH179" s="82" t="s">
        <v>7928</v>
      </c>
      <c r="AI179" s="77"/>
      <c r="AJ179" s="77"/>
      <c r="AK179" s="77"/>
      <c r="AL179" s="77"/>
      <c r="AM179" s="77"/>
      <c r="AN179" s="77"/>
      <c r="AO179" s="77"/>
      <c r="AP179" s="77"/>
      <c r="AQ179" s="77"/>
      <c r="AR179" s="77"/>
      <c r="AS179" s="77"/>
      <c r="AT179" s="77"/>
      <c r="AU179" s="77"/>
      <c r="AV179" s="80" t="str">
        <f>HYPERLINK("https://pbs.twimg.com/profile_images/1638555528002404354/zYyRgIoe_normal.jpg")</f>
        <v>https://pbs.twimg.com/profile_images/1638555528002404354/zYyRgIoe_normal.jpg</v>
      </c>
      <c r="AW179" s="82" t="s">
        <v>12375</v>
      </c>
      <c r="AX179" s="82" t="s">
        <v>12375</v>
      </c>
      <c r="AY179" s="77"/>
      <c r="AZ179" s="82" t="s">
        <v>15804</v>
      </c>
      <c r="BA179" s="82" t="s">
        <v>15804</v>
      </c>
      <c r="BB179" s="82" t="s">
        <v>15804</v>
      </c>
      <c r="BC179" s="82" t="s">
        <v>12375</v>
      </c>
      <c r="BD179" s="77">
        <v>4357245737</v>
      </c>
      <c r="BE179" s="77"/>
      <c r="BF179" s="77"/>
      <c r="BG179" s="77"/>
      <c r="BH179" s="77"/>
      <c r="BI179" s="77"/>
    </row>
    <row r="180" spans="1:61" x14ac:dyDescent="0.25">
      <c r="A180" s="62" t="s">
        <v>283</v>
      </c>
      <c r="B180" s="62" t="s">
        <v>283</v>
      </c>
      <c r="C180" s="63"/>
      <c r="D180" s="64"/>
      <c r="E180" s="65"/>
      <c r="F180" s="66"/>
      <c r="G180" s="63"/>
      <c r="H180" s="67"/>
      <c r="I180" s="68"/>
      <c r="J180" s="68"/>
      <c r="K180" s="32"/>
      <c r="L180" s="75">
        <v>180</v>
      </c>
      <c r="M180" s="75"/>
      <c r="N180" s="70"/>
      <c r="O180" s="77" t="s">
        <v>179</v>
      </c>
      <c r="P180" s="79">
        <v>45108.666678240741</v>
      </c>
      <c r="Q180" s="77" t="s">
        <v>1312</v>
      </c>
      <c r="R180" s="77">
        <v>0</v>
      </c>
      <c r="S180" s="77">
        <v>0</v>
      </c>
      <c r="T180" s="77">
        <v>0</v>
      </c>
      <c r="U180" s="77">
        <v>0</v>
      </c>
      <c r="V180" s="77">
        <v>11</v>
      </c>
      <c r="W180" s="82" t="s">
        <v>4175</v>
      </c>
      <c r="X180" s="77"/>
      <c r="Y180" s="77"/>
      <c r="Z180" s="77"/>
      <c r="AA180" s="77"/>
      <c r="AB180" s="77"/>
      <c r="AC180" s="82" t="s">
        <v>7706</v>
      </c>
      <c r="AD180" s="77" t="s">
        <v>7745</v>
      </c>
      <c r="AE180" s="80" t="str">
        <f>HYPERLINK("https://twitter.com/juliocrrf/status/1675172413322014720")</f>
        <v>https://twitter.com/juliocrrf/status/1675172413322014720</v>
      </c>
      <c r="AF180" s="79">
        <v>45108.666678240741</v>
      </c>
      <c r="AG180" s="85">
        <v>45108</v>
      </c>
      <c r="AH180" s="82" t="s">
        <v>7922</v>
      </c>
      <c r="AI180" s="77"/>
      <c r="AJ180" s="77"/>
      <c r="AK180" s="77"/>
      <c r="AL180" s="77"/>
      <c r="AM180" s="77"/>
      <c r="AN180" s="77"/>
      <c r="AO180" s="77"/>
      <c r="AP180" s="77"/>
      <c r="AQ180" s="77"/>
      <c r="AR180" s="77"/>
      <c r="AS180" s="77"/>
      <c r="AT180" s="77"/>
      <c r="AU180" s="77"/>
      <c r="AV180" s="80" t="str">
        <f>HYPERLINK("https://pbs.twimg.com/profile_images/1638555528002404354/zYyRgIoe_normal.jpg")</f>
        <v>https://pbs.twimg.com/profile_images/1638555528002404354/zYyRgIoe_normal.jpg</v>
      </c>
      <c r="AW180" s="82" t="s">
        <v>12376</v>
      </c>
      <c r="AX180" s="82" t="s">
        <v>12376</v>
      </c>
      <c r="AY180" s="77"/>
      <c r="AZ180" s="82" t="s">
        <v>15804</v>
      </c>
      <c r="BA180" s="82" t="s">
        <v>15804</v>
      </c>
      <c r="BB180" s="82" t="s">
        <v>15804</v>
      </c>
      <c r="BC180" s="82" t="s">
        <v>12376</v>
      </c>
      <c r="BD180" s="77">
        <v>4357245737</v>
      </c>
      <c r="BE180" s="77"/>
      <c r="BF180" s="77"/>
      <c r="BG180" s="77"/>
      <c r="BH180" s="77"/>
      <c r="BI180" s="77"/>
    </row>
    <row r="181" spans="1:61" x14ac:dyDescent="0.25">
      <c r="A181" s="62" t="s">
        <v>283</v>
      </c>
      <c r="B181" s="62" t="s">
        <v>283</v>
      </c>
      <c r="C181" s="63"/>
      <c r="D181" s="64"/>
      <c r="E181" s="65"/>
      <c r="F181" s="66"/>
      <c r="G181" s="63"/>
      <c r="H181" s="67"/>
      <c r="I181" s="68"/>
      <c r="J181" s="68"/>
      <c r="K181" s="32"/>
      <c r="L181" s="75">
        <v>181</v>
      </c>
      <c r="M181" s="75"/>
      <c r="N181" s="70"/>
      <c r="O181" s="77" t="s">
        <v>179</v>
      </c>
      <c r="P181" s="79">
        <v>45110.482638888891</v>
      </c>
      <c r="Q181" s="77" t="s">
        <v>1313</v>
      </c>
      <c r="R181" s="77">
        <v>0</v>
      </c>
      <c r="S181" s="77">
        <v>0</v>
      </c>
      <c r="T181" s="77">
        <v>0</v>
      </c>
      <c r="U181" s="77">
        <v>0</v>
      </c>
      <c r="V181" s="77">
        <v>5</v>
      </c>
      <c r="W181" s="82" t="s">
        <v>4176</v>
      </c>
      <c r="X181" s="77"/>
      <c r="Y181" s="77"/>
      <c r="Z181" s="77"/>
      <c r="AA181" s="77"/>
      <c r="AB181" s="77"/>
      <c r="AC181" s="82" t="s">
        <v>7706</v>
      </c>
      <c r="AD181" s="77" t="s">
        <v>7745</v>
      </c>
      <c r="AE181" s="80" t="str">
        <f>HYPERLINK("https://twitter.com/juliocrrf/status/1675830495811100674")</f>
        <v>https://twitter.com/juliocrrf/status/1675830495811100674</v>
      </c>
      <c r="AF181" s="79">
        <v>45110.482638888891</v>
      </c>
      <c r="AG181" s="85">
        <v>45110</v>
      </c>
      <c r="AH181" s="82" t="s">
        <v>7929</v>
      </c>
      <c r="AI181" s="77"/>
      <c r="AJ181" s="77"/>
      <c r="AK181" s="77"/>
      <c r="AL181" s="77"/>
      <c r="AM181" s="77"/>
      <c r="AN181" s="77"/>
      <c r="AO181" s="77"/>
      <c r="AP181" s="77"/>
      <c r="AQ181" s="77"/>
      <c r="AR181" s="77"/>
      <c r="AS181" s="77"/>
      <c r="AT181" s="77"/>
      <c r="AU181" s="77"/>
      <c r="AV181" s="80" t="str">
        <f>HYPERLINK("https://pbs.twimg.com/profile_images/1638555528002404354/zYyRgIoe_normal.jpg")</f>
        <v>https://pbs.twimg.com/profile_images/1638555528002404354/zYyRgIoe_normal.jpg</v>
      </c>
      <c r="AW181" s="82" t="s">
        <v>12377</v>
      </c>
      <c r="AX181" s="82" t="s">
        <v>12377</v>
      </c>
      <c r="AY181" s="77"/>
      <c r="AZ181" s="82" t="s">
        <v>15804</v>
      </c>
      <c r="BA181" s="82" t="s">
        <v>15804</v>
      </c>
      <c r="BB181" s="82" t="s">
        <v>15804</v>
      </c>
      <c r="BC181" s="82" t="s">
        <v>12377</v>
      </c>
      <c r="BD181" s="77">
        <v>4357245737</v>
      </c>
      <c r="BE181" s="77"/>
      <c r="BF181" s="77"/>
      <c r="BG181" s="77"/>
      <c r="BH181" s="77"/>
      <c r="BI181" s="77"/>
    </row>
    <row r="182" spans="1:61" x14ac:dyDescent="0.25">
      <c r="A182" s="62" t="s">
        <v>283</v>
      </c>
      <c r="B182" s="62" t="s">
        <v>283</v>
      </c>
      <c r="C182" s="63"/>
      <c r="D182" s="64"/>
      <c r="E182" s="65"/>
      <c r="F182" s="66"/>
      <c r="G182" s="63"/>
      <c r="H182" s="67"/>
      <c r="I182" s="68"/>
      <c r="J182" s="68"/>
      <c r="K182" s="32"/>
      <c r="L182" s="75">
        <v>182</v>
      </c>
      <c r="M182" s="75"/>
      <c r="N182" s="70"/>
      <c r="O182" s="77" t="s">
        <v>179</v>
      </c>
      <c r="P182" s="79">
        <v>45109.919444444444</v>
      </c>
      <c r="Q182" s="77" t="s">
        <v>1314</v>
      </c>
      <c r="R182" s="77">
        <v>0</v>
      </c>
      <c r="S182" s="77">
        <v>0</v>
      </c>
      <c r="T182" s="77">
        <v>0</v>
      </c>
      <c r="U182" s="77">
        <v>0</v>
      </c>
      <c r="V182" s="77">
        <v>19</v>
      </c>
      <c r="W182" s="82" t="s">
        <v>4177</v>
      </c>
      <c r="X182" s="77"/>
      <c r="Y182" s="77"/>
      <c r="Z182" s="77"/>
      <c r="AA182" s="77"/>
      <c r="AB182" s="77"/>
      <c r="AC182" s="82" t="s">
        <v>7706</v>
      </c>
      <c r="AD182" s="77" t="s">
        <v>7745</v>
      </c>
      <c r="AE182" s="80" t="str">
        <f>HYPERLINK("https://twitter.com/juliocrrf/status/1675626401225900032")</f>
        <v>https://twitter.com/juliocrrf/status/1675626401225900032</v>
      </c>
      <c r="AF182" s="79">
        <v>45109.919444444444</v>
      </c>
      <c r="AG182" s="85">
        <v>45109</v>
      </c>
      <c r="AH182" s="82" t="s">
        <v>7930</v>
      </c>
      <c r="AI182" s="77"/>
      <c r="AJ182" s="77"/>
      <c r="AK182" s="77"/>
      <c r="AL182" s="77"/>
      <c r="AM182" s="77"/>
      <c r="AN182" s="77"/>
      <c r="AO182" s="77"/>
      <c r="AP182" s="77"/>
      <c r="AQ182" s="77"/>
      <c r="AR182" s="77"/>
      <c r="AS182" s="77"/>
      <c r="AT182" s="77"/>
      <c r="AU182" s="77"/>
      <c r="AV182" s="80" t="str">
        <f>HYPERLINK("https://pbs.twimg.com/profile_images/1638555528002404354/zYyRgIoe_normal.jpg")</f>
        <v>https://pbs.twimg.com/profile_images/1638555528002404354/zYyRgIoe_normal.jpg</v>
      </c>
      <c r="AW182" s="82" t="s">
        <v>12378</v>
      </c>
      <c r="AX182" s="82" t="s">
        <v>12378</v>
      </c>
      <c r="AY182" s="77"/>
      <c r="AZ182" s="82" t="s">
        <v>15804</v>
      </c>
      <c r="BA182" s="82" t="s">
        <v>15804</v>
      </c>
      <c r="BB182" s="82" t="s">
        <v>15804</v>
      </c>
      <c r="BC182" s="82" t="s">
        <v>12378</v>
      </c>
      <c r="BD182" s="77">
        <v>4357245737</v>
      </c>
      <c r="BE182" s="77"/>
      <c r="BF182" s="77"/>
      <c r="BG182" s="77"/>
      <c r="BH182" s="77"/>
      <c r="BI182" s="77"/>
    </row>
    <row r="183" spans="1:61" x14ac:dyDescent="0.25">
      <c r="A183" s="62" t="s">
        <v>283</v>
      </c>
      <c r="B183" s="62" t="s">
        <v>283</v>
      </c>
      <c r="C183" s="63"/>
      <c r="D183" s="64"/>
      <c r="E183" s="65"/>
      <c r="F183" s="66"/>
      <c r="G183" s="63"/>
      <c r="H183" s="67"/>
      <c r="I183" s="68"/>
      <c r="J183" s="68"/>
      <c r="K183" s="32"/>
      <c r="L183" s="75">
        <v>183</v>
      </c>
      <c r="M183" s="75"/>
      <c r="N183" s="70"/>
      <c r="O183" s="77" t="s">
        <v>179</v>
      </c>
      <c r="P183" s="79">
        <v>45109.666689814818</v>
      </c>
      <c r="Q183" s="77" t="s">
        <v>1315</v>
      </c>
      <c r="R183" s="77">
        <v>0</v>
      </c>
      <c r="S183" s="77">
        <v>0</v>
      </c>
      <c r="T183" s="77">
        <v>0</v>
      </c>
      <c r="U183" s="77">
        <v>0</v>
      </c>
      <c r="V183" s="77">
        <v>19</v>
      </c>
      <c r="W183" s="82" t="s">
        <v>4178</v>
      </c>
      <c r="X183" s="77"/>
      <c r="Y183" s="77"/>
      <c r="Z183" s="77"/>
      <c r="AA183" s="77"/>
      <c r="AB183" s="77"/>
      <c r="AC183" s="82" t="s">
        <v>7706</v>
      </c>
      <c r="AD183" s="77" t="s">
        <v>7745</v>
      </c>
      <c r="AE183" s="80" t="str">
        <f>HYPERLINK("https://twitter.com/juliocrrf/status/1675534805797093376")</f>
        <v>https://twitter.com/juliocrrf/status/1675534805797093376</v>
      </c>
      <c r="AF183" s="79">
        <v>45109.666689814818</v>
      </c>
      <c r="AG183" s="85">
        <v>45109</v>
      </c>
      <c r="AH183" s="82" t="s">
        <v>7931</v>
      </c>
      <c r="AI183" s="77"/>
      <c r="AJ183" s="77"/>
      <c r="AK183" s="77"/>
      <c r="AL183" s="77"/>
      <c r="AM183" s="77"/>
      <c r="AN183" s="77"/>
      <c r="AO183" s="77"/>
      <c r="AP183" s="77"/>
      <c r="AQ183" s="77"/>
      <c r="AR183" s="77"/>
      <c r="AS183" s="77"/>
      <c r="AT183" s="77"/>
      <c r="AU183" s="77"/>
      <c r="AV183" s="80" t="str">
        <f>HYPERLINK("https://pbs.twimg.com/profile_images/1638555528002404354/zYyRgIoe_normal.jpg")</f>
        <v>https://pbs.twimg.com/profile_images/1638555528002404354/zYyRgIoe_normal.jpg</v>
      </c>
      <c r="AW183" s="82" t="s">
        <v>12379</v>
      </c>
      <c r="AX183" s="82" t="s">
        <v>12379</v>
      </c>
      <c r="AY183" s="77"/>
      <c r="AZ183" s="82" t="s">
        <v>15804</v>
      </c>
      <c r="BA183" s="82" t="s">
        <v>15804</v>
      </c>
      <c r="BB183" s="82" t="s">
        <v>15804</v>
      </c>
      <c r="BC183" s="82" t="s">
        <v>12379</v>
      </c>
      <c r="BD183" s="77">
        <v>4357245737</v>
      </c>
      <c r="BE183" s="77"/>
      <c r="BF183" s="77"/>
      <c r="BG183" s="77"/>
      <c r="BH183" s="77"/>
      <c r="BI183" s="77"/>
    </row>
    <row r="184" spans="1:61" x14ac:dyDescent="0.25">
      <c r="A184" s="62" t="s">
        <v>283</v>
      </c>
      <c r="B184" s="62" t="s">
        <v>283</v>
      </c>
      <c r="C184" s="63"/>
      <c r="D184" s="64"/>
      <c r="E184" s="65"/>
      <c r="F184" s="66"/>
      <c r="G184" s="63"/>
      <c r="H184" s="67"/>
      <c r="I184" s="68"/>
      <c r="J184" s="68"/>
      <c r="K184" s="32"/>
      <c r="L184" s="75">
        <v>184</v>
      </c>
      <c r="M184" s="75"/>
      <c r="N184" s="70"/>
      <c r="O184" s="77" t="s">
        <v>179</v>
      </c>
      <c r="P184" s="79">
        <v>45109.479861111111</v>
      </c>
      <c r="Q184" s="77" t="s">
        <v>1316</v>
      </c>
      <c r="R184" s="77">
        <v>0</v>
      </c>
      <c r="S184" s="77">
        <v>0</v>
      </c>
      <c r="T184" s="77">
        <v>0</v>
      </c>
      <c r="U184" s="77">
        <v>0</v>
      </c>
      <c r="V184" s="77">
        <v>17</v>
      </c>
      <c r="W184" s="82" t="s">
        <v>4179</v>
      </c>
      <c r="X184" s="77"/>
      <c r="Y184" s="77"/>
      <c r="Z184" s="77"/>
      <c r="AA184" s="77"/>
      <c r="AB184" s="77"/>
      <c r="AC184" s="82" t="s">
        <v>7706</v>
      </c>
      <c r="AD184" s="77" t="s">
        <v>7745</v>
      </c>
      <c r="AE184" s="80" t="str">
        <f>HYPERLINK("https://twitter.com/juliocrrf/status/1675467101233094657")</f>
        <v>https://twitter.com/juliocrrf/status/1675467101233094657</v>
      </c>
      <c r="AF184" s="79">
        <v>45109.479861111111</v>
      </c>
      <c r="AG184" s="85">
        <v>45109</v>
      </c>
      <c r="AH184" s="82" t="s">
        <v>7932</v>
      </c>
      <c r="AI184" s="77"/>
      <c r="AJ184" s="77"/>
      <c r="AK184" s="77"/>
      <c r="AL184" s="77"/>
      <c r="AM184" s="77"/>
      <c r="AN184" s="77"/>
      <c r="AO184" s="77"/>
      <c r="AP184" s="77"/>
      <c r="AQ184" s="77"/>
      <c r="AR184" s="77"/>
      <c r="AS184" s="77"/>
      <c r="AT184" s="77"/>
      <c r="AU184" s="77"/>
      <c r="AV184" s="80" t="str">
        <f>HYPERLINK("https://pbs.twimg.com/profile_images/1638555528002404354/zYyRgIoe_normal.jpg")</f>
        <v>https://pbs.twimg.com/profile_images/1638555528002404354/zYyRgIoe_normal.jpg</v>
      </c>
      <c r="AW184" s="82" t="s">
        <v>12380</v>
      </c>
      <c r="AX184" s="82" t="s">
        <v>12380</v>
      </c>
      <c r="AY184" s="77"/>
      <c r="AZ184" s="82" t="s">
        <v>15804</v>
      </c>
      <c r="BA184" s="82" t="s">
        <v>15804</v>
      </c>
      <c r="BB184" s="82" t="s">
        <v>15804</v>
      </c>
      <c r="BC184" s="82" t="s">
        <v>12380</v>
      </c>
      <c r="BD184" s="77">
        <v>4357245737</v>
      </c>
      <c r="BE184" s="77"/>
      <c r="BF184" s="77"/>
      <c r="BG184" s="77"/>
      <c r="BH184" s="77"/>
      <c r="BI184" s="77"/>
    </row>
    <row r="185" spans="1:61" x14ac:dyDescent="0.25">
      <c r="A185" s="62" t="s">
        <v>283</v>
      </c>
      <c r="B185" s="62" t="s">
        <v>283</v>
      </c>
      <c r="C185" s="63"/>
      <c r="D185" s="64"/>
      <c r="E185" s="65"/>
      <c r="F185" s="66"/>
      <c r="G185" s="63"/>
      <c r="H185" s="67"/>
      <c r="I185" s="68"/>
      <c r="J185" s="68"/>
      <c r="K185" s="32"/>
      <c r="L185" s="75">
        <v>185</v>
      </c>
      <c r="M185" s="75"/>
      <c r="N185" s="70"/>
      <c r="O185" s="77" t="s">
        <v>179</v>
      </c>
      <c r="P185" s="79">
        <v>45105.928472222222</v>
      </c>
      <c r="Q185" s="77" t="s">
        <v>1317</v>
      </c>
      <c r="R185" s="77">
        <v>0</v>
      </c>
      <c r="S185" s="77">
        <v>0</v>
      </c>
      <c r="T185" s="77">
        <v>0</v>
      </c>
      <c r="U185" s="77">
        <v>0</v>
      </c>
      <c r="V185" s="77">
        <v>13</v>
      </c>
      <c r="W185" s="82" t="s">
        <v>4180</v>
      </c>
      <c r="X185" s="77"/>
      <c r="Y185" s="77"/>
      <c r="Z185" s="77"/>
      <c r="AA185" s="77"/>
      <c r="AB185" s="77"/>
      <c r="AC185" s="82" t="s">
        <v>7706</v>
      </c>
      <c r="AD185" s="77" t="s">
        <v>7745</v>
      </c>
      <c r="AE185" s="80" t="str">
        <f>HYPERLINK("https://twitter.com/juliocrrf/status/1674180120783867911")</f>
        <v>https://twitter.com/juliocrrf/status/1674180120783867911</v>
      </c>
      <c r="AF185" s="79">
        <v>45105.928472222222</v>
      </c>
      <c r="AG185" s="85">
        <v>45105</v>
      </c>
      <c r="AH185" s="82" t="s">
        <v>7933</v>
      </c>
      <c r="AI185" s="77"/>
      <c r="AJ185" s="77"/>
      <c r="AK185" s="77"/>
      <c r="AL185" s="77"/>
      <c r="AM185" s="77"/>
      <c r="AN185" s="77"/>
      <c r="AO185" s="77"/>
      <c r="AP185" s="77"/>
      <c r="AQ185" s="77"/>
      <c r="AR185" s="77"/>
      <c r="AS185" s="77"/>
      <c r="AT185" s="77"/>
      <c r="AU185" s="77"/>
      <c r="AV185" s="80" t="str">
        <f>HYPERLINK("https://pbs.twimg.com/profile_images/1638555528002404354/zYyRgIoe_normal.jpg")</f>
        <v>https://pbs.twimg.com/profile_images/1638555528002404354/zYyRgIoe_normal.jpg</v>
      </c>
      <c r="AW185" s="82" t="s">
        <v>12381</v>
      </c>
      <c r="AX185" s="82" t="s">
        <v>12381</v>
      </c>
      <c r="AY185" s="77"/>
      <c r="AZ185" s="82" t="s">
        <v>15804</v>
      </c>
      <c r="BA185" s="82" t="s">
        <v>15804</v>
      </c>
      <c r="BB185" s="82" t="s">
        <v>15804</v>
      </c>
      <c r="BC185" s="82" t="s">
        <v>12381</v>
      </c>
      <c r="BD185" s="77">
        <v>4357245737</v>
      </c>
      <c r="BE185" s="77"/>
      <c r="BF185" s="77"/>
      <c r="BG185" s="77"/>
      <c r="BH185" s="77"/>
      <c r="BI185" s="77"/>
    </row>
    <row r="186" spans="1:61" x14ac:dyDescent="0.25">
      <c r="A186" s="62" t="s">
        <v>283</v>
      </c>
      <c r="B186" s="62" t="s">
        <v>283</v>
      </c>
      <c r="C186" s="63"/>
      <c r="D186" s="64"/>
      <c r="E186" s="65"/>
      <c r="F186" s="66"/>
      <c r="G186" s="63"/>
      <c r="H186" s="67"/>
      <c r="I186" s="68"/>
      <c r="J186" s="68"/>
      <c r="K186" s="32"/>
      <c r="L186" s="75">
        <v>186</v>
      </c>
      <c r="M186" s="75"/>
      <c r="N186" s="70"/>
      <c r="O186" s="77" t="s">
        <v>179</v>
      </c>
      <c r="P186" s="79">
        <v>45105.677777777775</v>
      </c>
      <c r="Q186" s="77" t="s">
        <v>1318</v>
      </c>
      <c r="R186" s="77">
        <v>0</v>
      </c>
      <c r="S186" s="77">
        <v>0</v>
      </c>
      <c r="T186" s="77">
        <v>0</v>
      </c>
      <c r="U186" s="77">
        <v>0</v>
      </c>
      <c r="V186" s="77">
        <v>12</v>
      </c>
      <c r="W186" s="82" t="s">
        <v>4181</v>
      </c>
      <c r="X186" s="77"/>
      <c r="Y186" s="77"/>
      <c r="Z186" s="77"/>
      <c r="AA186" s="77"/>
      <c r="AB186" s="77"/>
      <c r="AC186" s="82" t="s">
        <v>7706</v>
      </c>
      <c r="AD186" s="77" t="s">
        <v>7745</v>
      </c>
      <c r="AE186" s="80" t="str">
        <f>HYPERLINK("https://twitter.com/juliocrrf/status/1674089272666619908")</f>
        <v>https://twitter.com/juliocrrf/status/1674089272666619908</v>
      </c>
      <c r="AF186" s="79">
        <v>45105.677777777775</v>
      </c>
      <c r="AG186" s="85">
        <v>45105</v>
      </c>
      <c r="AH186" s="82" t="s">
        <v>7934</v>
      </c>
      <c r="AI186" s="77"/>
      <c r="AJ186" s="77"/>
      <c r="AK186" s="77"/>
      <c r="AL186" s="77"/>
      <c r="AM186" s="77"/>
      <c r="AN186" s="77"/>
      <c r="AO186" s="77"/>
      <c r="AP186" s="77"/>
      <c r="AQ186" s="77"/>
      <c r="AR186" s="77"/>
      <c r="AS186" s="77"/>
      <c r="AT186" s="77"/>
      <c r="AU186" s="77"/>
      <c r="AV186" s="80" t="str">
        <f>HYPERLINK("https://pbs.twimg.com/profile_images/1638555528002404354/zYyRgIoe_normal.jpg")</f>
        <v>https://pbs.twimg.com/profile_images/1638555528002404354/zYyRgIoe_normal.jpg</v>
      </c>
      <c r="AW186" s="82" t="s">
        <v>12382</v>
      </c>
      <c r="AX186" s="82" t="s">
        <v>12382</v>
      </c>
      <c r="AY186" s="77"/>
      <c r="AZ186" s="82" t="s">
        <v>15804</v>
      </c>
      <c r="BA186" s="82" t="s">
        <v>15804</v>
      </c>
      <c r="BB186" s="82" t="s">
        <v>15804</v>
      </c>
      <c r="BC186" s="82" t="s">
        <v>12382</v>
      </c>
      <c r="BD186" s="77">
        <v>4357245737</v>
      </c>
      <c r="BE186" s="77"/>
      <c r="BF186" s="77"/>
      <c r="BG186" s="77"/>
      <c r="BH186" s="77"/>
      <c r="BI186" s="77"/>
    </row>
    <row r="187" spans="1:61" x14ac:dyDescent="0.25">
      <c r="A187" s="62" t="s">
        <v>283</v>
      </c>
      <c r="B187" s="62" t="s">
        <v>283</v>
      </c>
      <c r="C187" s="63"/>
      <c r="D187" s="64"/>
      <c r="E187" s="65"/>
      <c r="F187" s="66"/>
      <c r="G187" s="63"/>
      <c r="H187" s="67"/>
      <c r="I187" s="68"/>
      <c r="J187" s="68"/>
      <c r="K187" s="32"/>
      <c r="L187" s="75">
        <v>187</v>
      </c>
      <c r="M187" s="75"/>
      <c r="N187" s="70"/>
      <c r="O187" s="77" t="s">
        <v>179</v>
      </c>
      <c r="P187" s="79">
        <v>45105.509722222225</v>
      </c>
      <c r="Q187" s="77" t="s">
        <v>1319</v>
      </c>
      <c r="R187" s="77">
        <v>0</v>
      </c>
      <c r="S187" s="77">
        <v>0</v>
      </c>
      <c r="T187" s="77">
        <v>0</v>
      </c>
      <c r="U187" s="77">
        <v>0</v>
      </c>
      <c r="V187" s="77">
        <v>9</v>
      </c>
      <c r="W187" s="82" t="s">
        <v>4182</v>
      </c>
      <c r="X187" s="77"/>
      <c r="Y187" s="77"/>
      <c r="Z187" s="77"/>
      <c r="AA187" s="77"/>
      <c r="AB187" s="77"/>
      <c r="AC187" s="82" t="s">
        <v>7706</v>
      </c>
      <c r="AD187" s="77" t="s">
        <v>7745</v>
      </c>
      <c r="AE187" s="80" t="str">
        <f>HYPERLINK("https://twitter.com/juliocrrf/status/1674028371070558208")</f>
        <v>https://twitter.com/juliocrrf/status/1674028371070558208</v>
      </c>
      <c r="AF187" s="79">
        <v>45105.509722222225</v>
      </c>
      <c r="AG187" s="85">
        <v>45105</v>
      </c>
      <c r="AH187" s="82" t="s">
        <v>7935</v>
      </c>
      <c r="AI187" s="77"/>
      <c r="AJ187" s="77"/>
      <c r="AK187" s="77"/>
      <c r="AL187" s="77"/>
      <c r="AM187" s="77"/>
      <c r="AN187" s="77"/>
      <c r="AO187" s="77"/>
      <c r="AP187" s="77"/>
      <c r="AQ187" s="77"/>
      <c r="AR187" s="77"/>
      <c r="AS187" s="77"/>
      <c r="AT187" s="77"/>
      <c r="AU187" s="77"/>
      <c r="AV187" s="80" t="str">
        <f>HYPERLINK("https://pbs.twimg.com/profile_images/1638555528002404354/zYyRgIoe_normal.jpg")</f>
        <v>https://pbs.twimg.com/profile_images/1638555528002404354/zYyRgIoe_normal.jpg</v>
      </c>
      <c r="AW187" s="82" t="s">
        <v>12383</v>
      </c>
      <c r="AX187" s="82" t="s">
        <v>12383</v>
      </c>
      <c r="AY187" s="77"/>
      <c r="AZ187" s="82" t="s">
        <v>15804</v>
      </c>
      <c r="BA187" s="82" t="s">
        <v>15804</v>
      </c>
      <c r="BB187" s="82" t="s">
        <v>15804</v>
      </c>
      <c r="BC187" s="82" t="s">
        <v>12383</v>
      </c>
      <c r="BD187" s="77">
        <v>4357245737</v>
      </c>
      <c r="BE187" s="77"/>
      <c r="BF187" s="77"/>
      <c r="BG187" s="77"/>
      <c r="BH187" s="77"/>
      <c r="BI187" s="77"/>
    </row>
    <row r="188" spans="1:61" x14ac:dyDescent="0.25">
      <c r="A188" s="62" t="s">
        <v>283</v>
      </c>
      <c r="B188" s="62" t="s">
        <v>283</v>
      </c>
      <c r="C188" s="63"/>
      <c r="D188" s="64"/>
      <c r="E188" s="65"/>
      <c r="F188" s="66"/>
      <c r="G188" s="63"/>
      <c r="H188" s="67"/>
      <c r="I188" s="68"/>
      <c r="J188" s="68"/>
      <c r="K188" s="32"/>
      <c r="L188" s="75">
        <v>188</v>
      </c>
      <c r="M188" s="75"/>
      <c r="N188" s="70"/>
      <c r="O188" s="77" t="s">
        <v>179</v>
      </c>
      <c r="P188" s="79">
        <v>45089.019525462965</v>
      </c>
      <c r="Q188" s="77" t="s">
        <v>1320</v>
      </c>
      <c r="R188" s="77">
        <v>0</v>
      </c>
      <c r="S188" s="77">
        <v>0</v>
      </c>
      <c r="T188" s="77">
        <v>0</v>
      </c>
      <c r="U188" s="77">
        <v>0</v>
      </c>
      <c r="V188" s="77">
        <v>31</v>
      </c>
      <c r="W188" s="82" t="s">
        <v>4149</v>
      </c>
      <c r="X188" s="77"/>
      <c r="Y188" s="77"/>
      <c r="Z188" s="77"/>
      <c r="AA188" s="77" t="s">
        <v>6247</v>
      </c>
      <c r="AB188" s="77" t="s">
        <v>7696</v>
      </c>
      <c r="AC188" s="82" t="s">
        <v>7706</v>
      </c>
      <c r="AD188" s="77" t="s">
        <v>7745</v>
      </c>
      <c r="AE188" s="80" t="str">
        <f>HYPERLINK("https://twitter.com/juliocrrf/status/1668052524476014592")</f>
        <v>https://twitter.com/juliocrrf/status/1668052524476014592</v>
      </c>
      <c r="AF188" s="79">
        <v>45089.019525462965</v>
      </c>
      <c r="AG188" s="85">
        <v>45089</v>
      </c>
      <c r="AH188" s="82" t="s">
        <v>7936</v>
      </c>
      <c r="AI188" s="77" t="b">
        <v>0</v>
      </c>
      <c r="AJ188" s="77"/>
      <c r="AK188" s="77"/>
      <c r="AL188" s="77"/>
      <c r="AM188" s="77"/>
      <c r="AN188" s="77"/>
      <c r="AO188" s="77"/>
      <c r="AP188" s="77"/>
      <c r="AQ188" s="77" t="s">
        <v>10754</v>
      </c>
      <c r="AR188" s="77"/>
      <c r="AS188" s="77"/>
      <c r="AT188" s="77"/>
      <c r="AU188" s="77"/>
      <c r="AV188" s="80" t="str">
        <f>HYPERLINK("https://pbs.twimg.com/media/FyYc6mRWAAc2Ith.jpg")</f>
        <v>https://pbs.twimg.com/media/FyYc6mRWAAc2Ith.jpg</v>
      </c>
      <c r="AW188" s="82" t="s">
        <v>12384</v>
      </c>
      <c r="AX188" s="82" t="s">
        <v>12384</v>
      </c>
      <c r="AY188" s="77"/>
      <c r="AZ188" s="82" t="s">
        <v>15804</v>
      </c>
      <c r="BA188" s="82" t="s">
        <v>15804</v>
      </c>
      <c r="BB188" s="82" t="s">
        <v>15804</v>
      </c>
      <c r="BC188" s="82" t="s">
        <v>12384</v>
      </c>
      <c r="BD188" s="77">
        <v>4357245737</v>
      </c>
      <c r="BE188" s="77"/>
      <c r="BF188" s="77"/>
      <c r="BG188" s="77"/>
      <c r="BH188" s="77"/>
      <c r="BI188" s="77"/>
    </row>
    <row r="189" spans="1:61" x14ac:dyDescent="0.25">
      <c r="A189" s="62" t="s">
        <v>284</v>
      </c>
      <c r="B189" s="62" t="s">
        <v>284</v>
      </c>
      <c r="C189" s="63"/>
      <c r="D189" s="64"/>
      <c r="E189" s="65"/>
      <c r="F189" s="66"/>
      <c r="G189" s="63"/>
      <c r="H189" s="67"/>
      <c r="I189" s="68"/>
      <c r="J189" s="68"/>
      <c r="K189" s="32"/>
      <c r="L189" s="75">
        <v>189</v>
      </c>
      <c r="M189" s="75"/>
      <c r="N189" s="70"/>
      <c r="O189" s="77" t="s">
        <v>179</v>
      </c>
      <c r="P189" s="79">
        <v>44929.113634259258</v>
      </c>
      <c r="Q189" s="77" t="s">
        <v>1321</v>
      </c>
      <c r="R189" s="77">
        <v>0</v>
      </c>
      <c r="S189" s="77">
        <v>1</v>
      </c>
      <c r="T189" s="77">
        <v>0</v>
      </c>
      <c r="U189" s="77">
        <v>0</v>
      </c>
      <c r="V189" s="77">
        <v>27</v>
      </c>
      <c r="W189" s="82" t="s">
        <v>4183</v>
      </c>
      <c r="X189" s="77"/>
      <c r="Y189" s="77"/>
      <c r="Z189" s="77"/>
      <c r="AA189" s="77"/>
      <c r="AB189" s="77"/>
      <c r="AC189" s="82" t="s">
        <v>7706</v>
      </c>
      <c r="AD189" s="77" t="s">
        <v>7745</v>
      </c>
      <c r="AE189" s="80" t="str">
        <f>HYPERLINK("https://twitter.com/michellefuly/status/1610104571237486592")</f>
        <v>https://twitter.com/michellefuly/status/1610104571237486592</v>
      </c>
      <c r="AF189" s="79">
        <v>44929.113634259258</v>
      </c>
      <c r="AG189" s="85">
        <v>44929</v>
      </c>
      <c r="AH189" s="82" t="s">
        <v>7937</v>
      </c>
      <c r="AI189" s="77"/>
      <c r="AJ189" s="77"/>
      <c r="AK189" s="77"/>
      <c r="AL189" s="77"/>
      <c r="AM189" s="77"/>
      <c r="AN189" s="77"/>
      <c r="AO189" s="77"/>
      <c r="AP189" s="77"/>
      <c r="AQ189" s="77"/>
      <c r="AR189" s="77"/>
      <c r="AS189" s="77"/>
      <c r="AT189" s="77"/>
      <c r="AU189" s="77"/>
      <c r="AV189" s="80" t="str">
        <f>HYPERLINK("https://pbs.twimg.com/profile_images/1592170946172968965/ShMJZR5u_normal.jpg")</f>
        <v>https://pbs.twimg.com/profile_images/1592170946172968965/ShMJZR5u_normal.jpg</v>
      </c>
      <c r="AW189" s="82" t="s">
        <v>12385</v>
      </c>
      <c r="AX189" s="82" t="s">
        <v>12385</v>
      </c>
      <c r="AY189" s="77"/>
      <c r="AZ189" s="82" t="s">
        <v>15804</v>
      </c>
      <c r="BA189" s="82" t="s">
        <v>15804</v>
      </c>
      <c r="BB189" s="82" t="s">
        <v>15804</v>
      </c>
      <c r="BC189" s="82" t="s">
        <v>12385</v>
      </c>
      <c r="BD189" s="77">
        <v>69338789</v>
      </c>
      <c r="BE189" s="77"/>
      <c r="BF189" s="77"/>
      <c r="BG189" s="77"/>
      <c r="BH189" s="77"/>
      <c r="BI189" s="77"/>
    </row>
    <row r="190" spans="1:61" x14ac:dyDescent="0.25">
      <c r="A190" s="62" t="s">
        <v>285</v>
      </c>
      <c r="B190" s="62" t="s">
        <v>1056</v>
      </c>
      <c r="C190" s="63"/>
      <c r="D190" s="64"/>
      <c r="E190" s="65"/>
      <c r="F190" s="66"/>
      <c r="G190" s="63"/>
      <c r="H190" s="67"/>
      <c r="I190" s="68"/>
      <c r="J190" s="68"/>
      <c r="K190" s="32"/>
      <c r="L190" s="75">
        <v>190</v>
      </c>
      <c r="M190" s="75"/>
      <c r="N190" s="70"/>
      <c r="O190" s="77" t="s">
        <v>1133</v>
      </c>
      <c r="P190" s="79">
        <v>44986.646412037036</v>
      </c>
      <c r="Q190" s="77" t="s">
        <v>1322</v>
      </c>
      <c r="R190" s="77">
        <v>0</v>
      </c>
      <c r="S190" s="77">
        <v>0</v>
      </c>
      <c r="T190" s="77">
        <v>0</v>
      </c>
      <c r="U190" s="77">
        <v>0</v>
      </c>
      <c r="V190" s="77">
        <v>98</v>
      </c>
      <c r="W190" s="82" t="s">
        <v>4184</v>
      </c>
      <c r="X190" s="77"/>
      <c r="Y190" s="77"/>
      <c r="Z190" s="77" t="s">
        <v>1056</v>
      </c>
      <c r="AA190" s="77"/>
      <c r="AB190" s="77"/>
      <c r="AC190" s="82" t="s">
        <v>7705</v>
      </c>
      <c r="AD190" s="77" t="s">
        <v>7745</v>
      </c>
      <c r="AE190" s="80" t="str">
        <f>HYPERLINK("https://twitter.com/jeelimajorge/status/1630953749349818369")</f>
        <v>https://twitter.com/jeelimajorge/status/1630953749349818369</v>
      </c>
      <c r="AF190" s="79">
        <v>44986.646412037036</v>
      </c>
      <c r="AG190" s="85">
        <v>44986</v>
      </c>
      <c r="AH190" s="82" t="s">
        <v>7938</v>
      </c>
      <c r="AI190" s="77"/>
      <c r="AJ190" s="77"/>
      <c r="AK190" s="77"/>
      <c r="AL190" s="77"/>
      <c r="AM190" s="77"/>
      <c r="AN190" s="77"/>
      <c r="AO190" s="77"/>
      <c r="AP190" s="77"/>
      <c r="AQ190" s="77"/>
      <c r="AR190" s="77"/>
      <c r="AS190" s="77"/>
      <c r="AT190" s="77"/>
      <c r="AU190" s="77"/>
      <c r="AV190" s="80" t="str">
        <f>HYPERLINK("https://pbs.twimg.com/profile_images/1601727135193989121/we9QFsJw_normal.jpg")</f>
        <v>https://pbs.twimg.com/profile_images/1601727135193989121/we9QFsJw_normal.jpg</v>
      </c>
      <c r="AW190" s="82" t="s">
        <v>12386</v>
      </c>
      <c r="AX190" s="82" t="s">
        <v>12386</v>
      </c>
      <c r="AY190" s="77"/>
      <c r="AZ190" s="82" t="s">
        <v>15804</v>
      </c>
      <c r="BA190" s="82" t="s">
        <v>15804</v>
      </c>
      <c r="BB190" s="82" t="s">
        <v>15804</v>
      </c>
      <c r="BC190" s="82" t="s">
        <v>12386</v>
      </c>
      <c r="BD190" s="82" t="s">
        <v>16173</v>
      </c>
      <c r="BE190" s="77"/>
      <c r="BF190" s="77"/>
      <c r="BG190" s="77"/>
      <c r="BH190" s="77"/>
      <c r="BI190" s="77"/>
    </row>
    <row r="191" spans="1:61" x14ac:dyDescent="0.25">
      <c r="A191" s="62" t="s">
        <v>286</v>
      </c>
      <c r="B191" s="62" t="s">
        <v>286</v>
      </c>
      <c r="C191" s="63"/>
      <c r="D191" s="64"/>
      <c r="E191" s="65"/>
      <c r="F191" s="66"/>
      <c r="G191" s="63"/>
      <c r="H191" s="67"/>
      <c r="I191" s="68"/>
      <c r="J191" s="68"/>
      <c r="K191" s="32"/>
      <c r="L191" s="75">
        <v>191</v>
      </c>
      <c r="M191" s="75"/>
      <c r="N191" s="70"/>
      <c r="O191" s="77" t="s">
        <v>1132</v>
      </c>
      <c r="P191" s="79">
        <v>45175.059884259259</v>
      </c>
      <c r="Q191" s="77" t="s">
        <v>1323</v>
      </c>
      <c r="R191" s="77">
        <v>0</v>
      </c>
      <c r="S191" s="77">
        <v>1</v>
      </c>
      <c r="T191" s="77">
        <v>0</v>
      </c>
      <c r="U191" s="77">
        <v>0</v>
      </c>
      <c r="V191" s="77">
        <v>35</v>
      </c>
      <c r="W191" s="82" t="s">
        <v>4185</v>
      </c>
      <c r="X191" s="77"/>
      <c r="Y191" s="77"/>
      <c r="Z191" s="77"/>
      <c r="AA191" s="77"/>
      <c r="AB191" s="77"/>
      <c r="AC191" s="82" t="s">
        <v>7705</v>
      </c>
      <c r="AD191" s="77" t="s">
        <v>7745</v>
      </c>
      <c r="AE191" s="80" t="str">
        <f>HYPERLINK("https://twitter.com/barbainveste/status/1699232508775137693")</f>
        <v>https://twitter.com/barbainveste/status/1699232508775137693</v>
      </c>
      <c r="AF191" s="79">
        <v>45175.059884259259</v>
      </c>
      <c r="AG191" s="85">
        <v>45175</v>
      </c>
      <c r="AH191" s="82" t="s">
        <v>7939</v>
      </c>
      <c r="AI191" s="77"/>
      <c r="AJ191" s="77"/>
      <c r="AK191" s="77"/>
      <c r="AL191" s="77"/>
      <c r="AM191" s="77"/>
      <c r="AN191" s="77"/>
      <c r="AO191" s="77"/>
      <c r="AP191" s="77"/>
      <c r="AQ191" s="77"/>
      <c r="AR191" s="77"/>
      <c r="AS191" s="77"/>
      <c r="AT191" s="77"/>
      <c r="AU191" s="77"/>
      <c r="AV191" s="80" t="str">
        <f>HYPERLINK("https://pbs.twimg.com/profile_images/1696175739609972736/tgzOBZ_P_normal.jpg")</f>
        <v>https://pbs.twimg.com/profile_images/1696175739609972736/tgzOBZ_P_normal.jpg</v>
      </c>
      <c r="AW191" s="82" t="s">
        <v>12387</v>
      </c>
      <c r="AX191" s="82" t="s">
        <v>15230</v>
      </c>
      <c r="AY191" s="82" t="s">
        <v>15681</v>
      </c>
      <c r="AZ191" s="82" t="s">
        <v>15810</v>
      </c>
      <c r="BA191" s="82" t="s">
        <v>15804</v>
      </c>
      <c r="BB191" s="82" t="s">
        <v>15804</v>
      </c>
      <c r="BC191" s="82" t="s">
        <v>15810</v>
      </c>
      <c r="BD191" s="82" t="s">
        <v>15681</v>
      </c>
      <c r="BE191" s="77"/>
      <c r="BF191" s="77"/>
      <c r="BG191" s="77"/>
      <c r="BH191" s="77"/>
      <c r="BI191" s="77"/>
    </row>
    <row r="192" spans="1:61" x14ac:dyDescent="0.25">
      <c r="A192" s="62" t="s">
        <v>287</v>
      </c>
      <c r="B192" s="62" t="s">
        <v>810</v>
      </c>
      <c r="C192" s="63"/>
      <c r="D192" s="64"/>
      <c r="E192" s="65"/>
      <c r="F192" s="66"/>
      <c r="G192" s="63"/>
      <c r="H192" s="67"/>
      <c r="I192" s="68"/>
      <c r="J192" s="68"/>
      <c r="K192" s="32"/>
      <c r="L192" s="75">
        <v>192</v>
      </c>
      <c r="M192" s="75"/>
      <c r="N192" s="70"/>
      <c r="O192" s="77" t="s">
        <v>1135</v>
      </c>
      <c r="P192" s="79">
        <v>44972.266122685185</v>
      </c>
      <c r="Q192" s="77" t="s">
        <v>1324</v>
      </c>
      <c r="R192" s="77">
        <v>0</v>
      </c>
      <c r="S192" s="77">
        <v>26</v>
      </c>
      <c r="T192" s="77">
        <v>5</v>
      </c>
      <c r="U192" s="77">
        <v>0</v>
      </c>
      <c r="V192" s="77">
        <v>1661</v>
      </c>
      <c r="W192" s="82" t="s">
        <v>4186</v>
      </c>
      <c r="X192" s="77"/>
      <c r="Y192" s="77"/>
      <c r="Z192" s="77"/>
      <c r="AA192" s="77"/>
      <c r="AB192" s="77"/>
      <c r="AC192" s="82" t="s">
        <v>7705</v>
      </c>
      <c r="AD192" s="77" t="s">
        <v>7745</v>
      </c>
      <c r="AE192" s="80" t="str">
        <f>HYPERLINK("https://twitter.com/salumc/status/1625742507899502592")</f>
        <v>https://twitter.com/salumc/status/1625742507899502592</v>
      </c>
      <c r="AF192" s="79">
        <v>44972.266122685185</v>
      </c>
      <c r="AG192" s="85">
        <v>44972</v>
      </c>
      <c r="AH192" s="82" t="s">
        <v>7940</v>
      </c>
      <c r="AI192" s="77"/>
      <c r="AJ192" s="77"/>
      <c r="AK192" s="77"/>
      <c r="AL192" s="77"/>
      <c r="AM192" s="77"/>
      <c r="AN192" s="77"/>
      <c r="AO192" s="77"/>
      <c r="AP192" s="77"/>
      <c r="AQ192" s="77"/>
      <c r="AR192" s="77"/>
      <c r="AS192" s="77"/>
      <c r="AT192" s="77"/>
      <c r="AU192" s="77"/>
      <c r="AV192" s="80" t="str">
        <f>HYPERLINK("https://pbs.twimg.com/profile_images/1613964014601785344/62OkrCU7_normal.jpg")</f>
        <v>https://pbs.twimg.com/profile_images/1613964014601785344/62OkrCU7_normal.jpg</v>
      </c>
      <c r="AW192" s="82" t="s">
        <v>12388</v>
      </c>
      <c r="AX192" s="82" t="s">
        <v>12388</v>
      </c>
      <c r="AY192" s="77"/>
      <c r="AZ192" s="82" t="s">
        <v>15804</v>
      </c>
      <c r="BA192" s="82" t="s">
        <v>13952</v>
      </c>
      <c r="BB192" s="82" t="s">
        <v>15804</v>
      </c>
      <c r="BC192" s="82" t="s">
        <v>13952</v>
      </c>
      <c r="BD192" s="77">
        <v>67855114</v>
      </c>
      <c r="BE192" s="77"/>
      <c r="BF192" s="77"/>
      <c r="BG192" s="77"/>
      <c r="BH192" s="77"/>
      <c r="BI192" s="77"/>
    </row>
    <row r="193" spans="1:61" x14ac:dyDescent="0.25">
      <c r="A193" s="62" t="s">
        <v>287</v>
      </c>
      <c r="B193" s="62" t="s">
        <v>287</v>
      </c>
      <c r="C193" s="63"/>
      <c r="D193" s="64"/>
      <c r="E193" s="65"/>
      <c r="F193" s="66"/>
      <c r="G193" s="63"/>
      <c r="H193" s="67"/>
      <c r="I193" s="68"/>
      <c r="J193" s="68"/>
      <c r="K193" s="32"/>
      <c r="L193" s="75">
        <v>193</v>
      </c>
      <c r="M193" s="75"/>
      <c r="N193" s="70"/>
      <c r="O193" s="77" t="s">
        <v>1132</v>
      </c>
      <c r="P193" s="79">
        <v>45076.515497685185</v>
      </c>
      <c r="Q193" s="77" t="s">
        <v>1325</v>
      </c>
      <c r="R193" s="77">
        <v>0</v>
      </c>
      <c r="S193" s="77">
        <v>2</v>
      </c>
      <c r="T193" s="77">
        <v>1</v>
      </c>
      <c r="U193" s="77">
        <v>0</v>
      </c>
      <c r="V193" s="77">
        <v>65</v>
      </c>
      <c r="W193" s="82" t="s">
        <v>4097</v>
      </c>
      <c r="X193" s="77"/>
      <c r="Y193" s="77"/>
      <c r="Z193" s="77"/>
      <c r="AA193" s="77"/>
      <c r="AB193" s="77"/>
      <c r="AC193" s="82" t="s">
        <v>7705</v>
      </c>
      <c r="AD193" s="77" t="s">
        <v>7745</v>
      </c>
      <c r="AE193" s="80" t="str">
        <f>HYPERLINK("https://twitter.com/salumc/status/1663521216152621056")</f>
        <v>https://twitter.com/salumc/status/1663521216152621056</v>
      </c>
      <c r="AF193" s="79">
        <v>45076.515497685185</v>
      </c>
      <c r="AG193" s="85">
        <v>45076</v>
      </c>
      <c r="AH193" s="82" t="s">
        <v>7941</v>
      </c>
      <c r="AI193" s="77"/>
      <c r="AJ193" s="77"/>
      <c r="AK193" s="77"/>
      <c r="AL193" s="77"/>
      <c r="AM193" s="77"/>
      <c r="AN193" s="77"/>
      <c r="AO193" s="77"/>
      <c r="AP193" s="77"/>
      <c r="AQ193" s="77"/>
      <c r="AR193" s="77"/>
      <c r="AS193" s="77"/>
      <c r="AT193" s="77"/>
      <c r="AU193" s="77"/>
      <c r="AV193" s="80" t="str">
        <f>HYPERLINK("https://pbs.twimg.com/profile_images/1613964014601785344/62OkrCU7_normal.jpg")</f>
        <v>https://pbs.twimg.com/profile_images/1613964014601785344/62OkrCU7_normal.jpg</v>
      </c>
      <c r="AW193" s="82" t="s">
        <v>12389</v>
      </c>
      <c r="AX193" s="82" t="s">
        <v>12398</v>
      </c>
      <c r="AY193" s="82" t="s">
        <v>15682</v>
      </c>
      <c r="AZ193" s="82" t="s">
        <v>12390</v>
      </c>
      <c r="BA193" s="82" t="s">
        <v>15804</v>
      </c>
      <c r="BB193" s="82" t="s">
        <v>15804</v>
      </c>
      <c r="BC193" s="82" t="s">
        <v>12390</v>
      </c>
      <c r="BD193" s="77">
        <v>67855114</v>
      </c>
      <c r="BE193" s="77"/>
      <c r="BF193" s="77"/>
      <c r="BG193" s="77"/>
      <c r="BH193" s="77"/>
      <c r="BI193" s="77"/>
    </row>
    <row r="194" spans="1:61" x14ac:dyDescent="0.25">
      <c r="A194" s="62" t="s">
        <v>287</v>
      </c>
      <c r="B194" s="62" t="s">
        <v>287</v>
      </c>
      <c r="C194" s="63"/>
      <c r="D194" s="64"/>
      <c r="E194" s="65"/>
      <c r="F194" s="66"/>
      <c r="G194" s="63"/>
      <c r="H194" s="67"/>
      <c r="I194" s="68"/>
      <c r="J194" s="68"/>
      <c r="K194" s="32"/>
      <c r="L194" s="75">
        <v>194</v>
      </c>
      <c r="M194" s="75"/>
      <c r="N194" s="70"/>
      <c r="O194" s="77" t="s">
        <v>1132</v>
      </c>
      <c r="P194" s="79">
        <v>45076.515486111108</v>
      </c>
      <c r="Q194" s="77" t="s">
        <v>1326</v>
      </c>
      <c r="R194" s="77">
        <v>0</v>
      </c>
      <c r="S194" s="77">
        <v>1</v>
      </c>
      <c r="T194" s="77">
        <v>1</v>
      </c>
      <c r="U194" s="77">
        <v>0</v>
      </c>
      <c r="V194" s="77">
        <v>67</v>
      </c>
      <c r="W194" s="82" t="s">
        <v>4097</v>
      </c>
      <c r="X194" s="77"/>
      <c r="Y194" s="77"/>
      <c r="Z194" s="77"/>
      <c r="AA194" s="77"/>
      <c r="AB194" s="77"/>
      <c r="AC194" s="82" t="s">
        <v>7705</v>
      </c>
      <c r="AD194" s="77" t="s">
        <v>7745</v>
      </c>
      <c r="AE194" s="80" t="str">
        <f>HYPERLINK("https://twitter.com/salumc/status/1663521214445527040")</f>
        <v>https://twitter.com/salumc/status/1663521214445527040</v>
      </c>
      <c r="AF194" s="79">
        <v>45076.515486111108</v>
      </c>
      <c r="AG194" s="85">
        <v>45076</v>
      </c>
      <c r="AH194" s="82" t="s">
        <v>7942</v>
      </c>
      <c r="AI194" s="77"/>
      <c r="AJ194" s="77"/>
      <c r="AK194" s="77"/>
      <c r="AL194" s="77"/>
      <c r="AM194" s="77"/>
      <c r="AN194" s="77"/>
      <c r="AO194" s="77"/>
      <c r="AP194" s="77"/>
      <c r="AQ194" s="77"/>
      <c r="AR194" s="77"/>
      <c r="AS194" s="77"/>
      <c r="AT194" s="77"/>
      <c r="AU194" s="77"/>
      <c r="AV194" s="80" t="str">
        <f>HYPERLINK("https://pbs.twimg.com/profile_images/1613964014601785344/62OkrCU7_normal.jpg")</f>
        <v>https://pbs.twimg.com/profile_images/1613964014601785344/62OkrCU7_normal.jpg</v>
      </c>
      <c r="AW194" s="82" t="s">
        <v>12390</v>
      </c>
      <c r="AX194" s="82" t="s">
        <v>12398</v>
      </c>
      <c r="AY194" s="82" t="s">
        <v>15682</v>
      </c>
      <c r="AZ194" s="82" t="s">
        <v>12391</v>
      </c>
      <c r="BA194" s="82" t="s">
        <v>15804</v>
      </c>
      <c r="BB194" s="82" t="s">
        <v>15804</v>
      </c>
      <c r="BC194" s="82" t="s">
        <v>12391</v>
      </c>
      <c r="BD194" s="77">
        <v>67855114</v>
      </c>
      <c r="BE194" s="77"/>
      <c r="BF194" s="77"/>
      <c r="BG194" s="77"/>
      <c r="BH194" s="77"/>
      <c r="BI194" s="77"/>
    </row>
    <row r="195" spans="1:61" x14ac:dyDescent="0.25">
      <c r="A195" s="62" t="s">
        <v>287</v>
      </c>
      <c r="B195" s="62" t="s">
        <v>287</v>
      </c>
      <c r="C195" s="63"/>
      <c r="D195" s="64"/>
      <c r="E195" s="65"/>
      <c r="F195" s="66"/>
      <c r="G195" s="63"/>
      <c r="H195" s="67"/>
      <c r="I195" s="68"/>
      <c r="J195" s="68"/>
      <c r="K195" s="32"/>
      <c r="L195" s="75">
        <v>195</v>
      </c>
      <c r="M195" s="75"/>
      <c r="N195" s="70"/>
      <c r="O195" s="77" t="s">
        <v>1132</v>
      </c>
      <c r="P195" s="79">
        <v>45076.515486111108</v>
      </c>
      <c r="Q195" s="77" t="s">
        <v>1327</v>
      </c>
      <c r="R195" s="77">
        <v>0</v>
      </c>
      <c r="S195" s="77">
        <v>1</v>
      </c>
      <c r="T195" s="77">
        <v>1</v>
      </c>
      <c r="U195" s="77">
        <v>0</v>
      </c>
      <c r="V195" s="77">
        <v>35</v>
      </c>
      <c r="W195" s="82" t="s">
        <v>4097</v>
      </c>
      <c r="X195" s="77"/>
      <c r="Y195" s="77"/>
      <c r="Z195" s="77"/>
      <c r="AA195" s="77"/>
      <c r="AB195" s="77"/>
      <c r="AC195" s="82" t="s">
        <v>7705</v>
      </c>
      <c r="AD195" s="77" t="s">
        <v>7745</v>
      </c>
      <c r="AE195" s="80" t="str">
        <f>HYPERLINK("https://twitter.com/salumc/status/1663521212964941824")</f>
        <v>https://twitter.com/salumc/status/1663521212964941824</v>
      </c>
      <c r="AF195" s="79">
        <v>45076.515486111108</v>
      </c>
      <c r="AG195" s="85">
        <v>45076</v>
      </c>
      <c r="AH195" s="82" t="s">
        <v>7942</v>
      </c>
      <c r="AI195" s="77"/>
      <c r="AJ195" s="77"/>
      <c r="AK195" s="77"/>
      <c r="AL195" s="77"/>
      <c r="AM195" s="77"/>
      <c r="AN195" s="77"/>
      <c r="AO195" s="77"/>
      <c r="AP195" s="77"/>
      <c r="AQ195" s="77"/>
      <c r="AR195" s="77"/>
      <c r="AS195" s="77"/>
      <c r="AT195" s="77"/>
      <c r="AU195" s="77"/>
      <c r="AV195" s="80" t="str">
        <f>HYPERLINK("https://pbs.twimg.com/profile_images/1613964014601785344/62OkrCU7_normal.jpg")</f>
        <v>https://pbs.twimg.com/profile_images/1613964014601785344/62OkrCU7_normal.jpg</v>
      </c>
      <c r="AW195" s="82" t="s">
        <v>12391</v>
      </c>
      <c r="AX195" s="82" t="s">
        <v>12398</v>
      </c>
      <c r="AY195" s="82" t="s">
        <v>15682</v>
      </c>
      <c r="AZ195" s="82" t="s">
        <v>12392</v>
      </c>
      <c r="BA195" s="82" t="s">
        <v>15804</v>
      </c>
      <c r="BB195" s="82" t="s">
        <v>15804</v>
      </c>
      <c r="BC195" s="82" t="s">
        <v>12392</v>
      </c>
      <c r="BD195" s="77">
        <v>67855114</v>
      </c>
      <c r="BE195" s="77"/>
      <c r="BF195" s="77"/>
      <c r="BG195" s="77"/>
      <c r="BH195" s="77"/>
      <c r="BI195" s="77"/>
    </row>
    <row r="196" spans="1:61" x14ac:dyDescent="0.25">
      <c r="A196" s="62" t="s">
        <v>287</v>
      </c>
      <c r="B196" s="62" t="s">
        <v>287</v>
      </c>
      <c r="C196" s="63"/>
      <c r="D196" s="64"/>
      <c r="E196" s="65"/>
      <c r="F196" s="66"/>
      <c r="G196" s="63"/>
      <c r="H196" s="67"/>
      <c r="I196" s="68"/>
      <c r="J196" s="68"/>
      <c r="K196" s="32"/>
      <c r="L196" s="75">
        <v>196</v>
      </c>
      <c r="M196" s="75"/>
      <c r="N196" s="70"/>
      <c r="O196" s="77" t="s">
        <v>1132</v>
      </c>
      <c r="P196" s="79">
        <v>45076.515486111108</v>
      </c>
      <c r="Q196" s="77" t="s">
        <v>1328</v>
      </c>
      <c r="R196" s="77">
        <v>0</v>
      </c>
      <c r="S196" s="77">
        <v>1</v>
      </c>
      <c r="T196" s="77">
        <v>1</v>
      </c>
      <c r="U196" s="77">
        <v>0</v>
      </c>
      <c r="V196" s="77">
        <v>33</v>
      </c>
      <c r="W196" s="82" t="s">
        <v>4097</v>
      </c>
      <c r="X196" s="77"/>
      <c r="Y196" s="77"/>
      <c r="Z196" s="77"/>
      <c r="AA196" s="77"/>
      <c r="AB196" s="77"/>
      <c r="AC196" s="82" t="s">
        <v>7705</v>
      </c>
      <c r="AD196" s="77" t="s">
        <v>7745</v>
      </c>
      <c r="AE196" s="80" t="str">
        <f>HYPERLINK("https://twitter.com/salumc/status/1663521211446611969")</f>
        <v>https://twitter.com/salumc/status/1663521211446611969</v>
      </c>
      <c r="AF196" s="79">
        <v>45076.515486111108</v>
      </c>
      <c r="AG196" s="85">
        <v>45076</v>
      </c>
      <c r="AH196" s="82" t="s">
        <v>7942</v>
      </c>
      <c r="AI196" s="77"/>
      <c r="AJ196" s="77"/>
      <c r="AK196" s="77"/>
      <c r="AL196" s="77"/>
      <c r="AM196" s="77"/>
      <c r="AN196" s="77"/>
      <c r="AO196" s="77"/>
      <c r="AP196" s="77"/>
      <c r="AQ196" s="77"/>
      <c r="AR196" s="77"/>
      <c r="AS196" s="77"/>
      <c r="AT196" s="77"/>
      <c r="AU196" s="77"/>
      <c r="AV196" s="80" t="str">
        <f>HYPERLINK("https://pbs.twimg.com/profile_images/1613964014601785344/62OkrCU7_normal.jpg")</f>
        <v>https://pbs.twimg.com/profile_images/1613964014601785344/62OkrCU7_normal.jpg</v>
      </c>
      <c r="AW196" s="82" t="s">
        <v>12392</v>
      </c>
      <c r="AX196" s="82" t="s">
        <v>12398</v>
      </c>
      <c r="AY196" s="82" t="s">
        <v>15682</v>
      </c>
      <c r="AZ196" s="82" t="s">
        <v>12393</v>
      </c>
      <c r="BA196" s="82" t="s">
        <v>15804</v>
      </c>
      <c r="BB196" s="82" t="s">
        <v>15804</v>
      </c>
      <c r="BC196" s="82" t="s">
        <v>12393</v>
      </c>
      <c r="BD196" s="77">
        <v>67855114</v>
      </c>
      <c r="BE196" s="77"/>
      <c r="BF196" s="77"/>
      <c r="BG196" s="77"/>
      <c r="BH196" s="77"/>
      <c r="BI196" s="77"/>
    </row>
    <row r="197" spans="1:61" x14ac:dyDescent="0.25">
      <c r="A197" s="62" t="s">
        <v>287</v>
      </c>
      <c r="B197" s="62" t="s">
        <v>287</v>
      </c>
      <c r="C197" s="63"/>
      <c r="D197" s="64"/>
      <c r="E197" s="65"/>
      <c r="F197" s="66"/>
      <c r="G197" s="63"/>
      <c r="H197" s="67"/>
      <c r="I197" s="68"/>
      <c r="J197" s="68"/>
      <c r="K197" s="32"/>
      <c r="L197" s="75">
        <v>197</v>
      </c>
      <c r="M197" s="75"/>
      <c r="N197" s="70"/>
      <c r="O197" s="77" t="s">
        <v>1132</v>
      </c>
      <c r="P197" s="79">
        <v>45076.515474537038</v>
      </c>
      <c r="Q197" s="77" t="s">
        <v>1329</v>
      </c>
      <c r="R197" s="77">
        <v>0</v>
      </c>
      <c r="S197" s="77">
        <v>1</v>
      </c>
      <c r="T197" s="77">
        <v>1</v>
      </c>
      <c r="U197" s="77">
        <v>0</v>
      </c>
      <c r="V197" s="77">
        <v>34</v>
      </c>
      <c r="W197" s="82" t="s">
        <v>4097</v>
      </c>
      <c r="X197" s="77"/>
      <c r="Y197" s="77"/>
      <c r="Z197" s="77"/>
      <c r="AA197" s="77"/>
      <c r="AB197" s="77"/>
      <c r="AC197" s="82" t="s">
        <v>7705</v>
      </c>
      <c r="AD197" s="77" t="s">
        <v>7745</v>
      </c>
      <c r="AE197" s="80" t="str">
        <f>HYPERLINK("https://twitter.com/salumc/status/1663521209664020481")</f>
        <v>https://twitter.com/salumc/status/1663521209664020481</v>
      </c>
      <c r="AF197" s="79">
        <v>45076.515474537038</v>
      </c>
      <c r="AG197" s="85">
        <v>45076</v>
      </c>
      <c r="AH197" s="82" t="s">
        <v>7943</v>
      </c>
      <c r="AI197" s="77"/>
      <c r="AJ197" s="77"/>
      <c r="AK197" s="77"/>
      <c r="AL197" s="77"/>
      <c r="AM197" s="77"/>
      <c r="AN197" s="77"/>
      <c r="AO197" s="77"/>
      <c r="AP197" s="77"/>
      <c r="AQ197" s="77"/>
      <c r="AR197" s="77"/>
      <c r="AS197" s="77"/>
      <c r="AT197" s="77"/>
      <c r="AU197" s="77"/>
      <c r="AV197" s="80" t="str">
        <f>HYPERLINK("https://pbs.twimg.com/profile_images/1613964014601785344/62OkrCU7_normal.jpg")</f>
        <v>https://pbs.twimg.com/profile_images/1613964014601785344/62OkrCU7_normal.jpg</v>
      </c>
      <c r="AW197" s="82" t="s">
        <v>12393</v>
      </c>
      <c r="AX197" s="82" t="s">
        <v>12398</v>
      </c>
      <c r="AY197" s="82" t="s">
        <v>15682</v>
      </c>
      <c r="AZ197" s="82" t="s">
        <v>12394</v>
      </c>
      <c r="BA197" s="82" t="s">
        <v>15804</v>
      </c>
      <c r="BB197" s="82" t="s">
        <v>15804</v>
      </c>
      <c r="BC197" s="82" t="s">
        <v>12394</v>
      </c>
      <c r="BD197" s="77">
        <v>67855114</v>
      </c>
      <c r="BE197" s="77"/>
      <c r="BF197" s="77"/>
      <c r="BG197" s="77"/>
      <c r="BH197" s="77"/>
      <c r="BI197" s="77"/>
    </row>
    <row r="198" spans="1:61" x14ac:dyDescent="0.25">
      <c r="A198" s="62" t="s">
        <v>287</v>
      </c>
      <c r="B198" s="62" t="s">
        <v>287</v>
      </c>
      <c r="C198" s="63"/>
      <c r="D198" s="64"/>
      <c r="E198" s="65"/>
      <c r="F198" s="66"/>
      <c r="G198" s="63"/>
      <c r="H198" s="67"/>
      <c r="I198" s="68"/>
      <c r="J198" s="68"/>
      <c r="K198" s="32"/>
      <c r="L198" s="75">
        <v>198</v>
      </c>
      <c r="M198" s="75"/>
      <c r="N198" s="70"/>
      <c r="O198" s="77" t="s">
        <v>1132</v>
      </c>
      <c r="P198" s="79">
        <v>45076.515474537038</v>
      </c>
      <c r="Q198" s="77" t="s">
        <v>1330</v>
      </c>
      <c r="R198" s="77">
        <v>0</v>
      </c>
      <c r="S198" s="77">
        <v>1</v>
      </c>
      <c r="T198" s="77">
        <v>1</v>
      </c>
      <c r="U198" s="77">
        <v>0</v>
      </c>
      <c r="V198" s="77">
        <v>32</v>
      </c>
      <c r="W198" s="82" t="s">
        <v>4097</v>
      </c>
      <c r="X198" s="77"/>
      <c r="Y198" s="77"/>
      <c r="Z198" s="77"/>
      <c r="AA198" s="77"/>
      <c r="AB198" s="77"/>
      <c r="AC198" s="82" t="s">
        <v>7705</v>
      </c>
      <c r="AD198" s="77" t="s">
        <v>7745</v>
      </c>
      <c r="AE198" s="80" t="str">
        <f>HYPERLINK("https://twitter.com/salumc/status/1663521208057610240")</f>
        <v>https://twitter.com/salumc/status/1663521208057610240</v>
      </c>
      <c r="AF198" s="79">
        <v>45076.515474537038</v>
      </c>
      <c r="AG198" s="85">
        <v>45076</v>
      </c>
      <c r="AH198" s="82" t="s">
        <v>7943</v>
      </c>
      <c r="AI198" s="77"/>
      <c r="AJ198" s="77"/>
      <c r="AK198" s="77"/>
      <c r="AL198" s="77"/>
      <c r="AM198" s="77"/>
      <c r="AN198" s="77"/>
      <c r="AO198" s="77"/>
      <c r="AP198" s="77"/>
      <c r="AQ198" s="77"/>
      <c r="AR198" s="77"/>
      <c r="AS198" s="77"/>
      <c r="AT198" s="77"/>
      <c r="AU198" s="77"/>
      <c r="AV198" s="80" t="str">
        <f>HYPERLINK("https://pbs.twimg.com/profile_images/1613964014601785344/62OkrCU7_normal.jpg")</f>
        <v>https://pbs.twimg.com/profile_images/1613964014601785344/62OkrCU7_normal.jpg</v>
      </c>
      <c r="AW198" s="82" t="s">
        <v>12394</v>
      </c>
      <c r="AX198" s="82" t="s">
        <v>12398</v>
      </c>
      <c r="AY198" s="82" t="s">
        <v>15682</v>
      </c>
      <c r="AZ198" s="82" t="s">
        <v>12395</v>
      </c>
      <c r="BA198" s="82" t="s">
        <v>15804</v>
      </c>
      <c r="BB198" s="82" t="s">
        <v>15804</v>
      </c>
      <c r="BC198" s="82" t="s">
        <v>12395</v>
      </c>
      <c r="BD198" s="77">
        <v>67855114</v>
      </c>
      <c r="BE198" s="77"/>
      <c r="BF198" s="77"/>
      <c r="BG198" s="77"/>
      <c r="BH198" s="77"/>
      <c r="BI198" s="77"/>
    </row>
    <row r="199" spans="1:61" x14ac:dyDescent="0.25">
      <c r="A199" s="62" t="s">
        <v>287</v>
      </c>
      <c r="B199" s="62" t="s">
        <v>287</v>
      </c>
      <c r="C199" s="63"/>
      <c r="D199" s="64"/>
      <c r="E199" s="65"/>
      <c r="F199" s="66"/>
      <c r="G199" s="63"/>
      <c r="H199" s="67"/>
      <c r="I199" s="68"/>
      <c r="J199" s="68"/>
      <c r="K199" s="32"/>
      <c r="L199" s="75">
        <v>199</v>
      </c>
      <c r="M199" s="75"/>
      <c r="N199" s="70"/>
      <c r="O199" s="77" t="s">
        <v>1132</v>
      </c>
      <c r="P199" s="79">
        <v>45076.515462962961</v>
      </c>
      <c r="Q199" s="77" t="s">
        <v>1331</v>
      </c>
      <c r="R199" s="77">
        <v>0</v>
      </c>
      <c r="S199" s="77">
        <v>2</v>
      </c>
      <c r="T199" s="77">
        <v>1</v>
      </c>
      <c r="U199" s="77">
        <v>0</v>
      </c>
      <c r="V199" s="77">
        <v>41</v>
      </c>
      <c r="W199" s="82" t="s">
        <v>4097</v>
      </c>
      <c r="X199" s="77"/>
      <c r="Y199" s="77"/>
      <c r="Z199" s="77"/>
      <c r="AA199" s="77"/>
      <c r="AB199" s="77"/>
      <c r="AC199" s="82" t="s">
        <v>7705</v>
      </c>
      <c r="AD199" s="77" t="s">
        <v>7745</v>
      </c>
      <c r="AE199" s="80" t="str">
        <f>HYPERLINK("https://twitter.com/salumc/status/1663521206426046465")</f>
        <v>https://twitter.com/salumc/status/1663521206426046465</v>
      </c>
      <c r="AF199" s="79">
        <v>45076.515462962961</v>
      </c>
      <c r="AG199" s="85">
        <v>45076</v>
      </c>
      <c r="AH199" s="82" t="s">
        <v>7944</v>
      </c>
      <c r="AI199" s="77"/>
      <c r="AJ199" s="77"/>
      <c r="AK199" s="77"/>
      <c r="AL199" s="77"/>
      <c r="AM199" s="77"/>
      <c r="AN199" s="77"/>
      <c r="AO199" s="77"/>
      <c r="AP199" s="77"/>
      <c r="AQ199" s="77"/>
      <c r="AR199" s="77"/>
      <c r="AS199" s="77"/>
      <c r="AT199" s="77"/>
      <c r="AU199" s="77"/>
      <c r="AV199" s="80" t="str">
        <f>HYPERLINK("https://pbs.twimg.com/profile_images/1613964014601785344/62OkrCU7_normal.jpg")</f>
        <v>https://pbs.twimg.com/profile_images/1613964014601785344/62OkrCU7_normal.jpg</v>
      </c>
      <c r="AW199" s="82" t="s">
        <v>12395</v>
      </c>
      <c r="AX199" s="82" t="s">
        <v>12398</v>
      </c>
      <c r="AY199" s="82" t="s">
        <v>15682</v>
      </c>
      <c r="AZ199" s="82" t="s">
        <v>12396</v>
      </c>
      <c r="BA199" s="82" t="s">
        <v>15804</v>
      </c>
      <c r="BB199" s="82" t="s">
        <v>15804</v>
      </c>
      <c r="BC199" s="82" t="s">
        <v>12396</v>
      </c>
      <c r="BD199" s="77">
        <v>67855114</v>
      </c>
      <c r="BE199" s="77"/>
      <c r="BF199" s="77"/>
      <c r="BG199" s="77"/>
      <c r="BH199" s="77"/>
      <c r="BI199" s="77"/>
    </row>
    <row r="200" spans="1:61" x14ac:dyDescent="0.25">
      <c r="A200" s="62" t="s">
        <v>287</v>
      </c>
      <c r="B200" s="62" t="s">
        <v>287</v>
      </c>
      <c r="C200" s="63"/>
      <c r="D200" s="64"/>
      <c r="E200" s="65"/>
      <c r="F200" s="66"/>
      <c r="G200" s="63"/>
      <c r="H200" s="67"/>
      <c r="I200" s="68"/>
      <c r="J200" s="68"/>
      <c r="K200" s="32"/>
      <c r="L200" s="75">
        <v>200</v>
      </c>
      <c r="M200" s="75"/>
      <c r="N200" s="70"/>
      <c r="O200" s="77" t="s">
        <v>1132</v>
      </c>
      <c r="P200" s="79">
        <v>45076.515462962961</v>
      </c>
      <c r="Q200" s="77" t="s">
        <v>1332</v>
      </c>
      <c r="R200" s="77">
        <v>0</v>
      </c>
      <c r="S200" s="77">
        <v>1</v>
      </c>
      <c r="T200" s="77">
        <v>1</v>
      </c>
      <c r="U200" s="77">
        <v>0</v>
      </c>
      <c r="V200" s="77">
        <v>38</v>
      </c>
      <c r="W200" s="82" t="s">
        <v>4097</v>
      </c>
      <c r="X200" s="77"/>
      <c r="Y200" s="77"/>
      <c r="Z200" s="77"/>
      <c r="AA200" s="77"/>
      <c r="AB200" s="77"/>
      <c r="AC200" s="82" t="s">
        <v>7705</v>
      </c>
      <c r="AD200" s="77" t="s">
        <v>7745</v>
      </c>
      <c r="AE200" s="80" t="str">
        <f>HYPERLINK("https://twitter.com/salumc/status/1663521204962226177")</f>
        <v>https://twitter.com/salumc/status/1663521204962226177</v>
      </c>
      <c r="AF200" s="79">
        <v>45076.515462962961</v>
      </c>
      <c r="AG200" s="85">
        <v>45076</v>
      </c>
      <c r="AH200" s="82" t="s">
        <v>7944</v>
      </c>
      <c r="AI200" s="77"/>
      <c r="AJ200" s="77"/>
      <c r="AK200" s="77"/>
      <c r="AL200" s="77"/>
      <c r="AM200" s="77"/>
      <c r="AN200" s="77"/>
      <c r="AO200" s="77"/>
      <c r="AP200" s="77"/>
      <c r="AQ200" s="77"/>
      <c r="AR200" s="77"/>
      <c r="AS200" s="77"/>
      <c r="AT200" s="77"/>
      <c r="AU200" s="77"/>
      <c r="AV200" s="80" t="str">
        <f>HYPERLINK("https://pbs.twimg.com/profile_images/1613964014601785344/62OkrCU7_normal.jpg")</f>
        <v>https://pbs.twimg.com/profile_images/1613964014601785344/62OkrCU7_normal.jpg</v>
      </c>
      <c r="AW200" s="82" t="s">
        <v>12396</v>
      </c>
      <c r="AX200" s="82" t="s">
        <v>12398</v>
      </c>
      <c r="AY200" s="82" t="s">
        <v>15682</v>
      </c>
      <c r="AZ200" s="82" t="s">
        <v>12397</v>
      </c>
      <c r="BA200" s="82" t="s">
        <v>15804</v>
      </c>
      <c r="BB200" s="82" t="s">
        <v>15804</v>
      </c>
      <c r="BC200" s="82" t="s">
        <v>12397</v>
      </c>
      <c r="BD200" s="77">
        <v>67855114</v>
      </c>
      <c r="BE200" s="77"/>
      <c r="BF200" s="77"/>
      <c r="BG200" s="77"/>
      <c r="BH200" s="77"/>
      <c r="BI200" s="77"/>
    </row>
    <row r="201" spans="1:61" x14ac:dyDescent="0.25">
      <c r="A201" s="62" t="s">
        <v>287</v>
      </c>
      <c r="B201" s="62" t="s">
        <v>287</v>
      </c>
      <c r="C201" s="63"/>
      <c r="D201" s="64"/>
      <c r="E201" s="65"/>
      <c r="F201" s="66"/>
      <c r="G201" s="63"/>
      <c r="H201" s="67"/>
      <c r="I201" s="68"/>
      <c r="J201" s="68"/>
      <c r="K201" s="32"/>
      <c r="L201" s="75">
        <v>201</v>
      </c>
      <c r="M201" s="75"/>
      <c r="N201" s="70"/>
      <c r="O201" s="77" t="s">
        <v>1132</v>
      </c>
      <c r="P201" s="79">
        <v>45076.515462962961</v>
      </c>
      <c r="Q201" s="77" t="s">
        <v>1333</v>
      </c>
      <c r="R201" s="77">
        <v>1</v>
      </c>
      <c r="S201" s="77">
        <v>5</v>
      </c>
      <c r="T201" s="77">
        <v>1</v>
      </c>
      <c r="U201" s="77">
        <v>0</v>
      </c>
      <c r="V201" s="77">
        <v>72</v>
      </c>
      <c r="W201" s="82" t="s">
        <v>4097</v>
      </c>
      <c r="X201" s="77"/>
      <c r="Y201" s="77"/>
      <c r="Z201" s="77"/>
      <c r="AA201" s="77"/>
      <c r="AB201" s="77"/>
      <c r="AC201" s="82" t="s">
        <v>7705</v>
      </c>
      <c r="AD201" s="77" t="s">
        <v>7745</v>
      </c>
      <c r="AE201" s="80" t="str">
        <f>HYPERLINK("https://twitter.com/salumc/status/1663521203292868613")</f>
        <v>https://twitter.com/salumc/status/1663521203292868613</v>
      </c>
      <c r="AF201" s="79">
        <v>45076.515462962961</v>
      </c>
      <c r="AG201" s="85">
        <v>45076</v>
      </c>
      <c r="AH201" s="82" t="s">
        <v>7944</v>
      </c>
      <c r="AI201" s="77"/>
      <c r="AJ201" s="77"/>
      <c r="AK201" s="77"/>
      <c r="AL201" s="77"/>
      <c r="AM201" s="77"/>
      <c r="AN201" s="77"/>
      <c r="AO201" s="77"/>
      <c r="AP201" s="77"/>
      <c r="AQ201" s="77"/>
      <c r="AR201" s="77"/>
      <c r="AS201" s="77"/>
      <c r="AT201" s="77"/>
      <c r="AU201" s="77"/>
      <c r="AV201" s="80" t="str">
        <f>HYPERLINK("https://pbs.twimg.com/profile_images/1613964014601785344/62OkrCU7_normal.jpg")</f>
        <v>https://pbs.twimg.com/profile_images/1613964014601785344/62OkrCU7_normal.jpg</v>
      </c>
      <c r="AW201" s="82" t="s">
        <v>12397</v>
      </c>
      <c r="AX201" s="82" t="s">
        <v>12398</v>
      </c>
      <c r="AY201" s="82" t="s">
        <v>15682</v>
      </c>
      <c r="AZ201" s="82" t="s">
        <v>12398</v>
      </c>
      <c r="BA201" s="82" t="s">
        <v>15804</v>
      </c>
      <c r="BB201" s="82" t="s">
        <v>15804</v>
      </c>
      <c r="BC201" s="82" t="s">
        <v>12398</v>
      </c>
      <c r="BD201" s="77">
        <v>67855114</v>
      </c>
      <c r="BE201" s="77"/>
      <c r="BF201" s="77"/>
      <c r="BG201" s="77"/>
      <c r="BH201" s="77"/>
      <c r="BI201" s="77"/>
    </row>
    <row r="202" spans="1:61" x14ac:dyDescent="0.25">
      <c r="A202" s="62" t="s">
        <v>287</v>
      </c>
      <c r="B202" s="62" t="s">
        <v>287</v>
      </c>
      <c r="C202" s="63"/>
      <c r="D202" s="64"/>
      <c r="E202" s="65"/>
      <c r="F202" s="66"/>
      <c r="G202" s="63"/>
      <c r="H202" s="67"/>
      <c r="I202" s="68"/>
      <c r="J202" s="68"/>
      <c r="K202" s="32"/>
      <c r="L202" s="75">
        <v>202</v>
      </c>
      <c r="M202" s="75"/>
      <c r="N202" s="70"/>
      <c r="O202" s="77" t="s">
        <v>179</v>
      </c>
      <c r="P202" s="79">
        <v>45076.515428240738</v>
      </c>
      <c r="Q202" s="77" t="s">
        <v>1334</v>
      </c>
      <c r="R202" s="77">
        <v>1</v>
      </c>
      <c r="S202" s="77">
        <v>4</v>
      </c>
      <c r="T202" s="77">
        <v>2</v>
      </c>
      <c r="U202" s="77">
        <v>0</v>
      </c>
      <c r="V202" s="77">
        <v>260</v>
      </c>
      <c r="W202" s="82" t="s">
        <v>4097</v>
      </c>
      <c r="X202" s="77"/>
      <c r="Y202" s="77"/>
      <c r="Z202" s="77"/>
      <c r="AA202" s="77"/>
      <c r="AB202" s="77"/>
      <c r="AC202" s="82" t="s">
        <v>7705</v>
      </c>
      <c r="AD202" s="77" t="s">
        <v>7745</v>
      </c>
      <c r="AE202" s="80" t="str">
        <f>HYPERLINK("https://twitter.com/salumc/status/1663521191272005632")</f>
        <v>https://twitter.com/salumc/status/1663521191272005632</v>
      </c>
      <c r="AF202" s="79">
        <v>45076.515428240738</v>
      </c>
      <c r="AG202" s="85">
        <v>45076</v>
      </c>
      <c r="AH202" s="82" t="s">
        <v>7945</v>
      </c>
      <c r="AI202" s="77"/>
      <c r="AJ202" s="77"/>
      <c r="AK202" s="77"/>
      <c r="AL202" s="77"/>
      <c r="AM202" s="77"/>
      <c r="AN202" s="77"/>
      <c r="AO202" s="77"/>
      <c r="AP202" s="77"/>
      <c r="AQ202" s="77"/>
      <c r="AR202" s="77"/>
      <c r="AS202" s="77"/>
      <c r="AT202" s="77"/>
      <c r="AU202" s="77"/>
      <c r="AV202" s="80" t="str">
        <f>HYPERLINK("https://pbs.twimg.com/profile_images/1613964014601785344/62OkrCU7_normal.jpg")</f>
        <v>https://pbs.twimg.com/profile_images/1613964014601785344/62OkrCU7_normal.jpg</v>
      </c>
      <c r="AW202" s="82" t="s">
        <v>12398</v>
      </c>
      <c r="AX202" s="82" t="s">
        <v>12398</v>
      </c>
      <c r="AY202" s="77"/>
      <c r="AZ202" s="82" t="s">
        <v>15804</v>
      </c>
      <c r="BA202" s="82" t="s">
        <v>15804</v>
      </c>
      <c r="BB202" s="82" t="s">
        <v>15804</v>
      </c>
      <c r="BC202" s="82" t="s">
        <v>12398</v>
      </c>
      <c r="BD202" s="77">
        <v>67855114</v>
      </c>
      <c r="BE202" s="77"/>
      <c r="BF202" s="77"/>
      <c r="BG202" s="77"/>
      <c r="BH202" s="77"/>
      <c r="BI202" s="77"/>
    </row>
    <row r="203" spans="1:61" x14ac:dyDescent="0.25">
      <c r="A203" s="62" t="s">
        <v>288</v>
      </c>
      <c r="B203" s="62" t="s">
        <v>288</v>
      </c>
      <c r="C203" s="63"/>
      <c r="D203" s="64"/>
      <c r="E203" s="65"/>
      <c r="F203" s="66"/>
      <c r="G203" s="63"/>
      <c r="H203" s="67"/>
      <c r="I203" s="68"/>
      <c r="J203" s="68"/>
      <c r="K203" s="32"/>
      <c r="L203" s="75">
        <v>203</v>
      </c>
      <c r="M203" s="75"/>
      <c r="N203" s="70"/>
      <c r="O203" s="77" t="s">
        <v>179</v>
      </c>
      <c r="P203" s="79">
        <v>45154.969467592593</v>
      </c>
      <c r="Q203" s="77" t="s">
        <v>1335</v>
      </c>
      <c r="R203" s="77">
        <v>0</v>
      </c>
      <c r="S203" s="77">
        <v>0</v>
      </c>
      <c r="T203" s="77">
        <v>0</v>
      </c>
      <c r="U203" s="77">
        <v>0</v>
      </c>
      <c r="V203" s="77">
        <v>24</v>
      </c>
      <c r="W203" s="82" t="s">
        <v>4187</v>
      </c>
      <c r="X203" s="77"/>
      <c r="Y203" s="77"/>
      <c r="Z203" s="77"/>
      <c r="AA203" s="77" t="s">
        <v>6248</v>
      </c>
      <c r="AB203" s="77" t="s">
        <v>7696</v>
      </c>
      <c r="AC203" s="82" t="s">
        <v>7707</v>
      </c>
      <c r="AD203" s="77" t="s">
        <v>7745</v>
      </c>
      <c r="AE203" s="80" t="str">
        <f>HYPERLINK("https://twitter.com/sestarileticia/status/1691951981785473237")</f>
        <v>https://twitter.com/sestarileticia/status/1691951981785473237</v>
      </c>
      <c r="AF203" s="79">
        <v>45154.969467592593</v>
      </c>
      <c r="AG203" s="85">
        <v>45154</v>
      </c>
      <c r="AH203" s="82" t="s">
        <v>7946</v>
      </c>
      <c r="AI203" s="77" t="b">
        <v>0</v>
      </c>
      <c r="AJ203" s="77"/>
      <c r="AK203" s="77"/>
      <c r="AL203" s="77"/>
      <c r="AM203" s="77"/>
      <c r="AN203" s="77"/>
      <c r="AO203" s="77"/>
      <c r="AP203" s="77"/>
      <c r="AQ203" s="77" t="s">
        <v>10755</v>
      </c>
      <c r="AR203" s="77"/>
      <c r="AS203" s="77"/>
      <c r="AT203" s="77"/>
      <c r="AU203" s="77"/>
      <c r="AV203" s="80" t="str">
        <f>HYPERLINK("https://pbs.twimg.com/media/F3sFXEcWIAAScC9.jpg")</f>
        <v>https://pbs.twimg.com/media/F3sFXEcWIAAScC9.jpg</v>
      </c>
      <c r="AW203" s="82" t="s">
        <v>12399</v>
      </c>
      <c r="AX203" s="82" t="s">
        <v>12399</v>
      </c>
      <c r="AY203" s="77"/>
      <c r="AZ203" s="82" t="s">
        <v>15804</v>
      </c>
      <c r="BA203" s="82" t="s">
        <v>15804</v>
      </c>
      <c r="BB203" s="82" t="s">
        <v>15804</v>
      </c>
      <c r="BC203" s="82" t="s">
        <v>12399</v>
      </c>
      <c r="BD203" s="82" t="s">
        <v>16174</v>
      </c>
      <c r="BE203" s="77"/>
      <c r="BF203" s="77"/>
      <c r="BG203" s="77"/>
      <c r="BH203" s="77"/>
      <c r="BI203" s="77"/>
    </row>
    <row r="204" spans="1:61" x14ac:dyDescent="0.25">
      <c r="A204" s="62" t="s">
        <v>289</v>
      </c>
      <c r="B204" s="62" t="s">
        <v>289</v>
      </c>
      <c r="C204" s="63"/>
      <c r="D204" s="64"/>
      <c r="E204" s="65"/>
      <c r="F204" s="66"/>
      <c r="G204" s="63"/>
      <c r="H204" s="67"/>
      <c r="I204" s="68"/>
      <c r="J204" s="68"/>
      <c r="K204" s="32"/>
      <c r="L204" s="75">
        <v>204</v>
      </c>
      <c r="M204" s="75"/>
      <c r="N204" s="70"/>
      <c r="O204" s="77" t="s">
        <v>179</v>
      </c>
      <c r="P204" s="79">
        <v>45062.854733796295</v>
      </c>
      <c r="Q204" s="77" t="s">
        <v>1336</v>
      </c>
      <c r="R204" s="77">
        <v>0</v>
      </c>
      <c r="S204" s="77">
        <v>0</v>
      </c>
      <c r="T204" s="77">
        <v>0</v>
      </c>
      <c r="U204" s="77">
        <v>0</v>
      </c>
      <c r="V204" s="77">
        <v>2</v>
      </c>
      <c r="W204" s="82" t="s">
        <v>4084</v>
      </c>
      <c r="X204" s="77"/>
      <c r="Y204" s="77"/>
      <c r="Z204" s="77"/>
      <c r="AA204" s="77" t="s">
        <v>6249</v>
      </c>
      <c r="AB204" s="77" t="s">
        <v>7696</v>
      </c>
      <c r="AC204" s="82" t="s">
        <v>7708</v>
      </c>
      <c r="AD204" s="77" t="s">
        <v>7745</v>
      </c>
      <c r="AE204" s="80" t="str">
        <f>HYPERLINK("https://twitter.com/atlanticpay/status/1658570720262213640")</f>
        <v>https://twitter.com/atlanticpay/status/1658570720262213640</v>
      </c>
      <c r="AF204" s="79">
        <v>45062.854733796295</v>
      </c>
      <c r="AG204" s="85">
        <v>45062</v>
      </c>
      <c r="AH204" s="82" t="s">
        <v>7947</v>
      </c>
      <c r="AI204" s="77" t="b">
        <v>0</v>
      </c>
      <c r="AJ204" s="77"/>
      <c r="AK204" s="77"/>
      <c r="AL204" s="77"/>
      <c r="AM204" s="77"/>
      <c r="AN204" s="77"/>
      <c r="AO204" s="77"/>
      <c r="AP204" s="77"/>
      <c r="AQ204" s="77" t="s">
        <v>10756</v>
      </c>
      <c r="AR204" s="77"/>
      <c r="AS204" s="77"/>
      <c r="AT204" s="77"/>
      <c r="AU204" s="77"/>
      <c r="AV204" s="80" t="str">
        <f>HYPERLINK("https://pbs.twimg.com/media/FwRtR9PX0AQ8IK0.jpg")</f>
        <v>https://pbs.twimg.com/media/FwRtR9PX0AQ8IK0.jpg</v>
      </c>
      <c r="AW204" s="82" t="s">
        <v>12400</v>
      </c>
      <c r="AX204" s="82" t="s">
        <v>12400</v>
      </c>
      <c r="AY204" s="77"/>
      <c r="AZ204" s="82" t="s">
        <v>15804</v>
      </c>
      <c r="BA204" s="82" t="s">
        <v>15804</v>
      </c>
      <c r="BB204" s="82" t="s">
        <v>15804</v>
      </c>
      <c r="BC204" s="82" t="s">
        <v>12400</v>
      </c>
      <c r="BD204" s="82" t="s">
        <v>16175</v>
      </c>
      <c r="BE204" s="77"/>
      <c r="BF204" s="77"/>
      <c r="BG204" s="77"/>
      <c r="BH204" s="77"/>
      <c r="BI204" s="77"/>
    </row>
    <row r="205" spans="1:61" x14ac:dyDescent="0.25">
      <c r="A205" s="62" t="s">
        <v>290</v>
      </c>
      <c r="B205" s="62" t="s">
        <v>290</v>
      </c>
      <c r="C205" s="63"/>
      <c r="D205" s="64"/>
      <c r="E205" s="65"/>
      <c r="F205" s="66"/>
      <c r="G205" s="63"/>
      <c r="H205" s="67"/>
      <c r="I205" s="68"/>
      <c r="J205" s="68"/>
      <c r="K205" s="32"/>
      <c r="L205" s="75">
        <v>205</v>
      </c>
      <c r="M205" s="75"/>
      <c r="N205" s="70"/>
      <c r="O205" s="77" t="s">
        <v>1132</v>
      </c>
      <c r="P205" s="79">
        <v>45026.685231481482</v>
      </c>
      <c r="Q205" s="77" t="s">
        <v>1337</v>
      </c>
      <c r="R205" s="77">
        <v>0</v>
      </c>
      <c r="S205" s="77">
        <v>0</v>
      </c>
      <c r="T205" s="77">
        <v>1</v>
      </c>
      <c r="U205" s="77">
        <v>0</v>
      </c>
      <c r="V205" s="77">
        <v>61</v>
      </c>
      <c r="W205" s="82" t="s">
        <v>4097</v>
      </c>
      <c r="X205" s="77"/>
      <c r="Y205" s="77"/>
      <c r="Z205" s="77"/>
      <c r="AA205" s="77"/>
      <c r="AB205" s="77"/>
      <c r="AC205" s="82" t="s">
        <v>7706</v>
      </c>
      <c r="AD205" s="77" t="s">
        <v>7745</v>
      </c>
      <c r="AE205" s="80" t="str">
        <f>HYPERLINK("https://twitter.com/loopipay/status/1645463333590401034")</f>
        <v>https://twitter.com/loopipay/status/1645463333590401034</v>
      </c>
      <c r="AF205" s="79">
        <v>45026.685231481482</v>
      </c>
      <c r="AG205" s="85">
        <v>45026</v>
      </c>
      <c r="AH205" s="82" t="s">
        <v>7948</v>
      </c>
      <c r="AI205" s="77"/>
      <c r="AJ205" s="77"/>
      <c r="AK205" s="77"/>
      <c r="AL205" s="77"/>
      <c r="AM205" s="77"/>
      <c r="AN205" s="77"/>
      <c r="AO205" s="77"/>
      <c r="AP205" s="77"/>
      <c r="AQ205" s="77"/>
      <c r="AR205" s="77"/>
      <c r="AS205" s="77"/>
      <c r="AT205" s="77"/>
      <c r="AU205" s="77"/>
      <c r="AV205" s="80" t="str">
        <f>HYPERLINK("https://pbs.twimg.com/profile_images/1662150632965304320/8xGCE5kf_normal.jpg")</f>
        <v>https://pbs.twimg.com/profile_images/1662150632965304320/8xGCE5kf_normal.jpg</v>
      </c>
      <c r="AW205" s="82" t="s">
        <v>12401</v>
      </c>
      <c r="AX205" s="82" t="s">
        <v>15231</v>
      </c>
      <c r="AY205" s="82" t="s">
        <v>15683</v>
      </c>
      <c r="AZ205" s="82" t="s">
        <v>15811</v>
      </c>
      <c r="BA205" s="82" t="s">
        <v>15804</v>
      </c>
      <c r="BB205" s="82" t="s">
        <v>15804</v>
      </c>
      <c r="BC205" s="82" t="s">
        <v>15811</v>
      </c>
      <c r="BD205" s="82" t="s">
        <v>15683</v>
      </c>
      <c r="BE205" s="77"/>
      <c r="BF205" s="77"/>
      <c r="BG205" s="77"/>
      <c r="BH205" s="77"/>
      <c r="BI205" s="77"/>
    </row>
    <row r="206" spans="1:61" x14ac:dyDescent="0.25">
      <c r="A206" s="62" t="s">
        <v>291</v>
      </c>
      <c r="B206" s="62" t="s">
        <v>291</v>
      </c>
      <c r="C206" s="63"/>
      <c r="D206" s="64"/>
      <c r="E206" s="65"/>
      <c r="F206" s="66"/>
      <c r="G206" s="63"/>
      <c r="H206" s="67"/>
      <c r="I206" s="68"/>
      <c r="J206" s="68"/>
      <c r="K206" s="32"/>
      <c r="L206" s="75">
        <v>206</v>
      </c>
      <c r="M206" s="75"/>
      <c r="N206" s="70"/>
      <c r="O206" s="77" t="s">
        <v>179</v>
      </c>
      <c r="P206" s="79">
        <v>45057.750023148146</v>
      </c>
      <c r="Q206" s="77" t="s">
        <v>1338</v>
      </c>
      <c r="R206" s="77">
        <v>0</v>
      </c>
      <c r="S206" s="77">
        <v>1</v>
      </c>
      <c r="T206" s="77">
        <v>0</v>
      </c>
      <c r="U206" s="77">
        <v>0</v>
      </c>
      <c r="V206" s="77">
        <v>34</v>
      </c>
      <c r="W206" s="82" t="s">
        <v>4188</v>
      </c>
      <c r="X206" s="80" t="str">
        <f>HYPERLINK("https://diariodocomercio.com.br/opiniao/juros-sobe-desce-debate/")</f>
        <v>https://diariodocomercio.com.br/opiniao/juros-sobe-desce-debate/</v>
      </c>
      <c r="Y206" s="77" t="s">
        <v>6002</v>
      </c>
      <c r="Z206" s="77"/>
      <c r="AA206" s="77"/>
      <c r="AB206" s="77"/>
      <c r="AC206" s="82" t="s">
        <v>7713</v>
      </c>
      <c r="AD206" s="77" t="s">
        <v>7745</v>
      </c>
      <c r="AE206" s="80" t="str">
        <f>HYPERLINK("https://twitter.com/diario_comercio/status/1656720834990309380")</f>
        <v>https://twitter.com/diario_comercio/status/1656720834990309380</v>
      </c>
      <c r="AF206" s="79">
        <v>45057.750023148146</v>
      </c>
      <c r="AG206" s="85">
        <v>45057</v>
      </c>
      <c r="AH206" s="82" t="s">
        <v>7949</v>
      </c>
      <c r="AI206" s="77" t="b">
        <v>0</v>
      </c>
      <c r="AJ206" s="77"/>
      <c r="AK206" s="77"/>
      <c r="AL206" s="77"/>
      <c r="AM206" s="77"/>
      <c r="AN206" s="77"/>
      <c r="AO206" s="77"/>
      <c r="AP206" s="77"/>
      <c r="AQ206" s="77"/>
      <c r="AR206" s="77"/>
      <c r="AS206" s="77"/>
      <c r="AT206" s="77"/>
      <c r="AU206" s="77"/>
      <c r="AV206" s="80" t="str">
        <f>HYPERLINK("https://pbs.twimg.com/profile_images/1610325557580898306/UZehEg0I_normal.jpg")</f>
        <v>https://pbs.twimg.com/profile_images/1610325557580898306/UZehEg0I_normal.jpg</v>
      </c>
      <c r="AW206" s="82" t="s">
        <v>12402</v>
      </c>
      <c r="AX206" s="82" t="s">
        <v>12402</v>
      </c>
      <c r="AY206" s="77"/>
      <c r="AZ206" s="82" t="s">
        <v>15804</v>
      </c>
      <c r="BA206" s="82" t="s">
        <v>15804</v>
      </c>
      <c r="BB206" s="82" t="s">
        <v>15804</v>
      </c>
      <c r="BC206" s="82" t="s">
        <v>12402</v>
      </c>
      <c r="BD206" s="77">
        <v>94388843</v>
      </c>
      <c r="BE206" s="77"/>
      <c r="BF206" s="77"/>
      <c r="BG206" s="77"/>
      <c r="BH206" s="77"/>
      <c r="BI206" s="77"/>
    </row>
    <row r="207" spans="1:61" x14ac:dyDescent="0.25">
      <c r="A207" s="62" t="s">
        <v>292</v>
      </c>
      <c r="B207" s="62" t="s">
        <v>292</v>
      </c>
      <c r="C207" s="63"/>
      <c r="D207" s="64"/>
      <c r="E207" s="65"/>
      <c r="F207" s="66"/>
      <c r="G207" s="63"/>
      <c r="H207" s="67"/>
      <c r="I207" s="68"/>
      <c r="J207" s="68"/>
      <c r="K207" s="32"/>
      <c r="L207" s="75">
        <v>207</v>
      </c>
      <c r="M207" s="75"/>
      <c r="N207" s="70"/>
      <c r="O207" s="77" t="s">
        <v>179</v>
      </c>
      <c r="P207" s="79">
        <v>44957.052372685182</v>
      </c>
      <c r="Q207" s="77" t="s">
        <v>1339</v>
      </c>
      <c r="R207" s="77">
        <v>0</v>
      </c>
      <c r="S207" s="77">
        <v>0</v>
      </c>
      <c r="T207" s="77">
        <v>0</v>
      </c>
      <c r="U207" s="77">
        <v>0</v>
      </c>
      <c r="V207" s="77">
        <v>4</v>
      </c>
      <c r="W207" s="82" t="s">
        <v>4189</v>
      </c>
      <c r="X207" s="77"/>
      <c r="Y207" s="77"/>
      <c r="Z207" s="77"/>
      <c r="AA207" s="77"/>
      <c r="AB207" s="77"/>
      <c r="AC207" s="82" t="s">
        <v>7706</v>
      </c>
      <c r="AD207" s="77" t="s">
        <v>7745</v>
      </c>
      <c r="AE207" s="80" t="str">
        <f>HYPERLINK("https://twitter.com/santiagolmoraes/status/1620229229261774849")</f>
        <v>https://twitter.com/santiagolmoraes/status/1620229229261774849</v>
      </c>
      <c r="AF207" s="79">
        <v>44957.052372685182</v>
      </c>
      <c r="AG207" s="85">
        <v>44957</v>
      </c>
      <c r="AH207" s="82" t="s">
        <v>7950</v>
      </c>
      <c r="AI207" s="77"/>
      <c r="AJ207" s="77"/>
      <c r="AK207" s="77"/>
      <c r="AL207" s="77"/>
      <c r="AM207" s="77"/>
      <c r="AN207" s="77"/>
      <c r="AO207" s="77"/>
      <c r="AP207" s="77"/>
      <c r="AQ207" s="77"/>
      <c r="AR207" s="77"/>
      <c r="AS207" s="77"/>
      <c r="AT207" s="77"/>
      <c r="AU207" s="77"/>
      <c r="AV207" s="80" t="str">
        <f>HYPERLINK("https://pbs.twimg.com/profile_images/1535590782832414720/m76mRnR1_normal.jpg")</f>
        <v>https://pbs.twimg.com/profile_images/1535590782832414720/m76mRnR1_normal.jpg</v>
      </c>
      <c r="AW207" s="82" t="s">
        <v>12403</v>
      </c>
      <c r="AX207" s="82" t="s">
        <v>12403</v>
      </c>
      <c r="AY207" s="77"/>
      <c r="AZ207" s="82" t="s">
        <v>15804</v>
      </c>
      <c r="BA207" s="82" t="s">
        <v>15804</v>
      </c>
      <c r="BB207" s="82" t="s">
        <v>15804</v>
      </c>
      <c r="BC207" s="82" t="s">
        <v>12403</v>
      </c>
      <c r="BD207" s="77">
        <v>1369100046</v>
      </c>
      <c r="BE207" s="77"/>
      <c r="BF207" s="77"/>
      <c r="BG207" s="77"/>
      <c r="BH207" s="77"/>
      <c r="BI207" s="77"/>
    </row>
    <row r="208" spans="1:61" x14ac:dyDescent="0.25">
      <c r="A208" s="62" t="s">
        <v>293</v>
      </c>
      <c r="B208" s="62" t="s">
        <v>293</v>
      </c>
      <c r="C208" s="63"/>
      <c r="D208" s="64"/>
      <c r="E208" s="65"/>
      <c r="F208" s="66"/>
      <c r="G208" s="63"/>
      <c r="H208" s="67"/>
      <c r="I208" s="68"/>
      <c r="J208" s="68"/>
      <c r="K208" s="32"/>
      <c r="L208" s="75">
        <v>208</v>
      </c>
      <c r="M208" s="75"/>
      <c r="N208" s="70"/>
      <c r="O208" s="77" t="s">
        <v>1132</v>
      </c>
      <c r="P208" s="79">
        <v>45043.216365740744</v>
      </c>
      <c r="Q208" s="77" t="s">
        <v>1340</v>
      </c>
      <c r="R208" s="77">
        <v>0</v>
      </c>
      <c r="S208" s="77">
        <v>0</v>
      </c>
      <c r="T208" s="77">
        <v>0</v>
      </c>
      <c r="U208" s="77">
        <v>0</v>
      </c>
      <c r="V208" s="77">
        <v>11</v>
      </c>
      <c r="W208" s="82" t="s">
        <v>4190</v>
      </c>
      <c r="X208" s="77"/>
      <c r="Y208" s="77"/>
      <c r="Z208" s="77"/>
      <c r="AA208" s="77"/>
      <c r="AB208" s="77"/>
      <c r="AC208" s="82" t="s">
        <v>7707</v>
      </c>
      <c r="AD208" s="77" t="s">
        <v>7748</v>
      </c>
      <c r="AE208" s="80" t="str">
        <f>HYPERLINK("https://twitter.com/paraminvest/status/1651454014809341953")</f>
        <v>https://twitter.com/paraminvest/status/1651454014809341953</v>
      </c>
      <c r="AF208" s="79">
        <v>45043.216365740744</v>
      </c>
      <c r="AG208" s="85">
        <v>45043</v>
      </c>
      <c r="AH208" s="82" t="s">
        <v>7951</v>
      </c>
      <c r="AI208" s="77"/>
      <c r="AJ208" s="77"/>
      <c r="AK208" s="77"/>
      <c r="AL208" s="77"/>
      <c r="AM208" s="77"/>
      <c r="AN208" s="77"/>
      <c r="AO208" s="77"/>
      <c r="AP208" s="77"/>
      <c r="AQ208" s="77"/>
      <c r="AR208" s="77"/>
      <c r="AS208" s="77"/>
      <c r="AT208" s="77"/>
      <c r="AU208" s="77"/>
      <c r="AV208" s="80" t="str">
        <f>HYPERLINK("https://pbs.twimg.com/profile_images/1660516506491568129/s9Q9FabK_normal.jpg")</f>
        <v>https://pbs.twimg.com/profile_images/1660516506491568129/s9Q9FabK_normal.jpg</v>
      </c>
      <c r="AW208" s="82" t="s">
        <v>12404</v>
      </c>
      <c r="AX208" s="82" t="s">
        <v>15232</v>
      </c>
      <c r="AY208" s="82" t="s">
        <v>15684</v>
      </c>
      <c r="AZ208" s="82" t="s">
        <v>15232</v>
      </c>
      <c r="BA208" s="82" t="s">
        <v>15804</v>
      </c>
      <c r="BB208" s="82" t="s">
        <v>15804</v>
      </c>
      <c r="BC208" s="82" t="s">
        <v>15232</v>
      </c>
      <c r="BD208" s="77">
        <v>2469127752</v>
      </c>
      <c r="BE208" s="77"/>
      <c r="BF208" s="77"/>
      <c r="BG208" s="77"/>
      <c r="BH208" s="77"/>
      <c r="BI208" s="77"/>
    </row>
    <row r="209" spans="1:61" x14ac:dyDescent="0.25">
      <c r="A209" s="62" t="s">
        <v>294</v>
      </c>
      <c r="B209" s="62" t="s">
        <v>294</v>
      </c>
      <c r="C209" s="63"/>
      <c r="D209" s="64"/>
      <c r="E209" s="65"/>
      <c r="F209" s="66"/>
      <c r="G209" s="63"/>
      <c r="H209" s="67"/>
      <c r="I209" s="68"/>
      <c r="J209" s="68"/>
      <c r="K209" s="32"/>
      <c r="L209" s="75">
        <v>209</v>
      </c>
      <c r="M209" s="75"/>
      <c r="N209" s="70"/>
      <c r="O209" s="77" t="s">
        <v>179</v>
      </c>
      <c r="P209" s="79">
        <v>45129.641423611109</v>
      </c>
      <c r="Q209" s="77" t="s">
        <v>1341</v>
      </c>
      <c r="R209" s="77">
        <v>0</v>
      </c>
      <c r="S209" s="77">
        <v>1</v>
      </c>
      <c r="T209" s="77">
        <v>0</v>
      </c>
      <c r="U209" s="77">
        <v>0</v>
      </c>
      <c r="V209" s="77">
        <v>63</v>
      </c>
      <c r="W209" s="82" t="s">
        <v>4191</v>
      </c>
      <c r="X209" s="77"/>
      <c r="Y209" s="77"/>
      <c r="Z209" s="77"/>
      <c r="AA209" s="77" t="s">
        <v>6250</v>
      </c>
      <c r="AB209" s="77" t="s">
        <v>7697</v>
      </c>
      <c r="AC209" s="82" t="s">
        <v>7707</v>
      </c>
      <c r="AD209" s="77" t="s">
        <v>7746</v>
      </c>
      <c r="AE209" s="80" t="str">
        <f>HYPERLINK("https://twitter.com/sandroveiga_/status/1682773407287369736")</f>
        <v>https://twitter.com/sandroveiga_/status/1682773407287369736</v>
      </c>
      <c r="AF209" s="79">
        <v>45129.641423611109</v>
      </c>
      <c r="AG209" s="85">
        <v>45129</v>
      </c>
      <c r="AH209" s="82" t="s">
        <v>7952</v>
      </c>
      <c r="AI209" s="77" t="b">
        <v>0</v>
      </c>
      <c r="AJ209" s="77"/>
      <c r="AK209" s="77"/>
      <c r="AL209" s="77"/>
      <c r="AM209" s="77"/>
      <c r="AN209" s="77"/>
      <c r="AO209" s="77"/>
      <c r="AP209" s="77"/>
      <c r="AQ209" s="77" t="s">
        <v>10757</v>
      </c>
      <c r="AR209" s="77">
        <v>68822</v>
      </c>
      <c r="AS209" s="77"/>
      <c r="AT209" s="77"/>
      <c r="AU209" s="77">
        <v>11</v>
      </c>
      <c r="AV209" s="80" t="str">
        <f>HYPERLINK("https://pbs.twimg.com/ext_tw_video_thumb/1682773371174436864/pu/img/b7C6U_d-P02M93Um.jpg")</f>
        <v>https://pbs.twimg.com/ext_tw_video_thumb/1682773371174436864/pu/img/b7C6U_d-P02M93Um.jpg</v>
      </c>
      <c r="AW209" s="82" t="s">
        <v>12405</v>
      </c>
      <c r="AX209" s="82" t="s">
        <v>12405</v>
      </c>
      <c r="AY209" s="77"/>
      <c r="AZ209" s="82" t="s">
        <v>15804</v>
      </c>
      <c r="BA209" s="82" t="s">
        <v>15804</v>
      </c>
      <c r="BB209" s="82" t="s">
        <v>15804</v>
      </c>
      <c r="BC209" s="82" t="s">
        <v>12405</v>
      </c>
      <c r="BD209" s="77">
        <v>2868134025</v>
      </c>
      <c r="BE209" s="77"/>
      <c r="BF209" s="77"/>
      <c r="BG209" s="77"/>
      <c r="BH209" s="77"/>
      <c r="BI209" s="77"/>
    </row>
    <row r="210" spans="1:61" x14ac:dyDescent="0.25">
      <c r="A210" s="62" t="s">
        <v>295</v>
      </c>
      <c r="B210" s="62" t="s">
        <v>295</v>
      </c>
      <c r="C210" s="63"/>
      <c r="D210" s="64"/>
      <c r="E210" s="65"/>
      <c r="F210" s="66"/>
      <c r="G210" s="63"/>
      <c r="H210" s="67"/>
      <c r="I210" s="68"/>
      <c r="J210" s="68"/>
      <c r="K210" s="32"/>
      <c r="L210" s="75">
        <v>210</v>
      </c>
      <c r="M210" s="75"/>
      <c r="N210" s="70"/>
      <c r="O210" s="77" t="s">
        <v>179</v>
      </c>
      <c r="P210" s="79">
        <v>44988.792048611111</v>
      </c>
      <c r="Q210" s="77" t="s">
        <v>1342</v>
      </c>
      <c r="R210" s="77">
        <v>0</v>
      </c>
      <c r="S210" s="77">
        <v>0</v>
      </c>
      <c r="T210" s="77">
        <v>0</v>
      </c>
      <c r="U210" s="77">
        <v>0</v>
      </c>
      <c r="V210" s="77">
        <v>21</v>
      </c>
      <c r="W210" s="82" t="s">
        <v>4192</v>
      </c>
      <c r="X210" s="77"/>
      <c r="Y210" s="77"/>
      <c r="Z210" s="77"/>
      <c r="AA210" s="77" t="s">
        <v>6251</v>
      </c>
      <c r="AB210" s="77" t="s">
        <v>7698</v>
      </c>
      <c r="AC210" s="82" t="s">
        <v>7708</v>
      </c>
      <c r="AD210" s="77" t="s">
        <v>7745</v>
      </c>
      <c r="AE210" s="80" t="str">
        <f>HYPERLINK("https://twitter.com/deduzsolucoes/status/1631731303434395675")</f>
        <v>https://twitter.com/deduzsolucoes/status/1631731303434395675</v>
      </c>
      <c r="AF210" s="79">
        <v>44988.792048611111</v>
      </c>
      <c r="AG210" s="85">
        <v>44988</v>
      </c>
      <c r="AH210" s="82" t="s">
        <v>7953</v>
      </c>
      <c r="AI210" s="77" t="b">
        <v>0</v>
      </c>
      <c r="AJ210" s="77"/>
      <c r="AK210" s="77"/>
      <c r="AL210" s="77"/>
      <c r="AM210" s="77"/>
      <c r="AN210" s="77"/>
      <c r="AO210" s="77"/>
      <c r="AP210" s="77"/>
      <c r="AQ210" s="77" t="s">
        <v>10758</v>
      </c>
      <c r="AR210" s="77"/>
      <c r="AS210" s="77"/>
      <c r="AT210" s="77"/>
      <c r="AU210" s="77"/>
      <c r="AV210" s="80" t="str">
        <f>HYPERLINK("https://pbs.twimg.com/media/FqUS-NSXoAwu8UC.jpg")</f>
        <v>https://pbs.twimg.com/media/FqUS-NSXoAwu8UC.jpg</v>
      </c>
      <c r="AW210" s="82" t="s">
        <v>12406</v>
      </c>
      <c r="AX210" s="82" t="s">
        <v>12406</v>
      </c>
      <c r="AY210" s="77"/>
      <c r="AZ210" s="82" t="s">
        <v>15804</v>
      </c>
      <c r="BA210" s="82" t="s">
        <v>15804</v>
      </c>
      <c r="BB210" s="82" t="s">
        <v>15804</v>
      </c>
      <c r="BC210" s="82" t="s">
        <v>12406</v>
      </c>
      <c r="BD210" s="82" t="s">
        <v>16176</v>
      </c>
      <c r="BE210" s="77"/>
      <c r="BF210" s="77"/>
      <c r="BG210" s="77"/>
      <c r="BH210" s="77"/>
      <c r="BI210" s="77"/>
    </row>
    <row r="211" spans="1:61" x14ac:dyDescent="0.25">
      <c r="A211" s="62" t="s">
        <v>296</v>
      </c>
      <c r="B211" s="62" t="s">
        <v>296</v>
      </c>
      <c r="C211" s="63"/>
      <c r="D211" s="64"/>
      <c r="E211" s="65"/>
      <c r="F211" s="66"/>
      <c r="G211" s="63"/>
      <c r="H211" s="67"/>
      <c r="I211" s="68"/>
      <c r="J211" s="68"/>
      <c r="K211" s="32"/>
      <c r="L211" s="75">
        <v>211</v>
      </c>
      <c r="M211" s="75"/>
      <c r="N211" s="70"/>
      <c r="O211" s="77" t="s">
        <v>179</v>
      </c>
      <c r="P211" s="79">
        <v>45159.717291666668</v>
      </c>
      <c r="Q211" s="77" t="s">
        <v>1343</v>
      </c>
      <c r="R211" s="77">
        <v>0</v>
      </c>
      <c r="S211" s="77">
        <v>0</v>
      </c>
      <c r="T211" s="77">
        <v>0</v>
      </c>
      <c r="U211" s="77">
        <v>0</v>
      </c>
      <c r="V211" s="77">
        <v>61</v>
      </c>
      <c r="W211" s="82" t="s">
        <v>4097</v>
      </c>
      <c r="X211" s="77"/>
      <c r="Y211" s="77"/>
      <c r="Z211" s="77"/>
      <c r="AA211" s="77"/>
      <c r="AB211" s="77"/>
      <c r="AC211" s="82" t="s">
        <v>7707</v>
      </c>
      <c r="AD211" s="77" t="s">
        <v>7745</v>
      </c>
      <c r="AE211" s="80" t="str">
        <f>HYPERLINK("https://twitter.com/origin22_22/status/1693672537392066931")</f>
        <v>https://twitter.com/origin22_22/status/1693672537392066931</v>
      </c>
      <c r="AF211" s="79">
        <v>45159.717291666668</v>
      </c>
      <c r="AG211" s="85">
        <v>45159</v>
      </c>
      <c r="AH211" s="82" t="s">
        <v>7954</v>
      </c>
      <c r="AI211" s="77"/>
      <c r="AJ211" s="77"/>
      <c r="AK211" s="77"/>
      <c r="AL211" s="77"/>
      <c r="AM211" s="77"/>
      <c r="AN211" s="77"/>
      <c r="AO211" s="77"/>
      <c r="AP211" s="77"/>
      <c r="AQ211" s="77"/>
      <c r="AR211" s="77"/>
      <c r="AS211" s="77"/>
      <c r="AT211" s="77"/>
      <c r="AU211" s="77"/>
      <c r="AV211" s="80" t="str">
        <f>HYPERLINK("https://pbs.twimg.com/profile_images/1556378128540385282/6_C43Yzh_normal.jpg")</f>
        <v>https://pbs.twimg.com/profile_images/1556378128540385282/6_C43Yzh_normal.jpg</v>
      </c>
      <c r="AW211" s="82" t="s">
        <v>12407</v>
      </c>
      <c r="AX211" s="82" t="s">
        <v>12407</v>
      </c>
      <c r="AY211" s="77"/>
      <c r="AZ211" s="82" t="s">
        <v>15804</v>
      </c>
      <c r="BA211" s="82" t="s">
        <v>15804</v>
      </c>
      <c r="BB211" s="82" t="s">
        <v>15804</v>
      </c>
      <c r="BC211" s="82" t="s">
        <v>12407</v>
      </c>
      <c r="BD211" s="77">
        <v>3292463382</v>
      </c>
      <c r="BE211" s="77"/>
      <c r="BF211" s="77"/>
      <c r="BG211" s="77"/>
      <c r="BH211" s="77"/>
      <c r="BI211" s="77"/>
    </row>
    <row r="212" spans="1:61" x14ac:dyDescent="0.25">
      <c r="A212" s="62" t="s">
        <v>296</v>
      </c>
      <c r="B212" s="62" t="s">
        <v>296</v>
      </c>
      <c r="C212" s="63"/>
      <c r="D212" s="64"/>
      <c r="E212" s="65"/>
      <c r="F212" s="66"/>
      <c r="G212" s="63"/>
      <c r="H212" s="67"/>
      <c r="I212" s="68"/>
      <c r="J212" s="68"/>
      <c r="K212" s="32"/>
      <c r="L212" s="75">
        <v>212</v>
      </c>
      <c r="M212" s="75"/>
      <c r="N212" s="70"/>
      <c r="O212" s="77" t="s">
        <v>179</v>
      </c>
      <c r="P212" s="79">
        <v>45165.579444444447</v>
      </c>
      <c r="Q212" s="77" t="s">
        <v>1344</v>
      </c>
      <c r="R212" s="77">
        <v>0</v>
      </c>
      <c r="S212" s="77">
        <v>1</v>
      </c>
      <c r="T212" s="77">
        <v>0</v>
      </c>
      <c r="U212" s="77">
        <v>0</v>
      </c>
      <c r="V212" s="77">
        <v>104</v>
      </c>
      <c r="W212" s="82" t="s">
        <v>4097</v>
      </c>
      <c r="X212" s="77"/>
      <c r="Y212" s="77"/>
      <c r="Z212" s="77"/>
      <c r="AA212" s="77"/>
      <c r="AB212" s="77"/>
      <c r="AC212" s="82" t="s">
        <v>7707</v>
      </c>
      <c r="AD212" s="77" t="s">
        <v>7745</v>
      </c>
      <c r="AE212" s="80" t="str">
        <f>HYPERLINK("https://twitter.com/origin22_22/status/1695796910919975101")</f>
        <v>https://twitter.com/origin22_22/status/1695796910919975101</v>
      </c>
      <c r="AF212" s="79">
        <v>45165.579444444447</v>
      </c>
      <c r="AG212" s="85">
        <v>45165</v>
      </c>
      <c r="AH212" s="82" t="s">
        <v>7955</v>
      </c>
      <c r="AI212" s="77"/>
      <c r="AJ212" s="77"/>
      <c r="AK212" s="77"/>
      <c r="AL212" s="77"/>
      <c r="AM212" s="77"/>
      <c r="AN212" s="77"/>
      <c r="AO212" s="77"/>
      <c r="AP212" s="77"/>
      <c r="AQ212" s="77"/>
      <c r="AR212" s="77"/>
      <c r="AS212" s="77"/>
      <c r="AT212" s="77"/>
      <c r="AU212" s="77"/>
      <c r="AV212" s="80" t="str">
        <f>HYPERLINK("https://pbs.twimg.com/profile_images/1556378128540385282/6_C43Yzh_normal.jpg")</f>
        <v>https://pbs.twimg.com/profile_images/1556378128540385282/6_C43Yzh_normal.jpg</v>
      </c>
      <c r="AW212" s="82" t="s">
        <v>12408</v>
      </c>
      <c r="AX212" s="82" t="s">
        <v>12408</v>
      </c>
      <c r="AY212" s="77"/>
      <c r="AZ212" s="82" t="s">
        <v>15804</v>
      </c>
      <c r="BA212" s="82" t="s">
        <v>15804</v>
      </c>
      <c r="BB212" s="82" t="s">
        <v>15804</v>
      </c>
      <c r="BC212" s="82" t="s">
        <v>12408</v>
      </c>
      <c r="BD212" s="77">
        <v>3292463382</v>
      </c>
      <c r="BE212" s="77"/>
      <c r="BF212" s="77"/>
      <c r="BG212" s="77"/>
      <c r="BH212" s="77"/>
      <c r="BI212" s="77"/>
    </row>
    <row r="213" spans="1:61" x14ac:dyDescent="0.25">
      <c r="A213" s="62" t="s">
        <v>296</v>
      </c>
      <c r="B213" s="62" t="s">
        <v>296</v>
      </c>
      <c r="C213" s="63"/>
      <c r="D213" s="64"/>
      <c r="E213" s="65"/>
      <c r="F213" s="66"/>
      <c r="G213" s="63"/>
      <c r="H213" s="67"/>
      <c r="I213" s="68"/>
      <c r="J213" s="68"/>
      <c r="K213" s="32"/>
      <c r="L213" s="75">
        <v>213</v>
      </c>
      <c r="M213" s="75"/>
      <c r="N213" s="70"/>
      <c r="O213" s="77" t="s">
        <v>179</v>
      </c>
      <c r="P213" s="79">
        <v>45151.404664351852</v>
      </c>
      <c r="Q213" s="77" t="s">
        <v>1345</v>
      </c>
      <c r="R213" s="77">
        <v>0</v>
      </c>
      <c r="S213" s="77">
        <v>0</v>
      </c>
      <c r="T213" s="77">
        <v>0</v>
      </c>
      <c r="U213" s="77">
        <v>0</v>
      </c>
      <c r="V213" s="77">
        <v>59</v>
      </c>
      <c r="W213" s="82" t="s">
        <v>4097</v>
      </c>
      <c r="X213" s="77"/>
      <c r="Y213" s="77"/>
      <c r="Z213" s="77"/>
      <c r="AA213" s="77"/>
      <c r="AB213" s="77"/>
      <c r="AC213" s="82" t="s">
        <v>7707</v>
      </c>
      <c r="AD213" s="77" t="s">
        <v>7745</v>
      </c>
      <c r="AE213" s="80" t="str">
        <f>HYPERLINK("https://twitter.com/origin22_22/status/1690660143950602240")</f>
        <v>https://twitter.com/origin22_22/status/1690660143950602240</v>
      </c>
      <c r="AF213" s="79">
        <v>45151.404664351852</v>
      </c>
      <c r="AG213" s="85">
        <v>45151</v>
      </c>
      <c r="AH213" s="82" t="s">
        <v>7956</v>
      </c>
      <c r="AI213" s="77"/>
      <c r="AJ213" s="77"/>
      <c r="AK213" s="77"/>
      <c r="AL213" s="77"/>
      <c r="AM213" s="77"/>
      <c r="AN213" s="77"/>
      <c r="AO213" s="77"/>
      <c r="AP213" s="77"/>
      <c r="AQ213" s="77"/>
      <c r="AR213" s="77"/>
      <c r="AS213" s="77"/>
      <c r="AT213" s="77"/>
      <c r="AU213" s="77"/>
      <c r="AV213" s="80" t="str">
        <f>HYPERLINK("https://pbs.twimg.com/profile_images/1556378128540385282/6_C43Yzh_normal.jpg")</f>
        <v>https://pbs.twimg.com/profile_images/1556378128540385282/6_C43Yzh_normal.jpg</v>
      </c>
      <c r="AW213" s="82" t="s">
        <v>12409</v>
      </c>
      <c r="AX213" s="82" t="s">
        <v>12409</v>
      </c>
      <c r="AY213" s="77"/>
      <c r="AZ213" s="82" t="s">
        <v>15804</v>
      </c>
      <c r="BA213" s="82" t="s">
        <v>15804</v>
      </c>
      <c r="BB213" s="82" t="s">
        <v>15804</v>
      </c>
      <c r="BC213" s="82" t="s">
        <v>12409</v>
      </c>
      <c r="BD213" s="77">
        <v>3292463382</v>
      </c>
      <c r="BE213" s="77"/>
      <c r="BF213" s="77"/>
      <c r="BG213" s="77"/>
      <c r="BH213" s="77"/>
      <c r="BI213" s="77"/>
    </row>
    <row r="214" spans="1:61" x14ac:dyDescent="0.25">
      <c r="A214" s="62" t="s">
        <v>296</v>
      </c>
      <c r="B214" s="62" t="s">
        <v>296</v>
      </c>
      <c r="C214" s="63"/>
      <c r="D214" s="64"/>
      <c r="E214" s="65"/>
      <c r="F214" s="66"/>
      <c r="G214" s="63"/>
      <c r="H214" s="67"/>
      <c r="I214" s="68"/>
      <c r="J214" s="68"/>
      <c r="K214" s="32"/>
      <c r="L214" s="75">
        <v>214</v>
      </c>
      <c r="M214" s="75"/>
      <c r="N214" s="70"/>
      <c r="O214" s="77" t="s">
        <v>179</v>
      </c>
      <c r="P214" s="79">
        <v>45164.69798611111</v>
      </c>
      <c r="Q214" s="77" t="s">
        <v>1346</v>
      </c>
      <c r="R214" s="77">
        <v>0</v>
      </c>
      <c r="S214" s="77">
        <v>0</v>
      </c>
      <c r="T214" s="77">
        <v>0</v>
      </c>
      <c r="U214" s="77">
        <v>0</v>
      </c>
      <c r="V214" s="77">
        <v>83</v>
      </c>
      <c r="W214" s="82" t="s">
        <v>4097</v>
      </c>
      <c r="X214" s="77"/>
      <c r="Y214" s="77"/>
      <c r="Z214" s="77"/>
      <c r="AA214" s="77" t="s">
        <v>6252</v>
      </c>
      <c r="AB214" s="77" t="s">
        <v>7699</v>
      </c>
      <c r="AC214" s="82" t="s">
        <v>7707</v>
      </c>
      <c r="AD214" s="77" t="s">
        <v>7745</v>
      </c>
      <c r="AE214" s="80" t="str">
        <f>HYPERLINK("https://twitter.com/origin22_22/status/1695477480491032856")</f>
        <v>https://twitter.com/origin22_22/status/1695477480491032856</v>
      </c>
      <c r="AF214" s="79">
        <v>45164.69798611111</v>
      </c>
      <c r="AG214" s="85">
        <v>45164</v>
      </c>
      <c r="AH214" s="82" t="s">
        <v>7957</v>
      </c>
      <c r="AI214" s="77" t="b">
        <v>0</v>
      </c>
      <c r="AJ214" s="77"/>
      <c r="AK214" s="77"/>
      <c r="AL214" s="77"/>
      <c r="AM214" s="77"/>
      <c r="AN214" s="77"/>
      <c r="AO214" s="77"/>
      <c r="AP214" s="77"/>
      <c r="AQ214" s="77" t="s">
        <v>10759</v>
      </c>
      <c r="AR214" s="77"/>
      <c r="AS214" s="77"/>
      <c r="AT214" s="77"/>
      <c r="AU214" s="77"/>
      <c r="AV214" s="80" t="str">
        <f>HYPERLINK("https://pbs.twimg.com/tweet_video_thumb/F4eLxx-XIAAoSGf.jpg")</f>
        <v>https://pbs.twimg.com/tweet_video_thumb/F4eLxx-XIAAoSGf.jpg</v>
      </c>
      <c r="AW214" s="82" t="s">
        <v>12410</v>
      </c>
      <c r="AX214" s="82" t="s">
        <v>12410</v>
      </c>
      <c r="AY214" s="77"/>
      <c r="AZ214" s="82" t="s">
        <v>15804</v>
      </c>
      <c r="BA214" s="82" t="s">
        <v>15804</v>
      </c>
      <c r="BB214" s="82" t="s">
        <v>15804</v>
      </c>
      <c r="BC214" s="82" t="s">
        <v>12410</v>
      </c>
      <c r="BD214" s="77">
        <v>3292463382</v>
      </c>
      <c r="BE214" s="77"/>
      <c r="BF214" s="77"/>
      <c r="BG214" s="77"/>
      <c r="BH214" s="77"/>
      <c r="BI214" s="77"/>
    </row>
    <row r="215" spans="1:61" x14ac:dyDescent="0.25">
      <c r="A215" s="62" t="s">
        <v>296</v>
      </c>
      <c r="B215" s="62" t="s">
        <v>296</v>
      </c>
      <c r="C215" s="63"/>
      <c r="D215" s="64"/>
      <c r="E215" s="65"/>
      <c r="F215" s="66"/>
      <c r="G215" s="63"/>
      <c r="H215" s="67"/>
      <c r="I215" s="68"/>
      <c r="J215" s="68"/>
      <c r="K215" s="32"/>
      <c r="L215" s="75">
        <v>215</v>
      </c>
      <c r="M215" s="75"/>
      <c r="N215" s="70"/>
      <c r="O215" s="77" t="s">
        <v>179</v>
      </c>
      <c r="P215" s="79">
        <v>45172.476099537038</v>
      </c>
      <c r="Q215" s="77" t="s">
        <v>1347</v>
      </c>
      <c r="R215" s="77">
        <v>0</v>
      </c>
      <c r="S215" s="77">
        <v>0</v>
      </c>
      <c r="T215" s="77">
        <v>0</v>
      </c>
      <c r="U215" s="77">
        <v>0</v>
      </c>
      <c r="V215" s="77">
        <v>55</v>
      </c>
      <c r="W215" s="82" t="s">
        <v>4097</v>
      </c>
      <c r="X215" s="77"/>
      <c r="Y215" s="77"/>
      <c r="Z215" s="77"/>
      <c r="AA215" s="77"/>
      <c r="AB215" s="77"/>
      <c r="AC215" s="82" t="s">
        <v>7707</v>
      </c>
      <c r="AD215" s="77" t="s">
        <v>7745</v>
      </c>
      <c r="AE215" s="80" t="str">
        <f>HYPERLINK("https://twitter.com/origin22_22/status/1698296174904586330")</f>
        <v>https://twitter.com/origin22_22/status/1698296174904586330</v>
      </c>
      <c r="AF215" s="79">
        <v>45172.476099537038</v>
      </c>
      <c r="AG215" s="85">
        <v>45172</v>
      </c>
      <c r="AH215" s="82" t="s">
        <v>7958</v>
      </c>
      <c r="AI215" s="77"/>
      <c r="AJ215" s="77"/>
      <c r="AK215" s="77"/>
      <c r="AL215" s="77"/>
      <c r="AM215" s="77"/>
      <c r="AN215" s="77"/>
      <c r="AO215" s="77"/>
      <c r="AP215" s="77"/>
      <c r="AQ215" s="77"/>
      <c r="AR215" s="77"/>
      <c r="AS215" s="77"/>
      <c r="AT215" s="77"/>
      <c r="AU215" s="77"/>
      <c r="AV215" s="80" t="str">
        <f>HYPERLINK("https://pbs.twimg.com/profile_images/1556378128540385282/6_C43Yzh_normal.jpg")</f>
        <v>https://pbs.twimg.com/profile_images/1556378128540385282/6_C43Yzh_normal.jpg</v>
      </c>
      <c r="AW215" s="82" t="s">
        <v>12411</v>
      </c>
      <c r="AX215" s="82" t="s">
        <v>12411</v>
      </c>
      <c r="AY215" s="77"/>
      <c r="AZ215" s="82" t="s">
        <v>15804</v>
      </c>
      <c r="BA215" s="82" t="s">
        <v>15804</v>
      </c>
      <c r="BB215" s="82" t="s">
        <v>15804</v>
      </c>
      <c r="BC215" s="82" t="s">
        <v>12411</v>
      </c>
      <c r="BD215" s="77">
        <v>3292463382</v>
      </c>
      <c r="BE215" s="77"/>
      <c r="BF215" s="77"/>
      <c r="BG215" s="77"/>
      <c r="BH215" s="77"/>
      <c r="BI215" s="77"/>
    </row>
    <row r="216" spans="1:61" x14ac:dyDescent="0.25">
      <c r="A216" s="62" t="s">
        <v>296</v>
      </c>
      <c r="B216" s="62" t="s">
        <v>296</v>
      </c>
      <c r="C216" s="63"/>
      <c r="D216" s="64"/>
      <c r="E216" s="65"/>
      <c r="F216" s="66"/>
      <c r="G216" s="63"/>
      <c r="H216" s="67"/>
      <c r="I216" s="68"/>
      <c r="J216" s="68"/>
      <c r="K216" s="32"/>
      <c r="L216" s="75">
        <v>216</v>
      </c>
      <c r="M216" s="75"/>
      <c r="N216" s="70"/>
      <c r="O216" s="77" t="s">
        <v>179</v>
      </c>
      <c r="P216" s="79">
        <v>45179.58798611111</v>
      </c>
      <c r="Q216" s="77" t="s">
        <v>1348</v>
      </c>
      <c r="R216" s="77">
        <v>0</v>
      </c>
      <c r="S216" s="77">
        <v>0</v>
      </c>
      <c r="T216" s="77">
        <v>0</v>
      </c>
      <c r="U216" s="77">
        <v>0</v>
      </c>
      <c r="V216" s="77">
        <v>43</v>
      </c>
      <c r="W216" s="82" t="s">
        <v>4097</v>
      </c>
      <c r="X216" s="77"/>
      <c r="Y216" s="77"/>
      <c r="Z216" s="77"/>
      <c r="AA216" s="77"/>
      <c r="AB216" s="77"/>
      <c r="AC216" s="82" t="s">
        <v>7707</v>
      </c>
      <c r="AD216" s="77" t="s">
        <v>7745</v>
      </c>
      <c r="AE216" s="80" t="str">
        <f>HYPERLINK("https://twitter.com/origin22_22/status/1700873436677935340")</f>
        <v>https://twitter.com/origin22_22/status/1700873436677935340</v>
      </c>
      <c r="AF216" s="79">
        <v>45179.58798611111</v>
      </c>
      <c r="AG216" s="85">
        <v>45179</v>
      </c>
      <c r="AH216" s="82" t="s">
        <v>7959</v>
      </c>
      <c r="AI216" s="77"/>
      <c r="AJ216" s="77"/>
      <c r="AK216" s="77"/>
      <c r="AL216" s="77"/>
      <c r="AM216" s="77"/>
      <c r="AN216" s="77"/>
      <c r="AO216" s="77"/>
      <c r="AP216" s="77"/>
      <c r="AQ216" s="77"/>
      <c r="AR216" s="77"/>
      <c r="AS216" s="77"/>
      <c r="AT216" s="77"/>
      <c r="AU216" s="77"/>
      <c r="AV216" s="80" t="str">
        <f>HYPERLINK("https://pbs.twimg.com/profile_images/1556378128540385282/6_C43Yzh_normal.jpg")</f>
        <v>https://pbs.twimg.com/profile_images/1556378128540385282/6_C43Yzh_normal.jpg</v>
      </c>
      <c r="AW216" s="82" t="s">
        <v>12412</v>
      </c>
      <c r="AX216" s="82" t="s">
        <v>12412</v>
      </c>
      <c r="AY216" s="77"/>
      <c r="AZ216" s="82" t="s">
        <v>15804</v>
      </c>
      <c r="BA216" s="82" t="s">
        <v>15804</v>
      </c>
      <c r="BB216" s="82" t="s">
        <v>15804</v>
      </c>
      <c r="BC216" s="82" t="s">
        <v>12412</v>
      </c>
      <c r="BD216" s="77">
        <v>3292463382</v>
      </c>
      <c r="BE216" s="77"/>
      <c r="BF216" s="77"/>
      <c r="BG216" s="77"/>
      <c r="BH216" s="77"/>
      <c r="BI216" s="77"/>
    </row>
    <row r="217" spans="1:61" x14ac:dyDescent="0.25">
      <c r="A217" s="62" t="s">
        <v>296</v>
      </c>
      <c r="B217" s="62" t="s">
        <v>296</v>
      </c>
      <c r="C217" s="63"/>
      <c r="D217" s="64"/>
      <c r="E217" s="65"/>
      <c r="F217" s="66"/>
      <c r="G217" s="63"/>
      <c r="H217" s="67"/>
      <c r="I217" s="68"/>
      <c r="J217" s="68"/>
      <c r="K217" s="32"/>
      <c r="L217" s="75">
        <v>217</v>
      </c>
      <c r="M217" s="75"/>
      <c r="N217" s="70"/>
      <c r="O217" s="77" t="s">
        <v>179</v>
      </c>
      <c r="P217" s="79">
        <v>45175.74895833333</v>
      </c>
      <c r="Q217" s="77" t="s">
        <v>1349</v>
      </c>
      <c r="R217" s="77">
        <v>0</v>
      </c>
      <c r="S217" s="77">
        <v>0</v>
      </c>
      <c r="T217" s="77">
        <v>0</v>
      </c>
      <c r="U217" s="77">
        <v>0</v>
      </c>
      <c r="V217" s="77">
        <v>49</v>
      </c>
      <c r="W217" s="82" t="s">
        <v>4193</v>
      </c>
      <c r="X217" s="77"/>
      <c r="Y217" s="77"/>
      <c r="Z217" s="77"/>
      <c r="AA217" s="77"/>
      <c r="AB217" s="77"/>
      <c r="AC217" s="82" t="s">
        <v>7707</v>
      </c>
      <c r="AD217" s="77" t="s">
        <v>7745</v>
      </c>
      <c r="AE217" s="80" t="str">
        <f>HYPERLINK("https://twitter.com/origin22_22/status/1699482219876606085")</f>
        <v>https://twitter.com/origin22_22/status/1699482219876606085</v>
      </c>
      <c r="AF217" s="79">
        <v>45175.74895833333</v>
      </c>
      <c r="AG217" s="85">
        <v>45175</v>
      </c>
      <c r="AH217" s="82" t="s">
        <v>7960</v>
      </c>
      <c r="AI217" s="77"/>
      <c r="AJ217" s="77"/>
      <c r="AK217" s="77"/>
      <c r="AL217" s="77"/>
      <c r="AM217" s="77"/>
      <c r="AN217" s="77"/>
      <c r="AO217" s="77"/>
      <c r="AP217" s="77"/>
      <c r="AQ217" s="77"/>
      <c r="AR217" s="77"/>
      <c r="AS217" s="77"/>
      <c r="AT217" s="77"/>
      <c r="AU217" s="77"/>
      <c r="AV217" s="80" t="str">
        <f>HYPERLINK("https://pbs.twimg.com/profile_images/1556378128540385282/6_C43Yzh_normal.jpg")</f>
        <v>https://pbs.twimg.com/profile_images/1556378128540385282/6_C43Yzh_normal.jpg</v>
      </c>
      <c r="AW217" s="82" t="s">
        <v>12413</v>
      </c>
      <c r="AX217" s="82" t="s">
        <v>12413</v>
      </c>
      <c r="AY217" s="77"/>
      <c r="AZ217" s="82" t="s">
        <v>15804</v>
      </c>
      <c r="BA217" s="82" t="s">
        <v>15804</v>
      </c>
      <c r="BB217" s="82" t="s">
        <v>15804</v>
      </c>
      <c r="BC217" s="82" t="s">
        <v>12413</v>
      </c>
      <c r="BD217" s="77">
        <v>3292463382</v>
      </c>
      <c r="BE217" s="77"/>
      <c r="BF217" s="77"/>
      <c r="BG217" s="77"/>
      <c r="BH217" s="77"/>
      <c r="BI217" s="77"/>
    </row>
    <row r="218" spans="1:61" x14ac:dyDescent="0.25">
      <c r="A218" s="62" t="s">
        <v>297</v>
      </c>
      <c r="B218" s="62" t="s">
        <v>297</v>
      </c>
      <c r="C218" s="63"/>
      <c r="D218" s="64"/>
      <c r="E218" s="65"/>
      <c r="F218" s="66"/>
      <c r="G218" s="63"/>
      <c r="H218" s="67"/>
      <c r="I218" s="68"/>
      <c r="J218" s="68"/>
      <c r="K218" s="32"/>
      <c r="L218" s="75">
        <v>218</v>
      </c>
      <c r="M218" s="75"/>
      <c r="N218" s="70"/>
      <c r="O218" s="77" t="s">
        <v>179</v>
      </c>
      <c r="P218" s="79">
        <v>45114.659513888888</v>
      </c>
      <c r="Q218" s="77" t="s">
        <v>1350</v>
      </c>
      <c r="R218" s="77">
        <v>0</v>
      </c>
      <c r="S218" s="77">
        <v>1</v>
      </c>
      <c r="T218" s="77">
        <v>0</v>
      </c>
      <c r="U218" s="77">
        <v>0</v>
      </c>
      <c r="V218" s="77">
        <v>8</v>
      </c>
      <c r="W218" s="82" t="s">
        <v>4194</v>
      </c>
      <c r="X218" s="77"/>
      <c r="Y218" s="77"/>
      <c r="Z218" s="77"/>
      <c r="AA218" s="77"/>
      <c r="AB218" s="77"/>
      <c r="AC218" s="82" t="s">
        <v>7707</v>
      </c>
      <c r="AD218" s="77" t="s">
        <v>7745</v>
      </c>
      <c r="AE218" s="80" t="str">
        <f>HYPERLINK("https://twitter.com/maismillionario/status/1677344145956896768")</f>
        <v>https://twitter.com/maismillionario/status/1677344145956896768</v>
      </c>
      <c r="AF218" s="79">
        <v>45114.659513888888</v>
      </c>
      <c r="AG218" s="85">
        <v>45114</v>
      </c>
      <c r="AH218" s="82" t="s">
        <v>7961</v>
      </c>
      <c r="AI218" s="77"/>
      <c r="AJ218" s="77" t="s">
        <v>10524</v>
      </c>
      <c r="AK218" s="77" t="s">
        <v>10552</v>
      </c>
      <c r="AL218" s="77" t="s">
        <v>10555</v>
      </c>
      <c r="AM218" s="77" t="s">
        <v>10561</v>
      </c>
      <c r="AN218" s="77" t="s">
        <v>10591</v>
      </c>
      <c r="AO218" s="77" t="s">
        <v>10622</v>
      </c>
      <c r="AP218" s="77" t="s">
        <v>10649</v>
      </c>
      <c r="AQ218" s="77"/>
      <c r="AR218" s="77"/>
      <c r="AS218" s="77"/>
      <c r="AT218" s="77"/>
      <c r="AU218" s="77"/>
      <c r="AV218" s="80" t="str">
        <f>HYPERLINK("https://pbs.twimg.com/profile_images/1680193293739597826/CssDDNfK_normal.jpg")</f>
        <v>https://pbs.twimg.com/profile_images/1680193293739597826/CssDDNfK_normal.jpg</v>
      </c>
      <c r="AW218" s="82" t="s">
        <v>12414</v>
      </c>
      <c r="AX218" s="82" t="s">
        <v>12414</v>
      </c>
      <c r="AY218" s="77"/>
      <c r="AZ218" s="82" t="s">
        <v>15804</v>
      </c>
      <c r="BA218" s="82" t="s">
        <v>15804</v>
      </c>
      <c r="BB218" s="82" t="s">
        <v>15804</v>
      </c>
      <c r="BC218" s="82" t="s">
        <v>12414</v>
      </c>
      <c r="BD218" s="82" t="s">
        <v>16177</v>
      </c>
      <c r="BE218" s="77"/>
      <c r="BF218" s="77"/>
      <c r="BG218" s="77"/>
      <c r="BH218" s="77"/>
      <c r="BI218" s="77"/>
    </row>
    <row r="219" spans="1:61" x14ac:dyDescent="0.25">
      <c r="A219" s="62" t="s">
        <v>297</v>
      </c>
      <c r="B219" s="62" t="s">
        <v>297</v>
      </c>
      <c r="C219" s="63"/>
      <c r="D219" s="64"/>
      <c r="E219" s="65"/>
      <c r="F219" s="66"/>
      <c r="G219" s="63"/>
      <c r="H219" s="67"/>
      <c r="I219" s="68"/>
      <c r="J219" s="68"/>
      <c r="K219" s="32"/>
      <c r="L219" s="75">
        <v>219</v>
      </c>
      <c r="M219" s="75"/>
      <c r="N219" s="70"/>
      <c r="O219" s="77" t="s">
        <v>179</v>
      </c>
      <c r="P219" s="79">
        <v>45114.918877314813</v>
      </c>
      <c r="Q219" s="77" t="s">
        <v>1351</v>
      </c>
      <c r="R219" s="77">
        <v>0</v>
      </c>
      <c r="S219" s="77">
        <v>1</v>
      </c>
      <c r="T219" s="77">
        <v>0</v>
      </c>
      <c r="U219" s="77">
        <v>0</v>
      </c>
      <c r="V219" s="77">
        <v>6</v>
      </c>
      <c r="W219" s="82" t="s">
        <v>4195</v>
      </c>
      <c r="X219" s="77"/>
      <c r="Y219" s="77"/>
      <c r="Z219" s="77"/>
      <c r="AA219" s="77"/>
      <c r="AB219" s="77"/>
      <c r="AC219" s="82" t="s">
        <v>7707</v>
      </c>
      <c r="AD219" s="77" t="s">
        <v>7745</v>
      </c>
      <c r="AE219" s="80" t="str">
        <f>HYPERLINK("https://twitter.com/maismillionario/status/1677438135867695105")</f>
        <v>https://twitter.com/maismillionario/status/1677438135867695105</v>
      </c>
      <c r="AF219" s="79">
        <v>45114.918877314813</v>
      </c>
      <c r="AG219" s="85">
        <v>45114</v>
      </c>
      <c r="AH219" s="82" t="s">
        <v>7962</v>
      </c>
      <c r="AI219" s="77"/>
      <c r="AJ219" s="77" t="s">
        <v>10525</v>
      </c>
      <c r="AK219" s="77" t="s">
        <v>10552</v>
      </c>
      <c r="AL219" s="77" t="s">
        <v>10555</v>
      </c>
      <c r="AM219" s="77" t="s">
        <v>10562</v>
      </c>
      <c r="AN219" s="77" t="s">
        <v>10592</v>
      </c>
      <c r="AO219" s="77" t="s">
        <v>10623</v>
      </c>
      <c r="AP219" s="77" t="s">
        <v>10649</v>
      </c>
      <c r="AQ219" s="77"/>
      <c r="AR219" s="77"/>
      <c r="AS219" s="77"/>
      <c r="AT219" s="77"/>
      <c r="AU219" s="77"/>
      <c r="AV219" s="80" t="str">
        <f>HYPERLINK("https://pbs.twimg.com/profile_images/1680193293739597826/CssDDNfK_normal.jpg")</f>
        <v>https://pbs.twimg.com/profile_images/1680193293739597826/CssDDNfK_normal.jpg</v>
      </c>
      <c r="AW219" s="82" t="s">
        <v>12415</v>
      </c>
      <c r="AX219" s="82" t="s">
        <v>12415</v>
      </c>
      <c r="AY219" s="77"/>
      <c r="AZ219" s="82" t="s">
        <v>15804</v>
      </c>
      <c r="BA219" s="82" t="s">
        <v>15804</v>
      </c>
      <c r="BB219" s="82" t="s">
        <v>15804</v>
      </c>
      <c r="BC219" s="82" t="s">
        <v>12415</v>
      </c>
      <c r="BD219" s="82" t="s">
        <v>16177</v>
      </c>
      <c r="BE219" s="77"/>
      <c r="BF219" s="77"/>
      <c r="BG219" s="77"/>
      <c r="BH219" s="77"/>
      <c r="BI219" s="77"/>
    </row>
    <row r="220" spans="1:61" x14ac:dyDescent="0.25">
      <c r="A220" s="62" t="s">
        <v>298</v>
      </c>
      <c r="B220" s="62" t="s">
        <v>298</v>
      </c>
      <c r="C220" s="63"/>
      <c r="D220" s="64"/>
      <c r="E220" s="65"/>
      <c r="F220" s="66"/>
      <c r="G220" s="63"/>
      <c r="H220" s="67"/>
      <c r="I220" s="68"/>
      <c r="J220" s="68"/>
      <c r="K220" s="32"/>
      <c r="L220" s="75">
        <v>220</v>
      </c>
      <c r="M220" s="75"/>
      <c r="N220" s="70"/>
      <c r="O220" s="77" t="s">
        <v>179</v>
      </c>
      <c r="P220" s="79">
        <v>45142.286550925928</v>
      </c>
      <c r="Q220" s="77" t="s">
        <v>1352</v>
      </c>
      <c r="R220" s="77">
        <v>0</v>
      </c>
      <c r="S220" s="77">
        <v>0</v>
      </c>
      <c r="T220" s="77">
        <v>1</v>
      </c>
      <c r="U220" s="77">
        <v>0</v>
      </c>
      <c r="V220" s="77">
        <v>49</v>
      </c>
      <c r="W220" s="82" t="s">
        <v>4196</v>
      </c>
      <c r="X220" s="77"/>
      <c r="Y220" s="77"/>
      <c r="Z220" s="77"/>
      <c r="AA220" s="77"/>
      <c r="AB220" s="77"/>
      <c r="AC220" s="82" t="s">
        <v>7707</v>
      </c>
      <c r="AD220" s="77" t="s">
        <v>7745</v>
      </c>
      <c r="AE220" s="80" t="str">
        <f>HYPERLINK("https://twitter.com/druzi11/status/1687355850233360384")</f>
        <v>https://twitter.com/druzi11/status/1687355850233360384</v>
      </c>
      <c r="AF220" s="79">
        <v>45142.286550925928</v>
      </c>
      <c r="AG220" s="85">
        <v>45142</v>
      </c>
      <c r="AH220" s="82" t="s">
        <v>7963</v>
      </c>
      <c r="AI220" s="77"/>
      <c r="AJ220" s="77"/>
      <c r="AK220" s="77"/>
      <c r="AL220" s="77"/>
      <c r="AM220" s="77"/>
      <c r="AN220" s="77"/>
      <c r="AO220" s="77"/>
      <c r="AP220" s="77"/>
      <c r="AQ220" s="77"/>
      <c r="AR220" s="77"/>
      <c r="AS220" s="77"/>
      <c r="AT220" s="77"/>
      <c r="AU220" s="77"/>
      <c r="AV220" s="80" t="str">
        <f>HYPERLINK("https://pbs.twimg.com/profile_images/1336274058963525632/6yK1d7_9_normal.jpg")</f>
        <v>https://pbs.twimg.com/profile_images/1336274058963525632/6yK1d7_9_normal.jpg</v>
      </c>
      <c r="AW220" s="82" t="s">
        <v>12416</v>
      </c>
      <c r="AX220" s="82" t="s">
        <v>12416</v>
      </c>
      <c r="AY220" s="77"/>
      <c r="AZ220" s="82" t="s">
        <v>15804</v>
      </c>
      <c r="BA220" s="82" t="s">
        <v>15804</v>
      </c>
      <c r="BB220" s="82" t="s">
        <v>15804</v>
      </c>
      <c r="BC220" s="82" t="s">
        <v>12416</v>
      </c>
      <c r="BD220" s="82" t="s">
        <v>16178</v>
      </c>
      <c r="BE220" s="77"/>
      <c r="BF220" s="77"/>
      <c r="BG220" s="77"/>
      <c r="BH220" s="77"/>
      <c r="BI220" s="77"/>
    </row>
    <row r="221" spans="1:61" x14ac:dyDescent="0.25">
      <c r="A221" s="62" t="s">
        <v>299</v>
      </c>
      <c r="B221" s="62" t="s">
        <v>299</v>
      </c>
      <c r="C221" s="63"/>
      <c r="D221" s="64"/>
      <c r="E221" s="65"/>
      <c r="F221" s="66"/>
      <c r="G221" s="63"/>
      <c r="H221" s="67"/>
      <c r="I221" s="68"/>
      <c r="J221" s="68"/>
      <c r="K221" s="32"/>
      <c r="L221" s="75">
        <v>221</v>
      </c>
      <c r="M221" s="75"/>
      <c r="N221" s="70"/>
      <c r="O221" s="77" t="s">
        <v>1132</v>
      </c>
      <c r="P221" s="79">
        <v>45160.740740740737</v>
      </c>
      <c r="Q221" s="77" t="s">
        <v>1353</v>
      </c>
      <c r="R221" s="77">
        <v>0</v>
      </c>
      <c r="S221" s="77">
        <v>0</v>
      </c>
      <c r="T221" s="77">
        <v>1</v>
      </c>
      <c r="U221" s="77">
        <v>0</v>
      </c>
      <c r="V221" s="77">
        <v>4</v>
      </c>
      <c r="W221" s="82" t="s">
        <v>4197</v>
      </c>
      <c r="X221" s="77"/>
      <c r="Y221" s="77"/>
      <c r="Z221" s="77"/>
      <c r="AA221" s="77"/>
      <c r="AB221" s="77"/>
      <c r="AC221" s="82" t="s">
        <v>7706</v>
      </c>
      <c r="AD221" s="77" t="s">
        <v>7745</v>
      </c>
      <c r="AE221" s="80" t="str">
        <f>HYPERLINK("https://twitter.com/diogorugeroni/status/1694043424079438127")</f>
        <v>https://twitter.com/diogorugeroni/status/1694043424079438127</v>
      </c>
      <c r="AF221" s="79">
        <v>45160.740740740737</v>
      </c>
      <c r="AG221" s="85">
        <v>45160</v>
      </c>
      <c r="AH221" s="82" t="s">
        <v>7964</v>
      </c>
      <c r="AI221" s="77"/>
      <c r="AJ221" s="77"/>
      <c r="AK221" s="77"/>
      <c r="AL221" s="77"/>
      <c r="AM221" s="77"/>
      <c r="AN221" s="77"/>
      <c r="AO221" s="77"/>
      <c r="AP221" s="77"/>
      <c r="AQ221" s="77"/>
      <c r="AR221" s="77"/>
      <c r="AS221" s="77"/>
      <c r="AT221" s="77"/>
      <c r="AU221" s="77"/>
      <c r="AV221" s="80" t="str">
        <f>HYPERLINK("https://pbs.twimg.com/profile_images/1698999438612553728/d9M_d5ip_normal.jpg")</f>
        <v>https://pbs.twimg.com/profile_images/1698999438612553728/d9M_d5ip_normal.jpg</v>
      </c>
      <c r="AW221" s="82" t="s">
        <v>12417</v>
      </c>
      <c r="AX221" s="82" t="s">
        <v>15233</v>
      </c>
      <c r="AY221" s="82" t="s">
        <v>15685</v>
      </c>
      <c r="AZ221" s="82" t="s">
        <v>15812</v>
      </c>
      <c r="BA221" s="82" t="s">
        <v>15804</v>
      </c>
      <c r="BB221" s="82" t="s">
        <v>15804</v>
      </c>
      <c r="BC221" s="82" t="s">
        <v>15812</v>
      </c>
      <c r="BD221" s="77">
        <v>521681799</v>
      </c>
      <c r="BE221" s="77"/>
      <c r="BF221" s="77"/>
      <c r="BG221" s="77"/>
      <c r="BH221" s="77"/>
      <c r="BI221" s="77"/>
    </row>
    <row r="222" spans="1:61" x14ac:dyDescent="0.25">
      <c r="A222" s="62" t="s">
        <v>300</v>
      </c>
      <c r="B222" s="62" t="s">
        <v>300</v>
      </c>
      <c r="C222" s="63"/>
      <c r="D222" s="64"/>
      <c r="E222" s="65"/>
      <c r="F222" s="66"/>
      <c r="G222" s="63"/>
      <c r="H222" s="67"/>
      <c r="I222" s="68"/>
      <c r="J222" s="68"/>
      <c r="K222" s="32"/>
      <c r="L222" s="75">
        <v>222</v>
      </c>
      <c r="M222" s="75"/>
      <c r="N222" s="70"/>
      <c r="O222" s="77" t="s">
        <v>179</v>
      </c>
      <c r="P222" s="79">
        <v>45022.704652777778</v>
      </c>
      <c r="Q222" s="77" t="s">
        <v>1354</v>
      </c>
      <c r="R222" s="77">
        <v>1</v>
      </c>
      <c r="S222" s="77">
        <v>4</v>
      </c>
      <c r="T222" s="77">
        <v>0</v>
      </c>
      <c r="U222" s="77">
        <v>0</v>
      </c>
      <c r="V222" s="77">
        <v>159</v>
      </c>
      <c r="W222" s="82" t="s">
        <v>4198</v>
      </c>
      <c r="X222" s="77"/>
      <c r="Y222" s="77"/>
      <c r="Z222" s="77"/>
      <c r="AA222" s="77" t="s">
        <v>6253</v>
      </c>
      <c r="AB222" s="77" t="s">
        <v>7697</v>
      </c>
      <c r="AC222" s="82" t="s">
        <v>7706</v>
      </c>
      <c r="AD222" s="77" t="s">
        <v>7745</v>
      </c>
      <c r="AE222" s="80" t="str">
        <f>HYPERLINK("https://twitter.com/valdecirrondel1/status/1644020820535046150")</f>
        <v>https://twitter.com/valdecirrondel1/status/1644020820535046150</v>
      </c>
      <c r="AF222" s="79">
        <v>45022.704652777778</v>
      </c>
      <c r="AG222" s="85">
        <v>45022</v>
      </c>
      <c r="AH222" s="82" t="s">
        <v>7965</v>
      </c>
      <c r="AI222" s="77" t="b">
        <v>0</v>
      </c>
      <c r="AJ222" s="77"/>
      <c r="AK222" s="77"/>
      <c r="AL222" s="77"/>
      <c r="AM222" s="77"/>
      <c r="AN222" s="77"/>
      <c r="AO222" s="77"/>
      <c r="AP222" s="77"/>
      <c r="AQ222" s="77" t="s">
        <v>10760</v>
      </c>
      <c r="AR222" s="77">
        <v>59465</v>
      </c>
      <c r="AS222" s="77"/>
      <c r="AT222" s="77"/>
      <c r="AU222" s="77">
        <v>67</v>
      </c>
      <c r="AV222" s="80" t="str">
        <f>HYPERLINK("https://pbs.twimg.com/ext_tw_video_thumb/1644020527802073088/pu/img/JiSq9fT8Aam3F1hN.jpg")</f>
        <v>https://pbs.twimg.com/ext_tw_video_thumb/1644020527802073088/pu/img/JiSq9fT8Aam3F1hN.jpg</v>
      </c>
      <c r="AW222" s="82" t="s">
        <v>12418</v>
      </c>
      <c r="AX222" s="82" t="s">
        <v>12418</v>
      </c>
      <c r="AY222" s="77"/>
      <c r="AZ222" s="82" t="s">
        <v>15804</v>
      </c>
      <c r="BA222" s="82" t="s">
        <v>15804</v>
      </c>
      <c r="BB222" s="82" t="s">
        <v>15804</v>
      </c>
      <c r="BC222" s="82" t="s">
        <v>12418</v>
      </c>
      <c r="BD222" s="82" t="s">
        <v>16179</v>
      </c>
      <c r="BE222" s="77"/>
      <c r="BF222" s="77"/>
      <c r="BG222" s="77"/>
      <c r="BH222" s="77"/>
      <c r="BI222" s="77"/>
    </row>
    <row r="223" spans="1:61" x14ac:dyDescent="0.25">
      <c r="A223" s="62" t="s">
        <v>301</v>
      </c>
      <c r="B223" s="62" t="s">
        <v>934</v>
      </c>
      <c r="C223" s="63"/>
      <c r="D223" s="64"/>
      <c r="E223" s="65"/>
      <c r="F223" s="66"/>
      <c r="G223" s="63"/>
      <c r="H223" s="67"/>
      <c r="I223" s="68"/>
      <c r="J223" s="68"/>
      <c r="K223" s="32"/>
      <c r="L223" s="75">
        <v>223</v>
      </c>
      <c r="M223" s="75"/>
      <c r="N223" s="70"/>
      <c r="O223" s="77" t="s">
        <v>1134</v>
      </c>
      <c r="P223" s="79">
        <v>45180.377384259256</v>
      </c>
      <c r="Q223" s="77" t="s">
        <v>1275</v>
      </c>
      <c r="R223" s="77">
        <v>4</v>
      </c>
      <c r="S223" s="77">
        <v>0</v>
      </c>
      <c r="T223" s="77">
        <v>0</v>
      </c>
      <c r="U223" s="77">
        <v>0</v>
      </c>
      <c r="V223" s="77"/>
      <c r="W223" s="82" t="s">
        <v>4143</v>
      </c>
      <c r="X223" s="77"/>
      <c r="Y223" s="77"/>
      <c r="Z223" s="77" t="s">
        <v>934</v>
      </c>
      <c r="AA223" s="77"/>
      <c r="AB223" s="77"/>
      <c r="AC223" s="82" t="s">
        <v>7705</v>
      </c>
      <c r="AD223" s="77" t="s">
        <v>7747</v>
      </c>
      <c r="AE223" s="80" t="str">
        <f>HYPERLINK("https://twitter.com/jorgeag51888144/status/1701159505122165021")</f>
        <v>https://twitter.com/jorgeag51888144/status/1701159505122165021</v>
      </c>
      <c r="AF223" s="79">
        <v>45180.377384259256</v>
      </c>
      <c r="AG223" s="85">
        <v>45180</v>
      </c>
      <c r="AH223" s="82" t="s">
        <v>7966</v>
      </c>
      <c r="AI223" s="77"/>
      <c r="AJ223" s="77"/>
      <c r="AK223" s="77"/>
      <c r="AL223" s="77"/>
      <c r="AM223" s="77"/>
      <c r="AN223" s="77"/>
      <c r="AO223" s="77"/>
      <c r="AP223" s="77"/>
      <c r="AQ223" s="77"/>
      <c r="AR223" s="77"/>
      <c r="AS223" s="77"/>
      <c r="AT223" s="77"/>
      <c r="AU223" s="77"/>
      <c r="AV223" s="80" t="str">
        <f>HYPERLINK("https://pbs.twimg.com/profile_images/1439280143936204805/i6VqBL7__normal.png")</f>
        <v>https://pbs.twimg.com/profile_images/1439280143936204805/i6VqBL7__normal.png</v>
      </c>
      <c r="AW223" s="82" t="s">
        <v>12419</v>
      </c>
      <c r="AX223" s="82" t="s">
        <v>12419</v>
      </c>
      <c r="AY223" s="77"/>
      <c r="AZ223" s="82" t="s">
        <v>15804</v>
      </c>
      <c r="BA223" s="82" t="s">
        <v>15804</v>
      </c>
      <c r="BB223" s="82" t="s">
        <v>14575</v>
      </c>
      <c r="BC223" s="82" t="s">
        <v>14575</v>
      </c>
      <c r="BD223" s="82" t="s">
        <v>16180</v>
      </c>
      <c r="BE223" s="77"/>
      <c r="BF223" s="77"/>
      <c r="BG223" s="77"/>
      <c r="BH223" s="77"/>
      <c r="BI223" s="77"/>
    </row>
    <row r="224" spans="1:61" x14ac:dyDescent="0.25">
      <c r="A224" s="62" t="s">
        <v>302</v>
      </c>
      <c r="B224" s="62" t="s">
        <v>302</v>
      </c>
      <c r="C224" s="63"/>
      <c r="D224" s="64"/>
      <c r="E224" s="65"/>
      <c r="F224" s="66"/>
      <c r="G224" s="63"/>
      <c r="H224" s="67"/>
      <c r="I224" s="68"/>
      <c r="J224" s="68"/>
      <c r="K224" s="32"/>
      <c r="L224" s="75">
        <v>224</v>
      </c>
      <c r="M224" s="75"/>
      <c r="N224" s="70"/>
      <c r="O224" s="77" t="s">
        <v>179</v>
      </c>
      <c r="P224" s="79">
        <v>44937.080925925926</v>
      </c>
      <c r="Q224" s="77" t="s">
        <v>1355</v>
      </c>
      <c r="R224" s="77">
        <v>0</v>
      </c>
      <c r="S224" s="77">
        <v>0</v>
      </c>
      <c r="T224" s="77">
        <v>0</v>
      </c>
      <c r="U224" s="77">
        <v>0</v>
      </c>
      <c r="V224" s="77">
        <v>13</v>
      </c>
      <c r="W224" s="82" t="s">
        <v>4199</v>
      </c>
      <c r="X224" s="80" t="str">
        <f>HYPERLINK("https://youtube.com/shorts/C9yOPXlwUgk?feature=share")</f>
        <v>https://youtube.com/shorts/C9yOPXlwUgk?feature=share</v>
      </c>
      <c r="Y224" s="77" t="s">
        <v>6006</v>
      </c>
      <c r="Z224" s="77"/>
      <c r="AA224" s="77"/>
      <c r="AB224" s="77"/>
      <c r="AC224" s="82" t="s">
        <v>7707</v>
      </c>
      <c r="AD224" s="77" t="s">
        <v>7745</v>
      </c>
      <c r="AE224" s="80" t="str">
        <f>HYPERLINK("https://twitter.com/asc_alancoelho/status/1612991818160918529")</f>
        <v>https://twitter.com/asc_alancoelho/status/1612991818160918529</v>
      </c>
      <c r="AF224" s="79">
        <v>44937.080925925926</v>
      </c>
      <c r="AG224" s="85">
        <v>44937</v>
      </c>
      <c r="AH224" s="82" t="s">
        <v>7967</v>
      </c>
      <c r="AI224" s="77" t="b">
        <v>0</v>
      </c>
      <c r="AJ224" s="77"/>
      <c r="AK224" s="77"/>
      <c r="AL224" s="77"/>
      <c r="AM224" s="77"/>
      <c r="AN224" s="77"/>
      <c r="AO224" s="77"/>
      <c r="AP224" s="77"/>
      <c r="AQ224" s="77"/>
      <c r="AR224" s="77"/>
      <c r="AS224" s="77"/>
      <c r="AT224" s="77"/>
      <c r="AU224" s="77"/>
      <c r="AV224" s="80" t="str">
        <f>HYPERLINK("https://pbs.twimg.com/profile_images/1465275011925782528/EiTs7yfZ_normal.jpg")</f>
        <v>https://pbs.twimg.com/profile_images/1465275011925782528/EiTs7yfZ_normal.jpg</v>
      </c>
      <c r="AW224" s="82" t="s">
        <v>12420</v>
      </c>
      <c r="AX224" s="82" t="s">
        <v>12420</v>
      </c>
      <c r="AY224" s="77"/>
      <c r="AZ224" s="82" t="s">
        <v>15804</v>
      </c>
      <c r="BA224" s="82" t="s">
        <v>15804</v>
      </c>
      <c r="BB224" s="82" t="s">
        <v>15804</v>
      </c>
      <c r="BC224" s="82" t="s">
        <v>12420</v>
      </c>
      <c r="BD224" s="82" t="s">
        <v>16181</v>
      </c>
      <c r="BE224" s="77"/>
      <c r="BF224" s="77"/>
      <c r="BG224" s="77"/>
      <c r="BH224" s="77"/>
      <c r="BI224" s="77"/>
    </row>
    <row r="225" spans="1:61" x14ac:dyDescent="0.25">
      <c r="A225" s="62" t="s">
        <v>303</v>
      </c>
      <c r="B225" s="62" t="s">
        <v>303</v>
      </c>
      <c r="C225" s="63"/>
      <c r="D225" s="64"/>
      <c r="E225" s="65"/>
      <c r="F225" s="66"/>
      <c r="G225" s="63"/>
      <c r="H225" s="67"/>
      <c r="I225" s="68"/>
      <c r="J225" s="68"/>
      <c r="K225" s="32"/>
      <c r="L225" s="75">
        <v>225</v>
      </c>
      <c r="M225" s="75"/>
      <c r="N225" s="70"/>
      <c r="O225" s="77" t="s">
        <v>179</v>
      </c>
      <c r="P225" s="79">
        <v>45042.950543981482</v>
      </c>
      <c r="Q225" s="77" t="s">
        <v>1356</v>
      </c>
      <c r="R225" s="77">
        <v>0</v>
      </c>
      <c r="S225" s="77">
        <v>0</v>
      </c>
      <c r="T225" s="77">
        <v>0</v>
      </c>
      <c r="U225" s="77">
        <v>0</v>
      </c>
      <c r="V225" s="77">
        <v>35</v>
      </c>
      <c r="W225" s="82" t="s">
        <v>4200</v>
      </c>
      <c r="X225" s="77"/>
      <c r="Y225" s="77"/>
      <c r="Z225" s="77"/>
      <c r="AA225" s="77" t="s">
        <v>6254</v>
      </c>
      <c r="AB225" s="77" t="s">
        <v>7696</v>
      </c>
      <c r="AC225" s="82" t="s">
        <v>7705</v>
      </c>
      <c r="AD225" s="77" t="s">
        <v>7745</v>
      </c>
      <c r="AE225" s="80" t="str">
        <f>HYPERLINK("https://twitter.com/planosassess/status/1651357685256683521")</f>
        <v>https://twitter.com/planosassess/status/1651357685256683521</v>
      </c>
      <c r="AF225" s="79">
        <v>45042.950543981482</v>
      </c>
      <c r="AG225" s="85">
        <v>45042</v>
      </c>
      <c r="AH225" s="82" t="s">
        <v>7968</v>
      </c>
      <c r="AI225" s="77" t="b">
        <v>0</v>
      </c>
      <c r="AJ225" s="77"/>
      <c r="AK225" s="77"/>
      <c r="AL225" s="77"/>
      <c r="AM225" s="77"/>
      <c r="AN225" s="77"/>
      <c r="AO225" s="77"/>
      <c r="AP225" s="77"/>
      <c r="AQ225" s="77" t="s">
        <v>10761</v>
      </c>
      <c r="AR225" s="77"/>
      <c r="AS225" s="77"/>
      <c r="AT225" s="77"/>
      <c r="AU225" s="77"/>
      <c r="AV225" s="80" t="str">
        <f>HYPERLINK("https://pbs.twimg.com/media/FurNDz8WAAIYYf2.jpg")</f>
        <v>https://pbs.twimg.com/media/FurNDz8WAAIYYf2.jpg</v>
      </c>
      <c r="AW225" s="82" t="s">
        <v>12421</v>
      </c>
      <c r="AX225" s="82" t="s">
        <v>12421</v>
      </c>
      <c r="AY225" s="77"/>
      <c r="AZ225" s="82" t="s">
        <v>15804</v>
      </c>
      <c r="BA225" s="82" t="s">
        <v>15804</v>
      </c>
      <c r="BB225" s="82" t="s">
        <v>15804</v>
      </c>
      <c r="BC225" s="82" t="s">
        <v>12421</v>
      </c>
      <c r="BD225" s="82" t="s">
        <v>16182</v>
      </c>
      <c r="BE225" s="77"/>
      <c r="BF225" s="77"/>
      <c r="BG225" s="77"/>
      <c r="BH225" s="77"/>
      <c r="BI225" s="77"/>
    </row>
    <row r="226" spans="1:61" x14ac:dyDescent="0.25">
      <c r="A226" s="62" t="s">
        <v>303</v>
      </c>
      <c r="B226" s="62" t="s">
        <v>303</v>
      </c>
      <c r="C226" s="63"/>
      <c r="D226" s="64"/>
      <c r="E226" s="65"/>
      <c r="F226" s="66"/>
      <c r="G226" s="63"/>
      <c r="H226" s="67"/>
      <c r="I226" s="68"/>
      <c r="J226" s="68"/>
      <c r="K226" s="32"/>
      <c r="L226" s="75">
        <v>226</v>
      </c>
      <c r="M226" s="75"/>
      <c r="N226" s="70"/>
      <c r="O226" s="77" t="s">
        <v>179</v>
      </c>
      <c r="P226" s="79">
        <v>45079.585312499999</v>
      </c>
      <c r="Q226" s="77" t="s">
        <v>1357</v>
      </c>
      <c r="R226" s="77">
        <v>0</v>
      </c>
      <c r="S226" s="77">
        <v>1</v>
      </c>
      <c r="T226" s="77">
        <v>0</v>
      </c>
      <c r="U226" s="77">
        <v>0</v>
      </c>
      <c r="V226" s="77">
        <v>22</v>
      </c>
      <c r="W226" s="82" t="s">
        <v>4201</v>
      </c>
      <c r="X226" s="77"/>
      <c r="Y226" s="77"/>
      <c r="Z226" s="77"/>
      <c r="AA226" s="77" t="s">
        <v>6255</v>
      </c>
      <c r="AB226" s="77" t="s">
        <v>7696</v>
      </c>
      <c r="AC226" s="82" t="s">
        <v>7705</v>
      </c>
      <c r="AD226" s="77" t="s">
        <v>7745</v>
      </c>
      <c r="AE226" s="80" t="str">
        <f>HYPERLINK("https://twitter.com/planosassess/status/1664633680403345409")</f>
        <v>https://twitter.com/planosassess/status/1664633680403345409</v>
      </c>
      <c r="AF226" s="79">
        <v>45079.585312499999</v>
      </c>
      <c r="AG226" s="85">
        <v>45079</v>
      </c>
      <c r="AH226" s="82" t="s">
        <v>7969</v>
      </c>
      <c r="AI226" s="77" t="b">
        <v>0</v>
      </c>
      <c r="AJ226" s="77"/>
      <c r="AK226" s="77"/>
      <c r="AL226" s="77"/>
      <c r="AM226" s="77"/>
      <c r="AN226" s="77"/>
      <c r="AO226" s="77"/>
      <c r="AP226" s="77"/>
      <c r="AQ226" s="77" t="s">
        <v>10762</v>
      </c>
      <c r="AR226" s="77"/>
      <c r="AS226" s="77"/>
      <c r="AT226" s="77"/>
      <c r="AU226" s="77"/>
      <c r="AV226" s="80" t="str">
        <f>HYPERLINK("https://pbs.twimg.com/media/Fxn3geWXwAIHmtS.jpg")</f>
        <v>https://pbs.twimg.com/media/Fxn3geWXwAIHmtS.jpg</v>
      </c>
      <c r="AW226" s="82" t="s">
        <v>12422</v>
      </c>
      <c r="AX226" s="82" t="s">
        <v>12422</v>
      </c>
      <c r="AY226" s="77"/>
      <c r="AZ226" s="82" t="s">
        <v>15804</v>
      </c>
      <c r="BA226" s="82" t="s">
        <v>15804</v>
      </c>
      <c r="BB226" s="82" t="s">
        <v>15804</v>
      </c>
      <c r="BC226" s="82" t="s">
        <v>12422</v>
      </c>
      <c r="BD226" s="82" t="s">
        <v>16182</v>
      </c>
      <c r="BE226" s="77"/>
      <c r="BF226" s="77"/>
      <c r="BG226" s="77"/>
      <c r="BH226" s="77"/>
      <c r="BI226" s="77"/>
    </row>
    <row r="227" spans="1:61" x14ac:dyDescent="0.25">
      <c r="A227" s="62" t="s">
        <v>304</v>
      </c>
      <c r="B227" s="62" t="s">
        <v>304</v>
      </c>
      <c r="C227" s="63"/>
      <c r="D227" s="64"/>
      <c r="E227" s="65"/>
      <c r="F227" s="66"/>
      <c r="G227" s="63"/>
      <c r="H227" s="67"/>
      <c r="I227" s="68"/>
      <c r="J227" s="68"/>
      <c r="K227" s="32"/>
      <c r="L227" s="75">
        <v>227</v>
      </c>
      <c r="M227" s="75"/>
      <c r="N227" s="70"/>
      <c r="O227" s="77" t="s">
        <v>179</v>
      </c>
      <c r="P227" s="79">
        <v>45005.668402777781</v>
      </c>
      <c r="Q227" s="77" t="s">
        <v>1358</v>
      </c>
      <c r="R227" s="77">
        <v>0</v>
      </c>
      <c r="S227" s="77">
        <v>0</v>
      </c>
      <c r="T227" s="77">
        <v>0</v>
      </c>
      <c r="U227" s="77">
        <v>0</v>
      </c>
      <c r="V227" s="77">
        <v>36</v>
      </c>
      <c r="W227" s="82" t="s">
        <v>4202</v>
      </c>
      <c r="X227" s="77"/>
      <c r="Y227" s="77"/>
      <c r="Z227" s="77"/>
      <c r="AA227" s="77" t="s">
        <v>6256</v>
      </c>
      <c r="AB227" s="77" t="s">
        <v>7696</v>
      </c>
      <c r="AC227" s="82" t="s">
        <v>7705</v>
      </c>
      <c r="AD227" s="77" t="s">
        <v>7745</v>
      </c>
      <c r="AE227" s="80" t="str">
        <f>HYPERLINK("https://twitter.com/seumentor/status/1637847088791691266")</f>
        <v>https://twitter.com/seumentor/status/1637847088791691266</v>
      </c>
      <c r="AF227" s="79">
        <v>45005.668402777781</v>
      </c>
      <c r="AG227" s="85">
        <v>45005</v>
      </c>
      <c r="AH227" s="82" t="s">
        <v>7970</v>
      </c>
      <c r="AI227" s="77" t="b">
        <v>0</v>
      </c>
      <c r="AJ227" s="77"/>
      <c r="AK227" s="77"/>
      <c r="AL227" s="77"/>
      <c r="AM227" s="77"/>
      <c r="AN227" s="77"/>
      <c r="AO227" s="77"/>
      <c r="AP227" s="77"/>
      <c r="AQ227" s="77" t="s">
        <v>10763</v>
      </c>
      <c r="AR227" s="77"/>
      <c r="AS227" s="77"/>
      <c r="AT227" s="77"/>
      <c r="AU227" s="77"/>
      <c r="AV227" s="80" t="str">
        <f>HYPERLINK("https://pbs.twimg.com/media/FrrNPvZWcAQ-KM5.jpg")</f>
        <v>https://pbs.twimg.com/media/FrrNPvZWcAQ-KM5.jpg</v>
      </c>
      <c r="AW227" s="82" t="s">
        <v>12423</v>
      </c>
      <c r="AX227" s="82" t="s">
        <v>12423</v>
      </c>
      <c r="AY227" s="77"/>
      <c r="AZ227" s="82" t="s">
        <v>15804</v>
      </c>
      <c r="BA227" s="82" t="s">
        <v>15804</v>
      </c>
      <c r="BB227" s="82" t="s">
        <v>15804</v>
      </c>
      <c r="BC227" s="82" t="s">
        <v>12423</v>
      </c>
      <c r="BD227" s="77">
        <v>27897816</v>
      </c>
      <c r="BE227" s="77"/>
      <c r="BF227" s="77"/>
      <c r="BG227" s="77"/>
      <c r="BH227" s="77"/>
      <c r="BI227" s="77"/>
    </row>
    <row r="228" spans="1:61" x14ac:dyDescent="0.25">
      <c r="A228" s="62" t="s">
        <v>305</v>
      </c>
      <c r="B228" s="62" t="s">
        <v>305</v>
      </c>
      <c r="C228" s="63"/>
      <c r="D228" s="64"/>
      <c r="E228" s="65"/>
      <c r="F228" s="66"/>
      <c r="G228" s="63"/>
      <c r="H228" s="67"/>
      <c r="I228" s="68"/>
      <c r="J228" s="68"/>
      <c r="K228" s="32"/>
      <c r="L228" s="75">
        <v>228</v>
      </c>
      <c r="M228" s="75"/>
      <c r="N228" s="70"/>
      <c r="O228" s="77" t="s">
        <v>1132</v>
      </c>
      <c r="P228" s="79">
        <v>45143.839212962965</v>
      </c>
      <c r="Q228" s="77" t="s">
        <v>1359</v>
      </c>
      <c r="R228" s="77">
        <v>0</v>
      </c>
      <c r="S228" s="77">
        <v>0</v>
      </c>
      <c r="T228" s="77">
        <v>0</v>
      </c>
      <c r="U228" s="77">
        <v>0</v>
      </c>
      <c r="V228" s="77">
        <v>19</v>
      </c>
      <c r="W228" s="82" t="s">
        <v>4097</v>
      </c>
      <c r="X228" s="77"/>
      <c r="Y228" s="77"/>
      <c r="Z228" s="77"/>
      <c r="AA228" s="77"/>
      <c r="AB228" s="77"/>
      <c r="AC228" s="82" t="s">
        <v>7706</v>
      </c>
      <c r="AD228" s="77" t="s">
        <v>7745</v>
      </c>
      <c r="AE228" s="80" t="str">
        <f>HYPERLINK("https://twitter.com/bruvelloso/status/1687918514684690436")</f>
        <v>https://twitter.com/bruvelloso/status/1687918514684690436</v>
      </c>
      <c r="AF228" s="79">
        <v>45143.839212962965</v>
      </c>
      <c r="AG228" s="85">
        <v>45143</v>
      </c>
      <c r="AH228" s="82" t="s">
        <v>7971</v>
      </c>
      <c r="AI228" s="77"/>
      <c r="AJ228" s="77"/>
      <c r="AK228" s="77"/>
      <c r="AL228" s="77"/>
      <c r="AM228" s="77"/>
      <c r="AN228" s="77"/>
      <c r="AO228" s="77"/>
      <c r="AP228" s="77"/>
      <c r="AQ228" s="77"/>
      <c r="AR228" s="77"/>
      <c r="AS228" s="77"/>
      <c r="AT228" s="77"/>
      <c r="AU228" s="77"/>
      <c r="AV228" s="80" t="str">
        <f>HYPERLINK("https://pbs.twimg.com/profile_images/1666982575406043136/eAGYGk2r_normal.jpg")</f>
        <v>https://pbs.twimg.com/profile_images/1666982575406043136/eAGYGk2r_normal.jpg</v>
      </c>
      <c r="AW228" s="82" t="s">
        <v>12424</v>
      </c>
      <c r="AX228" s="82" t="s">
        <v>15234</v>
      </c>
      <c r="AY228" s="82" t="s">
        <v>15686</v>
      </c>
      <c r="AZ228" s="82" t="s">
        <v>15813</v>
      </c>
      <c r="BA228" s="82" t="s">
        <v>15804</v>
      </c>
      <c r="BB228" s="82" t="s">
        <v>15804</v>
      </c>
      <c r="BC228" s="82" t="s">
        <v>15813</v>
      </c>
      <c r="BD228" s="77">
        <v>15463401</v>
      </c>
      <c r="BE228" s="77"/>
      <c r="BF228" s="77"/>
      <c r="BG228" s="77"/>
      <c r="BH228" s="77"/>
      <c r="BI228" s="77"/>
    </row>
    <row r="229" spans="1:61" x14ac:dyDescent="0.25">
      <c r="A229" s="62" t="s">
        <v>306</v>
      </c>
      <c r="B229" s="62" t="s">
        <v>306</v>
      </c>
      <c r="C229" s="63"/>
      <c r="D229" s="64"/>
      <c r="E229" s="65"/>
      <c r="F229" s="66"/>
      <c r="G229" s="63"/>
      <c r="H229" s="67"/>
      <c r="I229" s="68"/>
      <c r="J229" s="68"/>
      <c r="K229" s="32"/>
      <c r="L229" s="75">
        <v>229</v>
      </c>
      <c r="M229" s="75"/>
      <c r="N229" s="70"/>
      <c r="O229" s="77" t="s">
        <v>179</v>
      </c>
      <c r="P229" s="79">
        <v>45061.887395833335</v>
      </c>
      <c r="Q229" s="77" t="s">
        <v>1360</v>
      </c>
      <c r="R229" s="77">
        <v>0</v>
      </c>
      <c r="S229" s="77">
        <v>0</v>
      </c>
      <c r="T229" s="77">
        <v>0</v>
      </c>
      <c r="U229" s="77">
        <v>0</v>
      </c>
      <c r="V229" s="77">
        <v>15</v>
      </c>
      <c r="W229" s="82" t="s">
        <v>4203</v>
      </c>
      <c r="X229" s="80" t="str">
        <f>HYPERLINK("http://www.correiopopular.news/vernot.php?id=54578")</f>
        <v>http://www.correiopopular.news/vernot.php?id=54578</v>
      </c>
      <c r="Y229" s="77" t="s">
        <v>6012</v>
      </c>
      <c r="Z229" s="77"/>
      <c r="AA229" s="77" t="s">
        <v>6257</v>
      </c>
      <c r="AB229" s="77" t="s">
        <v>7696</v>
      </c>
      <c r="AC229" s="82" t="s">
        <v>7706</v>
      </c>
      <c r="AD229" s="77" t="s">
        <v>7745</v>
      </c>
      <c r="AE229" s="80" t="str">
        <f>HYPERLINK("https://twitter.com/correiopopular_/status/1658220171671089152")</f>
        <v>https://twitter.com/correiopopular_/status/1658220171671089152</v>
      </c>
      <c r="AF229" s="79">
        <v>45061.887395833335</v>
      </c>
      <c r="AG229" s="85">
        <v>45061</v>
      </c>
      <c r="AH229" s="82" t="s">
        <v>7972</v>
      </c>
      <c r="AI229" s="77" t="b">
        <v>0</v>
      </c>
      <c r="AJ229" s="77"/>
      <c r="AK229" s="77"/>
      <c r="AL229" s="77"/>
      <c r="AM229" s="77"/>
      <c r="AN229" s="77"/>
      <c r="AO229" s="77"/>
      <c r="AP229" s="77"/>
      <c r="AQ229" s="77" t="s">
        <v>10764</v>
      </c>
      <c r="AR229" s="77"/>
      <c r="AS229" s="77"/>
      <c r="AT229" s="77"/>
      <c r="AU229" s="77"/>
      <c r="AV229" s="80" t="str">
        <f>HYPERLINK("https://pbs.twimg.com/media/FwMuUFdWAAEfJ0j.jpg")</f>
        <v>https://pbs.twimg.com/media/FwMuUFdWAAEfJ0j.jpg</v>
      </c>
      <c r="AW229" s="82" t="s">
        <v>12425</v>
      </c>
      <c r="AX229" s="82" t="s">
        <v>12425</v>
      </c>
      <c r="AY229" s="77"/>
      <c r="AZ229" s="82" t="s">
        <v>15804</v>
      </c>
      <c r="BA229" s="82" t="s">
        <v>15804</v>
      </c>
      <c r="BB229" s="82" t="s">
        <v>15804</v>
      </c>
      <c r="BC229" s="82" t="s">
        <v>12425</v>
      </c>
      <c r="BD229" s="77">
        <v>236985635</v>
      </c>
      <c r="BE229" s="77"/>
      <c r="BF229" s="77"/>
      <c r="BG229" s="77"/>
      <c r="BH229" s="77"/>
      <c r="BI229" s="77"/>
    </row>
    <row r="230" spans="1:61" x14ac:dyDescent="0.25">
      <c r="A230" s="62" t="s">
        <v>307</v>
      </c>
      <c r="B230" s="62" t="s">
        <v>307</v>
      </c>
      <c r="C230" s="63"/>
      <c r="D230" s="64"/>
      <c r="E230" s="65"/>
      <c r="F230" s="66"/>
      <c r="G230" s="63"/>
      <c r="H230" s="67"/>
      <c r="I230" s="68"/>
      <c r="J230" s="68"/>
      <c r="K230" s="32"/>
      <c r="L230" s="75">
        <v>230</v>
      </c>
      <c r="M230" s="75"/>
      <c r="N230" s="70"/>
      <c r="O230" s="77" t="s">
        <v>179</v>
      </c>
      <c r="P230" s="79">
        <v>45020.416666666664</v>
      </c>
      <c r="Q230" s="77" t="s">
        <v>1361</v>
      </c>
      <c r="R230" s="77">
        <v>0</v>
      </c>
      <c r="S230" s="77">
        <v>0</v>
      </c>
      <c r="T230" s="77">
        <v>0</v>
      </c>
      <c r="U230" s="77">
        <v>0</v>
      </c>
      <c r="V230" s="77">
        <v>3</v>
      </c>
      <c r="W230" s="82" t="s">
        <v>4204</v>
      </c>
      <c r="X230" s="77"/>
      <c r="Y230" s="77"/>
      <c r="Z230" s="77"/>
      <c r="AA230" s="77"/>
      <c r="AB230" s="77"/>
      <c r="AC230" s="82" t="s">
        <v>7706</v>
      </c>
      <c r="AD230" s="77" t="s">
        <v>7745</v>
      </c>
      <c r="AE230" s="80" t="str">
        <f>HYPERLINK("https://twitter.com/gustavo25867079/status/1643191680386965504")</f>
        <v>https://twitter.com/gustavo25867079/status/1643191680386965504</v>
      </c>
      <c r="AF230" s="79">
        <v>45020.416666666664</v>
      </c>
      <c r="AG230" s="85">
        <v>45020</v>
      </c>
      <c r="AH230" s="82" t="s">
        <v>7973</v>
      </c>
      <c r="AI230" s="77"/>
      <c r="AJ230" s="77"/>
      <c r="AK230" s="77"/>
      <c r="AL230" s="77"/>
      <c r="AM230" s="77"/>
      <c r="AN230" s="77"/>
      <c r="AO230" s="77"/>
      <c r="AP230" s="77"/>
      <c r="AQ230" s="77"/>
      <c r="AR230" s="77"/>
      <c r="AS230" s="77"/>
      <c r="AT230" s="77"/>
      <c r="AU230" s="77"/>
      <c r="AV230" s="80" t="str">
        <f>HYPERLINK("https://pbs.twimg.com/profile_images/1642201546933846020/08-q-ei9_normal.jpg")</f>
        <v>https://pbs.twimg.com/profile_images/1642201546933846020/08-q-ei9_normal.jpg</v>
      </c>
      <c r="AW230" s="82" t="s">
        <v>12426</v>
      </c>
      <c r="AX230" s="82" t="s">
        <v>12426</v>
      </c>
      <c r="AY230" s="77"/>
      <c r="AZ230" s="82" t="s">
        <v>15804</v>
      </c>
      <c r="BA230" s="82" t="s">
        <v>15804</v>
      </c>
      <c r="BB230" s="82" t="s">
        <v>15804</v>
      </c>
      <c r="BC230" s="82" t="s">
        <v>12426</v>
      </c>
      <c r="BD230" s="82" t="s">
        <v>16183</v>
      </c>
      <c r="BE230" s="77"/>
      <c r="BF230" s="77"/>
      <c r="BG230" s="77"/>
      <c r="BH230" s="77"/>
      <c r="BI230" s="77"/>
    </row>
    <row r="231" spans="1:61" x14ac:dyDescent="0.25">
      <c r="A231" s="62" t="s">
        <v>307</v>
      </c>
      <c r="B231" s="62" t="s">
        <v>307</v>
      </c>
      <c r="C231" s="63"/>
      <c r="D231" s="64"/>
      <c r="E231" s="65"/>
      <c r="F231" s="66"/>
      <c r="G231" s="63"/>
      <c r="H231" s="67"/>
      <c r="I231" s="68"/>
      <c r="J231" s="68"/>
      <c r="K231" s="32"/>
      <c r="L231" s="75">
        <v>231</v>
      </c>
      <c r="M231" s="75"/>
      <c r="N231" s="70"/>
      <c r="O231" s="77" t="s">
        <v>179</v>
      </c>
      <c r="P231" s="79">
        <v>45046.916678240741</v>
      </c>
      <c r="Q231" s="77" t="s">
        <v>1362</v>
      </c>
      <c r="R231" s="77">
        <v>0</v>
      </c>
      <c r="S231" s="77">
        <v>0</v>
      </c>
      <c r="T231" s="77">
        <v>0</v>
      </c>
      <c r="U231" s="77">
        <v>0</v>
      </c>
      <c r="V231" s="77">
        <v>13</v>
      </c>
      <c r="W231" s="82" t="s">
        <v>4205</v>
      </c>
      <c r="X231" s="77"/>
      <c r="Y231" s="77"/>
      <c r="Z231" s="77"/>
      <c r="AA231" s="77" t="s">
        <v>6258</v>
      </c>
      <c r="AB231" s="77" t="s">
        <v>7696</v>
      </c>
      <c r="AC231" s="82" t="s">
        <v>7706</v>
      </c>
      <c r="AD231" s="77" t="s">
        <v>7745</v>
      </c>
      <c r="AE231" s="80" t="str">
        <f>HYPERLINK("https://twitter.com/gustavo25867079/status/1652794962088546311")</f>
        <v>https://twitter.com/gustavo25867079/status/1652794962088546311</v>
      </c>
      <c r="AF231" s="79">
        <v>45046.916678240741</v>
      </c>
      <c r="AG231" s="85">
        <v>45046</v>
      </c>
      <c r="AH231" s="82" t="s">
        <v>7974</v>
      </c>
      <c r="AI231" s="77" t="b">
        <v>0</v>
      </c>
      <c r="AJ231" s="77"/>
      <c r="AK231" s="77"/>
      <c r="AL231" s="77"/>
      <c r="AM231" s="77"/>
      <c r="AN231" s="77"/>
      <c r="AO231" s="77"/>
      <c r="AP231" s="77"/>
      <c r="AQ231" s="77" t="s">
        <v>10765</v>
      </c>
      <c r="AR231" s="77"/>
      <c r="AS231" s="77"/>
      <c r="AT231" s="77"/>
      <c r="AU231" s="77"/>
      <c r="AV231" s="80" t="str">
        <f>HYPERLINK("https://pbs.twimg.com/media/FuWhlqxWcAYEkGi.jpg")</f>
        <v>https://pbs.twimg.com/media/FuWhlqxWcAYEkGi.jpg</v>
      </c>
      <c r="AW231" s="82" t="s">
        <v>12427</v>
      </c>
      <c r="AX231" s="82" t="s">
        <v>12427</v>
      </c>
      <c r="AY231" s="77"/>
      <c r="AZ231" s="82" t="s">
        <v>15804</v>
      </c>
      <c r="BA231" s="82" t="s">
        <v>15804</v>
      </c>
      <c r="BB231" s="82" t="s">
        <v>15804</v>
      </c>
      <c r="BC231" s="82" t="s">
        <v>12427</v>
      </c>
      <c r="BD231" s="82" t="s">
        <v>16183</v>
      </c>
      <c r="BE231" s="77"/>
      <c r="BF231" s="77"/>
      <c r="BG231" s="77"/>
      <c r="BH231" s="77"/>
      <c r="BI231" s="77"/>
    </row>
    <row r="232" spans="1:61" x14ac:dyDescent="0.25">
      <c r="A232" s="62" t="s">
        <v>308</v>
      </c>
      <c r="B232" s="62" t="s">
        <v>1057</v>
      </c>
      <c r="C232" s="63"/>
      <c r="D232" s="64"/>
      <c r="E232" s="65"/>
      <c r="F232" s="66"/>
      <c r="G232" s="63"/>
      <c r="H232" s="67"/>
      <c r="I232" s="68"/>
      <c r="J232" s="68"/>
      <c r="K232" s="32"/>
      <c r="L232" s="75">
        <v>232</v>
      </c>
      <c r="M232" s="75"/>
      <c r="N232" s="70"/>
      <c r="O232" s="77" t="s">
        <v>1132</v>
      </c>
      <c r="P232" s="79">
        <v>45147.043055555558</v>
      </c>
      <c r="Q232" s="77" t="s">
        <v>1363</v>
      </c>
      <c r="R232" s="77">
        <v>0</v>
      </c>
      <c r="S232" s="77">
        <v>0</v>
      </c>
      <c r="T232" s="77">
        <v>0</v>
      </c>
      <c r="U232" s="77">
        <v>0</v>
      </c>
      <c r="V232" s="77">
        <v>20</v>
      </c>
      <c r="W232" s="82" t="s">
        <v>4206</v>
      </c>
      <c r="X232" s="77"/>
      <c r="Y232" s="77"/>
      <c r="Z232" s="77" t="s">
        <v>1057</v>
      </c>
      <c r="AA232" s="77"/>
      <c r="AB232" s="77"/>
      <c r="AC232" s="82" t="s">
        <v>7707</v>
      </c>
      <c r="AD232" s="77" t="s">
        <v>7746</v>
      </c>
      <c r="AE232" s="80" t="str">
        <f>HYPERLINK("https://twitter.com/dillan__alves/status/1689079548703367168")</f>
        <v>https://twitter.com/dillan__alves/status/1689079548703367168</v>
      </c>
      <c r="AF232" s="79">
        <v>45147.043055555558</v>
      </c>
      <c r="AG232" s="85">
        <v>45147</v>
      </c>
      <c r="AH232" s="82" t="s">
        <v>7975</v>
      </c>
      <c r="AI232" s="77"/>
      <c r="AJ232" s="77"/>
      <c r="AK232" s="77"/>
      <c r="AL232" s="77"/>
      <c r="AM232" s="77"/>
      <c r="AN232" s="77"/>
      <c r="AO232" s="77"/>
      <c r="AP232" s="77"/>
      <c r="AQ232" s="77"/>
      <c r="AR232" s="77"/>
      <c r="AS232" s="77"/>
      <c r="AT232" s="77"/>
      <c r="AU232" s="77"/>
      <c r="AV232" s="80" t="str">
        <f>HYPERLINK("https://pbs.twimg.com/profile_images/1588545289744486401/qaQYO92D_normal.jpg")</f>
        <v>https://pbs.twimg.com/profile_images/1588545289744486401/qaQYO92D_normal.jpg</v>
      </c>
      <c r="AW232" s="82" t="s">
        <v>12428</v>
      </c>
      <c r="AX232" s="82" t="s">
        <v>15235</v>
      </c>
      <c r="AY232" s="82" t="s">
        <v>15687</v>
      </c>
      <c r="AZ232" s="82" t="s">
        <v>15235</v>
      </c>
      <c r="BA232" s="82" t="s">
        <v>15804</v>
      </c>
      <c r="BB232" s="82" t="s">
        <v>15804</v>
      </c>
      <c r="BC232" s="82" t="s">
        <v>15235</v>
      </c>
      <c r="BD232" s="82" t="s">
        <v>16184</v>
      </c>
      <c r="BE232" s="77"/>
      <c r="BF232" s="77"/>
      <c r="BG232" s="77"/>
      <c r="BH232" s="77"/>
      <c r="BI232" s="77"/>
    </row>
    <row r="233" spans="1:61" x14ac:dyDescent="0.25">
      <c r="A233" s="62" t="s">
        <v>309</v>
      </c>
      <c r="B233" s="62" t="s">
        <v>309</v>
      </c>
      <c r="C233" s="63"/>
      <c r="D233" s="64"/>
      <c r="E233" s="65"/>
      <c r="F233" s="66"/>
      <c r="G233" s="63"/>
      <c r="H233" s="67"/>
      <c r="I233" s="68"/>
      <c r="J233" s="68"/>
      <c r="K233" s="32"/>
      <c r="L233" s="75">
        <v>233</v>
      </c>
      <c r="M233" s="75"/>
      <c r="N233" s="70"/>
      <c r="O233" s="77" t="s">
        <v>1132</v>
      </c>
      <c r="P233" s="79">
        <v>45077.906006944446</v>
      </c>
      <c r="Q233" s="77" t="s">
        <v>1364</v>
      </c>
      <c r="R233" s="77">
        <v>0</v>
      </c>
      <c r="S233" s="77">
        <v>0</v>
      </c>
      <c r="T233" s="77">
        <v>0</v>
      </c>
      <c r="U233" s="77">
        <v>0</v>
      </c>
      <c r="V233" s="77">
        <v>69</v>
      </c>
      <c r="W233" s="82" t="s">
        <v>4207</v>
      </c>
      <c r="X233" s="77"/>
      <c r="Y233" s="77"/>
      <c r="Z233" s="77"/>
      <c r="AA233" s="77"/>
      <c r="AB233" s="77"/>
      <c r="AC233" s="82" t="s">
        <v>7705</v>
      </c>
      <c r="AD233" s="77" t="s">
        <v>7748</v>
      </c>
      <c r="AE233" s="80" t="str">
        <f>HYPERLINK("https://twitter.com/rio_bravo/status/1664025119616905216")</f>
        <v>https://twitter.com/rio_bravo/status/1664025119616905216</v>
      </c>
      <c r="AF233" s="79">
        <v>45077.906006944446</v>
      </c>
      <c r="AG233" s="85">
        <v>45077</v>
      </c>
      <c r="AH233" s="82" t="s">
        <v>7976</v>
      </c>
      <c r="AI233" s="77"/>
      <c r="AJ233" s="77"/>
      <c r="AK233" s="77"/>
      <c r="AL233" s="77"/>
      <c r="AM233" s="77"/>
      <c r="AN233" s="77"/>
      <c r="AO233" s="77"/>
      <c r="AP233" s="77"/>
      <c r="AQ233" s="77"/>
      <c r="AR233" s="77"/>
      <c r="AS233" s="77"/>
      <c r="AT233" s="77"/>
      <c r="AU233" s="77"/>
      <c r="AV233" s="80" t="str">
        <f>HYPERLINK("https://pbs.twimg.com/profile_images/1674890323326128128/SJXVp4hL_normal.jpg")</f>
        <v>https://pbs.twimg.com/profile_images/1674890323326128128/SJXVp4hL_normal.jpg</v>
      </c>
      <c r="AW233" s="82" t="s">
        <v>12429</v>
      </c>
      <c r="AX233" s="82" t="s">
        <v>15236</v>
      </c>
      <c r="AY233" s="82" t="s">
        <v>15688</v>
      </c>
      <c r="AZ233" s="82" t="s">
        <v>15814</v>
      </c>
      <c r="BA233" s="82" t="s">
        <v>15804</v>
      </c>
      <c r="BB233" s="82" t="s">
        <v>15804</v>
      </c>
      <c r="BC233" s="82" t="s">
        <v>15814</v>
      </c>
      <c r="BD233" s="77">
        <v>3687841756</v>
      </c>
      <c r="BE233" s="77"/>
      <c r="BF233" s="77"/>
      <c r="BG233" s="77"/>
      <c r="BH233" s="77"/>
      <c r="BI233" s="77"/>
    </row>
    <row r="234" spans="1:61" x14ac:dyDescent="0.25">
      <c r="A234" s="62" t="s">
        <v>309</v>
      </c>
      <c r="B234" s="62" t="s">
        <v>309</v>
      </c>
      <c r="C234" s="63"/>
      <c r="D234" s="64"/>
      <c r="E234" s="65"/>
      <c r="F234" s="66"/>
      <c r="G234" s="63"/>
      <c r="H234" s="67"/>
      <c r="I234" s="68"/>
      <c r="J234" s="68"/>
      <c r="K234" s="32"/>
      <c r="L234" s="75">
        <v>234</v>
      </c>
      <c r="M234" s="75"/>
      <c r="N234" s="70"/>
      <c r="O234" s="77" t="s">
        <v>1132</v>
      </c>
      <c r="P234" s="79">
        <v>45049.89671296296</v>
      </c>
      <c r="Q234" s="77" t="s">
        <v>1364</v>
      </c>
      <c r="R234" s="77">
        <v>0</v>
      </c>
      <c r="S234" s="77">
        <v>1</v>
      </c>
      <c r="T234" s="77">
        <v>0</v>
      </c>
      <c r="U234" s="77">
        <v>0</v>
      </c>
      <c r="V234" s="77">
        <v>88</v>
      </c>
      <c r="W234" s="82" t="s">
        <v>4207</v>
      </c>
      <c r="X234" s="77"/>
      <c r="Y234" s="77"/>
      <c r="Z234" s="77"/>
      <c r="AA234" s="77"/>
      <c r="AB234" s="77"/>
      <c r="AC234" s="82" t="s">
        <v>7705</v>
      </c>
      <c r="AD234" s="77" t="s">
        <v>7748</v>
      </c>
      <c r="AE234" s="80" t="str">
        <f>HYPERLINK("https://twitter.com/rio_bravo/status/1653874893581082626")</f>
        <v>https://twitter.com/rio_bravo/status/1653874893581082626</v>
      </c>
      <c r="AF234" s="79">
        <v>45049.89671296296</v>
      </c>
      <c r="AG234" s="85">
        <v>45049</v>
      </c>
      <c r="AH234" s="82" t="s">
        <v>7977</v>
      </c>
      <c r="AI234" s="77"/>
      <c r="AJ234" s="77"/>
      <c r="AK234" s="77"/>
      <c r="AL234" s="77"/>
      <c r="AM234" s="77"/>
      <c r="AN234" s="77"/>
      <c r="AO234" s="77"/>
      <c r="AP234" s="77"/>
      <c r="AQ234" s="77"/>
      <c r="AR234" s="77"/>
      <c r="AS234" s="77"/>
      <c r="AT234" s="77"/>
      <c r="AU234" s="77"/>
      <c r="AV234" s="80" t="str">
        <f>HYPERLINK("https://pbs.twimg.com/profile_images/1674890323326128128/SJXVp4hL_normal.jpg")</f>
        <v>https://pbs.twimg.com/profile_images/1674890323326128128/SJXVp4hL_normal.jpg</v>
      </c>
      <c r="AW234" s="82" t="s">
        <v>12430</v>
      </c>
      <c r="AX234" s="82" t="s">
        <v>15237</v>
      </c>
      <c r="AY234" s="82" t="s">
        <v>15688</v>
      </c>
      <c r="AZ234" s="82" t="s">
        <v>15815</v>
      </c>
      <c r="BA234" s="82" t="s">
        <v>15804</v>
      </c>
      <c r="BB234" s="82" t="s">
        <v>15804</v>
      </c>
      <c r="BC234" s="82" t="s">
        <v>15815</v>
      </c>
      <c r="BD234" s="77">
        <v>3687841756</v>
      </c>
      <c r="BE234" s="77"/>
      <c r="BF234" s="77"/>
      <c r="BG234" s="77"/>
      <c r="BH234" s="77"/>
      <c r="BI234" s="77"/>
    </row>
    <row r="235" spans="1:61" x14ac:dyDescent="0.25">
      <c r="A235" s="62" t="s">
        <v>309</v>
      </c>
      <c r="B235" s="62" t="s">
        <v>309</v>
      </c>
      <c r="C235" s="63"/>
      <c r="D235" s="64"/>
      <c r="E235" s="65"/>
      <c r="F235" s="66"/>
      <c r="G235" s="63"/>
      <c r="H235" s="67"/>
      <c r="I235" s="68"/>
      <c r="J235" s="68"/>
      <c r="K235" s="32"/>
      <c r="L235" s="75">
        <v>235</v>
      </c>
      <c r="M235" s="75"/>
      <c r="N235" s="70"/>
      <c r="O235" s="77" t="s">
        <v>1132</v>
      </c>
      <c r="P235" s="79">
        <v>45089.864687499998</v>
      </c>
      <c r="Q235" s="77" t="s">
        <v>1365</v>
      </c>
      <c r="R235" s="77">
        <v>0</v>
      </c>
      <c r="S235" s="77">
        <v>0</v>
      </c>
      <c r="T235" s="77">
        <v>1</v>
      </c>
      <c r="U235" s="77">
        <v>0</v>
      </c>
      <c r="V235" s="77">
        <v>28</v>
      </c>
      <c r="W235" s="82" t="s">
        <v>4208</v>
      </c>
      <c r="X235" s="80" t="str">
        <f>HYPERLINK("https://youtu.be/IMVzqm8i2nY")</f>
        <v>https://youtu.be/IMVzqm8i2nY</v>
      </c>
      <c r="Y235" s="77" t="s">
        <v>6003</v>
      </c>
      <c r="Z235" s="77"/>
      <c r="AA235" s="77"/>
      <c r="AB235" s="77"/>
      <c r="AC235" s="82" t="s">
        <v>7705</v>
      </c>
      <c r="AD235" s="77" t="s">
        <v>7745</v>
      </c>
      <c r="AE235" s="80" t="str">
        <f>HYPERLINK("https://twitter.com/rio_bravo/status/1668358801815228416")</f>
        <v>https://twitter.com/rio_bravo/status/1668358801815228416</v>
      </c>
      <c r="AF235" s="79">
        <v>45089.864687499998</v>
      </c>
      <c r="AG235" s="85">
        <v>45089</v>
      </c>
      <c r="AH235" s="82" t="s">
        <v>7978</v>
      </c>
      <c r="AI235" s="77" t="b">
        <v>0</v>
      </c>
      <c r="AJ235" s="77"/>
      <c r="AK235" s="77"/>
      <c r="AL235" s="77"/>
      <c r="AM235" s="77"/>
      <c r="AN235" s="77"/>
      <c r="AO235" s="77"/>
      <c r="AP235" s="77"/>
      <c r="AQ235" s="77"/>
      <c r="AR235" s="77"/>
      <c r="AS235" s="77"/>
      <c r="AT235" s="77"/>
      <c r="AU235" s="77"/>
      <c r="AV235" s="80" t="str">
        <f>HYPERLINK("https://pbs.twimg.com/profile_images/1674890323326128128/SJXVp4hL_normal.jpg")</f>
        <v>https://pbs.twimg.com/profile_images/1674890323326128128/SJXVp4hL_normal.jpg</v>
      </c>
      <c r="AW235" s="82" t="s">
        <v>12431</v>
      </c>
      <c r="AX235" s="82" t="s">
        <v>15238</v>
      </c>
      <c r="AY235" s="82" t="s">
        <v>15688</v>
      </c>
      <c r="AZ235" s="82" t="s">
        <v>15816</v>
      </c>
      <c r="BA235" s="82" t="s">
        <v>15804</v>
      </c>
      <c r="BB235" s="82" t="s">
        <v>15804</v>
      </c>
      <c r="BC235" s="82" t="s">
        <v>15816</v>
      </c>
      <c r="BD235" s="77">
        <v>3687841756</v>
      </c>
      <c r="BE235" s="77"/>
      <c r="BF235" s="77"/>
      <c r="BG235" s="77"/>
      <c r="BH235" s="77"/>
      <c r="BI235" s="77"/>
    </row>
    <row r="236" spans="1:61" x14ac:dyDescent="0.25">
      <c r="A236" s="62" t="s">
        <v>309</v>
      </c>
      <c r="B236" s="62" t="s">
        <v>309</v>
      </c>
      <c r="C236" s="63"/>
      <c r="D236" s="64"/>
      <c r="E236" s="65"/>
      <c r="F236" s="66"/>
      <c r="G236" s="63"/>
      <c r="H236" s="67"/>
      <c r="I236" s="68"/>
      <c r="J236" s="68"/>
      <c r="K236" s="32"/>
      <c r="L236" s="75">
        <v>236</v>
      </c>
      <c r="M236" s="75"/>
      <c r="N236" s="70"/>
      <c r="O236" s="77" t="s">
        <v>1132</v>
      </c>
      <c r="P236" s="79">
        <v>44998.886377314811</v>
      </c>
      <c r="Q236" s="77" t="s">
        <v>1366</v>
      </c>
      <c r="R236" s="77">
        <v>0</v>
      </c>
      <c r="S236" s="77">
        <v>0</v>
      </c>
      <c r="T236" s="77">
        <v>0</v>
      </c>
      <c r="U236" s="77">
        <v>0</v>
      </c>
      <c r="V236" s="77">
        <v>85</v>
      </c>
      <c r="W236" s="82" t="s">
        <v>4209</v>
      </c>
      <c r="X236" s="77"/>
      <c r="Y236" s="77"/>
      <c r="Z236" s="77"/>
      <c r="AA236" s="77"/>
      <c r="AB236" s="77"/>
      <c r="AC236" s="82" t="s">
        <v>7705</v>
      </c>
      <c r="AD236" s="77" t="s">
        <v>7748</v>
      </c>
      <c r="AE236" s="80" t="str">
        <f>HYPERLINK("https://twitter.com/rio_bravo/status/1635389363617148928")</f>
        <v>https://twitter.com/rio_bravo/status/1635389363617148928</v>
      </c>
      <c r="AF236" s="79">
        <v>44998.886377314811</v>
      </c>
      <c r="AG236" s="85">
        <v>44998</v>
      </c>
      <c r="AH236" s="82" t="s">
        <v>7979</v>
      </c>
      <c r="AI236" s="77"/>
      <c r="AJ236" s="77"/>
      <c r="AK236" s="77"/>
      <c r="AL236" s="77"/>
      <c r="AM236" s="77"/>
      <c r="AN236" s="77"/>
      <c r="AO236" s="77"/>
      <c r="AP236" s="77"/>
      <c r="AQ236" s="77"/>
      <c r="AR236" s="77"/>
      <c r="AS236" s="77"/>
      <c r="AT236" s="77"/>
      <c r="AU236" s="77"/>
      <c r="AV236" s="80" t="str">
        <f>HYPERLINK("https://pbs.twimg.com/profile_images/1674890323326128128/SJXVp4hL_normal.jpg")</f>
        <v>https://pbs.twimg.com/profile_images/1674890323326128128/SJXVp4hL_normal.jpg</v>
      </c>
      <c r="AW236" s="82" t="s">
        <v>12432</v>
      </c>
      <c r="AX236" s="82" t="s">
        <v>15239</v>
      </c>
      <c r="AY236" s="82" t="s">
        <v>15688</v>
      </c>
      <c r="AZ236" s="82" t="s">
        <v>15817</v>
      </c>
      <c r="BA236" s="82" t="s">
        <v>15804</v>
      </c>
      <c r="BB236" s="82" t="s">
        <v>15804</v>
      </c>
      <c r="BC236" s="82" t="s">
        <v>15817</v>
      </c>
      <c r="BD236" s="77">
        <v>3687841756</v>
      </c>
      <c r="BE236" s="77"/>
      <c r="BF236" s="77"/>
      <c r="BG236" s="77"/>
      <c r="BH236" s="77"/>
      <c r="BI236" s="77"/>
    </row>
    <row r="237" spans="1:61" x14ac:dyDescent="0.25">
      <c r="A237" s="62" t="s">
        <v>309</v>
      </c>
      <c r="B237" s="62" t="s">
        <v>309</v>
      </c>
      <c r="C237" s="63"/>
      <c r="D237" s="64"/>
      <c r="E237" s="65"/>
      <c r="F237" s="66"/>
      <c r="G237" s="63"/>
      <c r="H237" s="67"/>
      <c r="I237" s="68"/>
      <c r="J237" s="68"/>
      <c r="K237" s="32"/>
      <c r="L237" s="75">
        <v>237</v>
      </c>
      <c r="M237" s="75"/>
      <c r="N237" s="70"/>
      <c r="O237" s="77" t="s">
        <v>1132</v>
      </c>
      <c r="P237" s="79">
        <v>45096.882094907407</v>
      </c>
      <c r="Q237" s="77" t="s">
        <v>1364</v>
      </c>
      <c r="R237" s="77">
        <v>0</v>
      </c>
      <c r="S237" s="77">
        <v>0</v>
      </c>
      <c r="T237" s="77">
        <v>0</v>
      </c>
      <c r="U237" s="77">
        <v>0</v>
      </c>
      <c r="V237" s="77">
        <v>60</v>
      </c>
      <c r="W237" s="82" t="s">
        <v>4207</v>
      </c>
      <c r="X237" s="77"/>
      <c r="Y237" s="77"/>
      <c r="Z237" s="77"/>
      <c r="AA237" s="77"/>
      <c r="AB237" s="77"/>
      <c r="AC237" s="82" t="s">
        <v>7705</v>
      </c>
      <c r="AD237" s="77" t="s">
        <v>7748</v>
      </c>
      <c r="AE237" s="80" t="str">
        <f>HYPERLINK("https://twitter.com/rio_bravo/status/1670901824327409671")</f>
        <v>https://twitter.com/rio_bravo/status/1670901824327409671</v>
      </c>
      <c r="AF237" s="79">
        <v>45096.882094907407</v>
      </c>
      <c r="AG237" s="85">
        <v>45096</v>
      </c>
      <c r="AH237" s="82" t="s">
        <v>7980</v>
      </c>
      <c r="AI237" s="77"/>
      <c r="AJ237" s="77"/>
      <c r="AK237" s="77"/>
      <c r="AL237" s="77"/>
      <c r="AM237" s="77"/>
      <c r="AN237" s="77"/>
      <c r="AO237" s="77"/>
      <c r="AP237" s="77"/>
      <c r="AQ237" s="77"/>
      <c r="AR237" s="77"/>
      <c r="AS237" s="77"/>
      <c r="AT237" s="77"/>
      <c r="AU237" s="77"/>
      <c r="AV237" s="80" t="str">
        <f>HYPERLINK("https://pbs.twimg.com/profile_images/1674890323326128128/SJXVp4hL_normal.jpg")</f>
        <v>https://pbs.twimg.com/profile_images/1674890323326128128/SJXVp4hL_normal.jpg</v>
      </c>
      <c r="AW237" s="82" t="s">
        <v>12433</v>
      </c>
      <c r="AX237" s="82" t="s">
        <v>15240</v>
      </c>
      <c r="AY237" s="82" t="s">
        <v>15688</v>
      </c>
      <c r="AZ237" s="82" t="s">
        <v>15818</v>
      </c>
      <c r="BA237" s="82" t="s">
        <v>15804</v>
      </c>
      <c r="BB237" s="82" t="s">
        <v>15804</v>
      </c>
      <c r="BC237" s="82" t="s">
        <v>15818</v>
      </c>
      <c r="BD237" s="77">
        <v>3687841756</v>
      </c>
      <c r="BE237" s="77"/>
      <c r="BF237" s="77"/>
      <c r="BG237" s="77"/>
      <c r="BH237" s="77"/>
      <c r="BI237" s="77"/>
    </row>
    <row r="238" spans="1:61" x14ac:dyDescent="0.25">
      <c r="A238" s="62" t="s">
        <v>309</v>
      </c>
      <c r="B238" s="62" t="s">
        <v>309</v>
      </c>
      <c r="C238" s="63"/>
      <c r="D238" s="64"/>
      <c r="E238" s="65"/>
      <c r="F238" s="66"/>
      <c r="G238" s="63"/>
      <c r="H238" s="67"/>
      <c r="I238" s="68"/>
      <c r="J238" s="68"/>
      <c r="K238" s="32"/>
      <c r="L238" s="75">
        <v>238</v>
      </c>
      <c r="M238" s="75"/>
      <c r="N238" s="70"/>
      <c r="O238" s="77" t="s">
        <v>1132</v>
      </c>
      <c r="P238" s="79">
        <v>45019.899293981478</v>
      </c>
      <c r="Q238" s="77" t="s">
        <v>1367</v>
      </c>
      <c r="R238" s="77">
        <v>0</v>
      </c>
      <c r="S238" s="77">
        <v>0</v>
      </c>
      <c r="T238" s="77">
        <v>0</v>
      </c>
      <c r="U238" s="77">
        <v>0</v>
      </c>
      <c r="V238" s="77">
        <v>64</v>
      </c>
      <c r="W238" s="82" t="s">
        <v>4210</v>
      </c>
      <c r="X238" s="80" t="str">
        <f>HYPERLINK("https://youtu.be/cLBN3cZ387g")</f>
        <v>https://youtu.be/cLBN3cZ387g</v>
      </c>
      <c r="Y238" s="77" t="s">
        <v>6003</v>
      </c>
      <c r="Z238" s="77"/>
      <c r="AA238" s="77"/>
      <c r="AB238" s="77"/>
      <c r="AC238" s="82" t="s">
        <v>7705</v>
      </c>
      <c r="AD238" s="77" t="s">
        <v>7745</v>
      </c>
      <c r="AE238" s="80" t="str">
        <f>HYPERLINK("https://twitter.com/rio_bravo/status/1643004190434775040")</f>
        <v>https://twitter.com/rio_bravo/status/1643004190434775040</v>
      </c>
      <c r="AF238" s="79">
        <v>45019.899293981478</v>
      </c>
      <c r="AG238" s="85">
        <v>45019</v>
      </c>
      <c r="AH238" s="82" t="s">
        <v>7981</v>
      </c>
      <c r="AI238" s="77" t="b">
        <v>0</v>
      </c>
      <c r="AJ238" s="77"/>
      <c r="AK238" s="77"/>
      <c r="AL238" s="77"/>
      <c r="AM238" s="77"/>
      <c r="AN238" s="77"/>
      <c r="AO238" s="77"/>
      <c r="AP238" s="77"/>
      <c r="AQ238" s="77"/>
      <c r="AR238" s="77"/>
      <c r="AS238" s="77"/>
      <c r="AT238" s="77"/>
      <c r="AU238" s="77"/>
      <c r="AV238" s="80" t="str">
        <f>HYPERLINK("https://pbs.twimg.com/profile_images/1674890323326128128/SJXVp4hL_normal.jpg")</f>
        <v>https://pbs.twimg.com/profile_images/1674890323326128128/SJXVp4hL_normal.jpg</v>
      </c>
      <c r="AW238" s="82" t="s">
        <v>12434</v>
      </c>
      <c r="AX238" s="82" t="s">
        <v>15241</v>
      </c>
      <c r="AY238" s="82" t="s">
        <v>15688</v>
      </c>
      <c r="AZ238" s="82" t="s">
        <v>15241</v>
      </c>
      <c r="BA238" s="82" t="s">
        <v>15804</v>
      </c>
      <c r="BB238" s="82" t="s">
        <v>15804</v>
      </c>
      <c r="BC238" s="82" t="s">
        <v>15241</v>
      </c>
      <c r="BD238" s="77">
        <v>3687841756</v>
      </c>
      <c r="BE238" s="77"/>
      <c r="BF238" s="77"/>
      <c r="BG238" s="77"/>
      <c r="BH238" s="77"/>
      <c r="BI238" s="77"/>
    </row>
    <row r="239" spans="1:61" x14ac:dyDescent="0.25">
      <c r="A239" s="62" t="s">
        <v>309</v>
      </c>
      <c r="B239" s="62" t="s">
        <v>309</v>
      </c>
      <c r="C239" s="63"/>
      <c r="D239" s="64"/>
      <c r="E239" s="65"/>
      <c r="F239" s="66"/>
      <c r="G239" s="63"/>
      <c r="H239" s="67"/>
      <c r="I239" s="68"/>
      <c r="J239" s="68"/>
      <c r="K239" s="32"/>
      <c r="L239" s="75">
        <v>239</v>
      </c>
      <c r="M239" s="75"/>
      <c r="N239" s="70"/>
      <c r="O239" s="77" t="s">
        <v>1132</v>
      </c>
      <c r="P239" s="79">
        <v>45159.798495370371</v>
      </c>
      <c r="Q239" s="77" t="s">
        <v>1368</v>
      </c>
      <c r="R239" s="77">
        <v>0</v>
      </c>
      <c r="S239" s="77">
        <v>0</v>
      </c>
      <c r="T239" s="77">
        <v>0</v>
      </c>
      <c r="U239" s="77">
        <v>0</v>
      </c>
      <c r="V239" s="77">
        <v>61</v>
      </c>
      <c r="W239" s="82" t="s">
        <v>4211</v>
      </c>
      <c r="X239" s="77"/>
      <c r="Y239" s="77"/>
      <c r="Z239" s="77"/>
      <c r="AA239" s="77"/>
      <c r="AB239" s="77"/>
      <c r="AC239" s="82" t="s">
        <v>7705</v>
      </c>
      <c r="AD239" s="77" t="s">
        <v>7748</v>
      </c>
      <c r="AE239" s="80" t="str">
        <f>HYPERLINK("https://twitter.com/rio_bravo/status/1693701965010661873")</f>
        <v>https://twitter.com/rio_bravo/status/1693701965010661873</v>
      </c>
      <c r="AF239" s="79">
        <v>45159.798495370371</v>
      </c>
      <c r="AG239" s="85">
        <v>45159</v>
      </c>
      <c r="AH239" s="82" t="s">
        <v>7982</v>
      </c>
      <c r="AI239" s="77"/>
      <c r="AJ239" s="77"/>
      <c r="AK239" s="77"/>
      <c r="AL239" s="77"/>
      <c r="AM239" s="77"/>
      <c r="AN239" s="77"/>
      <c r="AO239" s="77"/>
      <c r="AP239" s="77"/>
      <c r="AQ239" s="77"/>
      <c r="AR239" s="77"/>
      <c r="AS239" s="77"/>
      <c r="AT239" s="77"/>
      <c r="AU239" s="77"/>
      <c r="AV239" s="80" t="str">
        <f>HYPERLINK("https://pbs.twimg.com/profile_images/1674890323326128128/SJXVp4hL_normal.jpg")</f>
        <v>https://pbs.twimg.com/profile_images/1674890323326128128/SJXVp4hL_normal.jpg</v>
      </c>
      <c r="AW239" s="82" t="s">
        <v>12435</v>
      </c>
      <c r="AX239" s="82" t="s">
        <v>15242</v>
      </c>
      <c r="AY239" s="82" t="s">
        <v>15688</v>
      </c>
      <c r="AZ239" s="82" t="s">
        <v>15819</v>
      </c>
      <c r="BA239" s="82" t="s">
        <v>15804</v>
      </c>
      <c r="BB239" s="82" t="s">
        <v>15804</v>
      </c>
      <c r="BC239" s="82" t="s">
        <v>15819</v>
      </c>
      <c r="BD239" s="77">
        <v>3687841756</v>
      </c>
      <c r="BE239" s="77"/>
      <c r="BF239" s="77"/>
      <c r="BG239" s="77"/>
      <c r="BH239" s="77"/>
      <c r="BI239" s="77"/>
    </row>
    <row r="240" spans="1:61" x14ac:dyDescent="0.25">
      <c r="A240" s="62" t="s">
        <v>309</v>
      </c>
      <c r="B240" s="62" t="s">
        <v>309</v>
      </c>
      <c r="C240" s="63"/>
      <c r="D240" s="64"/>
      <c r="E240" s="65"/>
      <c r="F240" s="66"/>
      <c r="G240" s="63"/>
      <c r="H240" s="67"/>
      <c r="I240" s="68"/>
      <c r="J240" s="68"/>
      <c r="K240" s="32"/>
      <c r="L240" s="75">
        <v>240</v>
      </c>
      <c r="M240" s="75"/>
      <c r="N240" s="70"/>
      <c r="O240" s="77" t="s">
        <v>1132</v>
      </c>
      <c r="P240" s="79">
        <v>45152.832141203704</v>
      </c>
      <c r="Q240" s="77" t="s">
        <v>1368</v>
      </c>
      <c r="R240" s="77">
        <v>0</v>
      </c>
      <c r="S240" s="77">
        <v>0</v>
      </c>
      <c r="T240" s="77">
        <v>0</v>
      </c>
      <c r="U240" s="77">
        <v>0</v>
      </c>
      <c r="V240" s="77">
        <v>45</v>
      </c>
      <c r="W240" s="82" t="s">
        <v>4211</v>
      </c>
      <c r="X240" s="77"/>
      <c r="Y240" s="77"/>
      <c r="Z240" s="77"/>
      <c r="AA240" s="77"/>
      <c r="AB240" s="77"/>
      <c r="AC240" s="82" t="s">
        <v>7705</v>
      </c>
      <c r="AD240" s="77" t="s">
        <v>7748</v>
      </c>
      <c r="AE240" s="80" t="str">
        <f>HYPERLINK("https://twitter.com/rio_bravo/status/1691177442201776130")</f>
        <v>https://twitter.com/rio_bravo/status/1691177442201776130</v>
      </c>
      <c r="AF240" s="79">
        <v>45152.832141203704</v>
      </c>
      <c r="AG240" s="85">
        <v>45152</v>
      </c>
      <c r="AH240" s="82" t="s">
        <v>7983</v>
      </c>
      <c r="AI240" s="77"/>
      <c r="AJ240" s="77"/>
      <c r="AK240" s="77"/>
      <c r="AL240" s="77"/>
      <c r="AM240" s="77"/>
      <c r="AN240" s="77"/>
      <c r="AO240" s="77"/>
      <c r="AP240" s="77"/>
      <c r="AQ240" s="77"/>
      <c r="AR240" s="77"/>
      <c r="AS240" s="77"/>
      <c r="AT240" s="77"/>
      <c r="AU240" s="77"/>
      <c r="AV240" s="80" t="str">
        <f>HYPERLINK("https://pbs.twimg.com/profile_images/1674890323326128128/SJXVp4hL_normal.jpg")</f>
        <v>https://pbs.twimg.com/profile_images/1674890323326128128/SJXVp4hL_normal.jpg</v>
      </c>
      <c r="AW240" s="82" t="s">
        <v>12436</v>
      </c>
      <c r="AX240" s="82" t="s">
        <v>15243</v>
      </c>
      <c r="AY240" s="82" t="s">
        <v>15688</v>
      </c>
      <c r="AZ240" s="82" t="s">
        <v>15820</v>
      </c>
      <c r="BA240" s="82" t="s">
        <v>15804</v>
      </c>
      <c r="BB240" s="82" t="s">
        <v>15804</v>
      </c>
      <c r="BC240" s="82" t="s">
        <v>15820</v>
      </c>
      <c r="BD240" s="77">
        <v>3687841756</v>
      </c>
      <c r="BE240" s="77"/>
      <c r="BF240" s="77"/>
      <c r="BG240" s="77"/>
      <c r="BH240" s="77"/>
      <c r="BI240" s="77"/>
    </row>
    <row r="241" spans="1:61" x14ac:dyDescent="0.25">
      <c r="A241" s="62" t="s">
        <v>309</v>
      </c>
      <c r="B241" s="62" t="s">
        <v>309</v>
      </c>
      <c r="C241" s="63"/>
      <c r="D241" s="64"/>
      <c r="E241" s="65"/>
      <c r="F241" s="66"/>
      <c r="G241" s="63"/>
      <c r="H241" s="67"/>
      <c r="I241" s="68"/>
      <c r="J241" s="68"/>
      <c r="K241" s="32"/>
      <c r="L241" s="75">
        <v>241</v>
      </c>
      <c r="M241" s="75"/>
      <c r="N241" s="70"/>
      <c r="O241" s="77" t="s">
        <v>1132</v>
      </c>
      <c r="P241" s="79">
        <v>45140.903333333335</v>
      </c>
      <c r="Q241" s="77" t="s">
        <v>1368</v>
      </c>
      <c r="R241" s="77">
        <v>0</v>
      </c>
      <c r="S241" s="77">
        <v>0</v>
      </c>
      <c r="T241" s="77">
        <v>0</v>
      </c>
      <c r="U241" s="77">
        <v>0</v>
      </c>
      <c r="V241" s="77">
        <v>63</v>
      </c>
      <c r="W241" s="82" t="s">
        <v>4211</v>
      </c>
      <c r="X241" s="77"/>
      <c r="Y241" s="77"/>
      <c r="Z241" s="77"/>
      <c r="AA241" s="77"/>
      <c r="AB241" s="77"/>
      <c r="AC241" s="82" t="s">
        <v>7705</v>
      </c>
      <c r="AD241" s="77" t="s">
        <v>7748</v>
      </c>
      <c r="AE241" s="80" t="str">
        <f>HYPERLINK("https://twitter.com/rio_bravo/status/1686854587188146176")</f>
        <v>https://twitter.com/rio_bravo/status/1686854587188146176</v>
      </c>
      <c r="AF241" s="79">
        <v>45140.903333333335</v>
      </c>
      <c r="AG241" s="85">
        <v>45140</v>
      </c>
      <c r="AH241" s="82" t="s">
        <v>7984</v>
      </c>
      <c r="AI241" s="77"/>
      <c r="AJ241" s="77"/>
      <c r="AK241" s="77"/>
      <c r="AL241" s="77"/>
      <c r="AM241" s="77"/>
      <c r="AN241" s="77"/>
      <c r="AO241" s="77"/>
      <c r="AP241" s="77"/>
      <c r="AQ241" s="77"/>
      <c r="AR241" s="77"/>
      <c r="AS241" s="77"/>
      <c r="AT241" s="77"/>
      <c r="AU241" s="77"/>
      <c r="AV241" s="80" t="str">
        <f>HYPERLINK("https://pbs.twimg.com/profile_images/1674890323326128128/SJXVp4hL_normal.jpg")</f>
        <v>https://pbs.twimg.com/profile_images/1674890323326128128/SJXVp4hL_normal.jpg</v>
      </c>
      <c r="AW241" s="82" t="s">
        <v>12437</v>
      </c>
      <c r="AX241" s="82" t="s">
        <v>15244</v>
      </c>
      <c r="AY241" s="82" t="s">
        <v>15688</v>
      </c>
      <c r="AZ241" s="82" t="s">
        <v>15821</v>
      </c>
      <c r="BA241" s="82" t="s">
        <v>15804</v>
      </c>
      <c r="BB241" s="82" t="s">
        <v>15804</v>
      </c>
      <c r="BC241" s="82" t="s">
        <v>15821</v>
      </c>
      <c r="BD241" s="77">
        <v>3687841756</v>
      </c>
      <c r="BE241" s="77"/>
      <c r="BF241" s="77"/>
      <c r="BG241" s="77"/>
      <c r="BH241" s="77"/>
      <c r="BI241" s="77"/>
    </row>
    <row r="242" spans="1:61" x14ac:dyDescent="0.25">
      <c r="A242" s="62" t="s">
        <v>309</v>
      </c>
      <c r="B242" s="62" t="s">
        <v>309</v>
      </c>
      <c r="C242" s="63"/>
      <c r="D242" s="64"/>
      <c r="E242" s="65"/>
      <c r="F242" s="66"/>
      <c r="G242" s="63"/>
      <c r="H242" s="67"/>
      <c r="I242" s="68"/>
      <c r="J242" s="68"/>
      <c r="K242" s="32"/>
      <c r="L242" s="75">
        <v>242</v>
      </c>
      <c r="M242" s="75"/>
      <c r="N242" s="70"/>
      <c r="O242" s="77" t="s">
        <v>1132</v>
      </c>
      <c r="P242" s="79">
        <v>45063.893703703703</v>
      </c>
      <c r="Q242" s="77" t="s">
        <v>1369</v>
      </c>
      <c r="R242" s="77">
        <v>0</v>
      </c>
      <c r="S242" s="77">
        <v>0</v>
      </c>
      <c r="T242" s="77">
        <v>0</v>
      </c>
      <c r="U242" s="77">
        <v>0</v>
      </c>
      <c r="V242" s="77">
        <v>68</v>
      </c>
      <c r="W242" s="82" t="s">
        <v>4212</v>
      </c>
      <c r="X242" s="77"/>
      <c r="Y242" s="77"/>
      <c r="Z242" s="77"/>
      <c r="AA242" s="77"/>
      <c r="AB242" s="77"/>
      <c r="AC242" s="82" t="s">
        <v>7705</v>
      </c>
      <c r="AD242" s="77" t="s">
        <v>7748</v>
      </c>
      <c r="AE242" s="80" t="str">
        <f>HYPERLINK("https://twitter.com/rio_bravo/status/1658947230345187335")</f>
        <v>https://twitter.com/rio_bravo/status/1658947230345187335</v>
      </c>
      <c r="AF242" s="79">
        <v>45063.893703703703</v>
      </c>
      <c r="AG242" s="85">
        <v>45063</v>
      </c>
      <c r="AH242" s="82" t="s">
        <v>7985</v>
      </c>
      <c r="AI242" s="77"/>
      <c r="AJ242" s="77"/>
      <c r="AK242" s="77"/>
      <c r="AL242" s="77"/>
      <c r="AM242" s="77"/>
      <c r="AN242" s="77"/>
      <c r="AO242" s="77"/>
      <c r="AP242" s="77"/>
      <c r="AQ242" s="77"/>
      <c r="AR242" s="77"/>
      <c r="AS242" s="77"/>
      <c r="AT242" s="77"/>
      <c r="AU242" s="77"/>
      <c r="AV242" s="80" t="str">
        <f>HYPERLINK("https://pbs.twimg.com/profile_images/1674890323326128128/SJXVp4hL_normal.jpg")</f>
        <v>https://pbs.twimg.com/profile_images/1674890323326128128/SJXVp4hL_normal.jpg</v>
      </c>
      <c r="AW242" s="82" t="s">
        <v>12438</v>
      </c>
      <c r="AX242" s="82" t="s">
        <v>15245</v>
      </c>
      <c r="AY242" s="82" t="s">
        <v>15688</v>
      </c>
      <c r="AZ242" s="82" t="s">
        <v>15245</v>
      </c>
      <c r="BA242" s="82" t="s">
        <v>15804</v>
      </c>
      <c r="BB242" s="82" t="s">
        <v>15804</v>
      </c>
      <c r="BC242" s="82" t="s">
        <v>15245</v>
      </c>
      <c r="BD242" s="77">
        <v>3687841756</v>
      </c>
      <c r="BE242" s="77"/>
      <c r="BF242" s="77"/>
      <c r="BG242" s="77"/>
      <c r="BH242" s="77"/>
      <c r="BI242" s="77"/>
    </row>
    <row r="243" spans="1:61" x14ac:dyDescent="0.25">
      <c r="A243" s="62" t="s">
        <v>309</v>
      </c>
      <c r="B243" s="62" t="s">
        <v>309</v>
      </c>
      <c r="C243" s="63"/>
      <c r="D243" s="64"/>
      <c r="E243" s="65"/>
      <c r="F243" s="66"/>
      <c r="G243" s="63"/>
      <c r="H243" s="67"/>
      <c r="I243" s="68"/>
      <c r="J243" s="68"/>
      <c r="K243" s="32"/>
      <c r="L243" s="75">
        <v>243</v>
      </c>
      <c r="M243" s="75"/>
      <c r="N243" s="70"/>
      <c r="O243" s="77" t="s">
        <v>1132</v>
      </c>
      <c r="P243" s="79">
        <v>45061.863506944443</v>
      </c>
      <c r="Q243" s="77" t="s">
        <v>1370</v>
      </c>
      <c r="R243" s="77">
        <v>0</v>
      </c>
      <c r="S243" s="77">
        <v>0</v>
      </c>
      <c r="T243" s="77">
        <v>0</v>
      </c>
      <c r="U243" s="77">
        <v>0</v>
      </c>
      <c r="V243" s="77">
        <v>59</v>
      </c>
      <c r="W243" s="82" t="s">
        <v>4212</v>
      </c>
      <c r="X243" s="77"/>
      <c r="Y243" s="77"/>
      <c r="Z243" s="77"/>
      <c r="AA243" s="77"/>
      <c r="AB243" s="77"/>
      <c r="AC243" s="82" t="s">
        <v>7705</v>
      </c>
      <c r="AD243" s="77" t="s">
        <v>7745</v>
      </c>
      <c r="AE243" s="80" t="str">
        <f>HYPERLINK("https://twitter.com/rio_bravo/status/1658211512190681091")</f>
        <v>https://twitter.com/rio_bravo/status/1658211512190681091</v>
      </c>
      <c r="AF243" s="79">
        <v>45061.863506944443</v>
      </c>
      <c r="AG243" s="85">
        <v>45061</v>
      </c>
      <c r="AH243" s="82" t="s">
        <v>7986</v>
      </c>
      <c r="AI243" s="77"/>
      <c r="AJ243" s="77"/>
      <c r="AK243" s="77"/>
      <c r="AL243" s="77"/>
      <c r="AM243" s="77"/>
      <c r="AN243" s="77"/>
      <c r="AO243" s="77"/>
      <c r="AP243" s="77"/>
      <c r="AQ243" s="77"/>
      <c r="AR243" s="77"/>
      <c r="AS243" s="77"/>
      <c r="AT243" s="77"/>
      <c r="AU243" s="77"/>
      <c r="AV243" s="80" t="str">
        <f>HYPERLINK("https://pbs.twimg.com/profile_images/1674890323326128128/SJXVp4hL_normal.jpg")</f>
        <v>https://pbs.twimg.com/profile_images/1674890323326128128/SJXVp4hL_normal.jpg</v>
      </c>
      <c r="AW243" s="82" t="s">
        <v>12439</v>
      </c>
      <c r="AX243" s="82" t="s">
        <v>15246</v>
      </c>
      <c r="AY243" s="82" t="s">
        <v>15688</v>
      </c>
      <c r="AZ243" s="82" t="s">
        <v>15246</v>
      </c>
      <c r="BA243" s="82" t="s">
        <v>15804</v>
      </c>
      <c r="BB243" s="82" t="s">
        <v>15804</v>
      </c>
      <c r="BC243" s="82" t="s">
        <v>15246</v>
      </c>
      <c r="BD243" s="77">
        <v>3687841756</v>
      </c>
      <c r="BE243" s="77"/>
      <c r="BF243" s="77"/>
      <c r="BG243" s="77"/>
      <c r="BH243" s="77"/>
      <c r="BI243" s="77"/>
    </row>
    <row r="244" spans="1:61" x14ac:dyDescent="0.25">
      <c r="A244" s="62" t="s">
        <v>309</v>
      </c>
      <c r="B244" s="62" t="s">
        <v>309</v>
      </c>
      <c r="C244" s="63"/>
      <c r="D244" s="64"/>
      <c r="E244" s="65"/>
      <c r="F244" s="66"/>
      <c r="G244" s="63"/>
      <c r="H244" s="67"/>
      <c r="I244" s="68"/>
      <c r="J244" s="68"/>
      <c r="K244" s="32"/>
      <c r="L244" s="75">
        <v>244</v>
      </c>
      <c r="M244" s="75"/>
      <c r="N244" s="70"/>
      <c r="O244" s="77" t="s">
        <v>1132</v>
      </c>
      <c r="P244" s="79">
        <v>45014.585717592592</v>
      </c>
      <c r="Q244" s="77" t="s">
        <v>1371</v>
      </c>
      <c r="R244" s="77">
        <v>0</v>
      </c>
      <c r="S244" s="77">
        <v>0</v>
      </c>
      <c r="T244" s="77">
        <v>0</v>
      </c>
      <c r="U244" s="77">
        <v>0</v>
      </c>
      <c r="V244" s="77">
        <v>39</v>
      </c>
      <c r="W244" s="82" t="s">
        <v>4210</v>
      </c>
      <c r="X244" s="77"/>
      <c r="Y244" s="77"/>
      <c r="Z244" s="77"/>
      <c r="AA244" s="77"/>
      <c r="AB244" s="77"/>
      <c r="AC244" s="82" t="s">
        <v>7706</v>
      </c>
      <c r="AD244" s="77" t="s">
        <v>7748</v>
      </c>
      <c r="AE244" s="80" t="str">
        <f>HYPERLINK("https://twitter.com/rio_bravo/status/1641078616892010497")</f>
        <v>https://twitter.com/rio_bravo/status/1641078616892010497</v>
      </c>
      <c r="AF244" s="79">
        <v>45014.585717592592</v>
      </c>
      <c r="AG244" s="85">
        <v>45014</v>
      </c>
      <c r="AH244" s="82" t="s">
        <v>7987</v>
      </c>
      <c r="AI244" s="77"/>
      <c r="AJ244" s="77"/>
      <c r="AK244" s="77"/>
      <c r="AL244" s="77"/>
      <c r="AM244" s="77"/>
      <c r="AN244" s="77"/>
      <c r="AO244" s="77"/>
      <c r="AP244" s="77"/>
      <c r="AQ244" s="77"/>
      <c r="AR244" s="77"/>
      <c r="AS244" s="77"/>
      <c r="AT244" s="77"/>
      <c r="AU244" s="77"/>
      <c r="AV244" s="80" t="str">
        <f>HYPERLINK("https://pbs.twimg.com/profile_images/1674890323326128128/SJXVp4hL_normal.jpg")</f>
        <v>https://pbs.twimg.com/profile_images/1674890323326128128/SJXVp4hL_normal.jpg</v>
      </c>
      <c r="AW244" s="82" t="s">
        <v>12440</v>
      </c>
      <c r="AX244" s="82" t="s">
        <v>15247</v>
      </c>
      <c r="AY244" s="82" t="s">
        <v>15688</v>
      </c>
      <c r="AZ244" s="82" t="s">
        <v>15822</v>
      </c>
      <c r="BA244" s="82" t="s">
        <v>15804</v>
      </c>
      <c r="BB244" s="82" t="s">
        <v>15804</v>
      </c>
      <c r="BC244" s="82" t="s">
        <v>15822</v>
      </c>
      <c r="BD244" s="77">
        <v>3687841756</v>
      </c>
      <c r="BE244" s="77"/>
      <c r="BF244" s="77"/>
      <c r="BG244" s="77"/>
      <c r="BH244" s="77"/>
      <c r="BI244" s="77"/>
    </row>
    <row r="245" spans="1:61" x14ac:dyDescent="0.25">
      <c r="A245" s="62" t="s">
        <v>309</v>
      </c>
      <c r="B245" s="62" t="s">
        <v>309</v>
      </c>
      <c r="C245" s="63"/>
      <c r="D245" s="64"/>
      <c r="E245" s="65"/>
      <c r="F245" s="66"/>
      <c r="G245" s="63"/>
      <c r="H245" s="67"/>
      <c r="I245" s="68"/>
      <c r="J245" s="68"/>
      <c r="K245" s="32"/>
      <c r="L245" s="75">
        <v>245</v>
      </c>
      <c r="M245" s="75"/>
      <c r="N245" s="70"/>
      <c r="O245" s="77" t="s">
        <v>1132</v>
      </c>
      <c r="P245" s="79">
        <v>45166.90047453704</v>
      </c>
      <c r="Q245" s="77" t="s">
        <v>1372</v>
      </c>
      <c r="R245" s="77">
        <v>0</v>
      </c>
      <c r="S245" s="77">
        <v>0</v>
      </c>
      <c r="T245" s="77">
        <v>0</v>
      </c>
      <c r="U245" s="77">
        <v>0</v>
      </c>
      <c r="V245" s="77">
        <v>53</v>
      </c>
      <c r="W245" s="82" t="s">
        <v>4213</v>
      </c>
      <c r="X245" s="77"/>
      <c r="Y245" s="77"/>
      <c r="Z245" s="77"/>
      <c r="AA245" s="77"/>
      <c r="AB245" s="77"/>
      <c r="AC245" s="82" t="s">
        <v>7705</v>
      </c>
      <c r="AD245" s="77" t="s">
        <v>7748</v>
      </c>
      <c r="AE245" s="80" t="str">
        <f>HYPERLINK("https://twitter.com/rio_bravo/status/1696275635352588786")</f>
        <v>https://twitter.com/rio_bravo/status/1696275635352588786</v>
      </c>
      <c r="AF245" s="79">
        <v>45166.90047453704</v>
      </c>
      <c r="AG245" s="85">
        <v>45166</v>
      </c>
      <c r="AH245" s="82" t="s">
        <v>7988</v>
      </c>
      <c r="AI245" s="77"/>
      <c r="AJ245" s="77"/>
      <c r="AK245" s="77"/>
      <c r="AL245" s="77"/>
      <c r="AM245" s="77"/>
      <c r="AN245" s="77"/>
      <c r="AO245" s="77"/>
      <c r="AP245" s="77"/>
      <c r="AQ245" s="77"/>
      <c r="AR245" s="77"/>
      <c r="AS245" s="77"/>
      <c r="AT245" s="77"/>
      <c r="AU245" s="77"/>
      <c r="AV245" s="80" t="str">
        <f>HYPERLINK("https://pbs.twimg.com/profile_images/1674890323326128128/SJXVp4hL_normal.jpg")</f>
        <v>https://pbs.twimg.com/profile_images/1674890323326128128/SJXVp4hL_normal.jpg</v>
      </c>
      <c r="AW245" s="82" t="s">
        <v>12441</v>
      </c>
      <c r="AX245" s="82" t="s">
        <v>15248</v>
      </c>
      <c r="AY245" s="82" t="s">
        <v>15688</v>
      </c>
      <c r="AZ245" s="82" t="s">
        <v>15823</v>
      </c>
      <c r="BA245" s="82" t="s">
        <v>15804</v>
      </c>
      <c r="BB245" s="82" t="s">
        <v>15804</v>
      </c>
      <c r="BC245" s="82" t="s">
        <v>15823</v>
      </c>
      <c r="BD245" s="77">
        <v>3687841756</v>
      </c>
      <c r="BE245" s="77"/>
      <c r="BF245" s="77"/>
      <c r="BG245" s="77"/>
      <c r="BH245" s="77"/>
      <c r="BI245" s="77"/>
    </row>
    <row r="246" spans="1:61" x14ac:dyDescent="0.25">
      <c r="A246" s="62" t="s">
        <v>309</v>
      </c>
      <c r="B246" s="62" t="s">
        <v>309</v>
      </c>
      <c r="C246" s="63"/>
      <c r="D246" s="64"/>
      <c r="E246" s="65"/>
      <c r="F246" s="66"/>
      <c r="G246" s="63"/>
      <c r="H246" s="67"/>
      <c r="I246" s="68"/>
      <c r="J246" s="68"/>
      <c r="K246" s="32"/>
      <c r="L246" s="75">
        <v>246</v>
      </c>
      <c r="M246" s="75"/>
      <c r="N246" s="70"/>
      <c r="O246" s="77" t="s">
        <v>1132</v>
      </c>
      <c r="P246" s="79">
        <v>45103.840810185182</v>
      </c>
      <c r="Q246" s="77" t="s">
        <v>1364</v>
      </c>
      <c r="R246" s="77">
        <v>0</v>
      </c>
      <c r="S246" s="77">
        <v>0</v>
      </c>
      <c r="T246" s="77">
        <v>0</v>
      </c>
      <c r="U246" s="77">
        <v>0</v>
      </c>
      <c r="V246" s="77">
        <v>56</v>
      </c>
      <c r="W246" s="82" t="s">
        <v>4207</v>
      </c>
      <c r="X246" s="77"/>
      <c r="Y246" s="77"/>
      <c r="Z246" s="77"/>
      <c r="AA246" s="77"/>
      <c r="AB246" s="77"/>
      <c r="AC246" s="82" t="s">
        <v>7705</v>
      </c>
      <c r="AD246" s="77" t="s">
        <v>7748</v>
      </c>
      <c r="AE246" s="80" t="str">
        <f>HYPERLINK("https://twitter.com/rio_bravo/status/1673423579302490119")</f>
        <v>https://twitter.com/rio_bravo/status/1673423579302490119</v>
      </c>
      <c r="AF246" s="79">
        <v>45103.840810185182</v>
      </c>
      <c r="AG246" s="85">
        <v>45103</v>
      </c>
      <c r="AH246" s="82" t="s">
        <v>7989</v>
      </c>
      <c r="AI246" s="77"/>
      <c r="AJ246" s="77"/>
      <c r="AK246" s="77"/>
      <c r="AL246" s="77"/>
      <c r="AM246" s="77"/>
      <c r="AN246" s="77"/>
      <c r="AO246" s="77"/>
      <c r="AP246" s="77"/>
      <c r="AQ246" s="77"/>
      <c r="AR246" s="77"/>
      <c r="AS246" s="77"/>
      <c r="AT246" s="77"/>
      <c r="AU246" s="77"/>
      <c r="AV246" s="80" t="str">
        <f>HYPERLINK("https://pbs.twimg.com/profile_images/1674890323326128128/SJXVp4hL_normal.jpg")</f>
        <v>https://pbs.twimg.com/profile_images/1674890323326128128/SJXVp4hL_normal.jpg</v>
      </c>
      <c r="AW246" s="82" t="s">
        <v>12442</v>
      </c>
      <c r="AX246" s="82" t="s">
        <v>15249</v>
      </c>
      <c r="AY246" s="82" t="s">
        <v>15688</v>
      </c>
      <c r="AZ246" s="82" t="s">
        <v>15824</v>
      </c>
      <c r="BA246" s="82" t="s">
        <v>15804</v>
      </c>
      <c r="BB246" s="82" t="s">
        <v>15804</v>
      </c>
      <c r="BC246" s="82" t="s">
        <v>15824</v>
      </c>
      <c r="BD246" s="77">
        <v>3687841756</v>
      </c>
      <c r="BE246" s="77"/>
      <c r="BF246" s="77"/>
      <c r="BG246" s="77"/>
      <c r="BH246" s="77"/>
      <c r="BI246" s="77"/>
    </row>
    <row r="247" spans="1:61" x14ac:dyDescent="0.25">
      <c r="A247" s="62" t="s">
        <v>309</v>
      </c>
      <c r="B247" s="62" t="s">
        <v>309</v>
      </c>
      <c r="C247" s="63"/>
      <c r="D247" s="64"/>
      <c r="E247" s="65"/>
      <c r="F247" s="66"/>
      <c r="G247" s="63"/>
      <c r="H247" s="67"/>
      <c r="I247" s="68"/>
      <c r="J247" s="68"/>
      <c r="K247" s="32"/>
      <c r="L247" s="75">
        <v>247</v>
      </c>
      <c r="M247" s="75"/>
      <c r="N247" s="70"/>
      <c r="O247" s="77" t="s">
        <v>1132</v>
      </c>
      <c r="P247" s="79">
        <v>45082.896990740737</v>
      </c>
      <c r="Q247" s="77" t="s">
        <v>1373</v>
      </c>
      <c r="R247" s="77">
        <v>0</v>
      </c>
      <c r="S247" s="77">
        <v>0</v>
      </c>
      <c r="T247" s="77">
        <v>0</v>
      </c>
      <c r="U247" s="77">
        <v>0</v>
      </c>
      <c r="V247" s="77">
        <v>90</v>
      </c>
      <c r="W247" s="82" t="s">
        <v>4212</v>
      </c>
      <c r="X247" s="80" t="str">
        <f>HYPERLINK("https://www.youtube.com/watch?v=NmWGERDYOOs")</f>
        <v>https://www.youtube.com/watch?v=NmWGERDYOOs</v>
      </c>
      <c r="Y247" s="77" t="s">
        <v>6006</v>
      </c>
      <c r="Z247" s="77"/>
      <c r="AA247" s="77"/>
      <c r="AB247" s="77"/>
      <c r="AC247" s="82" t="s">
        <v>7705</v>
      </c>
      <c r="AD247" s="77" t="s">
        <v>7745</v>
      </c>
      <c r="AE247" s="80" t="str">
        <f>HYPERLINK("https://twitter.com/rio_bravo/status/1665833794383880197")</f>
        <v>https://twitter.com/rio_bravo/status/1665833794383880197</v>
      </c>
      <c r="AF247" s="79">
        <v>45082.896990740737</v>
      </c>
      <c r="AG247" s="85">
        <v>45082</v>
      </c>
      <c r="AH247" s="82" t="s">
        <v>7990</v>
      </c>
      <c r="AI247" s="77" t="b">
        <v>0</v>
      </c>
      <c r="AJ247" s="77"/>
      <c r="AK247" s="77"/>
      <c r="AL247" s="77"/>
      <c r="AM247" s="77"/>
      <c r="AN247" s="77"/>
      <c r="AO247" s="77"/>
      <c r="AP247" s="77"/>
      <c r="AQ247" s="77"/>
      <c r="AR247" s="77"/>
      <c r="AS247" s="77"/>
      <c r="AT247" s="77"/>
      <c r="AU247" s="77"/>
      <c r="AV247" s="80" t="str">
        <f>HYPERLINK("https://pbs.twimg.com/profile_images/1674890323326128128/SJXVp4hL_normal.jpg")</f>
        <v>https://pbs.twimg.com/profile_images/1674890323326128128/SJXVp4hL_normal.jpg</v>
      </c>
      <c r="AW247" s="82" t="s">
        <v>12443</v>
      </c>
      <c r="AX247" s="82" t="s">
        <v>15250</v>
      </c>
      <c r="AY247" s="82" t="s">
        <v>15688</v>
      </c>
      <c r="AZ247" s="82" t="s">
        <v>15825</v>
      </c>
      <c r="BA247" s="82" t="s">
        <v>15804</v>
      </c>
      <c r="BB247" s="82" t="s">
        <v>15804</v>
      </c>
      <c r="BC247" s="82" t="s">
        <v>15825</v>
      </c>
      <c r="BD247" s="77">
        <v>3687841756</v>
      </c>
      <c r="BE247" s="77"/>
      <c r="BF247" s="77"/>
      <c r="BG247" s="77"/>
      <c r="BH247" s="77"/>
      <c r="BI247" s="77"/>
    </row>
    <row r="248" spans="1:61" x14ac:dyDescent="0.25">
      <c r="A248" s="62" t="s">
        <v>309</v>
      </c>
      <c r="B248" s="62" t="s">
        <v>309</v>
      </c>
      <c r="C248" s="63"/>
      <c r="D248" s="64"/>
      <c r="E248" s="65"/>
      <c r="F248" s="66"/>
      <c r="G248" s="63"/>
      <c r="H248" s="67"/>
      <c r="I248" s="68"/>
      <c r="J248" s="68"/>
      <c r="K248" s="32"/>
      <c r="L248" s="75">
        <v>248</v>
      </c>
      <c r="M248" s="75"/>
      <c r="N248" s="70"/>
      <c r="O248" s="77" t="s">
        <v>1132</v>
      </c>
      <c r="P248" s="79">
        <v>45068.893680555557</v>
      </c>
      <c r="Q248" s="77" t="s">
        <v>1364</v>
      </c>
      <c r="R248" s="77">
        <v>0</v>
      </c>
      <c r="S248" s="77">
        <v>0</v>
      </c>
      <c r="T248" s="77">
        <v>0</v>
      </c>
      <c r="U248" s="77">
        <v>0</v>
      </c>
      <c r="V248" s="77">
        <v>69</v>
      </c>
      <c r="W248" s="82" t="s">
        <v>4207</v>
      </c>
      <c r="X248" s="77"/>
      <c r="Y248" s="77"/>
      <c r="Z248" s="77"/>
      <c r="AA248" s="77"/>
      <c r="AB248" s="77"/>
      <c r="AC248" s="82" t="s">
        <v>7705</v>
      </c>
      <c r="AD248" s="77" t="s">
        <v>7748</v>
      </c>
      <c r="AE248" s="80" t="str">
        <f>HYPERLINK("https://twitter.com/rio_bravo/status/1660759163893432323")</f>
        <v>https://twitter.com/rio_bravo/status/1660759163893432323</v>
      </c>
      <c r="AF248" s="79">
        <v>45068.893680555557</v>
      </c>
      <c r="AG248" s="85">
        <v>45068</v>
      </c>
      <c r="AH248" s="82" t="s">
        <v>7991</v>
      </c>
      <c r="AI248" s="77"/>
      <c r="AJ248" s="77"/>
      <c r="AK248" s="77"/>
      <c r="AL248" s="77"/>
      <c r="AM248" s="77"/>
      <c r="AN248" s="77"/>
      <c r="AO248" s="77"/>
      <c r="AP248" s="77"/>
      <c r="AQ248" s="77"/>
      <c r="AR248" s="77"/>
      <c r="AS248" s="77"/>
      <c r="AT248" s="77"/>
      <c r="AU248" s="77"/>
      <c r="AV248" s="80" t="str">
        <f>HYPERLINK("https://pbs.twimg.com/profile_images/1674890323326128128/SJXVp4hL_normal.jpg")</f>
        <v>https://pbs.twimg.com/profile_images/1674890323326128128/SJXVp4hL_normal.jpg</v>
      </c>
      <c r="AW248" s="82" t="s">
        <v>12444</v>
      </c>
      <c r="AX248" s="82" t="s">
        <v>15251</v>
      </c>
      <c r="AY248" s="82" t="s">
        <v>15688</v>
      </c>
      <c r="AZ248" s="82" t="s">
        <v>15826</v>
      </c>
      <c r="BA248" s="82" t="s">
        <v>15804</v>
      </c>
      <c r="BB248" s="82" t="s">
        <v>15804</v>
      </c>
      <c r="BC248" s="82" t="s">
        <v>15826</v>
      </c>
      <c r="BD248" s="77">
        <v>3687841756</v>
      </c>
      <c r="BE248" s="77"/>
      <c r="BF248" s="77"/>
      <c r="BG248" s="77"/>
      <c r="BH248" s="77"/>
      <c r="BI248" s="77"/>
    </row>
    <row r="249" spans="1:61" x14ac:dyDescent="0.25">
      <c r="A249" s="62" t="s">
        <v>309</v>
      </c>
      <c r="B249" s="62" t="s">
        <v>309</v>
      </c>
      <c r="C249" s="63"/>
      <c r="D249" s="64"/>
      <c r="E249" s="65"/>
      <c r="F249" s="66"/>
      <c r="G249" s="63"/>
      <c r="H249" s="67"/>
      <c r="I249" s="68"/>
      <c r="J249" s="68"/>
      <c r="K249" s="32"/>
      <c r="L249" s="75">
        <v>249</v>
      </c>
      <c r="M249" s="75"/>
      <c r="N249" s="70"/>
      <c r="O249" s="77" t="s">
        <v>1132</v>
      </c>
      <c r="P249" s="79">
        <v>45026.930625000001</v>
      </c>
      <c r="Q249" s="77" t="s">
        <v>1374</v>
      </c>
      <c r="R249" s="77">
        <v>0</v>
      </c>
      <c r="S249" s="77">
        <v>0</v>
      </c>
      <c r="T249" s="77">
        <v>0</v>
      </c>
      <c r="U249" s="77">
        <v>0</v>
      </c>
      <c r="V249" s="77">
        <v>110</v>
      </c>
      <c r="W249" s="82" t="s">
        <v>4214</v>
      </c>
      <c r="X249" s="80" t="str">
        <f>HYPERLINK("https://youtu.be/FvukXsFvawI")</f>
        <v>https://youtu.be/FvukXsFvawI</v>
      </c>
      <c r="Y249" s="77" t="s">
        <v>6003</v>
      </c>
      <c r="Z249" s="77"/>
      <c r="AA249" s="77"/>
      <c r="AB249" s="77"/>
      <c r="AC249" s="82" t="s">
        <v>7705</v>
      </c>
      <c r="AD249" s="77" t="s">
        <v>7745</v>
      </c>
      <c r="AE249" s="80" t="str">
        <f>HYPERLINK("https://twitter.com/rio_bravo/status/1645552262427672576")</f>
        <v>https://twitter.com/rio_bravo/status/1645552262427672576</v>
      </c>
      <c r="AF249" s="79">
        <v>45026.930625000001</v>
      </c>
      <c r="AG249" s="85">
        <v>45026</v>
      </c>
      <c r="AH249" s="82" t="s">
        <v>7992</v>
      </c>
      <c r="AI249" s="77" t="b">
        <v>0</v>
      </c>
      <c r="AJ249" s="77"/>
      <c r="AK249" s="77"/>
      <c r="AL249" s="77"/>
      <c r="AM249" s="77"/>
      <c r="AN249" s="77"/>
      <c r="AO249" s="77"/>
      <c r="AP249" s="77"/>
      <c r="AQ249" s="77"/>
      <c r="AR249" s="77"/>
      <c r="AS249" s="77"/>
      <c r="AT249" s="77"/>
      <c r="AU249" s="77"/>
      <c r="AV249" s="80" t="str">
        <f>HYPERLINK("https://pbs.twimg.com/profile_images/1674890323326128128/SJXVp4hL_normal.jpg")</f>
        <v>https://pbs.twimg.com/profile_images/1674890323326128128/SJXVp4hL_normal.jpg</v>
      </c>
      <c r="AW249" s="82" t="s">
        <v>12445</v>
      </c>
      <c r="AX249" s="82" t="s">
        <v>15252</v>
      </c>
      <c r="AY249" s="82" t="s">
        <v>15688</v>
      </c>
      <c r="AZ249" s="82" t="s">
        <v>15827</v>
      </c>
      <c r="BA249" s="82" t="s">
        <v>15804</v>
      </c>
      <c r="BB249" s="82" t="s">
        <v>15804</v>
      </c>
      <c r="BC249" s="82" t="s">
        <v>15827</v>
      </c>
      <c r="BD249" s="77">
        <v>3687841756</v>
      </c>
      <c r="BE249" s="77"/>
      <c r="BF249" s="77"/>
      <c r="BG249" s="77"/>
      <c r="BH249" s="77"/>
      <c r="BI249" s="77"/>
    </row>
    <row r="250" spans="1:61" x14ac:dyDescent="0.25">
      <c r="A250" s="62" t="s">
        <v>309</v>
      </c>
      <c r="B250" s="62" t="s">
        <v>309</v>
      </c>
      <c r="C250" s="63"/>
      <c r="D250" s="64"/>
      <c r="E250" s="65"/>
      <c r="F250" s="66"/>
      <c r="G250" s="63"/>
      <c r="H250" s="67"/>
      <c r="I250" s="68"/>
      <c r="J250" s="68"/>
      <c r="K250" s="32"/>
      <c r="L250" s="75">
        <v>250</v>
      </c>
      <c r="M250" s="75"/>
      <c r="N250" s="70"/>
      <c r="O250" s="77" t="s">
        <v>1132</v>
      </c>
      <c r="P250" s="79">
        <v>45021.837453703702</v>
      </c>
      <c r="Q250" s="77" t="s">
        <v>1367</v>
      </c>
      <c r="R250" s="77">
        <v>0</v>
      </c>
      <c r="S250" s="77">
        <v>0</v>
      </c>
      <c r="T250" s="77">
        <v>0</v>
      </c>
      <c r="U250" s="77">
        <v>0</v>
      </c>
      <c r="V250" s="77">
        <v>68</v>
      </c>
      <c r="W250" s="82" t="s">
        <v>4210</v>
      </c>
      <c r="X250" s="80" t="str">
        <f>HYPERLINK("https://youtu.be/cLBN3cZ387g")</f>
        <v>https://youtu.be/cLBN3cZ387g</v>
      </c>
      <c r="Y250" s="77" t="s">
        <v>6003</v>
      </c>
      <c r="Z250" s="77"/>
      <c r="AA250" s="77"/>
      <c r="AB250" s="77"/>
      <c r="AC250" s="82" t="s">
        <v>7705</v>
      </c>
      <c r="AD250" s="77" t="s">
        <v>7745</v>
      </c>
      <c r="AE250" s="80" t="str">
        <f>HYPERLINK("https://twitter.com/rio_bravo/status/1643706557094326272")</f>
        <v>https://twitter.com/rio_bravo/status/1643706557094326272</v>
      </c>
      <c r="AF250" s="79">
        <v>45021.837453703702</v>
      </c>
      <c r="AG250" s="85">
        <v>45021</v>
      </c>
      <c r="AH250" s="82" t="s">
        <v>7993</v>
      </c>
      <c r="AI250" s="77" t="b">
        <v>0</v>
      </c>
      <c r="AJ250" s="77"/>
      <c r="AK250" s="77"/>
      <c r="AL250" s="77"/>
      <c r="AM250" s="77"/>
      <c r="AN250" s="77"/>
      <c r="AO250" s="77"/>
      <c r="AP250" s="77"/>
      <c r="AQ250" s="77"/>
      <c r="AR250" s="77"/>
      <c r="AS250" s="77"/>
      <c r="AT250" s="77"/>
      <c r="AU250" s="77"/>
      <c r="AV250" s="80" t="str">
        <f>HYPERLINK("https://pbs.twimg.com/profile_images/1674890323326128128/SJXVp4hL_normal.jpg")</f>
        <v>https://pbs.twimg.com/profile_images/1674890323326128128/SJXVp4hL_normal.jpg</v>
      </c>
      <c r="AW250" s="82" t="s">
        <v>12446</v>
      </c>
      <c r="AX250" s="82" t="s">
        <v>15253</v>
      </c>
      <c r="AY250" s="82" t="s">
        <v>15688</v>
      </c>
      <c r="AZ250" s="82" t="s">
        <v>15253</v>
      </c>
      <c r="BA250" s="82" t="s">
        <v>15804</v>
      </c>
      <c r="BB250" s="82" t="s">
        <v>15804</v>
      </c>
      <c r="BC250" s="82" t="s">
        <v>15253</v>
      </c>
      <c r="BD250" s="77">
        <v>3687841756</v>
      </c>
      <c r="BE250" s="77"/>
      <c r="BF250" s="77"/>
      <c r="BG250" s="77"/>
      <c r="BH250" s="77"/>
      <c r="BI250" s="77"/>
    </row>
    <row r="251" spans="1:61" x14ac:dyDescent="0.25">
      <c r="A251" s="62" t="s">
        <v>309</v>
      </c>
      <c r="B251" s="62" t="s">
        <v>309</v>
      </c>
      <c r="C251" s="63"/>
      <c r="D251" s="64"/>
      <c r="E251" s="65"/>
      <c r="F251" s="66"/>
      <c r="G251" s="63"/>
      <c r="H251" s="67"/>
      <c r="I251" s="68"/>
      <c r="J251" s="68"/>
      <c r="K251" s="32"/>
      <c r="L251" s="75">
        <v>251</v>
      </c>
      <c r="M251" s="75"/>
      <c r="N251" s="70"/>
      <c r="O251" s="77" t="s">
        <v>1132</v>
      </c>
      <c r="P251" s="79">
        <v>45175.876909722225</v>
      </c>
      <c r="Q251" s="77" t="s">
        <v>1375</v>
      </c>
      <c r="R251" s="77">
        <v>0</v>
      </c>
      <c r="S251" s="77">
        <v>0</v>
      </c>
      <c r="T251" s="77">
        <v>0</v>
      </c>
      <c r="U251" s="77">
        <v>0</v>
      </c>
      <c r="V251" s="77">
        <v>53</v>
      </c>
      <c r="W251" s="82" t="s">
        <v>4215</v>
      </c>
      <c r="X251" s="77"/>
      <c r="Y251" s="77"/>
      <c r="Z251" s="77"/>
      <c r="AA251" s="77"/>
      <c r="AB251" s="77"/>
      <c r="AC251" s="82" t="s">
        <v>7705</v>
      </c>
      <c r="AD251" s="77" t="s">
        <v>7748</v>
      </c>
      <c r="AE251" s="80" t="str">
        <f>HYPERLINK("https://twitter.com/rio_bravo/status/1699528587655672048")</f>
        <v>https://twitter.com/rio_bravo/status/1699528587655672048</v>
      </c>
      <c r="AF251" s="79">
        <v>45175.876909722225</v>
      </c>
      <c r="AG251" s="85">
        <v>45175</v>
      </c>
      <c r="AH251" s="82" t="s">
        <v>7994</v>
      </c>
      <c r="AI251" s="77"/>
      <c r="AJ251" s="77"/>
      <c r="AK251" s="77"/>
      <c r="AL251" s="77"/>
      <c r="AM251" s="77"/>
      <c r="AN251" s="77"/>
      <c r="AO251" s="77"/>
      <c r="AP251" s="77"/>
      <c r="AQ251" s="77"/>
      <c r="AR251" s="77"/>
      <c r="AS251" s="77"/>
      <c r="AT251" s="77"/>
      <c r="AU251" s="77"/>
      <c r="AV251" s="80" t="str">
        <f>HYPERLINK("https://pbs.twimg.com/profile_images/1674890323326128128/SJXVp4hL_normal.jpg")</f>
        <v>https://pbs.twimg.com/profile_images/1674890323326128128/SJXVp4hL_normal.jpg</v>
      </c>
      <c r="AW251" s="82" t="s">
        <v>12447</v>
      </c>
      <c r="AX251" s="82" t="s">
        <v>15254</v>
      </c>
      <c r="AY251" s="82" t="s">
        <v>15688</v>
      </c>
      <c r="AZ251" s="82" t="s">
        <v>15828</v>
      </c>
      <c r="BA251" s="82" t="s">
        <v>15804</v>
      </c>
      <c r="BB251" s="82" t="s">
        <v>15804</v>
      </c>
      <c r="BC251" s="82" t="s">
        <v>15828</v>
      </c>
      <c r="BD251" s="77">
        <v>3687841756</v>
      </c>
      <c r="BE251" s="77"/>
      <c r="BF251" s="77"/>
      <c r="BG251" s="77"/>
      <c r="BH251" s="77"/>
      <c r="BI251" s="77"/>
    </row>
    <row r="252" spans="1:61" x14ac:dyDescent="0.25">
      <c r="A252" s="62" t="s">
        <v>309</v>
      </c>
      <c r="B252" s="62" t="s">
        <v>309</v>
      </c>
      <c r="C252" s="63"/>
      <c r="D252" s="64"/>
      <c r="E252" s="65"/>
      <c r="F252" s="66"/>
      <c r="G252" s="63"/>
      <c r="H252" s="67"/>
      <c r="I252" s="68"/>
      <c r="J252" s="68"/>
      <c r="K252" s="32"/>
      <c r="L252" s="75">
        <v>252</v>
      </c>
      <c r="M252" s="75"/>
      <c r="N252" s="70"/>
      <c r="O252" s="77" t="s">
        <v>1132</v>
      </c>
      <c r="P252" s="79">
        <v>45154.866712962961</v>
      </c>
      <c r="Q252" s="77" t="s">
        <v>1368</v>
      </c>
      <c r="R252" s="77">
        <v>0</v>
      </c>
      <c r="S252" s="77">
        <v>0</v>
      </c>
      <c r="T252" s="77">
        <v>0</v>
      </c>
      <c r="U252" s="77">
        <v>0</v>
      </c>
      <c r="V252" s="77">
        <v>51</v>
      </c>
      <c r="W252" s="82" t="s">
        <v>4211</v>
      </c>
      <c r="X252" s="77"/>
      <c r="Y252" s="77"/>
      <c r="Z252" s="77"/>
      <c r="AA252" s="77"/>
      <c r="AB252" s="77"/>
      <c r="AC252" s="82" t="s">
        <v>7705</v>
      </c>
      <c r="AD252" s="77" t="s">
        <v>7748</v>
      </c>
      <c r="AE252" s="80" t="str">
        <f>HYPERLINK("https://twitter.com/rio_bravo/status/1691914747124551709")</f>
        <v>https://twitter.com/rio_bravo/status/1691914747124551709</v>
      </c>
      <c r="AF252" s="79">
        <v>45154.866712962961</v>
      </c>
      <c r="AG252" s="85">
        <v>45154</v>
      </c>
      <c r="AH252" s="82" t="s">
        <v>7995</v>
      </c>
      <c r="AI252" s="77"/>
      <c r="AJ252" s="77"/>
      <c r="AK252" s="77"/>
      <c r="AL252" s="77"/>
      <c r="AM252" s="77"/>
      <c r="AN252" s="77"/>
      <c r="AO252" s="77"/>
      <c r="AP252" s="77"/>
      <c r="AQ252" s="77"/>
      <c r="AR252" s="77"/>
      <c r="AS252" s="77"/>
      <c r="AT252" s="77"/>
      <c r="AU252" s="77"/>
      <c r="AV252" s="80" t="str">
        <f>HYPERLINK("https://pbs.twimg.com/profile_images/1674890323326128128/SJXVp4hL_normal.jpg")</f>
        <v>https://pbs.twimg.com/profile_images/1674890323326128128/SJXVp4hL_normal.jpg</v>
      </c>
      <c r="AW252" s="82" t="s">
        <v>12448</v>
      </c>
      <c r="AX252" s="82" t="s">
        <v>15255</v>
      </c>
      <c r="AY252" s="82" t="s">
        <v>15688</v>
      </c>
      <c r="AZ252" s="82" t="s">
        <v>15829</v>
      </c>
      <c r="BA252" s="82" t="s">
        <v>15804</v>
      </c>
      <c r="BB252" s="82" t="s">
        <v>15804</v>
      </c>
      <c r="BC252" s="82" t="s">
        <v>15829</v>
      </c>
      <c r="BD252" s="77">
        <v>3687841756</v>
      </c>
      <c r="BE252" s="77"/>
      <c r="BF252" s="77"/>
      <c r="BG252" s="77"/>
      <c r="BH252" s="77"/>
      <c r="BI252" s="77"/>
    </row>
    <row r="253" spans="1:61" x14ac:dyDescent="0.25">
      <c r="A253" s="62" t="s">
        <v>309</v>
      </c>
      <c r="B253" s="62" t="s">
        <v>309</v>
      </c>
      <c r="C253" s="63"/>
      <c r="D253" s="64"/>
      <c r="E253" s="65"/>
      <c r="F253" s="66"/>
      <c r="G253" s="63"/>
      <c r="H253" s="67"/>
      <c r="I253" s="68"/>
      <c r="J253" s="68"/>
      <c r="K253" s="32"/>
      <c r="L253" s="75">
        <v>253</v>
      </c>
      <c r="M253" s="75"/>
      <c r="N253" s="70"/>
      <c r="O253" s="77" t="s">
        <v>1132</v>
      </c>
      <c r="P253" s="79">
        <v>45180.89739583333</v>
      </c>
      <c r="Q253" s="77" t="s">
        <v>1375</v>
      </c>
      <c r="R253" s="77">
        <v>0</v>
      </c>
      <c r="S253" s="77">
        <v>0</v>
      </c>
      <c r="T253" s="77">
        <v>0</v>
      </c>
      <c r="U253" s="77">
        <v>0</v>
      </c>
      <c r="V253" s="77">
        <v>67</v>
      </c>
      <c r="W253" s="82" t="s">
        <v>4215</v>
      </c>
      <c r="X253" s="77"/>
      <c r="Y253" s="77"/>
      <c r="Z253" s="77"/>
      <c r="AA253" s="77"/>
      <c r="AB253" s="77"/>
      <c r="AC253" s="82" t="s">
        <v>7705</v>
      </c>
      <c r="AD253" s="77" t="s">
        <v>7748</v>
      </c>
      <c r="AE253" s="80" t="str">
        <f>HYPERLINK("https://twitter.com/rio_bravo/status/1701347950503284896")</f>
        <v>https://twitter.com/rio_bravo/status/1701347950503284896</v>
      </c>
      <c r="AF253" s="79">
        <v>45180.89739583333</v>
      </c>
      <c r="AG253" s="85">
        <v>45180</v>
      </c>
      <c r="AH253" s="82" t="s">
        <v>7996</v>
      </c>
      <c r="AI253" s="77"/>
      <c r="AJ253" s="77"/>
      <c r="AK253" s="77"/>
      <c r="AL253" s="77"/>
      <c r="AM253" s="77"/>
      <c r="AN253" s="77"/>
      <c r="AO253" s="77"/>
      <c r="AP253" s="77"/>
      <c r="AQ253" s="77"/>
      <c r="AR253" s="77"/>
      <c r="AS253" s="77"/>
      <c r="AT253" s="77"/>
      <c r="AU253" s="77"/>
      <c r="AV253" s="80" t="str">
        <f>HYPERLINK("https://pbs.twimg.com/profile_images/1674890323326128128/SJXVp4hL_normal.jpg")</f>
        <v>https://pbs.twimg.com/profile_images/1674890323326128128/SJXVp4hL_normal.jpg</v>
      </c>
      <c r="AW253" s="82" t="s">
        <v>12449</v>
      </c>
      <c r="AX253" s="82" t="s">
        <v>15256</v>
      </c>
      <c r="AY253" s="82" t="s">
        <v>15688</v>
      </c>
      <c r="AZ253" s="82" t="s">
        <v>15830</v>
      </c>
      <c r="BA253" s="82" t="s">
        <v>15804</v>
      </c>
      <c r="BB253" s="82" t="s">
        <v>15804</v>
      </c>
      <c r="BC253" s="82" t="s">
        <v>15830</v>
      </c>
      <c r="BD253" s="77">
        <v>3687841756</v>
      </c>
      <c r="BE253" s="77"/>
      <c r="BF253" s="77"/>
      <c r="BG253" s="77"/>
      <c r="BH253" s="77"/>
      <c r="BI253" s="77"/>
    </row>
    <row r="254" spans="1:61" x14ac:dyDescent="0.25">
      <c r="A254" s="62" t="s">
        <v>309</v>
      </c>
      <c r="B254" s="62" t="s">
        <v>309</v>
      </c>
      <c r="C254" s="63"/>
      <c r="D254" s="64"/>
      <c r="E254" s="65"/>
      <c r="F254" s="66"/>
      <c r="G254" s="63"/>
      <c r="H254" s="67"/>
      <c r="I254" s="68"/>
      <c r="J254" s="68"/>
      <c r="K254" s="32"/>
      <c r="L254" s="75">
        <v>254</v>
      </c>
      <c r="M254" s="75"/>
      <c r="N254" s="70"/>
      <c r="O254" s="77" t="s">
        <v>1132</v>
      </c>
      <c r="P254" s="79">
        <v>45173.851574074077</v>
      </c>
      <c r="Q254" s="77" t="s">
        <v>1375</v>
      </c>
      <c r="R254" s="77">
        <v>0</v>
      </c>
      <c r="S254" s="77">
        <v>0</v>
      </c>
      <c r="T254" s="77">
        <v>0</v>
      </c>
      <c r="U254" s="77">
        <v>0</v>
      </c>
      <c r="V254" s="77">
        <v>67</v>
      </c>
      <c r="W254" s="82" t="s">
        <v>4215</v>
      </c>
      <c r="X254" s="77"/>
      <c r="Y254" s="77"/>
      <c r="Z254" s="77"/>
      <c r="AA254" s="77"/>
      <c r="AB254" s="77"/>
      <c r="AC254" s="82" t="s">
        <v>7705</v>
      </c>
      <c r="AD254" s="77" t="s">
        <v>7748</v>
      </c>
      <c r="AE254" s="80" t="str">
        <f>HYPERLINK("https://twitter.com/rio_bravo/status/1698794630966391208")</f>
        <v>https://twitter.com/rio_bravo/status/1698794630966391208</v>
      </c>
      <c r="AF254" s="79">
        <v>45173.851574074077</v>
      </c>
      <c r="AG254" s="85">
        <v>45173</v>
      </c>
      <c r="AH254" s="82" t="s">
        <v>7997</v>
      </c>
      <c r="AI254" s="77"/>
      <c r="AJ254" s="77"/>
      <c r="AK254" s="77"/>
      <c r="AL254" s="77"/>
      <c r="AM254" s="77"/>
      <c r="AN254" s="77"/>
      <c r="AO254" s="77"/>
      <c r="AP254" s="77"/>
      <c r="AQ254" s="77"/>
      <c r="AR254" s="77"/>
      <c r="AS254" s="77"/>
      <c r="AT254" s="77"/>
      <c r="AU254" s="77"/>
      <c r="AV254" s="80" t="str">
        <f>HYPERLINK("https://pbs.twimg.com/profile_images/1674890323326128128/SJXVp4hL_normal.jpg")</f>
        <v>https://pbs.twimg.com/profile_images/1674890323326128128/SJXVp4hL_normal.jpg</v>
      </c>
      <c r="AW254" s="82" t="s">
        <v>12450</v>
      </c>
      <c r="AX254" s="82" t="s">
        <v>15257</v>
      </c>
      <c r="AY254" s="82" t="s">
        <v>15688</v>
      </c>
      <c r="AZ254" s="82" t="s">
        <v>15831</v>
      </c>
      <c r="BA254" s="82" t="s">
        <v>15804</v>
      </c>
      <c r="BB254" s="82" t="s">
        <v>15804</v>
      </c>
      <c r="BC254" s="82" t="s">
        <v>15831</v>
      </c>
      <c r="BD254" s="77">
        <v>3687841756</v>
      </c>
      <c r="BE254" s="77"/>
      <c r="BF254" s="77"/>
      <c r="BG254" s="77"/>
      <c r="BH254" s="77"/>
      <c r="BI254" s="77"/>
    </row>
    <row r="255" spans="1:61" x14ac:dyDescent="0.25">
      <c r="A255" s="62" t="s">
        <v>309</v>
      </c>
      <c r="B255" s="62" t="s">
        <v>309</v>
      </c>
      <c r="C255" s="63"/>
      <c r="D255" s="64"/>
      <c r="E255" s="65"/>
      <c r="F255" s="66"/>
      <c r="G255" s="63"/>
      <c r="H255" s="67"/>
      <c r="I255" s="68"/>
      <c r="J255" s="68"/>
      <c r="K255" s="32"/>
      <c r="L255" s="75">
        <v>255</v>
      </c>
      <c r="M255" s="75"/>
      <c r="N255" s="70"/>
      <c r="O255" s="77" t="s">
        <v>1132</v>
      </c>
      <c r="P255" s="79">
        <v>45161.848263888889</v>
      </c>
      <c r="Q255" s="77" t="s">
        <v>1372</v>
      </c>
      <c r="R255" s="77">
        <v>0</v>
      </c>
      <c r="S255" s="77">
        <v>0</v>
      </c>
      <c r="T255" s="77">
        <v>0</v>
      </c>
      <c r="U255" s="77">
        <v>0</v>
      </c>
      <c r="V255" s="77">
        <v>61</v>
      </c>
      <c r="W255" s="82" t="s">
        <v>4213</v>
      </c>
      <c r="X255" s="77"/>
      <c r="Y255" s="77"/>
      <c r="Z255" s="77"/>
      <c r="AA255" s="77"/>
      <c r="AB255" s="77"/>
      <c r="AC255" s="82" t="s">
        <v>7705</v>
      </c>
      <c r="AD255" s="77" t="s">
        <v>7748</v>
      </c>
      <c r="AE255" s="80" t="str">
        <f>HYPERLINK("https://twitter.com/rio_bravo/status/1694444774441267630")</f>
        <v>https://twitter.com/rio_bravo/status/1694444774441267630</v>
      </c>
      <c r="AF255" s="79">
        <v>45161.848263888889</v>
      </c>
      <c r="AG255" s="85">
        <v>45161</v>
      </c>
      <c r="AH255" s="82" t="s">
        <v>7998</v>
      </c>
      <c r="AI255" s="77"/>
      <c r="AJ255" s="77"/>
      <c r="AK255" s="77"/>
      <c r="AL255" s="77"/>
      <c r="AM255" s="77"/>
      <c r="AN255" s="77"/>
      <c r="AO255" s="77"/>
      <c r="AP255" s="77"/>
      <c r="AQ255" s="77"/>
      <c r="AR255" s="77"/>
      <c r="AS255" s="77"/>
      <c r="AT255" s="77"/>
      <c r="AU255" s="77"/>
      <c r="AV255" s="80" t="str">
        <f>HYPERLINK("https://pbs.twimg.com/profile_images/1674890323326128128/SJXVp4hL_normal.jpg")</f>
        <v>https://pbs.twimg.com/profile_images/1674890323326128128/SJXVp4hL_normal.jpg</v>
      </c>
      <c r="AW255" s="82" t="s">
        <v>12451</v>
      </c>
      <c r="AX255" s="82" t="s">
        <v>15258</v>
      </c>
      <c r="AY255" s="82" t="s">
        <v>15688</v>
      </c>
      <c r="AZ255" s="82" t="s">
        <v>15832</v>
      </c>
      <c r="BA255" s="82" t="s">
        <v>15804</v>
      </c>
      <c r="BB255" s="82" t="s">
        <v>15804</v>
      </c>
      <c r="BC255" s="82" t="s">
        <v>15832</v>
      </c>
      <c r="BD255" s="77">
        <v>3687841756</v>
      </c>
      <c r="BE255" s="77"/>
      <c r="BF255" s="77"/>
      <c r="BG255" s="77"/>
      <c r="BH255" s="77"/>
      <c r="BI255" s="77"/>
    </row>
    <row r="256" spans="1:61" x14ac:dyDescent="0.25">
      <c r="A256" s="62" t="s">
        <v>309</v>
      </c>
      <c r="B256" s="62" t="s">
        <v>309</v>
      </c>
      <c r="C256" s="63"/>
      <c r="D256" s="64"/>
      <c r="E256" s="65"/>
      <c r="F256" s="66"/>
      <c r="G256" s="63"/>
      <c r="H256" s="67"/>
      <c r="I256" s="68"/>
      <c r="J256" s="68"/>
      <c r="K256" s="32"/>
      <c r="L256" s="75">
        <v>256</v>
      </c>
      <c r="M256" s="75"/>
      <c r="N256" s="70"/>
      <c r="O256" s="77" t="s">
        <v>1132</v>
      </c>
      <c r="P256" s="79">
        <v>45112.818206018521</v>
      </c>
      <c r="Q256" s="77" t="s">
        <v>1364</v>
      </c>
      <c r="R256" s="77">
        <v>0</v>
      </c>
      <c r="S256" s="77">
        <v>0</v>
      </c>
      <c r="T256" s="77">
        <v>0</v>
      </c>
      <c r="U256" s="77">
        <v>0</v>
      </c>
      <c r="V256" s="77">
        <v>49</v>
      </c>
      <c r="W256" s="82" t="s">
        <v>4207</v>
      </c>
      <c r="X256" s="77"/>
      <c r="Y256" s="77"/>
      <c r="Z256" s="77"/>
      <c r="AA256" s="77"/>
      <c r="AB256" s="77"/>
      <c r="AC256" s="82" t="s">
        <v>7706</v>
      </c>
      <c r="AD256" s="77" t="s">
        <v>7748</v>
      </c>
      <c r="AE256" s="80" t="str">
        <f>HYPERLINK("https://twitter.com/rio_bravo/status/1676676876532699151")</f>
        <v>https://twitter.com/rio_bravo/status/1676676876532699151</v>
      </c>
      <c r="AF256" s="79">
        <v>45112.818206018521</v>
      </c>
      <c r="AG256" s="85">
        <v>45112</v>
      </c>
      <c r="AH256" s="82" t="s">
        <v>7999</v>
      </c>
      <c r="AI256" s="77"/>
      <c r="AJ256" s="77"/>
      <c r="AK256" s="77"/>
      <c r="AL256" s="77"/>
      <c r="AM256" s="77"/>
      <c r="AN256" s="77"/>
      <c r="AO256" s="77"/>
      <c r="AP256" s="77"/>
      <c r="AQ256" s="77"/>
      <c r="AR256" s="77"/>
      <c r="AS256" s="77"/>
      <c r="AT256" s="77"/>
      <c r="AU256" s="77"/>
      <c r="AV256" s="80" t="str">
        <f>HYPERLINK("https://pbs.twimg.com/profile_images/1674890323326128128/SJXVp4hL_normal.jpg")</f>
        <v>https://pbs.twimg.com/profile_images/1674890323326128128/SJXVp4hL_normal.jpg</v>
      </c>
      <c r="AW256" s="82" t="s">
        <v>12452</v>
      </c>
      <c r="AX256" s="82" t="s">
        <v>15259</v>
      </c>
      <c r="AY256" s="82" t="s">
        <v>15688</v>
      </c>
      <c r="AZ256" s="82" t="s">
        <v>15833</v>
      </c>
      <c r="BA256" s="82" t="s">
        <v>15804</v>
      </c>
      <c r="BB256" s="82" t="s">
        <v>15804</v>
      </c>
      <c r="BC256" s="82" t="s">
        <v>15833</v>
      </c>
      <c r="BD256" s="77">
        <v>3687841756</v>
      </c>
      <c r="BE256" s="77"/>
      <c r="BF256" s="77"/>
      <c r="BG256" s="77"/>
      <c r="BH256" s="77"/>
      <c r="BI256" s="77"/>
    </row>
    <row r="257" spans="1:61" x14ac:dyDescent="0.25">
      <c r="A257" s="62" t="s">
        <v>309</v>
      </c>
      <c r="B257" s="62" t="s">
        <v>309</v>
      </c>
      <c r="C257" s="63"/>
      <c r="D257" s="64"/>
      <c r="E257" s="65"/>
      <c r="F257" s="66"/>
      <c r="G257" s="63"/>
      <c r="H257" s="67"/>
      <c r="I257" s="68"/>
      <c r="J257" s="68"/>
      <c r="K257" s="32"/>
      <c r="L257" s="75">
        <v>257</v>
      </c>
      <c r="M257" s="75"/>
      <c r="N257" s="70"/>
      <c r="O257" s="77" t="s">
        <v>1132</v>
      </c>
      <c r="P257" s="79">
        <v>45110.899259259262</v>
      </c>
      <c r="Q257" s="77" t="s">
        <v>1364</v>
      </c>
      <c r="R257" s="77">
        <v>0</v>
      </c>
      <c r="S257" s="77">
        <v>0</v>
      </c>
      <c r="T257" s="77">
        <v>0</v>
      </c>
      <c r="U257" s="77">
        <v>0</v>
      </c>
      <c r="V257" s="77">
        <v>70</v>
      </c>
      <c r="W257" s="82" t="s">
        <v>4207</v>
      </c>
      <c r="X257" s="77"/>
      <c r="Y257" s="77"/>
      <c r="Z257" s="77"/>
      <c r="AA257" s="77"/>
      <c r="AB257" s="77"/>
      <c r="AC257" s="82" t="s">
        <v>7706</v>
      </c>
      <c r="AD257" s="77" t="s">
        <v>7748</v>
      </c>
      <c r="AE257" s="80" t="str">
        <f>HYPERLINK("https://twitter.com/rio_bravo/status/1675981472996511744")</f>
        <v>https://twitter.com/rio_bravo/status/1675981472996511744</v>
      </c>
      <c r="AF257" s="79">
        <v>45110.899259259262</v>
      </c>
      <c r="AG257" s="85">
        <v>45110</v>
      </c>
      <c r="AH257" s="82" t="s">
        <v>8000</v>
      </c>
      <c r="AI257" s="77"/>
      <c r="AJ257" s="77"/>
      <c r="AK257" s="77"/>
      <c r="AL257" s="77"/>
      <c r="AM257" s="77"/>
      <c r="AN257" s="77"/>
      <c r="AO257" s="77"/>
      <c r="AP257" s="77"/>
      <c r="AQ257" s="77"/>
      <c r="AR257" s="77"/>
      <c r="AS257" s="77"/>
      <c r="AT257" s="77"/>
      <c r="AU257" s="77"/>
      <c r="AV257" s="80" t="str">
        <f>HYPERLINK("https://pbs.twimg.com/profile_images/1674890323326128128/SJXVp4hL_normal.jpg")</f>
        <v>https://pbs.twimg.com/profile_images/1674890323326128128/SJXVp4hL_normal.jpg</v>
      </c>
      <c r="AW257" s="82" t="s">
        <v>12453</v>
      </c>
      <c r="AX257" s="82" t="s">
        <v>15260</v>
      </c>
      <c r="AY257" s="82" t="s">
        <v>15688</v>
      </c>
      <c r="AZ257" s="82" t="s">
        <v>15834</v>
      </c>
      <c r="BA257" s="82" t="s">
        <v>15804</v>
      </c>
      <c r="BB257" s="82" t="s">
        <v>15804</v>
      </c>
      <c r="BC257" s="82" t="s">
        <v>15834</v>
      </c>
      <c r="BD257" s="77">
        <v>3687841756</v>
      </c>
      <c r="BE257" s="77"/>
      <c r="BF257" s="77"/>
      <c r="BG257" s="77"/>
      <c r="BH257" s="77"/>
      <c r="BI257" s="77"/>
    </row>
    <row r="258" spans="1:61" x14ac:dyDescent="0.25">
      <c r="A258" s="62" t="s">
        <v>309</v>
      </c>
      <c r="B258" s="62" t="s">
        <v>309</v>
      </c>
      <c r="C258" s="63"/>
      <c r="D258" s="64"/>
      <c r="E258" s="65"/>
      <c r="F258" s="66"/>
      <c r="G258" s="63"/>
      <c r="H258" s="67"/>
      <c r="I258" s="68"/>
      <c r="J258" s="68"/>
      <c r="K258" s="32"/>
      <c r="L258" s="75">
        <v>258</v>
      </c>
      <c r="M258" s="75"/>
      <c r="N258" s="70"/>
      <c r="O258" s="77" t="s">
        <v>1132</v>
      </c>
      <c r="P258" s="79">
        <v>45035.901921296296</v>
      </c>
      <c r="Q258" s="77" t="s">
        <v>1364</v>
      </c>
      <c r="R258" s="77">
        <v>0</v>
      </c>
      <c r="S258" s="77">
        <v>0</v>
      </c>
      <c r="T258" s="77">
        <v>0</v>
      </c>
      <c r="U258" s="77">
        <v>0</v>
      </c>
      <c r="V258" s="77">
        <v>74</v>
      </c>
      <c r="W258" s="82" t="s">
        <v>4207</v>
      </c>
      <c r="X258" s="77"/>
      <c r="Y258" s="77"/>
      <c r="Z258" s="77"/>
      <c r="AA258" s="77"/>
      <c r="AB258" s="77"/>
      <c r="AC258" s="82" t="s">
        <v>7705</v>
      </c>
      <c r="AD258" s="77" t="s">
        <v>7748</v>
      </c>
      <c r="AE258" s="80" t="str">
        <f>HYPERLINK("https://twitter.com/rio_bravo/status/1648803350429802496")</f>
        <v>https://twitter.com/rio_bravo/status/1648803350429802496</v>
      </c>
      <c r="AF258" s="79">
        <v>45035.901921296296</v>
      </c>
      <c r="AG258" s="85">
        <v>45035</v>
      </c>
      <c r="AH258" s="82" t="s">
        <v>8001</v>
      </c>
      <c r="AI258" s="77"/>
      <c r="AJ258" s="77"/>
      <c r="AK258" s="77"/>
      <c r="AL258" s="77"/>
      <c r="AM258" s="77"/>
      <c r="AN258" s="77"/>
      <c r="AO258" s="77"/>
      <c r="AP258" s="77"/>
      <c r="AQ258" s="77"/>
      <c r="AR258" s="77"/>
      <c r="AS258" s="77"/>
      <c r="AT258" s="77"/>
      <c r="AU258" s="77"/>
      <c r="AV258" s="80" t="str">
        <f>HYPERLINK("https://pbs.twimg.com/profile_images/1674890323326128128/SJXVp4hL_normal.jpg")</f>
        <v>https://pbs.twimg.com/profile_images/1674890323326128128/SJXVp4hL_normal.jpg</v>
      </c>
      <c r="AW258" s="82" t="s">
        <v>12454</v>
      </c>
      <c r="AX258" s="82" t="s">
        <v>15261</v>
      </c>
      <c r="AY258" s="82" t="s">
        <v>15688</v>
      </c>
      <c r="AZ258" s="82" t="s">
        <v>15261</v>
      </c>
      <c r="BA258" s="82" t="s">
        <v>15804</v>
      </c>
      <c r="BB258" s="82" t="s">
        <v>15804</v>
      </c>
      <c r="BC258" s="82" t="s">
        <v>15261</v>
      </c>
      <c r="BD258" s="77">
        <v>3687841756</v>
      </c>
      <c r="BE258" s="77"/>
      <c r="BF258" s="77"/>
      <c r="BG258" s="77"/>
      <c r="BH258" s="77"/>
      <c r="BI258" s="77"/>
    </row>
    <row r="259" spans="1:61" x14ac:dyDescent="0.25">
      <c r="A259" s="62" t="s">
        <v>309</v>
      </c>
      <c r="B259" s="62" t="s">
        <v>309</v>
      </c>
      <c r="C259" s="63"/>
      <c r="D259" s="64"/>
      <c r="E259" s="65"/>
      <c r="F259" s="66"/>
      <c r="G259" s="63"/>
      <c r="H259" s="67"/>
      <c r="I259" s="68"/>
      <c r="J259" s="68"/>
      <c r="K259" s="32"/>
      <c r="L259" s="75">
        <v>259</v>
      </c>
      <c r="M259" s="75"/>
      <c r="N259" s="70"/>
      <c r="O259" s="77" t="s">
        <v>1132</v>
      </c>
      <c r="P259" s="79">
        <v>45033.875671296293</v>
      </c>
      <c r="Q259" s="77" t="s">
        <v>1364</v>
      </c>
      <c r="R259" s="77">
        <v>0</v>
      </c>
      <c r="S259" s="77">
        <v>0</v>
      </c>
      <c r="T259" s="77">
        <v>0</v>
      </c>
      <c r="U259" s="77">
        <v>0</v>
      </c>
      <c r="V259" s="77">
        <v>54</v>
      </c>
      <c r="W259" s="82" t="s">
        <v>4207</v>
      </c>
      <c r="X259" s="77"/>
      <c r="Y259" s="77"/>
      <c r="Z259" s="77"/>
      <c r="AA259" s="77"/>
      <c r="AB259" s="77"/>
      <c r="AC259" s="82" t="s">
        <v>7705</v>
      </c>
      <c r="AD259" s="77" t="s">
        <v>7748</v>
      </c>
      <c r="AE259" s="80" t="str">
        <f>HYPERLINK("https://twitter.com/rio_bravo/status/1648069061459300352")</f>
        <v>https://twitter.com/rio_bravo/status/1648069061459300352</v>
      </c>
      <c r="AF259" s="79">
        <v>45033.875671296293</v>
      </c>
      <c r="AG259" s="85">
        <v>45033</v>
      </c>
      <c r="AH259" s="82" t="s">
        <v>8002</v>
      </c>
      <c r="AI259" s="77"/>
      <c r="AJ259" s="77"/>
      <c r="AK259" s="77"/>
      <c r="AL259" s="77"/>
      <c r="AM259" s="77"/>
      <c r="AN259" s="77"/>
      <c r="AO259" s="77"/>
      <c r="AP259" s="77"/>
      <c r="AQ259" s="77"/>
      <c r="AR259" s="77"/>
      <c r="AS259" s="77"/>
      <c r="AT259" s="77"/>
      <c r="AU259" s="77"/>
      <c r="AV259" s="80" t="str">
        <f>HYPERLINK("https://pbs.twimg.com/profile_images/1674890323326128128/SJXVp4hL_normal.jpg")</f>
        <v>https://pbs.twimg.com/profile_images/1674890323326128128/SJXVp4hL_normal.jpg</v>
      </c>
      <c r="AW259" s="82" t="s">
        <v>12455</v>
      </c>
      <c r="AX259" s="82" t="s">
        <v>15262</v>
      </c>
      <c r="AY259" s="82" t="s">
        <v>15688</v>
      </c>
      <c r="AZ259" s="82" t="s">
        <v>15835</v>
      </c>
      <c r="BA259" s="82" t="s">
        <v>15804</v>
      </c>
      <c r="BB259" s="82" t="s">
        <v>15804</v>
      </c>
      <c r="BC259" s="82" t="s">
        <v>15835</v>
      </c>
      <c r="BD259" s="77">
        <v>3687841756</v>
      </c>
      <c r="BE259" s="77"/>
      <c r="BF259" s="77"/>
      <c r="BG259" s="77"/>
      <c r="BH259" s="77"/>
      <c r="BI259" s="77"/>
    </row>
    <row r="260" spans="1:61" x14ac:dyDescent="0.25">
      <c r="A260" s="62" t="s">
        <v>310</v>
      </c>
      <c r="B260" s="62" t="s">
        <v>310</v>
      </c>
      <c r="C260" s="63"/>
      <c r="D260" s="64"/>
      <c r="E260" s="65"/>
      <c r="F260" s="66"/>
      <c r="G260" s="63"/>
      <c r="H260" s="67"/>
      <c r="I260" s="68"/>
      <c r="J260" s="68"/>
      <c r="K260" s="32"/>
      <c r="L260" s="75">
        <v>260</v>
      </c>
      <c r="M260" s="75"/>
      <c r="N260" s="70"/>
      <c r="O260" s="77" t="s">
        <v>179</v>
      </c>
      <c r="P260" s="79">
        <v>45021.972731481481</v>
      </c>
      <c r="Q260" s="77" t="s">
        <v>1376</v>
      </c>
      <c r="R260" s="77">
        <v>0</v>
      </c>
      <c r="S260" s="77">
        <v>0</v>
      </c>
      <c r="T260" s="77">
        <v>0</v>
      </c>
      <c r="U260" s="77">
        <v>0</v>
      </c>
      <c r="V260" s="77">
        <v>26</v>
      </c>
      <c r="W260" s="82" t="s">
        <v>4216</v>
      </c>
      <c r="X260" s="77"/>
      <c r="Y260" s="77"/>
      <c r="Z260" s="77"/>
      <c r="AA260" s="77" t="s">
        <v>6259</v>
      </c>
      <c r="AB260" s="77" t="s">
        <v>7697</v>
      </c>
      <c r="AC260" s="82" t="s">
        <v>7714</v>
      </c>
      <c r="AD260" s="77" t="s">
        <v>7745</v>
      </c>
      <c r="AE260" s="80" t="str">
        <f>HYPERLINK("https://twitter.com/sdbadvocacia/status/1643755578802704384")</f>
        <v>https://twitter.com/sdbadvocacia/status/1643755578802704384</v>
      </c>
      <c r="AF260" s="79">
        <v>45021.972731481481</v>
      </c>
      <c r="AG260" s="85">
        <v>45021</v>
      </c>
      <c r="AH260" s="82" t="s">
        <v>8003</v>
      </c>
      <c r="AI260" s="77" t="b">
        <v>0</v>
      </c>
      <c r="AJ260" s="77"/>
      <c r="AK260" s="77"/>
      <c r="AL260" s="77"/>
      <c r="AM260" s="77"/>
      <c r="AN260" s="77"/>
      <c r="AO260" s="77"/>
      <c r="AP260" s="77"/>
      <c r="AQ260" s="77" t="s">
        <v>10766</v>
      </c>
      <c r="AR260" s="77">
        <v>42228</v>
      </c>
      <c r="AS260" s="77"/>
      <c r="AT260" s="77"/>
      <c r="AU260" s="77">
        <v>3</v>
      </c>
      <c r="AV260" s="80" t="str">
        <f>HYPERLINK("https://pbs.twimg.com/amplify_video_thumb/1643755338544582658/img/mTORyWa5w_wSG7oj.jpg")</f>
        <v>https://pbs.twimg.com/amplify_video_thumb/1643755338544582658/img/mTORyWa5w_wSG7oj.jpg</v>
      </c>
      <c r="AW260" s="82" t="s">
        <v>12456</v>
      </c>
      <c r="AX260" s="82" t="s">
        <v>12456</v>
      </c>
      <c r="AY260" s="77"/>
      <c r="AZ260" s="82" t="s">
        <v>15804</v>
      </c>
      <c r="BA260" s="82" t="s">
        <v>15804</v>
      </c>
      <c r="BB260" s="82" t="s">
        <v>15804</v>
      </c>
      <c r="BC260" s="82" t="s">
        <v>12456</v>
      </c>
      <c r="BD260" s="82" t="s">
        <v>16185</v>
      </c>
      <c r="BE260" s="77"/>
      <c r="BF260" s="77"/>
      <c r="BG260" s="77"/>
      <c r="BH260" s="77"/>
      <c r="BI260" s="77"/>
    </row>
    <row r="261" spans="1:61" x14ac:dyDescent="0.25">
      <c r="A261" s="62" t="s">
        <v>311</v>
      </c>
      <c r="B261" s="62" t="s">
        <v>311</v>
      </c>
      <c r="C261" s="63"/>
      <c r="D261" s="64"/>
      <c r="E261" s="65"/>
      <c r="F261" s="66"/>
      <c r="G261" s="63"/>
      <c r="H261" s="67"/>
      <c r="I261" s="68"/>
      <c r="J261" s="68"/>
      <c r="K261" s="32"/>
      <c r="L261" s="75">
        <v>261</v>
      </c>
      <c r="M261" s="75"/>
      <c r="N261" s="70"/>
      <c r="O261" s="77" t="s">
        <v>179</v>
      </c>
      <c r="P261" s="79">
        <v>45029.519537037035</v>
      </c>
      <c r="Q261" s="77" t="s">
        <v>1377</v>
      </c>
      <c r="R261" s="77">
        <v>0</v>
      </c>
      <c r="S261" s="77">
        <v>0</v>
      </c>
      <c r="T261" s="77">
        <v>0</v>
      </c>
      <c r="U261" s="77">
        <v>0</v>
      </c>
      <c r="V261" s="77">
        <v>8</v>
      </c>
      <c r="W261" s="82" t="s">
        <v>4217</v>
      </c>
      <c r="X261" s="77"/>
      <c r="Y261" s="77"/>
      <c r="Z261" s="77"/>
      <c r="AA261" s="77" t="s">
        <v>6260</v>
      </c>
      <c r="AB261" s="77" t="s">
        <v>7696</v>
      </c>
      <c r="AC261" s="82" t="s">
        <v>7706</v>
      </c>
      <c r="AD261" s="77" t="s">
        <v>7747</v>
      </c>
      <c r="AE261" s="80" t="str">
        <f>HYPERLINK("https://twitter.com/finvestmentor/status/1646490449090351104")</f>
        <v>https://twitter.com/finvestmentor/status/1646490449090351104</v>
      </c>
      <c r="AF261" s="79">
        <v>45029.519537037035</v>
      </c>
      <c r="AG261" s="85">
        <v>45029</v>
      </c>
      <c r="AH261" s="82" t="s">
        <v>8004</v>
      </c>
      <c r="AI261" s="77" t="b">
        <v>0</v>
      </c>
      <c r="AJ261" s="77"/>
      <c r="AK261" s="77"/>
      <c r="AL261" s="77"/>
      <c r="AM261" s="77"/>
      <c r="AN261" s="77"/>
      <c r="AO261" s="77"/>
      <c r="AP261" s="77"/>
      <c r="AQ261" s="77" t="s">
        <v>10767</v>
      </c>
      <c r="AR261" s="77"/>
      <c r="AS261" s="77"/>
      <c r="AT261" s="77"/>
      <c r="AU261" s="77"/>
      <c r="AV261" s="80" t="str">
        <f>HYPERLINK("https://pbs.twimg.com/media/FtmBiXHWIAERWdM.jpg")</f>
        <v>https://pbs.twimg.com/media/FtmBiXHWIAERWdM.jpg</v>
      </c>
      <c r="AW261" s="82" t="s">
        <v>12457</v>
      </c>
      <c r="AX261" s="82" t="s">
        <v>12457</v>
      </c>
      <c r="AY261" s="77"/>
      <c r="AZ261" s="82" t="s">
        <v>15804</v>
      </c>
      <c r="BA261" s="82" t="s">
        <v>15804</v>
      </c>
      <c r="BB261" s="82" t="s">
        <v>15804</v>
      </c>
      <c r="BC261" s="82" t="s">
        <v>12457</v>
      </c>
      <c r="BD261" s="82" t="s">
        <v>16186</v>
      </c>
      <c r="BE261" s="77"/>
      <c r="BF261" s="77"/>
      <c r="BG261" s="77"/>
      <c r="BH261" s="77"/>
      <c r="BI261" s="77"/>
    </row>
    <row r="262" spans="1:61" x14ac:dyDescent="0.25">
      <c r="A262" s="62" t="s">
        <v>312</v>
      </c>
      <c r="B262" s="62" t="s">
        <v>312</v>
      </c>
      <c r="C262" s="63"/>
      <c r="D262" s="64"/>
      <c r="E262" s="65"/>
      <c r="F262" s="66"/>
      <c r="G262" s="63"/>
      <c r="H262" s="67"/>
      <c r="I262" s="68"/>
      <c r="J262" s="68"/>
      <c r="K262" s="32"/>
      <c r="L262" s="75">
        <v>262</v>
      </c>
      <c r="M262" s="75"/>
      <c r="N262" s="70"/>
      <c r="O262" s="77" t="s">
        <v>179</v>
      </c>
      <c r="P262" s="79">
        <v>44985.583726851852</v>
      </c>
      <c r="Q262" s="77" t="s">
        <v>1378</v>
      </c>
      <c r="R262" s="77">
        <v>0</v>
      </c>
      <c r="S262" s="77">
        <v>2</v>
      </c>
      <c r="T262" s="77">
        <v>0</v>
      </c>
      <c r="U262" s="77">
        <v>0</v>
      </c>
      <c r="V262" s="77">
        <v>38</v>
      </c>
      <c r="W262" s="82" t="s">
        <v>4218</v>
      </c>
      <c r="X262" s="77"/>
      <c r="Y262" s="77"/>
      <c r="Z262" s="77"/>
      <c r="AA262" s="77"/>
      <c r="AB262" s="77"/>
      <c r="AC262" s="82" t="s">
        <v>7706</v>
      </c>
      <c r="AD262" s="77" t="s">
        <v>7745</v>
      </c>
      <c r="AE262" s="80" t="str">
        <f>HYPERLINK("https://twitter.com/deharruda94/status/1630568648157831168")</f>
        <v>https://twitter.com/deharruda94/status/1630568648157831168</v>
      </c>
      <c r="AF262" s="79">
        <v>44985.583726851852</v>
      </c>
      <c r="AG262" s="85">
        <v>44985</v>
      </c>
      <c r="AH262" s="82" t="s">
        <v>8005</v>
      </c>
      <c r="AI262" s="77"/>
      <c r="AJ262" s="77"/>
      <c r="AK262" s="77"/>
      <c r="AL262" s="77"/>
      <c r="AM262" s="77"/>
      <c r="AN262" s="77"/>
      <c r="AO262" s="77"/>
      <c r="AP262" s="77"/>
      <c r="AQ262" s="77"/>
      <c r="AR262" s="77"/>
      <c r="AS262" s="77"/>
      <c r="AT262" s="77"/>
      <c r="AU262" s="77"/>
      <c r="AV262" s="80" t="str">
        <f>HYPERLINK("https://pbs.twimg.com/profile_images/1623324391596589064/CiWlWwyn_normal.jpg")</f>
        <v>https://pbs.twimg.com/profile_images/1623324391596589064/CiWlWwyn_normal.jpg</v>
      </c>
      <c r="AW262" s="82" t="s">
        <v>12458</v>
      </c>
      <c r="AX262" s="82" t="s">
        <v>12458</v>
      </c>
      <c r="AY262" s="77"/>
      <c r="AZ262" s="82" t="s">
        <v>15804</v>
      </c>
      <c r="BA262" s="82" t="s">
        <v>15804</v>
      </c>
      <c r="BB262" s="82" t="s">
        <v>15804</v>
      </c>
      <c r="BC262" s="82" t="s">
        <v>12458</v>
      </c>
      <c r="BD262" s="82" t="s">
        <v>16187</v>
      </c>
      <c r="BE262" s="77"/>
      <c r="BF262" s="77"/>
      <c r="BG262" s="77"/>
      <c r="BH262" s="77"/>
      <c r="BI262" s="77"/>
    </row>
    <row r="263" spans="1:61" x14ac:dyDescent="0.25">
      <c r="A263" s="62" t="s">
        <v>312</v>
      </c>
      <c r="B263" s="62" t="s">
        <v>312</v>
      </c>
      <c r="C263" s="63"/>
      <c r="D263" s="64"/>
      <c r="E263" s="65"/>
      <c r="F263" s="66"/>
      <c r="G263" s="63"/>
      <c r="H263" s="67"/>
      <c r="I263" s="68"/>
      <c r="J263" s="68"/>
      <c r="K263" s="32"/>
      <c r="L263" s="75">
        <v>263</v>
      </c>
      <c r="M263" s="75"/>
      <c r="N263" s="70"/>
      <c r="O263" s="77" t="s">
        <v>179</v>
      </c>
      <c r="P263" s="79">
        <v>44965.708344907405</v>
      </c>
      <c r="Q263" s="77" t="s">
        <v>1379</v>
      </c>
      <c r="R263" s="77">
        <v>0</v>
      </c>
      <c r="S263" s="77">
        <v>1</v>
      </c>
      <c r="T263" s="77">
        <v>0</v>
      </c>
      <c r="U263" s="77">
        <v>0</v>
      </c>
      <c r="V263" s="77">
        <v>37</v>
      </c>
      <c r="W263" s="82" t="s">
        <v>4103</v>
      </c>
      <c r="X263" s="77"/>
      <c r="Y263" s="77"/>
      <c r="Z263" s="77"/>
      <c r="AA263" s="77"/>
      <c r="AB263" s="77"/>
      <c r="AC263" s="82" t="s">
        <v>7706</v>
      </c>
      <c r="AD263" s="77" t="s">
        <v>7745</v>
      </c>
      <c r="AE263" s="80" t="str">
        <f>HYPERLINK("https://twitter.com/deharruda94/status/1623366047842856962")</f>
        <v>https://twitter.com/deharruda94/status/1623366047842856962</v>
      </c>
      <c r="AF263" s="79">
        <v>44965.708344907405</v>
      </c>
      <c r="AG263" s="85">
        <v>44965</v>
      </c>
      <c r="AH263" s="82" t="s">
        <v>8006</v>
      </c>
      <c r="AI263" s="77"/>
      <c r="AJ263" s="77"/>
      <c r="AK263" s="77"/>
      <c r="AL263" s="77"/>
      <c r="AM263" s="77"/>
      <c r="AN263" s="77"/>
      <c r="AO263" s="77"/>
      <c r="AP263" s="77"/>
      <c r="AQ263" s="77"/>
      <c r="AR263" s="77"/>
      <c r="AS263" s="77"/>
      <c r="AT263" s="77"/>
      <c r="AU263" s="77"/>
      <c r="AV263" s="80" t="str">
        <f>HYPERLINK("https://pbs.twimg.com/profile_images/1623324391596589064/CiWlWwyn_normal.jpg")</f>
        <v>https://pbs.twimg.com/profile_images/1623324391596589064/CiWlWwyn_normal.jpg</v>
      </c>
      <c r="AW263" s="82" t="s">
        <v>12459</v>
      </c>
      <c r="AX263" s="82" t="s">
        <v>12459</v>
      </c>
      <c r="AY263" s="77"/>
      <c r="AZ263" s="82" t="s">
        <v>15804</v>
      </c>
      <c r="BA263" s="82" t="s">
        <v>15804</v>
      </c>
      <c r="BB263" s="82" t="s">
        <v>15804</v>
      </c>
      <c r="BC263" s="82" t="s">
        <v>12459</v>
      </c>
      <c r="BD263" s="82" t="s">
        <v>16187</v>
      </c>
      <c r="BE263" s="77"/>
      <c r="BF263" s="77"/>
      <c r="BG263" s="77"/>
      <c r="BH263" s="77"/>
      <c r="BI263" s="77"/>
    </row>
    <row r="264" spans="1:61" x14ac:dyDescent="0.25">
      <c r="A264" s="62" t="s">
        <v>312</v>
      </c>
      <c r="B264" s="62" t="s">
        <v>312</v>
      </c>
      <c r="C264" s="63"/>
      <c r="D264" s="64"/>
      <c r="E264" s="65"/>
      <c r="F264" s="66"/>
      <c r="G264" s="63"/>
      <c r="H264" s="67"/>
      <c r="I264" s="68"/>
      <c r="J264" s="68"/>
      <c r="K264" s="32"/>
      <c r="L264" s="75">
        <v>264</v>
      </c>
      <c r="M264" s="75"/>
      <c r="N264" s="70"/>
      <c r="O264" s="77" t="s">
        <v>179</v>
      </c>
      <c r="P264" s="79">
        <v>45007.537511574075</v>
      </c>
      <c r="Q264" s="77" t="s">
        <v>1380</v>
      </c>
      <c r="R264" s="77">
        <v>0</v>
      </c>
      <c r="S264" s="77">
        <v>0</v>
      </c>
      <c r="T264" s="77">
        <v>0</v>
      </c>
      <c r="U264" s="77">
        <v>0</v>
      </c>
      <c r="V264" s="77">
        <v>72</v>
      </c>
      <c r="W264" s="82" t="s">
        <v>4219</v>
      </c>
      <c r="X264" s="77"/>
      <c r="Y264" s="77"/>
      <c r="Z264" s="77"/>
      <c r="AA264" s="77"/>
      <c r="AB264" s="77"/>
      <c r="AC264" s="82" t="s">
        <v>7706</v>
      </c>
      <c r="AD264" s="77" t="s">
        <v>7745</v>
      </c>
      <c r="AE264" s="80" t="str">
        <f>HYPERLINK("https://twitter.com/deharruda94/status/1638524432934133760")</f>
        <v>https://twitter.com/deharruda94/status/1638524432934133760</v>
      </c>
      <c r="AF264" s="79">
        <v>45007.537511574075</v>
      </c>
      <c r="AG264" s="85">
        <v>45007</v>
      </c>
      <c r="AH264" s="82" t="s">
        <v>8007</v>
      </c>
      <c r="AI264" s="77"/>
      <c r="AJ264" s="77"/>
      <c r="AK264" s="77"/>
      <c r="AL264" s="77"/>
      <c r="AM264" s="77"/>
      <c r="AN264" s="77"/>
      <c r="AO264" s="77"/>
      <c r="AP264" s="77"/>
      <c r="AQ264" s="77"/>
      <c r="AR264" s="77"/>
      <c r="AS264" s="77"/>
      <c r="AT264" s="77"/>
      <c r="AU264" s="77"/>
      <c r="AV264" s="80" t="str">
        <f>HYPERLINK("https://pbs.twimg.com/profile_images/1623324391596589064/CiWlWwyn_normal.jpg")</f>
        <v>https://pbs.twimg.com/profile_images/1623324391596589064/CiWlWwyn_normal.jpg</v>
      </c>
      <c r="AW264" s="82" t="s">
        <v>12460</v>
      </c>
      <c r="AX264" s="82" t="s">
        <v>12460</v>
      </c>
      <c r="AY264" s="77"/>
      <c r="AZ264" s="82" t="s">
        <v>15804</v>
      </c>
      <c r="BA264" s="82" t="s">
        <v>15804</v>
      </c>
      <c r="BB264" s="82" t="s">
        <v>15804</v>
      </c>
      <c r="BC264" s="82" t="s">
        <v>12460</v>
      </c>
      <c r="BD264" s="82" t="s">
        <v>16187</v>
      </c>
      <c r="BE264" s="77"/>
      <c r="BF264" s="77"/>
      <c r="BG264" s="77"/>
      <c r="BH264" s="77"/>
      <c r="BI264" s="77"/>
    </row>
    <row r="265" spans="1:61" x14ac:dyDescent="0.25">
      <c r="A265" s="62" t="s">
        <v>313</v>
      </c>
      <c r="B265" s="62" t="s">
        <v>313</v>
      </c>
      <c r="C265" s="63"/>
      <c r="D265" s="64"/>
      <c r="E265" s="65"/>
      <c r="F265" s="66"/>
      <c r="G265" s="63"/>
      <c r="H265" s="67"/>
      <c r="I265" s="68"/>
      <c r="J265" s="68"/>
      <c r="K265" s="32"/>
      <c r="L265" s="75">
        <v>265</v>
      </c>
      <c r="M265" s="75"/>
      <c r="N265" s="70"/>
      <c r="O265" s="77" t="s">
        <v>179</v>
      </c>
      <c r="P265" s="79">
        <v>45090.404641203706</v>
      </c>
      <c r="Q265" s="77" t="s">
        <v>1381</v>
      </c>
      <c r="R265" s="77">
        <v>1</v>
      </c>
      <c r="S265" s="77">
        <v>0</v>
      </c>
      <c r="T265" s="77">
        <v>0</v>
      </c>
      <c r="U265" s="77">
        <v>0</v>
      </c>
      <c r="V265" s="77">
        <v>21</v>
      </c>
      <c r="W265" s="82" t="s">
        <v>4220</v>
      </c>
      <c r="X265" s="77"/>
      <c r="Y265" s="77"/>
      <c r="Z265" s="77"/>
      <c r="AA265" s="77"/>
      <c r="AB265" s="77"/>
      <c r="AC265" s="82" t="s">
        <v>7705</v>
      </c>
      <c r="AD265" s="77" t="s">
        <v>7745</v>
      </c>
      <c r="AE265" s="80" t="str">
        <f>HYPERLINK("https://twitter.com/saudeeprosperi_/status/1668554473734647808")</f>
        <v>https://twitter.com/saudeeprosperi_/status/1668554473734647808</v>
      </c>
      <c r="AF265" s="79">
        <v>45090.404641203706</v>
      </c>
      <c r="AG265" s="85">
        <v>45090</v>
      </c>
      <c r="AH265" s="82" t="s">
        <v>8008</v>
      </c>
      <c r="AI265" s="77"/>
      <c r="AJ265" s="77"/>
      <c r="AK265" s="77"/>
      <c r="AL265" s="77"/>
      <c r="AM265" s="77"/>
      <c r="AN265" s="77"/>
      <c r="AO265" s="77"/>
      <c r="AP265" s="77"/>
      <c r="AQ265" s="77"/>
      <c r="AR265" s="77"/>
      <c r="AS265" s="77"/>
      <c r="AT265" s="77"/>
      <c r="AU265" s="77"/>
      <c r="AV265" s="80" t="str">
        <f>HYPERLINK("https://pbs.twimg.com/profile_images/1653831491195904031/QIu4ny8g_normal.jpg")</f>
        <v>https://pbs.twimg.com/profile_images/1653831491195904031/QIu4ny8g_normal.jpg</v>
      </c>
      <c r="AW265" s="82" t="s">
        <v>12461</v>
      </c>
      <c r="AX265" s="82" t="s">
        <v>12461</v>
      </c>
      <c r="AY265" s="77"/>
      <c r="AZ265" s="82" t="s">
        <v>15804</v>
      </c>
      <c r="BA265" s="82" t="s">
        <v>15804</v>
      </c>
      <c r="BB265" s="82" t="s">
        <v>15804</v>
      </c>
      <c r="BC265" s="82" t="s">
        <v>12461</v>
      </c>
      <c r="BD265" s="77">
        <v>2178098037</v>
      </c>
      <c r="BE265" s="77"/>
      <c r="BF265" s="77"/>
      <c r="BG265" s="77"/>
      <c r="BH265" s="77"/>
      <c r="BI265" s="77"/>
    </row>
    <row r="266" spans="1:61" x14ac:dyDescent="0.25">
      <c r="A266" s="62" t="s">
        <v>314</v>
      </c>
      <c r="B266" s="62" t="s">
        <v>314</v>
      </c>
      <c r="C266" s="63"/>
      <c r="D266" s="64"/>
      <c r="E266" s="65"/>
      <c r="F266" s="66"/>
      <c r="G266" s="63"/>
      <c r="H266" s="67"/>
      <c r="I266" s="68"/>
      <c r="J266" s="68"/>
      <c r="K266" s="32"/>
      <c r="L266" s="75">
        <v>266</v>
      </c>
      <c r="M266" s="75"/>
      <c r="N266" s="70"/>
      <c r="O266" s="77" t="s">
        <v>1132</v>
      </c>
      <c r="P266" s="79">
        <v>45058.908391203702</v>
      </c>
      <c r="Q266" s="77" t="s">
        <v>1382</v>
      </c>
      <c r="R266" s="77">
        <v>0</v>
      </c>
      <c r="S266" s="77">
        <v>2</v>
      </c>
      <c r="T266" s="77">
        <v>0</v>
      </c>
      <c r="U266" s="77">
        <v>0</v>
      </c>
      <c r="V266" s="77">
        <v>133</v>
      </c>
      <c r="W266" s="82" t="s">
        <v>4221</v>
      </c>
      <c r="X266" s="77"/>
      <c r="Y266" s="77"/>
      <c r="Z266" s="77"/>
      <c r="AA266" s="77"/>
      <c r="AB266" s="77"/>
      <c r="AC266" s="82" t="s">
        <v>7705</v>
      </c>
      <c r="AD266" s="77" t="s">
        <v>7745</v>
      </c>
      <c r="AE266" s="80" t="str">
        <f>HYPERLINK("https://twitter.com/bancodonordeste/status/1657140613291159552")</f>
        <v>https://twitter.com/bancodonordeste/status/1657140613291159552</v>
      </c>
      <c r="AF266" s="79">
        <v>45058.908391203702</v>
      </c>
      <c r="AG266" s="85">
        <v>45058</v>
      </c>
      <c r="AH266" s="82" t="s">
        <v>8009</v>
      </c>
      <c r="AI266" s="77"/>
      <c r="AJ266" s="77"/>
      <c r="AK266" s="77"/>
      <c r="AL266" s="77"/>
      <c r="AM266" s="77"/>
      <c r="AN266" s="77"/>
      <c r="AO266" s="77"/>
      <c r="AP266" s="77"/>
      <c r="AQ266" s="77"/>
      <c r="AR266" s="77"/>
      <c r="AS266" s="77"/>
      <c r="AT266" s="77"/>
      <c r="AU266" s="77"/>
      <c r="AV266" s="80" t="str">
        <f>HYPERLINK("https://pbs.twimg.com/profile_images/1681721328192110595/ef9SqSLi_normal.jpg")</f>
        <v>https://pbs.twimg.com/profile_images/1681721328192110595/ef9SqSLi_normal.jpg</v>
      </c>
      <c r="AW266" s="82" t="s">
        <v>12462</v>
      </c>
      <c r="AX266" s="82" t="s">
        <v>15263</v>
      </c>
      <c r="AY266" s="82" t="s">
        <v>15689</v>
      </c>
      <c r="AZ266" s="82" t="s">
        <v>15263</v>
      </c>
      <c r="BA266" s="82" t="s">
        <v>15804</v>
      </c>
      <c r="BB266" s="82" t="s">
        <v>15804</v>
      </c>
      <c r="BC266" s="82" t="s">
        <v>15263</v>
      </c>
      <c r="BD266" s="82" t="s">
        <v>15689</v>
      </c>
      <c r="BE266" s="77"/>
      <c r="BF266" s="77"/>
      <c r="BG266" s="77"/>
      <c r="BH266" s="77"/>
      <c r="BI266" s="77"/>
    </row>
    <row r="267" spans="1:61" x14ac:dyDescent="0.25">
      <c r="A267" s="62" t="s">
        <v>315</v>
      </c>
      <c r="B267" s="62" t="s">
        <v>315</v>
      </c>
      <c r="C267" s="63"/>
      <c r="D267" s="64"/>
      <c r="E267" s="65"/>
      <c r="F267" s="66"/>
      <c r="G267" s="63"/>
      <c r="H267" s="67"/>
      <c r="I267" s="68"/>
      <c r="J267" s="68"/>
      <c r="K267" s="32"/>
      <c r="L267" s="75">
        <v>267</v>
      </c>
      <c r="M267" s="75"/>
      <c r="N267" s="70"/>
      <c r="O267" s="77" t="s">
        <v>179</v>
      </c>
      <c r="P267" s="79">
        <v>45157.656886574077</v>
      </c>
      <c r="Q267" s="77" t="s">
        <v>1383</v>
      </c>
      <c r="R267" s="77">
        <v>0</v>
      </c>
      <c r="S267" s="77">
        <v>0</v>
      </c>
      <c r="T267" s="77">
        <v>0</v>
      </c>
      <c r="U267" s="77">
        <v>0</v>
      </c>
      <c r="V267" s="77">
        <v>27</v>
      </c>
      <c r="W267" s="82" t="s">
        <v>4222</v>
      </c>
      <c r="X267" s="77"/>
      <c r="Y267" s="77"/>
      <c r="Z267" s="77"/>
      <c r="AA267" s="77"/>
      <c r="AB267" s="77"/>
      <c r="AC267" s="82" t="s">
        <v>7707</v>
      </c>
      <c r="AD267" s="77" t="s">
        <v>7745</v>
      </c>
      <c r="AE267" s="80" t="str">
        <f>HYPERLINK("https://twitter.com/gustavober_59/status/1692925871466664022")</f>
        <v>https://twitter.com/gustavober_59/status/1692925871466664022</v>
      </c>
      <c r="AF267" s="79">
        <v>45157.656886574077</v>
      </c>
      <c r="AG267" s="85">
        <v>45157</v>
      </c>
      <c r="AH267" s="82" t="s">
        <v>8010</v>
      </c>
      <c r="AI267" s="77"/>
      <c r="AJ267" s="77"/>
      <c r="AK267" s="77"/>
      <c r="AL267" s="77"/>
      <c r="AM267" s="77"/>
      <c r="AN267" s="77"/>
      <c r="AO267" s="77"/>
      <c r="AP267" s="77"/>
      <c r="AQ267" s="77"/>
      <c r="AR267" s="77"/>
      <c r="AS267" s="77"/>
      <c r="AT267" s="77"/>
      <c r="AU267" s="77"/>
      <c r="AV267" s="80" t="str">
        <f>HYPERLINK("https://pbs.twimg.com/profile_images/1656111934599512064/Y5f-nAQC_normal.jpg")</f>
        <v>https://pbs.twimg.com/profile_images/1656111934599512064/Y5f-nAQC_normal.jpg</v>
      </c>
      <c r="AW267" s="82" t="s">
        <v>12463</v>
      </c>
      <c r="AX267" s="82" t="s">
        <v>12463</v>
      </c>
      <c r="AY267" s="77"/>
      <c r="AZ267" s="82" t="s">
        <v>15804</v>
      </c>
      <c r="BA267" s="82" t="s">
        <v>15804</v>
      </c>
      <c r="BB267" s="82" t="s">
        <v>15804</v>
      </c>
      <c r="BC267" s="82" t="s">
        <v>12463</v>
      </c>
      <c r="BD267" s="77">
        <v>2517788041</v>
      </c>
      <c r="BE267" s="77"/>
      <c r="BF267" s="77"/>
      <c r="BG267" s="77"/>
      <c r="BH267" s="77"/>
      <c r="BI267" s="77"/>
    </row>
    <row r="268" spans="1:61" x14ac:dyDescent="0.25">
      <c r="A268" s="62" t="s">
        <v>316</v>
      </c>
      <c r="B268" s="62" t="s">
        <v>316</v>
      </c>
      <c r="C268" s="63"/>
      <c r="D268" s="64"/>
      <c r="E268" s="65"/>
      <c r="F268" s="66"/>
      <c r="G268" s="63"/>
      <c r="H268" s="67"/>
      <c r="I268" s="68"/>
      <c r="J268" s="68"/>
      <c r="K268" s="32"/>
      <c r="L268" s="75">
        <v>268</v>
      </c>
      <c r="M268" s="75"/>
      <c r="N268" s="70"/>
      <c r="O268" s="77" t="s">
        <v>179</v>
      </c>
      <c r="P268" s="79">
        <v>45130.450509259259</v>
      </c>
      <c r="Q268" s="77" t="s">
        <v>1384</v>
      </c>
      <c r="R268" s="77">
        <v>0</v>
      </c>
      <c r="S268" s="77">
        <v>0</v>
      </c>
      <c r="T268" s="77">
        <v>0</v>
      </c>
      <c r="U268" s="77">
        <v>0</v>
      </c>
      <c r="V268" s="77">
        <v>22</v>
      </c>
      <c r="W268" s="82" t="s">
        <v>4223</v>
      </c>
      <c r="X268" s="80" t="str">
        <f>HYPERLINK("https://shope.ee/6pX8O4PQe7")</f>
        <v>https://shope.ee/6pX8O4PQe7</v>
      </c>
      <c r="Y268" s="77" t="s">
        <v>6013</v>
      </c>
      <c r="Z268" s="77"/>
      <c r="AA268" s="77" t="s">
        <v>6261</v>
      </c>
      <c r="AB268" s="77" t="s">
        <v>7697</v>
      </c>
      <c r="AC268" s="82" t="s">
        <v>7707</v>
      </c>
      <c r="AD268" s="77" t="s">
        <v>7745</v>
      </c>
      <c r="AE268" s="80" t="str">
        <f>HYPERLINK("https://twitter.com/mamaeeconomica/status/1683066610137849857")</f>
        <v>https://twitter.com/mamaeeconomica/status/1683066610137849857</v>
      </c>
      <c r="AF268" s="79">
        <v>45130.450509259259</v>
      </c>
      <c r="AG268" s="85">
        <v>45130</v>
      </c>
      <c r="AH268" s="82" t="s">
        <v>8011</v>
      </c>
      <c r="AI268" s="77" t="b">
        <v>0</v>
      </c>
      <c r="AJ268" s="77"/>
      <c r="AK268" s="77"/>
      <c r="AL268" s="77"/>
      <c r="AM268" s="77"/>
      <c r="AN268" s="77"/>
      <c r="AO268" s="77"/>
      <c r="AP268" s="77"/>
      <c r="AQ268" s="77" t="s">
        <v>10768</v>
      </c>
      <c r="AR268" s="77">
        <v>13675</v>
      </c>
      <c r="AS268" s="77"/>
      <c r="AT268" s="77"/>
      <c r="AU268" s="77">
        <v>6</v>
      </c>
      <c r="AV268" s="80" t="str">
        <f>HYPERLINK("https://pbs.twimg.com/ext_tw_video_thumb/1683066568647819264/pu/img/i9pTq2SIDOqSa2bU.jpg")</f>
        <v>https://pbs.twimg.com/ext_tw_video_thumb/1683066568647819264/pu/img/i9pTq2SIDOqSa2bU.jpg</v>
      </c>
      <c r="AW268" s="82" t="s">
        <v>12464</v>
      </c>
      <c r="AX268" s="82" t="s">
        <v>12464</v>
      </c>
      <c r="AY268" s="77"/>
      <c r="AZ268" s="82" t="s">
        <v>15804</v>
      </c>
      <c r="BA268" s="82" t="s">
        <v>15804</v>
      </c>
      <c r="BB268" s="82" t="s">
        <v>15804</v>
      </c>
      <c r="BC268" s="82" t="s">
        <v>12464</v>
      </c>
      <c r="BD268" s="82" t="s">
        <v>16188</v>
      </c>
      <c r="BE268" s="77"/>
      <c r="BF268" s="77"/>
      <c r="BG268" s="77"/>
      <c r="BH268" s="77"/>
      <c r="BI268" s="77"/>
    </row>
    <row r="269" spans="1:61" x14ac:dyDescent="0.25">
      <c r="A269" s="62" t="s">
        <v>317</v>
      </c>
      <c r="B269" s="62" t="s">
        <v>317</v>
      </c>
      <c r="C269" s="63"/>
      <c r="D269" s="64"/>
      <c r="E269" s="65"/>
      <c r="F269" s="66"/>
      <c r="G269" s="63"/>
      <c r="H269" s="67"/>
      <c r="I269" s="68"/>
      <c r="J269" s="68"/>
      <c r="K269" s="32"/>
      <c r="L269" s="75">
        <v>269</v>
      </c>
      <c r="M269" s="75"/>
      <c r="N269" s="70"/>
      <c r="O269" s="77" t="s">
        <v>179</v>
      </c>
      <c r="P269" s="79">
        <v>45065.805405092593</v>
      </c>
      <c r="Q269" s="77" t="s">
        <v>1385</v>
      </c>
      <c r="R269" s="77">
        <v>0</v>
      </c>
      <c r="S269" s="77">
        <v>0</v>
      </c>
      <c r="T269" s="77">
        <v>0</v>
      </c>
      <c r="U269" s="77">
        <v>0</v>
      </c>
      <c r="V269" s="77">
        <v>6</v>
      </c>
      <c r="W269" s="82" t="s">
        <v>4224</v>
      </c>
      <c r="X269" s="80" t="str">
        <f>HYPERLINK("https://lnkd.in/dQ3pjusN")</f>
        <v>https://lnkd.in/dQ3pjusN</v>
      </c>
      <c r="Y269" s="77" t="s">
        <v>6014</v>
      </c>
      <c r="Z269" s="77"/>
      <c r="AA269" s="77"/>
      <c r="AB269" s="77"/>
      <c r="AC269" s="82" t="s">
        <v>7706</v>
      </c>
      <c r="AD269" s="77" t="s">
        <v>7745</v>
      </c>
      <c r="AE269" s="80" t="str">
        <f>HYPERLINK("https://twitter.com/cnpjotas/status/1659640010717405190")</f>
        <v>https://twitter.com/cnpjotas/status/1659640010717405190</v>
      </c>
      <c r="AF269" s="79">
        <v>45065.805405092593</v>
      </c>
      <c r="AG269" s="85">
        <v>45065</v>
      </c>
      <c r="AH269" s="82" t="s">
        <v>8012</v>
      </c>
      <c r="AI269" s="77" t="b">
        <v>0</v>
      </c>
      <c r="AJ269" s="77"/>
      <c r="AK269" s="77"/>
      <c r="AL269" s="77"/>
      <c r="AM269" s="77"/>
      <c r="AN269" s="77"/>
      <c r="AO269" s="77"/>
      <c r="AP269" s="77"/>
      <c r="AQ269" s="77"/>
      <c r="AR269" s="77"/>
      <c r="AS269" s="77"/>
      <c r="AT269" s="77"/>
      <c r="AU269" s="77"/>
      <c r="AV269" s="80" t="str">
        <f>HYPERLINK("https://pbs.twimg.com/profile_images/1504467670237777925/7X6yhFZd_normal.jpg")</f>
        <v>https://pbs.twimg.com/profile_images/1504467670237777925/7X6yhFZd_normal.jpg</v>
      </c>
      <c r="AW269" s="82" t="s">
        <v>12465</v>
      </c>
      <c r="AX269" s="82" t="s">
        <v>12465</v>
      </c>
      <c r="AY269" s="77"/>
      <c r="AZ269" s="82" t="s">
        <v>15804</v>
      </c>
      <c r="BA269" s="82" t="s">
        <v>15804</v>
      </c>
      <c r="BB269" s="82" t="s">
        <v>15804</v>
      </c>
      <c r="BC269" s="82" t="s">
        <v>12465</v>
      </c>
      <c r="BD269" s="82" t="s">
        <v>16189</v>
      </c>
      <c r="BE269" s="77"/>
      <c r="BF269" s="77"/>
      <c r="BG269" s="77"/>
      <c r="BH269" s="77"/>
      <c r="BI269" s="77"/>
    </row>
    <row r="270" spans="1:61" x14ac:dyDescent="0.25">
      <c r="A270" s="62" t="s">
        <v>318</v>
      </c>
      <c r="B270" s="62" t="s">
        <v>1058</v>
      </c>
      <c r="C270" s="63"/>
      <c r="D270" s="64"/>
      <c r="E270" s="65"/>
      <c r="F270" s="66"/>
      <c r="G270" s="63"/>
      <c r="H270" s="67"/>
      <c r="I270" s="68"/>
      <c r="J270" s="68"/>
      <c r="K270" s="32"/>
      <c r="L270" s="75">
        <v>270</v>
      </c>
      <c r="M270" s="75"/>
      <c r="N270" s="70"/>
      <c r="O270" s="77" t="s">
        <v>1133</v>
      </c>
      <c r="P270" s="79">
        <v>45055.512731481482</v>
      </c>
      <c r="Q270" s="77" t="s">
        <v>1386</v>
      </c>
      <c r="R270" s="77">
        <v>0</v>
      </c>
      <c r="S270" s="77">
        <v>1</v>
      </c>
      <c r="T270" s="77">
        <v>0</v>
      </c>
      <c r="U270" s="77">
        <v>0</v>
      </c>
      <c r="V270" s="77">
        <v>6</v>
      </c>
      <c r="W270" s="82" t="s">
        <v>4225</v>
      </c>
      <c r="X270" s="77" t="s">
        <v>5988</v>
      </c>
      <c r="Y270" s="77" t="s">
        <v>6015</v>
      </c>
      <c r="Z270" s="77" t="s">
        <v>1058</v>
      </c>
      <c r="AA270" s="77"/>
      <c r="AB270" s="77"/>
      <c r="AC270" s="82" t="s">
        <v>7706</v>
      </c>
      <c r="AD270" s="77" t="s">
        <v>7745</v>
      </c>
      <c r="AE270" s="80" t="str">
        <f>HYPERLINK("https://twitter.com/guidottisilva/status/1655910067659497474")</f>
        <v>https://twitter.com/guidottisilva/status/1655910067659497474</v>
      </c>
      <c r="AF270" s="79">
        <v>45055.512731481482</v>
      </c>
      <c r="AG270" s="85">
        <v>45055</v>
      </c>
      <c r="AH270" s="82" t="s">
        <v>8013</v>
      </c>
      <c r="AI270" s="77" t="b">
        <v>0</v>
      </c>
      <c r="AJ270" s="77"/>
      <c r="AK270" s="77"/>
      <c r="AL270" s="77"/>
      <c r="AM270" s="77"/>
      <c r="AN270" s="77"/>
      <c r="AO270" s="77"/>
      <c r="AP270" s="77"/>
      <c r="AQ270" s="77"/>
      <c r="AR270" s="77"/>
      <c r="AS270" s="77"/>
      <c r="AT270" s="77"/>
      <c r="AU270" s="77"/>
      <c r="AV270" s="80" t="str">
        <f>HYPERLINK("https://pbs.twimg.com/profile_images/1618978012300562435/a2HHjZv4_normal.jpg")</f>
        <v>https://pbs.twimg.com/profile_images/1618978012300562435/a2HHjZv4_normal.jpg</v>
      </c>
      <c r="AW270" s="82" t="s">
        <v>12466</v>
      </c>
      <c r="AX270" s="82" t="s">
        <v>12466</v>
      </c>
      <c r="AY270" s="77"/>
      <c r="AZ270" s="82" t="s">
        <v>15804</v>
      </c>
      <c r="BA270" s="82" t="s">
        <v>15804</v>
      </c>
      <c r="BB270" s="82" t="s">
        <v>15804</v>
      </c>
      <c r="BC270" s="82" t="s">
        <v>12466</v>
      </c>
      <c r="BD270" s="82" t="s">
        <v>16190</v>
      </c>
      <c r="BE270" s="77"/>
      <c r="BF270" s="77"/>
      <c r="BG270" s="77"/>
      <c r="BH270" s="77"/>
      <c r="BI270" s="77"/>
    </row>
    <row r="271" spans="1:61" x14ac:dyDescent="0.25">
      <c r="A271" s="62" t="s">
        <v>319</v>
      </c>
      <c r="B271" s="62" t="s">
        <v>319</v>
      </c>
      <c r="C271" s="63"/>
      <c r="D271" s="64"/>
      <c r="E271" s="65"/>
      <c r="F271" s="66"/>
      <c r="G271" s="63"/>
      <c r="H271" s="67"/>
      <c r="I271" s="68"/>
      <c r="J271" s="68"/>
      <c r="K271" s="32"/>
      <c r="L271" s="75">
        <v>271</v>
      </c>
      <c r="M271" s="75"/>
      <c r="N271" s="70"/>
      <c r="O271" s="77" t="s">
        <v>179</v>
      </c>
      <c r="P271" s="79">
        <v>45040.628113425926</v>
      </c>
      <c r="Q271" s="77" t="s">
        <v>1387</v>
      </c>
      <c r="R271" s="77">
        <v>0</v>
      </c>
      <c r="S271" s="77">
        <v>0</v>
      </c>
      <c r="T271" s="77">
        <v>0</v>
      </c>
      <c r="U271" s="77">
        <v>0</v>
      </c>
      <c r="V271" s="77">
        <v>5</v>
      </c>
      <c r="W271" s="82" t="s">
        <v>4226</v>
      </c>
      <c r="X271" s="80" t="str">
        <f>HYPERLINK("https://bit.ly/Small-Investors")</f>
        <v>https://bit.ly/Small-Investors</v>
      </c>
      <c r="Y271" s="77" t="s">
        <v>6004</v>
      </c>
      <c r="Z271" s="77"/>
      <c r="AA271" s="77" t="s">
        <v>6262</v>
      </c>
      <c r="AB271" s="77" t="s">
        <v>7696</v>
      </c>
      <c r="AC271" s="82" t="s">
        <v>7715</v>
      </c>
      <c r="AD271" s="77" t="s">
        <v>7745</v>
      </c>
      <c r="AE271" s="80" t="str">
        <f>HYPERLINK("https://twitter.com/antenado_gip/status/1650516066395734019")</f>
        <v>https://twitter.com/antenado_gip/status/1650516066395734019</v>
      </c>
      <c r="AF271" s="79">
        <v>45040.628113425926</v>
      </c>
      <c r="AG271" s="85">
        <v>45040</v>
      </c>
      <c r="AH271" s="82" t="s">
        <v>8014</v>
      </c>
      <c r="AI271" s="77" t="b">
        <v>0</v>
      </c>
      <c r="AJ271" s="77"/>
      <c r="AK271" s="77"/>
      <c r="AL271" s="77"/>
      <c r="AM271" s="77"/>
      <c r="AN271" s="77"/>
      <c r="AO271" s="77"/>
      <c r="AP271" s="77"/>
      <c r="AQ271" s="77" t="s">
        <v>10769</v>
      </c>
      <c r="AR271" s="77"/>
      <c r="AS271" s="77"/>
      <c r="AT271" s="77"/>
      <c r="AU271" s="77"/>
      <c r="AV271" s="80" t="str">
        <f>HYPERLINK("https://pbs.twimg.com/media/FufPnTmXoAI7qb5.jpg")</f>
        <v>https://pbs.twimg.com/media/FufPnTmXoAI7qb5.jpg</v>
      </c>
      <c r="AW271" s="82" t="s">
        <v>12467</v>
      </c>
      <c r="AX271" s="82" t="s">
        <v>12467</v>
      </c>
      <c r="AY271" s="77"/>
      <c r="AZ271" s="82" t="s">
        <v>15804</v>
      </c>
      <c r="BA271" s="82" t="s">
        <v>15804</v>
      </c>
      <c r="BB271" s="82" t="s">
        <v>15804</v>
      </c>
      <c r="BC271" s="82" t="s">
        <v>12467</v>
      </c>
      <c r="BD271" s="77">
        <v>159996512</v>
      </c>
      <c r="BE271" s="77"/>
      <c r="BF271" s="77"/>
      <c r="BG271" s="77"/>
      <c r="BH271" s="77"/>
      <c r="BI271" s="77"/>
    </row>
    <row r="272" spans="1:61" x14ac:dyDescent="0.25">
      <c r="A272" s="62" t="s">
        <v>319</v>
      </c>
      <c r="B272" s="62" t="s">
        <v>319</v>
      </c>
      <c r="C272" s="63"/>
      <c r="D272" s="64"/>
      <c r="E272" s="65"/>
      <c r="F272" s="66"/>
      <c r="G272" s="63"/>
      <c r="H272" s="67"/>
      <c r="I272" s="68"/>
      <c r="J272" s="68"/>
      <c r="K272" s="32"/>
      <c r="L272" s="75">
        <v>272</v>
      </c>
      <c r="M272" s="75"/>
      <c r="N272" s="70"/>
      <c r="O272" s="77" t="s">
        <v>179</v>
      </c>
      <c r="P272" s="79">
        <v>45062.653043981481</v>
      </c>
      <c r="Q272" s="77" t="s">
        <v>1388</v>
      </c>
      <c r="R272" s="77">
        <v>0</v>
      </c>
      <c r="S272" s="77">
        <v>0</v>
      </c>
      <c r="T272" s="77">
        <v>0</v>
      </c>
      <c r="U272" s="77">
        <v>0</v>
      </c>
      <c r="V272" s="77">
        <v>25</v>
      </c>
      <c r="W272" s="82" t="s">
        <v>4226</v>
      </c>
      <c r="X272" s="80" t="str">
        <f>HYPERLINK("https://bit.ly/Small-Investors")</f>
        <v>https://bit.ly/Small-Investors</v>
      </c>
      <c r="Y272" s="77" t="s">
        <v>6004</v>
      </c>
      <c r="Z272" s="77"/>
      <c r="AA272" s="77" t="s">
        <v>6263</v>
      </c>
      <c r="AB272" s="77" t="s">
        <v>7696</v>
      </c>
      <c r="AC272" s="82" t="s">
        <v>7715</v>
      </c>
      <c r="AD272" s="77" t="s">
        <v>7745</v>
      </c>
      <c r="AE272" s="80" t="str">
        <f>HYPERLINK("https://twitter.com/antenado_gip/status/1658497631268528134")</f>
        <v>https://twitter.com/antenado_gip/status/1658497631268528134</v>
      </c>
      <c r="AF272" s="79">
        <v>45062.653043981481</v>
      </c>
      <c r="AG272" s="85">
        <v>45062</v>
      </c>
      <c r="AH272" s="82" t="s">
        <v>8015</v>
      </c>
      <c r="AI272" s="77" t="b">
        <v>0</v>
      </c>
      <c r="AJ272" s="77"/>
      <c r="AK272" s="77"/>
      <c r="AL272" s="77"/>
      <c r="AM272" s="77"/>
      <c r="AN272" s="77"/>
      <c r="AO272" s="77"/>
      <c r="AP272" s="77"/>
      <c r="AQ272" s="77" t="s">
        <v>10770</v>
      </c>
      <c r="AR272" s="77"/>
      <c r="AS272" s="77"/>
      <c r="AT272" s="77"/>
      <c r="AU272" s="77"/>
      <c r="AV272" s="80" t="str">
        <f>HYPERLINK("https://pbs.twimg.com/media/FwQqzdAXsAYTp7q.jpg")</f>
        <v>https://pbs.twimg.com/media/FwQqzdAXsAYTp7q.jpg</v>
      </c>
      <c r="AW272" s="82" t="s">
        <v>12468</v>
      </c>
      <c r="AX272" s="82" t="s">
        <v>12468</v>
      </c>
      <c r="AY272" s="77"/>
      <c r="AZ272" s="82" t="s">
        <v>15804</v>
      </c>
      <c r="BA272" s="82" t="s">
        <v>15804</v>
      </c>
      <c r="BB272" s="82" t="s">
        <v>15804</v>
      </c>
      <c r="BC272" s="82" t="s">
        <v>12468</v>
      </c>
      <c r="BD272" s="77">
        <v>159996512</v>
      </c>
      <c r="BE272" s="77"/>
      <c r="BF272" s="77"/>
      <c r="BG272" s="77"/>
      <c r="BH272" s="77"/>
      <c r="BI272" s="77"/>
    </row>
    <row r="273" spans="1:61" x14ac:dyDescent="0.25">
      <c r="A273" s="62" t="s">
        <v>319</v>
      </c>
      <c r="B273" s="62" t="s">
        <v>319</v>
      </c>
      <c r="C273" s="63"/>
      <c r="D273" s="64"/>
      <c r="E273" s="65"/>
      <c r="F273" s="66"/>
      <c r="G273" s="63"/>
      <c r="H273" s="67"/>
      <c r="I273" s="68"/>
      <c r="J273" s="68"/>
      <c r="K273" s="32"/>
      <c r="L273" s="75">
        <v>273</v>
      </c>
      <c r="M273" s="75"/>
      <c r="N273" s="70"/>
      <c r="O273" s="77" t="s">
        <v>179</v>
      </c>
      <c r="P273" s="79">
        <v>45062.651319444441</v>
      </c>
      <c r="Q273" s="77" t="s">
        <v>1389</v>
      </c>
      <c r="R273" s="77">
        <v>0</v>
      </c>
      <c r="S273" s="77">
        <v>0</v>
      </c>
      <c r="T273" s="77">
        <v>0</v>
      </c>
      <c r="U273" s="77">
        <v>0</v>
      </c>
      <c r="V273" s="77">
        <v>12</v>
      </c>
      <c r="W273" s="82" t="s">
        <v>4226</v>
      </c>
      <c r="X273" s="80" t="str">
        <f>HYPERLINK("https://bit.ly/Small-Investors")</f>
        <v>https://bit.ly/Small-Investors</v>
      </c>
      <c r="Y273" s="77" t="s">
        <v>6004</v>
      </c>
      <c r="Z273" s="77"/>
      <c r="AA273" s="77" t="s">
        <v>6264</v>
      </c>
      <c r="AB273" s="77" t="s">
        <v>7696</v>
      </c>
      <c r="AC273" s="82" t="s">
        <v>7715</v>
      </c>
      <c r="AD273" s="77" t="s">
        <v>7745</v>
      </c>
      <c r="AE273" s="80" t="str">
        <f>HYPERLINK("https://twitter.com/antenado_gip/status/1658497007206670342")</f>
        <v>https://twitter.com/antenado_gip/status/1658497007206670342</v>
      </c>
      <c r="AF273" s="79">
        <v>45062.651319444441</v>
      </c>
      <c r="AG273" s="85">
        <v>45062</v>
      </c>
      <c r="AH273" s="82" t="s">
        <v>8016</v>
      </c>
      <c r="AI273" s="77" t="b">
        <v>0</v>
      </c>
      <c r="AJ273" s="77"/>
      <c r="AK273" s="77"/>
      <c r="AL273" s="77"/>
      <c r="AM273" s="77"/>
      <c r="AN273" s="77"/>
      <c r="AO273" s="77"/>
      <c r="AP273" s="77"/>
      <c r="AQ273" s="77" t="s">
        <v>10771</v>
      </c>
      <c r="AR273" s="77"/>
      <c r="AS273" s="77"/>
      <c r="AT273" s="77"/>
      <c r="AU273" s="77"/>
      <c r="AV273" s="80" t="str">
        <f>HYPERLINK("https://pbs.twimg.com/media/FwQqPJuXsAAvy7F.jpg")</f>
        <v>https://pbs.twimg.com/media/FwQqPJuXsAAvy7F.jpg</v>
      </c>
      <c r="AW273" s="82" t="s">
        <v>12469</v>
      </c>
      <c r="AX273" s="82" t="s">
        <v>12469</v>
      </c>
      <c r="AY273" s="77"/>
      <c r="AZ273" s="82" t="s">
        <v>15804</v>
      </c>
      <c r="BA273" s="82" t="s">
        <v>15804</v>
      </c>
      <c r="BB273" s="82" t="s">
        <v>15804</v>
      </c>
      <c r="BC273" s="82" t="s">
        <v>12469</v>
      </c>
      <c r="BD273" s="77">
        <v>159996512</v>
      </c>
      <c r="BE273" s="77"/>
      <c r="BF273" s="77"/>
      <c r="BG273" s="77"/>
      <c r="BH273" s="77"/>
      <c r="BI273" s="77"/>
    </row>
    <row r="274" spans="1:61" x14ac:dyDescent="0.25">
      <c r="A274" s="62" t="s">
        <v>319</v>
      </c>
      <c r="B274" s="62" t="s">
        <v>319</v>
      </c>
      <c r="C274" s="63"/>
      <c r="D274" s="64"/>
      <c r="E274" s="65"/>
      <c r="F274" s="66"/>
      <c r="G274" s="63"/>
      <c r="H274" s="67"/>
      <c r="I274" s="68"/>
      <c r="J274" s="68"/>
      <c r="K274" s="32"/>
      <c r="L274" s="75">
        <v>274</v>
      </c>
      <c r="M274" s="75"/>
      <c r="N274" s="70"/>
      <c r="O274" s="77" t="s">
        <v>179</v>
      </c>
      <c r="P274" s="79">
        <v>45050.652349537035</v>
      </c>
      <c r="Q274" s="77" t="s">
        <v>1390</v>
      </c>
      <c r="R274" s="77">
        <v>0</v>
      </c>
      <c r="S274" s="77">
        <v>0</v>
      </c>
      <c r="T274" s="77">
        <v>0</v>
      </c>
      <c r="U274" s="77">
        <v>0</v>
      </c>
      <c r="V274" s="77">
        <v>12</v>
      </c>
      <c r="W274" s="82" t="s">
        <v>4226</v>
      </c>
      <c r="X274" s="80" t="str">
        <f>HYPERLINK("https://bit.ly/Small-Investors")</f>
        <v>https://bit.ly/Small-Investors</v>
      </c>
      <c r="Y274" s="77" t="s">
        <v>6004</v>
      </c>
      <c r="Z274" s="77"/>
      <c r="AA274" s="77" t="s">
        <v>6265</v>
      </c>
      <c r="AB274" s="77" t="s">
        <v>7696</v>
      </c>
      <c r="AC274" s="82" t="s">
        <v>7715</v>
      </c>
      <c r="AD274" s="77" t="s">
        <v>7745</v>
      </c>
      <c r="AE274" s="80" t="str">
        <f>HYPERLINK("https://twitter.com/antenado_gip/status/1654148727215476737")</f>
        <v>https://twitter.com/antenado_gip/status/1654148727215476737</v>
      </c>
      <c r="AF274" s="79">
        <v>45050.652349537035</v>
      </c>
      <c r="AG274" s="85">
        <v>45050</v>
      </c>
      <c r="AH274" s="82" t="s">
        <v>8017</v>
      </c>
      <c r="AI274" s="77" t="b">
        <v>0</v>
      </c>
      <c r="AJ274" s="77"/>
      <c r="AK274" s="77"/>
      <c r="AL274" s="77"/>
      <c r="AM274" s="77"/>
      <c r="AN274" s="77"/>
      <c r="AO274" s="77"/>
      <c r="AP274" s="77"/>
      <c r="AQ274" s="77" t="s">
        <v>10772</v>
      </c>
      <c r="AR274" s="77"/>
      <c r="AS274" s="77"/>
      <c r="AT274" s="77"/>
      <c r="AU274" s="77"/>
      <c r="AV274" s="80" t="str">
        <f>HYPERLINK("https://pbs.twimg.com/media/FvS3f83XoAMijUj.jpg")</f>
        <v>https://pbs.twimg.com/media/FvS3f83XoAMijUj.jpg</v>
      </c>
      <c r="AW274" s="82" t="s">
        <v>12470</v>
      </c>
      <c r="AX274" s="82" t="s">
        <v>12470</v>
      </c>
      <c r="AY274" s="77"/>
      <c r="AZ274" s="82" t="s">
        <v>15804</v>
      </c>
      <c r="BA274" s="82" t="s">
        <v>15804</v>
      </c>
      <c r="BB274" s="82" t="s">
        <v>15804</v>
      </c>
      <c r="BC274" s="82" t="s">
        <v>12470</v>
      </c>
      <c r="BD274" s="77">
        <v>159996512</v>
      </c>
      <c r="BE274" s="77"/>
      <c r="BF274" s="77"/>
      <c r="BG274" s="77"/>
      <c r="BH274" s="77"/>
      <c r="BI274" s="77"/>
    </row>
    <row r="275" spans="1:61" x14ac:dyDescent="0.25">
      <c r="A275" s="62" t="s">
        <v>319</v>
      </c>
      <c r="B275" s="62" t="s">
        <v>319</v>
      </c>
      <c r="C275" s="63"/>
      <c r="D275" s="64"/>
      <c r="E275" s="65"/>
      <c r="F275" s="66"/>
      <c r="G275" s="63"/>
      <c r="H275" s="67"/>
      <c r="I275" s="68"/>
      <c r="J275" s="68"/>
      <c r="K275" s="32"/>
      <c r="L275" s="75">
        <v>275</v>
      </c>
      <c r="M275" s="75"/>
      <c r="N275" s="70"/>
      <c r="O275" s="77" t="s">
        <v>179</v>
      </c>
      <c r="P275" s="79">
        <v>45050.645983796298</v>
      </c>
      <c r="Q275" s="77" t="s">
        <v>1391</v>
      </c>
      <c r="R275" s="77">
        <v>0</v>
      </c>
      <c r="S275" s="77">
        <v>0</v>
      </c>
      <c r="T275" s="77">
        <v>0</v>
      </c>
      <c r="U275" s="77">
        <v>0</v>
      </c>
      <c r="V275" s="77">
        <v>10</v>
      </c>
      <c r="W275" s="82" t="s">
        <v>4226</v>
      </c>
      <c r="X275" s="80" t="str">
        <f>HYPERLINK("https://bit.ly/Small-Investors")</f>
        <v>https://bit.ly/Small-Investors</v>
      </c>
      <c r="Y275" s="77" t="s">
        <v>6004</v>
      </c>
      <c r="Z275" s="77"/>
      <c r="AA275" s="77" t="s">
        <v>6266</v>
      </c>
      <c r="AB275" s="77" t="s">
        <v>7696</v>
      </c>
      <c r="AC275" s="82" t="s">
        <v>7715</v>
      </c>
      <c r="AD275" s="77" t="s">
        <v>7745</v>
      </c>
      <c r="AE275" s="80" t="str">
        <f>HYPERLINK("https://twitter.com/antenado_gip/status/1654146418032902145")</f>
        <v>https://twitter.com/antenado_gip/status/1654146418032902145</v>
      </c>
      <c r="AF275" s="79">
        <v>45050.645983796298</v>
      </c>
      <c r="AG275" s="85">
        <v>45050</v>
      </c>
      <c r="AH275" s="82" t="s">
        <v>8018</v>
      </c>
      <c r="AI275" s="77" t="b">
        <v>0</v>
      </c>
      <c r="AJ275" s="77"/>
      <c r="AK275" s="77"/>
      <c r="AL275" s="77"/>
      <c r="AM275" s="77"/>
      <c r="AN275" s="77"/>
      <c r="AO275" s="77"/>
      <c r="AP275" s="77"/>
      <c r="AQ275" s="77" t="s">
        <v>10773</v>
      </c>
      <c r="AR275" s="77"/>
      <c r="AS275" s="77"/>
      <c r="AT275" s="77"/>
      <c r="AU275" s="77"/>
      <c r="AV275" s="80" t="str">
        <f>HYPERLINK("https://pbs.twimg.com/media/FvS1ZljWwAIJq2J.jpg")</f>
        <v>https://pbs.twimg.com/media/FvS1ZljWwAIJq2J.jpg</v>
      </c>
      <c r="AW275" s="82" t="s">
        <v>12471</v>
      </c>
      <c r="AX275" s="82" t="s">
        <v>12471</v>
      </c>
      <c r="AY275" s="77"/>
      <c r="AZ275" s="82" t="s">
        <v>15804</v>
      </c>
      <c r="BA275" s="82" t="s">
        <v>15804</v>
      </c>
      <c r="BB275" s="82" t="s">
        <v>15804</v>
      </c>
      <c r="BC275" s="82" t="s">
        <v>12471</v>
      </c>
      <c r="BD275" s="77">
        <v>159996512</v>
      </c>
      <c r="BE275" s="77"/>
      <c r="BF275" s="77"/>
      <c r="BG275" s="77"/>
      <c r="BH275" s="77"/>
      <c r="BI275" s="77"/>
    </row>
    <row r="276" spans="1:61" x14ac:dyDescent="0.25">
      <c r="A276" s="62" t="s">
        <v>320</v>
      </c>
      <c r="B276" s="62" t="s">
        <v>320</v>
      </c>
      <c r="C276" s="63"/>
      <c r="D276" s="64"/>
      <c r="E276" s="65"/>
      <c r="F276" s="66"/>
      <c r="G276" s="63"/>
      <c r="H276" s="67"/>
      <c r="I276" s="68"/>
      <c r="J276" s="68"/>
      <c r="K276" s="32"/>
      <c r="L276" s="75">
        <v>276</v>
      </c>
      <c r="M276" s="75"/>
      <c r="N276" s="70"/>
      <c r="O276" s="77" t="s">
        <v>179</v>
      </c>
      <c r="P276" s="79">
        <v>44987.032152777778</v>
      </c>
      <c r="Q276" s="77" t="s">
        <v>1392</v>
      </c>
      <c r="R276" s="77">
        <v>0</v>
      </c>
      <c r="S276" s="77">
        <v>0</v>
      </c>
      <c r="T276" s="77">
        <v>1</v>
      </c>
      <c r="U276" s="77">
        <v>0</v>
      </c>
      <c r="V276" s="77">
        <v>19</v>
      </c>
      <c r="W276" s="82" t="s">
        <v>4160</v>
      </c>
      <c r="X276" s="77"/>
      <c r="Y276" s="77"/>
      <c r="Z276" s="77"/>
      <c r="AA276" s="77"/>
      <c r="AB276" s="77"/>
      <c r="AC276" s="82" t="s">
        <v>7706</v>
      </c>
      <c r="AD276" s="77" t="s">
        <v>7745</v>
      </c>
      <c r="AE276" s="80" t="str">
        <f>HYPERLINK("https://twitter.com/greboucas/status/1631093539982438402")</f>
        <v>https://twitter.com/greboucas/status/1631093539982438402</v>
      </c>
      <c r="AF276" s="79">
        <v>44987.032152777778</v>
      </c>
      <c r="AG276" s="85">
        <v>44987</v>
      </c>
      <c r="AH276" s="82" t="s">
        <v>8019</v>
      </c>
      <c r="AI276" s="77"/>
      <c r="AJ276" s="77"/>
      <c r="AK276" s="77"/>
      <c r="AL276" s="77"/>
      <c r="AM276" s="77"/>
      <c r="AN276" s="77"/>
      <c r="AO276" s="77"/>
      <c r="AP276" s="77"/>
      <c r="AQ276" s="77"/>
      <c r="AR276" s="77"/>
      <c r="AS276" s="77"/>
      <c r="AT276" s="77"/>
      <c r="AU276" s="77"/>
      <c r="AV276" s="80" t="str">
        <f>HYPERLINK("https://pbs.twimg.com/profile_images/1629808776780951552/Fl1SNRlh_normal.jpg")</f>
        <v>https://pbs.twimg.com/profile_images/1629808776780951552/Fl1SNRlh_normal.jpg</v>
      </c>
      <c r="AW276" s="82" t="s">
        <v>12472</v>
      </c>
      <c r="AX276" s="82" t="s">
        <v>12472</v>
      </c>
      <c r="AY276" s="77"/>
      <c r="AZ276" s="82" t="s">
        <v>15804</v>
      </c>
      <c r="BA276" s="82" t="s">
        <v>15804</v>
      </c>
      <c r="BB276" s="82" t="s">
        <v>15804</v>
      </c>
      <c r="BC276" s="82" t="s">
        <v>12472</v>
      </c>
      <c r="BD276" s="77">
        <v>20402910</v>
      </c>
      <c r="BE276" s="77"/>
      <c r="BF276" s="77"/>
      <c r="BG276" s="77"/>
      <c r="BH276" s="77"/>
      <c r="BI276" s="77"/>
    </row>
    <row r="277" spans="1:61" x14ac:dyDescent="0.25">
      <c r="A277" s="62" t="s">
        <v>320</v>
      </c>
      <c r="B277" s="62" t="s">
        <v>320</v>
      </c>
      <c r="C277" s="63"/>
      <c r="D277" s="64"/>
      <c r="E277" s="65"/>
      <c r="F277" s="66"/>
      <c r="G277" s="63"/>
      <c r="H277" s="67"/>
      <c r="I277" s="68"/>
      <c r="J277" s="68"/>
      <c r="K277" s="32"/>
      <c r="L277" s="75">
        <v>277</v>
      </c>
      <c r="M277" s="75"/>
      <c r="N277" s="70"/>
      <c r="O277" s="77" t="s">
        <v>179</v>
      </c>
      <c r="P277" s="79">
        <v>44936.907696759263</v>
      </c>
      <c r="Q277" s="77" t="s">
        <v>1393</v>
      </c>
      <c r="R277" s="77">
        <v>0</v>
      </c>
      <c r="S277" s="77">
        <v>0</v>
      </c>
      <c r="T277" s="77">
        <v>0</v>
      </c>
      <c r="U277" s="77">
        <v>0</v>
      </c>
      <c r="V277" s="77">
        <v>37</v>
      </c>
      <c r="W277" s="82" t="s">
        <v>4227</v>
      </c>
      <c r="X277" s="80" t="str">
        <f>HYPERLINK("https://www.instagram.com/p/CnQBEb9pCda/?igshid=YTgzYjQ4ZTY=")</f>
        <v>https://www.instagram.com/p/CnQBEb9pCda/?igshid=YTgzYjQ4ZTY=</v>
      </c>
      <c r="Y277" s="77" t="s">
        <v>6000</v>
      </c>
      <c r="Z277" s="77"/>
      <c r="AA277" s="77"/>
      <c r="AB277" s="77"/>
      <c r="AC277" s="82" t="s">
        <v>7704</v>
      </c>
      <c r="AD277" s="77" t="s">
        <v>7745</v>
      </c>
      <c r="AE277" s="80" t="str">
        <f>HYPERLINK("https://twitter.com/greboucas/status/1612929044613398529")</f>
        <v>https://twitter.com/greboucas/status/1612929044613398529</v>
      </c>
      <c r="AF277" s="79">
        <v>44936.907696759263</v>
      </c>
      <c r="AG277" s="85">
        <v>44936</v>
      </c>
      <c r="AH277" s="82" t="s">
        <v>8020</v>
      </c>
      <c r="AI277" s="77" t="b">
        <v>0</v>
      </c>
      <c r="AJ277" s="77"/>
      <c r="AK277" s="77"/>
      <c r="AL277" s="77"/>
      <c r="AM277" s="77"/>
      <c r="AN277" s="77"/>
      <c r="AO277" s="77"/>
      <c r="AP277" s="77"/>
      <c r="AQ277" s="77"/>
      <c r="AR277" s="77"/>
      <c r="AS277" s="77"/>
      <c r="AT277" s="77"/>
      <c r="AU277" s="77"/>
      <c r="AV277" s="80" t="str">
        <f>HYPERLINK("https://pbs.twimg.com/profile_images/1629808776780951552/Fl1SNRlh_normal.jpg")</f>
        <v>https://pbs.twimg.com/profile_images/1629808776780951552/Fl1SNRlh_normal.jpg</v>
      </c>
      <c r="AW277" s="82" t="s">
        <v>12473</v>
      </c>
      <c r="AX277" s="82" t="s">
        <v>12473</v>
      </c>
      <c r="AY277" s="77"/>
      <c r="AZ277" s="82" t="s">
        <v>15804</v>
      </c>
      <c r="BA277" s="82" t="s">
        <v>15804</v>
      </c>
      <c r="BB277" s="82" t="s">
        <v>15804</v>
      </c>
      <c r="BC277" s="82" t="s">
        <v>12473</v>
      </c>
      <c r="BD277" s="77">
        <v>20402910</v>
      </c>
      <c r="BE277" s="77"/>
      <c r="BF277" s="77"/>
      <c r="BG277" s="77"/>
      <c r="BH277" s="77"/>
      <c r="BI277" s="77"/>
    </row>
    <row r="278" spans="1:61" x14ac:dyDescent="0.25">
      <c r="A278" s="62" t="s">
        <v>320</v>
      </c>
      <c r="B278" s="62" t="s">
        <v>320</v>
      </c>
      <c r="C278" s="63"/>
      <c r="D278" s="64"/>
      <c r="E278" s="65"/>
      <c r="F278" s="66"/>
      <c r="G278" s="63"/>
      <c r="H278" s="67"/>
      <c r="I278" s="68"/>
      <c r="J278" s="68"/>
      <c r="K278" s="32"/>
      <c r="L278" s="75">
        <v>278</v>
      </c>
      <c r="M278" s="75"/>
      <c r="N278" s="70"/>
      <c r="O278" s="77" t="s">
        <v>179</v>
      </c>
      <c r="P278" s="79">
        <v>44963.924166666664</v>
      </c>
      <c r="Q278" s="77" t="s">
        <v>1394</v>
      </c>
      <c r="R278" s="77">
        <v>0</v>
      </c>
      <c r="S278" s="77">
        <v>0</v>
      </c>
      <c r="T278" s="77">
        <v>0</v>
      </c>
      <c r="U278" s="77">
        <v>0</v>
      </c>
      <c r="V278" s="77">
        <v>11</v>
      </c>
      <c r="W278" s="82" t="s">
        <v>4227</v>
      </c>
      <c r="X278" s="77" t="s">
        <v>5989</v>
      </c>
      <c r="Y278" s="77" t="s">
        <v>6016</v>
      </c>
      <c r="Z278" s="77"/>
      <c r="AA278" s="77"/>
      <c r="AB278" s="77"/>
      <c r="AC278" s="82" t="s">
        <v>7704</v>
      </c>
      <c r="AD278" s="77" t="s">
        <v>7745</v>
      </c>
      <c r="AE278" s="80" t="str">
        <f>HYPERLINK("https://twitter.com/greboucas/status/1622719484778741776")</f>
        <v>https://twitter.com/greboucas/status/1622719484778741776</v>
      </c>
      <c r="AF278" s="79">
        <v>44963.924166666664</v>
      </c>
      <c r="AG278" s="85">
        <v>44963</v>
      </c>
      <c r="AH278" s="82" t="s">
        <v>8021</v>
      </c>
      <c r="AI278" s="77" t="b">
        <v>0</v>
      </c>
      <c r="AJ278" s="77"/>
      <c r="AK278" s="77"/>
      <c r="AL278" s="77"/>
      <c r="AM278" s="77"/>
      <c r="AN278" s="77"/>
      <c r="AO278" s="77"/>
      <c r="AP278" s="77"/>
      <c r="AQ278" s="77"/>
      <c r="AR278" s="77"/>
      <c r="AS278" s="77"/>
      <c r="AT278" s="77"/>
      <c r="AU278" s="77"/>
      <c r="AV278" s="80" t="str">
        <f>HYPERLINK("https://pbs.twimg.com/profile_images/1629808776780951552/Fl1SNRlh_normal.jpg")</f>
        <v>https://pbs.twimg.com/profile_images/1629808776780951552/Fl1SNRlh_normal.jpg</v>
      </c>
      <c r="AW278" s="82" t="s">
        <v>12474</v>
      </c>
      <c r="AX278" s="82" t="s">
        <v>12474</v>
      </c>
      <c r="AY278" s="77"/>
      <c r="AZ278" s="82" t="s">
        <v>15804</v>
      </c>
      <c r="BA278" s="82" t="s">
        <v>15804</v>
      </c>
      <c r="BB278" s="82" t="s">
        <v>15804</v>
      </c>
      <c r="BC278" s="82" t="s">
        <v>12474</v>
      </c>
      <c r="BD278" s="77">
        <v>20402910</v>
      </c>
      <c r="BE278" s="77"/>
      <c r="BF278" s="77"/>
      <c r="BG278" s="77"/>
      <c r="BH278" s="77"/>
      <c r="BI278" s="77"/>
    </row>
    <row r="279" spans="1:61" x14ac:dyDescent="0.25">
      <c r="A279" s="62" t="s">
        <v>320</v>
      </c>
      <c r="B279" s="62" t="s">
        <v>320</v>
      </c>
      <c r="C279" s="63"/>
      <c r="D279" s="64"/>
      <c r="E279" s="65"/>
      <c r="F279" s="66"/>
      <c r="G279" s="63"/>
      <c r="H279" s="67"/>
      <c r="I279" s="68"/>
      <c r="J279" s="68"/>
      <c r="K279" s="32"/>
      <c r="L279" s="75">
        <v>279</v>
      </c>
      <c r="M279" s="75"/>
      <c r="N279" s="70"/>
      <c r="O279" s="77" t="s">
        <v>179</v>
      </c>
      <c r="P279" s="79">
        <v>44958.413159722222</v>
      </c>
      <c r="Q279" s="77" t="s">
        <v>1395</v>
      </c>
      <c r="R279" s="77">
        <v>0</v>
      </c>
      <c r="S279" s="77">
        <v>0</v>
      </c>
      <c r="T279" s="77">
        <v>1</v>
      </c>
      <c r="U279" s="77">
        <v>0</v>
      </c>
      <c r="V279" s="77">
        <v>11</v>
      </c>
      <c r="W279" s="82" t="s">
        <v>4228</v>
      </c>
      <c r="X279" s="77"/>
      <c r="Y279" s="77"/>
      <c r="Z279" s="77"/>
      <c r="AA279" s="77"/>
      <c r="AB279" s="77"/>
      <c r="AC279" s="82" t="s">
        <v>7707</v>
      </c>
      <c r="AD279" s="77" t="s">
        <v>7745</v>
      </c>
      <c r="AE279" s="80" t="str">
        <f>HYPERLINK("https://twitter.com/greboucas/status/1620722361631932416")</f>
        <v>https://twitter.com/greboucas/status/1620722361631932416</v>
      </c>
      <c r="AF279" s="79">
        <v>44958.413159722222</v>
      </c>
      <c r="AG279" s="85">
        <v>44958</v>
      </c>
      <c r="AH279" s="82" t="s">
        <v>8022</v>
      </c>
      <c r="AI279" s="77"/>
      <c r="AJ279" s="77"/>
      <c r="AK279" s="77"/>
      <c r="AL279" s="77"/>
      <c r="AM279" s="77"/>
      <c r="AN279" s="77"/>
      <c r="AO279" s="77"/>
      <c r="AP279" s="77"/>
      <c r="AQ279" s="77"/>
      <c r="AR279" s="77"/>
      <c r="AS279" s="77"/>
      <c r="AT279" s="77"/>
      <c r="AU279" s="77"/>
      <c r="AV279" s="80" t="str">
        <f>HYPERLINK("https://pbs.twimg.com/profile_images/1629808776780951552/Fl1SNRlh_normal.jpg")</f>
        <v>https://pbs.twimg.com/profile_images/1629808776780951552/Fl1SNRlh_normal.jpg</v>
      </c>
      <c r="AW279" s="82" t="s">
        <v>12475</v>
      </c>
      <c r="AX279" s="82" t="s">
        <v>12475</v>
      </c>
      <c r="AY279" s="77"/>
      <c r="AZ279" s="82" t="s">
        <v>15804</v>
      </c>
      <c r="BA279" s="82" t="s">
        <v>15804</v>
      </c>
      <c r="BB279" s="82" t="s">
        <v>15804</v>
      </c>
      <c r="BC279" s="82" t="s">
        <v>12475</v>
      </c>
      <c r="BD279" s="77">
        <v>20402910</v>
      </c>
      <c r="BE279" s="77"/>
      <c r="BF279" s="77"/>
      <c r="BG279" s="77"/>
      <c r="BH279" s="77"/>
      <c r="BI279" s="77"/>
    </row>
    <row r="280" spans="1:61" x14ac:dyDescent="0.25">
      <c r="A280" s="62" t="s">
        <v>320</v>
      </c>
      <c r="B280" s="62" t="s">
        <v>320</v>
      </c>
      <c r="C280" s="63"/>
      <c r="D280" s="64"/>
      <c r="E280" s="65"/>
      <c r="F280" s="66"/>
      <c r="G280" s="63"/>
      <c r="H280" s="67"/>
      <c r="I280" s="68"/>
      <c r="J280" s="68"/>
      <c r="K280" s="32"/>
      <c r="L280" s="75">
        <v>280</v>
      </c>
      <c r="M280" s="75"/>
      <c r="N280" s="70"/>
      <c r="O280" s="77" t="s">
        <v>179</v>
      </c>
      <c r="P280" s="79">
        <v>44943.860277777778</v>
      </c>
      <c r="Q280" s="77" t="s">
        <v>1396</v>
      </c>
      <c r="R280" s="77">
        <v>0</v>
      </c>
      <c r="S280" s="77">
        <v>0</v>
      </c>
      <c r="T280" s="77">
        <v>0</v>
      </c>
      <c r="U280" s="77">
        <v>0</v>
      </c>
      <c r="V280" s="77">
        <v>150</v>
      </c>
      <c r="W280" s="82" t="s">
        <v>4229</v>
      </c>
      <c r="X280" s="80" t="str">
        <f>HYPERLINK("https://www.instagram.com/p/Cnh60bWpWmV/?igshid=YTgzYjQ4ZTY=")</f>
        <v>https://www.instagram.com/p/Cnh60bWpWmV/?igshid=YTgzYjQ4ZTY=</v>
      </c>
      <c r="Y280" s="77" t="s">
        <v>6000</v>
      </c>
      <c r="Z280" s="77"/>
      <c r="AA280" s="77"/>
      <c r="AB280" s="77"/>
      <c r="AC280" s="82" t="s">
        <v>7704</v>
      </c>
      <c r="AD280" s="77" t="s">
        <v>7745</v>
      </c>
      <c r="AE280" s="80" t="str">
        <f>HYPERLINK("https://twitter.com/greboucas/status/1615448574908588052")</f>
        <v>https://twitter.com/greboucas/status/1615448574908588052</v>
      </c>
      <c r="AF280" s="79">
        <v>44943.860277777778</v>
      </c>
      <c r="AG280" s="85">
        <v>44943</v>
      </c>
      <c r="AH280" s="82" t="s">
        <v>8023</v>
      </c>
      <c r="AI280" s="77" t="b">
        <v>0</v>
      </c>
      <c r="AJ280" s="77"/>
      <c r="AK280" s="77"/>
      <c r="AL280" s="77"/>
      <c r="AM280" s="77"/>
      <c r="AN280" s="77"/>
      <c r="AO280" s="77"/>
      <c r="AP280" s="77"/>
      <c r="AQ280" s="77"/>
      <c r="AR280" s="77"/>
      <c r="AS280" s="77"/>
      <c r="AT280" s="77"/>
      <c r="AU280" s="77"/>
      <c r="AV280" s="80" t="str">
        <f>HYPERLINK("https://pbs.twimg.com/profile_images/1629808776780951552/Fl1SNRlh_normal.jpg")</f>
        <v>https://pbs.twimg.com/profile_images/1629808776780951552/Fl1SNRlh_normal.jpg</v>
      </c>
      <c r="AW280" s="82" t="s">
        <v>12476</v>
      </c>
      <c r="AX280" s="82" t="s">
        <v>12476</v>
      </c>
      <c r="AY280" s="77"/>
      <c r="AZ280" s="82" t="s">
        <v>15804</v>
      </c>
      <c r="BA280" s="82" t="s">
        <v>15804</v>
      </c>
      <c r="BB280" s="82" t="s">
        <v>15804</v>
      </c>
      <c r="BC280" s="82" t="s">
        <v>12476</v>
      </c>
      <c r="BD280" s="77">
        <v>20402910</v>
      </c>
      <c r="BE280" s="77"/>
      <c r="BF280" s="77"/>
      <c r="BG280" s="77"/>
      <c r="BH280" s="77"/>
      <c r="BI280" s="77"/>
    </row>
    <row r="281" spans="1:61" x14ac:dyDescent="0.25">
      <c r="A281" s="62" t="s">
        <v>320</v>
      </c>
      <c r="B281" s="62" t="s">
        <v>320</v>
      </c>
      <c r="C281" s="63"/>
      <c r="D281" s="64"/>
      <c r="E281" s="65"/>
      <c r="F281" s="66"/>
      <c r="G281" s="63"/>
      <c r="H281" s="67"/>
      <c r="I281" s="68"/>
      <c r="J281" s="68"/>
      <c r="K281" s="32"/>
      <c r="L281" s="75">
        <v>281</v>
      </c>
      <c r="M281" s="75"/>
      <c r="N281" s="70"/>
      <c r="O281" s="77" t="s">
        <v>179</v>
      </c>
      <c r="P281" s="79">
        <v>44978.787523148145</v>
      </c>
      <c r="Q281" s="77" t="s">
        <v>1397</v>
      </c>
      <c r="R281" s="77">
        <v>0</v>
      </c>
      <c r="S281" s="77">
        <v>0</v>
      </c>
      <c r="T281" s="77">
        <v>1</v>
      </c>
      <c r="U281" s="77">
        <v>0</v>
      </c>
      <c r="V281" s="77">
        <v>15</v>
      </c>
      <c r="W281" s="82" t="s">
        <v>4230</v>
      </c>
      <c r="X281" s="77"/>
      <c r="Y281" s="77"/>
      <c r="Z281" s="77"/>
      <c r="AA281" s="77"/>
      <c r="AB281" s="77"/>
      <c r="AC281" s="82" t="s">
        <v>7706</v>
      </c>
      <c r="AD281" s="77" t="s">
        <v>7745</v>
      </c>
      <c r="AE281" s="80" t="str">
        <f>HYPERLINK("https://twitter.com/greboucas/status/1628105783169646593")</f>
        <v>https://twitter.com/greboucas/status/1628105783169646593</v>
      </c>
      <c r="AF281" s="79">
        <v>44978.787523148145</v>
      </c>
      <c r="AG281" s="85">
        <v>44978</v>
      </c>
      <c r="AH281" s="82" t="s">
        <v>8024</v>
      </c>
      <c r="AI281" s="77"/>
      <c r="AJ281" s="77"/>
      <c r="AK281" s="77"/>
      <c r="AL281" s="77"/>
      <c r="AM281" s="77"/>
      <c r="AN281" s="77"/>
      <c r="AO281" s="77"/>
      <c r="AP281" s="77"/>
      <c r="AQ281" s="77"/>
      <c r="AR281" s="77"/>
      <c r="AS281" s="77"/>
      <c r="AT281" s="77"/>
      <c r="AU281" s="77"/>
      <c r="AV281" s="80" t="str">
        <f>HYPERLINK("https://pbs.twimg.com/profile_images/1629808776780951552/Fl1SNRlh_normal.jpg")</f>
        <v>https://pbs.twimg.com/profile_images/1629808776780951552/Fl1SNRlh_normal.jpg</v>
      </c>
      <c r="AW281" s="82" t="s">
        <v>12477</v>
      </c>
      <c r="AX281" s="82" t="s">
        <v>12477</v>
      </c>
      <c r="AY281" s="77"/>
      <c r="AZ281" s="82" t="s">
        <v>15804</v>
      </c>
      <c r="BA281" s="82" t="s">
        <v>15804</v>
      </c>
      <c r="BB281" s="82" t="s">
        <v>15804</v>
      </c>
      <c r="BC281" s="82" t="s">
        <v>12477</v>
      </c>
      <c r="BD281" s="77">
        <v>20402910</v>
      </c>
      <c r="BE281" s="77"/>
      <c r="BF281" s="77"/>
      <c r="BG281" s="77"/>
      <c r="BH281" s="77"/>
      <c r="BI281" s="77"/>
    </row>
    <row r="282" spans="1:61" x14ac:dyDescent="0.25">
      <c r="A282" s="62" t="s">
        <v>321</v>
      </c>
      <c r="B282" s="62" t="s">
        <v>321</v>
      </c>
      <c r="C282" s="63"/>
      <c r="D282" s="64"/>
      <c r="E282" s="65"/>
      <c r="F282" s="66"/>
      <c r="G282" s="63"/>
      <c r="H282" s="67"/>
      <c r="I282" s="68"/>
      <c r="J282" s="68"/>
      <c r="K282" s="32"/>
      <c r="L282" s="75">
        <v>282</v>
      </c>
      <c r="M282" s="75"/>
      <c r="N282" s="70"/>
      <c r="O282" s="77" t="s">
        <v>179</v>
      </c>
      <c r="P282" s="79">
        <v>45105.834224537037</v>
      </c>
      <c r="Q282" s="77" t="s">
        <v>1398</v>
      </c>
      <c r="R282" s="77">
        <v>0</v>
      </c>
      <c r="S282" s="77">
        <v>0</v>
      </c>
      <c r="T282" s="77">
        <v>0</v>
      </c>
      <c r="U282" s="77">
        <v>0</v>
      </c>
      <c r="V282" s="77">
        <v>10</v>
      </c>
      <c r="W282" s="82" t="s">
        <v>4231</v>
      </c>
      <c r="X282" s="77"/>
      <c r="Y282" s="77"/>
      <c r="Z282" s="77"/>
      <c r="AA282" s="77" t="s">
        <v>6267</v>
      </c>
      <c r="AB282" s="77" t="s">
        <v>7696</v>
      </c>
      <c r="AC282" s="82" t="s">
        <v>7716</v>
      </c>
      <c r="AD282" s="77" t="s">
        <v>7745</v>
      </c>
      <c r="AE282" s="80" t="str">
        <f>HYPERLINK("https://twitter.com/wagnergeremia/status/1674145966734147589")</f>
        <v>https://twitter.com/wagnergeremia/status/1674145966734147589</v>
      </c>
      <c r="AF282" s="79">
        <v>45105.834224537037</v>
      </c>
      <c r="AG282" s="85">
        <v>45105</v>
      </c>
      <c r="AH282" s="82" t="s">
        <v>8025</v>
      </c>
      <c r="AI282" s="77" t="b">
        <v>0</v>
      </c>
      <c r="AJ282" s="77"/>
      <c r="AK282" s="77"/>
      <c r="AL282" s="77"/>
      <c r="AM282" s="77"/>
      <c r="AN282" s="77"/>
      <c r="AO282" s="77"/>
      <c r="AP282" s="77"/>
      <c r="AQ282" s="77" t="s">
        <v>10774</v>
      </c>
      <c r="AR282" s="77"/>
      <c r="AS282" s="77"/>
      <c r="AT282" s="77"/>
      <c r="AU282" s="77"/>
      <c r="AV282" s="80" t="str">
        <f>HYPERLINK("https://pbs.twimg.com/media/FzvC4nPXgAIkXo2.jpg")</f>
        <v>https://pbs.twimg.com/media/FzvC4nPXgAIkXo2.jpg</v>
      </c>
      <c r="AW282" s="82" t="s">
        <v>12478</v>
      </c>
      <c r="AX282" s="82" t="s">
        <v>12478</v>
      </c>
      <c r="AY282" s="77"/>
      <c r="AZ282" s="82" t="s">
        <v>15804</v>
      </c>
      <c r="BA282" s="82" t="s">
        <v>15804</v>
      </c>
      <c r="BB282" s="82" t="s">
        <v>15804</v>
      </c>
      <c r="BC282" s="82" t="s">
        <v>12478</v>
      </c>
      <c r="BD282" s="77">
        <v>438488077</v>
      </c>
      <c r="BE282" s="77"/>
      <c r="BF282" s="77"/>
      <c r="BG282" s="77"/>
      <c r="BH282" s="77"/>
      <c r="BI282" s="77"/>
    </row>
    <row r="283" spans="1:61" x14ac:dyDescent="0.25">
      <c r="A283" s="62" t="s">
        <v>321</v>
      </c>
      <c r="B283" s="62" t="s">
        <v>321</v>
      </c>
      <c r="C283" s="63"/>
      <c r="D283" s="64"/>
      <c r="E283" s="65"/>
      <c r="F283" s="66"/>
      <c r="G283" s="63"/>
      <c r="H283" s="67"/>
      <c r="I283" s="68"/>
      <c r="J283" s="68"/>
      <c r="K283" s="32"/>
      <c r="L283" s="75">
        <v>283</v>
      </c>
      <c r="M283" s="75"/>
      <c r="N283" s="70"/>
      <c r="O283" s="77" t="s">
        <v>179</v>
      </c>
      <c r="P283" s="79">
        <v>45000.972384259258</v>
      </c>
      <c r="Q283" s="77" t="s">
        <v>1399</v>
      </c>
      <c r="R283" s="77">
        <v>0</v>
      </c>
      <c r="S283" s="77">
        <v>0</v>
      </c>
      <c r="T283" s="77">
        <v>0</v>
      </c>
      <c r="U283" s="77">
        <v>0</v>
      </c>
      <c r="V283" s="77">
        <v>1</v>
      </c>
      <c r="W283" s="82" t="s">
        <v>4232</v>
      </c>
      <c r="X283" s="80" t="str">
        <f>HYPERLINK("http://www.wagnergeremia.com")</f>
        <v>http://www.wagnergeremia.com</v>
      </c>
      <c r="Y283" s="77" t="s">
        <v>6017</v>
      </c>
      <c r="Z283" s="77"/>
      <c r="AA283" s="77" t="s">
        <v>6268</v>
      </c>
      <c r="AB283" s="77" t="s">
        <v>7696</v>
      </c>
      <c r="AC283" s="82" t="s">
        <v>7716</v>
      </c>
      <c r="AD283" s="77" t="s">
        <v>7745</v>
      </c>
      <c r="AE283" s="80" t="str">
        <f>HYPERLINK("https://twitter.com/wagnergeremia/status/1636145309301764096")</f>
        <v>https://twitter.com/wagnergeremia/status/1636145309301764096</v>
      </c>
      <c r="AF283" s="79">
        <v>45000.972384259258</v>
      </c>
      <c r="AG283" s="85">
        <v>45000</v>
      </c>
      <c r="AH283" s="82" t="s">
        <v>8026</v>
      </c>
      <c r="AI283" s="77" t="b">
        <v>0</v>
      </c>
      <c r="AJ283" s="77"/>
      <c r="AK283" s="77"/>
      <c r="AL283" s="77"/>
      <c r="AM283" s="77"/>
      <c r="AN283" s="77"/>
      <c r="AO283" s="77"/>
      <c r="AP283" s="77"/>
      <c r="AQ283" s="77" t="s">
        <v>10775</v>
      </c>
      <c r="AR283" s="77"/>
      <c r="AS283" s="77"/>
      <c r="AT283" s="77"/>
      <c r="AU283" s="77"/>
      <c r="AV283" s="80" t="str">
        <f>HYPERLINK("https://pbs.twimg.com/media/FrTBfPbWYAA14S2.jpg")</f>
        <v>https://pbs.twimg.com/media/FrTBfPbWYAA14S2.jpg</v>
      </c>
      <c r="AW283" s="82" t="s">
        <v>12479</v>
      </c>
      <c r="AX283" s="82" t="s">
        <v>12479</v>
      </c>
      <c r="AY283" s="77"/>
      <c r="AZ283" s="82" t="s">
        <v>15804</v>
      </c>
      <c r="BA283" s="82" t="s">
        <v>15804</v>
      </c>
      <c r="BB283" s="82" t="s">
        <v>15804</v>
      </c>
      <c r="BC283" s="82" t="s">
        <v>12479</v>
      </c>
      <c r="BD283" s="77">
        <v>438488077</v>
      </c>
      <c r="BE283" s="77"/>
      <c r="BF283" s="77"/>
      <c r="BG283" s="77"/>
      <c r="BH283" s="77"/>
      <c r="BI283" s="77"/>
    </row>
    <row r="284" spans="1:61" x14ac:dyDescent="0.25">
      <c r="A284" s="62" t="s">
        <v>321</v>
      </c>
      <c r="B284" s="62" t="s">
        <v>321</v>
      </c>
      <c r="C284" s="63"/>
      <c r="D284" s="64"/>
      <c r="E284" s="65"/>
      <c r="F284" s="66"/>
      <c r="G284" s="63"/>
      <c r="H284" s="67"/>
      <c r="I284" s="68"/>
      <c r="J284" s="68"/>
      <c r="K284" s="32"/>
      <c r="L284" s="75">
        <v>284</v>
      </c>
      <c r="M284" s="75"/>
      <c r="N284" s="70"/>
      <c r="O284" s="77" t="s">
        <v>179</v>
      </c>
      <c r="P284" s="79">
        <v>45000.971701388888</v>
      </c>
      <c r="Q284" s="77" t="s">
        <v>1400</v>
      </c>
      <c r="R284" s="77">
        <v>0</v>
      </c>
      <c r="S284" s="77">
        <v>0</v>
      </c>
      <c r="T284" s="77">
        <v>0</v>
      </c>
      <c r="U284" s="77">
        <v>0</v>
      </c>
      <c r="V284" s="77">
        <v>3</v>
      </c>
      <c r="W284" s="82" t="s">
        <v>4233</v>
      </c>
      <c r="X284" s="80" t="str">
        <f>HYPERLINK("http://www.wagnergeremia.com")</f>
        <v>http://www.wagnergeremia.com</v>
      </c>
      <c r="Y284" s="77" t="s">
        <v>6017</v>
      </c>
      <c r="Z284" s="77"/>
      <c r="AA284" s="77" t="s">
        <v>6269</v>
      </c>
      <c r="AB284" s="77" t="s">
        <v>7696</v>
      </c>
      <c r="AC284" s="82" t="s">
        <v>7716</v>
      </c>
      <c r="AD284" s="77" t="s">
        <v>7745</v>
      </c>
      <c r="AE284" s="80" t="str">
        <f>HYPERLINK("https://twitter.com/wagnergeremia/status/1636145063053934593")</f>
        <v>https://twitter.com/wagnergeremia/status/1636145063053934593</v>
      </c>
      <c r="AF284" s="79">
        <v>45000.971701388888</v>
      </c>
      <c r="AG284" s="85">
        <v>45000</v>
      </c>
      <c r="AH284" s="82" t="s">
        <v>8027</v>
      </c>
      <c r="AI284" s="77" t="b">
        <v>0</v>
      </c>
      <c r="AJ284" s="77"/>
      <c r="AK284" s="77"/>
      <c r="AL284" s="77"/>
      <c r="AM284" s="77"/>
      <c r="AN284" s="77"/>
      <c r="AO284" s="77"/>
      <c r="AP284" s="77"/>
      <c r="AQ284" s="77" t="s">
        <v>10776</v>
      </c>
      <c r="AR284" s="77"/>
      <c r="AS284" s="77"/>
      <c r="AT284" s="77"/>
      <c r="AU284" s="77"/>
      <c r="AV284" s="80" t="str">
        <f>HYPERLINK("https://pbs.twimg.com/media/FrTBQ66XsAEkuBo.jpg")</f>
        <v>https://pbs.twimg.com/media/FrTBQ66XsAEkuBo.jpg</v>
      </c>
      <c r="AW284" s="82" t="s">
        <v>12480</v>
      </c>
      <c r="AX284" s="82" t="s">
        <v>12480</v>
      </c>
      <c r="AY284" s="77"/>
      <c r="AZ284" s="82" t="s">
        <v>15804</v>
      </c>
      <c r="BA284" s="82" t="s">
        <v>15804</v>
      </c>
      <c r="BB284" s="82" t="s">
        <v>15804</v>
      </c>
      <c r="BC284" s="82" t="s">
        <v>12480</v>
      </c>
      <c r="BD284" s="77">
        <v>438488077</v>
      </c>
      <c r="BE284" s="77"/>
      <c r="BF284" s="77"/>
      <c r="BG284" s="77"/>
      <c r="BH284" s="77"/>
      <c r="BI284" s="77"/>
    </row>
    <row r="285" spans="1:61" x14ac:dyDescent="0.25">
      <c r="A285" s="62" t="s">
        <v>321</v>
      </c>
      <c r="B285" s="62" t="s">
        <v>321</v>
      </c>
      <c r="C285" s="63"/>
      <c r="D285" s="64"/>
      <c r="E285" s="65"/>
      <c r="F285" s="66"/>
      <c r="G285" s="63"/>
      <c r="H285" s="67"/>
      <c r="I285" s="68"/>
      <c r="J285" s="68"/>
      <c r="K285" s="32"/>
      <c r="L285" s="75">
        <v>285</v>
      </c>
      <c r="M285" s="75"/>
      <c r="N285" s="70"/>
      <c r="O285" s="77" t="s">
        <v>179</v>
      </c>
      <c r="P285" s="79">
        <v>45000.876631944448</v>
      </c>
      <c r="Q285" s="77" t="s">
        <v>1401</v>
      </c>
      <c r="R285" s="77">
        <v>0</v>
      </c>
      <c r="S285" s="77">
        <v>0</v>
      </c>
      <c r="T285" s="77">
        <v>0</v>
      </c>
      <c r="U285" s="77">
        <v>0</v>
      </c>
      <c r="V285" s="77">
        <v>6</v>
      </c>
      <c r="W285" s="82" t="s">
        <v>4232</v>
      </c>
      <c r="X285" s="77"/>
      <c r="Y285" s="77"/>
      <c r="Z285" s="77"/>
      <c r="AA285" s="77" t="s">
        <v>6270</v>
      </c>
      <c r="AB285" s="77" t="s">
        <v>7696</v>
      </c>
      <c r="AC285" s="82" t="s">
        <v>7716</v>
      </c>
      <c r="AD285" s="77" t="s">
        <v>7745</v>
      </c>
      <c r="AE285" s="80" t="str">
        <f>HYPERLINK("https://twitter.com/wagnergeremia/status/1636110609539534850")</f>
        <v>https://twitter.com/wagnergeremia/status/1636110609539534850</v>
      </c>
      <c r="AF285" s="79">
        <v>45000.876631944448</v>
      </c>
      <c r="AG285" s="85">
        <v>45000</v>
      </c>
      <c r="AH285" s="82" t="s">
        <v>8028</v>
      </c>
      <c r="AI285" s="77" t="b">
        <v>0</v>
      </c>
      <c r="AJ285" s="77"/>
      <c r="AK285" s="77"/>
      <c r="AL285" s="77"/>
      <c r="AM285" s="77"/>
      <c r="AN285" s="77"/>
      <c r="AO285" s="77"/>
      <c r="AP285" s="77"/>
      <c r="AQ285" s="77" t="s">
        <v>10777</v>
      </c>
      <c r="AR285" s="77"/>
      <c r="AS285" s="77"/>
      <c r="AT285" s="77"/>
      <c r="AU285" s="77"/>
      <c r="AV285" s="80" t="str">
        <f>HYPERLINK("https://pbs.twimg.com/media/FrSh7bDXsAgKdF0.jpg")</f>
        <v>https://pbs.twimg.com/media/FrSh7bDXsAgKdF0.jpg</v>
      </c>
      <c r="AW285" s="82" t="s">
        <v>12481</v>
      </c>
      <c r="AX285" s="82" t="s">
        <v>12481</v>
      </c>
      <c r="AY285" s="77"/>
      <c r="AZ285" s="82" t="s">
        <v>15804</v>
      </c>
      <c r="BA285" s="82" t="s">
        <v>15804</v>
      </c>
      <c r="BB285" s="82" t="s">
        <v>15804</v>
      </c>
      <c r="BC285" s="82" t="s">
        <v>12481</v>
      </c>
      <c r="BD285" s="77">
        <v>438488077</v>
      </c>
      <c r="BE285" s="77"/>
      <c r="BF285" s="77"/>
      <c r="BG285" s="77"/>
      <c r="BH285" s="77"/>
      <c r="BI285" s="77"/>
    </row>
    <row r="286" spans="1:61" x14ac:dyDescent="0.25">
      <c r="A286" s="62" t="s">
        <v>321</v>
      </c>
      <c r="B286" s="62" t="s">
        <v>321</v>
      </c>
      <c r="C286" s="63"/>
      <c r="D286" s="64"/>
      <c r="E286" s="65"/>
      <c r="F286" s="66"/>
      <c r="G286" s="63"/>
      <c r="H286" s="67"/>
      <c r="I286" s="68"/>
      <c r="J286" s="68"/>
      <c r="K286" s="32"/>
      <c r="L286" s="75">
        <v>286</v>
      </c>
      <c r="M286" s="75"/>
      <c r="N286" s="70"/>
      <c r="O286" s="77" t="s">
        <v>179</v>
      </c>
      <c r="P286" s="79">
        <v>45000.860601851855</v>
      </c>
      <c r="Q286" s="77" t="s">
        <v>1402</v>
      </c>
      <c r="R286" s="77">
        <v>0</v>
      </c>
      <c r="S286" s="77">
        <v>0</v>
      </c>
      <c r="T286" s="77">
        <v>0</v>
      </c>
      <c r="U286" s="77">
        <v>0</v>
      </c>
      <c r="V286" s="77">
        <v>8</v>
      </c>
      <c r="W286" s="82" t="s">
        <v>4231</v>
      </c>
      <c r="X286" s="80" t="str">
        <f>HYPERLINK("http://www.wagnergeremia.com")</f>
        <v>http://www.wagnergeremia.com</v>
      </c>
      <c r="Y286" s="77" t="s">
        <v>6017</v>
      </c>
      <c r="Z286" s="77"/>
      <c r="AA286" s="77" t="s">
        <v>6271</v>
      </c>
      <c r="AB286" s="77" t="s">
        <v>7696</v>
      </c>
      <c r="AC286" s="82" t="s">
        <v>7716</v>
      </c>
      <c r="AD286" s="77" t="s">
        <v>7745</v>
      </c>
      <c r="AE286" s="80" t="str">
        <f>HYPERLINK("https://twitter.com/wagnergeremia/status/1636104799048409091")</f>
        <v>https://twitter.com/wagnergeremia/status/1636104799048409091</v>
      </c>
      <c r="AF286" s="79">
        <v>45000.860601851855</v>
      </c>
      <c r="AG286" s="85">
        <v>45000</v>
      </c>
      <c r="AH286" s="82" t="s">
        <v>8029</v>
      </c>
      <c r="AI286" s="77" t="b">
        <v>0</v>
      </c>
      <c r="AJ286" s="77"/>
      <c r="AK286" s="77"/>
      <c r="AL286" s="77"/>
      <c r="AM286" s="77"/>
      <c r="AN286" s="77"/>
      <c r="AO286" s="77"/>
      <c r="AP286" s="77"/>
      <c r="AQ286" s="77" t="s">
        <v>10778</v>
      </c>
      <c r="AR286" s="77"/>
      <c r="AS286" s="77"/>
      <c r="AT286" s="77"/>
      <c r="AU286" s="77"/>
      <c r="AV286" s="80" t="str">
        <f>HYPERLINK("https://pbs.twimg.com/media/FrScpPcWAAICBb-.jpg")</f>
        <v>https://pbs.twimg.com/media/FrScpPcWAAICBb-.jpg</v>
      </c>
      <c r="AW286" s="82" t="s">
        <v>12482</v>
      </c>
      <c r="AX286" s="82" t="s">
        <v>12482</v>
      </c>
      <c r="AY286" s="77"/>
      <c r="AZ286" s="82" t="s">
        <v>15804</v>
      </c>
      <c r="BA286" s="82" t="s">
        <v>15804</v>
      </c>
      <c r="BB286" s="82" t="s">
        <v>15804</v>
      </c>
      <c r="BC286" s="82" t="s">
        <v>12482</v>
      </c>
      <c r="BD286" s="77">
        <v>438488077</v>
      </c>
      <c r="BE286" s="77"/>
      <c r="BF286" s="77"/>
      <c r="BG286" s="77"/>
      <c r="BH286" s="77"/>
      <c r="BI286" s="77"/>
    </row>
    <row r="287" spans="1:61" x14ac:dyDescent="0.25">
      <c r="A287" s="62" t="s">
        <v>321</v>
      </c>
      <c r="B287" s="62" t="s">
        <v>321</v>
      </c>
      <c r="C287" s="63"/>
      <c r="D287" s="64"/>
      <c r="E287" s="65"/>
      <c r="F287" s="66"/>
      <c r="G287" s="63"/>
      <c r="H287" s="67"/>
      <c r="I287" s="68"/>
      <c r="J287" s="68"/>
      <c r="K287" s="32"/>
      <c r="L287" s="75">
        <v>287</v>
      </c>
      <c r="M287" s="75"/>
      <c r="N287" s="70"/>
      <c r="O287" s="77" t="s">
        <v>179</v>
      </c>
      <c r="P287" s="79">
        <v>45000.860381944447</v>
      </c>
      <c r="Q287" s="77" t="s">
        <v>1403</v>
      </c>
      <c r="R287" s="77">
        <v>0</v>
      </c>
      <c r="S287" s="77">
        <v>0</v>
      </c>
      <c r="T287" s="77">
        <v>1</v>
      </c>
      <c r="U287" s="77">
        <v>0</v>
      </c>
      <c r="V287" s="77">
        <v>13</v>
      </c>
      <c r="W287" s="82" t="s">
        <v>4233</v>
      </c>
      <c r="X287" s="77"/>
      <c r="Y287" s="77"/>
      <c r="Z287" s="77"/>
      <c r="AA287" s="77" t="s">
        <v>6272</v>
      </c>
      <c r="AB287" s="77" t="s">
        <v>7696</v>
      </c>
      <c r="AC287" s="82" t="s">
        <v>7716</v>
      </c>
      <c r="AD287" s="77" t="s">
        <v>7745</v>
      </c>
      <c r="AE287" s="80" t="str">
        <f>HYPERLINK("https://twitter.com/wagnergeremia/status/1636104720736477187")</f>
        <v>https://twitter.com/wagnergeremia/status/1636104720736477187</v>
      </c>
      <c r="AF287" s="79">
        <v>45000.860381944447</v>
      </c>
      <c r="AG287" s="85">
        <v>45000</v>
      </c>
      <c r="AH287" s="82" t="s">
        <v>8030</v>
      </c>
      <c r="AI287" s="77" t="b">
        <v>0</v>
      </c>
      <c r="AJ287" s="77"/>
      <c r="AK287" s="77"/>
      <c r="AL287" s="77"/>
      <c r="AM287" s="77"/>
      <c r="AN287" s="77"/>
      <c r="AO287" s="77"/>
      <c r="AP287" s="77"/>
      <c r="AQ287" s="77" t="s">
        <v>10779</v>
      </c>
      <c r="AR287" s="77"/>
      <c r="AS287" s="77"/>
      <c r="AT287" s="77"/>
      <c r="AU287" s="77"/>
      <c r="AV287" s="80" t="str">
        <f>HYPERLINK("https://pbs.twimg.com/media/FrScko7WwAABt8Q.jpg")</f>
        <v>https://pbs.twimg.com/media/FrScko7WwAABt8Q.jpg</v>
      </c>
      <c r="AW287" s="82" t="s">
        <v>12483</v>
      </c>
      <c r="AX287" s="82" t="s">
        <v>12483</v>
      </c>
      <c r="AY287" s="77"/>
      <c r="AZ287" s="82" t="s">
        <v>15804</v>
      </c>
      <c r="BA287" s="82" t="s">
        <v>15804</v>
      </c>
      <c r="BB287" s="82" t="s">
        <v>15804</v>
      </c>
      <c r="BC287" s="82" t="s">
        <v>12483</v>
      </c>
      <c r="BD287" s="77">
        <v>438488077</v>
      </c>
      <c r="BE287" s="77"/>
      <c r="BF287" s="77"/>
      <c r="BG287" s="77"/>
      <c r="BH287" s="77"/>
      <c r="BI287" s="77"/>
    </row>
    <row r="288" spans="1:61" x14ac:dyDescent="0.25">
      <c r="A288" s="62" t="s">
        <v>321</v>
      </c>
      <c r="B288" s="62" t="s">
        <v>321</v>
      </c>
      <c r="C288" s="63"/>
      <c r="D288" s="64"/>
      <c r="E288" s="65"/>
      <c r="F288" s="66"/>
      <c r="G288" s="63"/>
      <c r="H288" s="67"/>
      <c r="I288" s="68"/>
      <c r="J288" s="68"/>
      <c r="K288" s="32"/>
      <c r="L288" s="75">
        <v>288</v>
      </c>
      <c r="M288" s="75"/>
      <c r="N288" s="70"/>
      <c r="O288" s="77" t="s">
        <v>179</v>
      </c>
      <c r="P288" s="79">
        <v>45150.917638888888</v>
      </c>
      <c r="Q288" s="77" t="s">
        <v>1404</v>
      </c>
      <c r="R288" s="77">
        <v>0</v>
      </c>
      <c r="S288" s="77">
        <v>1</v>
      </c>
      <c r="T288" s="77">
        <v>0</v>
      </c>
      <c r="U288" s="77">
        <v>0</v>
      </c>
      <c r="V288" s="77">
        <v>63</v>
      </c>
      <c r="W288" s="82" t="s">
        <v>4234</v>
      </c>
      <c r="X288" s="80" t="str">
        <f>HYPERLINK("http://www.wagnergeremia.com")</f>
        <v>http://www.wagnergeremia.com</v>
      </c>
      <c r="Y288" s="77" t="s">
        <v>6017</v>
      </c>
      <c r="Z288" s="77"/>
      <c r="AA288" s="77" t="s">
        <v>6273</v>
      </c>
      <c r="AB288" s="77" t="s">
        <v>7697</v>
      </c>
      <c r="AC288" s="82" t="s">
        <v>7716</v>
      </c>
      <c r="AD288" s="77" t="s">
        <v>7745</v>
      </c>
      <c r="AE288" s="80" t="str">
        <f>HYPERLINK("https://twitter.com/wagnergeremia/status/1690483650620477441")</f>
        <v>https://twitter.com/wagnergeremia/status/1690483650620477441</v>
      </c>
      <c r="AF288" s="79">
        <v>45150.917638888888</v>
      </c>
      <c r="AG288" s="85">
        <v>45150</v>
      </c>
      <c r="AH288" s="82" t="s">
        <v>8031</v>
      </c>
      <c r="AI288" s="77" t="b">
        <v>0</v>
      </c>
      <c r="AJ288" s="77"/>
      <c r="AK288" s="77"/>
      <c r="AL288" s="77"/>
      <c r="AM288" s="77"/>
      <c r="AN288" s="77"/>
      <c r="AO288" s="77"/>
      <c r="AP288" s="77"/>
      <c r="AQ288" s="77" t="s">
        <v>10780</v>
      </c>
      <c r="AR288" s="77">
        <v>56300</v>
      </c>
      <c r="AS288" s="77"/>
      <c r="AT288" s="77"/>
      <c r="AU288" s="77">
        <v>18</v>
      </c>
      <c r="AV288" s="80" t="str">
        <f>HYPERLINK("https://pbs.twimg.com/ext_tw_video_thumb/1690483581439643648/pu/img/p8v-f986tgh5sH-t.jpg")</f>
        <v>https://pbs.twimg.com/ext_tw_video_thumb/1690483581439643648/pu/img/p8v-f986tgh5sH-t.jpg</v>
      </c>
      <c r="AW288" s="82" t="s">
        <v>12484</v>
      </c>
      <c r="AX288" s="82" t="s">
        <v>12484</v>
      </c>
      <c r="AY288" s="77"/>
      <c r="AZ288" s="82" t="s">
        <v>15804</v>
      </c>
      <c r="BA288" s="82" t="s">
        <v>15804</v>
      </c>
      <c r="BB288" s="82" t="s">
        <v>15804</v>
      </c>
      <c r="BC288" s="82" t="s">
        <v>12484</v>
      </c>
      <c r="BD288" s="77">
        <v>438488077</v>
      </c>
      <c r="BE288" s="77"/>
      <c r="BF288" s="77"/>
      <c r="BG288" s="77"/>
      <c r="BH288" s="77"/>
      <c r="BI288" s="77"/>
    </row>
    <row r="289" spans="1:61" x14ac:dyDescent="0.25">
      <c r="A289" s="62" t="s">
        <v>321</v>
      </c>
      <c r="B289" s="62" t="s">
        <v>321</v>
      </c>
      <c r="C289" s="63"/>
      <c r="D289" s="64"/>
      <c r="E289" s="65"/>
      <c r="F289" s="66"/>
      <c r="G289" s="63"/>
      <c r="H289" s="67"/>
      <c r="I289" s="68"/>
      <c r="J289" s="68"/>
      <c r="K289" s="32"/>
      <c r="L289" s="75">
        <v>289</v>
      </c>
      <c r="M289" s="75"/>
      <c r="N289" s="70"/>
      <c r="O289" s="77" t="s">
        <v>179</v>
      </c>
      <c r="P289" s="79">
        <v>45149.918344907404</v>
      </c>
      <c r="Q289" s="77" t="s">
        <v>1405</v>
      </c>
      <c r="R289" s="77">
        <v>0</v>
      </c>
      <c r="S289" s="77">
        <v>1</v>
      </c>
      <c r="T289" s="77">
        <v>0</v>
      </c>
      <c r="U289" s="77">
        <v>0</v>
      </c>
      <c r="V289" s="77">
        <v>359</v>
      </c>
      <c r="W289" s="82" t="s">
        <v>4235</v>
      </c>
      <c r="X289" s="80" t="str">
        <f>HYPERLINK("http://www.wagnergeremia.com")</f>
        <v>http://www.wagnergeremia.com</v>
      </c>
      <c r="Y289" s="77" t="s">
        <v>6017</v>
      </c>
      <c r="Z289" s="77"/>
      <c r="AA289" s="77" t="s">
        <v>6274</v>
      </c>
      <c r="AB289" s="77" t="s">
        <v>7697</v>
      </c>
      <c r="AC289" s="82" t="s">
        <v>7716</v>
      </c>
      <c r="AD289" s="77" t="s">
        <v>7745</v>
      </c>
      <c r="AE289" s="80" t="str">
        <f>HYPERLINK("https://twitter.com/wagnergeremia/status/1690121519026827265")</f>
        <v>https://twitter.com/wagnergeremia/status/1690121519026827265</v>
      </c>
      <c r="AF289" s="79">
        <v>45149.918344907404</v>
      </c>
      <c r="AG289" s="85">
        <v>45149</v>
      </c>
      <c r="AH289" s="82" t="s">
        <v>8032</v>
      </c>
      <c r="AI289" s="77" t="b">
        <v>0</v>
      </c>
      <c r="AJ289" s="77"/>
      <c r="AK289" s="77"/>
      <c r="AL289" s="77"/>
      <c r="AM289" s="77"/>
      <c r="AN289" s="77"/>
      <c r="AO289" s="77"/>
      <c r="AP289" s="77"/>
      <c r="AQ289" s="77" t="s">
        <v>10781</v>
      </c>
      <c r="AR289" s="77">
        <v>51366</v>
      </c>
      <c r="AS289" s="77"/>
      <c r="AT289" s="77"/>
      <c r="AU289" s="77">
        <v>150</v>
      </c>
      <c r="AV289" s="80" t="str">
        <f>HYPERLINK("https://pbs.twimg.com/ext_tw_video_thumb/1690121452182200323/pu/img/5PFnLZcBa4ZIa8J0.jpg")</f>
        <v>https://pbs.twimg.com/ext_tw_video_thumb/1690121452182200323/pu/img/5PFnLZcBa4ZIa8J0.jpg</v>
      </c>
      <c r="AW289" s="82" t="s">
        <v>12485</v>
      </c>
      <c r="AX289" s="82" t="s">
        <v>12485</v>
      </c>
      <c r="AY289" s="77"/>
      <c r="AZ289" s="82" t="s">
        <v>15804</v>
      </c>
      <c r="BA289" s="82" t="s">
        <v>15804</v>
      </c>
      <c r="BB289" s="82" t="s">
        <v>15804</v>
      </c>
      <c r="BC289" s="82" t="s">
        <v>12485</v>
      </c>
      <c r="BD289" s="77">
        <v>438488077</v>
      </c>
      <c r="BE289" s="77"/>
      <c r="BF289" s="77"/>
      <c r="BG289" s="77"/>
      <c r="BH289" s="77"/>
      <c r="BI289" s="77"/>
    </row>
    <row r="290" spans="1:61" x14ac:dyDescent="0.25">
      <c r="A290" s="62" t="s">
        <v>321</v>
      </c>
      <c r="B290" s="62" t="s">
        <v>321</v>
      </c>
      <c r="C290" s="63"/>
      <c r="D290" s="64"/>
      <c r="E290" s="65"/>
      <c r="F290" s="66"/>
      <c r="G290" s="63"/>
      <c r="H290" s="67"/>
      <c r="I290" s="68"/>
      <c r="J290" s="68"/>
      <c r="K290" s="32"/>
      <c r="L290" s="75">
        <v>290</v>
      </c>
      <c r="M290" s="75"/>
      <c r="N290" s="70"/>
      <c r="O290" s="77" t="s">
        <v>179</v>
      </c>
      <c r="P290" s="79">
        <v>45076.546064814815</v>
      </c>
      <c r="Q290" s="77" t="s">
        <v>1406</v>
      </c>
      <c r="R290" s="77">
        <v>0</v>
      </c>
      <c r="S290" s="77">
        <v>0</v>
      </c>
      <c r="T290" s="77">
        <v>0</v>
      </c>
      <c r="U290" s="77">
        <v>0</v>
      </c>
      <c r="V290" s="77">
        <v>15</v>
      </c>
      <c r="W290" s="82" t="s">
        <v>4233</v>
      </c>
      <c r="X290" s="80" t="str">
        <f>HYPERLINK("http://www.wagnergeremia.com")</f>
        <v>http://www.wagnergeremia.com</v>
      </c>
      <c r="Y290" s="77" t="s">
        <v>6017</v>
      </c>
      <c r="Z290" s="77"/>
      <c r="AA290" s="77" t="s">
        <v>6275</v>
      </c>
      <c r="AB290" s="77" t="s">
        <v>7696</v>
      </c>
      <c r="AC290" s="82" t="s">
        <v>7716</v>
      </c>
      <c r="AD290" s="77" t="s">
        <v>7745</v>
      </c>
      <c r="AE290" s="80" t="str">
        <f>HYPERLINK("https://twitter.com/wagnergeremia/status/1663532293183422467")</f>
        <v>https://twitter.com/wagnergeremia/status/1663532293183422467</v>
      </c>
      <c r="AF290" s="79">
        <v>45076.546064814815</v>
      </c>
      <c r="AG290" s="85">
        <v>45076</v>
      </c>
      <c r="AH290" s="82" t="s">
        <v>8033</v>
      </c>
      <c r="AI290" s="77" t="b">
        <v>0</v>
      </c>
      <c r="AJ290" s="77"/>
      <c r="AK290" s="77"/>
      <c r="AL290" s="77"/>
      <c r="AM290" s="77"/>
      <c r="AN290" s="77"/>
      <c r="AO290" s="77"/>
      <c r="AP290" s="77"/>
      <c r="AQ290" s="77" t="s">
        <v>10782</v>
      </c>
      <c r="AR290" s="77"/>
      <c r="AS290" s="77"/>
      <c r="AT290" s="77"/>
      <c r="AU290" s="77"/>
      <c r="AV290" s="80" t="str">
        <f>HYPERLINK("https://pbs.twimg.com/media/FxYNzfsXoAEqOXx.jpg")</f>
        <v>https://pbs.twimg.com/media/FxYNzfsXoAEqOXx.jpg</v>
      </c>
      <c r="AW290" s="82" t="s">
        <v>12486</v>
      </c>
      <c r="AX290" s="82" t="s">
        <v>12486</v>
      </c>
      <c r="AY290" s="77"/>
      <c r="AZ290" s="82" t="s">
        <v>15804</v>
      </c>
      <c r="BA290" s="82" t="s">
        <v>15804</v>
      </c>
      <c r="BB290" s="82" t="s">
        <v>15804</v>
      </c>
      <c r="BC290" s="82" t="s">
        <v>12486</v>
      </c>
      <c r="BD290" s="77">
        <v>438488077</v>
      </c>
      <c r="BE290" s="77"/>
      <c r="BF290" s="77"/>
      <c r="BG290" s="77"/>
      <c r="BH290" s="77"/>
      <c r="BI290" s="77"/>
    </row>
    <row r="291" spans="1:61" x14ac:dyDescent="0.25">
      <c r="A291" s="62" t="s">
        <v>321</v>
      </c>
      <c r="B291" s="62" t="s">
        <v>321</v>
      </c>
      <c r="C291" s="63"/>
      <c r="D291" s="64"/>
      <c r="E291" s="65"/>
      <c r="F291" s="66"/>
      <c r="G291" s="63"/>
      <c r="H291" s="67"/>
      <c r="I291" s="68"/>
      <c r="J291" s="68"/>
      <c r="K291" s="32"/>
      <c r="L291" s="75">
        <v>291</v>
      </c>
      <c r="M291" s="75"/>
      <c r="N291" s="70"/>
      <c r="O291" s="77" t="s">
        <v>179</v>
      </c>
      <c r="P291" s="79">
        <v>45155.625891203701</v>
      </c>
      <c r="Q291" s="77" t="s">
        <v>1407</v>
      </c>
      <c r="R291" s="77">
        <v>0</v>
      </c>
      <c r="S291" s="77">
        <v>0</v>
      </c>
      <c r="T291" s="77">
        <v>0</v>
      </c>
      <c r="U291" s="77">
        <v>0</v>
      </c>
      <c r="V291" s="77">
        <v>28</v>
      </c>
      <c r="W291" s="82" t="s">
        <v>4236</v>
      </c>
      <c r="X291" s="80" t="str">
        <f>HYPERLINK("http://www.wagnergeremia.com")</f>
        <v>http://www.wagnergeremia.com</v>
      </c>
      <c r="Y291" s="77" t="s">
        <v>6017</v>
      </c>
      <c r="Z291" s="77"/>
      <c r="AA291" s="77" t="s">
        <v>6276</v>
      </c>
      <c r="AB291" s="77" t="s">
        <v>7697</v>
      </c>
      <c r="AC291" s="82" t="s">
        <v>7716</v>
      </c>
      <c r="AD291" s="77" t="s">
        <v>7745</v>
      </c>
      <c r="AE291" s="80" t="str">
        <f>HYPERLINK("https://twitter.com/wagnergeremia/status/1692189862705676687")</f>
        <v>https://twitter.com/wagnergeremia/status/1692189862705676687</v>
      </c>
      <c r="AF291" s="79">
        <v>45155.625891203701</v>
      </c>
      <c r="AG291" s="85">
        <v>45155</v>
      </c>
      <c r="AH291" s="82" t="s">
        <v>8034</v>
      </c>
      <c r="AI291" s="77" t="b">
        <v>0</v>
      </c>
      <c r="AJ291" s="77"/>
      <c r="AK291" s="77"/>
      <c r="AL291" s="77"/>
      <c r="AM291" s="77"/>
      <c r="AN291" s="77"/>
      <c r="AO291" s="77"/>
      <c r="AP291" s="77"/>
      <c r="AQ291" s="77" t="s">
        <v>10783</v>
      </c>
      <c r="AR291" s="77">
        <v>36633</v>
      </c>
      <c r="AS291" s="77"/>
      <c r="AT291" s="77"/>
      <c r="AU291" s="77">
        <v>8</v>
      </c>
      <c r="AV291" s="80" t="str">
        <f>HYPERLINK("https://pbs.twimg.com/ext_tw_video_thumb/1692189804895612929/pu/img/vMh9BGT5hSEkrCQ5.jpg")</f>
        <v>https://pbs.twimg.com/ext_tw_video_thumb/1692189804895612929/pu/img/vMh9BGT5hSEkrCQ5.jpg</v>
      </c>
      <c r="AW291" s="82" t="s">
        <v>12487</v>
      </c>
      <c r="AX291" s="82" t="s">
        <v>12487</v>
      </c>
      <c r="AY291" s="77"/>
      <c r="AZ291" s="82" t="s">
        <v>15804</v>
      </c>
      <c r="BA291" s="82" t="s">
        <v>15804</v>
      </c>
      <c r="BB291" s="82" t="s">
        <v>15804</v>
      </c>
      <c r="BC291" s="82" t="s">
        <v>12487</v>
      </c>
      <c r="BD291" s="77">
        <v>438488077</v>
      </c>
      <c r="BE291" s="77"/>
      <c r="BF291" s="77"/>
      <c r="BG291" s="77"/>
      <c r="BH291" s="77"/>
      <c r="BI291" s="77"/>
    </row>
    <row r="292" spans="1:61" x14ac:dyDescent="0.25">
      <c r="A292" s="62" t="s">
        <v>321</v>
      </c>
      <c r="B292" s="62" t="s">
        <v>321</v>
      </c>
      <c r="C292" s="63"/>
      <c r="D292" s="64"/>
      <c r="E292" s="65"/>
      <c r="F292" s="66"/>
      <c r="G292" s="63"/>
      <c r="H292" s="67"/>
      <c r="I292" s="68"/>
      <c r="J292" s="68"/>
      <c r="K292" s="32"/>
      <c r="L292" s="75">
        <v>292</v>
      </c>
      <c r="M292" s="75"/>
      <c r="N292" s="70"/>
      <c r="O292" s="77" t="s">
        <v>179</v>
      </c>
      <c r="P292" s="79">
        <v>45154.917905092596</v>
      </c>
      <c r="Q292" s="77" t="s">
        <v>1408</v>
      </c>
      <c r="R292" s="77">
        <v>0</v>
      </c>
      <c r="S292" s="77">
        <v>2</v>
      </c>
      <c r="T292" s="77">
        <v>0</v>
      </c>
      <c r="U292" s="77">
        <v>0</v>
      </c>
      <c r="V292" s="77">
        <v>245</v>
      </c>
      <c r="W292" s="82" t="s">
        <v>4237</v>
      </c>
      <c r="X292" s="80" t="str">
        <f>HYPERLINK("http://www.wagnergeremia.com")</f>
        <v>http://www.wagnergeremia.com</v>
      </c>
      <c r="Y292" s="77" t="s">
        <v>6017</v>
      </c>
      <c r="Z292" s="77"/>
      <c r="AA292" s="77" t="s">
        <v>6277</v>
      </c>
      <c r="AB292" s="77" t="s">
        <v>7697</v>
      </c>
      <c r="AC292" s="82" t="s">
        <v>7716</v>
      </c>
      <c r="AD292" s="77" t="s">
        <v>7745</v>
      </c>
      <c r="AE292" s="80" t="str">
        <f>HYPERLINK("https://twitter.com/wagnergeremia/status/1691933297570381939")</f>
        <v>https://twitter.com/wagnergeremia/status/1691933297570381939</v>
      </c>
      <c r="AF292" s="79">
        <v>45154.917905092596</v>
      </c>
      <c r="AG292" s="85">
        <v>45154</v>
      </c>
      <c r="AH292" s="82" t="s">
        <v>8035</v>
      </c>
      <c r="AI292" s="77" t="b">
        <v>0</v>
      </c>
      <c r="AJ292" s="77"/>
      <c r="AK292" s="77"/>
      <c r="AL292" s="77"/>
      <c r="AM292" s="77"/>
      <c r="AN292" s="77"/>
      <c r="AO292" s="77"/>
      <c r="AP292" s="77"/>
      <c r="AQ292" s="77" t="s">
        <v>10784</v>
      </c>
      <c r="AR292" s="77">
        <v>53800</v>
      </c>
      <c r="AS292" s="77"/>
      <c r="AT292" s="77"/>
      <c r="AU292" s="77">
        <v>73</v>
      </c>
      <c r="AV292" s="80" t="str">
        <f>HYPERLINK("https://pbs.twimg.com/ext_tw_video_thumb/1691933186232590336/pu/img/VenX2vQsCluu4veP.jpg")</f>
        <v>https://pbs.twimg.com/ext_tw_video_thumb/1691933186232590336/pu/img/VenX2vQsCluu4veP.jpg</v>
      </c>
      <c r="AW292" s="82" t="s">
        <v>12488</v>
      </c>
      <c r="AX292" s="82" t="s">
        <v>12488</v>
      </c>
      <c r="AY292" s="77"/>
      <c r="AZ292" s="82" t="s">
        <v>15804</v>
      </c>
      <c r="BA292" s="82" t="s">
        <v>15804</v>
      </c>
      <c r="BB292" s="82" t="s">
        <v>15804</v>
      </c>
      <c r="BC292" s="82" t="s">
        <v>12488</v>
      </c>
      <c r="BD292" s="77">
        <v>438488077</v>
      </c>
      <c r="BE292" s="77"/>
      <c r="BF292" s="77"/>
      <c r="BG292" s="77"/>
      <c r="BH292" s="77"/>
      <c r="BI292" s="77"/>
    </row>
    <row r="293" spans="1:61" x14ac:dyDescent="0.25">
      <c r="A293" s="62" t="s">
        <v>321</v>
      </c>
      <c r="B293" s="62" t="s">
        <v>321</v>
      </c>
      <c r="C293" s="63"/>
      <c r="D293" s="64"/>
      <c r="E293" s="65"/>
      <c r="F293" s="66"/>
      <c r="G293" s="63"/>
      <c r="H293" s="67"/>
      <c r="I293" s="68"/>
      <c r="J293" s="68"/>
      <c r="K293" s="32"/>
      <c r="L293" s="75">
        <v>293</v>
      </c>
      <c r="M293" s="75"/>
      <c r="N293" s="70"/>
      <c r="O293" s="77" t="s">
        <v>179</v>
      </c>
      <c r="P293" s="79">
        <v>45007.735671296294</v>
      </c>
      <c r="Q293" s="77" t="s">
        <v>1409</v>
      </c>
      <c r="R293" s="77">
        <v>0</v>
      </c>
      <c r="S293" s="77">
        <v>0</v>
      </c>
      <c r="T293" s="77">
        <v>0</v>
      </c>
      <c r="U293" s="77">
        <v>0</v>
      </c>
      <c r="V293" s="77">
        <v>9</v>
      </c>
      <c r="W293" s="82" t="s">
        <v>4238</v>
      </c>
      <c r="X293" s="80" t="str">
        <f>HYPERLINK("http://www.wagnergeremia.com")</f>
        <v>http://www.wagnergeremia.com</v>
      </c>
      <c r="Y293" s="77" t="s">
        <v>6017</v>
      </c>
      <c r="Z293" s="77"/>
      <c r="AA293" s="77" t="s">
        <v>6278</v>
      </c>
      <c r="AB293" s="77" t="s">
        <v>7696</v>
      </c>
      <c r="AC293" s="82" t="s">
        <v>7716</v>
      </c>
      <c r="AD293" s="77" t="s">
        <v>7745</v>
      </c>
      <c r="AE293" s="80" t="str">
        <f>HYPERLINK("https://twitter.com/wagnergeremia/status/1638596243021602831")</f>
        <v>https://twitter.com/wagnergeremia/status/1638596243021602831</v>
      </c>
      <c r="AF293" s="79">
        <v>45007.735671296294</v>
      </c>
      <c r="AG293" s="85">
        <v>45007</v>
      </c>
      <c r="AH293" s="82" t="s">
        <v>8036</v>
      </c>
      <c r="AI293" s="77" t="b">
        <v>0</v>
      </c>
      <c r="AJ293" s="77"/>
      <c r="AK293" s="77"/>
      <c r="AL293" s="77"/>
      <c r="AM293" s="77"/>
      <c r="AN293" s="77"/>
      <c r="AO293" s="77"/>
      <c r="AP293" s="77"/>
      <c r="AQ293" s="77" t="s">
        <v>10785</v>
      </c>
      <c r="AR293" s="77"/>
      <c r="AS293" s="77"/>
      <c r="AT293" s="77"/>
      <c r="AU293" s="77"/>
      <c r="AV293" s="80" t="str">
        <f>HYPERLINK("https://pbs.twimg.com/media/Fr12mVJXoBQ6tms.jpg")</f>
        <v>https://pbs.twimg.com/media/Fr12mVJXoBQ6tms.jpg</v>
      </c>
      <c r="AW293" s="82" t="s">
        <v>12489</v>
      </c>
      <c r="AX293" s="82" t="s">
        <v>12489</v>
      </c>
      <c r="AY293" s="77"/>
      <c r="AZ293" s="82" t="s">
        <v>15804</v>
      </c>
      <c r="BA293" s="82" t="s">
        <v>15804</v>
      </c>
      <c r="BB293" s="82" t="s">
        <v>15804</v>
      </c>
      <c r="BC293" s="82" t="s">
        <v>12489</v>
      </c>
      <c r="BD293" s="77">
        <v>438488077</v>
      </c>
      <c r="BE293" s="77"/>
      <c r="BF293" s="77"/>
      <c r="BG293" s="77"/>
      <c r="BH293" s="77"/>
      <c r="BI293" s="77"/>
    </row>
    <row r="294" spans="1:61" x14ac:dyDescent="0.25">
      <c r="A294" s="62" t="s">
        <v>321</v>
      </c>
      <c r="B294" s="62" t="s">
        <v>321</v>
      </c>
      <c r="C294" s="63"/>
      <c r="D294" s="64"/>
      <c r="E294" s="65"/>
      <c r="F294" s="66"/>
      <c r="G294" s="63"/>
      <c r="H294" s="67"/>
      <c r="I294" s="68"/>
      <c r="J294" s="68"/>
      <c r="K294" s="32"/>
      <c r="L294" s="75">
        <v>294</v>
      </c>
      <c r="M294" s="75"/>
      <c r="N294" s="70"/>
      <c r="O294" s="77" t="s">
        <v>179</v>
      </c>
      <c r="P294" s="79">
        <v>45159.459872685184</v>
      </c>
      <c r="Q294" s="77" t="s">
        <v>1410</v>
      </c>
      <c r="R294" s="77">
        <v>0</v>
      </c>
      <c r="S294" s="77">
        <v>0</v>
      </c>
      <c r="T294" s="77">
        <v>0</v>
      </c>
      <c r="U294" s="77">
        <v>0</v>
      </c>
      <c r="V294" s="77">
        <v>65</v>
      </c>
      <c r="W294" s="82" t="s">
        <v>4234</v>
      </c>
      <c r="X294" s="80" t="str">
        <f>HYPERLINK("http://www.wagnergeremia.com")</f>
        <v>http://www.wagnergeremia.com</v>
      </c>
      <c r="Y294" s="77" t="s">
        <v>6017</v>
      </c>
      <c r="Z294" s="77"/>
      <c r="AA294" s="77" t="s">
        <v>6279</v>
      </c>
      <c r="AB294" s="77" t="s">
        <v>7697</v>
      </c>
      <c r="AC294" s="82" t="s">
        <v>7716</v>
      </c>
      <c r="AD294" s="77" t="s">
        <v>7745</v>
      </c>
      <c r="AE294" s="80" t="str">
        <f>HYPERLINK("https://twitter.com/wagnergeremia/status/1693579252942119111")</f>
        <v>https://twitter.com/wagnergeremia/status/1693579252942119111</v>
      </c>
      <c r="AF294" s="79">
        <v>45159.459872685184</v>
      </c>
      <c r="AG294" s="85">
        <v>45159</v>
      </c>
      <c r="AH294" s="82" t="s">
        <v>8037</v>
      </c>
      <c r="AI294" s="77" t="b">
        <v>0</v>
      </c>
      <c r="AJ294" s="77"/>
      <c r="AK294" s="77"/>
      <c r="AL294" s="77"/>
      <c r="AM294" s="77"/>
      <c r="AN294" s="77"/>
      <c r="AO294" s="77"/>
      <c r="AP294" s="77"/>
      <c r="AQ294" s="77" t="s">
        <v>10786</v>
      </c>
      <c r="AR294" s="77">
        <v>38633</v>
      </c>
      <c r="AS294" s="77"/>
      <c r="AT294" s="77"/>
      <c r="AU294" s="77">
        <v>21</v>
      </c>
      <c r="AV294" s="80" t="str">
        <f>HYPERLINK("https://pbs.twimg.com/ext_tw_video_thumb/1693579192544202752/pu/img/k_RIEX688F86AaYR.jpg")</f>
        <v>https://pbs.twimg.com/ext_tw_video_thumb/1693579192544202752/pu/img/k_RIEX688F86AaYR.jpg</v>
      </c>
      <c r="AW294" s="82" t="s">
        <v>12490</v>
      </c>
      <c r="AX294" s="82" t="s">
        <v>12490</v>
      </c>
      <c r="AY294" s="77"/>
      <c r="AZ294" s="82" t="s">
        <v>15804</v>
      </c>
      <c r="BA294" s="82" t="s">
        <v>15804</v>
      </c>
      <c r="BB294" s="82" t="s">
        <v>15804</v>
      </c>
      <c r="BC294" s="82" t="s">
        <v>12490</v>
      </c>
      <c r="BD294" s="77">
        <v>438488077</v>
      </c>
      <c r="BE294" s="77"/>
      <c r="BF294" s="77"/>
      <c r="BG294" s="77"/>
      <c r="BH294" s="77"/>
      <c r="BI294" s="77"/>
    </row>
    <row r="295" spans="1:61" x14ac:dyDescent="0.25">
      <c r="A295" s="62" t="s">
        <v>321</v>
      </c>
      <c r="B295" s="62" t="s">
        <v>321</v>
      </c>
      <c r="C295" s="63"/>
      <c r="D295" s="64"/>
      <c r="E295" s="65"/>
      <c r="F295" s="66"/>
      <c r="G295" s="63"/>
      <c r="H295" s="67"/>
      <c r="I295" s="68"/>
      <c r="J295" s="68"/>
      <c r="K295" s="32"/>
      <c r="L295" s="75">
        <v>295</v>
      </c>
      <c r="M295" s="75"/>
      <c r="N295" s="70"/>
      <c r="O295" s="77" t="s">
        <v>179</v>
      </c>
      <c r="P295" s="79">
        <v>45153.917743055557</v>
      </c>
      <c r="Q295" s="77" t="s">
        <v>1411</v>
      </c>
      <c r="R295" s="77">
        <v>0</v>
      </c>
      <c r="S295" s="77">
        <v>1</v>
      </c>
      <c r="T295" s="77">
        <v>0</v>
      </c>
      <c r="U295" s="77">
        <v>0</v>
      </c>
      <c r="V295" s="77">
        <v>56</v>
      </c>
      <c r="W295" s="82" t="s">
        <v>4234</v>
      </c>
      <c r="X295" s="80" t="str">
        <f>HYPERLINK("http://www.wagnergeremia.com")</f>
        <v>http://www.wagnergeremia.com</v>
      </c>
      <c r="Y295" s="77" t="s">
        <v>6017</v>
      </c>
      <c r="Z295" s="77"/>
      <c r="AA295" s="77" t="s">
        <v>6280</v>
      </c>
      <c r="AB295" s="77" t="s">
        <v>7697</v>
      </c>
      <c r="AC295" s="82" t="s">
        <v>7716</v>
      </c>
      <c r="AD295" s="77" t="s">
        <v>7745</v>
      </c>
      <c r="AE295" s="80" t="str">
        <f>HYPERLINK("https://twitter.com/wagnergeremia/status/1691570849860501973")</f>
        <v>https://twitter.com/wagnergeremia/status/1691570849860501973</v>
      </c>
      <c r="AF295" s="79">
        <v>45153.917743055557</v>
      </c>
      <c r="AG295" s="85">
        <v>45153</v>
      </c>
      <c r="AH295" s="82" t="s">
        <v>8038</v>
      </c>
      <c r="AI295" s="77" t="b">
        <v>0</v>
      </c>
      <c r="AJ295" s="77"/>
      <c r="AK295" s="77"/>
      <c r="AL295" s="77"/>
      <c r="AM295" s="77"/>
      <c r="AN295" s="77"/>
      <c r="AO295" s="77"/>
      <c r="AP295" s="77"/>
      <c r="AQ295" s="77" t="s">
        <v>10787</v>
      </c>
      <c r="AR295" s="77">
        <v>50500</v>
      </c>
      <c r="AS295" s="77"/>
      <c r="AT295" s="77"/>
      <c r="AU295" s="77">
        <v>13</v>
      </c>
      <c r="AV295" s="80" t="str">
        <f>HYPERLINK("https://pbs.twimg.com/ext_tw_video_thumb/1691570778842533888/pu/img/UD-yibBYHf9uuUEW.jpg")</f>
        <v>https://pbs.twimg.com/ext_tw_video_thumb/1691570778842533888/pu/img/UD-yibBYHf9uuUEW.jpg</v>
      </c>
      <c r="AW295" s="82" t="s">
        <v>12491</v>
      </c>
      <c r="AX295" s="82" t="s">
        <v>12491</v>
      </c>
      <c r="AY295" s="77"/>
      <c r="AZ295" s="82" t="s">
        <v>15804</v>
      </c>
      <c r="BA295" s="82" t="s">
        <v>15804</v>
      </c>
      <c r="BB295" s="82" t="s">
        <v>15804</v>
      </c>
      <c r="BC295" s="82" t="s">
        <v>12491</v>
      </c>
      <c r="BD295" s="77">
        <v>438488077</v>
      </c>
      <c r="BE295" s="77"/>
      <c r="BF295" s="77"/>
      <c r="BG295" s="77"/>
      <c r="BH295" s="77"/>
      <c r="BI295" s="77"/>
    </row>
    <row r="296" spans="1:61" x14ac:dyDescent="0.25">
      <c r="A296" s="62" t="s">
        <v>321</v>
      </c>
      <c r="B296" s="62" t="s">
        <v>321</v>
      </c>
      <c r="C296" s="63"/>
      <c r="D296" s="64"/>
      <c r="E296" s="65"/>
      <c r="F296" s="66"/>
      <c r="G296" s="63"/>
      <c r="H296" s="67"/>
      <c r="I296" s="68"/>
      <c r="J296" s="68"/>
      <c r="K296" s="32"/>
      <c r="L296" s="75">
        <v>296</v>
      </c>
      <c r="M296" s="75"/>
      <c r="N296" s="70"/>
      <c r="O296" s="77" t="s">
        <v>179</v>
      </c>
      <c r="P296" s="79">
        <v>45146.644745370373</v>
      </c>
      <c r="Q296" s="77" t="s">
        <v>1412</v>
      </c>
      <c r="R296" s="77">
        <v>0</v>
      </c>
      <c r="S296" s="77">
        <v>1</v>
      </c>
      <c r="T296" s="77">
        <v>0</v>
      </c>
      <c r="U296" s="77">
        <v>0</v>
      </c>
      <c r="V296" s="77">
        <v>51</v>
      </c>
      <c r="W296" s="82" t="s">
        <v>4232</v>
      </c>
      <c r="X296" s="77"/>
      <c r="Y296" s="77"/>
      <c r="Z296" s="77"/>
      <c r="AA296" s="77" t="s">
        <v>6281</v>
      </c>
      <c r="AB296" s="77" t="s">
        <v>7697</v>
      </c>
      <c r="AC296" s="82" t="s">
        <v>7716</v>
      </c>
      <c r="AD296" s="77" t="s">
        <v>7745</v>
      </c>
      <c r="AE296" s="80" t="str">
        <f>HYPERLINK("https://twitter.com/wagnergeremia/status/1688935204092604416")</f>
        <v>https://twitter.com/wagnergeremia/status/1688935204092604416</v>
      </c>
      <c r="AF296" s="79">
        <v>45146.644745370373</v>
      </c>
      <c r="AG296" s="85">
        <v>45146</v>
      </c>
      <c r="AH296" s="82" t="s">
        <v>8039</v>
      </c>
      <c r="AI296" s="77" t="b">
        <v>0</v>
      </c>
      <c r="AJ296" s="77"/>
      <c r="AK296" s="77"/>
      <c r="AL296" s="77"/>
      <c r="AM296" s="77"/>
      <c r="AN296" s="77"/>
      <c r="AO296" s="77"/>
      <c r="AP296" s="77"/>
      <c r="AQ296" s="77" t="s">
        <v>10788</v>
      </c>
      <c r="AR296" s="77">
        <v>48266</v>
      </c>
      <c r="AS296" s="77"/>
      <c r="AT296" s="77"/>
      <c r="AU296" s="77">
        <v>19</v>
      </c>
      <c r="AV296" s="80" t="str">
        <f>HYPERLINK("https://pbs.twimg.com/ext_tw_video_thumb/1688935095657218049/pu/img/CRopdIfiv1mmOeY8.jpg")</f>
        <v>https://pbs.twimg.com/ext_tw_video_thumb/1688935095657218049/pu/img/CRopdIfiv1mmOeY8.jpg</v>
      </c>
      <c r="AW296" s="82" t="s">
        <v>12492</v>
      </c>
      <c r="AX296" s="82" t="s">
        <v>12492</v>
      </c>
      <c r="AY296" s="77"/>
      <c r="AZ296" s="82" t="s">
        <v>15804</v>
      </c>
      <c r="BA296" s="82" t="s">
        <v>15804</v>
      </c>
      <c r="BB296" s="82" t="s">
        <v>15804</v>
      </c>
      <c r="BC296" s="82" t="s">
        <v>12492</v>
      </c>
      <c r="BD296" s="77">
        <v>438488077</v>
      </c>
      <c r="BE296" s="77"/>
      <c r="BF296" s="77"/>
      <c r="BG296" s="77"/>
      <c r="BH296" s="77"/>
      <c r="BI296" s="77"/>
    </row>
    <row r="297" spans="1:61" x14ac:dyDescent="0.25">
      <c r="A297" s="62" t="s">
        <v>321</v>
      </c>
      <c r="B297" s="62" t="s">
        <v>321</v>
      </c>
      <c r="C297" s="63"/>
      <c r="D297" s="64"/>
      <c r="E297" s="65"/>
      <c r="F297" s="66"/>
      <c r="G297" s="63"/>
      <c r="H297" s="67"/>
      <c r="I297" s="68"/>
      <c r="J297" s="68"/>
      <c r="K297" s="32"/>
      <c r="L297" s="75">
        <v>297</v>
      </c>
      <c r="M297" s="75"/>
      <c r="N297" s="70"/>
      <c r="O297" s="77" t="s">
        <v>179</v>
      </c>
      <c r="P297" s="79">
        <v>45146.640625</v>
      </c>
      <c r="Q297" s="77" t="s">
        <v>1413</v>
      </c>
      <c r="R297" s="77">
        <v>0</v>
      </c>
      <c r="S297" s="77">
        <v>0</v>
      </c>
      <c r="T297" s="77">
        <v>0</v>
      </c>
      <c r="U297" s="77">
        <v>0</v>
      </c>
      <c r="V297" s="77">
        <v>62</v>
      </c>
      <c r="W297" s="82" t="s">
        <v>4239</v>
      </c>
      <c r="X297" s="77"/>
      <c r="Y297" s="77"/>
      <c r="Z297" s="77"/>
      <c r="AA297" s="77" t="s">
        <v>6282</v>
      </c>
      <c r="AB297" s="77" t="s">
        <v>7697</v>
      </c>
      <c r="AC297" s="82" t="s">
        <v>7716</v>
      </c>
      <c r="AD297" s="77" t="s">
        <v>7745</v>
      </c>
      <c r="AE297" s="80" t="str">
        <f>HYPERLINK("https://twitter.com/wagnergeremia/status/1688933714204479489")</f>
        <v>https://twitter.com/wagnergeremia/status/1688933714204479489</v>
      </c>
      <c r="AF297" s="79">
        <v>45146.640625</v>
      </c>
      <c r="AG297" s="85">
        <v>45146</v>
      </c>
      <c r="AH297" s="82" t="s">
        <v>8040</v>
      </c>
      <c r="AI297" s="77" t="b">
        <v>0</v>
      </c>
      <c r="AJ297" s="77"/>
      <c r="AK297" s="77"/>
      <c r="AL297" s="77"/>
      <c r="AM297" s="77"/>
      <c r="AN297" s="77"/>
      <c r="AO297" s="77"/>
      <c r="AP297" s="77"/>
      <c r="AQ297" s="77" t="s">
        <v>10789</v>
      </c>
      <c r="AR297" s="77">
        <v>59133</v>
      </c>
      <c r="AS297" s="77"/>
      <c r="AT297" s="77"/>
      <c r="AU297" s="77">
        <v>16</v>
      </c>
      <c r="AV297" s="80" t="str">
        <f>HYPERLINK("https://pbs.twimg.com/ext_tw_video_thumb/1688933588631220225/pu/img/9RzfRZ5Om08plN7M.jpg")</f>
        <v>https://pbs.twimg.com/ext_tw_video_thumb/1688933588631220225/pu/img/9RzfRZ5Om08plN7M.jpg</v>
      </c>
      <c r="AW297" s="82" t="s">
        <v>12493</v>
      </c>
      <c r="AX297" s="82" t="s">
        <v>12493</v>
      </c>
      <c r="AY297" s="77"/>
      <c r="AZ297" s="82" t="s">
        <v>15804</v>
      </c>
      <c r="BA297" s="82" t="s">
        <v>15804</v>
      </c>
      <c r="BB297" s="82" t="s">
        <v>15804</v>
      </c>
      <c r="BC297" s="82" t="s">
        <v>12493</v>
      </c>
      <c r="BD297" s="77">
        <v>438488077</v>
      </c>
      <c r="BE297" s="77"/>
      <c r="BF297" s="77"/>
      <c r="BG297" s="77"/>
      <c r="BH297" s="77"/>
      <c r="BI297" s="77"/>
    </row>
    <row r="298" spans="1:61" x14ac:dyDescent="0.25">
      <c r="A298" s="62" t="s">
        <v>321</v>
      </c>
      <c r="B298" s="62" t="s">
        <v>321</v>
      </c>
      <c r="C298" s="63"/>
      <c r="D298" s="64"/>
      <c r="E298" s="65"/>
      <c r="F298" s="66"/>
      <c r="G298" s="63"/>
      <c r="H298" s="67"/>
      <c r="I298" s="68"/>
      <c r="J298" s="68"/>
      <c r="K298" s="32"/>
      <c r="L298" s="75">
        <v>298</v>
      </c>
      <c r="M298" s="75"/>
      <c r="N298" s="70"/>
      <c r="O298" s="77" t="s">
        <v>179</v>
      </c>
      <c r="P298" s="79">
        <v>45158.959224537037</v>
      </c>
      <c r="Q298" s="77" t="s">
        <v>1414</v>
      </c>
      <c r="R298" s="77">
        <v>0</v>
      </c>
      <c r="S298" s="77">
        <v>0</v>
      </c>
      <c r="T298" s="77">
        <v>0</v>
      </c>
      <c r="U298" s="77">
        <v>0</v>
      </c>
      <c r="V298" s="77">
        <v>65</v>
      </c>
      <c r="W298" s="82" t="s">
        <v>4240</v>
      </c>
      <c r="X298" s="80" t="str">
        <f>HYPERLINK("http://www.wagnergeremia.com")</f>
        <v>http://www.wagnergeremia.com</v>
      </c>
      <c r="Y298" s="77" t="s">
        <v>6017</v>
      </c>
      <c r="Z298" s="77"/>
      <c r="AA298" s="77" t="s">
        <v>6283</v>
      </c>
      <c r="AB298" s="77" t="s">
        <v>7697</v>
      </c>
      <c r="AC298" s="82" t="s">
        <v>7716</v>
      </c>
      <c r="AD298" s="77" t="s">
        <v>7745</v>
      </c>
      <c r="AE298" s="80" t="str">
        <f>HYPERLINK("https://twitter.com/wagnergeremia/status/1693397824874963315")</f>
        <v>https://twitter.com/wagnergeremia/status/1693397824874963315</v>
      </c>
      <c r="AF298" s="79">
        <v>45158.959224537037</v>
      </c>
      <c r="AG298" s="85">
        <v>45158</v>
      </c>
      <c r="AH298" s="82" t="s">
        <v>8041</v>
      </c>
      <c r="AI298" s="77" t="b">
        <v>0</v>
      </c>
      <c r="AJ298" s="77"/>
      <c r="AK298" s="77"/>
      <c r="AL298" s="77"/>
      <c r="AM298" s="77"/>
      <c r="AN298" s="77"/>
      <c r="AO298" s="77"/>
      <c r="AP298" s="77"/>
      <c r="AQ298" s="77" t="s">
        <v>10790</v>
      </c>
      <c r="AR298" s="77">
        <v>45166</v>
      </c>
      <c r="AS298" s="77"/>
      <c r="AT298" s="77"/>
      <c r="AU298" s="77">
        <v>12</v>
      </c>
      <c r="AV298" s="80" t="str">
        <f>HYPERLINK("https://pbs.twimg.com/ext_tw_video_thumb/1693397762308517888/pu/img/m_2E5h0LiMN_3lZa.jpg")</f>
        <v>https://pbs.twimg.com/ext_tw_video_thumb/1693397762308517888/pu/img/m_2E5h0LiMN_3lZa.jpg</v>
      </c>
      <c r="AW298" s="82" t="s">
        <v>12494</v>
      </c>
      <c r="AX298" s="82" t="s">
        <v>12494</v>
      </c>
      <c r="AY298" s="77"/>
      <c r="AZ298" s="82" t="s">
        <v>15804</v>
      </c>
      <c r="BA298" s="82" t="s">
        <v>15804</v>
      </c>
      <c r="BB298" s="82" t="s">
        <v>15804</v>
      </c>
      <c r="BC298" s="82" t="s">
        <v>12494</v>
      </c>
      <c r="BD298" s="77">
        <v>438488077</v>
      </c>
      <c r="BE298" s="77"/>
      <c r="BF298" s="77"/>
      <c r="BG298" s="77"/>
      <c r="BH298" s="77"/>
      <c r="BI298" s="77"/>
    </row>
    <row r="299" spans="1:61" x14ac:dyDescent="0.25">
      <c r="A299" s="62" t="s">
        <v>321</v>
      </c>
      <c r="B299" s="62" t="s">
        <v>321</v>
      </c>
      <c r="C299" s="63"/>
      <c r="D299" s="64"/>
      <c r="E299" s="65"/>
      <c r="F299" s="66"/>
      <c r="G299" s="63"/>
      <c r="H299" s="67"/>
      <c r="I299" s="68"/>
      <c r="J299" s="68"/>
      <c r="K299" s="32"/>
      <c r="L299" s="75">
        <v>299</v>
      </c>
      <c r="M299" s="75"/>
      <c r="N299" s="70"/>
      <c r="O299" s="77" t="s">
        <v>179</v>
      </c>
      <c r="P299" s="79">
        <v>45152.917708333334</v>
      </c>
      <c r="Q299" s="77" t="s">
        <v>1415</v>
      </c>
      <c r="R299" s="77">
        <v>0</v>
      </c>
      <c r="S299" s="77">
        <v>1</v>
      </c>
      <c r="T299" s="77">
        <v>0</v>
      </c>
      <c r="U299" s="77">
        <v>0</v>
      </c>
      <c r="V299" s="77">
        <v>39</v>
      </c>
      <c r="W299" s="82" t="s">
        <v>4234</v>
      </c>
      <c r="X299" s="80" t="str">
        <f>HYPERLINK("http://www.wagnergeremia.com")</f>
        <v>http://www.wagnergeremia.com</v>
      </c>
      <c r="Y299" s="77" t="s">
        <v>6017</v>
      </c>
      <c r="Z299" s="77"/>
      <c r="AA299" s="77" t="s">
        <v>6284</v>
      </c>
      <c r="AB299" s="77" t="s">
        <v>7697</v>
      </c>
      <c r="AC299" s="82" t="s">
        <v>7716</v>
      </c>
      <c r="AD299" s="77" t="s">
        <v>7745</v>
      </c>
      <c r="AE299" s="80" t="str">
        <f>HYPERLINK("https://twitter.com/wagnergeremia/status/1691208450531897344")</f>
        <v>https://twitter.com/wagnergeremia/status/1691208450531897344</v>
      </c>
      <c r="AF299" s="79">
        <v>45152.917708333334</v>
      </c>
      <c r="AG299" s="85">
        <v>45152</v>
      </c>
      <c r="AH299" s="82" t="s">
        <v>8042</v>
      </c>
      <c r="AI299" s="77" t="b">
        <v>0</v>
      </c>
      <c r="AJ299" s="77"/>
      <c r="AK299" s="77"/>
      <c r="AL299" s="77"/>
      <c r="AM299" s="77"/>
      <c r="AN299" s="77"/>
      <c r="AO299" s="77"/>
      <c r="AP299" s="77"/>
      <c r="AQ299" s="77" t="s">
        <v>10791</v>
      </c>
      <c r="AR299" s="77">
        <v>37733</v>
      </c>
      <c r="AS299" s="77"/>
      <c r="AT299" s="77"/>
      <c r="AU299" s="77">
        <v>12</v>
      </c>
      <c r="AV299" s="80" t="str">
        <f>HYPERLINK("https://pbs.twimg.com/ext_tw_video_thumb/1691208345284157440/pu/img/E18eOZZA4fu9iD2K.jpg")</f>
        <v>https://pbs.twimg.com/ext_tw_video_thumb/1691208345284157440/pu/img/E18eOZZA4fu9iD2K.jpg</v>
      </c>
      <c r="AW299" s="82" t="s">
        <v>12495</v>
      </c>
      <c r="AX299" s="82" t="s">
        <v>12495</v>
      </c>
      <c r="AY299" s="77"/>
      <c r="AZ299" s="82" t="s">
        <v>15804</v>
      </c>
      <c r="BA299" s="82" t="s">
        <v>15804</v>
      </c>
      <c r="BB299" s="82" t="s">
        <v>15804</v>
      </c>
      <c r="BC299" s="82" t="s">
        <v>12495</v>
      </c>
      <c r="BD299" s="77">
        <v>438488077</v>
      </c>
      <c r="BE299" s="77"/>
      <c r="BF299" s="77"/>
      <c r="BG299" s="77"/>
      <c r="BH299" s="77"/>
      <c r="BI299" s="77"/>
    </row>
    <row r="300" spans="1:61" x14ac:dyDescent="0.25">
      <c r="A300" s="62" t="s">
        <v>321</v>
      </c>
      <c r="B300" s="62" t="s">
        <v>321</v>
      </c>
      <c r="C300" s="63"/>
      <c r="D300" s="64"/>
      <c r="E300" s="65"/>
      <c r="F300" s="66"/>
      <c r="G300" s="63"/>
      <c r="H300" s="67"/>
      <c r="I300" s="68"/>
      <c r="J300" s="68"/>
      <c r="K300" s="32"/>
      <c r="L300" s="75">
        <v>300</v>
      </c>
      <c r="M300" s="75"/>
      <c r="N300" s="70"/>
      <c r="O300" s="77" t="s">
        <v>179</v>
      </c>
      <c r="P300" s="79">
        <v>45151.917766203704</v>
      </c>
      <c r="Q300" s="77" t="s">
        <v>1416</v>
      </c>
      <c r="R300" s="77">
        <v>0</v>
      </c>
      <c r="S300" s="77">
        <v>1</v>
      </c>
      <c r="T300" s="77">
        <v>0</v>
      </c>
      <c r="U300" s="77">
        <v>0</v>
      </c>
      <c r="V300" s="77">
        <v>49</v>
      </c>
      <c r="W300" s="82" t="s">
        <v>4234</v>
      </c>
      <c r="X300" s="80" t="str">
        <f>HYPERLINK("http://www.wagnergeremia.com")</f>
        <v>http://www.wagnergeremia.com</v>
      </c>
      <c r="Y300" s="77" t="s">
        <v>6017</v>
      </c>
      <c r="Z300" s="77"/>
      <c r="AA300" s="77" t="s">
        <v>6285</v>
      </c>
      <c r="AB300" s="77" t="s">
        <v>7697</v>
      </c>
      <c r="AC300" s="82" t="s">
        <v>7716</v>
      </c>
      <c r="AD300" s="77" t="s">
        <v>7745</v>
      </c>
      <c r="AE300" s="80" t="str">
        <f>HYPERLINK("https://twitter.com/wagnergeremia/status/1690846084816314368")</f>
        <v>https://twitter.com/wagnergeremia/status/1690846084816314368</v>
      </c>
      <c r="AF300" s="79">
        <v>45151.917766203704</v>
      </c>
      <c r="AG300" s="85">
        <v>45151</v>
      </c>
      <c r="AH300" s="82" t="s">
        <v>8043</v>
      </c>
      <c r="AI300" s="77" t="b">
        <v>0</v>
      </c>
      <c r="AJ300" s="77"/>
      <c r="AK300" s="77"/>
      <c r="AL300" s="77"/>
      <c r="AM300" s="77"/>
      <c r="AN300" s="77"/>
      <c r="AO300" s="77"/>
      <c r="AP300" s="77"/>
      <c r="AQ300" s="77" t="s">
        <v>10792</v>
      </c>
      <c r="AR300" s="77">
        <v>52766</v>
      </c>
      <c r="AS300" s="77"/>
      <c r="AT300" s="77"/>
      <c r="AU300" s="77">
        <v>19</v>
      </c>
      <c r="AV300" s="80" t="str">
        <f>HYPERLINK("https://pbs.twimg.com/ext_tw_video_thumb/1690845973180719107/pu/img/vwlx3B-oLy_LkTzQ.jpg")</f>
        <v>https://pbs.twimg.com/ext_tw_video_thumb/1690845973180719107/pu/img/vwlx3B-oLy_LkTzQ.jpg</v>
      </c>
      <c r="AW300" s="82" t="s">
        <v>12496</v>
      </c>
      <c r="AX300" s="82" t="s">
        <v>12496</v>
      </c>
      <c r="AY300" s="77"/>
      <c r="AZ300" s="82" t="s">
        <v>15804</v>
      </c>
      <c r="BA300" s="82" t="s">
        <v>15804</v>
      </c>
      <c r="BB300" s="82" t="s">
        <v>15804</v>
      </c>
      <c r="BC300" s="82" t="s">
        <v>12496</v>
      </c>
      <c r="BD300" s="77">
        <v>438488077</v>
      </c>
      <c r="BE300" s="77"/>
      <c r="BF300" s="77"/>
      <c r="BG300" s="77"/>
      <c r="BH300" s="77"/>
      <c r="BI300" s="77"/>
    </row>
    <row r="301" spans="1:61" x14ac:dyDescent="0.25">
      <c r="A301" s="62" t="s">
        <v>321</v>
      </c>
      <c r="B301" s="62" t="s">
        <v>321</v>
      </c>
      <c r="C301" s="63"/>
      <c r="D301" s="64"/>
      <c r="E301" s="65"/>
      <c r="F301" s="66"/>
      <c r="G301" s="63"/>
      <c r="H301" s="67"/>
      <c r="I301" s="68"/>
      <c r="J301" s="68"/>
      <c r="K301" s="32"/>
      <c r="L301" s="75">
        <v>301</v>
      </c>
      <c r="M301" s="75"/>
      <c r="N301" s="70"/>
      <c r="O301" s="77" t="s">
        <v>179</v>
      </c>
      <c r="P301" s="79">
        <v>45080.916909722226</v>
      </c>
      <c r="Q301" s="77" t="s">
        <v>1417</v>
      </c>
      <c r="R301" s="77">
        <v>0</v>
      </c>
      <c r="S301" s="77">
        <v>0</v>
      </c>
      <c r="T301" s="77">
        <v>0</v>
      </c>
      <c r="U301" s="77">
        <v>0</v>
      </c>
      <c r="V301" s="77">
        <v>20</v>
      </c>
      <c r="W301" s="82" t="s">
        <v>4241</v>
      </c>
      <c r="X301" s="77"/>
      <c r="Y301" s="77"/>
      <c r="Z301" s="77"/>
      <c r="AA301" s="77" t="s">
        <v>6286</v>
      </c>
      <c r="AB301" s="77" t="s">
        <v>7696</v>
      </c>
      <c r="AC301" s="82" t="s">
        <v>7716</v>
      </c>
      <c r="AD301" s="77" t="s">
        <v>7745</v>
      </c>
      <c r="AE301" s="80" t="str">
        <f>HYPERLINK("https://twitter.com/wagnergeremia/status/1665116233488900097")</f>
        <v>https://twitter.com/wagnergeremia/status/1665116233488900097</v>
      </c>
      <c r="AF301" s="79">
        <v>45080.916909722226</v>
      </c>
      <c r="AG301" s="85">
        <v>45080</v>
      </c>
      <c r="AH301" s="82" t="s">
        <v>8044</v>
      </c>
      <c r="AI301" s="77" t="b">
        <v>0</v>
      </c>
      <c r="AJ301" s="77"/>
      <c r="AK301" s="77"/>
      <c r="AL301" s="77"/>
      <c r="AM301" s="77"/>
      <c r="AN301" s="77"/>
      <c r="AO301" s="77"/>
      <c r="AP301" s="77"/>
      <c r="AQ301" s="77" t="s">
        <v>10793</v>
      </c>
      <c r="AR301" s="77"/>
      <c r="AS301" s="77"/>
      <c r="AT301" s="77"/>
      <c r="AU301" s="77"/>
      <c r="AV301" s="80" t="str">
        <f>HYPERLINK("https://pbs.twimg.com/media/FxuuY9sXwAcxYdo.jpg")</f>
        <v>https://pbs.twimg.com/media/FxuuY9sXwAcxYdo.jpg</v>
      </c>
      <c r="AW301" s="82" t="s">
        <v>12497</v>
      </c>
      <c r="AX301" s="82" t="s">
        <v>12497</v>
      </c>
      <c r="AY301" s="77"/>
      <c r="AZ301" s="82" t="s">
        <v>15804</v>
      </c>
      <c r="BA301" s="82" t="s">
        <v>15804</v>
      </c>
      <c r="BB301" s="82" t="s">
        <v>15804</v>
      </c>
      <c r="BC301" s="82" t="s">
        <v>12497</v>
      </c>
      <c r="BD301" s="77">
        <v>438488077</v>
      </c>
      <c r="BE301" s="77"/>
      <c r="BF301" s="77"/>
      <c r="BG301" s="77"/>
      <c r="BH301" s="77"/>
      <c r="BI301" s="77"/>
    </row>
    <row r="302" spans="1:61" x14ac:dyDescent="0.25">
      <c r="A302" s="62" t="s">
        <v>321</v>
      </c>
      <c r="B302" s="62" t="s">
        <v>321</v>
      </c>
      <c r="C302" s="63"/>
      <c r="D302" s="64"/>
      <c r="E302" s="65"/>
      <c r="F302" s="66"/>
      <c r="G302" s="63"/>
      <c r="H302" s="67"/>
      <c r="I302" s="68"/>
      <c r="J302" s="68"/>
      <c r="K302" s="32"/>
      <c r="L302" s="75">
        <v>302</v>
      </c>
      <c r="M302" s="75"/>
      <c r="N302" s="70"/>
      <c r="O302" s="77" t="s">
        <v>179</v>
      </c>
      <c r="P302" s="79">
        <v>45015.788252314815</v>
      </c>
      <c r="Q302" s="77" t="s">
        <v>1418</v>
      </c>
      <c r="R302" s="77">
        <v>0</v>
      </c>
      <c r="S302" s="77">
        <v>0</v>
      </c>
      <c r="T302" s="77">
        <v>0</v>
      </c>
      <c r="U302" s="77">
        <v>0</v>
      </c>
      <c r="V302" s="77">
        <v>36</v>
      </c>
      <c r="W302" s="82" t="s">
        <v>4242</v>
      </c>
      <c r="X302" s="80" t="str">
        <f>HYPERLINK("https://www.youtube.com/watch?v=6ZG4--B0rc0")</f>
        <v>https://www.youtube.com/watch?v=6ZG4--B0rc0</v>
      </c>
      <c r="Y302" s="77" t="s">
        <v>6006</v>
      </c>
      <c r="Z302" s="77"/>
      <c r="AA302" s="77"/>
      <c r="AB302" s="77"/>
      <c r="AC302" s="82" t="s">
        <v>7716</v>
      </c>
      <c r="AD302" s="77" t="s">
        <v>7745</v>
      </c>
      <c r="AE302" s="80" t="str">
        <f>HYPERLINK("https://twitter.com/wagnergeremia/status/1641514398542880789")</f>
        <v>https://twitter.com/wagnergeremia/status/1641514398542880789</v>
      </c>
      <c r="AF302" s="79">
        <v>45015.788252314815</v>
      </c>
      <c r="AG302" s="85">
        <v>45015</v>
      </c>
      <c r="AH302" s="82" t="s">
        <v>8045</v>
      </c>
      <c r="AI302" s="77" t="b">
        <v>0</v>
      </c>
      <c r="AJ302" s="77"/>
      <c r="AK302" s="77"/>
      <c r="AL302" s="77"/>
      <c r="AM302" s="77"/>
      <c r="AN302" s="77"/>
      <c r="AO302" s="77"/>
      <c r="AP302" s="77"/>
      <c r="AQ302" s="77"/>
      <c r="AR302" s="77"/>
      <c r="AS302" s="77"/>
      <c r="AT302" s="77"/>
      <c r="AU302" s="77"/>
      <c r="AV302" s="80" t="str">
        <f>HYPERLINK("https://pbs.twimg.com/profile_images/1621519372962639872/-AUYl2x6_normal.jpg")</f>
        <v>https://pbs.twimg.com/profile_images/1621519372962639872/-AUYl2x6_normal.jpg</v>
      </c>
      <c r="AW302" s="82" t="s">
        <v>12498</v>
      </c>
      <c r="AX302" s="82" t="s">
        <v>12498</v>
      </c>
      <c r="AY302" s="77"/>
      <c r="AZ302" s="82" t="s">
        <v>15804</v>
      </c>
      <c r="BA302" s="82" t="s">
        <v>15804</v>
      </c>
      <c r="BB302" s="82" t="s">
        <v>15804</v>
      </c>
      <c r="BC302" s="82" t="s">
        <v>12498</v>
      </c>
      <c r="BD302" s="77">
        <v>438488077</v>
      </c>
      <c r="BE302" s="77"/>
      <c r="BF302" s="77"/>
      <c r="BG302" s="77"/>
      <c r="BH302" s="77"/>
      <c r="BI302" s="77"/>
    </row>
    <row r="303" spans="1:61" x14ac:dyDescent="0.25">
      <c r="A303" s="62" t="s">
        <v>321</v>
      </c>
      <c r="B303" s="62" t="s">
        <v>321</v>
      </c>
      <c r="C303" s="63"/>
      <c r="D303" s="64"/>
      <c r="E303" s="65"/>
      <c r="F303" s="66"/>
      <c r="G303" s="63"/>
      <c r="H303" s="67"/>
      <c r="I303" s="68"/>
      <c r="J303" s="68"/>
      <c r="K303" s="32"/>
      <c r="L303" s="75">
        <v>303</v>
      </c>
      <c r="M303" s="75"/>
      <c r="N303" s="70"/>
      <c r="O303" s="77" t="s">
        <v>179</v>
      </c>
      <c r="P303" s="79">
        <v>45015.000289351854</v>
      </c>
      <c r="Q303" s="77" t="s">
        <v>1419</v>
      </c>
      <c r="R303" s="77">
        <v>0</v>
      </c>
      <c r="S303" s="77">
        <v>0</v>
      </c>
      <c r="T303" s="77">
        <v>0</v>
      </c>
      <c r="U303" s="77">
        <v>0</v>
      </c>
      <c r="V303" s="77">
        <v>28</v>
      </c>
      <c r="W303" s="82" t="s">
        <v>4243</v>
      </c>
      <c r="X303" s="77"/>
      <c r="Y303" s="77"/>
      <c r="Z303" s="77"/>
      <c r="AA303" s="77" t="s">
        <v>6287</v>
      </c>
      <c r="AB303" s="77" t="s">
        <v>7696</v>
      </c>
      <c r="AC303" s="82" t="s">
        <v>7716</v>
      </c>
      <c r="AD303" s="77" t="s">
        <v>7745</v>
      </c>
      <c r="AE303" s="80" t="str">
        <f>HYPERLINK("https://twitter.com/wagnergeremia/status/1641228851383500801")</f>
        <v>https://twitter.com/wagnergeremia/status/1641228851383500801</v>
      </c>
      <c r="AF303" s="79">
        <v>45015.000289351854</v>
      </c>
      <c r="AG303" s="85">
        <v>45015</v>
      </c>
      <c r="AH303" s="82" t="s">
        <v>8046</v>
      </c>
      <c r="AI303" s="77" t="b">
        <v>0</v>
      </c>
      <c r="AJ303" s="77"/>
      <c r="AK303" s="77"/>
      <c r="AL303" s="77"/>
      <c r="AM303" s="77"/>
      <c r="AN303" s="77"/>
      <c r="AO303" s="77"/>
      <c r="AP303" s="77"/>
      <c r="AQ303" s="77" t="s">
        <v>10794</v>
      </c>
      <c r="AR303" s="77"/>
      <c r="AS303" s="77"/>
      <c r="AT303" s="77"/>
      <c r="AU303" s="77"/>
      <c r="AV303" s="80" t="str">
        <f>HYPERLINK("https://pbs.twimg.com/media/FsbQ8U-XoAI4fPs.jpg")</f>
        <v>https://pbs.twimg.com/media/FsbQ8U-XoAI4fPs.jpg</v>
      </c>
      <c r="AW303" s="82" t="s">
        <v>12499</v>
      </c>
      <c r="AX303" s="82" t="s">
        <v>12499</v>
      </c>
      <c r="AY303" s="77"/>
      <c r="AZ303" s="82" t="s">
        <v>15804</v>
      </c>
      <c r="BA303" s="82" t="s">
        <v>15804</v>
      </c>
      <c r="BB303" s="82" t="s">
        <v>15804</v>
      </c>
      <c r="BC303" s="82" t="s">
        <v>12499</v>
      </c>
      <c r="BD303" s="77">
        <v>438488077</v>
      </c>
      <c r="BE303" s="77"/>
      <c r="BF303" s="77"/>
      <c r="BG303" s="77"/>
      <c r="BH303" s="77"/>
      <c r="BI303" s="77"/>
    </row>
    <row r="304" spans="1:61" x14ac:dyDescent="0.25">
      <c r="A304" s="62" t="s">
        <v>321</v>
      </c>
      <c r="B304" s="62" t="s">
        <v>321</v>
      </c>
      <c r="C304" s="63"/>
      <c r="D304" s="64"/>
      <c r="E304" s="65"/>
      <c r="F304" s="66"/>
      <c r="G304" s="63"/>
      <c r="H304" s="67"/>
      <c r="I304" s="68"/>
      <c r="J304" s="68"/>
      <c r="K304" s="32"/>
      <c r="L304" s="75">
        <v>304</v>
      </c>
      <c r="M304" s="75"/>
      <c r="N304" s="70"/>
      <c r="O304" s="77" t="s">
        <v>179</v>
      </c>
      <c r="P304" s="79">
        <v>45160.750960648147</v>
      </c>
      <c r="Q304" s="77" t="s">
        <v>1420</v>
      </c>
      <c r="R304" s="77">
        <v>0</v>
      </c>
      <c r="S304" s="77">
        <v>1</v>
      </c>
      <c r="T304" s="77">
        <v>0</v>
      </c>
      <c r="U304" s="77">
        <v>0</v>
      </c>
      <c r="V304" s="77">
        <v>41</v>
      </c>
      <c r="W304" s="82" t="s">
        <v>4234</v>
      </c>
      <c r="X304" s="80" t="str">
        <f>HYPERLINK("http://www.wagnergeremia.com")</f>
        <v>http://www.wagnergeremia.com</v>
      </c>
      <c r="Y304" s="77" t="s">
        <v>6017</v>
      </c>
      <c r="Z304" s="77"/>
      <c r="AA304" s="77" t="s">
        <v>6288</v>
      </c>
      <c r="AB304" s="77" t="s">
        <v>7697</v>
      </c>
      <c r="AC304" s="82" t="s">
        <v>7716</v>
      </c>
      <c r="AD304" s="77" t="s">
        <v>7745</v>
      </c>
      <c r="AE304" s="80" t="str">
        <f>HYPERLINK("https://twitter.com/wagnergeremia/status/1694047124596330644")</f>
        <v>https://twitter.com/wagnergeremia/status/1694047124596330644</v>
      </c>
      <c r="AF304" s="79">
        <v>45160.750960648147</v>
      </c>
      <c r="AG304" s="85">
        <v>45160</v>
      </c>
      <c r="AH304" s="82" t="s">
        <v>8047</v>
      </c>
      <c r="AI304" s="77" t="b">
        <v>0</v>
      </c>
      <c r="AJ304" s="77"/>
      <c r="AK304" s="77"/>
      <c r="AL304" s="77"/>
      <c r="AM304" s="77"/>
      <c r="AN304" s="77"/>
      <c r="AO304" s="77"/>
      <c r="AP304" s="77"/>
      <c r="AQ304" s="77" t="s">
        <v>10795</v>
      </c>
      <c r="AR304" s="77">
        <v>57333</v>
      </c>
      <c r="AS304" s="77"/>
      <c r="AT304" s="77"/>
      <c r="AU304" s="77">
        <v>13</v>
      </c>
      <c r="AV304" s="80" t="str">
        <f>HYPERLINK("https://pbs.twimg.com/ext_tw_video_thumb/1694047058934534144/pu/img/lKpzEalAAmLSMvEk.jpg")</f>
        <v>https://pbs.twimg.com/ext_tw_video_thumb/1694047058934534144/pu/img/lKpzEalAAmLSMvEk.jpg</v>
      </c>
      <c r="AW304" s="82" t="s">
        <v>12500</v>
      </c>
      <c r="AX304" s="82" t="s">
        <v>12500</v>
      </c>
      <c r="AY304" s="77"/>
      <c r="AZ304" s="82" t="s">
        <v>15804</v>
      </c>
      <c r="BA304" s="82" t="s">
        <v>15804</v>
      </c>
      <c r="BB304" s="82" t="s">
        <v>15804</v>
      </c>
      <c r="BC304" s="82" t="s">
        <v>12500</v>
      </c>
      <c r="BD304" s="77">
        <v>438488077</v>
      </c>
      <c r="BE304" s="77"/>
      <c r="BF304" s="77"/>
      <c r="BG304" s="77"/>
      <c r="BH304" s="77"/>
      <c r="BI304" s="77"/>
    </row>
    <row r="305" spans="1:61" x14ac:dyDescent="0.25">
      <c r="A305" s="62" t="s">
        <v>321</v>
      </c>
      <c r="B305" s="62" t="s">
        <v>321</v>
      </c>
      <c r="C305" s="63"/>
      <c r="D305" s="64"/>
      <c r="E305" s="65"/>
      <c r="F305" s="66"/>
      <c r="G305" s="63"/>
      <c r="H305" s="67"/>
      <c r="I305" s="68"/>
      <c r="J305" s="68"/>
      <c r="K305" s="32"/>
      <c r="L305" s="75">
        <v>305</v>
      </c>
      <c r="M305" s="75"/>
      <c r="N305" s="70"/>
      <c r="O305" s="77" t="s">
        <v>179</v>
      </c>
      <c r="P305" s="79">
        <v>45157.500960648147</v>
      </c>
      <c r="Q305" s="77" t="s">
        <v>1421</v>
      </c>
      <c r="R305" s="77">
        <v>0</v>
      </c>
      <c r="S305" s="77">
        <v>2</v>
      </c>
      <c r="T305" s="77">
        <v>0</v>
      </c>
      <c r="U305" s="77">
        <v>0</v>
      </c>
      <c r="V305" s="77">
        <v>175</v>
      </c>
      <c r="W305" s="82" t="s">
        <v>4244</v>
      </c>
      <c r="X305" s="80" t="str">
        <f>HYPERLINK("http://www.wagnergeremia.com")</f>
        <v>http://www.wagnergeremia.com</v>
      </c>
      <c r="Y305" s="77" t="s">
        <v>6017</v>
      </c>
      <c r="Z305" s="77"/>
      <c r="AA305" s="77" t="s">
        <v>6289</v>
      </c>
      <c r="AB305" s="77" t="s">
        <v>7697</v>
      </c>
      <c r="AC305" s="82" t="s">
        <v>7716</v>
      </c>
      <c r="AD305" s="77" t="s">
        <v>7745</v>
      </c>
      <c r="AE305" s="80" t="str">
        <f>HYPERLINK("https://twitter.com/wagnergeremia/status/1692869365635359201")</f>
        <v>https://twitter.com/wagnergeremia/status/1692869365635359201</v>
      </c>
      <c r="AF305" s="79">
        <v>45157.500960648147</v>
      </c>
      <c r="AG305" s="85">
        <v>45157</v>
      </c>
      <c r="AH305" s="82" t="s">
        <v>8048</v>
      </c>
      <c r="AI305" s="77" t="b">
        <v>0</v>
      </c>
      <c r="AJ305" s="77"/>
      <c r="AK305" s="77"/>
      <c r="AL305" s="77"/>
      <c r="AM305" s="77"/>
      <c r="AN305" s="77"/>
      <c r="AO305" s="77"/>
      <c r="AP305" s="77"/>
      <c r="AQ305" s="77" t="s">
        <v>10796</v>
      </c>
      <c r="AR305" s="77">
        <v>53000</v>
      </c>
      <c r="AS305" s="77"/>
      <c r="AT305" s="77"/>
      <c r="AU305" s="77">
        <v>39</v>
      </c>
      <c r="AV305" s="80" t="str">
        <f>HYPERLINK("https://pbs.twimg.com/ext_tw_video_thumb/1692869299180908544/pu/img/tigv2WerEzryBGMI.jpg")</f>
        <v>https://pbs.twimg.com/ext_tw_video_thumb/1692869299180908544/pu/img/tigv2WerEzryBGMI.jpg</v>
      </c>
      <c r="AW305" s="82" t="s">
        <v>12501</v>
      </c>
      <c r="AX305" s="82" t="s">
        <v>12501</v>
      </c>
      <c r="AY305" s="77"/>
      <c r="AZ305" s="82" t="s">
        <v>15804</v>
      </c>
      <c r="BA305" s="82" t="s">
        <v>15804</v>
      </c>
      <c r="BB305" s="82" t="s">
        <v>15804</v>
      </c>
      <c r="BC305" s="82" t="s">
        <v>12501</v>
      </c>
      <c r="BD305" s="77">
        <v>438488077</v>
      </c>
      <c r="BE305" s="77"/>
      <c r="BF305" s="77"/>
      <c r="BG305" s="77"/>
      <c r="BH305" s="77"/>
      <c r="BI305" s="77"/>
    </row>
    <row r="306" spans="1:61" x14ac:dyDescent="0.25">
      <c r="A306" s="62" t="s">
        <v>321</v>
      </c>
      <c r="B306" s="62" t="s">
        <v>321</v>
      </c>
      <c r="C306" s="63"/>
      <c r="D306" s="64"/>
      <c r="E306" s="65"/>
      <c r="F306" s="66"/>
      <c r="G306" s="63"/>
      <c r="H306" s="67"/>
      <c r="I306" s="68"/>
      <c r="J306" s="68"/>
      <c r="K306" s="32"/>
      <c r="L306" s="75">
        <v>306</v>
      </c>
      <c r="M306" s="75"/>
      <c r="N306" s="70"/>
      <c r="O306" s="77" t="s">
        <v>179</v>
      </c>
      <c r="P306" s="79">
        <v>45147.877268518518</v>
      </c>
      <c r="Q306" s="77" t="s">
        <v>1422</v>
      </c>
      <c r="R306" s="77">
        <v>0</v>
      </c>
      <c r="S306" s="77">
        <v>4</v>
      </c>
      <c r="T306" s="77">
        <v>0</v>
      </c>
      <c r="U306" s="77">
        <v>0</v>
      </c>
      <c r="V306" s="77">
        <v>2797</v>
      </c>
      <c r="W306" s="82" t="s">
        <v>4245</v>
      </c>
      <c r="X306" s="77"/>
      <c r="Y306" s="77"/>
      <c r="Z306" s="77"/>
      <c r="AA306" s="77" t="s">
        <v>6290</v>
      </c>
      <c r="AB306" s="77" t="s">
        <v>7697</v>
      </c>
      <c r="AC306" s="82" t="s">
        <v>7716</v>
      </c>
      <c r="AD306" s="77" t="s">
        <v>7745</v>
      </c>
      <c r="AE306" s="80" t="str">
        <f>HYPERLINK("https://twitter.com/wagnergeremia/status/1689381857496829954")</f>
        <v>https://twitter.com/wagnergeremia/status/1689381857496829954</v>
      </c>
      <c r="AF306" s="79">
        <v>45147.877268518518</v>
      </c>
      <c r="AG306" s="85">
        <v>45147</v>
      </c>
      <c r="AH306" s="82" t="s">
        <v>8049</v>
      </c>
      <c r="AI306" s="77" t="b">
        <v>0</v>
      </c>
      <c r="AJ306" s="77"/>
      <c r="AK306" s="77"/>
      <c r="AL306" s="77"/>
      <c r="AM306" s="77"/>
      <c r="AN306" s="77"/>
      <c r="AO306" s="77"/>
      <c r="AP306" s="77"/>
      <c r="AQ306" s="77" t="s">
        <v>10797</v>
      </c>
      <c r="AR306" s="77">
        <v>56433</v>
      </c>
      <c r="AS306" s="77"/>
      <c r="AT306" s="77"/>
      <c r="AU306" s="77">
        <v>1308</v>
      </c>
      <c r="AV306" s="80" t="str">
        <f>HYPERLINK("https://pbs.twimg.com/ext_tw_video_thumb/1689381784767660032/pu/img/8aQg8OzWm-UJeL9J.jpg")</f>
        <v>https://pbs.twimg.com/ext_tw_video_thumb/1689381784767660032/pu/img/8aQg8OzWm-UJeL9J.jpg</v>
      </c>
      <c r="AW306" s="82" t="s">
        <v>12502</v>
      </c>
      <c r="AX306" s="82" t="s">
        <v>12502</v>
      </c>
      <c r="AY306" s="77"/>
      <c r="AZ306" s="82" t="s">
        <v>15804</v>
      </c>
      <c r="BA306" s="82" t="s">
        <v>15804</v>
      </c>
      <c r="BB306" s="82" t="s">
        <v>15804</v>
      </c>
      <c r="BC306" s="82" t="s">
        <v>12502</v>
      </c>
      <c r="BD306" s="77">
        <v>438488077</v>
      </c>
      <c r="BE306" s="77"/>
      <c r="BF306" s="77"/>
      <c r="BG306" s="77"/>
      <c r="BH306" s="77"/>
      <c r="BI306" s="77"/>
    </row>
    <row r="307" spans="1:61" x14ac:dyDescent="0.25">
      <c r="A307" s="62" t="s">
        <v>321</v>
      </c>
      <c r="B307" s="62" t="s">
        <v>321</v>
      </c>
      <c r="C307" s="63"/>
      <c r="D307" s="64"/>
      <c r="E307" s="65"/>
      <c r="F307" s="66"/>
      <c r="G307" s="63"/>
      <c r="H307" s="67"/>
      <c r="I307" s="68"/>
      <c r="J307" s="68"/>
      <c r="K307" s="32"/>
      <c r="L307" s="75">
        <v>307</v>
      </c>
      <c r="M307" s="75"/>
      <c r="N307" s="70"/>
      <c r="O307" s="77" t="s">
        <v>179</v>
      </c>
      <c r="P307" s="79">
        <v>45011.0002662037</v>
      </c>
      <c r="Q307" s="77" t="s">
        <v>1423</v>
      </c>
      <c r="R307" s="77">
        <v>0</v>
      </c>
      <c r="S307" s="77">
        <v>0</v>
      </c>
      <c r="T307" s="77">
        <v>0</v>
      </c>
      <c r="U307" s="77">
        <v>0</v>
      </c>
      <c r="V307" s="77">
        <v>16</v>
      </c>
      <c r="W307" s="82" t="s">
        <v>4232</v>
      </c>
      <c r="X307" s="77"/>
      <c r="Y307" s="77"/>
      <c r="Z307" s="77"/>
      <c r="AA307" s="77" t="s">
        <v>6291</v>
      </c>
      <c r="AB307" s="77" t="s">
        <v>7696</v>
      </c>
      <c r="AC307" s="82" t="s">
        <v>7716</v>
      </c>
      <c r="AD307" s="77" t="s">
        <v>7745</v>
      </c>
      <c r="AE307" s="80" t="str">
        <f>HYPERLINK("https://twitter.com/wagnergeremia/status/1639779291876540416")</f>
        <v>https://twitter.com/wagnergeremia/status/1639779291876540416</v>
      </c>
      <c r="AF307" s="79">
        <v>45011.0002662037</v>
      </c>
      <c r="AG307" s="85">
        <v>45011</v>
      </c>
      <c r="AH307" s="82" t="s">
        <v>8050</v>
      </c>
      <c r="AI307" s="77" t="b">
        <v>0</v>
      </c>
      <c r="AJ307" s="77"/>
      <c r="AK307" s="77"/>
      <c r="AL307" s="77"/>
      <c r="AM307" s="77"/>
      <c r="AN307" s="77"/>
      <c r="AO307" s="77"/>
      <c r="AP307" s="77"/>
      <c r="AQ307" s="77" t="s">
        <v>10798</v>
      </c>
      <c r="AR307" s="77"/>
      <c r="AS307" s="77"/>
      <c r="AT307" s="77"/>
      <c r="AU307" s="77"/>
      <c r="AV307" s="80" t="str">
        <f>HYPERLINK("https://pbs.twimg.com/media/FsGqk2UWIDklCac.jpg")</f>
        <v>https://pbs.twimg.com/media/FsGqk2UWIDklCac.jpg</v>
      </c>
      <c r="AW307" s="82" t="s">
        <v>12503</v>
      </c>
      <c r="AX307" s="82" t="s">
        <v>12503</v>
      </c>
      <c r="AY307" s="77"/>
      <c r="AZ307" s="82" t="s">
        <v>15804</v>
      </c>
      <c r="BA307" s="82" t="s">
        <v>15804</v>
      </c>
      <c r="BB307" s="82" t="s">
        <v>15804</v>
      </c>
      <c r="BC307" s="82" t="s">
        <v>12503</v>
      </c>
      <c r="BD307" s="77">
        <v>438488077</v>
      </c>
      <c r="BE307" s="77"/>
      <c r="BF307" s="77"/>
      <c r="BG307" s="77"/>
      <c r="BH307" s="77"/>
      <c r="BI307" s="77"/>
    </row>
    <row r="308" spans="1:61" x14ac:dyDescent="0.25">
      <c r="A308" s="62" t="s">
        <v>322</v>
      </c>
      <c r="B308" s="62" t="s">
        <v>322</v>
      </c>
      <c r="C308" s="63"/>
      <c r="D308" s="64"/>
      <c r="E308" s="65"/>
      <c r="F308" s="66"/>
      <c r="G308" s="63"/>
      <c r="H308" s="67"/>
      <c r="I308" s="68"/>
      <c r="J308" s="68"/>
      <c r="K308" s="32"/>
      <c r="L308" s="75">
        <v>308</v>
      </c>
      <c r="M308" s="75"/>
      <c r="N308" s="70"/>
      <c r="O308" s="77" t="s">
        <v>179</v>
      </c>
      <c r="P308" s="79">
        <v>45008.414166666669</v>
      </c>
      <c r="Q308" s="77" t="s">
        <v>1424</v>
      </c>
      <c r="R308" s="77">
        <v>0</v>
      </c>
      <c r="S308" s="77">
        <v>0</v>
      </c>
      <c r="T308" s="77">
        <v>0</v>
      </c>
      <c r="U308" s="77">
        <v>0</v>
      </c>
      <c r="V308" s="77">
        <v>64</v>
      </c>
      <c r="W308" s="82" t="s">
        <v>4246</v>
      </c>
      <c r="X308" s="77"/>
      <c r="Y308" s="77"/>
      <c r="Z308" s="77"/>
      <c r="AA308" s="77" t="s">
        <v>6292</v>
      </c>
      <c r="AB308" s="77" t="s">
        <v>7696</v>
      </c>
      <c r="AC308" s="82" t="s">
        <v>7707</v>
      </c>
      <c r="AD308" s="77" t="s">
        <v>7745</v>
      </c>
      <c r="AE308" s="80" t="str">
        <f>HYPERLINK("https://twitter.com/cayocesar89/status/1638842119866707969")</f>
        <v>https://twitter.com/cayocesar89/status/1638842119866707969</v>
      </c>
      <c r="AF308" s="79">
        <v>45008.414166666669</v>
      </c>
      <c r="AG308" s="85">
        <v>45008</v>
      </c>
      <c r="AH308" s="82" t="s">
        <v>8051</v>
      </c>
      <c r="AI308" s="77" t="b">
        <v>0</v>
      </c>
      <c r="AJ308" s="77"/>
      <c r="AK308" s="77"/>
      <c r="AL308" s="77"/>
      <c r="AM308" s="77"/>
      <c r="AN308" s="77"/>
      <c r="AO308" s="77"/>
      <c r="AP308" s="77"/>
      <c r="AQ308" s="77" t="s">
        <v>10799</v>
      </c>
      <c r="AR308" s="77"/>
      <c r="AS308" s="77"/>
      <c r="AT308" s="77"/>
      <c r="AU308" s="77"/>
      <c r="AV308" s="80" t="str">
        <f>HYPERLINK("https://pbs.twimg.com/media/Fr5WOPNXgAQSWNS.jpg")</f>
        <v>https://pbs.twimg.com/media/Fr5WOPNXgAQSWNS.jpg</v>
      </c>
      <c r="AW308" s="82" t="s">
        <v>12504</v>
      </c>
      <c r="AX308" s="82" t="s">
        <v>12504</v>
      </c>
      <c r="AY308" s="77"/>
      <c r="AZ308" s="82" t="s">
        <v>15804</v>
      </c>
      <c r="BA308" s="82" t="s">
        <v>15804</v>
      </c>
      <c r="BB308" s="82" t="s">
        <v>15804</v>
      </c>
      <c r="BC308" s="82" t="s">
        <v>12504</v>
      </c>
      <c r="BD308" s="77">
        <v>343506818</v>
      </c>
      <c r="BE308" s="77"/>
      <c r="BF308" s="77"/>
      <c r="BG308" s="77"/>
      <c r="BH308" s="77"/>
      <c r="BI308" s="77"/>
    </row>
    <row r="309" spans="1:61" x14ac:dyDescent="0.25">
      <c r="A309" s="62" t="s">
        <v>323</v>
      </c>
      <c r="B309" s="62" t="s">
        <v>323</v>
      </c>
      <c r="C309" s="63"/>
      <c r="D309" s="64"/>
      <c r="E309" s="65"/>
      <c r="F309" s="66"/>
      <c r="G309" s="63"/>
      <c r="H309" s="67"/>
      <c r="I309" s="68"/>
      <c r="J309" s="68"/>
      <c r="K309" s="32"/>
      <c r="L309" s="75">
        <v>309</v>
      </c>
      <c r="M309" s="75"/>
      <c r="N309" s="70"/>
      <c r="O309" s="77" t="s">
        <v>179</v>
      </c>
      <c r="P309" s="79">
        <v>44936.653483796297</v>
      </c>
      <c r="Q309" s="77" t="s">
        <v>1425</v>
      </c>
      <c r="R309" s="77">
        <v>0</v>
      </c>
      <c r="S309" s="77">
        <v>0</v>
      </c>
      <c r="T309" s="77">
        <v>0</v>
      </c>
      <c r="U309" s="77">
        <v>0</v>
      </c>
      <c r="V309" s="77">
        <v>3</v>
      </c>
      <c r="W309" s="82" t="s">
        <v>4247</v>
      </c>
      <c r="X309" s="80" t="str">
        <f>HYPERLINK("https://www.instagram.com/reel/CnPKx8cOGP1/?igshid=MDJmNzVkMjY=")</f>
        <v>https://www.instagram.com/reel/CnPKx8cOGP1/?igshid=MDJmNzVkMjY=</v>
      </c>
      <c r="Y309" s="77" t="s">
        <v>6000</v>
      </c>
      <c r="Z309" s="77"/>
      <c r="AA309" s="77"/>
      <c r="AB309" s="77"/>
      <c r="AC309" s="82" t="s">
        <v>7707</v>
      </c>
      <c r="AD309" s="77" t="s">
        <v>7745</v>
      </c>
      <c r="AE309" s="80" t="str">
        <f>HYPERLINK("https://twitter.com/irineubere/status/1612836919565582337")</f>
        <v>https://twitter.com/irineubere/status/1612836919565582337</v>
      </c>
      <c r="AF309" s="79">
        <v>44936.653483796297</v>
      </c>
      <c r="AG309" s="85">
        <v>44936</v>
      </c>
      <c r="AH309" s="82" t="s">
        <v>8052</v>
      </c>
      <c r="AI309" s="77" t="b">
        <v>0</v>
      </c>
      <c r="AJ309" s="77"/>
      <c r="AK309" s="77"/>
      <c r="AL309" s="77"/>
      <c r="AM309" s="77"/>
      <c r="AN309" s="77"/>
      <c r="AO309" s="77"/>
      <c r="AP309" s="77"/>
      <c r="AQ309" s="77"/>
      <c r="AR309" s="77"/>
      <c r="AS309" s="77"/>
      <c r="AT309" s="77"/>
      <c r="AU309" s="77"/>
      <c r="AV309" s="80" t="str">
        <f>HYPERLINK("https://pbs.twimg.com/profile_images/1609890382300471297/1HGHH84K_normal.png")</f>
        <v>https://pbs.twimg.com/profile_images/1609890382300471297/1HGHH84K_normal.png</v>
      </c>
      <c r="AW309" s="82" t="s">
        <v>12505</v>
      </c>
      <c r="AX309" s="82" t="s">
        <v>12505</v>
      </c>
      <c r="AY309" s="77"/>
      <c r="AZ309" s="82" t="s">
        <v>15804</v>
      </c>
      <c r="BA309" s="82" t="s">
        <v>15804</v>
      </c>
      <c r="BB309" s="82" t="s">
        <v>15804</v>
      </c>
      <c r="BC309" s="82" t="s">
        <v>12505</v>
      </c>
      <c r="BD309" s="77">
        <v>536380588</v>
      </c>
      <c r="BE309" s="77"/>
      <c r="BF309" s="77"/>
      <c r="BG309" s="77"/>
      <c r="BH309" s="77"/>
      <c r="BI309" s="77"/>
    </row>
    <row r="310" spans="1:61" x14ac:dyDescent="0.25">
      <c r="A310" s="62" t="s">
        <v>323</v>
      </c>
      <c r="B310" s="62" t="s">
        <v>323</v>
      </c>
      <c r="C310" s="63"/>
      <c r="D310" s="64"/>
      <c r="E310" s="65"/>
      <c r="F310" s="66"/>
      <c r="G310" s="63"/>
      <c r="H310" s="67"/>
      <c r="I310" s="68"/>
      <c r="J310" s="68"/>
      <c r="K310" s="32"/>
      <c r="L310" s="75">
        <v>310</v>
      </c>
      <c r="M310" s="75"/>
      <c r="N310" s="70"/>
      <c r="O310" s="77" t="s">
        <v>179</v>
      </c>
      <c r="P310" s="79">
        <v>44943.588553240741</v>
      </c>
      <c r="Q310" s="77" t="s">
        <v>1426</v>
      </c>
      <c r="R310" s="77">
        <v>0</v>
      </c>
      <c r="S310" s="77">
        <v>0</v>
      </c>
      <c r="T310" s="77">
        <v>0</v>
      </c>
      <c r="U310" s="77">
        <v>0</v>
      </c>
      <c r="V310" s="77">
        <v>2</v>
      </c>
      <c r="W310" s="82" t="s">
        <v>4248</v>
      </c>
      <c r="X310" s="80" t="str">
        <f>HYPERLINK("https://www.instagram.com/reel/CnhNc0ct4Um/?igshid=MDJmNzVkMjY=")</f>
        <v>https://www.instagram.com/reel/CnhNc0ct4Um/?igshid=MDJmNzVkMjY=</v>
      </c>
      <c r="Y310" s="77" t="s">
        <v>6000</v>
      </c>
      <c r="Z310" s="77"/>
      <c r="AA310" s="77"/>
      <c r="AB310" s="77"/>
      <c r="AC310" s="82" t="s">
        <v>7707</v>
      </c>
      <c r="AD310" s="77" t="s">
        <v>7745</v>
      </c>
      <c r="AE310" s="80" t="str">
        <f>HYPERLINK("https://twitter.com/irineubere/status/1615350104310808580")</f>
        <v>https://twitter.com/irineubere/status/1615350104310808580</v>
      </c>
      <c r="AF310" s="79">
        <v>44943.588553240741</v>
      </c>
      <c r="AG310" s="85">
        <v>44943</v>
      </c>
      <c r="AH310" s="82" t="s">
        <v>8053</v>
      </c>
      <c r="AI310" s="77" t="b">
        <v>0</v>
      </c>
      <c r="AJ310" s="77"/>
      <c r="AK310" s="77"/>
      <c r="AL310" s="77"/>
      <c r="AM310" s="77"/>
      <c r="AN310" s="77"/>
      <c r="AO310" s="77"/>
      <c r="AP310" s="77"/>
      <c r="AQ310" s="77"/>
      <c r="AR310" s="77"/>
      <c r="AS310" s="77"/>
      <c r="AT310" s="77"/>
      <c r="AU310" s="77"/>
      <c r="AV310" s="80" t="str">
        <f>HYPERLINK("https://pbs.twimg.com/profile_images/1609890382300471297/1HGHH84K_normal.png")</f>
        <v>https://pbs.twimg.com/profile_images/1609890382300471297/1HGHH84K_normal.png</v>
      </c>
      <c r="AW310" s="82" t="s">
        <v>12506</v>
      </c>
      <c r="AX310" s="82" t="s">
        <v>12506</v>
      </c>
      <c r="AY310" s="77"/>
      <c r="AZ310" s="82" t="s">
        <v>15804</v>
      </c>
      <c r="BA310" s="82" t="s">
        <v>15804</v>
      </c>
      <c r="BB310" s="82" t="s">
        <v>15804</v>
      </c>
      <c r="BC310" s="82" t="s">
        <v>12506</v>
      </c>
      <c r="BD310" s="77">
        <v>536380588</v>
      </c>
      <c r="BE310" s="77"/>
      <c r="BF310" s="77"/>
      <c r="BG310" s="77"/>
      <c r="BH310" s="77"/>
      <c r="BI310" s="77"/>
    </row>
    <row r="311" spans="1:61" x14ac:dyDescent="0.25">
      <c r="A311" s="62" t="s">
        <v>323</v>
      </c>
      <c r="B311" s="62" t="s">
        <v>323</v>
      </c>
      <c r="C311" s="63"/>
      <c r="D311" s="64"/>
      <c r="E311" s="65"/>
      <c r="F311" s="66"/>
      <c r="G311" s="63"/>
      <c r="H311" s="67"/>
      <c r="I311" s="68"/>
      <c r="J311" s="68"/>
      <c r="K311" s="32"/>
      <c r="L311" s="75">
        <v>311</v>
      </c>
      <c r="M311" s="75"/>
      <c r="N311" s="70"/>
      <c r="O311" s="77" t="s">
        <v>179</v>
      </c>
      <c r="P311" s="79">
        <v>45008.629432870373</v>
      </c>
      <c r="Q311" s="77" t="s">
        <v>1427</v>
      </c>
      <c r="R311" s="77">
        <v>0</v>
      </c>
      <c r="S311" s="77">
        <v>0</v>
      </c>
      <c r="T311" s="77">
        <v>0</v>
      </c>
      <c r="U311" s="77">
        <v>0</v>
      </c>
      <c r="V311" s="77"/>
      <c r="W311" s="82" t="s">
        <v>4249</v>
      </c>
      <c r="X311" s="80" t="str">
        <f>HYPERLINK("https://www.instagram.com/reel/CqIpbGxPLED/?igshid=MDJmNzVkMjY=")</f>
        <v>https://www.instagram.com/reel/CqIpbGxPLED/?igshid=MDJmNzVkMjY=</v>
      </c>
      <c r="Y311" s="77" t="s">
        <v>6000</v>
      </c>
      <c r="Z311" s="77"/>
      <c r="AA311" s="77"/>
      <c r="AB311" s="77"/>
      <c r="AC311" s="82" t="s">
        <v>7707</v>
      </c>
      <c r="AD311" s="77" t="s">
        <v>7745</v>
      </c>
      <c r="AE311" s="80" t="str">
        <f>HYPERLINK("https://twitter.com/irineubere/status/1638920132629090304")</f>
        <v>https://twitter.com/irineubere/status/1638920132629090304</v>
      </c>
      <c r="AF311" s="79">
        <v>45008.629432870373</v>
      </c>
      <c r="AG311" s="85">
        <v>45008</v>
      </c>
      <c r="AH311" s="82" t="s">
        <v>8054</v>
      </c>
      <c r="AI311" s="77" t="b">
        <v>0</v>
      </c>
      <c r="AJ311" s="77"/>
      <c r="AK311" s="77"/>
      <c r="AL311" s="77"/>
      <c r="AM311" s="77"/>
      <c r="AN311" s="77"/>
      <c r="AO311" s="77"/>
      <c r="AP311" s="77"/>
      <c r="AQ311" s="77"/>
      <c r="AR311" s="77"/>
      <c r="AS311" s="77"/>
      <c r="AT311" s="77"/>
      <c r="AU311" s="77"/>
      <c r="AV311" s="80" t="str">
        <f>HYPERLINK("https://pbs.twimg.com/profile_images/1609890382300471297/1HGHH84K_normal.png")</f>
        <v>https://pbs.twimg.com/profile_images/1609890382300471297/1HGHH84K_normal.png</v>
      </c>
      <c r="AW311" s="82" t="s">
        <v>12507</v>
      </c>
      <c r="AX311" s="82" t="s">
        <v>12507</v>
      </c>
      <c r="AY311" s="77"/>
      <c r="AZ311" s="82" t="s">
        <v>15804</v>
      </c>
      <c r="BA311" s="82" t="s">
        <v>15804</v>
      </c>
      <c r="BB311" s="82" t="s">
        <v>15804</v>
      </c>
      <c r="BC311" s="82" t="s">
        <v>12507</v>
      </c>
      <c r="BD311" s="77">
        <v>536380588</v>
      </c>
      <c r="BE311" s="77"/>
      <c r="BF311" s="77"/>
      <c r="BG311" s="77"/>
      <c r="BH311" s="77"/>
      <c r="BI311" s="77"/>
    </row>
    <row r="312" spans="1:61" x14ac:dyDescent="0.25">
      <c r="A312" s="62" t="s">
        <v>323</v>
      </c>
      <c r="B312" s="62" t="s">
        <v>323</v>
      </c>
      <c r="C312" s="63"/>
      <c r="D312" s="64"/>
      <c r="E312" s="65"/>
      <c r="F312" s="66"/>
      <c r="G312" s="63"/>
      <c r="H312" s="67"/>
      <c r="I312" s="68"/>
      <c r="J312" s="68"/>
      <c r="K312" s="32"/>
      <c r="L312" s="75">
        <v>312</v>
      </c>
      <c r="M312" s="75"/>
      <c r="N312" s="70"/>
      <c r="O312" s="77" t="s">
        <v>179</v>
      </c>
      <c r="P312" s="79">
        <v>44964.62945601852</v>
      </c>
      <c r="Q312" s="77" t="s">
        <v>1428</v>
      </c>
      <c r="R312" s="77">
        <v>0</v>
      </c>
      <c r="S312" s="77">
        <v>0</v>
      </c>
      <c r="T312" s="77">
        <v>0</v>
      </c>
      <c r="U312" s="77">
        <v>0</v>
      </c>
      <c r="V312" s="77">
        <v>3</v>
      </c>
      <c r="W312" s="82" t="s">
        <v>4250</v>
      </c>
      <c r="X312" s="80" t="str">
        <f>HYPERLINK("https://www.instagram.com/reel/CoXRcrurUpT/?igshid=MDJmNzVkMjY=")</f>
        <v>https://www.instagram.com/reel/CoXRcrurUpT/?igshid=MDJmNzVkMjY=</v>
      </c>
      <c r="Y312" s="77" t="s">
        <v>6000</v>
      </c>
      <c r="Z312" s="77"/>
      <c r="AA312" s="77"/>
      <c r="AB312" s="77"/>
      <c r="AC312" s="82" t="s">
        <v>7707</v>
      </c>
      <c r="AD312" s="77" t="s">
        <v>7745</v>
      </c>
      <c r="AE312" s="80" t="str">
        <f>HYPERLINK("https://twitter.com/irineubere/status/1622975073186467841")</f>
        <v>https://twitter.com/irineubere/status/1622975073186467841</v>
      </c>
      <c r="AF312" s="79">
        <v>44964.62945601852</v>
      </c>
      <c r="AG312" s="85">
        <v>44964</v>
      </c>
      <c r="AH312" s="82" t="s">
        <v>8055</v>
      </c>
      <c r="AI312" s="77" t="b">
        <v>0</v>
      </c>
      <c r="AJ312" s="77"/>
      <c r="AK312" s="77"/>
      <c r="AL312" s="77"/>
      <c r="AM312" s="77"/>
      <c r="AN312" s="77"/>
      <c r="AO312" s="77"/>
      <c r="AP312" s="77"/>
      <c r="AQ312" s="77"/>
      <c r="AR312" s="77"/>
      <c r="AS312" s="77"/>
      <c r="AT312" s="77"/>
      <c r="AU312" s="77"/>
      <c r="AV312" s="80" t="str">
        <f>HYPERLINK("https://pbs.twimg.com/profile_images/1609890382300471297/1HGHH84K_normal.png")</f>
        <v>https://pbs.twimg.com/profile_images/1609890382300471297/1HGHH84K_normal.png</v>
      </c>
      <c r="AW312" s="82" t="s">
        <v>12508</v>
      </c>
      <c r="AX312" s="82" t="s">
        <v>12508</v>
      </c>
      <c r="AY312" s="77"/>
      <c r="AZ312" s="82" t="s">
        <v>15804</v>
      </c>
      <c r="BA312" s="82" t="s">
        <v>15804</v>
      </c>
      <c r="BB312" s="82" t="s">
        <v>15804</v>
      </c>
      <c r="BC312" s="82" t="s">
        <v>12508</v>
      </c>
      <c r="BD312" s="77">
        <v>536380588</v>
      </c>
      <c r="BE312" s="77"/>
      <c r="BF312" s="77"/>
      <c r="BG312" s="77"/>
      <c r="BH312" s="77"/>
      <c r="BI312" s="77"/>
    </row>
    <row r="313" spans="1:61" x14ac:dyDescent="0.25">
      <c r="A313" s="62" t="s">
        <v>323</v>
      </c>
      <c r="B313" s="62" t="s">
        <v>323</v>
      </c>
      <c r="C313" s="63"/>
      <c r="D313" s="64"/>
      <c r="E313" s="65"/>
      <c r="F313" s="66"/>
      <c r="G313" s="63"/>
      <c r="H313" s="67"/>
      <c r="I313" s="68"/>
      <c r="J313" s="68"/>
      <c r="K313" s="32"/>
      <c r="L313" s="75">
        <v>313</v>
      </c>
      <c r="M313" s="75"/>
      <c r="N313" s="70"/>
      <c r="O313" s="77" t="s">
        <v>179</v>
      </c>
      <c r="P313" s="79">
        <v>44992.649560185186</v>
      </c>
      <c r="Q313" s="77" t="s">
        <v>1429</v>
      </c>
      <c r="R313" s="77">
        <v>0</v>
      </c>
      <c r="S313" s="77">
        <v>1</v>
      </c>
      <c r="T313" s="77">
        <v>0</v>
      </c>
      <c r="U313" s="77">
        <v>0</v>
      </c>
      <c r="V313" s="77">
        <v>12</v>
      </c>
      <c r="W313" s="82" t="s">
        <v>4251</v>
      </c>
      <c r="X313" s="80" t="str">
        <f>HYPERLINK("https://www.instagram.com/reel/CpfXh8ru-rj/?igshid=MDJmNzVkMjY=")</f>
        <v>https://www.instagram.com/reel/CpfXh8ru-rj/?igshid=MDJmNzVkMjY=</v>
      </c>
      <c r="Y313" s="77" t="s">
        <v>6000</v>
      </c>
      <c r="Z313" s="77"/>
      <c r="AA313" s="77"/>
      <c r="AB313" s="77"/>
      <c r="AC313" s="82" t="s">
        <v>7707</v>
      </c>
      <c r="AD313" s="77" t="s">
        <v>7745</v>
      </c>
      <c r="AE313" s="80" t="str">
        <f>HYPERLINK("https://twitter.com/irineubere/status/1633129218925031426")</f>
        <v>https://twitter.com/irineubere/status/1633129218925031426</v>
      </c>
      <c r="AF313" s="79">
        <v>44992.649560185186</v>
      </c>
      <c r="AG313" s="85">
        <v>44992</v>
      </c>
      <c r="AH313" s="82" t="s">
        <v>8056</v>
      </c>
      <c r="AI313" s="77" t="b">
        <v>0</v>
      </c>
      <c r="AJ313" s="77"/>
      <c r="AK313" s="77"/>
      <c r="AL313" s="77"/>
      <c r="AM313" s="77"/>
      <c r="AN313" s="77"/>
      <c r="AO313" s="77"/>
      <c r="AP313" s="77"/>
      <c r="AQ313" s="77"/>
      <c r="AR313" s="77"/>
      <c r="AS313" s="77"/>
      <c r="AT313" s="77"/>
      <c r="AU313" s="77"/>
      <c r="AV313" s="80" t="str">
        <f>HYPERLINK("https://pbs.twimg.com/profile_images/1609890382300471297/1HGHH84K_normal.png")</f>
        <v>https://pbs.twimg.com/profile_images/1609890382300471297/1HGHH84K_normal.png</v>
      </c>
      <c r="AW313" s="82" t="s">
        <v>12509</v>
      </c>
      <c r="AX313" s="82" t="s">
        <v>12509</v>
      </c>
      <c r="AY313" s="77"/>
      <c r="AZ313" s="82" t="s">
        <v>15804</v>
      </c>
      <c r="BA313" s="82" t="s">
        <v>15804</v>
      </c>
      <c r="BB313" s="82" t="s">
        <v>15804</v>
      </c>
      <c r="BC313" s="82" t="s">
        <v>12509</v>
      </c>
      <c r="BD313" s="77">
        <v>536380588</v>
      </c>
      <c r="BE313" s="77"/>
      <c r="BF313" s="77"/>
      <c r="BG313" s="77"/>
      <c r="BH313" s="77"/>
      <c r="BI313" s="77"/>
    </row>
    <row r="314" spans="1:61" x14ac:dyDescent="0.25">
      <c r="A314" s="62" t="s">
        <v>323</v>
      </c>
      <c r="B314" s="62" t="s">
        <v>323</v>
      </c>
      <c r="C314" s="63"/>
      <c r="D314" s="64"/>
      <c r="E314" s="65"/>
      <c r="F314" s="66"/>
      <c r="G314" s="63"/>
      <c r="H314" s="67"/>
      <c r="I314" s="68"/>
      <c r="J314" s="68"/>
      <c r="K314" s="32"/>
      <c r="L314" s="75">
        <v>314</v>
      </c>
      <c r="M314" s="75"/>
      <c r="N314" s="70"/>
      <c r="O314" s="77" t="s">
        <v>179</v>
      </c>
      <c r="P314" s="79">
        <v>45051.730671296296</v>
      </c>
      <c r="Q314" s="77" t="s">
        <v>1430</v>
      </c>
      <c r="R314" s="77">
        <v>0</v>
      </c>
      <c r="S314" s="77">
        <v>0</v>
      </c>
      <c r="T314" s="77">
        <v>0</v>
      </c>
      <c r="U314" s="77">
        <v>0</v>
      </c>
      <c r="V314" s="77">
        <v>11</v>
      </c>
      <c r="W314" s="82" t="s">
        <v>4252</v>
      </c>
      <c r="X314" s="80" t="str">
        <f>HYPERLINK("https://www.instagram.com/reel/Cr3SxR7OGGS/?igshid=MDJmNzVkMjY=")</f>
        <v>https://www.instagram.com/reel/Cr3SxR7OGGS/?igshid=MDJmNzVkMjY=</v>
      </c>
      <c r="Y314" s="77" t="s">
        <v>6000</v>
      </c>
      <c r="Z314" s="77"/>
      <c r="AA314" s="77"/>
      <c r="AB314" s="77"/>
      <c r="AC314" s="82" t="s">
        <v>7707</v>
      </c>
      <c r="AD314" s="77" t="s">
        <v>7745</v>
      </c>
      <c r="AE314" s="80" t="str">
        <f>HYPERLINK("https://twitter.com/irineubere/status/1654539497445392386")</f>
        <v>https://twitter.com/irineubere/status/1654539497445392386</v>
      </c>
      <c r="AF314" s="79">
        <v>45051.730671296296</v>
      </c>
      <c r="AG314" s="85">
        <v>45051</v>
      </c>
      <c r="AH314" s="82" t="s">
        <v>8057</v>
      </c>
      <c r="AI314" s="77" t="b">
        <v>0</v>
      </c>
      <c r="AJ314" s="77"/>
      <c r="AK314" s="77"/>
      <c r="AL314" s="77"/>
      <c r="AM314" s="77"/>
      <c r="AN314" s="77"/>
      <c r="AO314" s="77"/>
      <c r="AP314" s="77"/>
      <c r="AQ314" s="77"/>
      <c r="AR314" s="77"/>
      <c r="AS314" s="77"/>
      <c r="AT314" s="77"/>
      <c r="AU314" s="77"/>
      <c r="AV314" s="80" t="str">
        <f>HYPERLINK("https://pbs.twimg.com/profile_images/1609890382300471297/1HGHH84K_normal.png")</f>
        <v>https://pbs.twimg.com/profile_images/1609890382300471297/1HGHH84K_normal.png</v>
      </c>
      <c r="AW314" s="82" t="s">
        <v>12510</v>
      </c>
      <c r="AX314" s="82" t="s">
        <v>12510</v>
      </c>
      <c r="AY314" s="77"/>
      <c r="AZ314" s="82" t="s">
        <v>15804</v>
      </c>
      <c r="BA314" s="82" t="s">
        <v>15804</v>
      </c>
      <c r="BB314" s="82" t="s">
        <v>15804</v>
      </c>
      <c r="BC314" s="82" t="s">
        <v>12510</v>
      </c>
      <c r="BD314" s="77">
        <v>536380588</v>
      </c>
      <c r="BE314" s="77"/>
      <c r="BF314" s="77"/>
      <c r="BG314" s="77"/>
      <c r="BH314" s="77"/>
      <c r="BI314" s="77"/>
    </row>
    <row r="315" spans="1:61" x14ac:dyDescent="0.25">
      <c r="A315" s="62" t="s">
        <v>324</v>
      </c>
      <c r="B315" s="62" t="s">
        <v>324</v>
      </c>
      <c r="C315" s="63"/>
      <c r="D315" s="64"/>
      <c r="E315" s="65"/>
      <c r="F315" s="66"/>
      <c r="G315" s="63"/>
      <c r="H315" s="67"/>
      <c r="I315" s="68"/>
      <c r="J315" s="68"/>
      <c r="K315" s="32"/>
      <c r="L315" s="75">
        <v>315</v>
      </c>
      <c r="M315" s="75"/>
      <c r="N315" s="70"/>
      <c r="O315" s="77" t="s">
        <v>179</v>
      </c>
      <c r="P315" s="79">
        <v>44936.859537037039</v>
      </c>
      <c r="Q315" s="77" t="s">
        <v>1431</v>
      </c>
      <c r="R315" s="77">
        <v>0</v>
      </c>
      <c r="S315" s="77">
        <v>0</v>
      </c>
      <c r="T315" s="77">
        <v>0</v>
      </c>
      <c r="U315" s="77">
        <v>0</v>
      </c>
      <c r="V315" s="77">
        <v>31</v>
      </c>
      <c r="W315" s="82" t="s">
        <v>4253</v>
      </c>
      <c r="X315" s="77"/>
      <c r="Y315" s="77"/>
      <c r="Z315" s="77"/>
      <c r="AA315" s="77" t="s">
        <v>6293</v>
      </c>
      <c r="AB315" s="77" t="s">
        <v>7700</v>
      </c>
      <c r="AC315" s="82" t="s">
        <v>7707</v>
      </c>
      <c r="AD315" s="77" t="s">
        <v>7745</v>
      </c>
      <c r="AE315" s="80" t="str">
        <f>HYPERLINK("https://twitter.com/villasboasvi/status/1612911592152174593")</f>
        <v>https://twitter.com/villasboasvi/status/1612911592152174593</v>
      </c>
      <c r="AF315" s="79">
        <v>44936.859537037039</v>
      </c>
      <c r="AG315" s="85">
        <v>44936</v>
      </c>
      <c r="AH315" s="82" t="s">
        <v>8058</v>
      </c>
      <c r="AI315" s="77" t="b">
        <v>0</v>
      </c>
      <c r="AJ315" s="77"/>
      <c r="AK315" s="77"/>
      <c r="AL315" s="77"/>
      <c r="AM315" s="77"/>
      <c r="AN315" s="77"/>
      <c r="AO315" s="77"/>
      <c r="AP315" s="77"/>
      <c r="AQ315" s="77" t="s">
        <v>10800</v>
      </c>
      <c r="AR315" s="77"/>
      <c r="AS315" s="77"/>
      <c r="AT315" s="77"/>
      <c r="AU315" s="77"/>
      <c r="AV315" s="80" t="str">
        <f>HYPERLINK("https://pbs.twimg.com/media/FmI2h-ZXEAEpbjC.jpg")</f>
        <v>https://pbs.twimg.com/media/FmI2h-ZXEAEpbjC.jpg</v>
      </c>
      <c r="AW315" s="82" t="s">
        <v>12511</v>
      </c>
      <c r="AX315" s="82" t="s">
        <v>12511</v>
      </c>
      <c r="AY315" s="77"/>
      <c r="AZ315" s="82" t="s">
        <v>15804</v>
      </c>
      <c r="BA315" s="82" t="s">
        <v>15804</v>
      </c>
      <c r="BB315" s="82" t="s">
        <v>15804</v>
      </c>
      <c r="BC315" s="82" t="s">
        <v>12511</v>
      </c>
      <c r="BD315" s="77">
        <v>1593689102</v>
      </c>
      <c r="BE315" s="77"/>
      <c r="BF315" s="77"/>
      <c r="BG315" s="77"/>
      <c r="BH315" s="77"/>
      <c r="BI315" s="77"/>
    </row>
    <row r="316" spans="1:61" x14ac:dyDescent="0.25">
      <c r="A316" s="62" t="s">
        <v>325</v>
      </c>
      <c r="B316" s="62" t="s">
        <v>325</v>
      </c>
      <c r="C316" s="63"/>
      <c r="D316" s="64"/>
      <c r="E316" s="65"/>
      <c r="F316" s="66"/>
      <c r="G316" s="63"/>
      <c r="H316" s="67"/>
      <c r="I316" s="68"/>
      <c r="J316" s="68"/>
      <c r="K316" s="32"/>
      <c r="L316" s="75">
        <v>316</v>
      </c>
      <c r="M316" s="75"/>
      <c r="N316" s="70"/>
      <c r="O316" s="77" t="s">
        <v>179</v>
      </c>
      <c r="P316" s="79">
        <v>45006.786851851852</v>
      </c>
      <c r="Q316" s="77" t="s">
        <v>1432</v>
      </c>
      <c r="R316" s="77">
        <v>0</v>
      </c>
      <c r="S316" s="77">
        <v>0</v>
      </c>
      <c r="T316" s="77">
        <v>2</v>
      </c>
      <c r="U316" s="77">
        <v>0</v>
      </c>
      <c r="V316" s="77">
        <v>20</v>
      </c>
      <c r="W316" s="82" t="s">
        <v>4254</v>
      </c>
      <c r="X316" s="77"/>
      <c r="Y316" s="77"/>
      <c r="Z316" s="77"/>
      <c r="AA316" s="77" t="s">
        <v>6294</v>
      </c>
      <c r="AB316" s="77" t="s">
        <v>7697</v>
      </c>
      <c r="AC316" s="82" t="s">
        <v>7707</v>
      </c>
      <c r="AD316" s="77" t="s">
        <v>7746</v>
      </c>
      <c r="AE316" s="80" t="str">
        <f>HYPERLINK("https://twitter.com/eu_resma/status/1638252400778661889")</f>
        <v>https://twitter.com/eu_resma/status/1638252400778661889</v>
      </c>
      <c r="AF316" s="79">
        <v>45006.786851851852</v>
      </c>
      <c r="AG316" s="85">
        <v>45006</v>
      </c>
      <c r="AH316" s="82" t="s">
        <v>8059</v>
      </c>
      <c r="AI316" s="77" t="b">
        <v>0</v>
      </c>
      <c r="AJ316" s="77"/>
      <c r="AK316" s="77"/>
      <c r="AL316" s="77"/>
      <c r="AM316" s="77"/>
      <c r="AN316" s="77"/>
      <c r="AO316" s="77"/>
      <c r="AP316" s="77"/>
      <c r="AQ316" s="77" t="s">
        <v>10801</v>
      </c>
      <c r="AR316" s="77">
        <v>10633</v>
      </c>
      <c r="AS316" s="77"/>
      <c r="AT316" s="77"/>
      <c r="AU316" s="77">
        <v>6</v>
      </c>
      <c r="AV316" s="80" t="str">
        <f>HYPERLINK("https://pbs.twimg.com/ext_tw_video_thumb/1638173957512900618/pu/img/8Y_dK3fiiXUHrThD.jpg")</f>
        <v>https://pbs.twimg.com/ext_tw_video_thumb/1638173957512900618/pu/img/8Y_dK3fiiXUHrThD.jpg</v>
      </c>
      <c r="AW316" s="82" t="s">
        <v>12512</v>
      </c>
      <c r="AX316" s="82" t="s">
        <v>12512</v>
      </c>
      <c r="AY316" s="77"/>
      <c r="AZ316" s="82" t="s">
        <v>15804</v>
      </c>
      <c r="BA316" s="82" t="s">
        <v>15804</v>
      </c>
      <c r="BB316" s="82" t="s">
        <v>15804</v>
      </c>
      <c r="BC316" s="82" t="s">
        <v>12512</v>
      </c>
      <c r="BD316" s="82" t="s">
        <v>16191</v>
      </c>
      <c r="BE316" s="77"/>
      <c r="BF316" s="77"/>
      <c r="BG316" s="77"/>
      <c r="BH316" s="77"/>
      <c r="BI316" s="77"/>
    </row>
    <row r="317" spans="1:61" x14ac:dyDescent="0.25">
      <c r="A317" s="62" t="s">
        <v>325</v>
      </c>
      <c r="B317" s="62" t="s">
        <v>325</v>
      </c>
      <c r="C317" s="63"/>
      <c r="D317" s="64"/>
      <c r="E317" s="65"/>
      <c r="F317" s="66"/>
      <c r="G317" s="63"/>
      <c r="H317" s="67"/>
      <c r="I317" s="68"/>
      <c r="J317" s="68"/>
      <c r="K317" s="32"/>
      <c r="L317" s="75">
        <v>317</v>
      </c>
      <c r="M317" s="75"/>
      <c r="N317" s="70"/>
      <c r="O317" s="77" t="s">
        <v>179</v>
      </c>
      <c r="P317" s="79">
        <v>45134.475821759261</v>
      </c>
      <c r="Q317" s="77" t="s">
        <v>1433</v>
      </c>
      <c r="R317" s="77">
        <v>0</v>
      </c>
      <c r="S317" s="77">
        <v>0</v>
      </c>
      <c r="T317" s="77">
        <v>0</v>
      </c>
      <c r="U317" s="77">
        <v>0</v>
      </c>
      <c r="V317" s="77">
        <v>5</v>
      </c>
      <c r="W317" s="82" t="s">
        <v>4255</v>
      </c>
      <c r="X317" s="77"/>
      <c r="Y317" s="77"/>
      <c r="Z317" s="77"/>
      <c r="AA317" s="77" t="s">
        <v>6295</v>
      </c>
      <c r="AB317" s="77" t="s">
        <v>7696</v>
      </c>
      <c r="AC317" s="82" t="s">
        <v>7707</v>
      </c>
      <c r="AD317" s="77" t="s">
        <v>7745</v>
      </c>
      <c r="AE317" s="80" t="str">
        <f>HYPERLINK("https://twitter.com/eu_resma/status/1684525335059087361")</f>
        <v>https://twitter.com/eu_resma/status/1684525335059087361</v>
      </c>
      <c r="AF317" s="79">
        <v>45134.475821759261</v>
      </c>
      <c r="AG317" s="85">
        <v>45134</v>
      </c>
      <c r="AH317" s="82" t="s">
        <v>8060</v>
      </c>
      <c r="AI317" s="77" t="b">
        <v>0</v>
      </c>
      <c r="AJ317" s="77"/>
      <c r="AK317" s="77"/>
      <c r="AL317" s="77"/>
      <c r="AM317" s="77"/>
      <c r="AN317" s="77"/>
      <c r="AO317" s="77"/>
      <c r="AP317" s="77"/>
      <c r="AQ317" s="77" t="s">
        <v>10802</v>
      </c>
      <c r="AR317" s="77"/>
      <c r="AS317" s="77"/>
      <c r="AT317" s="77"/>
      <c r="AU317" s="77"/>
      <c r="AV317" s="80" t="str">
        <f>HYPERLINK("https://pbs.twimg.com/media/F2Ci3VYXgAEWQjJ.jpg")</f>
        <v>https://pbs.twimg.com/media/F2Ci3VYXgAEWQjJ.jpg</v>
      </c>
      <c r="AW317" s="82" t="s">
        <v>12513</v>
      </c>
      <c r="AX317" s="82" t="s">
        <v>12513</v>
      </c>
      <c r="AY317" s="77"/>
      <c r="AZ317" s="82" t="s">
        <v>15804</v>
      </c>
      <c r="BA317" s="82" t="s">
        <v>15804</v>
      </c>
      <c r="BB317" s="82" t="s">
        <v>15804</v>
      </c>
      <c r="BC317" s="82" t="s">
        <v>12513</v>
      </c>
      <c r="BD317" s="82" t="s">
        <v>16191</v>
      </c>
      <c r="BE317" s="77"/>
      <c r="BF317" s="77"/>
      <c r="BG317" s="77"/>
      <c r="BH317" s="77"/>
      <c r="BI317" s="77"/>
    </row>
    <row r="318" spans="1:61" x14ac:dyDescent="0.25">
      <c r="A318" s="62" t="s">
        <v>326</v>
      </c>
      <c r="B318" s="62" t="s">
        <v>326</v>
      </c>
      <c r="C318" s="63"/>
      <c r="D318" s="64"/>
      <c r="E318" s="65"/>
      <c r="F318" s="66"/>
      <c r="G318" s="63"/>
      <c r="H318" s="67"/>
      <c r="I318" s="68"/>
      <c r="J318" s="68"/>
      <c r="K318" s="32"/>
      <c r="L318" s="75">
        <v>318</v>
      </c>
      <c r="M318" s="75"/>
      <c r="N318" s="70"/>
      <c r="O318" s="77" t="s">
        <v>179</v>
      </c>
      <c r="P318" s="79">
        <v>45132.540092592593</v>
      </c>
      <c r="Q318" s="77" t="s">
        <v>1434</v>
      </c>
      <c r="R318" s="77">
        <v>0</v>
      </c>
      <c r="S318" s="77">
        <v>0</v>
      </c>
      <c r="T318" s="77">
        <v>0</v>
      </c>
      <c r="U318" s="77">
        <v>0</v>
      </c>
      <c r="V318" s="77">
        <v>150</v>
      </c>
      <c r="W318" s="82" t="s">
        <v>4256</v>
      </c>
      <c r="X318" s="80" t="str">
        <f>HYPERLINK("https://economia.ig.com.br/2023-07-25/educacao-financeira-quando-falar-sobre-dinheiro-com-criancas.html")</f>
        <v>https://economia.ig.com.br/2023-07-25/educacao-financeira-quando-falar-sobre-dinheiro-com-criancas.html</v>
      </c>
      <c r="Y318" s="77" t="s">
        <v>6002</v>
      </c>
      <c r="Z318" s="77"/>
      <c r="AA318" s="77"/>
      <c r="AB318" s="77"/>
      <c r="AC318" s="82" t="s">
        <v>7706</v>
      </c>
      <c r="AD318" s="77" t="s">
        <v>7745</v>
      </c>
      <c r="AE318" s="80" t="str">
        <f>HYPERLINK("https://twitter.com/ig/status/1683823850788618240")</f>
        <v>https://twitter.com/ig/status/1683823850788618240</v>
      </c>
      <c r="AF318" s="79">
        <v>45132.540092592593</v>
      </c>
      <c r="AG318" s="85">
        <v>45132</v>
      </c>
      <c r="AH318" s="82" t="s">
        <v>8061</v>
      </c>
      <c r="AI318" s="77" t="b">
        <v>0</v>
      </c>
      <c r="AJ318" s="77"/>
      <c r="AK318" s="77"/>
      <c r="AL318" s="77"/>
      <c r="AM318" s="77"/>
      <c r="AN318" s="77"/>
      <c r="AO318" s="77"/>
      <c r="AP318" s="77"/>
      <c r="AQ318" s="77"/>
      <c r="AR318" s="77"/>
      <c r="AS318" s="77"/>
      <c r="AT318" s="77"/>
      <c r="AU318" s="77"/>
      <c r="AV318" s="80" t="str">
        <f>HYPERLINK("https://pbs.twimg.com/profile_images/1603545636309241856/yvqEuSnz_normal.jpg")</f>
        <v>https://pbs.twimg.com/profile_images/1603545636309241856/yvqEuSnz_normal.jpg</v>
      </c>
      <c r="AW318" s="82" t="s">
        <v>12514</v>
      </c>
      <c r="AX318" s="82" t="s">
        <v>12514</v>
      </c>
      <c r="AY318" s="77"/>
      <c r="AZ318" s="82" t="s">
        <v>15804</v>
      </c>
      <c r="BA318" s="82" t="s">
        <v>15804</v>
      </c>
      <c r="BB318" s="82" t="s">
        <v>15804</v>
      </c>
      <c r="BC318" s="82" t="s">
        <v>12514</v>
      </c>
      <c r="BD318" s="77">
        <v>14311308</v>
      </c>
      <c r="BE318" s="77"/>
      <c r="BF318" s="77"/>
      <c r="BG318" s="77"/>
      <c r="BH318" s="77"/>
      <c r="BI318" s="77"/>
    </row>
    <row r="319" spans="1:61" x14ac:dyDescent="0.25">
      <c r="A319" s="62" t="s">
        <v>327</v>
      </c>
      <c r="B319" s="62" t="s">
        <v>327</v>
      </c>
      <c r="C319" s="63"/>
      <c r="D319" s="64"/>
      <c r="E319" s="65"/>
      <c r="F319" s="66"/>
      <c r="G319" s="63"/>
      <c r="H319" s="67"/>
      <c r="I319" s="68"/>
      <c r="J319" s="68"/>
      <c r="K319" s="32"/>
      <c r="L319" s="75">
        <v>319</v>
      </c>
      <c r="M319" s="75"/>
      <c r="N319" s="70"/>
      <c r="O319" s="77" t="s">
        <v>1132</v>
      </c>
      <c r="P319" s="79">
        <v>45047.573229166665</v>
      </c>
      <c r="Q319" s="77" t="s">
        <v>1435</v>
      </c>
      <c r="R319" s="77">
        <v>0</v>
      </c>
      <c r="S319" s="77">
        <v>0</v>
      </c>
      <c r="T319" s="77">
        <v>0</v>
      </c>
      <c r="U319" s="77">
        <v>0</v>
      </c>
      <c r="V319" s="77">
        <v>20</v>
      </c>
      <c r="W319" s="82" t="s">
        <v>4257</v>
      </c>
      <c r="X319" s="77"/>
      <c r="Y319" s="77"/>
      <c r="Z319" s="77"/>
      <c r="AA319" s="77"/>
      <c r="AB319" s="77"/>
      <c r="AC319" s="82" t="s">
        <v>7707</v>
      </c>
      <c r="AD319" s="77" t="s">
        <v>7748</v>
      </c>
      <c r="AE319" s="80" t="str">
        <f>HYPERLINK("https://twitter.com/brennerdelfino/status/1653032889863360513")</f>
        <v>https://twitter.com/brennerdelfino/status/1653032889863360513</v>
      </c>
      <c r="AF319" s="79">
        <v>45047.573229166665</v>
      </c>
      <c r="AG319" s="85">
        <v>45047</v>
      </c>
      <c r="AH319" s="82" t="s">
        <v>8062</v>
      </c>
      <c r="AI319" s="77"/>
      <c r="AJ319" s="77"/>
      <c r="AK319" s="77"/>
      <c r="AL319" s="77"/>
      <c r="AM319" s="77"/>
      <c r="AN319" s="77"/>
      <c r="AO319" s="77"/>
      <c r="AP319" s="77"/>
      <c r="AQ319" s="77"/>
      <c r="AR319" s="77"/>
      <c r="AS319" s="77"/>
      <c r="AT319" s="77"/>
      <c r="AU319" s="77"/>
      <c r="AV319" s="80" t="str">
        <f>HYPERLINK("https://pbs.twimg.com/profile_images/1526166093504688128/mDf-RilF_normal.jpg")</f>
        <v>https://pbs.twimg.com/profile_images/1526166093504688128/mDf-RilF_normal.jpg</v>
      </c>
      <c r="AW319" s="82" t="s">
        <v>12515</v>
      </c>
      <c r="AX319" s="82" t="s">
        <v>15264</v>
      </c>
      <c r="AY319" s="82" t="s">
        <v>15690</v>
      </c>
      <c r="AZ319" s="82" t="s">
        <v>15264</v>
      </c>
      <c r="BA319" s="82" t="s">
        <v>15804</v>
      </c>
      <c r="BB319" s="82" t="s">
        <v>15804</v>
      </c>
      <c r="BC319" s="82" t="s">
        <v>15264</v>
      </c>
      <c r="BD319" s="77">
        <v>2389505576</v>
      </c>
      <c r="BE319" s="77"/>
      <c r="BF319" s="77"/>
      <c r="BG319" s="77"/>
      <c r="BH319" s="77"/>
      <c r="BI319" s="77"/>
    </row>
    <row r="320" spans="1:61" x14ac:dyDescent="0.25">
      <c r="A320" s="62" t="s">
        <v>328</v>
      </c>
      <c r="B320" s="62" t="s">
        <v>328</v>
      </c>
      <c r="C320" s="63"/>
      <c r="D320" s="64"/>
      <c r="E320" s="65"/>
      <c r="F320" s="66"/>
      <c r="G320" s="63"/>
      <c r="H320" s="67"/>
      <c r="I320" s="68"/>
      <c r="J320" s="68"/>
      <c r="K320" s="32"/>
      <c r="L320" s="75">
        <v>320</v>
      </c>
      <c r="M320" s="75"/>
      <c r="N320" s="70"/>
      <c r="O320" s="77" t="s">
        <v>179</v>
      </c>
      <c r="P320" s="79">
        <v>44931.783530092594</v>
      </c>
      <c r="Q320" s="77" t="s">
        <v>1436</v>
      </c>
      <c r="R320" s="77">
        <v>0</v>
      </c>
      <c r="S320" s="77">
        <v>0</v>
      </c>
      <c r="T320" s="77">
        <v>0</v>
      </c>
      <c r="U320" s="77">
        <v>0</v>
      </c>
      <c r="V320" s="77">
        <v>6</v>
      </c>
      <c r="W320" s="82" t="s">
        <v>4258</v>
      </c>
      <c r="X320" s="77"/>
      <c r="Y320" s="77"/>
      <c r="Z320" s="77"/>
      <c r="AA320" s="77"/>
      <c r="AB320" s="77"/>
      <c r="AC320" s="82" t="s">
        <v>7707</v>
      </c>
      <c r="AD320" s="77" t="s">
        <v>7745</v>
      </c>
      <c r="AE320" s="80" t="str">
        <f>HYPERLINK("https://twitter.com/jacoagirafa/status/1611072107126874113")</f>
        <v>https://twitter.com/jacoagirafa/status/1611072107126874113</v>
      </c>
      <c r="AF320" s="79">
        <v>44931.783530092594</v>
      </c>
      <c r="AG320" s="85">
        <v>44931</v>
      </c>
      <c r="AH320" s="82" t="s">
        <v>8063</v>
      </c>
      <c r="AI320" s="77"/>
      <c r="AJ320" s="77"/>
      <c r="AK320" s="77"/>
      <c r="AL320" s="77"/>
      <c r="AM320" s="77"/>
      <c r="AN320" s="77"/>
      <c r="AO320" s="77"/>
      <c r="AP320" s="77"/>
      <c r="AQ320" s="77"/>
      <c r="AR320" s="77"/>
      <c r="AS320" s="77"/>
      <c r="AT320" s="77"/>
      <c r="AU320" s="77"/>
      <c r="AV320" s="80" t="str">
        <f>HYPERLINK("https://pbs.twimg.com/profile_images/1601296566748315648/2pHMOSfW_normal.jpg")</f>
        <v>https://pbs.twimg.com/profile_images/1601296566748315648/2pHMOSfW_normal.jpg</v>
      </c>
      <c r="AW320" s="82" t="s">
        <v>12516</v>
      </c>
      <c r="AX320" s="82" t="s">
        <v>12516</v>
      </c>
      <c r="AY320" s="77"/>
      <c r="AZ320" s="82" t="s">
        <v>15804</v>
      </c>
      <c r="BA320" s="82" t="s">
        <v>15804</v>
      </c>
      <c r="BB320" s="82" t="s">
        <v>15804</v>
      </c>
      <c r="BC320" s="82" t="s">
        <v>12516</v>
      </c>
      <c r="BD320" s="82" t="s">
        <v>15691</v>
      </c>
      <c r="BE320" s="77"/>
      <c r="BF320" s="77"/>
      <c r="BG320" s="77"/>
      <c r="BH320" s="77"/>
      <c r="BI320" s="77"/>
    </row>
    <row r="321" spans="1:61" x14ac:dyDescent="0.25">
      <c r="A321" s="62" t="s">
        <v>328</v>
      </c>
      <c r="B321" s="62" t="s">
        <v>328</v>
      </c>
      <c r="C321" s="63"/>
      <c r="D321" s="64"/>
      <c r="E321" s="65"/>
      <c r="F321" s="66"/>
      <c r="G321" s="63"/>
      <c r="H321" s="67"/>
      <c r="I321" s="68"/>
      <c r="J321" s="68"/>
      <c r="K321" s="32"/>
      <c r="L321" s="75">
        <v>321</v>
      </c>
      <c r="M321" s="75"/>
      <c r="N321" s="70"/>
      <c r="O321" s="77" t="s">
        <v>1132</v>
      </c>
      <c r="P321" s="79">
        <v>44964.590555555558</v>
      </c>
      <c r="Q321" s="77" t="s">
        <v>1437</v>
      </c>
      <c r="R321" s="77">
        <v>0</v>
      </c>
      <c r="S321" s="77">
        <v>0</v>
      </c>
      <c r="T321" s="77">
        <v>1</v>
      </c>
      <c r="U321" s="77">
        <v>0</v>
      </c>
      <c r="V321" s="77">
        <v>11</v>
      </c>
      <c r="W321" s="82" t="s">
        <v>4097</v>
      </c>
      <c r="X321" s="77"/>
      <c r="Y321" s="77"/>
      <c r="Z321" s="77"/>
      <c r="AA321" s="77"/>
      <c r="AB321" s="77"/>
      <c r="AC321" s="82" t="s">
        <v>7707</v>
      </c>
      <c r="AD321" s="77" t="s">
        <v>7748</v>
      </c>
      <c r="AE321" s="80" t="str">
        <f>HYPERLINK("https://twitter.com/jacoagirafa/status/1622960977263181831")</f>
        <v>https://twitter.com/jacoagirafa/status/1622960977263181831</v>
      </c>
      <c r="AF321" s="79">
        <v>44964.590555555558</v>
      </c>
      <c r="AG321" s="85">
        <v>44964</v>
      </c>
      <c r="AH321" s="82" t="s">
        <v>8064</v>
      </c>
      <c r="AI321" s="77"/>
      <c r="AJ321" s="77"/>
      <c r="AK321" s="77"/>
      <c r="AL321" s="77"/>
      <c r="AM321" s="77"/>
      <c r="AN321" s="77"/>
      <c r="AO321" s="77"/>
      <c r="AP321" s="77"/>
      <c r="AQ321" s="77"/>
      <c r="AR321" s="77"/>
      <c r="AS321" s="77"/>
      <c r="AT321" s="77"/>
      <c r="AU321" s="77"/>
      <c r="AV321" s="80" t="str">
        <f>HYPERLINK("https://pbs.twimg.com/profile_images/1601296566748315648/2pHMOSfW_normal.jpg")</f>
        <v>https://pbs.twimg.com/profile_images/1601296566748315648/2pHMOSfW_normal.jpg</v>
      </c>
      <c r="AW321" s="82" t="s">
        <v>12517</v>
      </c>
      <c r="AX321" s="82" t="s">
        <v>15265</v>
      </c>
      <c r="AY321" s="82" t="s">
        <v>15691</v>
      </c>
      <c r="AZ321" s="82" t="s">
        <v>15836</v>
      </c>
      <c r="BA321" s="82" t="s">
        <v>15804</v>
      </c>
      <c r="BB321" s="82" t="s">
        <v>15804</v>
      </c>
      <c r="BC321" s="82" t="s">
        <v>15836</v>
      </c>
      <c r="BD321" s="82" t="s">
        <v>15691</v>
      </c>
      <c r="BE321" s="77"/>
      <c r="BF321" s="77"/>
      <c r="BG321" s="77"/>
      <c r="BH321" s="77"/>
      <c r="BI321" s="77"/>
    </row>
    <row r="322" spans="1:61" x14ac:dyDescent="0.25">
      <c r="A322" s="62" t="s">
        <v>328</v>
      </c>
      <c r="B322" s="62" t="s">
        <v>328</v>
      </c>
      <c r="C322" s="63"/>
      <c r="D322" s="64"/>
      <c r="E322" s="65"/>
      <c r="F322" s="66"/>
      <c r="G322" s="63"/>
      <c r="H322" s="67"/>
      <c r="I322" s="68"/>
      <c r="J322" s="68"/>
      <c r="K322" s="32"/>
      <c r="L322" s="75">
        <v>322</v>
      </c>
      <c r="M322" s="75"/>
      <c r="N322" s="70"/>
      <c r="O322" s="77" t="s">
        <v>179</v>
      </c>
      <c r="P322" s="79">
        <v>44981.890844907408</v>
      </c>
      <c r="Q322" s="77" t="s">
        <v>1438</v>
      </c>
      <c r="R322" s="77">
        <v>0</v>
      </c>
      <c r="S322" s="77">
        <v>2</v>
      </c>
      <c r="T322" s="77">
        <v>0</v>
      </c>
      <c r="U322" s="77">
        <v>0</v>
      </c>
      <c r="V322" s="77">
        <v>10</v>
      </c>
      <c r="W322" s="82" t="s">
        <v>4160</v>
      </c>
      <c r="X322" s="77"/>
      <c r="Y322" s="77"/>
      <c r="Z322" s="77"/>
      <c r="AA322" s="77"/>
      <c r="AB322" s="77"/>
      <c r="AC322" s="82" t="s">
        <v>7707</v>
      </c>
      <c r="AD322" s="77" t="s">
        <v>7745</v>
      </c>
      <c r="AE322" s="80" t="str">
        <f>HYPERLINK("https://twitter.com/jacoagirafa/status/1629230391461572610")</f>
        <v>https://twitter.com/jacoagirafa/status/1629230391461572610</v>
      </c>
      <c r="AF322" s="79">
        <v>44981.890844907408</v>
      </c>
      <c r="AG322" s="85">
        <v>44981</v>
      </c>
      <c r="AH322" s="82" t="s">
        <v>8065</v>
      </c>
      <c r="AI322" s="77"/>
      <c r="AJ322" s="77"/>
      <c r="AK322" s="77"/>
      <c r="AL322" s="77"/>
      <c r="AM322" s="77"/>
      <c r="AN322" s="77"/>
      <c r="AO322" s="77"/>
      <c r="AP322" s="77"/>
      <c r="AQ322" s="77"/>
      <c r="AR322" s="77"/>
      <c r="AS322" s="77"/>
      <c r="AT322" s="77"/>
      <c r="AU322" s="77"/>
      <c r="AV322" s="80" t="str">
        <f>HYPERLINK("https://pbs.twimg.com/profile_images/1601296566748315648/2pHMOSfW_normal.jpg")</f>
        <v>https://pbs.twimg.com/profile_images/1601296566748315648/2pHMOSfW_normal.jpg</v>
      </c>
      <c r="AW322" s="82" t="s">
        <v>12518</v>
      </c>
      <c r="AX322" s="82" t="s">
        <v>12518</v>
      </c>
      <c r="AY322" s="77"/>
      <c r="AZ322" s="82" t="s">
        <v>15804</v>
      </c>
      <c r="BA322" s="82" t="s">
        <v>15804</v>
      </c>
      <c r="BB322" s="82" t="s">
        <v>15804</v>
      </c>
      <c r="BC322" s="82" t="s">
        <v>12518</v>
      </c>
      <c r="BD322" s="82" t="s">
        <v>15691</v>
      </c>
      <c r="BE322" s="77"/>
      <c r="BF322" s="77"/>
      <c r="BG322" s="77"/>
      <c r="BH322" s="77"/>
      <c r="BI322" s="77"/>
    </row>
    <row r="323" spans="1:61" x14ac:dyDescent="0.25">
      <c r="A323" s="62" t="s">
        <v>329</v>
      </c>
      <c r="B323" s="62" t="s">
        <v>1059</v>
      </c>
      <c r="C323" s="63"/>
      <c r="D323" s="64"/>
      <c r="E323" s="65"/>
      <c r="F323" s="66"/>
      <c r="G323" s="63"/>
      <c r="H323" s="67"/>
      <c r="I323" s="68"/>
      <c r="J323" s="68"/>
      <c r="K323" s="32"/>
      <c r="L323" s="75">
        <v>323</v>
      </c>
      <c r="M323" s="75"/>
      <c r="N323" s="70"/>
      <c r="O323" s="77" t="s">
        <v>1136</v>
      </c>
      <c r="P323" s="79">
        <v>45008.016747685186</v>
      </c>
      <c r="Q323" s="77" t="s">
        <v>1439</v>
      </c>
      <c r="R323" s="77">
        <v>0</v>
      </c>
      <c r="S323" s="77">
        <v>0</v>
      </c>
      <c r="T323" s="77">
        <v>0</v>
      </c>
      <c r="U323" s="77">
        <v>0</v>
      </c>
      <c r="V323" s="77">
        <v>67</v>
      </c>
      <c r="W323" s="82" t="s">
        <v>4259</v>
      </c>
      <c r="X323" s="77"/>
      <c r="Y323" s="77"/>
      <c r="Z323" s="77" t="s">
        <v>6121</v>
      </c>
      <c r="AA323" s="77"/>
      <c r="AB323" s="77"/>
      <c r="AC323" s="82" t="s">
        <v>7706</v>
      </c>
      <c r="AD323" s="77" t="s">
        <v>7745</v>
      </c>
      <c r="AE323" s="80" t="str">
        <f>HYPERLINK("https://twitter.com/jornalistavitor/status/1638698099227934721")</f>
        <v>https://twitter.com/jornalistavitor/status/1638698099227934721</v>
      </c>
      <c r="AF323" s="79">
        <v>45008.016747685186</v>
      </c>
      <c r="AG323" s="85">
        <v>45008</v>
      </c>
      <c r="AH323" s="82" t="s">
        <v>8066</v>
      </c>
      <c r="AI323" s="77"/>
      <c r="AJ323" s="77"/>
      <c r="AK323" s="77"/>
      <c r="AL323" s="77"/>
      <c r="AM323" s="77"/>
      <c r="AN323" s="77"/>
      <c r="AO323" s="77"/>
      <c r="AP323" s="77"/>
      <c r="AQ323" s="77"/>
      <c r="AR323" s="77"/>
      <c r="AS323" s="77"/>
      <c r="AT323" s="77"/>
      <c r="AU323" s="77"/>
      <c r="AV323" s="80" t="str">
        <f>HYPERLINK("https://pbs.twimg.com/profile_images/378800000463633572/8494361443a9361de1017d497c5ee1f2_normal.jpeg")</f>
        <v>https://pbs.twimg.com/profile_images/378800000463633572/8494361443a9361de1017d497c5ee1f2_normal.jpeg</v>
      </c>
      <c r="AW323" s="82" t="s">
        <v>12519</v>
      </c>
      <c r="AX323" s="82" t="s">
        <v>15266</v>
      </c>
      <c r="AY323" s="82" t="s">
        <v>15692</v>
      </c>
      <c r="AZ323" s="82" t="s">
        <v>15837</v>
      </c>
      <c r="BA323" s="82" t="s">
        <v>15804</v>
      </c>
      <c r="BB323" s="82" t="s">
        <v>15804</v>
      </c>
      <c r="BC323" s="82" t="s">
        <v>15837</v>
      </c>
      <c r="BD323" s="77">
        <v>113410319</v>
      </c>
      <c r="BE323" s="77"/>
      <c r="BF323" s="77"/>
      <c r="BG323" s="77"/>
      <c r="BH323" s="77"/>
      <c r="BI323" s="77"/>
    </row>
    <row r="324" spans="1:61" x14ac:dyDescent="0.25">
      <c r="A324" s="62" t="s">
        <v>329</v>
      </c>
      <c r="B324" s="62" t="s">
        <v>329</v>
      </c>
      <c r="C324" s="63"/>
      <c r="D324" s="64"/>
      <c r="E324" s="65"/>
      <c r="F324" s="66"/>
      <c r="G324" s="63"/>
      <c r="H324" s="67"/>
      <c r="I324" s="68"/>
      <c r="J324" s="68"/>
      <c r="K324" s="32"/>
      <c r="L324" s="75">
        <v>324</v>
      </c>
      <c r="M324" s="75"/>
      <c r="N324" s="70"/>
      <c r="O324" s="77" t="s">
        <v>1132</v>
      </c>
      <c r="P324" s="79">
        <v>45008.016747685186</v>
      </c>
      <c r="Q324" s="77" t="s">
        <v>1439</v>
      </c>
      <c r="R324" s="77">
        <v>0</v>
      </c>
      <c r="S324" s="77">
        <v>0</v>
      </c>
      <c r="T324" s="77">
        <v>0</v>
      </c>
      <c r="U324" s="77">
        <v>0</v>
      </c>
      <c r="V324" s="77">
        <v>67</v>
      </c>
      <c r="W324" s="82" t="s">
        <v>4259</v>
      </c>
      <c r="X324" s="77"/>
      <c r="Y324" s="77"/>
      <c r="Z324" s="77" t="s">
        <v>6121</v>
      </c>
      <c r="AA324" s="77"/>
      <c r="AB324" s="77"/>
      <c r="AC324" s="82" t="s">
        <v>7706</v>
      </c>
      <c r="AD324" s="77" t="s">
        <v>7745</v>
      </c>
      <c r="AE324" s="80" t="str">
        <f>HYPERLINK("https://twitter.com/jornalistavitor/status/1638698099227934721")</f>
        <v>https://twitter.com/jornalistavitor/status/1638698099227934721</v>
      </c>
      <c r="AF324" s="79">
        <v>45008.016747685186</v>
      </c>
      <c r="AG324" s="85">
        <v>45008</v>
      </c>
      <c r="AH324" s="82" t="s">
        <v>8066</v>
      </c>
      <c r="AI324" s="77"/>
      <c r="AJ324" s="77"/>
      <c r="AK324" s="77"/>
      <c r="AL324" s="77"/>
      <c r="AM324" s="77"/>
      <c r="AN324" s="77"/>
      <c r="AO324" s="77"/>
      <c r="AP324" s="77"/>
      <c r="AQ324" s="77"/>
      <c r="AR324" s="77"/>
      <c r="AS324" s="77"/>
      <c r="AT324" s="77"/>
      <c r="AU324" s="77"/>
      <c r="AV324" s="80" t="str">
        <f>HYPERLINK("https://pbs.twimg.com/profile_images/378800000463633572/8494361443a9361de1017d497c5ee1f2_normal.jpeg")</f>
        <v>https://pbs.twimg.com/profile_images/378800000463633572/8494361443a9361de1017d497c5ee1f2_normal.jpeg</v>
      </c>
      <c r="AW324" s="82" t="s">
        <v>12519</v>
      </c>
      <c r="AX324" s="82" t="s">
        <v>15266</v>
      </c>
      <c r="AY324" s="82" t="s">
        <v>15692</v>
      </c>
      <c r="AZ324" s="82" t="s">
        <v>15837</v>
      </c>
      <c r="BA324" s="82" t="s">
        <v>15804</v>
      </c>
      <c r="BB324" s="82" t="s">
        <v>15804</v>
      </c>
      <c r="BC324" s="82" t="s">
        <v>15837</v>
      </c>
      <c r="BD324" s="77">
        <v>113410319</v>
      </c>
      <c r="BE324" s="77"/>
      <c r="BF324" s="77"/>
      <c r="BG324" s="77"/>
      <c r="BH324" s="77"/>
      <c r="BI324" s="77"/>
    </row>
    <row r="325" spans="1:61" x14ac:dyDescent="0.25">
      <c r="A325" s="62" t="s">
        <v>329</v>
      </c>
      <c r="B325" s="62" t="s">
        <v>329</v>
      </c>
      <c r="C325" s="63"/>
      <c r="D325" s="64"/>
      <c r="E325" s="65"/>
      <c r="F325" s="66"/>
      <c r="G325" s="63"/>
      <c r="H325" s="67"/>
      <c r="I325" s="68"/>
      <c r="J325" s="68"/>
      <c r="K325" s="32"/>
      <c r="L325" s="75">
        <v>325</v>
      </c>
      <c r="M325" s="75"/>
      <c r="N325" s="70"/>
      <c r="O325" s="77" t="s">
        <v>1132</v>
      </c>
      <c r="P325" s="79">
        <v>45092.738402777781</v>
      </c>
      <c r="Q325" s="77" t="s">
        <v>1440</v>
      </c>
      <c r="R325" s="77">
        <v>0</v>
      </c>
      <c r="S325" s="77">
        <v>0</v>
      </c>
      <c r="T325" s="77">
        <v>0</v>
      </c>
      <c r="U325" s="77">
        <v>0</v>
      </c>
      <c r="V325" s="77">
        <v>13</v>
      </c>
      <c r="W325" s="82" t="s">
        <v>4260</v>
      </c>
      <c r="X325" s="80" t="str">
        <f>HYPERLINK("https://youtu.be/4sfeoqbiPo0")</f>
        <v>https://youtu.be/4sfeoqbiPo0</v>
      </c>
      <c r="Y325" s="77" t="s">
        <v>6003</v>
      </c>
      <c r="Z325" s="77"/>
      <c r="AA325" s="77"/>
      <c r="AB325" s="77"/>
      <c r="AC325" s="82" t="s">
        <v>7706</v>
      </c>
      <c r="AD325" s="77" t="s">
        <v>7745</v>
      </c>
      <c r="AE325" s="80" t="str">
        <f>HYPERLINK("https://twitter.com/jornalistavitor/status/1669400200048156675")</f>
        <v>https://twitter.com/jornalistavitor/status/1669400200048156675</v>
      </c>
      <c r="AF325" s="79">
        <v>45092.738402777781</v>
      </c>
      <c r="AG325" s="85">
        <v>45092</v>
      </c>
      <c r="AH325" s="82" t="s">
        <v>8067</v>
      </c>
      <c r="AI325" s="77" t="b">
        <v>0</v>
      </c>
      <c r="AJ325" s="77"/>
      <c r="AK325" s="77"/>
      <c r="AL325" s="77"/>
      <c r="AM325" s="77"/>
      <c r="AN325" s="77"/>
      <c r="AO325" s="77"/>
      <c r="AP325" s="77"/>
      <c r="AQ325" s="77"/>
      <c r="AR325" s="77"/>
      <c r="AS325" s="77"/>
      <c r="AT325" s="77"/>
      <c r="AU325" s="77"/>
      <c r="AV325" s="80" t="str">
        <f>HYPERLINK("https://pbs.twimg.com/profile_images/378800000463633572/8494361443a9361de1017d497c5ee1f2_normal.jpeg")</f>
        <v>https://pbs.twimg.com/profile_images/378800000463633572/8494361443a9361de1017d497c5ee1f2_normal.jpeg</v>
      </c>
      <c r="AW325" s="82" t="s">
        <v>12520</v>
      </c>
      <c r="AX325" s="82" t="s">
        <v>15267</v>
      </c>
      <c r="AY325" s="82" t="s">
        <v>15692</v>
      </c>
      <c r="AZ325" s="82" t="s">
        <v>15267</v>
      </c>
      <c r="BA325" s="82" t="s">
        <v>15804</v>
      </c>
      <c r="BB325" s="82" t="s">
        <v>15804</v>
      </c>
      <c r="BC325" s="82" t="s">
        <v>15267</v>
      </c>
      <c r="BD325" s="77">
        <v>113410319</v>
      </c>
      <c r="BE325" s="77"/>
      <c r="BF325" s="77"/>
      <c r="BG325" s="77"/>
      <c r="BH325" s="77"/>
      <c r="BI325" s="77"/>
    </row>
    <row r="326" spans="1:61" x14ac:dyDescent="0.25">
      <c r="A326" s="62" t="s">
        <v>330</v>
      </c>
      <c r="B326" s="62" t="s">
        <v>330</v>
      </c>
      <c r="C326" s="63"/>
      <c r="D326" s="64"/>
      <c r="E326" s="65"/>
      <c r="F326" s="66"/>
      <c r="G326" s="63"/>
      <c r="H326" s="67"/>
      <c r="I326" s="68"/>
      <c r="J326" s="68"/>
      <c r="K326" s="32"/>
      <c r="L326" s="75">
        <v>326</v>
      </c>
      <c r="M326" s="75"/>
      <c r="N326" s="70"/>
      <c r="O326" s="77" t="s">
        <v>179</v>
      </c>
      <c r="P326" s="79">
        <v>45086.55878472222</v>
      </c>
      <c r="Q326" s="77" t="s">
        <v>1441</v>
      </c>
      <c r="R326" s="77">
        <v>1</v>
      </c>
      <c r="S326" s="77">
        <v>3</v>
      </c>
      <c r="T326" s="77">
        <v>0</v>
      </c>
      <c r="U326" s="77">
        <v>0</v>
      </c>
      <c r="V326" s="77">
        <v>78</v>
      </c>
      <c r="W326" s="82" t="s">
        <v>4261</v>
      </c>
      <c r="X326" s="77"/>
      <c r="Y326" s="77"/>
      <c r="Z326" s="77"/>
      <c r="AA326" s="77" t="s">
        <v>6296</v>
      </c>
      <c r="AB326" s="77" t="s">
        <v>7696</v>
      </c>
      <c r="AC326" s="82" t="s">
        <v>7717</v>
      </c>
      <c r="AD326" s="77" t="s">
        <v>7745</v>
      </c>
      <c r="AE326" s="80" t="str">
        <f>HYPERLINK("https://twitter.com/cwbfinance/status/1667160783833243649")</f>
        <v>https://twitter.com/cwbfinance/status/1667160783833243649</v>
      </c>
      <c r="AF326" s="79">
        <v>45086.55878472222</v>
      </c>
      <c r="AG326" s="85">
        <v>45086</v>
      </c>
      <c r="AH326" s="82" t="s">
        <v>8068</v>
      </c>
      <c r="AI326" s="77" t="b">
        <v>0</v>
      </c>
      <c r="AJ326" s="77"/>
      <c r="AK326" s="77"/>
      <c r="AL326" s="77"/>
      <c r="AM326" s="77"/>
      <c r="AN326" s="77"/>
      <c r="AO326" s="77"/>
      <c r="AP326" s="77"/>
      <c r="AQ326" s="77" t="s">
        <v>10803</v>
      </c>
      <c r="AR326" s="77"/>
      <c r="AS326" s="77"/>
      <c r="AT326" s="77"/>
      <c r="AU326" s="77"/>
      <c r="AV326" s="80" t="str">
        <f>HYPERLINK("https://pbs.twimg.com/media/FyLx5XGWcAAiGtu.jpg")</f>
        <v>https://pbs.twimg.com/media/FyLx5XGWcAAiGtu.jpg</v>
      </c>
      <c r="AW326" s="82" t="s">
        <v>12521</v>
      </c>
      <c r="AX326" s="82" t="s">
        <v>12521</v>
      </c>
      <c r="AY326" s="77"/>
      <c r="AZ326" s="82" t="s">
        <v>15804</v>
      </c>
      <c r="BA326" s="82" t="s">
        <v>15804</v>
      </c>
      <c r="BB326" s="82" t="s">
        <v>15804</v>
      </c>
      <c r="BC326" s="82" t="s">
        <v>12521</v>
      </c>
      <c r="BD326" s="82" t="s">
        <v>16192</v>
      </c>
      <c r="BE326" s="77"/>
      <c r="BF326" s="77"/>
      <c r="BG326" s="77"/>
      <c r="BH326" s="77"/>
      <c r="BI326" s="77"/>
    </row>
    <row r="327" spans="1:61" x14ac:dyDescent="0.25">
      <c r="A327" s="62" t="s">
        <v>331</v>
      </c>
      <c r="B327" s="62" t="s">
        <v>331</v>
      </c>
      <c r="C327" s="63"/>
      <c r="D327" s="64"/>
      <c r="E327" s="65"/>
      <c r="F327" s="66"/>
      <c r="G327" s="63"/>
      <c r="H327" s="67"/>
      <c r="I327" s="68"/>
      <c r="J327" s="68"/>
      <c r="K327" s="32"/>
      <c r="L327" s="75">
        <v>327</v>
      </c>
      <c r="M327" s="75"/>
      <c r="N327" s="70"/>
      <c r="O327" s="77" t="s">
        <v>179</v>
      </c>
      <c r="P327" s="79">
        <v>44928.78334490741</v>
      </c>
      <c r="Q327" s="77" t="s">
        <v>1442</v>
      </c>
      <c r="R327" s="77">
        <v>0</v>
      </c>
      <c r="S327" s="77">
        <v>0</v>
      </c>
      <c r="T327" s="77">
        <v>0</v>
      </c>
      <c r="U327" s="77">
        <v>0</v>
      </c>
      <c r="V327" s="77">
        <v>3</v>
      </c>
      <c r="W327" s="82" t="s">
        <v>4262</v>
      </c>
      <c r="X327" s="80" t="str">
        <f>HYPERLINK("https://www.instagram.com/p/Cm7GNoMKjtt/?igshid=YTgzYjQ4ZTY=")</f>
        <v>https://www.instagram.com/p/Cm7GNoMKjtt/?igshid=YTgzYjQ4ZTY=</v>
      </c>
      <c r="Y327" s="77" t="s">
        <v>6000</v>
      </c>
      <c r="Z327" s="77"/>
      <c r="AA327" s="77"/>
      <c r="AB327" s="77"/>
      <c r="AC327" s="82" t="s">
        <v>7704</v>
      </c>
      <c r="AD327" s="77" t="s">
        <v>7745</v>
      </c>
      <c r="AE327" s="80" t="str">
        <f>HYPERLINK("https://twitter.com/juliomauriciojm/status/1609984878346477573")</f>
        <v>https://twitter.com/juliomauriciojm/status/1609984878346477573</v>
      </c>
      <c r="AF327" s="79">
        <v>44928.78334490741</v>
      </c>
      <c r="AG327" s="85">
        <v>44928</v>
      </c>
      <c r="AH327" s="82" t="s">
        <v>8069</v>
      </c>
      <c r="AI327" s="77" t="b">
        <v>0</v>
      </c>
      <c r="AJ327" s="77"/>
      <c r="AK327" s="77"/>
      <c r="AL327" s="77"/>
      <c r="AM327" s="77"/>
      <c r="AN327" s="77"/>
      <c r="AO327" s="77"/>
      <c r="AP327" s="77"/>
      <c r="AQ327" s="77"/>
      <c r="AR327" s="77"/>
      <c r="AS327" s="77"/>
      <c r="AT327" s="77"/>
      <c r="AU327" s="77"/>
      <c r="AV327" s="80" t="str">
        <f>HYPERLINK("https://pbs.twimg.com/profile_images/1684455763500990464/V8dCdFoJ_normal.jpg")</f>
        <v>https://pbs.twimg.com/profile_images/1684455763500990464/V8dCdFoJ_normal.jpg</v>
      </c>
      <c r="AW327" s="82" t="s">
        <v>12522</v>
      </c>
      <c r="AX327" s="82" t="s">
        <v>12522</v>
      </c>
      <c r="AY327" s="77"/>
      <c r="AZ327" s="82" t="s">
        <v>15804</v>
      </c>
      <c r="BA327" s="82" t="s">
        <v>15804</v>
      </c>
      <c r="BB327" s="82" t="s">
        <v>15804</v>
      </c>
      <c r="BC327" s="82" t="s">
        <v>12522</v>
      </c>
      <c r="BD327" s="82" t="s">
        <v>16193</v>
      </c>
      <c r="BE327" s="77"/>
      <c r="BF327" s="77"/>
      <c r="BG327" s="77"/>
      <c r="BH327" s="77"/>
      <c r="BI327" s="77"/>
    </row>
    <row r="328" spans="1:61" x14ac:dyDescent="0.25">
      <c r="A328" s="62" t="s">
        <v>331</v>
      </c>
      <c r="B328" s="62" t="s">
        <v>331</v>
      </c>
      <c r="C328" s="63"/>
      <c r="D328" s="64"/>
      <c r="E328" s="65"/>
      <c r="F328" s="66"/>
      <c r="G328" s="63"/>
      <c r="H328" s="67"/>
      <c r="I328" s="68"/>
      <c r="J328" s="68"/>
      <c r="K328" s="32"/>
      <c r="L328" s="75">
        <v>328</v>
      </c>
      <c r="M328" s="75"/>
      <c r="N328" s="70"/>
      <c r="O328" s="77" t="s">
        <v>179</v>
      </c>
      <c r="P328" s="79">
        <v>45007.447384259256</v>
      </c>
      <c r="Q328" s="77" t="s">
        <v>1443</v>
      </c>
      <c r="R328" s="77">
        <v>0</v>
      </c>
      <c r="S328" s="77">
        <v>0</v>
      </c>
      <c r="T328" s="77">
        <v>0</v>
      </c>
      <c r="U328" s="77">
        <v>0</v>
      </c>
      <c r="V328" s="77">
        <v>1</v>
      </c>
      <c r="W328" s="82" t="s">
        <v>4263</v>
      </c>
      <c r="X328" s="80" t="str">
        <f>HYPERLINK("https://www.instagram.com/p/CqFppHzKfks/?igshid=YTgzYjQ4ZTY=")</f>
        <v>https://www.instagram.com/p/CqFppHzKfks/?igshid=YTgzYjQ4ZTY=</v>
      </c>
      <c r="Y328" s="77" t="s">
        <v>6000</v>
      </c>
      <c r="Z328" s="77"/>
      <c r="AA328" s="77"/>
      <c r="AB328" s="77"/>
      <c r="AC328" s="82" t="s">
        <v>7704</v>
      </c>
      <c r="AD328" s="77" t="s">
        <v>7745</v>
      </c>
      <c r="AE328" s="80" t="str">
        <f>HYPERLINK("https://twitter.com/juliomauriciojm/status/1638491769632624640")</f>
        <v>https://twitter.com/juliomauriciojm/status/1638491769632624640</v>
      </c>
      <c r="AF328" s="79">
        <v>45007.447384259256</v>
      </c>
      <c r="AG328" s="85">
        <v>45007</v>
      </c>
      <c r="AH328" s="82" t="s">
        <v>8070</v>
      </c>
      <c r="AI328" s="77" t="b">
        <v>0</v>
      </c>
      <c r="AJ328" s="77"/>
      <c r="AK328" s="77"/>
      <c r="AL328" s="77"/>
      <c r="AM328" s="77"/>
      <c r="AN328" s="77"/>
      <c r="AO328" s="77"/>
      <c r="AP328" s="77"/>
      <c r="AQ328" s="77"/>
      <c r="AR328" s="77"/>
      <c r="AS328" s="77"/>
      <c r="AT328" s="77"/>
      <c r="AU328" s="77"/>
      <c r="AV328" s="80" t="str">
        <f>HYPERLINK("https://pbs.twimg.com/profile_images/1684455763500990464/V8dCdFoJ_normal.jpg")</f>
        <v>https://pbs.twimg.com/profile_images/1684455763500990464/V8dCdFoJ_normal.jpg</v>
      </c>
      <c r="AW328" s="82" t="s">
        <v>12523</v>
      </c>
      <c r="AX328" s="82" t="s">
        <v>12523</v>
      </c>
      <c r="AY328" s="77"/>
      <c r="AZ328" s="82" t="s">
        <v>15804</v>
      </c>
      <c r="BA328" s="82" t="s">
        <v>15804</v>
      </c>
      <c r="BB328" s="82" t="s">
        <v>15804</v>
      </c>
      <c r="BC328" s="82" t="s">
        <v>12523</v>
      </c>
      <c r="BD328" s="82" t="s">
        <v>16193</v>
      </c>
      <c r="BE328" s="77"/>
      <c r="BF328" s="77"/>
      <c r="BG328" s="77"/>
      <c r="BH328" s="77"/>
      <c r="BI328" s="77"/>
    </row>
    <row r="329" spans="1:61" x14ac:dyDescent="0.25">
      <c r="A329" s="62" t="s">
        <v>331</v>
      </c>
      <c r="B329" s="62" t="s">
        <v>331</v>
      </c>
      <c r="C329" s="63"/>
      <c r="D329" s="64"/>
      <c r="E329" s="65"/>
      <c r="F329" s="66"/>
      <c r="G329" s="63"/>
      <c r="H329" s="67"/>
      <c r="I329" s="68"/>
      <c r="J329" s="68"/>
      <c r="K329" s="32"/>
      <c r="L329" s="75">
        <v>329</v>
      </c>
      <c r="M329" s="75"/>
      <c r="N329" s="70"/>
      <c r="O329" s="77" t="s">
        <v>179</v>
      </c>
      <c r="P329" s="79">
        <v>45007.442453703705</v>
      </c>
      <c r="Q329" s="77" t="s">
        <v>1444</v>
      </c>
      <c r="R329" s="77">
        <v>0</v>
      </c>
      <c r="S329" s="77">
        <v>0</v>
      </c>
      <c r="T329" s="77">
        <v>0</v>
      </c>
      <c r="U329" s="77">
        <v>0</v>
      </c>
      <c r="V329" s="77">
        <v>2</v>
      </c>
      <c r="W329" s="82" t="s">
        <v>4263</v>
      </c>
      <c r="X329" s="80" t="str">
        <f>HYPERLINK("https://www.instagram.com/p/CqFo1bZoFd2/?igshid=YTgzYjQ4ZTY=")</f>
        <v>https://www.instagram.com/p/CqFo1bZoFd2/?igshid=YTgzYjQ4ZTY=</v>
      </c>
      <c r="Y329" s="77" t="s">
        <v>6000</v>
      </c>
      <c r="Z329" s="77"/>
      <c r="AA329" s="77"/>
      <c r="AB329" s="77"/>
      <c r="AC329" s="82" t="s">
        <v>7704</v>
      </c>
      <c r="AD329" s="77" t="s">
        <v>7745</v>
      </c>
      <c r="AE329" s="80" t="str">
        <f>HYPERLINK("https://twitter.com/juliomauriciojm/status/1638489982905249792")</f>
        <v>https://twitter.com/juliomauriciojm/status/1638489982905249792</v>
      </c>
      <c r="AF329" s="79">
        <v>45007.442453703705</v>
      </c>
      <c r="AG329" s="85">
        <v>45007</v>
      </c>
      <c r="AH329" s="82" t="s">
        <v>8071</v>
      </c>
      <c r="AI329" s="77" t="b">
        <v>0</v>
      </c>
      <c r="AJ329" s="77"/>
      <c r="AK329" s="77"/>
      <c r="AL329" s="77"/>
      <c r="AM329" s="77"/>
      <c r="AN329" s="77"/>
      <c r="AO329" s="77"/>
      <c r="AP329" s="77"/>
      <c r="AQ329" s="77"/>
      <c r="AR329" s="77"/>
      <c r="AS329" s="77"/>
      <c r="AT329" s="77"/>
      <c r="AU329" s="77"/>
      <c r="AV329" s="80" t="str">
        <f>HYPERLINK("https://pbs.twimg.com/profile_images/1684455763500990464/V8dCdFoJ_normal.jpg")</f>
        <v>https://pbs.twimg.com/profile_images/1684455763500990464/V8dCdFoJ_normal.jpg</v>
      </c>
      <c r="AW329" s="82" t="s">
        <v>12524</v>
      </c>
      <c r="AX329" s="82" t="s">
        <v>12524</v>
      </c>
      <c r="AY329" s="77"/>
      <c r="AZ329" s="82" t="s">
        <v>15804</v>
      </c>
      <c r="BA329" s="82" t="s">
        <v>15804</v>
      </c>
      <c r="BB329" s="82" t="s">
        <v>15804</v>
      </c>
      <c r="BC329" s="82" t="s">
        <v>12524</v>
      </c>
      <c r="BD329" s="82" t="s">
        <v>16193</v>
      </c>
      <c r="BE329" s="77"/>
      <c r="BF329" s="77"/>
      <c r="BG329" s="77"/>
      <c r="BH329" s="77"/>
      <c r="BI329" s="77"/>
    </row>
    <row r="330" spans="1:61" x14ac:dyDescent="0.25">
      <c r="A330" s="62" t="s">
        <v>332</v>
      </c>
      <c r="B330" s="62" t="s">
        <v>332</v>
      </c>
      <c r="C330" s="63"/>
      <c r="D330" s="64"/>
      <c r="E330" s="65"/>
      <c r="F330" s="66"/>
      <c r="G330" s="63"/>
      <c r="H330" s="67"/>
      <c r="I330" s="68"/>
      <c r="J330" s="68"/>
      <c r="K330" s="32"/>
      <c r="L330" s="75">
        <v>330</v>
      </c>
      <c r="M330" s="75"/>
      <c r="N330" s="70"/>
      <c r="O330" s="77" t="s">
        <v>179</v>
      </c>
      <c r="P330" s="79">
        <v>44949.526261574072</v>
      </c>
      <c r="Q330" s="77" t="s">
        <v>1445</v>
      </c>
      <c r="R330" s="77">
        <v>0</v>
      </c>
      <c r="S330" s="77">
        <v>0</v>
      </c>
      <c r="T330" s="77">
        <v>0</v>
      </c>
      <c r="U330" s="77">
        <v>0</v>
      </c>
      <c r="V330" s="77">
        <v>121</v>
      </c>
      <c r="W330" s="82" t="s">
        <v>4264</v>
      </c>
      <c r="X330" s="80" t="str">
        <f>HYPERLINK("https://www.moneytimes.com.br/cidade-do-futuro-startup-leva-ao-festival-de-sp-tematica-de-blockchain/")</f>
        <v>https://www.moneytimes.com.br/cidade-do-futuro-startup-leva-ao-festival-de-sp-tematica-de-blockchain/</v>
      </c>
      <c r="Y330" s="77" t="s">
        <v>6002</v>
      </c>
      <c r="Z330" s="77"/>
      <c r="AA330" s="77"/>
      <c r="AB330" s="77"/>
      <c r="AC330" s="82" t="s">
        <v>7718</v>
      </c>
      <c r="AD330" s="77" t="s">
        <v>7745</v>
      </c>
      <c r="AE330" s="80" t="str">
        <f>HYPERLINK("https://twitter.com/leiacryptotimes/status/1617501857198362625")</f>
        <v>https://twitter.com/leiacryptotimes/status/1617501857198362625</v>
      </c>
      <c r="AF330" s="79">
        <v>44949.526261574072</v>
      </c>
      <c r="AG330" s="85">
        <v>44949</v>
      </c>
      <c r="AH330" s="82" t="s">
        <v>8072</v>
      </c>
      <c r="AI330" s="77" t="b">
        <v>0</v>
      </c>
      <c r="AJ330" s="77"/>
      <c r="AK330" s="77"/>
      <c r="AL330" s="77"/>
      <c r="AM330" s="77"/>
      <c r="AN330" s="77"/>
      <c r="AO330" s="77"/>
      <c r="AP330" s="77"/>
      <c r="AQ330" s="77"/>
      <c r="AR330" s="77"/>
      <c r="AS330" s="77"/>
      <c r="AT330" s="77"/>
      <c r="AU330" s="77"/>
      <c r="AV330" s="80" t="str">
        <f>HYPERLINK("https://pbs.twimg.com/profile_images/1273964615530053632/qHcU0VHf_normal.jpg")</f>
        <v>https://pbs.twimg.com/profile_images/1273964615530053632/qHcU0VHf_normal.jpg</v>
      </c>
      <c r="AW330" s="82" t="s">
        <v>12525</v>
      </c>
      <c r="AX330" s="82" t="s">
        <v>12525</v>
      </c>
      <c r="AY330" s="77"/>
      <c r="AZ330" s="82" t="s">
        <v>15804</v>
      </c>
      <c r="BA330" s="82" t="s">
        <v>15804</v>
      </c>
      <c r="BB330" s="82" t="s">
        <v>15804</v>
      </c>
      <c r="BC330" s="82" t="s">
        <v>12525</v>
      </c>
      <c r="BD330" s="82" t="s">
        <v>16194</v>
      </c>
      <c r="BE330" s="77"/>
      <c r="BF330" s="77"/>
      <c r="BG330" s="77"/>
      <c r="BH330" s="77"/>
      <c r="BI330" s="77"/>
    </row>
    <row r="331" spans="1:61" x14ac:dyDescent="0.25">
      <c r="A331" s="62" t="s">
        <v>333</v>
      </c>
      <c r="B331" s="62" t="s">
        <v>333</v>
      </c>
      <c r="C331" s="63"/>
      <c r="D331" s="64"/>
      <c r="E331" s="65"/>
      <c r="F331" s="66"/>
      <c r="G331" s="63"/>
      <c r="H331" s="67"/>
      <c r="I331" s="68"/>
      <c r="J331" s="68"/>
      <c r="K331" s="32"/>
      <c r="L331" s="75">
        <v>331</v>
      </c>
      <c r="M331" s="75"/>
      <c r="N331" s="70"/>
      <c r="O331" s="77" t="s">
        <v>179</v>
      </c>
      <c r="P331" s="79">
        <v>44966.819606481484</v>
      </c>
      <c r="Q331" s="77" t="s">
        <v>1446</v>
      </c>
      <c r="R331" s="77">
        <v>0</v>
      </c>
      <c r="S331" s="77">
        <v>0</v>
      </c>
      <c r="T331" s="77">
        <v>0</v>
      </c>
      <c r="U331" s="77">
        <v>0</v>
      </c>
      <c r="V331" s="77">
        <v>23</v>
      </c>
      <c r="W331" s="82" t="s">
        <v>4265</v>
      </c>
      <c r="X331" s="77" t="s">
        <v>5990</v>
      </c>
      <c r="Y331" s="77" t="s">
        <v>6018</v>
      </c>
      <c r="Z331" s="77"/>
      <c r="AA331" s="77" t="s">
        <v>6297</v>
      </c>
      <c r="AB331" s="77" t="s">
        <v>7696</v>
      </c>
      <c r="AC331" s="82" t="s">
        <v>7716</v>
      </c>
      <c r="AD331" s="77" t="s">
        <v>7745</v>
      </c>
      <c r="AE331" s="80" t="str">
        <f>HYPERLINK("https://twitter.com/_wmbmarketing/status/1623768758035570690")</f>
        <v>https://twitter.com/_wmbmarketing/status/1623768758035570690</v>
      </c>
      <c r="AF331" s="79">
        <v>44966.819606481484</v>
      </c>
      <c r="AG331" s="85">
        <v>44966</v>
      </c>
      <c r="AH331" s="82" t="s">
        <v>8073</v>
      </c>
      <c r="AI331" s="77" t="b">
        <v>0</v>
      </c>
      <c r="AJ331" s="77"/>
      <c r="AK331" s="77"/>
      <c r="AL331" s="77"/>
      <c r="AM331" s="77"/>
      <c r="AN331" s="77"/>
      <c r="AO331" s="77"/>
      <c r="AP331" s="77"/>
      <c r="AQ331" s="77" t="s">
        <v>10804</v>
      </c>
      <c r="AR331" s="77"/>
      <c r="AS331" s="77"/>
      <c r="AT331" s="77"/>
      <c r="AU331" s="77"/>
      <c r="AV331" s="80" t="str">
        <f>HYPERLINK("https://pbs.twimg.com/media/FojJFFjXgAIlNtx.jpg")</f>
        <v>https://pbs.twimg.com/media/FojJFFjXgAIlNtx.jpg</v>
      </c>
      <c r="AW331" s="82" t="s">
        <v>12526</v>
      </c>
      <c r="AX331" s="82" t="s">
        <v>12526</v>
      </c>
      <c r="AY331" s="77"/>
      <c r="AZ331" s="82" t="s">
        <v>15804</v>
      </c>
      <c r="BA331" s="82" t="s">
        <v>15804</v>
      </c>
      <c r="BB331" s="82" t="s">
        <v>15804</v>
      </c>
      <c r="BC331" s="82" t="s">
        <v>12526</v>
      </c>
      <c r="BD331" s="77">
        <v>320762743</v>
      </c>
      <c r="BE331" s="77"/>
      <c r="BF331" s="77"/>
      <c r="BG331" s="77"/>
      <c r="BH331" s="77"/>
      <c r="BI331" s="77"/>
    </row>
    <row r="332" spans="1:61" x14ac:dyDescent="0.25">
      <c r="A332" s="62" t="s">
        <v>334</v>
      </c>
      <c r="B332" s="62" t="s">
        <v>334</v>
      </c>
      <c r="C332" s="63"/>
      <c r="D332" s="64"/>
      <c r="E332" s="65"/>
      <c r="F332" s="66"/>
      <c r="G332" s="63"/>
      <c r="H332" s="67"/>
      <c r="I332" s="68"/>
      <c r="J332" s="68"/>
      <c r="K332" s="32"/>
      <c r="L332" s="75">
        <v>332</v>
      </c>
      <c r="M332" s="75"/>
      <c r="N332" s="70"/>
      <c r="O332" s="77" t="s">
        <v>179</v>
      </c>
      <c r="P332" s="79">
        <v>45072.231157407405</v>
      </c>
      <c r="Q332" s="77" t="s">
        <v>1447</v>
      </c>
      <c r="R332" s="77">
        <v>0</v>
      </c>
      <c r="S332" s="77">
        <v>0</v>
      </c>
      <c r="T332" s="77">
        <v>0</v>
      </c>
      <c r="U332" s="77">
        <v>0</v>
      </c>
      <c r="V332" s="77">
        <v>3</v>
      </c>
      <c r="W332" s="82" t="s">
        <v>4266</v>
      </c>
      <c r="X332" s="77" t="s">
        <v>5991</v>
      </c>
      <c r="Y332" s="77" t="s">
        <v>6019</v>
      </c>
      <c r="Z332" s="77"/>
      <c r="AA332" s="77"/>
      <c r="AB332" s="77"/>
      <c r="AC332" s="82" t="s">
        <v>7707</v>
      </c>
      <c r="AD332" s="77" t="s">
        <v>7745</v>
      </c>
      <c r="AE332" s="80" t="str">
        <f>HYPERLINK("https://twitter.com/edils_eddie/status/1661968625874395136")</f>
        <v>https://twitter.com/edils_eddie/status/1661968625874395136</v>
      </c>
      <c r="AF332" s="79">
        <v>45072.231157407405</v>
      </c>
      <c r="AG332" s="85">
        <v>45072</v>
      </c>
      <c r="AH332" s="82" t="s">
        <v>8074</v>
      </c>
      <c r="AI332" s="77" t="b">
        <v>0</v>
      </c>
      <c r="AJ332" s="77"/>
      <c r="AK332" s="77"/>
      <c r="AL332" s="77"/>
      <c r="AM332" s="77"/>
      <c r="AN332" s="77"/>
      <c r="AO332" s="77"/>
      <c r="AP332" s="77"/>
      <c r="AQ332" s="77"/>
      <c r="AR332" s="77"/>
      <c r="AS332" s="77"/>
      <c r="AT332" s="77"/>
      <c r="AU332" s="77"/>
      <c r="AV332" s="80" t="str">
        <f>HYPERLINK("https://pbs.twimg.com/profile_images/1588811920974512128/b3L_vyVp_normal.jpg")</f>
        <v>https://pbs.twimg.com/profile_images/1588811920974512128/b3L_vyVp_normal.jpg</v>
      </c>
      <c r="AW332" s="82" t="s">
        <v>12527</v>
      </c>
      <c r="AX332" s="82" t="s">
        <v>12527</v>
      </c>
      <c r="AY332" s="77"/>
      <c r="AZ332" s="82" t="s">
        <v>15804</v>
      </c>
      <c r="BA332" s="82" t="s">
        <v>15804</v>
      </c>
      <c r="BB332" s="82" t="s">
        <v>15804</v>
      </c>
      <c r="BC332" s="82" t="s">
        <v>12527</v>
      </c>
      <c r="BD332" s="82" t="s">
        <v>16195</v>
      </c>
      <c r="BE332" s="77"/>
      <c r="BF332" s="77"/>
      <c r="BG332" s="77"/>
      <c r="BH332" s="77"/>
      <c r="BI332" s="77"/>
    </row>
    <row r="333" spans="1:61" x14ac:dyDescent="0.25">
      <c r="A333" s="62" t="s">
        <v>335</v>
      </c>
      <c r="B333" s="62" t="s">
        <v>1060</v>
      </c>
      <c r="C333" s="63"/>
      <c r="D333" s="64"/>
      <c r="E333" s="65"/>
      <c r="F333" s="66"/>
      <c r="G333" s="63"/>
      <c r="H333" s="67"/>
      <c r="I333" s="68"/>
      <c r="J333" s="68"/>
      <c r="K333" s="32"/>
      <c r="L333" s="75">
        <v>333</v>
      </c>
      <c r="M333" s="75"/>
      <c r="N333" s="70"/>
      <c r="O333" s="77" t="s">
        <v>1132</v>
      </c>
      <c r="P333" s="79">
        <v>45086.133298611108</v>
      </c>
      <c r="Q333" s="77" t="s">
        <v>1448</v>
      </c>
      <c r="R333" s="77">
        <v>0</v>
      </c>
      <c r="S333" s="77">
        <v>0</v>
      </c>
      <c r="T333" s="77">
        <v>0</v>
      </c>
      <c r="U333" s="77">
        <v>0</v>
      </c>
      <c r="V333" s="77">
        <v>293</v>
      </c>
      <c r="W333" s="82" t="s">
        <v>4267</v>
      </c>
      <c r="X333" s="77"/>
      <c r="Y333" s="77"/>
      <c r="Z333" s="77" t="s">
        <v>1060</v>
      </c>
      <c r="AA333" s="77"/>
      <c r="AB333" s="77"/>
      <c r="AC333" s="82" t="s">
        <v>7706</v>
      </c>
      <c r="AD333" s="77" t="s">
        <v>7745</v>
      </c>
      <c r="AE333" s="80" t="str">
        <f>HYPERLINK("https://twitter.com/entertainusnob/status/1667006591906840577")</f>
        <v>https://twitter.com/entertainusnob/status/1667006591906840577</v>
      </c>
      <c r="AF333" s="79">
        <v>45086.133298611108</v>
      </c>
      <c r="AG333" s="85">
        <v>45086</v>
      </c>
      <c r="AH333" s="82" t="s">
        <v>8075</v>
      </c>
      <c r="AI333" s="77"/>
      <c r="AJ333" s="77"/>
      <c r="AK333" s="77"/>
      <c r="AL333" s="77"/>
      <c r="AM333" s="77"/>
      <c r="AN333" s="77"/>
      <c r="AO333" s="77"/>
      <c r="AP333" s="77"/>
      <c r="AQ333" s="77"/>
      <c r="AR333" s="77"/>
      <c r="AS333" s="77"/>
      <c r="AT333" s="77"/>
      <c r="AU333" s="77"/>
      <c r="AV333" s="80" t="str">
        <f>HYPERLINK("https://pbs.twimg.com/profile_images/1652742263116558341/14Qxv7xr_normal.jpg")</f>
        <v>https://pbs.twimg.com/profile_images/1652742263116558341/14Qxv7xr_normal.jpg</v>
      </c>
      <c r="AW333" s="82" t="s">
        <v>12528</v>
      </c>
      <c r="AX333" s="82" t="s">
        <v>15268</v>
      </c>
      <c r="AY333" s="82" t="s">
        <v>15693</v>
      </c>
      <c r="AZ333" s="82" t="s">
        <v>15838</v>
      </c>
      <c r="BA333" s="82" t="s">
        <v>15804</v>
      </c>
      <c r="BB333" s="82" t="s">
        <v>15804</v>
      </c>
      <c r="BC333" s="82" t="s">
        <v>15838</v>
      </c>
      <c r="BD333" s="82" t="s">
        <v>16196</v>
      </c>
      <c r="BE333" s="77"/>
      <c r="BF333" s="77"/>
      <c r="BG333" s="77"/>
      <c r="BH333" s="77"/>
      <c r="BI333" s="77"/>
    </row>
    <row r="334" spans="1:61" x14ac:dyDescent="0.25">
      <c r="A334" s="62" t="s">
        <v>336</v>
      </c>
      <c r="B334" s="62" t="s">
        <v>952</v>
      </c>
      <c r="C334" s="63"/>
      <c r="D334" s="64"/>
      <c r="E334" s="65"/>
      <c r="F334" s="66"/>
      <c r="G334" s="63"/>
      <c r="H334" s="67"/>
      <c r="I334" s="68"/>
      <c r="J334" s="68"/>
      <c r="K334" s="32"/>
      <c r="L334" s="75">
        <v>334</v>
      </c>
      <c r="M334" s="75"/>
      <c r="N334" s="70"/>
      <c r="O334" s="77" t="s">
        <v>1134</v>
      </c>
      <c r="P334" s="79">
        <v>45181.841539351852</v>
      </c>
      <c r="Q334" s="77" t="s">
        <v>1449</v>
      </c>
      <c r="R334" s="77">
        <v>1</v>
      </c>
      <c r="S334" s="77">
        <v>0</v>
      </c>
      <c r="T334" s="77">
        <v>0</v>
      </c>
      <c r="U334" s="77">
        <v>0</v>
      </c>
      <c r="V334" s="77"/>
      <c r="W334" s="77"/>
      <c r="X334" s="77"/>
      <c r="Y334" s="77"/>
      <c r="Z334" s="77" t="s">
        <v>952</v>
      </c>
      <c r="AA334" s="77"/>
      <c r="AB334" s="77"/>
      <c r="AC334" s="82" t="s">
        <v>7705</v>
      </c>
      <c r="AD334" s="77" t="s">
        <v>7745</v>
      </c>
      <c r="AE334" s="80" t="str">
        <f>HYPERLINK("https://twitter.com/ejlazzaretti/status/1701690096712372501")</f>
        <v>https://twitter.com/ejlazzaretti/status/1701690096712372501</v>
      </c>
      <c r="AF334" s="79">
        <v>45181.841539351852</v>
      </c>
      <c r="AG334" s="85">
        <v>45181</v>
      </c>
      <c r="AH334" s="82" t="s">
        <v>8076</v>
      </c>
      <c r="AI334" s="77"/>
      <c r="AJ334" s="77"/>
      <c r="AK334" s="77"/>
      <c r="AL334" s="77"/>
      <c r="AM334" s="77"/>
      <c r="AN334" s="77"/>
      <c r="AO334" s="77"/>
      <c r="AP334" s="77"/>
      <c r="AQ334" s="77"/>
      <c r="AR334" s="77"/>
      <c r="AS334" s="77"/>
      <c r="AT334" s="77"/>
      <c r="AU334" s="77"/>
      <c r="AV334" s="80" t="str">
        <f>HYPERLINK("https://pbs.twimg.com/profile_images/1555717649337909249/tg1JOUKL_normal.jpg")</f>
        <v>https://pbs.twimg.com/profile_images/1555717649337909249/tg1JOUKL_normal.jpg</v>
      </c>
      <c r="AW334" s="82" t="s">
        <v>12529</v>
      </c>
      <c r="AX334" s="82" t="s">
        <v>12529</v>
      </c>
      <c r="AY334" s="77"/>
      <c r="AZ334" s="82" t="s">
        <v>15804</v>
      </c>
      <c r="BA334" s="82" t="s">
        <v>15804</v>
      </c>
      <c r="BB334" s="82" t="s">
        <v>14602</v>
      </c>
      <c r="BC334" s="82" t="s">
        <v>14602</v>
      </c>
      <c r="BD334" s="82" t="s">
        <v>16197</v>
      </c>
      <c r="BE334" s="77"/>
      <c r="BF334" s="77"/>
      <c r="BG334" s="77"/>
      <c r="BH334" s="77"/>
      <c r="BI334" s="77"/>
    </row>
    <row r="335" spans="1:61" x14ac:dyDescent="0.25">
      <c r="A335" s="62" t="s">
        <v>337</v>
      </c>
      <c r="B335" s="62" t="s">
        <v>337</v>
      </c>
      <c r="C335" s="63"/>
      <c r="D335" s="64"/>
      <c r="E335" s="65"/>
      <c r="F335" s="66"/>
      <c r="G335" s="63"/>
      <c r="H335" s="67"/>
      <c r="I335" s="68"/>
      <c r="J335" s="68"/>
      <c r="K335" s="32"/>
      <c r="L335" s="75">
        <v>335</v>
      </c>
      <c r="M335" s="75"/>
      <c r="N335" s="70"/>
      <c r="O335" s="77" t="s">
        <v>179</v>
      </c>
      <c r="P335" s="79">
        <v>45015.966898148145</v>
      </c>
      <c r="Q335" s="77" t="s">
        <v>1450</v>
      </c>
      <c r="R335" s="77">
        <v>0</v>
      </c>
      <c r="S335" s="77">
        <v>0</v>
      </c>
      <c r="T335" s="77">
        <v>0</v>
      </c>
      <c r="U335" s="77">
        <v>0</v>
      </c>
      <c r="V335" s="77">
        <v>11</v>
      </c>
      <c r="W335" s="82" t="s">
        <v>4268</v>
      </c>
      <c r="X335" s="77"/>
      <c r="Y335" s="77"/>
      <c r="Z335" s="77"/>
      <c r="AA335" s="77"/>
      <c r="AB335" s="77"/>
      <c r="AC335" s="82" t="s">
        <v>7706</v>
      </c>
      <c r="AD335" s="77" t="s">
        <v>7745</v>
      </c>
      <c r="AE335" s="80" t="str">
        <f>HYPERLINK("https://twitter.com/2krydex/status/1641579140435398657")</f>
        <v>https://twitter.com/2krydex/status/1641579140435398657</v>
      </c>
      <c r="AF335" s="79">
        <v>45015.966898148145</v>
      </c>
      <c r="AG335" s="85">
        <v>45015</v>
      </c>
      <c r="AH335" s="82" t="s">
        <v>8077</v>
      </c>
      <c r="AI335" s="77"/>
      <c r="AJ335" s="77"/>
      <c r="AK335" s="77"/>
      <c r="AL335" s="77"/>
      <c r="AM335" s="77"/>
      <c r="AN335" s="77"/>
      <c r="AO335" s="77"/>
      <c r="AP335" s="77"/>
      <c r="AQ335" s="77"/>
      <c r="AR335" s="77"/>
      <c r="AS335" s="77"/>
      <c r="AT335" s="77"/>
      <c r="AU335" s="77"/>
      <c r="AV335" s="80" t="str">
        <f>HYPERLINK("https://pbs.twimg.com/profile_images/1478161944452517889/mkzSNfjF_normal.jpg")</f>
        <v>https://pbs.twimg.com/profile_images/1478161944452517889/mkzSNfjF_normal.jpg</v>
      </c>
      <c r="AW335" s="82" t="s">
        <v>12530</v>
      </c>
      <c r="AX335" s="82" t="s">
        <v>12530</v>
      </c>
      <c r="AY335" s="77"/>
      <c r="AZ335" s="82" t="s">
        <v>15804</v>
      </c>
      <c r="BA335" s="82" t="s">
        <v>15804</v>
      </c>
      <c r="BB335" s="82" t="s">
        <v>15804</v>
      </c>
      <c r="BC335" s="82" t="s">
        <v>12530</v>
      </c>
      <c r="BD335" s="82" t="s">
        <v>16198</v>
      </c>
      <c r="BE335" s="77"/>
      <c r="BF335" s="77"/>
      <c r="BG335" s="77"/>
      <c r="BH335" s="77"/>
      <c r="BI335" s="77"/>
    </row>
    <row r="336" spans="1:61" x14ac:dyDescent="0.25">
      <c r="A336" s="62" t="s">
        <v>337</v>
      </c>
      <c r="B336" s="62" t="s">
        <v>337</v>
      </c>
      <c r="C336" s="63"/>
      <c r="D336" s="64"/>
      <c r="E336" s="65"/>
      <c r="F336" s="66"/>
      <c r="G336" s="63"/>
      <c r="H336" s="67"/>
      <c r="I336" s="68"/>
      <c r="J336" s="68"/>
      <c r="K336" s="32"/>
      <c r="L336" s="75">
        <v>336</v>
      </c>
      <c r="M336" s="75"/>
      <c r="N336" s="70"/>
      <c r="O336" s="77" t="s">
        <v>179</v>
      </c>
      <c r="P336" s="79">
        <v>45015.966400462959</v>
      </c>
      <c r="Q336" s="77" t="s">
        <v>1451</v>
      </c>
      <c r="R336" s="77">
        <v>0</v>
      </c>
      <c r="S336" s="77">
        <v>0</v>
      </c>
      <c r="T336" s="77">
        <v>0</v>
      </c>
      <c r="U336" s="77">
        <v>0</v>
      </c>
      <c r="V336" s="77">
        <v>9</v>
      </c>
      <c r="W336" s="82" t="s">
        <v>4268</v>
      </c>
      <c r="X336" s="77"/>
      <c r="Y336" s="77"/>
      <c r="Z336" s="77"/>
      <c r="AA336" s="77"/>
      <c r="AB336" s="77"/>
      <c r="AC336" s="82" t="s">
        <v>7706</v>
      </c>
      <c r="AD336" s="77" t="s">
        <v>7745</v>
      </c>
      <c r="AE336" s="80" t="str">
        <f>HYPERLINK("https://twitter.com/2krydex/status/1641578960881369090")</f>
        <v>https://twitter.com/2krydex/status/1641578960881369090</v>
      </c>
      <c r="AF336" s="79">
        <v>45015.966400462959</v>
      </c>
      <c r="AG336" s="85">
        <v>45015</v>
      </c>
      <c r="AH336" s="82" t="s">
        <v>8078</v>
      </c>
      <c r="AI336" s="77"/>
      <c r="AJ336" s="77"/>
      <c r="AK336" s="77"/>
      <c r="AL336" s="77"/>
      <c r="AM336" s="77"/>
      <c r="AN336" s="77"/>
      <c r="AO336" s="77"/>
      <c r="AP336" s="77"/>
      <c r="AQ336" s="77"/>
      <c r="AR336" s="77"/>
      <c r="AS336" s="77"/>
      <c r="AT336" s="77"/>
      <c r="AU336" s="77"/>
      <c r="AV336" s="80" t="str">
        <f>HYPERLINK("https://pbs.twimg.com/profile_images/1478161944452517889/mkzSNfjF_normal.jpg")</f>
        <v>https://pbs.twimg.com/profile_images/1478161944452517889/mkzSNfjF_normal.jpg</v>
      </c>
      <c r="AW336" s="82" t="s">
        <v>12531</v>
      </c>
      <c r="AX336" s="82" t="s">
        <v>12531</v>
      </c>
      <c r="AY336" s="77"/>
      <c r="AZ336" s="82" t="s">
        <v>15804</v>
      </c>
      <c r="BA336" s="82" t="s">
        <v>15804</v>
      </c>
      <c r="BB336" s="82" t="s">
        <v>15804</v>
      </c>
      <c r="BC336" s="82" t="s">
        <v>12531</v>
      </c>
      <c r="BD336" s="82" t="s">
        <v>16198</v>
      </c>
      <c r="BE336" s="77"/>
      <c r="BF336" s="77"/>
      <c r="BG336" s="77"/>
      <c r="BH336" s="77"/>
      <c r="BI336" s="77"/>
    </row>
    <row r="337" spans="1:61" x14ac:dyDescent="0.25">
      <c r="A337" s="62" t="s">
        <v>338</v>
      </c>
      <c r="B337" s="62" t="s">
        <v>338</v>
      </c>
      <c r="C337" s="63"/>
      <c r="D337" s="64"/>
      <c r="E337" s="65"/>
      <c r="F337" s="66"/>
      <c r="G337" s="63"/>
      <c r="H337" s="67"/>
      <c r="I337" s="68"/>
      <c r="J337" s="68"/>
      <c r="K337" s="32"/>
      <c r="L337" s="75">
        <v>337</v>
      </c>
      <c r="M337" s="75"/>
      <c r="N337" s="70"/>
      <c r="O337" s="77" t="s">
        <v>1132</v>
      </c>
      <c r="P337" s="79">
        <v>44984.890011574076</v>
      </c>
      <c r="Q337" s="77" t="s">
        <v>1452</v>
      </c>
      <c r="R337" s="77">
        <v>0</v>
      </c>
      <c r="S337" s="77">
        <v>0</v>
      </c>
      <c r="T337" s="77">
        <v>0</v>
      </c>
      <c r="U337" s="77">
        <v>0</v>
      </c>
      <c r="V337" s="77">
        <v>7</v>
      </c>
      <c r="W337" s="82" t="s">
        <v>4269</v>
      </c>
      <c r="X337" s="77"/>
      <c r="Y337" s="77"/>
      <c r="Z337" s="77"/>
      <c r="AA337" s="77"/>
      <c r="AB337" s="77"/>
      <c r="AC337" s="82" t="s">
        <v>7707</v>
      </c>
      <c r="AD337" s="77" t="s">
        <v>7745</v>
      </c>
      <c r="AE337" s="80" t="str">
        <f>HYPERLINK("https://twitter.com/vi_ruscito/status/1630317252628103170")</f>
        <v>https://twitter.com/vi_ruscito/status/1630317252628103170</v>
      </c>
      <c r="AF337" s="79">
        <v>44984.890011574076</v>
      </c>
      <c r="AG337" s="85">
        <v>44984</v>
      </c>
      <c r="AH337" s="82" t="s">
        <v>8079</v>
      </c>
      <c r="AI337" s="77"/>
      <c r="AJ337" s="77"/>
      <c r="AK337" s="77"/>
      <c r="AL337" s="77"/>
      <c r="AM337" s="77"/>
      <c r="AN337" s="77"/>
      <c r="AO337" s="77"/>
      <c r="AP337" s="77"/>
      <c r="AQ337" s="77"/>
      <c r="AR337" s="77"/>
      <c r="AS337" s="77"/>
      <c r="AT337" s="77"/>
      <c r="AU337" s="77"/>
      <c r="AV337" s="80" t="str">
        <f>HYPERLINK("https://pbs.twimg.com/profile_images/1287854989734547456/IVjNAuYy_normal.jpg")</f>
        <v>https://pbs.twimg.com/profile_images/1287854989734547456/IVjNAuYy_normal.jpg</v>
      </c>
      <c r="AW337" s="82" t="s">
        <v>12532</v>
      </c>
      <c r="AX337" s="82" t="s">
        <v>12533</v>
      </c>
      <c r="AY337" s="82" t="s">
        <v>15694</v>
      </c>
      <c r="AZ337" s="82" t="s">
        <v>12533</v>
      </c>
      <c r="BA337" s="82" t="s">
        <v>15804</v>
      </c>
      <c r="BB337" s="82" t="s">
        <v>15804</v>
      </c>
      <c r="BC337" s="82" t="s">
        <v>12533</v>
      </c>
      <c r="BD337" s="77">
        <v>190271535</v>
      </c>
      <c r="BE337" s="77"/>
      <c r="BF337" s="77"/>
      <c r="BG337" s="77"/>
      <c r="BH337" s="77"/>
      <c r="BI337" s="77"/>
    </row>
    <row r="338" spans="1:61" x14ac:dyDescent="0.25">
      <c r="A338" s="62" t="s">
        <v>338</v>
      </c>
      <c r="B338" s="62" t="s">
        <v>338</v>
      </c>
      <c r="C338" s="63"/>
      <c r="D338" s="64"/>
      <c r="E338" s="65"/>
      <c r="F338" s="66"/>
      <c r="G338" s="63"/>
      <c r="H338" s="67"/>
      <c r="I338" s="68"/>
      <c r="J338" s="68"/>
      <c r="K338" s="32"/>
      <c r="L338" s="75">
        <v>338</v>
      </c>
      <c r="M338" s="75"/>
      <c r="N338" s="70"/>
      <c r="O338" s="77" t="s">
        <v>179</v>
      </c>
      <c r="P338" s="79">
        <v>44984.890011574076</v>
      </c>
      <c r="Q338" s="77" t="s">
        <v>1453</v>
      </c>
      <c r="R338" s="77">
        <v>0</v>
      </c>
      <c r="S338" s="77">
        <v>0</v>
      </c>
      <c r="T338" s="77">
        <v>1</v>
      </c>
      <c r="U338" s="77">
        <v>0</v>
      </c>
      <c r="V338" s="77">
        <v>16</v>
      </c>
      <c r="W338" s="82" t="s">
        <v>4270</v>
      </c>
      <c r="X338" s="77"/>
      <c r="Y338" s="77"/>
      <c r="Z338" s="77"/>
      <c r="AA338" s="77"/>
      <c r="AB338" s="77"/>
      <c r="AC338" s="82" t="s">
        <v>7707</v>
      </c>
      <c r="AD338" s="77" t="s">
        <v>7745</v>
      </c>
      <c r="AE338" s="80" t="str">
        <f>HYPERLINK("https://twitter.com/vi_ruscito/status/1630317250577047552")</f>
        <v>https://twitter.com/vi_ruscito/status/1630317250577047552</v>
      </c>
      <c r="AF338" s="79">
        <v>44984.890011574076</v>
      </c>
      <c r="AG338" s="85">
        <v>44984</v>
      </c>
      <c r="AH338" s="82" t="s">
        <v>8079</v>
      </c>
      <c r="AI338" s="77"/>
      <c r="AJ338" s="77"/>
      <c r="AK338" s="77"/>
      <c r="AL338" s="77"/>
      <c r="AM338" s="77"/>
      <c r="AN338" s="77"/>
      <c r="AO338" s="77"/>
      <c r="AP338" s="77"/>
      <c r="AQ338" s="77"/>
      <c r="AR338" s="77"/>
      <c r="AS338" s="77"/>
      <c r="AT338" s="77"/>
      <c r="AU338" s="77"/>
      <c r="AV338" s="80" t="str">
        <f>HYPERLINK("https://pbs.twimg.com/profile_images/1287854989734547456/IVjNAuYy_normal.jpg")</f>
        <v>https://pbs.twimg.com/profile_images/1287854989734547456/IVjNAuYy_normal.jpg</v>
      </c>
      <c r="AW338" s="82" t="s">
        <v>12533</v>
      </c>
      <c r="AX338" s="82" t="s">
        <v>12533</v>
      </c>
      <c r="AY338" s="77"/>
      <c r="AZ338" s="82" t="s">
        <v>15804</v>
      </c>
      <c r="BA338" s="82" t="s">
        <v>15804</v>
      </c>
      <c r="BB338" s="82" t="s">
        <v>15804</v>
      </c>
      <c r="BC338" s="82" t="s">
        <v>12533</v>
      </c>
      <c r="BD338" s="77">
        <v>190271535</v>
      </c>
      <c r="BE338" s="77"/>
      <c r="BF338" s="77"/>
      <c r="BG338" s="77"/>
      <c r="BH338" s="77"/>
      <c r="BI338" s="77"/>
    </row>
    <row r="339" spans="1:61" x14ac:dyDescent="0.25">
      <c r="A339" s="62" t="s">
        <v>339</v>
      </c>
      <c r="B339" s="62" t="s">
        <v>339</v>
      </c>
      <c r="C339" s="63"/>
      <c r="D339" s="64"/>
      <c r="E339" s="65"/>
      <c r="F339" s="66"/>
      <c r="G339" s="63"/>
      <c r="H339" s="67"/>
      <c r="I339" s="68"/>
      <c r="J339" s="68"/>
      <c r="K339" s="32"/>
      <c r="L339" s="75">
        <v>339</v>
      </c>
      <c r="M339" s="75"/>
      <c r="N339" s="70"/>
      <c r="O339" s="77" t="s">
        <v>179</v>
      </c>
      <c r="P339" s="79">
        <v>44987.771805555552</v>
      </c>
      <c r="Q339" s="77" t="s">
        <v>1454</v>
      </c>
      <c r="R339" s="77">
        <v>0</v>
      </c>
      <c r="S339" s="77">
        <v>2</v>
      </c>
      <c r="T339" s="77">
        <v>0</v>
      </c>
      <c r="U339" s="77">
        <v>0</v>
      </c>
      <c r="V339" s="77">
        <v>28</v>
      </c>
      <c r="W339" s="82" t="s">
        <v>4271</v>
      </c>
      <c r="X339" s="80" t="str">
        <f>HYPERLINK("https://www.financasecia.com.br/renda-extra-2023/")</f>
        <v>https://www.financasecia.com.br/renda-extra-2023/</v>
      </c>
      <c r="Y339" s="77" t="s">
        <v>6002</v>
      </c>
      <c r="Z339" s="77"/>
      <c r="AA339" s="77" t="s">
        <v>6298</v>
      </c>
      <c r="AB339" s="77" t="s">
        <v>7696</v>
      </c>
      <c r="AC339" s="82" t="s">
        <v>7706</v>
      </c>
      <c r="AD339" s="77" t="s">
        <v>7745</v>
      </c>
      <c r="AE339" s="80" t="str">
        <f>HYPERLINK("https://twitter.com/financasecia/status/1631361579609473025")</f>
        <v>https://twitter.com/financasecia/status/1631361579609473025</v>
      </c>
      <c r="AF339" s="79">
        <v>44987.771805555552</v>
      </c>
      <c r="AG339" s="85">
        <v>44987</v>
      </c>
      <c r="AH339" s="82" t="s">
        <v>8080</v>
      </c>
      <c r="AI339" s="77" t="b">
        <v>0</v>
      </c>
      <c r="AJ339" s="77"/>
      <c r="AK339" s="77"/>
      <c r="AL339" s="77"/>
      <c r="AM339" s="77"/>
      <c r="AN339" s="77"/>
      <c r="AO339" s="77"/>
      <c r="AP339" s="77"/>
      <c r="AQ339" s="77" t="s">
        <v>10805</v>
      </c>
      <c r="AR339" s="77"/>
      <c r="AS339" s="77"/>
      <c r="AT339" s="77"/>
      <c r="AU339" s="77"/>
      <c r="AV339" s="80" t="str">
        <f>HYPERLINK("https://pbs.twimg.com/media/FqPCY8iX0AECJYR.jpg")</f>
        <v>https://pbs.twimg.com/media/FqPCY8iX0AECJYR.jpg</v>
      </c>
      <c r="AW339" s="82" t="s">
        <v>12534</v>
      </c>
      <c r="AX339" s="82" t="s">
        <v>12534</v>
      </c>
      <c r="AY339" s="77"/>
      <c r="AZ339" s="82" t="s">
        <v>15804</v>
      </c>
      <c r="BA339" s="82" t="s">
        <v>15804</v>
      </c>
      <c r="BB339" s="82" t="s">
        <v>15804</v>
      </c>
      <c r="BC339" s="82" t="s">
        <v>12534</v>
      </c>
      <c r="BD339" s="82" t="s">
        <v>16199</v>
      </c>
      <c r="BE339" s="77"/>
      <c r="BF339" s="77"/>
      <c r="BG339" s="77"/>
      <c r="BH339" s="77"/>
      <c r="BI339" s="77"/>
    </row>
    <row r="340" spans="1:61" x14ac:dyDescent="0.25">
      <c r="A340" s="62" t="s">
        <v>339</v>
      </c>
      <c r="B340" s="62" t="s">
        <v>339</v>
      </c>
      <c r="C340" s="63"/>
      <c r="D340" s="64"/>
      <c r="E340" s="65"/>
      <c r="F340" s="66"/>
      <c r="G340" s="63"/>
      <c r="H340" s="67"/>
      <c r="I340" s="68"/>
      <c r="J340" s="68"/>
      <c r="K340" s="32"/>
      <c r="L340" s="75">
        <v>340</v>
      </c>
      <c r="M340" s="75"/>
      <c r="N340" s="70"/>
      <c r="O340" s="77" t="s">
        <v>179</v>
      </c>
      <c r="P340" s="79">
        <v>44987.770520833335</v>
      </c>
      <c r="Q340" s="77" t="s">
        <v>1455</v>
      </c>
      <c r="R340" s="77">
        <v>0</v>
      </c>
      <c r="S340" s="77">
        <v>3</v>
      </c>
      <c r="T340" s="77">
        <v>0</v>
      </c>
      <c r="U340" s="77">
        <v>0</v>
      </c>
      <c r="V340" s="77">
        <v>73</v>
      </c>
      <c r="W340" s="82" t="s">
        <v>4272</v>
      </c>
      <c r="X340" s="80" t="str">
        <f>HYPERLINK("https://www.financasecia.com.br/chat-gpt/")</f>
        <v>https://www.financasecia.com.br/chat-gpt/</v>
      </c>
      <c r="Y340" s="77" t="s">
        <v>6002</v>
      </c>
      <c r="Z340" s="77"/>
      <c r="AA340" s="77" t="s">
        <v>6299</v>
      </c>
      <c r="AB340" s="77" t="s">
        <v>7696</v>
      </c>
      <c r="AC340" s="82" t="s">
        <v>7706</v>
      </c>
      <c r="AD340" s="77" t="s">
        <v>7745</v>
      </c>
      <c r="AE340" s="80" t="str">
        <f>HYPERLINK("https://twitter.com/financasecia/status/1631361112745598994")</f>
        <v>https://twitter.com/financasecia/status/1631361112745598994</v>
      </c>
      <c r="AF340" s="79">
        <v>44987.770520833335</v>
      </c>
      <c r="AG340" s="85">
        <v>44987</v>
      </c>
      <c r="AH340" s="82" t="s">
        <v>8081</v>
      </c>
      <c r="AI340" s="77" t="b">
        <v>0</v>
      </c>
      <c r="AJ340" s="77"/>
      <c r="AK340" s="77"/>
      <c r="AL340" s="77"/>
      <c r="AM340" s="77"/>
      <c r="AN340" s="77"/>
      <c r="AO340" s="77"/>
      <c r="AP340" s="77"/>
      <c r="AQ340" s="77" t="s">
        <v>10806</v>
      </c>
      <c r="AR340" s="77"/>
      <c r="AS340" s="77"/>
      <c r="AT340" s="77"/>
      <c r="AU340" s="77"/>
      <c r="AV340" s="80" t="str">
        <f>HYPERLINK("https://pbs.twimg.com/media/FqPCEJZWYA813-D.jpg")</f>
        <v>https://pbs.twimg.com/media/FqPCEJZWYA813-D.jpg</v>
      </c>
      <c r="AW340" s="82" t="s">
        <v>12535</v>
      </c>
      <c r="AX340" s="82" t="s">
        <v>12535</v>
      </c>
      <c r="AY340" s="77"/>
      <c r="AZ340" s="82" t="s">
        <v>15804</v>
      </c>
      <c r="BA340" s="82" t="s">
        <v>15804</v>
      </c>
      <c r="BB340" s="82" t="s">
        <v>15804</v>
      </c>
      <c r="BC340" s="82" t="s">
        <v>12535</v>
      </c>
      <c r="BD340" s="82" t="s">
        <v>16199</v>
      </c>
      <c r="BE340" s="77"/>
      <c r="BF340" s="77"/>
      <c r="BG340" s="77"/>
      <c r="BH340" s="77"/>
      <c r="BI340" s="77"/>
    </row>
    <row r="341" spans="1:61" x14ac:dyDescent="0.25">
      <c r="A341" s="62" t="s">
        <v>339</v>
      </c>
      <c r="B341" s="62" t="s">
        <v>339</v>
      </c>
      <c r="C341" s="63"/>
      <c r="D341" s="64"/>
      <c r="E341" s="65"/>
      <c r="F341" s="66"/>
      <c r="G341" s="63"/>
      <c r="H341" s="67"/>
      <c r="I341" s="68"/>
      <c r="J341" s="68"/>
      <c r="K341" s="32"/>
      <c r="L341" s="75">
        <v>341</v>
      </c>
      <c r="M341" s="75"/>
      <c r="N341" s="70"/>
      <c r="O341" s="77" t="s">
        <v>179</v>
      </c>
      <c r="P341" s="79">
        <v>44986.916250000002</v>
      </c>
      <c r="Q341" s="77" t="s">
        <v>1456</v>
      </c>
      <c r="R341" s="77">
        <v>0</v>
      </c>
      <c r="S341" s="77">
        <v>2</v>
      </c>
      <c r="T341" s="77">
        <v>0</v>
      </c>
      <c r="U341" s="77">
        <v>0</v>
      </c>
      <c r="V341" s="77">
        <v>28</v>
      </c>
      <c r="W341" s="82" t="s">
        <v>4273</v>
      </c>
      <c r="X341" s="80" t="str">
        <f>HYPERLINK("https://www.financasecia.com.br/o-homem-mais-rico-da-babilonia/")</f>
        <v>https://www.financasecia.com.br/o-homem-mais-rico-da-babilonia/</v>
      </c>
      <c r="Y341" s="77" t="s">
        <v>6002</v>
      </c>
      <c r="Z341" s="77"/>
      <c r="AA341" s="77" t="s">
        <v>6300</v>
      </c>
      <c r="AB341" s="77" t="s">
        <v>7696</v>
      </c>
      <c r="AC341" s="82" t="s">
        <v>7706</v>
      </c>
      <c r="AD341" s="77" t="s">
        <v>7745</v>
      </c>
      <c r="AE341" s="80" t="str">
        <f>HYPERLINK("https://twitter.com/financasecia/status/1631051535353348097")</f>
        <v>https://twitter.com/financasecia/status/1631051535353348097</v>
      </c>
      <c r="AF341" s="79">
        <v>44986.916250000002</v>
      </c>
      <c r="AG341" s="85">
        <v>44986</v>
      </c>
      <c r="AH341" s="82" t="s">
        <v>8082</v>
      </c>
      <c r="AI341" s="77" t="b">
        <v>0</v>
      </c>
      <c r="AJ341" s="77"/>
      <c r="AK341" s="77"/>
      <c r="AL341" s="77"/>
      <c r="AM341" s="77"/>
      <c r="AN341" s="77"/>
      <c r="AO341" s="77"/>
      <c r="AP341" s="77"/>
      <c r="AQ341" s="77" t="s">
        <v>10807</v>
      </c>
      <c r="AR341" s="77"/>
      <c r="AS341" s="77"/>
      <c r="AT341" s="77"/>
      <c r="AU341" s="77"/>
      <c r="AV341" s="80" t="str">
        <f>HYPERLINK("https://pbs.twimg.com/media/FqKoZm6XgAAzoyw.jpg")</f>
        <v>https://pbs.twimg.com/media/FqKoZm6XgAAzoyw.jpg</v>
      </c>
      <c r="AW341" s="82" t="s">
        <v>12536</v>
      </c>
      <c r="AX341" s="82" t="s">
        <v>12536</v>
      </c>
      <c r="AY341" s="77"/>
      <c r="AZ341" s="82" t="s">
        <v>15804</v>
      </c>
      <c r="BA341" s="82" t="s">
        <v>15804</v>
      </c>
      <c r="BB341" s="82" t="s">
        <v>15804</v>
      </c>
      <c r="BC341" s="82" t="s">
        <v>12536</v>
      </c>
      <c r="BD341" s="82" t="s">
        <v>16199</v>
      </c>
      <c r="BE341" s="77"/>
      <c r="BF341" s="77"/>
      <c r="BG341" s="77"/>
      <c r="BH341" s="77"/>
      <c r="BI341" s="77"/>
    </row>
    <row r="342" spans="1:61" x14ac:dyDescent="0.25">
      <c r="A342" s="62" t="s">
        <v>339</v>
      </c>
      <c r="B342" s="62" t="s">
        <v>339</v>
      </c>
      <c r="C342" s="63"/>
      <c r="D342" s="64"/>
      <c r="E342" s="65"/>
      <c r="F342" s="66"/>
      <c r="G342" s="63"/>
      <c r="H342" s="67"/>
      <c r="I342" s="68"/>
      <c r="J342" s="68"/>
      <c r="K342" s="32"/>
      <c r="L342" s="75">
        <v>342</v>
      </c>
      <c r="M342" s="75"/>
      <c r="N342" s="70"/>
      <c r="O342" s="77" t="s">
        <v>179</v>
      </c>
      <c r="P342" s="79">
        <v>44986.914722222224</v>
      </c>
      <c r="Q342" s="77" t="s">
        <v>1457</v>
      </c>
      <c r="R342" s="77">
        <v>0</v>
      </c>
      <c r="S342" s="77">
        <v>2</v>
      </c>
      <c r="T342" s="77">
        <v>0</v>
      </c>
      <c r="U342" s="77">
        <v>0</v>
      </c>
      <c r="V342" s="77">
        <v>9</v>
      </c>
      <c r="W342" s="82" t="s">
        <v>4274</v>
      </c>
      <c r="X342" s="80" t="str">
        <f>HYPERLINK("https://www.financasecia.com.br/financas-descentralizadas/")</f>
        <v>https://www.financasecia.com.br/financas-descentralizadas/</v>
      </c>
      <c r="Y342" s="77" t="s">
        <v>6002</v>
      </c>
      <c r="Z342" s="77"/>
      <c r="AA342" s="77" t="s">
        <v>6301</v>
      </c>
      <c r="AB342" s="77" t="s">
        <v>7696</v>
      </c>
      <c r="AC342" s="82" t="s">
        <v>7706</v>
      </c>
      <c r="AD342" s="77" t="s">
        <v>7745</v>
      </c>
      <c r="AE342" s="80" t="str">
        <f>HYPERLINK("https://twitter.com/financasecia/status/1631050984532193281")</f>
        <v>https://twitter.com/financasecia/status/1631050984532193281</v>
      </c>
      <c r="AF342" s="79">
        <v>44986.914722222224</v>
      </c>
      <c r="AG342" s="85">
        <v>44986</v>
      </c>
      <c r="AH342" s="82" t="s">
        <v>8083</v>
      </c>
      <c r="AI342" s="77" t="b">
        <v>0</v>
      </c>
      <c r="AJ342" s="77"/>
      <c r="AK342" s="77"/>
      <c r="AL342" s="77"/>
      <c r="AM342" s="77"/>
      <c r="AN342" s="77"/>
      <c r="AO342" s="77"/>
      <c r="AP342" s="77"/>
      <c r="AQ342" s="77" t="s">
        <v>10808</v>
      </c>
      <c r="AR342" s="77"/>
      <c r="AS342" s="77"/>
      <c r="AT342" s="77"/>
      <c r="AU342" s="77"/>
      <c r="AV342" s="80" t="str">
        <f>HYPERLINK("https://pbs.twimg.com/media/FqKoN7iXwAE-RJm.jpg")</f>
        <v>https://pbs.twimg.com/media/FqKoN7iXwAE-RJm.jpg</v>
      </c>
      <c r="AW342" s="82" t="s">
        <v>12537</v>
      </c>
      <c r="AX342" s="82" t="s">
        <v>12537</v>
      </c>
      <c r="AY342" s="77"/>
      <c r="AZ342" s="82" t="s">
        <v>15804</v>
      </c>
      <c r="BA342" s="82" t="s">
        <v>15804</v>
      </c>
      <c r="BB342" s="82" t="s">
        <v>15804</v>
      </c>
      <c r="BC342" s="82" t="s">
        <v>12537</v>
      </c>
      <c r="BD342" s="82" t="s">
        <v>16199</v>
      </c>
      <c r="BE342" s="77"/>
      <c r="BF342" s="77"/>
      <c r="BG342" s="77"/>
      <c r="BH342" s="77"/>
      <c r="BI342" s="77"/>
    </row>
    <row r="343" spans="1:61" x14ac:dyDescent="0.25">
      <c r="A343" s="62" t="s">
        <v>339</v>
      </c>
      <c r="B343" s="62" t="s">
        <v>339</v>
      </c>
      <c r="C343" s="63"/>
      <c r="D343" s="64"/>
      <c r="E343" s="65"/>
      <c r="F343" s="66"/>
      <c r="G343" s="63"/>
      <c r="H343" s="67"/>
      <c r="I343" s="68"/>
      <c r="J343" s="68"/>
      <c r="K343" s="32"/>
      <c r="L343" s="75">
        <v>343</v>
      </c>
      <c r="M343" s="75"/>
      <c r="N343" s="70"/>
      <c r="O343" s="77" t="s">
        <v>179</v>
      </c>
      <c r="P343" s="79">
        <v>44964.91978009259</v>
      </c>
      <c r="Q343" s="77" t="s">
        <v>1458</v>
      </c>
      <c r="R343" s="77">
        <v>0</v>
      </c>
      <c r="S343" s="77">
        <v>2</v>
      </c>
      <c r="T343" s="77">
        <v>0</v>
      </c>
      <c r="U343" s="77">
        <v>0</v>
      </c>
      <c r="V343" s="77">
        <v>41</v>
      </c>
      <c r="W343" s="82" t="s">
        <v>4275</v>
      </c>
      <c r="X343" s="80" t="str">
        <f>HYPERLINK("https://www.financasecia.com.br/mercado-de-acoes/")</f>
        <v>https://www.financasecia.com.br/mercado-de-acoes/</v>
      </c>
      <c r="Y343" s="77" t="s">
        <v>6002</v>
      </c>
      <c r="Z343" s="77"/>
      <c r="AA343" s="77" t="s">
        <v>6302</v>
      </c>
      <c r="AB343" s="77" t="s">
        <v>7696</v>
      </c>
      <c r="AC343" s="82" t="s">
        <v>7706</v>
      </c>
      <c r="AD343" s="77" t="s">
        <v>7745</v>
      </c>
      <c r="AE343" s="80" t="str">
        <f>HYPERLINK("https://twitter.com/financasecia/status/1623080284185939970")</f>
        <v>https://twitter.com/financasecia/status/1623080284185939970</v>
      </c>
      <c r="AF343" s="79">
        <v>44964.91978009259</v>
      </c>
      <c r="AG343" s="85">
        <v>44964</v>
      </c>
      <c r="AH343" s="82" t="s">
        <v>8084</v>
      </c>
      <c r="AI343" s="77" t="b">
        <v>0</v>
      </c>
      <c r="AJ343" s="77"/>
      <c r="AK343" s="77"/>
      <c r="AL343" s="77"/>
      <c r="AM343" s="77"/>
      <c r="AN343" s="77"/>
      <c r="AO343" s="77"/>
      <c r="AP343" s="77"/>
      <c r="AQ343" s="77" t="s">
        <v>10809</v>
      </c>
      <c r="AR343" s="77"/>
      <c r="AS343" s="77"/>
      <c r="AT343" s="77"/>
      <c r="AU343" s="77"/>
      <c r="AV343" s="80" t="str">
        <f>HYPERLINK("https://pbs.twimg.com/media/FoZWkbhXwAQzr9i.jpg")</f>
        <v>https://pbs.twimg.com/media/FoZWkbhXwAQzr9i.jpg</v>
      </c>
      <c r="AW343" s="82" t="s">
        <v>12538</v>
      </c>
      <c r="AX343" s="82" t="s">
        <v>12538</v>
      </c>
      <c r="AY343" s="77"/>
      <c r="AZ343" s="82" t="s">
        <v>15804</v>
      </c>
      <c r="BA343" s="82" t="s">
        <v>15804</v>
      </c>
      <c r="BB343" s="82" t="s">
        <v>15804</v>
      </c>
      <c r="BC343" s="82" t="s">
        <v>12538</v>
      </c>
      <c r="BD343" s="82" t="s">
        <v>16199</v>
      </c>
      <c r="BE343" s="77"/>
      <c r="BF343" s="77"/>
      <c r="BG343" s="77"/>
      <c r="BH343" s="77"/>
      <c r="BI343" s="77"/>
    </row>
    <row r="344" spans="1:61" x14ac:dyDescent="0.25">
      <c r="A344" s="62" t="s">
        <v>339</v>
      </c>
      <c r="B344" s="62" t="s">
        <v>339</v>
      </c>
      <c r="C344" s="63"/>
      <c r="D344" s="64"/>
      <c r="E344" s="65"/>
      <c r="F344" s="66"/>
      <c r="G344" s="63"/>
      <c r="H344" s="67"/>
      <c r="I344" s="68"/>
      <c r="J344" s="68"/>
      <c r="K344" s="32"/>
      <c r="L344" s="75">
        <v>344</v>
      </c>
      <c r="M344" s="75"/>
      <c r="N344" s="70"/>
      <c r="O344" s="77" t="s">
        <v>179</v>
      </c>
      <c r="P344" s="79">
        <v>44964.918124999997</v>
      </c>
      <c r="Q344" s="77" t="s">
        <v>1459</v>
      </c>
      <c r="R344" s="77">
        <v>0</v>
      </c>
      <c r="S344" s="77">
        <v>2</v>
      </c>
      <c r="T344" s="77">
        <v>0</v>
      </c>
      <c r="U344" s="77">
        <v>0</v>
      </c>
      <c r="V344" s="77">
        <v>23</v>
      </c>
      <c r="W344" s="82" t="s">
        <v>4276</v>
      </c>
      <c r="X344" s="80" t="str">
        <f>HYPERLINK("https://www.financasecia.com.br/bitcoin-btc2/")</f>
        <v>https://www.financasecia.com.br/bitcoin-btc2/</v>
      </c>
      <c r="Y344" s="77" t="s">
        <v>6002</v>
      </c>
      <c r="Z344" s="77"/>
      <c r="AA344" s="77" t="s">
        <v>6303</v>
      </c>
      <c r="AB344" s="77" t="s">
        <v>7696</v>
      </c>
      <c r="AC344" s="82" t="s">
        <v>7706</v>
      </c>
      <c r="AD344" s="77" t="s">
        <v>7745</v>
      </c>
      <c r="AE344" s="80" t="str">
        <f>HYPERLINK("https://twitter.com/financasecia/status/1623079683687317505")</f>
        <v>https://twitter.com/financasecia/status/1623079683687317505</v>
      </c>
      <c r="AF344" s="79">
        <v>44964.918124999997</v>
      </c>
      <c r="AG344" s="85">
        <v>44964</v>
      </c>
      <c r="AH344" s="82" t="s">
        <v>8085</v>
      </c>
      <c r="AI344" s="77" t="b">
        <v>0</v>
      </c>
      <c r="AJ344" s="77"/>
      <c r="AK344" s="77"/>
      <c r="AL344" s="77"/>
      <c r="AM344" s="77"/>
      <c r="AN344" s="77"/>
      <c r="AO344" s="77"/>
      <c r="AP344" s="77"/>
      <c r="AQ344" s="77" t="s">
        <v>10810</v>
      </c>
      <c r="AR344" s="77"/>
      <c r="AS344" s="77"/>
      <c r="AT344" s="77"/>
      <c r="AU344" s="77"/>
      <c r="AV344" s="80" t="str">
        <f>HYPERLINK("https://pbs.twimg.com/media/FoZWVhjXsAIeupK.jpg")</f>
        <v>https://pbs.twimg.com/media/FoZWVhjXsAIeupK.jpg</v>
      </c>
      <c r="AW344" s="82" t="s">
        <v>12539</v>
      </c>
      <c r="AX344" s="82" t="s">
        <v>12539</v>
      </c>
      <c r="AY344" s="77"/>
      <c r="AZ344" s="82" t="s">
        <v>15804</v>
      </c>
      <c r="BA344" s="82" t="s">
        <v>15804</v>
      </c>
      <c r="BB344" s="82" t="s">
        <v>15804</v>
      </c>
      <c r="BC344" s="82" t="s">
        <v>12539</v>
      </c>
      <c r="BD344" s="82" t="s">
        <v>16199</v>
      </c>
      <c r="BE344" s="77"/>
      <c r="BF344" s="77"/>
      <c r="BG344" s="77"/>
      <c r="BH344" s="77"/>
      <c r="BI344" s="77"/>
    </row>
    <row r="345" spans="1:61" x14ac:dyDescent="0.25">
      <c r="A345" s="62" t="s">
        <v>339</v>
      </c>
      <c r="B345" s="62" t="s">
        <v>339</v>
      </c>
      <c r="C345" s="63"/>
      <c r="D345" s="64"/>
      <c r="E345" s="65"/>
      <c r="F345" s="66"/>
      <c r="G345" s="63"/>
      <c r="H345" s="67"/>
      <c r="I345" s="68"/>
      <c r="J345" s="68"/>
      <c r="K345" s="32"/>
      <c r="L345" s="75">
        <v>345</v>
      </c>
      <c r="M345" s="75"/>
      <c r="N345" s="70"/>
      <c r="O345" s="77" t="s">
        <v>179</v>
      </c>
      <c r="P345" s="79">
        <v>44964.913668981484</v>
      </c>
      <c r="Q345" s="77" t="s">
        <v>1460</v>
      </c>
      <c r="R345" s="77">
        <v>0</v>
      </c>
      <c r="S345" s="77">
        <v>2</v>
      </c>
      <c r="T345" s="77">
        <v>0</v>
      </c>
      <c r="U345" s="77">
        <v>0</v>
      </c>
      <c r="V345" s="77">
        <v>17</v>
      </c>
      <c r="W345" s="82" t="s">
        <v>4277</v>
      </c>
      <c r="X345" s="80" t="str">
        <f>HYPERLINK("https://www.financasecia.com.br/fundos-imobiliarios-fii/")</f>
        <v>https://www.financasecia.com.br/fundos-imobiliarios-fii/</v>
      </c>
      <c r="Y345" s="77" t="s">
        <v>6002</v>
      </c>
      <c r="Z345" s="77"/>
      <c r="AA345" s="77" t="s">
        <v>6304</v>
      </c>
      <c r="AB345" s="77" t="s">
        <v>7696</v>
      </c>
      <c r="AC345" s="82" t="s">
        <v>7706</v>
      </c>
      <c r="AD345" s="77" t="s">
        <v>7745</v>
      </c>
      <c r="AE345" s="80" t="str">
        <f>HYPERLINK("https://twitter.com/financasecia/status/1623078067114594305")</f>
        <v>https://twitter.com/financasecia/status/1623078067114594305</v>
      </c>
      <c r="AF345" s="79">
        <v>44964.913668981484</v>
      </c>
      <c r="AG345" s="85">
        <v>44964</v>
      </c>
      <c r="AH345" s="82" t="s">
        <v>8086</v>
      </c>
      <c r="AI345" s="77" t="b">
        <v>0</v>
      </c>
      <c r="AJ345" s="77"/>
      <c r="AK345" s="77"/>
      <c r="AL345" s="77"/>
      <c r="AM345" s="77"/>
      <c r="AN345" s="77"/>
      <c r="AO345" s="77"/>
      <c r="AP345" s="77"/>
      <c r="AQ345" s="77" t="s">
        <v>10811</v>
      </c>
      <c r="AR345" s="77"/>
      <c r="AS345" s="77"/>
      <c r="AT345" s="77"/>
      <c r="AU345" s="77"/>
      <c r="AV345" s="80" t="str">
        <f>HYPERLINK("https://pbs.twimg.com/media/FoZU4GRXwAAoiPN.jpg")</f>
        <v>https://pbs.twimg.com/media/FoZU4GRXwAAoiPN.jpg</v>
      </c>
      <c r="AW345" s="82" t="s">
        <v>12540</v>
      </c>
      <c r="AX345" s="82" t="s">
        <v>12540</v>
      </c>
      <c r="AY345" s="77"/>
      <c r="AZ345" s="82" t="s">
        <v>15804</v>
      </c>
      <c r="BA345" s="82" t="s">
        <v>15804</v>
      </c>
      <c r="BB345" s="82" t="s">
        <v>15804</v>
      </c>
      <c r="BC345" s="82" t="s">
        <v>12540</v>
      </c>
      <c r="BD345" s="82" t="s">
        <v>16199</v>
      </c>
      <c r="BE345" s="77"/>
      <c r="BF345" s="77"/>
      <c r="BG345" s="77"/>
      <c r="BH345" s="77"/>
      <c r="BI345" s="77"/>
    </row>
    <row r="346" spans="1:61" x14ac:dyDescent="0.25">
      <c r="A346" s="62" t="s">
        <v>340</v>
      </c>
      <c r="B346" s="62" t="s">
        <v>340</v>
      </c>
      <c r="C346" s="63"/>
      <c r="D346" s="64"/>
      <c r="E346" s="65"/>
      <c r="F346" s="66"/>
      <c r="G346" s="63"/>
      <c r="H346" s="67"/>
      <c r="I346" s="68"/>
      <c r="J346" s="68"/>
      <c r="K346" s="32"/>
      <c r="L346" s="75">
        <v>346</v>
      </c>
      <c r="M346" s="75"/>
      <c r="N346" s="70"/>
      <c r="O346" s="77" t="s">
        <v>179</v>
      </c>
      <c r="P346" s="79">
        <v>45151.92291666667</v>
      </c>
      <c r="Q346" s="77" t="s">
        <v>1461</v>
      </c>
      <c r="R346" s="77">
        <v>0</v>
      </c>
      <c r="S346" s="77">
        <v>0</v>
      </c>
      <c r="T346" s="77">
        <v>0</v>
      </c>
      <c r="U346" s="77">
        <v>0</v>
      </c>
      <c r="V346" s="77">
        <v>12</v>
      </c>
      <c r="W346" s="82" t="s">
        <v>4278</v>
      </c>
      <c r="X346" s="77"/>
      <c r="Y346" s="77"/>
      <c r="Z346" s="77"/>
      <c r="AA346" s="77"/>
      <c r="AB346" s="77"/>
      <c r="AC346" s="82" t="s">
        <v>7707</v>
      </c>
      <c r="AD346" s="77" t="s">
        <v>7745</v>
      </c>
      <c r="AE346" s="80" t="str">
        <f>HYPERLINK("https://twitter.com/cllaudioleite/status/1690847951302574080")</f>
        <v>https://twitter.com/cllaudioleite/status/1690847951302574080</v>
      </c>
      <c r="AF346" s="79">
        <v>45151.92291666667</v>
      </c>
      <c r="AG346" s="85">
        <v>45151</v>
      </c>
      <c r="AH346" s="82" t="s">
        <v>8087</v>
      </c>
      <c r="AI346" s="77"/>
      <c r="AJ346" s="77"/>
      <c r="AK346" s="77"/>
      <c r="AL346" s="77"/>
      <c r="AM346" s="77"/>
      <c r="AN346" s="77"/>
      <c r="AO346" s="77"/>
      <c r="AP346" s="77"/>
      <c r="AQ346" s="77"/>
      <c r="AR346" s="77"/>
      <c r="AS346" s="77"/>
      <c r="AT346" s="77"/>
      <c r="AU346" s="77"/>
      <c r="AV346" s="80" t="str">
        <f>HYPERLINK("https://pbs.twimg.com/profile_images/1550150737312813057/MXXKlGrw_normal.jpg")</f>
        <v>https://pbs.twimg.com/profile_images/1550150737312813057/MXXKlGrw_normal.jpg</v>
      </c>
      <c r="AW346" s="82" t="s">
        <v>12541</v>
      </c>
      <c r="AX346" s="82" t="s">
        <v>12541</v>
      </c>
      <c r="AY346" s="77"/>
      <c r="AZ346" s="82" t="s">
        <v>15804</v>
      </c>
      <c r="BA346" s="82" t="s">
        <v>15804</v>
      </c>
      <c r="BB346" s="82" t="s">
        <v>15804</v>
      </c>
      <c r="BC346" s="82" t="s">
        <v>12541</v>
      </c>
      <c r="BD346" s="82" t="s">
        <v>16200</v>
      </c>
      <c r="BE346" s="77"/>
      <c r="BF346" s="77"/>
      <c r="BG346" s="77"/>
      <c r="BH346" s="77"/>
      <c r="BI346" s="77"/>
    </row>
    <row r="347" spans="1:61" x14ac:dyDescent="0.25">
      <c r="A347" s="62" t="s">
        <v>341</v>
      </c>
      <c r="B347" s="62" t="s">
        <v>341</v>
      </c>
      <c r="C347" s="63"/>
      <c r="D347" s="64"/>
      <c r="E347" s="65"/>
      <c r="F347" s="66"/>
      <c r="G347" s="63"/>
      <c r="H347" s="67"/>
      <c r="I347" s="68"/>
      <c r="J347" s="68"/>
      <c r="K347" s="32"/>
      <c r="L347" s="75">
        <v>347</v>
      </c>
      <c r="M347" s="75"/>
      <c r="N347" s="70"/>
      <c r="O347" s="77" t="s">
        <v>179</v>
      </c>
      <c r="P347" s="79">
        <v>45007.994108796294</v>
      </c>
      <c r="Q347" s="77" t="s">
        <v>1462</v>
      </c>
      <c r="R347" s="77">
        <v>0</v>
      </c>
      <c r="S347" s="77">
        <v>0</v>
      </c>
      <c r="T347" s="77">
        <v>0</v>
      </c>
      <c r="U347" s="77">
        <v>0</v>
      </c>
      <c r="V347" s="77">
        <v>33</v>
      </c>
      <c r="W347" s="82" t="s">
        <v>4279</v>
      </c>
      <c r="X347" s="77"/>
      <c r="Y347" s="77"/>
      <c r="Z347" s="77"/>
      <c r="AA347" s="77"/>
      <c r="AB347" s="77"/>
      <c r="AC347" s="82" t="s">
        <v>7707</v>
      </c>
      <c r="AD347" s="77" t="s">
        <v>7745</v>
      </c>
      <c r="AE347" s="80" t="str">
        <f>HYPERLINK("https://twitter.com/tayliszatti/status/1638689897841299457")</f>
        <v>https://twitter.com/tayliszatti/status/1638689897841299457</v>
      </c>
      <c r="AF347" s="79">
        <v>45007.994108796294</v>
      </c>
      <c r="AG347" s="85">
        <v>45007</v>
      </c>
      <c r="AH347" s="82" t="s">
        <v>8088</v>
      </c>
      <c r="AI347" s="77"/>
      <c r="AJ347" s="77"/>
      <c r="AK347" s="77"/>
      <c r="AL347" s="77"/>
      <c r="AM347" s="77"/>
      <c r="AN347" s="77"/>
      <c r="AO347" s="77"/>
      <c r="AP347" s="77"/>
      <c r="AQ347" s="77"/>
      <c r="AR347" s="77"/>
      <c r="AS347" s="77"/>
      <c r="AT347" s="77"/>
      <c r="AU347" s="77"/>
      <c r="AV347" s="80" t="str">
        <f>HYPERLINK("https://pbs.twimg.com/profile_images/1625951745963659307/aaiwnXqV_normal.jpg")</f>
        <v>https://pbs.twimg.com/profile_images/1625951745963659307/aaiwnXqV_normal.jpg</v>
      </c>
      <c r="AW347" s="82" t="s">
        <v>12542</v>
      </c>
      <c r="AX347" s="82" t="s">
        <v>12542</v>
      </c>
      <c r="AY347" s="77"/>
      <c r="AZ347" s="82" t="s">
        <v>15804</v>
      </c>
      <c r="BA347" s="82" t="s">
        <v>15804</v>
      </c>
      <c r="BB347" s="82" t="s">
        <v>15804</v>
      </c>
      <c r="BC347" s="82" t="s">
        <v>12542</v>
      </c>
      <c r="BD347" s="82" t="s">
        <v>16201</v>
      </c>
      <c r="BE347" s="77"/>
      <c r="BF347" s="77"/>
      <c r="BG347" s="77"/>
      <c r="BH347" s="77"/>
      <c r="BI347" s="77"/>
    </row>
    <row r="348" spans="1:61" x14ac:dyDescent="0.25">
      <c r="A348" s="62" t="s">
        <v>342</v>
      </c>
      <c r="B348" s="62" t="s">
        <v>342</v>
      </c>
      <c r="C348" s="63"/>
      <c r="D348" s="64"/>
      <c r="E348" s="65"/>
      <c r="F348" s="66"/>
      <c r="G348" s="63"/>
      <c r="H348" s="67"/>
      <c r="I348" s="68"/>
      <c r="J348" s="68"/>
      <c r="K348" s="32"/>
      <c r="L348" s="75">
        <v>348</v>
      </c>
      <c r="M348" s="75"/>
      <c r="N348" s="70"/>
      <c r="O348" s="77" t="s">
        <v>179</v>
      </c>
      <c r="P348" s="79">
        <v>44950.517141203702</v>
      </c>
      <c r="Q348" s="77" t="s">
        <v>1463</v>
      </c>
      <c r="R348" s="77">
        <v>0</v>
      </c>
      <c r="S348" s="77">
        <v>0</v>
      </c>
      <c r="T348" s="77">
        <v>0</v>
      </c>
      <c r="U348" s="77">
        <v>0</v>
      </c>
      <c r="V348" s="77">
        <v>10</v>
      </c>
      <c r="W348" s="82" t="s">
        <v>4280</v>
      </c>
      <c r="X348" s="77"/>
      <c r="Y348" s="77"/>
      <c r="Z348" s="77"/>
      <c r="AA348" s="77"/>
      <c r="AB348" s="77"/>
      <c r="AC348" s="82" t="s">
        <v>7705</v>
      </c>
      <c r="AD348" s="77" t="s">
        <v>7745</v>
      </c>
      <c r="AE348" s="80" t="str">
        <f>HYPERLINK("https://twitter.com/cassebbsb/status/1617860940250361856")</f>
        <v>https://twitter.com/cassebbsb/status/1617860940250361856</v>
      </c>
      <c r="AF348" s="79">
        <v>44950.517141203702</v>
      </c>
      <c r="AG348" s="85">
        <v>44950</v>
      </c>
      <c r="AH348" s="82" t="s">
        <v>8089</v>
      </c>
      <c r="AI348" s="77"/>
      <c r="AJ348" s="77"/>
      <c r="AK348" s="77"/>
      <c r="AL348" s="77"/>
      <c r="AM348" s="77"/>
      <c r="AN348" s="77"/>
      <c r="AO348" s="77"/>
      <c r="AP348" s="77"/>
      <c r="AQ348" s="77"/>
      <c r="AR348" s="77"/>
      <c r="AS348" s="77"/>
      <c r="AT348" s="77"/>
      <c r="AU348" s="77"/>
      <c r="AV348" s="80" t="str">
        <f>HYPERLINK("https://pbs.twimg.com/profile_images/1485247923868901376/AOtagI6o_normal.jpg")</f>
        <v>https://pbs.twimg.com/profile_images/1485247923868901376/AOtagI6o_normal.jpg</v>
      </c>
      <c r="AW348" s="82" t="s">
        <v>12543</v>
      </c>
      <c r="AX348" s="82" t="s">
        <v>12543</v>
      </c>
      <c r="AY348" s="77"/>
      <c r="AZ348" s="82" t="s">
        <v>15804</v>
      </c>
      <c r="BA348" s="82" t="s">
        <v>15804</v>
      </c>
      <c r="BB348" s="82" t="s">
        <v>15804</v>
      </c>
      <c r="BC348" s="82" t="s">
        <v>12543</v>
      </c>
      <c r="BD348" s="82" t="s">
        <v>16202</v>
      </c>
      <c r="BE348" s="77"/>
      <c r="BF348" s="77"/>
      <c r="BG348" s="77"/>
      <c r="BH348" s="77"/>
      <c r="BI348" s="77"/>
    </row>
    <row r="349" spans="1:61" x14ac:dyDescent="0.25">
      <c r="A349" s="62" t="s">
        <v>342</v>
      </c>
      <c r="B349" s="62" t="s">
        <v>342</v>
      </c>
      <c r="C349" s="63"/>
      <c r="D349" s="64"/>
      <c r="E349" s="65"/>
      <c r="F349" s="66"/>
      <c r="G349" s="63"/>
      <c r="H349" s="67"/>
      <c r="I349" s="68"/>
      <c r="J349" s="68"/>
      <c r="K349" s="32"/>
      <c r="L349" s="75">
        <v>349</v>
      </c>
      <c r="M349" s="75"/>
      <c r="N349" s="70"/>
      <c r="O349" s="77" t="s">
        <v>179</v>
      </c>
      <c r="P349" s="79">
        <v>45048.770821759259</v>
      </c>
      <c r="Q349" s="77" t="s">
        <v>1464</v>
      </c>
      <c r="R349" s="77">
        <v>0</v>
      </c>
      <c r="S349" s="77">
        <v>0</v>
      </c>
      <c r="T349" s="77">
        <v>0</v>
      </c>
      <c r="U349" s="77">
        <v>0</v>
      </c>
      <c r="V349" s="77">
        <v>5</v>
      </c>
      <c r="W349" s="82" t="s">
        <v>4281</v>
      </c>
      <c r="X349" s="77"/>
      <c r="Y349" s="77"/>
      <c r="Z349" s="77"/>
      <c r="AA349" s="77"/>
      <c r="AB349" s="77"/>
      <c r="AC349" s="82" t="s">
        <v>7705</v>
      </c>
      <c r="AD349" s="77" t="s">
        <v>7745</v>
      </c>
      <c r="AE349" s="80" t="str">
        <f>HYPERLINK("https://twitter.com/cassebbsb/status/1653466882983247872")</f>
        <v>https://twitter.com/cassebbsb/status/1653466882983247872</v>
      </c>
      <c r="AF349" s="79">
        <v>45048.770821759259</v>
      </c>
      <c r="AG349" s="85">
        <v>45048</v>
      </c>
      <c r="AH349" s="82" t="s">
        <v>8090</v>
      </c>
      <c r="AI349" s="77"/>
      <c r="AJ349" s="77"/>
      <c r="AK349" s="77"/>
      <c r="AL349" s="77"/>
      <c r="AM349" s="77"/>
      <c r="AN349" s="77"/>
      <c r="AO349" s="77"/>
      <c r="AP349" s="77"/>
      <c r="AQ349" s="77"/>
      <c r="AR349" s="77"/>
      <c r="AS349" s="77"/>
      <c r="AT349" s="77"/>
      <c r="AU349" s="77"/>
      <c r="AV349" s="80" t="str">
        <f>HYPERLINK("https://pbs.twimg.com/profile_images/1485247923868901376/AOtagI6o_normal.jpg")</f>
        <v>https://pbs.twimg.com/profile_images/1485247923868901376/AOtagI6o_normal.jpg</v>
      </c>
      <c r="AW349" s="82" t="s">
        <v>12544</v>
      </c>
      <c r="AX349" s="82" t="s">
        <v>12544</v>
      </c>
      <c r="AY349" s="77"/>
      <c r="AZ349" s="82" t="s">
        <v>15804</v>
      </c>
      <c r="BA349" s="82" t="s">
        <v>15804</v>
      </c>
      <c r="BB349" s="82" t="s">
        <v>15804</v>
      </c>
      <c r="BC349" s="82" t="s">
        <v>12544</v>
      </c>
      <c r="BD349" s="82" t="s">
        <v>16202</v>
      </c>
      <c r="BE349" s="77"/>
      <c r="BF349" s="77"/>
      <c r="BG349" s="77"/>
      <c r="BH349" s="77"/>
      <c r="BI349" s="77"/>
    </row>
    <row r="350" spans="1:61" x14ac:dyDescent="0.25">
      <c r="A350" s="62" t="s">
        <v>342</v>
      </c>
      <c r="B350" s="62" t="s">
        <v>342</v>
      </c>
      <c r="C350" s="63"/>
      <c r="D350" s="64"/>
      <c r="E350" s="65"/>
      <c r="F350" s="66"/>
      <c r="G350" s="63"/>
      <c r="H350" s="67"/>
      <c r="I350" s="68"/>
      <c r="J350" s="68"/>
      <c r="K350" s="32"/>
      <c r="L350" s="75">
        <v>350</v>
      </c>
      <c r="M350" s="75"/>
      <c r="N350" s="70"/>
      <c r="O350" s="77" t="s">
        <v>179</v>
      </c>
      <c r="P350" s="79">
        <v>45048.762245370373</v>
      </c>
      <c r="Q350" s="77" t="s">
        <v>1465</v>
      </c>
      <c r="R350" s="77">
        <v>0</v>
      </c>
      <c r="S350" s="77">
        <v>0</v>
      </c>
      <c r="T350" s="77">
        <v>0</v>
      </c>
      <c r="U350" s="77">
        <v>0</v>
      </c>
      <c r="V350" s="77">
        <v>7</v>
      </c>
      <c r="W350" s="82" t="s">
        <v>4282</v>
      </c>
      <c r="X350" s="77"/>
      <c r="Y350" s="77"/>
      <c r="Z350" s="77"/>
      <c r="AA350" s="77"/>
      <c r="AB350" s="77"/>
      <c r="AC350" s="82" t="s">
        <v>7705</v>
      </c>
      <c r="AD350" s="77" t="s">
        <v>7748</v>
      </c>
      <c r="AE350" s="80" t="str">
        <f>HYPERLINK("https://twitter.com/cassebbsb/status/1653463774249009159")</f>
        <v>https://twitter.com/cassebbsb/status/1653463774249009159</v>
      </c>
      <c r="AF350" s="79">
        <v>45048.762245370373</v>
      </c>
      <c r="AG350" s="85">
        <v>45048</v>
      </c>
      <c r="AH350" s="82" t="s">
        <v>8091</v>
      </c>
      <c r="AI350" s="77"/>
      <c r="AJ350" s="77"/>
      <c r="AK350" s="77"/>
      <c r="AL350" s="77"/>
      <c r="AM350" s="77"/>
      <c r="AN350" s="77"/>
      <c r="AO350" s="77"/>
      <c r="AP350" s="77"/>
      <c r="AQ350" s="77"/>
      <c r="AR350" s="77"/>
      <c r="AS350" s="77"/>
      <c r="AT350" s="77"/>
      <c r="AU350" s="77"/>
      <c r="AV350" s="80" t="str">
        <f>HYPERLINK("https://pbs.twimg.com/profile_images/1485247923868901376/AOtagI6o_normal.jpg")</f>
        <v>https://pbs.twimg.com/profile_images/1485247923868901376/AOtagI6o_normal.jpg</v>
      </c>
      <c r="AW350" s="82" t="s">
        <v>12545</v>
      </c>
      <c r="AX350" s="82" t="s">
        <v>12545</v>
      </c>
      <c r="AY350" s="77"/>
      <c r="AZ350" s="82" t="s">
        <v>15804</v>
      </c>
      <c r="BA350" s="82" t="s">
        <v>15804</v>
      </c>
      <c r="BB350" s="82" t="s">
        <v>15804</v>
      </c>
      <c r="BC350" s="82" t="s">
        <v>12545</v>
      </c>
      <c r="BD350" s="82" t="s">
        <v>16202</v>
      </c>
      <c r="BE350" s="77"/>
      <c r="BF350" s="77"/>
      <c r="BG350" s="77"/>
      <c r="BH350" s="77"/>
      <c r="BI350" s="77"/>
    </row>
    <row r="351" spans="1:61" x14ac:dyDescent="0.25">
      <c r="A351" s="62" t="s">
        <v>343</v>
      </c>
      <c r="B351" s="62" t="s">
        <v>1061</v>
      </c>
      <c r="C351" s="63"/>
      <c r="D351" s="64"/>
      <c r="E351" s="65"/>
      <c r="F351" s="66"/>
      <c r="G351" s="63"/>
      <c r="H351" s="67"/>
      <c r="I351" s="68"/>
      <c r="J351" s="68"/>
      <c r="K351" s="32"/>
      <c r="L351" s="75">
        <v>351</v>
      </c>
      <c r="M351" s="75"/>
      <c r="N351" s="70"/>
      <c r="O351" s="77" t="s">
        <v>1133</v>
      </c>
      <c r="P351" s="79">
        <v>44991.709849537037</v>
      </c>
      <c r="Q351" s="77" t="s">
        <v>1466</v>
      </c>
      <c r="R351" s="77">
        <v>0</v>
      </c>
      <c r="S351" s="77">
        <v>0</v>
      </c>
      <c r="T351" s="77">
        <v>0</v>
      </c>
      <c r="U351" s="77">
        <v>0</v>
      </c>
      <c r="V351" s="77">
        <v>42</v>
      </c>
      <c r="W351" s="82" t="s">
        <v>4283</v>
      </c>
      <c r="X351" s="77"/>
      <c r="Y351" s="77"/>
      <c r="Z351" s="77" t="s">
        <v>1061</v>
      </c>
      <c r="AA351" s="77" t="s">
        <v>6305</v>
      </c>
      <c r="AB351" s="77" t="s">
        <v>7697</v>
      </c>
      <c r="AC351" s="82" t="s">
        <v>7707</v>
      </c>
      <c r="AD351" s="77" t="s">
        <v>7745</v>
      </c>
      <c r="AE351" s="80" t="str">
        <f>HYPERLINK("https://twitter.com/anastaciopbjpa/status/1632788678803181573")</f>
        <v>https://twitter.com/anastaciopbjpa/status/1632788678803181573</v>
      </c>
      <c r="AF351" s="79">
        <v>44991.709849537037</v>
      </c>
      <c r="AG351" s="85">
        <v>44991</v>
      </c>
      <c r="AH351" s="82" t="s">
        <v>8092</v>
      </c>
      <c r="AI351" s="77" t="b">
        <v>0</v>
      </c>
      <c r="AJ351" s="77"/>
      <c r="AK351" s="77"/>
      <c r="AL351" s="77"/>
      <c r="AM351" s="77"/>
      <c r="AN351" s="77"/>
      <c r="AO351" s="77"/>
      <c r="AP351" s="77"/>
      <c r="AQ351" s="77" t="s">
        <v>10812</v>
      </c>
      <c r="AR351" s="77">
        <v>87133</v>
      </c>
      <c r="AS351" s="77"/>
      <c r="AT351" s="77"/>
      <c r="AU351" s="77">
        <v>9</v>
      </c>
      <c r="AV351" s="80" t="str">
        <f>HYPERLINK("https://pbs.twimg.com/ext_tw_video_thumb/1632788525371236352/pu/img/bXHKi11zall6hX3v.jpg")</f>
        <v>https://pbs.twimg.com/ext_tw_video_thumb/1632788525371236352/pu/img/bXHKi11zall6hX3v.jpg</v>
      </c>
      <c r="AW351" s="82" t="s">
        <v>12546</v>
      </c>
      <c r="AX351" s="82" t="s">
        <v>12546</v>
      </c>
      <c r="AY351" s="77"/>
      <c r="AZ351" s="82" t="s">
        <v>15804</v>
      </c>
      <c r="BA351" s="82" t="s">
        <v>15804</v>
      </c>
      <c r="BB351" s="82" t="s">
        <v>15804</v>
      </c>
      <c r="BC351" s="82" t="s">
        <v>12546</v>
      </c>
      <c r="BD351" s="82" t="s">
        <v>16203</v>
      </c>
      <c r="BE351" s="77"/>
      <c r="BF351" s="77"/>
      <c r="BG351" s="77"/>
      <c r="BH351" s="77"/>
      <c r="BI351" s="77"/>
    </row>
    <row r="352" spans="1:61" x14ac:dyDescent="0.25">
      <c r="A352" s="62" t="s">
        <v>344</v>
      </c>
      <c r="B352" s="62" t="s">
        <v>344</v>
      </c>
      <c r="C352" s="63"/>
      <c r="D352" s="64"/>
      <c r="E352" s="65"/>
      <c r="F352" s="66"/>
      <c r="G352" s="63"/>
      <c r="H352" s="67"/>
      <c r="I352" s="68"/>
      <c r="J352" s="68"/>
      <c r="K352" s="32"/>
      <c r="L352" s="75">
        <v>352</v>
      </c>
      <c r="M352" s="75"/>
      <c r="N352" s="70"/>
      <c r="O352" s="77" t="s">
        <v>179</v>
      </c>
      <c r="P352" s="79">
        <v>44950.909861111111</v>
      </c>
      <c r="Q352" s="77" t="s">
        <v>1467</v>
      </c>
      <c r="R352" s="77">
        <v>0</v>
      </c>
      <c r="S352" s="77">
        <v>0</v>
      </c>
      <c r="T352" s="77">
        <v>0</v>
      </c>
      <c r="U352" s="77">
        <v>0</v>
      </c>
      <c r="V352" s="77">
        <v>8</v>
      </c>
      <c r="W352" s="82" t="s">
        <v>4284</v>
      </c>
      <c r="X352" s="80" t="str">
        <f>HYPERLINK("https://www.instagram.com/p/Cn0Ejb1PxuI/?igshid=YTgzYjQ4ZTY=")</f>
        <v>https://www.instagram.com/p/Cn0Ejb1PxuI/?igshid=YTgzYjQ4ZTY=</v>
      </c>
      <c r="Y352" s="77" t="s">
        <v>6000</v>
      </c>
      <c r="Z352" s="77"/>
      <c r="AA352" s="77"/>
      <c r="AB352" s="77"/>
      <c r="AC352" s="82" t="s">
        <v>7704</v>
      </c>
      <c r="AD352" s="77" t="s">
        <v>7745</v>
      </c>
      <c r="AE352" s="80" t="str">
        <f>HYPERLINK("https://twitter.com/invest_geracao/status/1618003257879662592")</f>
        <v>https://twitter.com/invest_geracao/status/1618003257879662592</v>
      </c>
      <c r="AF352" s="79">
        <v>44950.909861111111</v>
      </c>
      <c r="AG352" s="85">
        <v>44950</v>
      </c>
      <c r="AH352" s="82" t="s">
        <v>8093</v>
      </c>
      <c r="AI352" s="77" t="b">
        <v>0</v>
      </c>
      <c r="AJ352" s="77"/>
      <c r="AK352" s="77"/>
      <c r="AL352" s="77"/>
      <c r="AM352" s="77"/>
      <c r="AN352" s="77"/>
      <c r="AO352" s="77"/>
      <c r="AP352" s="77"/>
      <c r="AQ352" s="77"/>
      <c r="AR352" s="77"/>
      <c r="AS352" s="77"/>
      <c r="AT352" s="77"/>
      <c r="AU352" s="77"/>
      <c r="AV352" s="80" t="str">
        <f>HYPERLINK("https://pbs.twimg.com/profile_images/1627812809370206208/ck4Av5FO_normal.jpg")</f>
        <v>https://pbs.twimg.com/profile_images/1627812809370206208/ck4Av5FO_normal.jpg</v>
      </c>
      <c r="AW352" s="82" t="s">
        <v>12547</v>
      </c>
      <c r="AX352" s="82" t="s">
        <v>12547</v>
      </c>
      <c r="AY352" s="77"/>
      <c r="AZ352" s="82" t="s">
        <v>15804</v>
      </c>
      <c r="BA352" s="82" t="s">
        <v>15804</v>
      </c>
      <c r="BB352" s="82" t="s">
        <v>15804</v>
      </c>
      <c r="BC352" s="82" t="s">
        <v>12547</v>
      </c>
      <c r="BD352" s="82" t="s">
        <v>16204</v>
      </c>
      <c r="BE352" s="77"/>
      <c r="BF352" s="77"/>
      <c r="BG352" s="77"/>
      <c r="BH352" s="77"/>
      <c r="BI352" s="77"/>
    </row>
    <row r="353" spans="1:61" x14ac:dyDescent="0.25">
      <c r="A353" s="62" t="s">
        <v>344</v>
      </c>
      <c r="B353" s="62" t="s">
        <v>344</v>
      </c>
      <c r="C353" s="63"/>
      <c r="D353" s="64"/>
      <c r="E353" s="65"/>
      <c r="F353" s="66"/>
      <c r="G353" s="63"/>
      <c r="H353" s="67"/>
      <c r="I353" s="68"/>
      <c r="J353" s="68"/>
      <c r="K353" s="32"/>
      <c r="L353" s="75">
        <v>353</v>
      </c>
      <c r="M353" s="75"/>
      <c r="N353" s="70"/>
      <c r="O353" s="77" t="s">
        <v>179</v>
      </c>
      <c r="P353" s="79">
        <v>44944.055023148147</v>
      </c>
      <c r="Q353" s="77" t="s">
        <v>1468</v>
      </c>
      <c r="R353" s="77">
        <v>0</v>
      </c>
      <c r="S353" s="77">
        <v>0</v>
      </c>
      <c r="T353" s="77">
        <v>0</v>
      </c>
      <c r="U353" s="77">
        <v>0</v>
      </c>
      <c r="V353" s="77">
        <v>8</v>
      </c>
      <c r="W353" s="82" t="s">
        <v>4285</v>
      </c>
      <c r="X353" s="80" t="str">
        <f>HYPERLINK("https://www.instagram.com/p/Cnia6QPNLjK/?igshid=YTgzYjQ4ZTY=")</f>
        <v>https://www.instagram.com/p/Cnia6QPNLjK/?igshid=YTgzYjQ4ZTY=</v>
      </c>
      <c r="Y353" s="77" t="s">
        <v>6000</v>
      </c>
      <c r="Z353" s="77"/>
      <c r="AA353" s="77"/>
      <c r="AB353" s="77"/>
      <c r="AC353" s="82" t="s">
        <v>7704</v>
      </c>
      <c r="AD353" s="77" t="s">
        <v>7745</v>
      </c>
      <c r="AE353" s="80" t="str">
        <f>HYPERLINK("https://twitter.com/invest_geracao/status/1615519150327177217")</f>
        <v>https://twitter.com/invest_geracao/status/1615519150327177217</v>
      </c>
      <c r="AF353" s="79">
        <v>44944.055023148147</v>
      </c>
      <c r="AG353" s="85">
        <v>44944</v>
      </c>
      <c r="AH353" s="82" t="s">
        <v>8094</v>
      </c>
      <c r="AI353" s="77" t="b">
        <v>0</v>
      </c>
      <c r="AJ353" s="77"/>
      <c r="AK353" s="77"/>
      <c r="AL353" s="77"/>
      <c r="AM353" s="77"/>
      <c r="AN353" s="77"/>
      <c r="AO353" s="77"/>
      <c r="AP353" s="77"/>
      <c r="AQ353" s="77"/>
      <c r="AR353" s="77"/>
      <c r="AS353" s="77"/>
      <c r="AT353" s="77"/>
      <c r="AU353" s="77"/>
      <c r="AV353" s="80" t="str">
        <f>HYPERLINK("https://pbs.twimg.com/profile_images/1627812809370206208/ck4Av5FO_normal.jpg")</f>
        <v>https://pbs.twimg.com/profile_images/1627812809370206208/ck4Av5FO_normal.jpg</v>
      </c>
      <c r="AW353" s="82" t="s">
        <v>12548</v>
      </c>
      <c r="AX353" s="82" t="s">
        <v>12548</v>
      </c>
      <c r="AY353" s="77"/>
      <c r="AZ353" s="82" t="s">
        <v>15804</v>
      </c>
      <c r="BA353" s="82" t="s">
        <v>15804</v>
      </c>
      <c r="BB353" s="82" t="s">
        <v>15804</v>
      </c>
      <c r="BC353" s="82" t="s">
        <v>12548</v>
      </c>
      <c r="BD353" s="82" t="s">
        <v>16204</v>
      </c>
      <c r="BE353" s="77"/>
      <c r="BF353" s="77"/>
      <c r="BG353" s="77"/>
      <c r="BH353" s="77"/>
      <c r="BI353" s="77"/>
    </row>
    <row r="354" spans="1:61" x14ac:dyDescent="0.25">
      <c r="A354" s="62" t="s">
        <v>345</v>
      </c>
      <c r="B354" s="62" t="s">
        <v>345</v>
      </c>
      <c r="C354" s="63"/>
      <c r="D354" s="64"/>
      <c r="E354" s="65"/>
      <c r="F354" s="66"/>
      <c r="G354" s="63"/>
      <c r="H354" s="67"/>
      <c r="I354" s="68"/>
      <c r="J354" s="68"/>
      <c r="K354" s="32"/>
      <c r="L354" s="75">
        <v>354</v>
      </c>
      <c r="M354" s="75"/>
      <c r="N354" s="70"/>
      <c r="O354" s="77" t="s">
        <v>179</v>
      </c>
      <c r="P354" s="79">
        <v>44953.737395833334</v>
      </c>
      <c r="Q354" s="77" t="s">
        <v>1469</v>
      </c>
      <c r="R354" s="77">
        <v>0</v>
      </c>
      <c r="S354" s="77">
        <v>1</v>
      </c>
      <c r="T354" s="77">
        <v>0</v>
      </c>
      <c r="U354" s="77">
        <v>0</v>
      </c>
      <c r="V354" s="77">
        <v>129</v>
      </c>
      <c r="W354" s="82" t="s">
        <v>4286</v>
      </c>
      <c r="X354" s="77"/>
      <c r="Y354" s="77"/>
      <c r="Z354" s="77"/>
      <c r="AA354" s="77" t="s">
        <v>6306</v>
      </c>
      <c r="AB354" s="77" t="s">
        <v>7696</v>
      </c>
      <c r="AC354" s="82" t="s">
        <v>7707</v>
      </c>
      <c r="AD354" s="77" t="s">
        <v>7749</v>
      </c>
      <c r="AE354" s="80" t="str">
        <f>HYPERLINK("https://twitter.com/financer_ibraim/status/1619027921943035915")</f>
        <v>https://twitter.com/financer_ibraim/status/1619027921943035915</v>
      </c>
      <c r="AF354" s="79">
        <v>44953.737395833334</v>
      </c>
      <c r="AG354" s="85">
        <v>44953</v>
      </c>
      <c r="AH354" s="82" t="s">
        <v>8095</v>
      </c>
      <c r="AI354" s="77" t="b">
        <v>0</v>
      </c>
      <c r="AJ354" s="77" t="s">
        <v>10526</v>
      </c>
      <c r="AK354" s="77" t="s">
        <v>10553</v>
      </c>
      <c r="AL354" s="77" t="s">
        <v>10556</v>
      </c>
      <c r="AM354" s="77" t="s">
        <v>10563</v>
      </c>
      <c r="AN354" s="77" t="s">
        <v>10593</v>
      </c>
      <c r="AO354" s="77" t="s">
        <v>10624</v>
      </c>
      <c r="AP354" s="77" t="s">
        <v>10649</v>
      </c>
      <c r="AQ354" s="77" t="s">
        <v>10813</v>
      </c>
      <c r="AR354" s="77"/>
      <c r="AS354" s="77"/>
      <c r="AT354" s="77"/>
      <c r="AU354" s="77"/>
      <c r="AV354" s="80" t="str">
        <f>HYPERLINK("https://pbs.twimg.com/media/FnfxTw5akAACIFA.jpg")</f>
        <v>https://pbs.twimg.com/media/FnfxTw5akAACIFA.jpg</v>
      </c>
      <c r="AW354" s="82" t="s">
        <v>12549</v>
      </c>
      <c r="AX354" s="82" t="s">
        <v>12549</v>
      </c>
      <c r="AY354" s="77"/>
      <c r="AZ354" s="82" t="s">
        <v>15804</v>
      </c>
      <c r="BA354" s="82" t="s">
        <v>15804</v>
      </c>
      <c r="BB354" s="82" t="s">
        <v>15804</v>
      </c>
      <c r="BC354" s="82" t="s">
        <v>12549</v>
      </c>
      <c r="BD354" s="82" t="s">
        <v>16205</v>
      </c>
      <c r="BE354" s="77"/>
      <c r="BF354" s="77"/>
      <c r="BG354" s="77"/>
      <c r="BH354" s="77"/>
      <c r="BI354" s="77"/>
    </row>
    <row r="355" spans="1:61" x14ac:dyDescent="0.25">
      <c r="A355" s="62" t="s">
        <v>346</v>
      </c>
      <c r="B355" s="62" t="s">
        <v>346</v>
      </c>
      <c r="C355" s="63"/>
      <c r="D355" s="64"/>
      <c r="E355" s="65"/>
      <c r="F355" s="66"/>
      <c r="G355" s="63"/>
      <c r="H355" s="67"/>
      <c r="I355" s="68"/>
      <c r="J355" s="68"/>
      <c r="K355" s="32"/>
      <c r="L355" s="75">
        <v>355</v>
      </c>
      <c r="M355" s="75"/>
      <c r="N355" s="70"/>
      <c r="O355" s="77" t="s">
        <v>179</v>
      </c>
      <c r="P355" s="79">
        <v>45000.879351851851</v>
      </c>
      <c r="Q355" s="77" t="s">
        <v>1470</v>
      </c>
      <c r="R355" s="77">
        <v>0</v>
      </c>
      <c r="S355" s="77">
        <v>0</v>
      </c>
      <c r="T355" s="77">
        <v>0</v>
      </c>
      <c r="U355" s="77">
        <v>0</v>
      </c>
      <c r="V355" s="77">
        <v>16</v>
      </c>
      <c r="W355" s="82" t="s">
        <v>4287</v>
      </c>
      <c r="X355" s="77"/>
      <c r="Y355" s="77"/>
      <c r="Z355" s="77"/>
      <c r="AA355" s="77" t="s">
        <v>6307</v>
      </c>
      <c r="AB355" s="77" t="s">
        <v>7696</v>
      </c>
      <c r="AC355" s="82" t="s">
        <v>7716</v>
      </c>
      <c r="AD355" s="77" t="s">
        <v>7746</v>
      </c>
      <c r="AE355" s="80" t="str">
        <f>HYPERLINK("https://twitter.com/rabaioliadvs/status/1636111595976933376")</f>
        <v>https://twitter.com/rabaioliadvs/status/1636111595976933376</v>
      </c>
      <c r="AF355" s="79">
        <v>45000.879351851851</v>
      </c>
      <c r="AG355" s="85">
        <v>45000</v>
      </c>
      <c r="AH355" s="82" t="s">
        <v>8096</v>
      </c>
      <c r="AI355" s="77" t="b">
        <v>0</v>
      </c>
      <c r="AJ355" s="77"/>
      <c r="AK355" s="77"/>
      <c r="AL355" s="77"/>
      <c r="AM355" s="77"/>
      <c r="AN355" s="77"/>
      <c r="AO355" s="77"/>
      <c r="AP355" s="77"/>
      <c r="AQ355" s="77" t="s">
        <v>10814</v>
      </c>
      <c r="AR355" s="77"/>
      <c r="AS355" s="77"/>
      <c r="AT355" s="77"/>
      <c r="AU355" s="77"/>
      <c r="AV355" s="80" t="str">
        <f>HYPERLINK("https://pbs.twimg.com/media/FrSi000XoAAavq1.jpg")</f>
        <v>https://pbs.twimg.com/media/FrSi000XoAAavq1.jpg</v>
      </c>
      <c r="AW355" s="82" t="s">
        <v>12550</v>
      </c>
      <c r="AX355" s="82" t="s">
        <v>12550</v>
      </c>
      <c r="AY355" s="77"/>
      <c r="AZ355" s="82" t="s">
        <v>15804</v>
      </c>
      <c r="BA355" s="82" t="s">
        <v>15804</v>
      </c>
      <c r="BB355" s="82" t="s">
        <v>15804</v>
      </c>
      <c r="BC355" s="82" t="s">
        <v>12550</v>
      </c>
      <c r="BD355" s="82" t="s">
        <v>16206</v>
      </c>
      <c r="BE355" s="77"/>
      <c r="BF355" s="77"/>
      <c r="BG355" s="77"/>
      <c r="BH355" s="77"/>
      <c r="BI355" s="77"/>
    </row>
    <row r="356" spans="1:61" x14ac:dyDescent="0.25">
      <c r="A356" s="62" t="s">
        <v>347</v>
      </c>
      <c r="B356" s="62" t="s">
        <v>347</v>
      </c>
      <c r="C356" s="63"/>
      <c r="D356" s="64"/>
      <c r="E356" s="65"/>
      <c r="F356" s="66"/>
      <c r="G356" s="63"/>
      <c r="H356" s="67"/>
      <c r="I356" s="68"/>
      <c r="J356" s="68"/>
      <c r="K356" s="32"/>
      <c r="L356" s="75">
        <v>356</v>
      </c>
      <c r="M356" s="75"/>
      <c r="N356" s="70"/>
      <c r="O356" s="77" t="s">
        <v>179</v>
      </c>
      <c r="P356" s="79">
        <v>44979.578981481478</v>
      </c>
      <c r="Q356" s="77" t="s">
        <v>1471</v>
      </c>
      <c r="R356" s="77">
        <v>0</v>
      </c>
      <c r="S356" s="77">
        <v>0</v>
      </c>
      <c r="T356" s="77">
        <v>0</v>
      </c>
      <c r="U356" s="77">
        <v>0</v>
      </c>
      <c r="V356" s="77">
        <v>39</v>
      </c>
      <c r="W356" s="82" t="s">
        <v>4288</v>
      </c>
      <c r="X356" s="80" t="str">
        <f>HYPERLINK("https://blog.organizze.com.br/carnaval-2023-como-superar-a-ressaca-financeira")</f>
        <v>https://blog.organizze.com.br/carnaval-2023-como-superar-a-ressaca-financeira</v>
      </c>
      <c r="Y356" s="77" t="s">
        <v>6002</v>
      </c>
      <c r="Z356" s="77"/>
      <c r="AA356" s="77"/>
      <c r="AB356" s="77"/>
      <c r="AC356" s="82" t="s">
        <v>7706</v>
      </c>
      <c r="AD356" s="77" t="s">
        <v>7745</v>
      </c>
      <c r="AE356" s="80" t="str">
        <f>HYPERLINK("https://twitter.com/anderson77i/status/1628392599139540992")</f>
        <v>https://twitter.com/anderson77i/status/1628392599139540992</v>
      </c>
      <c r="AF356" s="79">
        <v>44979.578981481478</v>
      </c>
      <c r="AG356" s="85">
        <v>44979</v>
      </c>
      <c r="AH356" s="82" t="s">
        <v>8097</v>
      </c>
      <c r="AI356" s="77" t="b">
        <v>0</v>
      </c>
      <c r="AJ356" s="77"/>
      <c r="AK356" s="77"/>
      <c r="AL356" s="77"/>
      <c r="AM356" s="77"/>
      <c r="AN356" s="77"/>
      <c r="AO356" s="77"/>
      <c r="AP356" s="77"/>
      <c r="AQ356" s="77"/>
      <c r="AR356" s="77"/>
      <c r="AS356" s="77"/>
      <c r="AT356" s="77"/>
      <c r="AU356" s="77"/>
      <c r="AV356" s="80" t="str">
        <f>HYPERLINK("https://pbs.twimg.com/profile_images/1240403189016469505/sNkpq40K_normal.jpg")</f>
        <v>https://pbs.twimg.com/profile_images/1240403189016469505/sNkpq40K_normal.jpg</v>
      </c>
      <c r="AW356" s="82" t="s">
        <v>12551</v>
      </c>
      <c r="AX356" s="82" t="s">
        <v>12551</v>
      </c>
      <c r="AY356" s="77"/>
      <c r="AZ356" s="82" t="s">
        <v>15804</v>
      </c>
      <c r="BA356" s="82" t="s">
        <v>15804</v>
      </c>
      <c r="BB356" s="82" t="s">
        <v>15804</v>
      </c>
      <c r="BC356" s="82" t="s">
        <v>12551</v>
      </c>
      <c r="BD356" s="77">
        <v>15514372</v>
      </c>
      <c r="BE356" s="77"/>
      <c r="BF356" s="77"/>
      <c r="BG356" s="77"/>
      <c r="BH356" s="77"/>
      <c r="BI356" s="77"/>
    </row>
    <row r="357" spans="1:61" x14ac:dyDescent="0.25">
      <c r="A357" s="62" t="s">
        <v>347</v>
      </c>
      <c r="B357" s="62" t="s">
        <v>347</v>
      </c>
      <c r="C357" s="63"/>
      <c r="D357" s="64"/>
      <c r="E357" s="65"/>
      <c r="F357" s="66"/>
      <c r="G357" s="63"/>
      <c r="H357" s="67"/>
      <c r="I357" s="68"/>
      <c r="J357" s="68"/>
      <c r="K357" s="32"/>
      <c r="L357" s="75">
        <v>357</v>
      </c>
      <c r="M357" s="75"/>
      <c r="N357" s="70"/>
      <c r="O357" s="77" t="s">
        <v>179</v>
      </c>
      <c r="P357" s="79">
        <v>44979.552210648151</v>
      </c>
      <c r="Q357" s="77" t="s">
        <v>1472</v>
      </c>
      <c r="R357" s="77">
        <v>0</v>
      </c>
      <c r="S357" s="77">
        <v>0</v>
      </c>
      <c r="T357" s="77">
        <v>0</v>
      </c>
      <c r="U357" s="77">
        <v>0</v>
      </c>
      <c r="V357" s="77">
        <v>41</v>
      </c>
      <c r="W357" s="82" t="s">
        <v>4288</v>
      </c>
      <c r="X357" s="80" t="str">
        <f>HYPERLINK("https://panoramaabecs.com.br/especialista-ensina-como-organizar-as-financas-em-2023/?li_fat_id=c371121f-8ff3-4a47-ac0f-ea4ed9c0a36a")</f>
        <v>https://panoramaabecs.com.br/especialista-ensina-como-organizar-as-financas-em-2023/?li_fat_id=c371121f-8ff3-4a47-ac0f-ea4ed9c0a36a</v>
      </c>
      <c r="Y357" s="77" t="s">
        <v>6002</v>
      </c>
      <c r="Z357" s="77"/>
      <c r="AA357" s="77"/>
      <c r="AB357" s="77"/>
      <c r="AC357" s="82" t="s">
        <v>7706</v>
      </c>
      <c r="AD357" s="77" t="s">
        <v>7745</v>
      </c>
      <c r="AE357" s="80" t="str">
        <f>HYPERLINK("https://twitter.com/anderson77i/status/1628382898469339136")</f>
        <v>https://twitter.com/anderson77i/status/1628382898469339136</v>
      </c>
      <c r="AF357" s="79">
        <v>44979.552210648151</v>
      </c>
      <c r="AG357" s="85">
        <v>44979</v>
      </c>
      <c r="AH357" s="82" t="s">
        <v>8098</v>
      </c>
      <c r="AI357" s="77" t="b">
        <v>0</v>
      </c>
      <c r="AJ357" s="77"/>
      <c r="AK357" s="77"/>
      <c r="AL357" s="77"/>
      <c r="AM357" s="77"/>
      <c r="AN357" s="77"/>
      <c r="AO357" s="77"/>
      <c r="AP357" s="77"/>
      <c r="AQ357" s="77"/>
      <c r="AR357" s="77"/>
      <c r="AS357" s="77"/>
      <c r="AT357" s="77"/>
      <c r="AU357" s="77"/>
      <c r="AV357" s="80" t="str">
        <f>HYPERLINK("https://pbs.twimg.com/profile_images/1240403189016469505/sNkpq40K_normal.jpg")</f>
        <v>https://pbs.twimg.com/profile_images/1240403189016469505/sNkpq40K_normal.jpg</v>
      </c>
      <c r="AW357" s="82" t="s">
        <v>12552</v>
      </c>
      <c r="AX357" s="82" t="s">
        <v>12552</v>
      </c>
      <c r="AY357" s="77"/>
      <c r="AZ357" s="82" t="s">
        <v>15804</v>
      </c>
      <c r="BA357" s="82" t="s">
        <v>15804</v>
      </c>
      <c r="BB357" s="82" t="s">
        <v>15804</v>
      </c>
      <c r="BC357" s="82" t="s">
        <v>12552</v>
      </c>
      <c r="BD357" s="77">
        <v>15514372</v>
      </c>
      <c r="BE357" s="77"/>
      <c r="BF357" s="77"/>
      <c r="BG357" s="77"/>
      <c r="BH357" s="77"/>
      <c r="BI357" s="77"/>
    </row>
    <row r="358" spans="1:61" x14ac:dyDescent="0.25">
      <c r="A358" s="62" t="s">
        <v>347</v>
      </c>
      <c r="B358" s="62" t="s">
        <v>693</v>
      </c>
      <c r="C358" s="63"/>
      <c r="D358" s="64"/>
      <c r="E358" s="65"/>
      <c r="F358" s="66"/>
      <c r="G358" s="63"/>
      <c r="H358" s="67"/>
      <c r="I358" s="68"/>
      <c r="J358" s="68"/>
      <c r="K358" s="32"/>
      <c r="L358" s="75">
        <v>358</v>
      </c>
      <c r="M358" s="75"/>
      <c r="N358" s="70"/>
      <c r="O358" s="77" t="s">
        <v>1135</v>
      </c>
      <c r="P358" s="79">
        <v>44929.731041666666</v>
      </c>
      <c r="Q358" s="77" t="s">
        <v>1473</v>
      </c>
      <c r="R358" s="77">
        <v>0</v>
      </c>
      <c r="S358" s="77">
        <v>1</v>
      </c>
      <c r="T358" s="77">
        <v>0</v>
      </c>
      <c r="U358" s="77">
        <v>0</v>
      </c>
      <c r="V358" s="77">
        <v>81</v>
      </c>
      <c r="W358" s="82" t="s">
        <v>4288</v>
      </c>
      <c r="X358" s="77"/>
      <c r="Y358" s="77"/>
      <c r="Z358" s="77"/>
      <c r="AA358" s="77"/>
      <c r="AB358" s="77"/>
      <c r="AC358" s="82" t="s">
        <v>7706</v>
      </c>
      <c r="AD358" s="77" t="s">
        <v>7748</v>
      </c>
      <c r="AE358" s="80" t="str">
        <f>HYPERLINK("https://twitter.com/anderson77i/status/1610328312890511362")</f>
        <v>https://twitter.com/anderson77i/status/1610328312890511362</v>
      </c>
      <c r="AF358" s="79">
        <v>44929.731041666666</v>
      </c>
      <c r="AG358" s="85">
        <v>44929</v>
      </c>
      <c r="AH358" s="82" t="s">
        <v>8099</v>
      </c>
      <c r="AI358" s="77"/>
      <c r="AJ358" s="77"/>
      <c r="AK358" s="77"/>
      <c r="AL358" s="77"/>
      <c r="AM358" s="77"/>
      <c r="AN358" s="77"/>
      <c r="AO358" s="77"/>
      <c r="AP358" s="77"/>
      <c r="AQ358" s="77"/>
      <c r="AR358" s="77"/>
      <c r="AS358" s="77"/>
      <c r="AT358" s="77"/>
      <c r="AU358" s="77"/>
      <c r="AV358" s="80" t="str">
        <f>HYPERLINK("https://pbs.twimg.com/profile_images/1240403189016469505/sNkpq40K_normal.jpg")</f>
        <v>https://pbs.twimg.com/profile_images/1240403189016469505/sNkpq40K_normal.jpg</v>
      </c>
      <c r="AW358" s="82" t="s">
        <v>12553</v>
      </c>
      <c r="AX358" s="82" t="s">
        <v>12553</v>
      </c>
      <c r="AY358" s="77"/>
      <c r="AZ358" s="82" t="s">
        <v>15804</v>
      </c>
      <c r="BA358" s="82" t="s">
        <v>13660</v>
      </c>
      <c r="BB358" s="82" t="s">
        <v>15804</v>
      </c>
      <c r="BC358" s="82" t="s">
        <v>13660</v>
      </c>
      <c r="BD358" s="77">
        <v>15514372</v>
      </c>
      <c r="BE358" s="77"/>
      <c r="BF358" s="77"/>
      <c r="BG358" s="77"/>
      <c r="BH358" s="77"/>
      <c r="BI358" s="77"/>
    </row>
    <row r="359" spans="1:61" x14ac:dyDescent="0.25">
      <c r="A359" s="62" t="s">
        <v>347</v>
      </c>
      <c r="B359" s="62" t="s">
        <v>693</v>
      </c>
      <c r="C359" s="63"/>
      <c r="D359" s="64"/>
      <c r="E359" s="65"/>
      <c r="F359" s="66"/>
      <c r="G359" s="63"/>
      <c r="H359" s="67"/>
      <c r="I359" s="68"/>
      <c r="J359" s="68"/>
      <c r="K359" s="32"/>
      <c r="L359" s="75">
        <v>359</v>
      </c>
      <c r="M359" s="75"/>
      <c r="N359" s="70"/>
      <c r="O359" s="77" t="s">
        <v>1135</v>
      </c>
      <c r="P359" s="79">
        <v>44929.730891203704</v>
      </c>
      <c r="Q359" s="77" t="s">
        <v>1473</v>
      </c>
      <c r="R359" s="77">
        <v>0</v>
      </c>
      <c r="S359" s="77">
        <v>2</v>
      </c>
      <c r="T359" s="77">
        <v>0</v>
      </c>
      <c r="U359" s="77">
        <v>0</v>
      </c>
      <c r="V359" s="77">
        <v>75</v>
      </c>
      <c r="W359" s="82" t="s">
        <v>4288</v>
      </c>
      <c r="X359" s="77"/>
      <c r="Y359" s="77"/>
      <c r="Z359" s="77"/>
      <c r="AA359" s="77"/>
      <c r="AB359" s="77"/>
      <c r="AC359" s="82" t="s">
        <v>7706</v>
      </c>
      <c r="AD359" s="77" t="s">
        <v>7748</v>
      </c>
      <c r="AE359" s="80" t="str">
        <f>HYPERLINK("https://twitter.com/anderson77i/status/1610328254841331712")</f>
        <v>https://twitter.com/anderson77i/status/1610328254841331712</v>
      </c>
      <c r="AF359" s="79">
        <v>44929.730891203704</v>
      </c>
      <c r="AG359" s="85">
        <v>44929</v>
      </c>
      <c r="AH359" s="82" t="s">
        <v>8100</v>
      </c>
      <c r="AI359" s="77"/>
      <c r="AJ359" s="77"/>
      <c r="AK359" s="77"/>
      <c r="AL359" s="77"/>
      <c r="AM359" s="77"/>
      <c r="AN359" s="77"/>
      <c r="AO359" s="77"/>
      <c r="AP359" s="77"/>
      <c r="AQ359" s="77"/>
      <c r="AR359" s="77"/>
      <c r="AS359" s="77"/>
      <c r="AT359" s="77"/>
      <c r="AU359" s="77"/>
      <c r="AV359" s="80" t="str">
        <f>HYPERLINK("https://pbs.twimg.com/profile_images/1240403189016469505/sNkpq40K_normal.jpg")</f>
        <v>https://pbs.twimg.com/profile_images/1240403189016469505/sNkpq40K_normal.jpg</v>
      </c>
      <c r="AW359" s="82" t="s">
        <v>12554</v>
      </c>
      <c r="AX359" s="82" t="s">
        <v>12554</v>
      </c>
      <c r="AY359" s="77"/>
      <c r="AZ359" s="82" t="s">
        <v>15804</v>
      </c>
      <c r="BA359" s="82" t="s">
        <v>13661</v>
      </c>
      <c r="BB359" s="82" t="s">
        <v>15804</v>
      </c>
      <c r="BC359" s="82" t="s">
        <v>13661</v>
      </c>
      <c r="BD359" s="77">
        <v>15514372</v>
      </c>
      <c r="BE359" s="77"/>
      <c r="BF359" s="77"/>
      <c r="BG359" s="77"/>
      <c r="BH359" s="77"/>
      <c r="BI359" s="77"/>
    </row>
    <row r="360" spans="1:61" x14ac:dyDescent="0.25">
      <c r="A360" s="62" t="s">
        <v>347</v>
      </c>
      <c r="B360" s="62" t="s">
        <v>420</v>
      </c>
      <c r="C360" s="63"/>
      <c r="D360" s="64"/>
      <c r="E360" s="65"/>
      <c r="F360" s="66"/>
      <c r="G360" s="63"/>
      <c r="H360" s="67"/>
      <c r="I360" s="68"/>
      <c r="J360" s="68"/>
      <c r="K360" s="32"/>
      <c r="L360" s="75">
        <v>360</v>
      </c>
      <c r="M360" s="75"/>
      <c r="N360" s="70"/>
      <c r="O360" s="77" t="s">
        <v>1135</v>
      </c>
      <c r="P360" s="79">
        <v>45003.852268518516</v>
      </c>
      <c r="Q360" s="77" t="s">
        <v>1474</v>
      </c>
      <c r="R360" s="77">
        <v>0</v>
      </c>
      <c r="S360" s="77">
        <v>0</v>
      </c>
      <c r="T360" s="77">
        <v>0</v>
      </c>
      <c r="U360" s="77">
        <v>0</v>
      </c>
      <c r="V360" s="77">
        <v>54</v>
      </c>
      <c r="W360" s="82" t="s">
        <v>4289</v>
      </c>
      <c r="X360" s="77"/>
      <c r="Y360" s="77"/>
      <c r="Z360" s="77"/>
      <c r="AA360" s="77"/>
      <c r="AB360" s="77"/>
      <c r="AC360" s="82" t="s">
        <v>7705</v>
      </c>
      <c r="AD360" s="77" t="s">
        <v>7748</v>
      </c>
      <c r="AE360" s="80" t="str">
        <f>HYPERLINK("https://twitter.com/anderson77i/status/1637188945132810240")</f>
        <v>https://twitter.com/anderson77i/status/1637188945132810240</v>
      </c>
      <c r="AF360" s="79">
        <v>45003.852268518516</v>
      </c>
      <c r="AG360" s="85">
        <v>45003</v>
      </c>
      <c r="AH360" s="82" t="s">
        <v>8101</v>
      </c>
      <c r="AI360" s="77"/>
      <c r="AJ360" s="77"/>
      <c r="AK360" s="77"/>
      <c r="AL360" s="77"/>
      <c r="AM360" s="77"/>
      <c r="AN360" s="77"/>
      <c r="AO360" s="77"/>
      <c r="AP360" s="77"/>
      <c r="AQ360" s="77"/>
      <c r="AR360" s="77"/>
      <c r="AS360" s="77"/>
      <c r="AT360" s="77"/>
      <c r="AU360" s="77"/>
      <c r="AV360" s="80" t="str">
        <f>HYPERLINK("https://pbs.twimg.com/profile_images/1240403189016469505/sNkpq40K_normal.jpg")</f>
        <v>https://pbs.twimg.com/profile_images/1240403189016469505/sNkpq40K_normal.jpg</v>
      </c>
      <c r="AW360" s="82" t="s">
        <v>12555</v>
      </c>
      <c r="AX360" s="82" t="s">
        <v>12555</v>
      </c>
      <c r="AY360" s="77"/>
      <c r="AZ360" s="82" t="s">
        <v>15804</v>
      </c>
      <c r="BA360" s="82" t="s">
        <v>13784</v>
      </c>
      <c r="BB360" s="82" t="s">
        <v>15804</v>
      </c>
      <c r="BC360" s="82" t="s">
        <v>13784</v>
      </c>
      <c r="BD360" s="77">
        <v>15514372</v>
      </c>
      <c r="BE360" s="77"/>
      <c r="BF360" s="77"/>
      <c r="BG360" s="77"/>
      <c r="BH360" s="77"/>
      <c r="BI360" s="77"/>
    </row>
    <row r="361" spans="1:61" x14ac:dyDescent="0.25">
      <c r="A361" s="62" t="s">
        <v>347</v>
      </c>
      <c r="B361" s="62" t="s">
        <v>870</v>
      </c>
      <c r="C361" s="63"/>
      <c r="D361" s="64"/>
      <c r="E361" s="65"/>
      <c r="F361" s="66"/>
      <c r="G361" s="63"/>
      <c r="H361" s="67"/>
      <c r="I361" s="68"/>
      <c r="J361" s="68"/>
      <c r="K361" s="32"/>
      <c r="L361" s="75">
        <v>361</v>
      </c>
      <c r="M361" s="75"/>
      <c r="N361" s="70"/>
      <c r="O361" s="77" t="s">
        <v>1135</v>
      </c>
      <c r="P361" s="79">
        <v>45003.839768518519</v>
      </c>
      <c r="Q361" s="77" t="s">
        <v>1475</v>
      </c>
      <c r="R361" s="77">
        <v>0</v>
      </c>
      <c r="S361" s="77">
        <v>0</v>
      </c>
      <c r="T361" s="77">
        <v>0</v>
      </c>
      <c r="U361" s="77">
        <v>0</v>
      </c>
      <c r="V361" s="77">
        <v>43</v>
      </c>
      <c r="W361" s="82" t="s">
        <v>4290</v>
      </c>
      <c r="X361" s="77"/>
      <c r="Y361" s="77"/>
      <c r="Z361" s="77"/>
      <c r="AA361" s="77"/>
      <c r="AB361" s="77"/>
      <c r="AC361" s="82" t="s">
        <v>7705</v>
      </c>
      <c r="AD361" s="77" t="s">
        <v>7748</v>
      </c>
      <c r="AE361" s="80" t="str">
        <f>HYPERLINK("https://twitter.com/anderson77i/status/1637184415171215360")</f>
        <v>https://twitter.com/anderson77i/status/1637184415171215360</v>
      </c>
      <c r="AF361" s="79">
        <v>45003.839768518519</v>
      </c>
      <c r="AG361" s="85">
        <v>45003</v>
      </c>
      <c r="AH361" s="82" t="s">
        <v>8102</v>
      </c>
      <c r="AI361" s="77"/>
      <c r="AJ361" s="77"/>
      <c r="AK361" s="77"/>
      <c r="AL361" s="77"/>
      <c r="AM361" s="77"/>
      <c r="AN361" s="77"/>
      <c r="AO361" s="77"/>
      <c r="AP361" s="77"/>
      <c r="AQ361" s="77"/>
      <c r="AR361" s="77"/>
      <c r="AS361" s="77"/>
      <c r="AT361" s="77"/>
      <c r="AU361" s="77"/>
      <c r="AV361" s="80" t="str">
        <f>HYPERLINK("https://pbs.twimg.com/profile_images/1240403189016469505/sNkpq40K_normal.jpg")</f>
        <v>https://pbs.twimg.com/profile_images/1240403189016469505/sNkpq40K_normal.jpg</v>
      </c>
      <c r="AW361" s="82" t="s">
        <v>12556</v>
      </c>
      <c r="AX361" s="82" t="s">
        <v>12556</v>
      </c>
      <c r="AY361" s="77"/>
      <c r="AZ361" s="82" t="s">
        <v>15804</v>
      </c>
      <c r="BA361" s="82" t="s">
        <v>14277</v>
      </c>
      <c r="BB361" s="82" t="s">
        <v>15804</v>
      </c>
      <c r="BC361" s="82" t="s">
        <v>14277</v>
      </c>
      <c r="BD361" s="77">
        <v>15514372</v>
      </c>
      <c r="BE361" s="77"/>
      <c r="BF361" s="77"/>
      <c r="BG361" s="77"/>
      <c r="BH361" s="77"/>
      <c r="BI361" s="77"/>
    </row>
    <row r="362" spans="1:61" x14ac:dyDescent="0.25">
      <c r="A362" s="62" t="s">
        <v>347</v>
      </c>
      <c r="B362" s="62" t="s">
        <v>347</v>
      </c>
      <c r="C362" s="63"/>
      <c r="D362" s="64"/>
      <c r="E362" s="65"/>
      <c r="F362" s="66"/>
      <c r="G362" s="63"/>
      <c r="H362" s="67"/>
      <c r="I362" s="68"/>
      <c r="J362" s="68"/>
      <c r="K362" s="32"/>
      <c r="L362" s="75">
        <v>362</v>
      </c>
      <c r="M362" s="75"/>
      <c r="N362" s="70"/>
      <c r="O362" s="77" t="s">
        <v>179</v>
      </c>
      <c r="P362" s="79">
        <v>44994.86550925926</v>
      </c>
      <c r="Q362" s="77" t="s">
        <v>1476</v>
      </c>
      <c r="R362" s="77">
        <v>1</v>
      </c>
      <c r="S362" s="77">
        <v>1</v>
      </c>
      <c r="T362" s="77">
        <v>0</v>
      </c>
      <c r="U362" s="77">
        <v>0</v>
      </c>
      <c r="V362" s="77">
        <v>35</v>
      </c>
      <c r="W362" s="82" t="s">
        <v>4291</v>
      </c>
      <c r="X362" s="80" t="str">
        <f>HYPERLINK("https://exame.com/conta-em-dia/organizar/5-aplicativos-controlar-gastos-2023/")</f>
        <v>https://exame.com/conta-em-dia/organizar/5-aplicativos-controlar-gastos-2023/</v>
      </c>
      <c r="Y362" s="77" t="s">
        <v>6020</v>
      </c>
      <c r="Z362" s="77"/>
      <c r="AA362" s="77"/>
      <c r="AB362" s="77"/>
      <c r="AC362" s="82" t="s">
        <v>7706</v>
      </c>
      <c r="AD362" s="77" t="s">
        <v>7746</v>
      </c>
      <c r="AE362" s="80" t="str">
        <f>HYPERLINK("https://twitter.com/anderson77i/status/1633932252517216257")</f>
        <v>https://twitter.com/anderson77i/status/1633932252517216257</v>
      </c>
      <c r="AF362" s="79">
        <v>44994.86550925926</v>
      </c>
      <c r="AG362" s="85">
        <v>44994</v>
      </c>
      <c r="AH362" s="82" t="s">
        <v>8103</v>
      </c>
      <c r="AI362" s="77" t="b">
        <v>0</v>
      </c>
      <c r="AJ362" s="77"/>
      <c r="AK362" s="77"/>
      <c r="AL362" s="77"/>
      <c r="AM362" s="77"/>
      <c r="AN362" s="77"/>
      <c r="AO362" s="77"/>
      <c r="AP362" s="77"/>
      <c r="AQ362" s="77"/>
      <c r="AR362" s="77"/>
      <c r="AS362" s="77"/>
      <c r="AT362" s="77"/>
      <c r="AU362" s="77"/>
      <c r="AV362" s="80" t="str">
        <f>HYPERLINK("https://pbs.twimg.com/profile_images/1240403189016469505/sNkpq40K_normal.jpg")</f>
        <v>https://pbs.twimg.com/profile_images/1240403189016469505/sNkpq40K_normal.jpg</v>
      </c>
      <c r="AW362" s="82" t="s">
        <v>12557</v>
      </c>
      <c r="AX362" s="82" t="s">
        <v>12557</v>
      </c>
      <c r="AY362" s="77"/>
      <c r="AZ362" s="82" t="s">
        <v>15804</v>
      </c>
      <c r="BA362" s="82" t="s">
        <v>15804</v>
      </c>
      <c r="BB362" s="82" t="s">
        <v>15804</v>
      </c>
      <c r="BC362" s="82" t="s">
        <v>12557</v>
      </c>
      <c r="BD362" s="77">
        <v>15514372</v>
      </c>
      <c r="BE362" s="77"/>
      <c r="BF362" s="77"/>
      <c r="BG362" s="77"/>
      <c r="BH362" s="77"/>
      <c r="BI362" s="77"/>
    </row>
    <row r="363" spans="1:61" x14ac:dyDescent="0.25">
      <c r="A363" s="62" t="s">
        <v>347</v>
      </c>
      <c r="B363" s="62" t="s">
        <v>693</v>
      </c>
      <c r="C363" s="63"/>
      <c r="D363" s="64"/>
      <c r="E363" s="65"/>
      <c r="F363" s="66"/>
      <c r="G363" s="63"/>
      <c r="H363" s="67"/>
      <c r="I363" s="68"/>
      <c r="J363" s="68"/>
      <c r="K363" s="32"/>
      <c r="L363" s="75">
        <v>363</v>
      </c>
      <c r="M363" s="75"/>
      <c r="N363" s="70"/>
      <c r="O363" s="77" t="s">
        <v>1135</v>
      </c>
      <c r="P363" s="79">
        <v>44935.757395833331</v>
      </c>
      <c r="Q363" s="77" t="s">
        <v>1473</v>
      </c>
      <c r="R363" s="77">
        <v>0</v>
      </c>
      <c r="S363" s="77">
        <v>0</v>
      </c>
      <c r="T363" s="77">
        <v>0</v>
      </c>
      <c r="U363" s="77">
        <v>0</v>
      </c>
      <c r="V363" s="77">
        <v>132</v>
      </c>
      <c r="W363" s="82" t="s">
        <v>4288</v>
      </c>
      <c r="X363" s="77"/>
      <c r="Y363" s="77"/>
      <c r="Z363" s="77"/>
      <c r="AA363" s="77"/>
      <c r="AB363" s="77"/>
      <c r="AC363" s="82" t="s">
        <v>7705</v>
      </c>
      <c r="AD363" s="77" t="s">
        <v>7748</v>
      </c>
      <c r="AE363" s="80" t="str">
        <f>HYPERLINK("https://twitter.com/anderson77i/status/1612512190648537089")</f>
        <v>https://twitter.com/anderson77i/status/1612512190648537089</v>
      </c>
      <c r="AF363" s="79">
        <v>44935.757395833331</v>
      </c>
      <c r="AG363" s="85">
        <v>44935</v>
      </c>
      <c r="AH363" s="82" t="s">
        <v>8104</v>
      </c>
      <c r="AI363" s="77"/>
      <c r="AJ363" s="77"/>
      <c r="AK363" s="77"/>
      <c r="AL363" s="77"/>
      <c r="AM363" s="77"/>
      <c r="AN363" s="77"/>
      <c r="AO363" s="77"/>
      <c r="AP363" s="77"/>
      <c r="AQ363" s="77"/>
      <c r="AR363" s="77"/>
      <c r="AS363" s="77"/>
      <c r="AT363" s="77"/>
      <c r="AU363" s="77"/>
      <c r="AV363" s="80" t="str">
        <f>HYPERLINK("https://pbs.twimg.com/profile_images/1240403189016469505/sNkpq40K_normal.jpg")</f>
        <v>https://pbs.twimg.com/profile_images/1240403189016469505/sNkpq40K_normal.jpg</v>
      </c>
      <c r="AW363" s="82" t="s">
        <v>12558</v>
      </c>
      <c r="AX363" s="82" t="s">
        <v>12558</v>
      </c>
      <c r="AY363" s="77"/>
      <c r="AZ363" s="82" t="s">
        <v>15804</v>
      </c>
      <c r="BA363" s="82" t="s">
        <v>13659</v>
      </c>
      <c r="BB363" s="82" t="s">
        <v>15804</v>
      </c>
      <c r="BC363" s="82" t="s">
        <v>13659</v>
      </c>
      <c r="BD363" s="77">
        <v>15514372</v>
      </c>
      <c r="BE363" s="77"/>
      <c r="BF363" s="77"/>
      <c r="BG363" s="77"/>
      <c r="BH363" s="77"/>
      <c r="BI363" s="77"/>
    </row>
    <row r="364" spans="1:61" x14ac:dyDescent="0.25">
      <c r="A364" s="62" t="s">
        <v>347</v>
      </c>
      <c r="B364" s="62" t="s">
        <v>693</v>
      </c>
      <c r="C364" s="63"/>
      <c r="D364" s="64"/>
      <c r="E364" s="65"/>
      <c r="F364" s="66"/>
      <c r="G364" s="63"/>
      <c r="H364" s="67"/>
      <c r="I364" s="68"/>
      <c r="J364" s="68"/>
      <c r="K364" s="32"/>
      <c r="L364" s="75">
        <v>364</v>
      </c>
      <c r="M364" s="75"/>
      <c r="N364" s="70"/>
      <c r="O364" s="77" t="s">
        <v>1135</v>
      </c>
      <c r="P364" s="79">
        <v>45056.611516203702</v>
      </c>
      <c r="Q364" s="77" t="s">
        <v>1473</v>
      </c>
      <c r="R364" s="77">
        <v>0</v>
      </c>
      <c r="S364" s="77">
        <v>2</v>
      </c>
      <c r="T364" s="77">
        <v>0</v>
      </c>
      <c r="U364" s="77">
        <v>0</v>
      </c>
      <c r="V364" s="77">
        <v>121</v>
      </c>
      <c r="W364" s="82" t="s">
        <v>4288</v>
      </c>
      <c r="X364" s="77"/>
      <c r="Y364" s="77"/>
      <c r="Z364" s="77"/>
      <c r="AA364" s="77"/>
      <c r="AB364" s="77"/>
      <c r="AC364" s="82" t="s">
        <v>7705</v>
      </c>
      <c r="AD364" s="77" t="s">
        <v>7748</v>
      </c>
      <c r="AE364" s="80" t="str">
        <f>HYPERLINK("https://twitter.com/anderson77i/status/1656308256795508738")</f>
        <v>https://twitter.com/anderson77i/status/1656308256795508738</v>
      </c>
      <c r="AF364" s="79">
        <v>45056.611516203702</v>
      </c>
      <c r="AG364" s="85">
        <v>45056</v>
      </c>
      <c r="AH364" s="82" t="s">
        <v>8105</v>
      </c>
      <c r="AI364" s="77"/>
      <c r="AJ364" s="77"/>
      <c r="AK364" s="77"/>
      <c r="AL364" s="77"/>
      <c r="AM364" s="77"/>
      <c r="AN364" s="77"/>
      <c r="AO364" s="77"/>
      <c r="AP364" s="77"/>
      <c r="AQ364" s="77"/>
      <c r="AR364" s="77"/>
      <c r="AS364" s="77"/>
      <c r="AT364" s="77"/>
      <c r="AU364" s="77"/>
      <c r="AV364" s="80" t="str">
        <f>HYPERLINK("https://pbs.twimg.com/profile_images/1240403189016469505/sNkpq40K_normal.jpg")</f>
        <v>https://pbs.twimg.com/profile_images/1240403189016469505/sNkpq40K_normal.jpg</v>
      </c>
      <c r="AW364" s="82" t="s">
        <v>12559</v>
      </c>
      <c r="AX364" s="82" t="s">
        <v>12559</v>
      </c>
      <c r="AY364" s="77"/>
      <c r="AZ364" s="82" t="s">
        <v>15804</v>
      </c>
      <c r="BA364" s="82" t="s">
        <v>13666</v>
      </c>
      <c r="BB364" s="82" t="s">
        <v>15804</v>
      </c>
      <c r="BC364" s="82" t="s">
        <v>13666</v>
      </c>
      <c r="BD364" s="77">
        <v>15514372</v>
      </c>
      <c r="BE364" s="77"/>
      <c r="BF364" s="77"/>
      <c r="BG364" s="77"/>
      <c r="BH364" s="77"/>
      <c r="BI364" s="77"/>
    </row>
    <row r="365" spans="1:61" x14ac:dyDescent="0.25">
      <c r="A365" s="62" t="s">
        <v>347</v>
      </c>
      <c r="B365" s="62" t="s">
        <v>693</v>
      </c>
      <c r="C365" s="63"/>
      <c r="D365" s="64"/>
      <c r="E365" s="65"/>
      <c r="F365" s="66"/>
      <c r="G365" s="63"/>
      <c r="H365" s="67"/>
      <c r="I365" s="68"/>
      <c r="J365" s="68"/>
      <c r="K365" s="32"/>
      <c r="L365" s="75">
        <v>365</v>
      </c>
      <c r="M365" s="75"/>
      <c r="N365" s="70"/>
      <c r="O365" s="77" t="s">
        <v>1135</v>
      </c>
      <c r="P365" s="79">
        <v>44973.682129629633</v>
      </c>
      <c r="Q365" s="77" t="s">
        <v>1473</v>
      </c>
      <c r="R365" s="77">
        <v>0</v>
      </c>
      <c r="S365" s="77">
        <v>1</v>
      </c>
      <c r="T365" s="77">
        <v>0</v>
      </c>
      <c r="U365" s="77">
        <v>0</v>
      </c>
      <c r="V365" s="77">
        <v>129</v>
      </c>
      <c r="W365" s="82" t="s">
        <v>4288</v>
      </c>
      <c r="X365" s="77"/>
      <c r="Y365" s="77"/>
      <c r="Z365" s="77"/>
      <c r="AA365" s="77"/>
      <c r="AB365" s="77"/>
      <c r="AC365" s="82" t="s">
        <v>7705</v>
      </c>
      <c r="AD365" s="77" t="s">
        <v>7748</v>
      </c>
      <c r="AE365" s="80" t="str">
        <f>HYPERLINK("https://twitter.com/anderson77i/status/1626255650375274578")</f>
        <v>https://twitter.com/anderson77i/status/1626255650375274578</v>
      </c>
      <c r="AF365" s="79">
        <v>44973.682129629633</v>
      </c>
      <c r="AG365" s="85">
        <v>44973</v>
      </c>
      <c r="AH365" s="82" t="s">
        <v>8106</v>
      </c>
      <c r="AI365" s="77"/>
      <c r="AJ365" s="77"/>
      <c r="AK365" s="77"/>
      <c r="AL365" s="77"/>
      <c r="AM365" s="77"/>
      <c r="AN365" s="77"/>
      <c r="AO365" s="77"/>
      <c r="AP365" s="77"/>
      <c r="AQ365" s="77"/>
      <c r="AR365" s="77"/>
      <c r="AS365" s="77"/>
      <c r="AT365" s="77"/>
      <c r="AU365" s="77"/>
      <c r="AV365" s="80" t="str">
        <f>HYPERLINK("https://pbs.twimg.com/profile_images/1240403189016469505/sNkpq40K_normal.jpg")</f>
        <v>https://pbs.twimg.com/profile_images/1240403189016469505/sNkpq40K_normal.jpg</v>
      </c>
      <c r="AW365" s="82" t="s">
        <v>12560</v>
      </c>
      <c r="AX365" s="82" t="s">
        <v>12560</v>
      </c>
      <c r="AY365" s="77"/>
      <c r="AZ365" s="82" t="s">
        <v>15804</v>
      </c>
      <c r="BA365" s="82" t="s">
        <v>13667</v>
      </c>
      <c r="BB365" s="82" t="s">
        <v>15804</v>
      </c>
      <c r="BC365" s="82" t="s">
        <v>13667</v>
      </c>
      <c r="BD365" s="77">
        <v>15514372</v>
      </c>
      <c r="BE365" s="77"/>
      <c r="BF365" s="77"/>
      <c r="BG365" s="77"/>
      <c r="BH365" s="77"/>
      <c r="BI365" s="77"/>
    </row>
    <row r="366" spans="1:61" x14ac:dyDescent="0.25">
      <c r="A366" s="62" t="s">
        <v>347</v>
      </c>
      <c r="B366" s="62" t="s">
        <v>347</v>
      </c>
      <c r="C366" s="63"/>
      <c r="D366" s="64"/>
      <c r="E366" s="65"/>
      <c r="F366" s="66"/>
      <c r="G366" s="63"/>
      <c r="H366" s="67"/>
      <c r="I366" s="68"/>
      <c r="J366" s="68"/>
      <c r="K366" s="32"/>
      <c r="L366" s="75">
        <v>366</v>
      </c>
      <c r="M366" s="75"/>
      <c r="N366" s="70"/>
      <c r="O366" s="77" t="s">
        <v>179</v>
      </c>
      <c r="P366" s="79">
        <v>45056.506516203706</v>
      </c>
      <c r="Q366" s="77" t="s">
        <v>1477</v>
      </c>
      <c r="R366" s="77">
        <v>0</v>
      </c>
      <c r="S366" s="77">
        <v>0</v>
      </c>
      <c r="T366" s="77">
        <v>0</v>
      </c>
      <c r="U366" s="77">
        <v>0</v>
      </c>
      <c r="V366" s="77">
        <v>49</v>
      </c>
      <c r="W366" s="82" t="s">
        <v>4288</v>
      </c>
      <c r="X366" s="80" t="str">
        <f>HYPERLINK("https://blog.organizze.com.br/18-livros-de-investimentos-que-voce-precisa-conhecer")</f>
        <v>https://blog.organizze.com.br/18-livros-de-investimentos-que-voce-precisa-conhecer</v>
      </c>
      <c r="Y366" s="77" t="s">
        <v>6002</v>
      </c>
      <c r="Z366" s="77"/>
      <c r="AA366" s="77"/>
      <c r="AB366" s="77"/>
      <c r="AC366" s="82" t="s">
        <v>7706</v>
      </c>
      <c r="AD366" s="77" t="s">
        <v>7745</v>
      </c>
      <c r="AE366" s="80" t="str">
        <f>HYPERLINK("https://twitter.com/anderson77i/status/1656270204849061893")</f>
        <v>https://twitter.com/anderson77i/status/1656270204849061893</v>
      </c>
      <c r="AF366" s="79">
        <v>45056.506516203706</v>
      </c>
      <c r="AG366" s="85">
        <v>45056</v>
      </c>
      <c r="AH366" s="82" t="s">
        <v>8107</v>
      </c>
      <c r="AI366" s="77" t="b">
        <v>0</v>
      </c>
      <c r="AJ366" s="77"/>
      <c r="AK366" s="77"/>
      <c r="AL366" s="77"/>
      <c r="AM366" s="77"/>
      <c r="AN366" s="77"/>
      <c r="AO366" s="77"/>
      <c r="AP366" s="77"/>
      <c r="AQ366" s="77"/>
      <c r="AR366" s="77"/>
      <c r="AS366" s="77"/>
      <c r="AT366" s="77"/>
      <c r="AU366" s="77"/>
      <c r="AV366" s="80" t="str">
        <f>HYPERLINK("https://pbs.twimg.com/profile_images/1240403189016469505/sNkpq40K_normal.jpg")</f>
        <v>https://pbs.twimg.com/profile_images/1240403189016469505/sNkpq40K_normal.jpg</v>
      </c>
      <c r="AW366" s="82" t="s">
        <v>12561</v>
      </c>
      <c r="AX366" s="82" t="s">
        <v>12561</v>
      </c>
      <c r="AY366" s="77"/>
      <c r="AZ366" s="82" t="s">
        <v>15804</v>
      </c>
      <c r="BA366" s="82" t="s">
        <v>15804</v>
      </c>
      <c r="BB366" s="82" t="s">
        <v>15804</v>
      </c>
      <c r="BC366" s="82" t="s">
        <v>12561</v>
      </c>
      <c r="BD366" s="77">
        <v>15514372</v>
      </c>
      <c r="BE366" s="77"/>
      <c r="BF366" s="77"/>
      <c r="BG366" s="77"/>
      <c r="BH366" s="77"/>
      <c r="BI366" s="77"/>
    </row>
    <row r="367" spans="1:61" x14ac:dyDescent="0.25">
      <c r="A367" s="62" t="s">
        <v>347</v>
      </c>
      <c r="B367" s="62" t="s">
        <v>347</v>
      </c>
      <c r="C367" s="63"/>
      <c r="D367" s="64"/>
      <c r="E367" s="65"/>
      <c r="F367" s="66"/>
      <c r="G367" s="63"/>
      <c r="H367" s="67"/>
      <c r="I367" s="68"/>
      <c r="J367" s="68"/>
      <c r="K367" s="32"/>
      <c r="L367" s="75">
        <v>367</v>
      </c>
      <c r="M367" s="75"/>
      <c r="N367" s="70"/>
      <c r="O367" s="77" t="s">
        <v>179</v>
      </c>
      <c r="P367" s="79">
        <v>45052.503518518519</v>
      </c>
      <c r="Q367" s="77" t="s">
        <v>1478</v>
      </c>
      <c r="R367" s="77">
        <v>0</v>
      </c>
      <c r="S367" s="77">
        <v>1</v>
      </c>
      <c r="T367" s="77">
        <v>0</v>
      </c>
      <c r="U367" s="77">
        <v>0</v>
      </c>
      <c r="V367" s="77">
        <v>115</v>
      </c>
      <c r="W367" s="82" t="s">
        <v>4292</v>
      </c>
      <c r="X367" s="77"/>
      <c r="Y367" s="77"/>
      <c r="Z367" s="77"/>
      <c r="AA367" s="77" t="s">
        <v>6308</v>
      </c>
      <c r="AB367" s="77" t="s">
        <v>7696</v>
      </c>
      <c r="AC367" s="82" t="s">
        <v>7705</v>
      </c>
      <c r="AD367" s="77" t="s">
        <v>7746</v>
      </c>
      <c r="AE367" s="80" t="str">
        <f>HYPERLINK("https://twitter.com/anderson77i/status/1654819566151761922")</f>
        <v>https://twitter.com/anderson77i/status/1654819566151761922</v>
      </c>
      <c r="AF367" s="79">
        <v>45052.503518518519</v>
      </c>
      <c r="AG367" s="85">
        <v>45052</v>
      </c>
      <c r="AH367" s="82" t="s">
        <v>8108</v>
      </c>
      <c r="AI367" s="77" t="b">
        <v>0</v>
      </c>
      <c r="AJ367" s="77"/>
      <c r="AK367" s="77"/>
      <c r="AL367" s="77"/>
      <c r="AM367" s="77"/>
      <c r="AN367" s="77"/>
      <c r="AO367" s="77"/>
      <c r="AP367" s="77"/>
      <c r="AQ367" s="77" t="s">
        <v>10815</v>
      </c>
      <c r="AR367" s="77"/>
      <c r="AS367" s="77"/>
      <c r="AT367" s="77"/>
      <c r="AU367" s="77"/>
      <c r="AV367" s="80" t="str">
        <f>HYPERLINK("https://pbs.twimg.com/media/FvcZnuNWcAER5pb.jpg")</f>
        <v>https://pbs.twimg.com/media/FvcZnuNWcAER5pb.jpg</v>
      </c>
      <c r="AW367" s="82" t="s">
        <v>12562</v>
      </c>
      <c r="AX367" s="82" t="s">
        <v>12562</v>
      </c>
      <c r="AY367" s="77"/>
      <c r="AZ367" s="82" t="s">
        <v>15804</v>
      </c>
      <c r="BA367" s="82" t="s">
        <v>15804</v>
      </c>
      <c r="BB367" s="82" t="s">
        <v>15804</v>
      </c>
      <c r="BC367" s="82" t="s">
        <v>12562</v>
      </c>
      <c r="BD367" s="77">
        <v>15514372</v>
      </c>
      <c r="BE367" s="77"/>
      <c r="BF367" s="77"/>
      <c r="BG367" s="77"/>
      <c r="BH367" s="77"/>
      <c r="BI367" s="77"/>
    </row>
    <row r="368" spans="1:61" x14ac:dyDescent="0.25">
      <c r="A368" s="62" t="s">
        <v>347</v>
      </c>
      <c r="B368" s="62" t="s">
        <v>347</v>
      </c>
      <c r="C368" s="63"/>
      <c r="D368" s="64"/>
      <c r="E368" s="65"/>
      <c r="F368" s="66"/>
      <c r="G368" s="63"/>
      <c r="H368" s="67"/>
      <c r="I368" s="68"/>
      <c r="J368" s="68"/>
      <c r="K368" s="32"/>
      <c r="L368" s="75">
        <v>368</v>
      </c>
      <c r="M368" s="75"/>
      <c r="N368" s="70"/>
      <c r="O368" s="77" t="s">
        <v>179</v>
      </c>
      <c r="P368" s="79">
        <v>44953.613715277781</v>
      </c>
      <c r="Q368" s="77" t="s">
        <v>1479</v>
      </c>
      <c r="R368" s="77">
        <v>0</v>
      </c>
      <c r="S368" s="77">
        <v>0</v>
      </c>
      <c r="T368" s="77">
        <v>0</v>
      </c>
      <c r="U368" s="77">
        <v>0</v>
      </c>
      <c r="V368" s="77">
        <v>33</v>
      </c>
      <c r="W368" s="82" t="s">
        <v>4288</v>
      </c>
      <c r="X368" s="80" t="str">
        <f>HYPERLINK("https://nodetalhe.com.br/5-aplicativos-revolucionar-forma-controla-vida-financeira/")</f>
        <v>https://nodetalhe.com.br/5-aplicativos-revolucionar-forma-controla-vida-financeira/</v>
      </c>
      <c r="Y368" s="77" t="s">
        <v>6002</v>
      </c>
      <c r="Z368" s="77"/>
      <c r="AA368" s="77"/>
      <c r="AB368" s="77"/>
      <c r="AC368" s="82" t="s">
        <v>7706</v>
      </c>
      <c r="AD368" s="77" t="s">
        <v>7745</v>
      </c>
      <c r="AE368" s="80" t="str">
        <f>HYPERLINK("https://twitter.com/anderson77i/status/1618983102357045249")</f>
        <v>https://twitter.com/anderson77i/status/1618983102357045249</v>
      </c>
      <c r="AF368" s="79">
        <v>44953.613715277781</v>
      </c>
      <c r="AG368" s="85">
        <v>44953</v>
      </c>
      <c r="AH368" s="82" t="s">
        <v>8109</v>
      </c>
      <c r="AI368" s="77" t="b">
        <v>0</v>
      </c>
      <c r="AJ368" s="77"/>
      <c r="AK368" s="77"/>
      <c r="AL368" s="77"/>
      <c r="AM368" s="77"/>
      <c r="AN368" s="77"/>
      <c r="AO368" s="77"/>
      <c r="AP368" s="77"/>
      <c r="AQ368" s="77"/>
      <c r="AR368" s="77"/>
      <c r="AS368" s="77"/>
      <c r="AT368" s="77"/>
      <c r="AU368" s="77"/>
      <c r="AV368" s="80" t="str">
        <f>HYPERLINK("https://pbs.twimg.com/profile_images/1240403189016469505/sNkpq40K_normal.jpg")</f>
        <v>https://pbs.twimg.com/profile_images/1240403189016469505/sNkpq40K_normal.jpg</v>
      </c>
      <c r="AW368" s="82" t="s">
        <v>12563</v>
      </c>
      <c r="AX368" s="82" t="s">
        <v>12563</v>
      </c>
      <c r="AY368" s="77"/>
      <c r="AZ368" s="82" t="s">
        <v>15804</v>
      </c>
      <c r="BA368" s="82" t="s">
        <v>15804</v>
      </c>
      <c r="BB368" s="82" t="s">
        <v>15804</v>
      </c>
      <c r="BC368" s="82" t="s">
        <v>12563</v>
      </c>
      <c r="BD368" s="77">
        <v>15514372</v>
      </c>
      <c r="BE368" s="77"/>
      <c r="BF368" s="77"/>
      <c r="BG368" s="77"/>
      <c r="BH368" s="77"/>
      <c r="BI368" s="77"/>
    </row>
    <row r="369" spans="1:61" x14ac:dyDescent="0.25">
      <c r="A369" s="62" t="s">
        <v>347</v>
      </c>
      <c r="B369" s="62" t="s">
        <v>347</v>
      </c>
      <c r="C369" s="63"/>
      <c r="D369" s="64"/>
      <c r="E369" s="65"/>
      <c r="F369" s="66"/>
      <c r="G369" s="63"/>
      <c r="H369" s="67"/>
      <c r="I369" s="68"/>
      <c r="J369" s="68"/>
      <c r="K369" s="32"/>
      <c r="L369" s="75">
        <v>369</v>
      </c>
      <c r="M369" s="75"/>
      <c r="N369" s="70"/>
      <c r="O369" s="77" t="s">
        <v>179</v>
      </c>
      <c r="P369" s="79">
        <v>45120.516006944446</v>
      </c>
      <c r="Q369" s="77" t="s">
        <v>1480</v>
      </c>
      <c r="R369" s="77">
        <v>0</v>
      </c>
      <c r="S369" s="77">
        <v>0</v>
      </c>
      <c r="T369" s="77">
        <v>0</v>
      </c>
      <c r="U369" s="77">
        <v>0</v>
      </c>
      <c r="V369" s="77">
        <v>44</v>
      </c>
      <c r="W369" s="82" t="s">
        <v>4293</v>
      </c>
      <c r="X369" s="80" t="str">
        <f>HYPERLINK("https://www.linkedin.com/news/story/quem-%C3%A9-o-investidor-brasileiro-pesquisa-da-cvm-vai-tra%C3%A7ar-perfil-5680132/")</f>
        <v>https://www.linkedin.com/news/story/quem-%C3%A9-o-investidor-brasileiro-pesquisa-da-cvm-vai-tra%C3%A7ar-perfil-5680132/</v>
      </c>
      <c r="Y369" s="77" t="s">
        <v>6021</v>
      </c>
      <c r="Z369" s="77"/>
      <c r="AA369" s="77"/>
      <c r="AB369" s="77"/>
      <c r="AC369" s="82" t="s">
        <v>7706</v>
      </c>
      <c r="AD369" s="77" t="s">
        <v>7745</v>
      </c>
      <c r="AE369" s="80" t="str">
        <f>HYPERLINK("https://twitter.com/anderson77i/status/1679466465978613760")</f>
        <v>https://twitter.com/anderson77i/status/1679466465978613760</v>
      </c>
      <c r="AF369" s="79">
        <v>45120.516006944446</v>
      </c>
      <c r="AG369" s="85">
        <v>45120</v>
      </c>
      <c r="AH369" s="82" t="s">
        <v>8110</v>
      </c>
      <c r="AI369" s="77" t="b">
        <v>0</v>
      </c>
      <c r="AJ369" s="77"/>
      <c r="AK369" s="77"/>
      <c r="AL369" s="77"/>
      <c r="AM369" s="77"/>
      <c r="AN369" s="77"/>
      <c r="AO369" s="77"/>
      <c r="AP369" s="77"/>
      <c r="AQ369" s="77"/>
      <c r="AR369" s="77"/>
      <c r="AS369" s="77"/>
      <c r="AT369" s="77"/>
      <c r="AU369" s="77"/>
      <c r="AV369" s="80" t="str">
        <f>HYPERLINK("https://pbs.twimg.com/profile_images/1240403189016469505/sNkpq40K_normal.jpg")</f>
        <v>https://pbs.twimg.com/profile_images/1240403189016469505/sNkpq40K_normal.jpg</v>
      </c>
      <c r="AW369" s="82" t="s">
        <v>12564</v>
      </c>
      <c r="AX369" s="82" t="s">
        <v>12564</v>
      </c>
      <c r="AY369" s="77"/>
      <c r="AZ369" s="82" t="s">
        <v>15804</v>
      </c>
      <c r="BA369" s="82" t="s">
        <v>15804</v>
      </c>
      <c r="BB369" s="82" t="s">
        <v>15804</v>
      </c>
      <c r="BC369" s="82" t="s">
        <v>12564</v>
      </c>
      <c r="BD369" s="77">
        <v>15514372</v>
      </c>
      <c r="BE369" s="77"/>
      <c r="BF369" s="77"/>
      <c r="BG369" s="77"/>
      <c r="BH369" s="77"/>
      <c r="BI369" s="77"/>
    </row>
    <row r="370" spans="1:61" x14ac:dyDescent="0.25">
      <c r="A370" s="62" t="s">
        <v>347</v>
      </c>
      <c r="B370" s="62" t="s">
        <v>693</v>
      </c>
      <c r="C370" s="63"/>
      <c r="D370" s="64"/>
      <c r="E370" s="65"/>
      <c r="F370" s="66"/>
      <c r="G370" s="63"/>
      <c r="H370" s="67"/>
      <c r="I370" s="68"/>
      <c r="J370" s="68"/>
      <c r="K370" s="32"/>
      <c r="L370" s="75">
        <v>370</v>
      </c>
      <c r="M370" s="75"/>
      <c r="N370" s="70"/>
      <c r="O370" s="77" t="s">
        <v>1135</v>
      </c>
      <c r="P370" s="79">
        <v>44971.824513888889</v>
      </c>
      <c r="Q370" s="77" t="s">
        <v>1481</v>
      </c>
      <c r="R370" s="77">
        <v>0</v>
      </c>
      <c r="S370" s="77">
        <v>0</v>
      </c>
      <c r="T370" s="77">
        <v>0</v>
      </c>
      <c r="U370" s="77">
        <v>0</v>
      </c>
      <c r="V370" s="77">
        <v>108</v>
      </c>
      <c r="W370" s="82" t="s">
        <v>4294</v>
      </c>
      <c r="X370" s="77"/>
      <c r="Y370" s="77"/>
      <c r="Z370" s="77"/>
      <c r="AA370" s="77"/>
      <c r="AB370" s="77"/>
      <c r="AC370" s="82" t="s">
        <v>7706</v>
      </c>
      <c r="AD370" s="77" t="s">
        <v>7748</v>
      </c>
      <c r="AE370" s="80" t="str">
        <f>HYPERLINK("https://twitter.com/anderson77i/status/1625582475022852113")</f>
        <v>https://twitter.com/anderson77i/status/1625582475022852113</v>
      </c>
      <c r="AF370" s="79">
        <v>44971.824513888889</v>
      </c>
      <c r="AG370" s="85">
        <v>44971</v>
      </c>
      <c r="AH370" s="82" t="s">
        <v>8111</v>
      </c>
      <c r="AI370" s="77"/>
      <c r="AJ370" s="77"/>
      <c r="AK370" s="77"/>
      <c r="AL370" s="77"/>
      <c r="AM370" s="77"/>
      <c r="AN370" s="77"/>
      <c r="AO370" s="77"/>
      <c r="AP370" s="77"/>
      <c r="AQ370" s="77"/>
      <c r="AR370" s="77"/>
      <c r="AS370" s="77"/>
      <c r="AT370" s="77"/>
      <c r="AU370" s="77"/>
      <c r="AV370" s="80" t="str">
        <f>HYPERLINK("https://pbs.twimg.com/profile_images/1240403189016469505/sNkpq40K_normal.jpg")</f>
        <v>https://pbs.twimg.com/profile_images/1240403189016469505/sNkpq40K_normal.jpg</v>
      </c>
      <c r="AW370" s="82" t="s">
        <v>12565</v>
      </c>
      <c r="AX370" s="82" t="s">
        <v>12565</v>
      </c>
      <c r="AY370" s="77"/>
      <c r="AZ370" s="82" t="s">
        <v>15804</v>
      </c>
      <c r="BA370" s="82" t="s">
        <v>13662</v>
      </c>
      <c r="BB370" s="82" t="s">
        <v>15804</v>
      </c>
      <c r="BC370" s="82" t="s">
        <v>13662</v>
      </c>
      <c r="BD370" s="77">
        <v>15514372</v>
      </c>
      <c r="BE370" s="77"/>
      <c r="BF370" s="77"/>
      <c r="BG370" s="77"/>
      <c r="BH370" s="77"/>
      <c r="BI370" s="77"/>
    </row>
    <row r="371" spans="1:61" x14ac:dyDescent="0.25">
      <c r="A371" s="62" t="s">
        <v>347</v>
      </c>
      <c r="B371" s="62" t="s">
        <v>347</v>
      </c>
      <c r="C371" s="63"/>
      <c r="D371" s="64"/>
      <c r="E371" s="65"/>
      <c r="F371" s="66"/>
      <c r="G371" s="63"/>
      <c r="H371" s="67"/>
      <c r="I371" s="68"/>
      <c r="J371" s="68"/>
      <c r="K371" s="32"/>
      <c r="L371" s="75">
        <v>371</v>
      </c>
      <c r="M371" s="75"/>
      <c r="N371" s="70"/>
      <c r="O371" s="77" t="s">
        <v>179</v>
      </c>
      <c r="P371" s="79">
        <v>44970.814386574071</v>
      </c>
      <c r="Q371" s="77" t="s">
        <v>1482</v>
      </c>
      <c r="R371" s="77">
        <v>0</v>
      </c>
      <c r="S371" s="77">
        <v>0</v>
      </c>
      <c r="T371" s="77">
        <v>0</v>
      </c>
      <c r="U371" s="77">
        <v>0</v>
      </c>
      <c r="V371" s="77">
        <v>70</v>
      </c>
      <c r="W371" s="82" t="s">
        <v>4295</v>
      </c>
      <c r="X371" s="80" t="str">
        <f>HYPERLINK("https://blog.organizze.com.br/organizze-e-gympass-bem-estar-financeiro-e-fisico-juntos-2")</f>
        <v>https://blog.organizze.com.br/organizze-e-gympass-bem-estar-financeiro-e-fisico-juntos-2</v>
      </c>
      <c r="Y371" s="77" t="s">
        <v>6002</v>
      </c>
      <c r="Z371" s="77"/>
      <c r="AA371" s="77"/>
      <c r="AB371" s="77"/>
      <c r="AC371" s="82" t="s">
        <v>7706</v>
      </c>
      <c r="AD371" s="77" t="s">
        <v>7745</v>
      </c>
      <c r="AE371" s="80" t="str">
        <f>HYPERLINK("https://twitter.com/anderson77i/status/1625216418609233925")</f>
        <v>https://twitter.com/anderson77i/status/1625216418609233925</v>
      </c>
      <c r="AF371" s="79">
        <v>44970.814386574071</v>
      </c>
      <c r="AG371" s="85">
        <v>44970</v>
      </c>
      <c r="AH371" s="82" t="s">
        <v>8112</v>
      </c>
      <c r="AI371" s="77" t="b">
        <v>0</v>
      </c>
      <c r="AJ371" s="77"/>
      <c r="AK371" s="77"/>
      <c r="AL371" s="77"/>
      <c r="AM371" s="77"/>
      <c r="AN371" s="77"/>
      <c r="AO371" s="77"/>
      <c r="AP371" s="77"/>
      <c r="AQ371" s="77"/>
      <c r="AR371" s="77"/>
      <c r="AS371" s="77"/>
      <c r="AT371" s="77"/>
      <c r="AU371" s="77"/>
      <c r="AV371" s="80" t="str">
        <f>HYPERLINK("https://pbs.twimg.com/profile_images/1240403189016469505/sNkpq40K_normal.jpg")</f>
        <v>https://pbs.twimg.com/profile_images/1240403189016469505/sNkpq40K_normal.jpg</v>
      </c>
      <c r="AW371" s="82" t="s">
        <v>12566</v>
      </c>
      <c r="AX371" s="82" t="s">
        <v>12566</v>
      </c>
      <c r="AY371" s="77"/>
      <c r="AZ371" s="82" t="s">
        <v>15804</v>
      </c>
      <c r="BA371" s="82" t="s">
        <v>15804</v>
      </c>
      <c r="BB371" s="82" t="s">
        <v>15804</v>
      </c>
      <c r="BC371" s="82" t="s">
        <v>12566</v>
      </c>
      <c r="BD371" s="77">
        <v>15514372</v>
      </c>
      <c r="BE371" s="77"/>
      <c r="BF371" s="77"/>
      <c r="BG371" s="77"/>
      <c r="BH371" s="77"/>
      <c r="BI371" s="77"/>
    </row>
    <row r="372" spans="1:61" x14ac:dyDescent="0.25">
      <c r="A372" s="62" t="s">
        <v>347</v>
      </c>
      <c r="B372" s="62" t="s">
        <v>347</v>
      </c>
      <c r="C372" s="63"/>
      <c r="D372" s="64"/>
      <c r="E372" s="65"/>
      <c r="F372" s="66"/>
      <c r="G372" s="63"/>
      <c r="H372" s="67"/>
      <c r="I372" s="68"/>
      <c r="J372" s="68"/>
      <c r="K372" s="32"/>
      <c r="L372" s="75">
        <v>372</v>
      </c>
      <c r="M372" s="75"/>
      <c r="N372" s="70"/>
      <c r="O372" s="77" t="s">
        <v>179</v>
      </c>
      <c r="P372" s="79">
        <v>44970.759594907409</v>
      </c>
      <c r="Q372" s="77" t="s">
        <v>1483</v>
      </c>
      <c r="R372" s="77">
        <v>0</v>
      </c>
      <c r="S372" s="77">
        <v>0</v>
      </c>
      <c r="T372" s="77">
        <v>0</v>
      </c>
      <c r="U372" s="77">
        <v>0</v>
      </c>
      <c r="V372" s="77">
        <v>47</v>
      </c>
      <c r="W372" s="82" t="s">
        <v>4296</v>
      </c>
      <c r="X372" s="80" t="str">
        <f>HYPERLINK("https://blog.organizze.com.br/quando-e-o-carnaval-2023-descubra-e-veja-dicas-para-economizar")</f>
        <v>https://blog.organizze.com.br/quando-e-o-carnaval-2023-descubra-e-veja-dicas-para-economizar</v>
      </c>
      <c r="Y372" s="77" t="s">
        <v>6002</v>
      </c>
      <c r="Z372" s="77"/>
      <c r="AA372" s="77"/>
      <c r="AB372" s="77"/>
      <c r="AC372" s="82" t="s">
        <v>7706</v>
      </c>
      <c r="AD372" s="77" t="s">
        <v>7745</v>
      </c>
      <c r="AE372" s="80" t="str">
        <f>HYPERLINK("https://twitter.com/anderson77i/status/1625196562769903616")</f>
        <v>https://twitter.com/anderson77i/status/1625196562769903616</v>
      </c>
      <c r="AF372" s="79">
        <v>44970.759594907409</v>
      </c>
      <c r="AG372" s="85">
        <v>44970</v>
      </c>
      <c r="AH372" s="82" t="s">
        <v>8113</v>
      </c>
      <c r="AI372" s="77" t="b">
        <v>0</v>
      </c>
      <c r="AJ372" s="77"/>
      <c r="AK372" s="77"/>
      <c r="AL372" s="77"/>
      <c r="AM372" s="77"/>
      <c r="AN372" s="77"/>
      <c r="AO372" s="77"/>
      <c r="AP372" s="77"/>
      <c r="AQ372" s="77"/>
      <c r="AR372" s="77"/>
      <c r="AS372" s="77"/>
      <c r="AT372" s="77"/>
      <c r="AU372" s="77"/>
      <c r="AV372" s="80" t="str">
        <f>HYPERLINK("https://pbs.twimg.com/profile_images/1240403189016469505/sNkpq40K_normal.jpg")</f>
        <v>https://pbs.twimg.com/profile_images/1240403189016469505/sNkpq40K_normal.jpg</v>
      </c>
      <c r="AW372" s="82" t="s">
        <v>12567</v>
      </c>
      <c r="AX372" s="82" t="s">
        <v>12567</v>
      </c>
      <c r="AY372" s="77"/>
      <c r="AZ372" s="82" t="s">
        <v>15804</v>
      </c>
      <c r="BA372" s="82" t="s">
        <v>15804</v>
      </c>
      <c r="BB372" s="82" t="s">
        <v>15804</v>
      </c>
      <c r="BC372" s="82" t="s">
        <v>12567</v>
      </c>
      <c r="BD372" s="77">
        <v>15514372</v>
      </c>
      <c r="BE372" s="77"/>
      <c r="BF372" s="77"/>
      <c r="BG372" s="77"/>
      <c r="BH372" s="77"/>
      <c r="BI372" s="77"/>
    </row>
    <row r="373" spans="1:61" x14ac:dyDescent="0.25">
      <c r="A373" s="62" t="s">
        <v>347</v>
      </c>
      <c r="B373" s="62" t="s">
        <v>693</v>
      </c>
      <c r="C373" s="63"/>
      <c r="D373" s="64"/>
      <c r="E373" s="65"/>
      <c r="F373" s="66"/>
      <c r="G373" s="63"/>
      <c r="H373" s="67"/>
      <c r="I373" s="68"/>
      <c r="J373" s="68"/>
      <c r="K373" s="32"/>
      <c r="L373" s="75">
        <v>373</v>
      </c>
      <c r="M373" s="75"/>
      <c r="N373" s="70"/>
      <c r="O373" s="77" t="s">
        <v>1135</v>
      </c>
      <c r="P373" s="79">
        <v>44968.877141203702</v>
      </c>
      <c r="Q373" s="77" t="s">
        <v>1484</v>
      </c>
      <c r="R373" s="77">
        <v>0</v>
      </c>
      <c r="S373" s="77">
        <v>1</v>
      </c>
      <c r="T373" s="77">
        <v>0</v>
      </c>
      <c r="U373" s="77">
        <v>0</v>
      </c>
      <c r="V373" s="77">
        <v>122</v>
      </c>
      <c r="W373" s="82" t="s">
        <v>4297</v>
      </c>
      <c r="X373" s="77"/>
      <c r="Y373" s="77"/>
      <c r="Z373" s="77"/>
      <c r="AA373" s="77"/>
      <c r="AB373" s="77"/>
      <c r="AC373" s="82" t="s">
        <v>7705</v>
      </c>
      <c r="AD373" s="77" t="s">
        <v>7748</v>
      </c>
      <c r="AE373" s="80" t="str">
        <f>HYPERLINK("https://twitter.com/anderson77i/status/1624514384671244290")</f>
        <v>https://twitter.com/anderson77i/status/1624514384671244290</v>
      </c>
      <c r="AF373" s="79">
        <v>44968.877141203702</v>
      </c>
      <c r="AG373" s="85">
        <v>44968</v>
      </c>
      <c r="AH373" s="82" t="s">
        <v>8114</v>
      </c>
      <c r="AI373" s="77"/>
      <c r="AJ373" s="77"/>
      <c r="AK373" s="77"/>
      <c r="AL373" s="77"/>
      <c r="AM373" s="77"/>
      <c r="AN373" s="77"/>
      <c r="AO373" s="77"/>
      <c r="AP373" s="77"/>
      <c r="AQ373" s="77"/>
      <c r="AR373" s="77"/>
      <c r="AS373" s="77"/>
      <c r="AT373" s="77"/>
      <c r="AU373" s="77"/>
      <c r="AV373" s="80" t="str">
        <f>HYPERLINK("https://pbs.twimg.com/profile_images/1240403189016469505/sNkpq40K_normal.jpg")</f>
        <v>https://pbs.twimg.com/profile_images/1240403189016469505/sNkpq40K_normal.jpg</v>
      </c>
      <c r="AW373" s="82" t="s">
        <v>12568</v>
      </c>
      <c r="AX373" s="82" t="s">
        <v>12568</v>
      </c>
      <c r="AY373" s="77"/>
      <c r="AZ373" s="82" t="s">
        <v>15804</v>
      </c>
      <c r="BA373" s="82" t="s">
        <v>13663</v>
      </c>
      <c r="BB373" s="82" t="s">
        <v>15804</v>
      </c>
      <c r="BC373" s="82" t="s">
        <v>13663</v>
      </c>
      <c r="BD373" s="77">
        <v>15514372</v>
      </c>
      <c r="BE373" s="77"/>
      <c r="BF373" s="77"/>
      <c r="BG373" s="77"/>
      <c r="BH373" s="77"/>
      <c r="BI373" s="77"/>
    </row>
    <row r="374" spans="1:61" x14ac:dyDescent="0.25">
      <c r="A374" s="62" t="s">
        <v>347</v>
      </c>
      <c r="B374" s="62" t="s">
        <v>367</v>
      </c>
      <c r="C374" s="63"/>
      <c r="D374" s="64"/>
      <c r="E374" s="65"/>
      <c r="F374" s="66"/>
      <c r="G374" s="63"/>
      <c r="H374" s="67"/>
      <c r="I374" s="68"/>
      <c r="J374" s="68"/>
      <c r="K374" s="32"/>
      <c r="L374" s="75">
        <v>374</v>
      </c>
      <c r="M374" s="75"/>
      <c r="N374" s="70"/>
      <c r="O374" s="77" t="s">
        <v>1135</v>
      </c>
      <c r="P374" s="79">
        <v>44968.876805555556</v>
      </c>
      <c r="Q374" s="77" t="s">
        <v>1484</v>
      </c>
      <c r="R374" s="77">
        <v>0</v>
      </c>
      <c r="S374" s="77">
        <v>0</v>
      </c>
      <c r="T374" s="77">
        <v>0</v>
      </c>
      <c r="U374" s="77">
        <v>0</v>
      </c>
      <c r="V374" s="77">
        <v>88</v>
      </c>
      <c r="W374" s="82" t="s">
        <v>4297</v>
      </c>
      <c r="X374" s="77"/>
      <c r="Y374" s="77"/>
      <c r="Z374" s="77"/>
      <c r="AA374" s="77"/>
      <c r="AB374" s="77"/>
      <c r="AC374" s="82" t="s">
        <v>7705</v>
      </c>
      <c r="AD374" s="77" t="s">
        <v>7748</v>
      </c>
      <c r="AE374" s="80" t="str">
        <f>HYPERLINK("https://twitter.com/anderson77i/status/1624514259701886976")</f>
        <v>https://twitter.com/anderson77i/status/1624514259701886976</v>
      </c>
      <c r="AF374" s="79">
        <v>44968.876805555556</v>
      </c>
      <c r="AG374" s="85">
        <v>44968</v>
      </c>
      <c r="AH374" s="82" t="s">
        <v>8115</v>
      </c>
      <c r="AI374" s="77"/>
      <c r="AJ374" s="77"/>
      <c r="AK374" s="77"/>
      <c r="AL374" s="77"/>
      <c r="AM374" s="77"/>
      <c r="AN374" s="77"/>
      <c r="AO374" s="77"/>
      <c r="AP374" s="77"/>
      <c r="AQ374" s="77"/>
      <c r="AR374" s="77"/>
      <c r="AS374" s="77"/>
      <c r="AT374" s="77"/>
      <c r="AU374" s="77"/>
      <c r="AV374" s="80" t="str">
        <f>HYPERLINK("https://pbs.twimg.com/profile_images/1240403189016469505/sNkpq40K_normal.jpg")</f>
        <v>https://pbs.twimg.com/profile_images/1240403189016469505/sNkpq40K_normal.jpg</v>
      </c>
      <c r="AW374" s="82" t="s">
        <v>12569</v>
      </c>
      <c r="AX374" s="82" t="s">
        <v>12569</v>
      </c>
      <c r="AY374" s="77"/>
      <c r="AZ374" s="82" t="s">
        <v>15804</v>
      </c>
      <c r="BA374" s="82" t="s">
        <v>12710</v>
      </c>
      <c r="BB374" s="82" t="s">
        <v>15804</v>
      </c>
      <c r="BC374" s="82" t="s">
        <v>12710</v>
      </c>
      <c r="BD374" s="77">
        <v>15514372</v>
      </c>
      <c r="BE374" s="77"/>
      <c r="BF374" s="77"/>
      <c r="BG374" s="77"/>
      <c r="BH374" s="77"/>
      <c r="BI374" s="77"/>
    </row>
    <row r="375" spans="1:61" x14ac:dyDescent="0.25">
      <c r="A375" s="62" t="s">
        <v>347</v>
      </c>
      <c r="B375" s="62" t="s">
        <v>693</v>
      </c>
      <c r="C375" s="63"/>
      <c r="D375" s="64"/>
      <c r="E375" s="65"/>
      <c r="F375" s="66"/>
      <c r="G375" s="63"/>
      <c r="H375" s="67"/>
      <c r="I375" s="68"/>
      <c r="J375" s="68"/>
      <c r="K375" s="32"/>
      <c r="L375" s="75">
        <v>375</v>
      </c>
      <c r="M375" s="75"/>
      <c r="N375" s="70"/>
      <c r="O375" s="77" t="s">
        <v>1135</v>
      </c>
      <c r="P375" s="79">
        <v>44968.875775462962</v>
      </c>
      <c r="Q375" s="77" t="s">
        <v>1485</v>
      </c>
      <c r="R375" s="77">
        <v>0</v>
      </c>
      <c r="S375" s="77">
        <v>1</v>
      </c>
      <c r="T375" s="77">
        <v>0</v>
      </c>
      <c r="U375" s="77">
        <v>0</v>
      </c>
      <c r="V375" s="77">
        <v>107</v>
      </c>
      <c r="W375" s="82" t="s">
        <v>4298</v>
      </c>
      <c r="X375" s="77"/>
      <c r="Y375" s="77"/>
      <c r="Z375" s="77"/>
      <c r="AA375" s="77"/>
      <c r="AB375" s="77"/>
      <c r="AC375" s="82" t="s">
        <v>7705</v>
      </c>
      <c r="AD375" s="77" t="s">
        <v>7748</v>
      </c>
      <c r="AE375" s="80" t="str">
        <f>HYPERLINK("https://twitter.com/anderson77i/status/1624513887855906817")</f>
        <v>https://twitter.com/anderson77i/status/1624513887855906817</v>
      </c>
      <c r="AF375" s="79">
        <v>44968.875775462962</v>
      </c>
      <c r="AG375" s="85">
        <v>44968</v>
      </c>
      <c r="AH375" s="82" t="s">
        <v>8116</v>
      </c>
      <c r="AI375" s="77"/>
      <c r="AJ375" s="77"/>
      <c r="AK375" s="77"/>
      <c r="AL375" s="77"/>
      <c r="AM375" s="77"/>
      <c r="AN375" s="77"/>
      <c r="AO375" s="77"/>
      <c r="AP375" s="77"/>
      <c r="AQ375" s="77"/>
      <c r="AR375" s="77"/>
      <c r="AS375" s="77"/>
      <c r="AT375" s="77"/>
      <c r="AU375" s="77"/>
      <c r="AV375" s="80" t="str">
        <f>HYPERLINK("https://pbs.twimg.com/profile_images/1240403189016469505/sNkpq40K_normal.jpg")</f>
        <v>https://pbs.twimg.com/profile_images/1240403189016469505/sNkpq40K_normal.jpg</v>
      </c>
      <c r="AW375" s="82" t="s">
        <v>12570</v>
      </c>
      <c r="AX375" s="82" t="s">
        <v>12570</v>
      </c>
      <c r="AY375" s="77"/>
      <c r="AZ375" s="82" t="s">
        <v>15804</v>
      </c>
      <c r="BA375" s="82" t="s">
        <v>13664</v>
      </c>
      <c r="BB375" s="82" t="s">
        <v>15804</v>
      </c>
      <c r="BC375" s="82" t="s">
        <v>13664</v>
      </c>
      <c r="BD375" s="77">
        <v>15514372</v>
      </c>
      <c r="BE375" s="77"/>
      <c r="BF375" s="77"/>
      <c r="BG375" s="77"/>
      <c r="BH375" s="77"/>
      <c r="BI375" s="77"/>
    </row>
    <row r="376" spans="1:61" x14ac:dyDescent="0.25">
      <c r="A376" s="62" t="s">
        <v>347</v>
      </c>
      <c r="B376" s="62" t="s">
        <v>922</v>
      </c>
      <c r="C376" s="63"/>
      <c r="D376" s="64"/>
      <c r="E376" s="65"/>
      <c r="F376" s="66"/>
      <c r="G376" s="63"/>
      <c r="H376" s="67"/>
      <c r="I376" s="68"/>
      <c r="J376" s="68"/>
      <c r="K376" s="32"/>
      <c r="L376" s="75">
        <v>376</v>
      </c>
      <c r="M376" s="75"/>
      <c r="N376" s="70"/>
      <c r="O376" s="77" t="s">
        <v>1135</v>
      </c>
      <c r="P376" s="79">
        <v>45161.786261574074</v>
      </c>
      <c r="Q376" s="77" t="s">
        <v>1486</v>
      </c>
      <c r="R376" s="77">
        <v>0</v>
      </c>
      <c r="S376" s="77">
        <v>0</v>
      </c>
      <c r="T376" s="77">
        <v>0</v>
      </c>
      <c r="U376" s="77">
        <v>0</v>
      </c>
      <c r="V376" s="77">
        <v>47</v>
      </c>
      <c r="W376" s="82" t="s">
        <v>4299</v>
      </c>
      <c r="X376" s="77"/>
      <c r="Y376" s="77"/>
      <c r="Z376" s="77"/>
      <c r="AA376" s="77"/>
      <c r="AB376" s="77"/>
      <c r="AC376" s="82" t="s">
        <v>7706</v>
      </c>
      <c r="AD376" s="77" t="s">
        <v>7748</v>
      </c>
      <c r="AE376" s="80" t="str">
        <f>HYPERLINK("https://twitter.com/anderson77i/status/1694422308843057170")</f>
        <v>https://twitter.com/anderson77i/status/1694422308843057170</v>
      </c>
      <c r="AF376" s="79">
        <v>45161.786261574074</v>
      </c>
      <c r="AG376" s="85">
        <v>45161</v>
      </c>
      <c r="AH376" s="82" t="s">
        <v>8117</v>
      </c>
      <c r="AI376" s="77"/>
      <c r="AJ376" s="77"/>
      <c r="AK376" s="77"/>
      <c r="AL376" s="77"/>
      <c r="AM376" s="77"/>
      <c r="AN376" s="77"/>
      <c r="AO376" s="77"/>
      <c r="AP376" s="77"/>
      <c r="AQ376" s="77"/>
      <c r="AR376" s="77"/>
      <c r="AS376" s="77"/>
      <c r="AT376" s="77"/>
      <c r="AU376" s="77"/>
      <c r="AV376" s="80" t="str">
        <f>HYPERLINK("https://pbs.twimg.com/profile_images/1240403189016469505/sNkpq40K_normal.jpg")</f>
        <v>https://pbs.twimg.com/profile_images/1240403189016469505/sNkpq40K_normal.jpg</v>
      </c>
      <c r="AW376" s="82" t="s">
        <v>12571</v>
      </c>
      <c r="AX376" s="82" t="s">
        <v>12571</v>
      </c>
      <c r="AY376" s="77"/>
      <c r="AZ376" s="82" t="s">
        <v>15804</v>
      </c>
      <c r="BA376" s="82" t="s">
        <v>14543</v>
      </c>
      <c r="BB376" s="82" t="s">
        <v>15804</v>
      </c>
      <c r="BC376" s="82" t="s">
        <v>14543</v>
      </c>
      <c r="BD376" s="77">
        <v>15514372</v>
      </c>
      <c r="BE376" s="77"/>
      <c r="BF376" s="77"/>
      <c r="BG376" s="77"/>
      <c r="BH376" s="77"/>
      <c r="BI376" s="77"/>
    </row>
    <row r="377" spans="1:61" x14ac:dyDescent="0.25">
      <c r="A377" s="62" t="s">
        <v>347</v>
      </c>
      <c r="B377" s="62" t="s">
        <v>420</v>
      </c>
      <c r="C377" s="63"/>
      <c r="D377" s="64"/>
      <c r="E377" s="65"/>
      <c r="F377" s="66"/>
      <c r="G377" s="63"/>
      <c r="H377" s="67"/>
      <c r="I377" s="68"/>
      <c r="J377" s="68"/>
      <c r="K377" s="32"/>
      <c r="L377" s="75">
        <v>377</v>
      </c>
      <c r="M377" s="75"/>
      <c r="N377" s="70"/>
      <c r="O377" s="77" t="s">
        <v>1135</v>
      </c>
      <c r="P377" s="79">
        <v>44992.600729166668</v>
      </c>
      <c r="Q377" s="77" t="s">
        <v>1487</v>
      </c>
      <c r="R377" s="77">
        <v>0</v>
      </c>
      <c r="S377" s="77">
        <v>0</v>
      </c>
      <c r="T377" s="77">
        <v>0</v>
      </c>
      <c r="U377" s="77">
        <v>0</v>
      </c>
      <c r="V377" s="77">
        <v>65</v>
      </c>
      <c r="W377" s="82" t="s">
        <v>4300</v>
      </c>
      <c r="X377" s="77"/>
      <c r="Y377" s="77"/>
      <c r="Z377" s="77"/>
      <c r="AA377" s="77"/>
      <c r="AB377" s="77"/>
      <c r="AC377" s="82" t="s">
        <v>7705</v>
      </c>
      <c r="AD377" s="77" t="s">
        <v>7748</v>
      </c>
      <c r="AE377" s="80" t="str">
        <f>HYPERLINK("https://twitter.com/anderson77i/status/1633111524238655488")</f>
        <v>https://twitter.com/anderson77i/status/1633111524238655488</v>
      </c>
      <c r="AF377" s="79">
        <v>44992.600729166668</v>
      </c>
      <c r="AG377" s="85">
        <v>44992</v>
      </c>
      <c r="AH377" s="82" t="s">
        <v>8118</v>
      </c>
      <c r="AI377" s="77"/>
      <c r="AJ377" s="77"/>
      <c r="AK377" s="77"/>
      <c r="AL377" s="77"/>
      <c r="AM377" s="77"/>
      <c r="AN377" s="77"/>
      <c r="AO377" s="77"/>
      <c r="AP377" s="77"/>
      <c r="AQ377" s="77"/>
      <c r="AR377" s="77"/>
      <c r="AS377" s="77"/>
      <c r="AT377" s="77"/>
      <c r="AU377" s="77"/>
      <c r="AV377" s="80" t="str">
        <f>HYPERLINK("https://pbs.twimg.com/profile_images/1240403189016469505/sNkpq40K_normal.jpg")</f>
        <v>https://pbs.twimg.com/profile_images/1240403189016469505/sNkpq40K_normal.jpg</v>
      </c>
      <c r="AW377" s="82" t="s">
        <v>12572</v>
      </c>
      <c r="AX377" s="82" t="s">
        <v>12572</v>
      </c>
      <c r="AY377" s="77"/>
      <c r="AZ377" s="82" t="s">
        <v>15804</v>
      </c>
      <c r="BA377" s="82" t="s">
        <v>13817</v>
      </c>
      <c r="BB377" s="82" t="s">
        <v>15804</v>
      </c>
      <c r="BC377" s="82" t="s">
        <v>13817</v>
      </c>
      <c r="BD377" s="77">
        <v>15514372</v>
      </c>
      <c r="BE377" s="77"/>
      <c r="BF377" s="77"/>
      <c r="BG377" s="77"/>
      <c r="BH377" s="77"/>
      <c r="BI377" s="77"/>
    </row>
    <row r="378" spans="1:61" x14ac:dyDescent="0.25">
      <c r="A378" s="62" t="s">
        <v>348</v>
      </c>
      <c r="B378" s="62" t="s">
        <v>348</v>
      </c>
      <c r="C378" s="63"/>
      <c r="D378" s="64"/>
      <c r="E378" s="65"/>
      <c r="F378" s="66"/>
      <c r="G378" s="63"/>
      <c r="H378" s="67"/>
      <c r="I378" s="68"/>
      <c r="J378" s="68"/>
      <c r="K378" s="32"/>
      <c r="L378" s="75">
        <v>378</v>
      </c>
      <c r="M378" s="75"/>
      <c r="N378" s="70"/>
      <c r="O378" s="77" t="s">
        <v>1132</v>
      </c>
      <c r="P378" s="79">
        <v>45165.553518518522</v>
      </c>
      <c r="Q378" s="77" t="s">
        <v>1488</v>
      </c>
      <c r="R378" s="77">
        <v>0</v>
      </c>
      <c r="S378" s="77">
        <v>1</v>
      </c>
      <c r="T378" s="77">
        <v>0</v>
      </c>
      <c r="U378" s="77">
        <v>0</v>
      </c>
      <c r="V378" s="77">
        <v>2</v>
      </c>
      <c r="W378" s="82" t="s">
        <v>4301</v>
      </c>
      <c r="X378" s="77"/>
      <c r="Y378" s="77"/>
      <c r="Z378" s="77"/>
      <c r="AA378" s="77" t="s">
        <v>6309</v>
      </c>
      <c r="AB378" s="77" t="s">
        <v>7697</v>
      </c>
      <c r="AC378" s="82" t="s">
        <v>7707</v>
      </c>
      <c r="AD378" s="77" t="s">
        <v>7745</v>
      </c>
      <c r="AE378" s="80" t="str">
        <f>HYPERLINK("https://twitter.com/tiago_roberto_/status/1695787513665778012")</f>
        <v>https://twitter.com/tiago_roberto_/status/1695787513665778012</v>
      </c>
      <c r="AF378" s="79">
        <v>45165.553518518522</v>
      </c>
      <c r="AG378" s="85">
        <v>45165</v>
      </c>
      <c r="AH378" s="82" t="s">
        <v>8119</v>
      </c>
      <c r="AI378" s="77" t="b">
        <v>0</v>
      </c>
      <c r="AJ378" s="77" t="s">
        <v>10527</v>
      </c>
      <c r="AK378" s="77" t="s">
        <v>10552</v>
      </c>
      <c r="AL378" s="77" t="s">
        <v>10555</v>
      </c>
      <c r="AM378" s="77" t="s">
        <v>10564</v>
      </c>
      <c r="AN378" s="77" t="s">
        <v>10594</v>
      </c>
      <c r="AO378" s="77" t="s">
        <v>10625</v>
      </c>
      <c r="AP378" s="77" t="s">
        <v>10649</v>
      </c>
      <c r="AQ378" s="77" t="s">
        <v>10816</v>
      </c>
      <c r="AR378" s="77">
        <v>9971</v>
      </c>
      <c r="AS378" s="77"/>
      <c r="AT378" s="77"/>
      <c r="AU378" s="77">
        <v>1</v>
      </c>
      <c r="AV378" s="80" t="str">
        <f>HYPERLINK("https://pbs.twimg.com/ext_tw_video_thumb/1695787472104402945/pu/img/TtQ4YZo3vr7VV2UO.jpg")</f>
        <v>https://pbs.twimg.com/ext_tw_video_thumb/1695787472104402945/pu/img/TtQ4YZo3vr7VV2UO.jpg</v>
      </c>
      <c r="AW378" s="82" t="s">
        <v>12573</v>
      </c>
      <c r="AX378" s="82" t="s">
        <v>15269</v>
      </c>
      <c r="AY378" s="82" t="s">
        <v>15695</v>
      </c>
      <c r="AZ378" s="82" t="s">
        <v>15839</v>
      </c>
      <c r="BA378" s="82" t="s">
        <v>15804</v>
      </c>
      <c r="BB378" s="82" t="s">
        <v>15804</v>
      </c>
      <c r="BC378" s="82" t="s">
        <v>15839</v>
      </c>
      <c r="BD378" s="82" t="s">
        <v>15695</v>
      </c>
      <c r="BE378" s="77"/>
      <c r="BF378" s="77"/>
      <c r="BG378" s="77"/>
      <c r="BH378" s="77"/>
      <c r="BI378" s="77"/>
    </row>
    <row r="379" spans="1:61" x14ac:dyDescent="0.25">
      <c r="A379" s="62" t="s">
        <v>349</v>
      </c>
      <c r="B379" s="62" t="s">
        <v>349</v>
      </c>
      <c r="C379" s="63"/>
      <c r="D379" s="64"/>
      <c r="E379" s="65"/>
      <c r="F379" s="66"/>
      <c r="G379" s="63"/>
      <c r="H379" s="67"/>
      <c r="I379" s="68"/>
      <c r="J379" s="68"/>
      <c r="K379" s="32"/>
      <c r="L379" s="75">
        <v>379</v>
      </c>
      <c r="M379" s="75"/>
      <c r="N379" s="70"/>
      <c r="O379" s="77" t="s">
        <v>179</v>
      </c>
      <c r="P379" s="79">
        <v>44945.712546296294</v>
      </c>
      <c r="Q379" s="77" t="s">
        <v>1489</v>
      </c>
      <c r="R379" s="77">
        <v>0</v>
      </c>
      <c r="S379" s="77">
        <v>0</v>
      </c>
      <c r="T379" s="77">
        <v>0</v>
      </c>
      <c r="U379" s="77">
        <v>0</v>
      </c>
      <c r="V379" s="77">
        <v>2</v>
      </c>
      <c r="W379" s="82" t="s">
        <v>4302</v>
      </c>
      <c r="X379" s="80" t="str">
        <f>HYPERLINK("https://www.youtube.com/watch?v=bjLhbf7e5Gs&amp;t=367s")</f>
        <v>https://www.youtube.com/watch?v=bjLhbf7e5Gs&amp;t=367s</v>
      </c>
      <c r="Y379" s="77" t="s">
        <v>6006</v>
      </c>
      <c r="Z379" s="77"/>
      <c r="AA379" s="77"/>
      <c r="AB379" s="77"/>
      <c r="AC379" s="82" t="s">
        <v>7706</v>
      </c>
      <c r="AD379" s="77" t="s">
        <v>7745</v>
      </c>
      <c r="AE379" s="80" t="str">
        <f>HYPERLINK("https://twitter.com/pdentroassunto/status/1616119812647796739")</f>
        <v>https://twitter.com/pdentroassunto/status/1616119812647796739</v>
      </c>
      <c r="AF379" s="79">
        <v>44945.712546296294</v>
      </c>
      <c r="AG379" s="85">
        <v>44945</v>
      </c>
      <c r="AH379" s="82" t="s">
        <v>8120</v>
      </c>
      <c r="AI379" s="77" t="b">
        <v>0</v>
      </c>
      <c r="AJ379" s="77"/>
      <c r="AK379" s="77"/>
      <c r="AL379" s="77"/>
      <c r="AM379" s="77"/>
      <c r="AN379" s="77"/>
      <c r="AO379" s="77"/>
      <c r="AP379" s="77"/>
      <c r="AQ379" s="77"/>
      <c r="AR379" s="77"/>
      <c r="AS379" s="77"/>
      <c r="AT379" s="77"/>
      <c r="AU379" s="77"/>
      <c r="AV379" s="80" t="str">
        <f>HYPERLINK("https://pbs.twimg.com/profile_images/1616103084849070081/jTS84e5l_normal.jpg")</f>
        <v>https://pbs.twimg.com/profile_images/1616103084849070081/jTS84e5l_normal.jpg</v>
      </c>
      <c r="AW379" s="82" t="s">
        <v>12574</v>
      </c>
      <c r="AX379" s="82" t="s">
        <v>12574</v>
      </c>
      <c r="AY379" s="77"/>
      <c r="AZ379" s="82" t="s">
        <v>15804</v>
      </c>
      <c r="BA379" s="82" t="s">
        <v>15804</v>
      </c>
      <c r="BB379" s="82" t="s">
        <v>15804</v>
      </c>
      <c r="BC379" s="82" t="s">
        <v>12574</v>
      </c>
      <c r="BD379" s="82" t="s">
        <v>16207</v>
      </c>
      <c r="BE379" s="77"/>
      <c r="BF379" s="77"/>
      <c r="BG379" s="77"/>
      <c r="BH379" s="77"/>
      <c r="BI379" s="77"/>
    </row>
    <row r="380" spans="1:61" x14ac:dyDescent="0.25">
      <c r="A380" s="62" t="s">
        <v>350</v>
      </c>
      <c r="B380" s="62" t="s">
        <v>350</v>
      </c>
      <c r="C380" s="63"/>
      <c r="D380" s="64"/>
      <c r="E380" s="65"/>
      <c r="F380" s="66"/>
      <c r="G380" s="63"/>
      <c r="H380" s="67"/>
      <c r="I380" s="68"/>
      <c r="J380" s="68"/>
      <c r="K380" s="32"/>
      <c r="L380" s="75">
        <v>380</v>
      </c>
      <c r="M380" s="75"/>
      <c r="N380" s="70"/>
      <c r="O380" s="77" t="s">
        <v>1132</v>
      </c>
      <c r="P380" s="79">
        <v>45135.784085648149</v>
      </c>
      <c r="Q380" s="77" t="s">
        <v>1490</v>
      </c>
      <c r="R380" s="77">
        <v>0</v>
      </c>
      <c r="S380" s="77">
        <v>0</v>
      </c>
      <c r="T380" s="77">
        <v>1</v>
      </c>
      <c r="U380" s="77">
        <v>0</v>
      </c>
      <c r="V380" s="77">
        <v>10</v>
      </c>
      <c r="W380" s="82" t="s">
        <v>4105</v>
      </c>
      <c r="X380" s="77"/>
      <c r="Y380" s="77"/>
      <c r="Z380" s="77"/>
      <c r="AA380" s="77"/>
      <c r="AB380" s="77"/>
      <c r="AC380" s="82" t="s">
        <v>7706</v>
      </c>
      <c r="AD380" s="77" t="s">
        <v>7745</v>
      </c>
      <c r="AE380" s="80" t="str">
        <f>HYPERLINK("https://twitter.com/oluizbaur/status/1684999435623772160")</f>
        <v>https://twitter.com/oluizbaur/status/1684999435623772160</v>
      </c>
      <c r="AF380" s="79">
        <v>45135.784085648149</v>
      </c>
      <c r="AG380" s="85">
        <v>45135</v>
      </c>
      <c r="AH380" s="82" t="s">
        <v>8121</v>
      </c>
      <c r="AI380" s="77"/>
      <c r="AJ380" s="77"/>
      <c r="AK380" s="77"/>
      <c r="AL380" s="77"/>
      <c r="AM380" s="77"/>
      <c r="AN380" s="77"/>
      <c r="AO380" s="77"/>
      <c r="AP380" s="77"/>
      <c r="AQ380" s="77"/>
      <c r="AR380" s="77"/>
      <c r="AS380" s="77"/>
      <c r="AT380" s="77"/>
      <c r="AU380" s="77"/>
      <c r="AV380" s="80" t="str">
        <f>HYPERLINK("https://pbs.twimg.com/profile_images/1328021585350025217/H4jzJqXW_normal.jpg")</f>
        <v>https://pbs.twimg.com/profile_images/1328021585350025217/H4jzJqXW_normal.jpg</v>
      </c>
      <c r="AW380" s="82" t="s">
        <v>12575</v>
      </c>
      <c r="AX380" s="82" t="s">
        <v>12576</v>
      </c>
      <c r="AY380" s="82" t="s">
        <v>15696</v>
      </c>
      <c r="AZ380" s="82" t="s">
        <v>15840</v>
      </c>
      <c r="BA380" s="82" t="s">
        <v>15804</v>
      </c>
      <c r="BB380" s="82" t="s">
        <v>15804</v>
      </c>
      <c r="BC380" s="82" t="s">
        <v>15840</v>
      </c>
      <c r="BD380" s="77">
        <v>1731964476</v>
      </c>
      <c r="BE380" s="77"/>
      <c r="BF380" s="77"/>
      <c r="BG380" s="77"/>
      <c r="BH380" s="77"/>
      <c r="BI380" s="77"/>
    </row>
    <row r="381" spans="1:61" x14ac:dyDescent="0.25">
      <c r="A381" s="62" t="s">
        <v>350</v>
      </c>
      <c r="B381" s="62" t="s">
        <v>350</v>
      </c>
      <c r="C381" s="63"/>
      <c r="D381" s="64"/>
      <c r="E381" s="65"/>
      <c r="F381" s="66"/>
      <c r="G381" s="63"/>
      <c r="H381" s="67"/>
      <c r="I381" s="68"/>
      <c r="J381" s="68"/>
      <c r="K381" s="32"/>
      <c r="L381" s="75">
        <v>381</v>
      </c>
      <c r="M381" s="75"/>
      <c r="N381" s="70"/>
      <c r="O381" s="77" t="s">
        <v>179</v>
      </c>
      <c r="P381" s="79">
        <v>45135.784074074072</v>
      </c>
      <c r="Q381" s="77" t="s">
        <v>1491</v>
      </c>
      <c r="R381" s="77">
        <v>0</v>
      </c>
      <c r="S381" s="77">
        <v>0</v>
      </c>
      <c r="T381" s="77">
        <v>1</v>
      </c>
      <c r="U381" s="77">
        <v>0</v>
      </c>
      <c r="V381" s="77">
        <v>16</v>
      </c>
      <c r="W381" s="82" t="s">
        <v>4303</v>
      </c>
      <c r="X381" s="77"/>
      <c r="Y381" s="77"/>
      <c r="Z381" s="77"/>
      <c r="AA381" s="77"/>
      <c r="AB381" s="77"/>
      <c r="AC381" s="82" t="s">
        <v>7706</v>
      </c>
      <c r="AD381" s="77" t="s">
        <v>7745</v>
      </c>
      <c r="AE381" s="80" t="str">
        <f>HYPERLINK("https://twitter.com/oluizbaur/status/1684999428183035904")</f>
        <v>https://twitter.com/oluizbaur/status/1684999428183035904</v>
      </c>
      <c r="AF381" s="79">
        <v>45135.784074074072</v>
      </c>
      <c r="AG381" s="85">
        <v>45135</v>
      </c>
      <c r="AH381" s="82" t="s">
        <v>8122</v>
      </c>
      <c r="AI381" s="77"/>
      <c r="AJ381" s="77"/>
      <c r="AK381" s="77"/>
      <c r="AL381" s="77"/>
      <c r="AM381" s="77"/>
      <c r="AN381" s="77"/>
      <c r="AO381" s="77"/>
      <c r="AP381" s="77"/>
      <c r="AQ381" s="77"/>
      <c r="AR381" s="77"/>
      <c r="AS381" s="77"/>
      <c r="AT381" s="77"/>
      <c r="AU381" s="77"/>
      <c r="AV381" s="80" t="str">
        <f>HYPERLINK("https://pbs.twimg.com/profile_images/1328021585350025217/H4jzJqXW_normal.jpg")</f>
        <v>https://pbs.twimg.com/profile_images/1328021585350025217/H4jzJqXW_normal.jpg</v>
      </c>
      <c r="AW381" s="82" t="s">
        <v>12576</v>
      </c>
      <c r="AX381" s="82" t="s">
        <v>12576</v>
      </c>
      <c r="AY381" s="77"/>
      <c r="AZ381" s="82" t="s">
        <v>15804</v>
      </c>
      <c r="BA381" s="82" t="s">
        <v>15804</v>
      </c>
      <c r="BB381" s="82" t="s">
        <v>15804</v>
      </c>
      <c r="BC381" s="82" t="s">
        <v>12576</v>
      </c>
      <c r="BD381" s="77">
        <v>1731964476</v>
      </c>
      <c r="BE381" s="77"/>
      <c r="BF381" s="77"/>
      <c r="BG381" s="77"/>
      <c r="BH381" s="77"/>
      <c r="BI381" s="77"/>
    </row>
    <row r="382" spans="1:61" x14ac:dyDescent="0.25">
      <c r="A382" s="62" t="s">
        <v>351</v>
      </c>
      <c r="B382" s="62" t="s">
        <v>351</v>
      </c>
      <c r="C382" s="63"/>
      <c r="D382" s="64"/>
      <c r="E382" s="65"/>
      <c r="F382" s="66"/>
      <c r="G382" s="63"/>
      <c r="H382" s="67"/>
      <c r="I382" s="68"/>
      <c r="J382" s="68"/>
      <c r="K382" s="32"/>
      <c r="L382" s="75">
        <v>382</v>
      </c>
      <c r="M382" s="75"/>
      <c r="N382" s="70"/>
      <c r="O382" s="77" t="s">
        <v>179</v>
      </c>
      <c r="P382" s="79">
        <v>44981.887106481481</v>
      </c>
      <c r="Q382" s="77" t="s">
        <v>1492</v>
      </c>
      <c r="R382" s="77">
        <v>0</v>
      </c>
      <c r="S382" s="77">
        <v>0</v>
      </c>
      <c r="T382" s="77">
        <v>0</v>
      </c>
      <c r="U382" s="77">
        <v>0</v>
      </c>
      <c r="V382" s="77">
        <v>13</v>
      </c>
      <c r="W382" s="82" t="s">
        <v>4304</v>
      </c>
      <c r="X382" s="80" t="str">
        <f>HYPERLINK("https://instagr.am/p/CpDzdR0vfWt/")</f>
        <v>https://instagr.am/p/CpDzdR0vfWt/</v>
      </c>
      <c r="Y382" s="77" t="s">
        <v>6022</v>
      </c>
      <c r="Z382" s="77"/>
      <c r="AA382" s="77" t="s">
        <v>6310</v>
      </c>
      <c r="AB382" s="77" t="s">
        <v>7696</v>
      </c>
      <c r="AC382" s="82" t="s">
        <v>7719</v>
      </c>
      <c r="AD382" s="77" t="s">
        <v>7745</v>
      </c>
      <c r="AE382" s="80" t="str">
        <f>HYPERLINK("https://twitter.com/gosto_disto/status/1629229036923674624")</f>
        <v>https://twitter.com/gosto_disto/status/1629229036923674624</v>
      </c>
      <c r="AF382" s="79">
        <v>44981.887106481481</v>
      </c>
      <c r="AG382" s="85">
        <v>44981</v>
      </c>
      <c r="AH382" s="82" t="s">
        <v>8123</v>
      </c>
      <c r="AI382" s="77" t="b">
        <v>0</v>
      </c>
      <c r="AJ382" s="77"/>
      <c r="AK382" s="77"/>
      <c r="AL382" s="77"/>
      <c r="AM382" s="77"/>
      <c r="AN382" s="77"/>
      <c r="AO382" s="77"/>
      <c r="AP382" s="77"/>
      <c r="AQ382" s="77" t="s">
        <v>10817</v>
      </c>
      <c r="AR382" s="77"/>
      <c r="AS382" s="77"/>
      <c r="AT382" s="77"/>
      <c r="AU382" s="77"/>
      <c r="AV382" s="80" t="str">
        <f>HYPERLINK("https://pbs.twimg.com/media/FpwvLPRXsAA5WPt.jpg")</f>
        <v>https://pbs.twimg.com/media/FpwvLPRXsAA5WPt.jpg</v>
      </c>
      <c r="AW382" s="82" t="s">
        <v>12577</v>
      </c>
      <c r="AX382" s="82" t="s">
        <v>12577</v>
      </c>
      <c r="AY382" s="77"/>
      <c r="AZ382" s="82" t="s">
        <v>15804</v>
      </c>
      <c r="BA382" s="82" t="s">
        <v>15804</v>
      </c>
      <c r="BB382" s="82" t="s">
        <v>15804</v>
      </c>
      <c r="BC382" s="82" t="s">
        <v>12577</v>
      </c>
      <c r="BD382" s="77">
        <v>790434666</v>
      </c>
      <c r="BE382" s="77"/>
      <c r="BF382" s="77"/>
      <c r="BG382" s="77"/>
      <c r="BH382" s="77"/>
      <c r="BI382" s="77"/>
    </row>
    <row r="383" spans="1:61" x14ac:dyDescent="0.25">
      <c r="A383" s="62" t="s">
        <v>351</v>
      </c>
      <c r="B383" s="62" t="s">
        <v>351</v>
      </c>
      <c r="C383" s="63"/>
      <c r="D383" s="64"/>
      <c r="E383" s="65"/>
      <c r="F383" s="66"/>
      <c r="G383" s="63"/>
      <c r="H383" s="67"/>
      <c r="I383" s="68"/>
      <c r="J383" s="68"/>
      <c r="K383" s="32"/>
      <c r="L383" s="75">
        <v>383</v>
      </c>
      <c r="M383" s="75"/>
      <c r="N383" s="70"/>
      <c r="O383" s="77" t="s">
        <v>179</v>
      </c>
      <c r="P383" s="79">
        <v>44981.8750462963</v>
      </c>
      <c r="Q383" s="77" t="s">
        <v>1493</v>
      </c>
      <c r="R383" s="77">
        <v>0</v>
      </c>
      <c r="S383" s="77">
        <v>0</v>
      </c>
      <c r="T383" s="77">
        <v>0</v>
      </c>
      <c r="U383" s="77">
        <v>0</v>
      </c>
      <c r="V383" s="77">
        <v>10</v>
      </c>
      <c r="W383" s="82" t="s">
        <v>4304</v>
      </c>
      <c r="X383" s="80" t="str">
        <f>HYPERLINK("https://www.instagram.com/p/CpDzdR0vfWt/?igshid=YTgzYjQ4ZTY=")</f>
        <v>https://www.instagram.com/p/CpDzdR0vfWt/?igshid=YTgzYjQ4ZTY=</v>
      </c>
      <c r="Y383" s="77" t="s">
        <v>6000</v>
      </c>
      <c r="Z383" s="77"/>
      <c r="AA383" s="77"/>
      <c r="AB383" s="77"/>
      <c r="AC383" s="82" t="s">
        <v>7704</v>
      </c>
      <c r="AD383" s="77" t="s">
        <v>7745</v>
      </c>
      <c r="AE383" s="80" t="str">
        <f>HYPERLINK("https://twitter.com/gosto_disto/status/1629224666257846272")</f>
        <v>https://twitter.com/gosto_disto/status/1629224666257846272</v>
      </c>
      <c r="AF383" s="79">
        <v>44981.8750462963</v>
      </c>
      <c r="AG383" s="85">
        <v>44981</v>
      </c>
      <c r="AH383" s="82" t="s">
        <v>8124</v>
      </c>
      <c r="AI383" s="77" t="b">
        <v>0</v>
      </c>
      <c r="AJ383" s="77"/>
      <c r="AK383" s="77"/>
      <c r="AL383" s="77"/>
      <c r="AM383" s="77"/>
      <c r="AN383" s="77"/>
      <c r="AO383" s="77"/>
      <c r="AP383" s="77"/>
      <c r="AQ383" s="77"/>
      <c r="AR383" s="77"/>
      <c r="AS383" s="77"/>
      <c r="AT383" s="77"/>
      <c r="AU383" s="77"/>
      <c r="AV383" s="80" t="str">
        <f>HYPERLINK("https://pbs.twimg.com/profile_images/1600501959034912773/3IUZtp0D_normal.jpg")</f>
        <v>https://pbs.twimg.com/profile_images/1600501959034912773/3IUZtp0D_normal.jpg</v>
      </c>
      <c r="AW383" s="82" t="s">
        <v>12578</v>
      </c>
      <c r="AX383" s="82" t="s">
        <v>12578</v>
      </c>
      <c r="AY383" s="77"/>
      <c r="AZ383" s="82" t="s">
        <v>15804</v>
      </c>
      <c r="BA383" s="82" t="s">
        <v>15804</v>
      </c>
      <c r="BB383" s="82" t="s">
        <v>15804</v>
      </c>
      <c r="BC383" s="82" t="s">
        <v>12578</v>
      </c>
      <c r="BD383" s="77">
        <v>790434666</v>
      </c>
      <c r="BE383" s="77"/>
      <c r="BF383" s="77"/>
      <c r="BG383" s="77"/>
      <c r="BH383" s="77"/>
      <c r="BI383" s="77"/>
    </row>
    <row r="384" spans="1:61" x14ac:dyDescent="0.25">
      <c r="A384" s="62" t="s">
        <v>351</v>
      </c>
      <c r="B384" s="62" t="s">
        <v>351</v>
      </c>
      <c r="C384" s="63"/>
      <c r="D384" s="64"/>
      <c r="E384" s="65"/>
      <c r="F384" s="66"/>
      <c r="G384" s="63"/>
      <c r="H384" s="67"/>
      <c r="I384" s="68"/>
      <c r="J384" s="68"/>
      <c r="K384" s="32"/>
      <c r="L384" s="75">
        <v>384</v>
      </c>
      <c r="M384" s="75"/>
      <c r="N384" s="70"/>
      <c r="O384" s="77" t="s">
        <v>179</v>
      </c>
      <c r="P384" s="79">
        <v>45007.054039351853</v>
      </c>
      <c r="Q384" s="77" t="s">
        <v>1494</v>
      </c>
      <c r="R384" s="77">
        <v>0</v>
      </c>
      <c r="S384" s="77">
        <v>0</v>
      </c>
      <c r="T384" s="77">
        <v>0</v>
      </c>
      <c r="U384" s="77">
        <v>0</v>
      </c>
      <c r="V384" s="77">
        <v>22</v>
      </c>
      <c r="W384" s="82" t="s">
        <v>4305</v>
      </c>
      <c r="X384" s="80" t="str">
        <f>HYPERLINK("https://instagr.am/p/CqEjPzXMB9r/")</f>
        <v>https://instagr.am/p/CqEjPzXMB9r/</v>
      </c>
      <c r="Y384" s="77" t="s">
        <v>6022</v>
      </c>
      <c r="Z384" s="77"/>
      <c r="AA384" s="77" t="s">
        <v>6311</v>
      </c>
      <c r="AB384" s="77" t="s">
        <v>7696</v>
      </c>
      <c r="AC384" s="82" t="s">
        <v>7719</v>
      </c>
      <c r="AD384" s="77" t="s">
        <v>7745</v>
      </c>
      <c r="AE384" s="80" t="str">
        <f>HYPERLINK("https://twitter.com/gosto_disto/status/1638349225892225025")</f>
        <v>https://twitter.com/gosto_disto/status/1638349225892225025</v>
      </c>
      <c r="AF384" s="79">
        <v>45007.054039351853</v>
      </c>
      <c r="AG384" s="85">
        <v>45007</v>
      </c>
      <c r="AH384" s="82" t="s">
        <v>8125</v>
      </c>
      <c r="AI384" s="77" t="b">
        <v>0</v>
      </c>
      <c r="AJ384" s="77"/>
      <c r="AK384" s="77"/>
      <c r="AL384" s="77"/>
      <c r="AM384" s="77"/>
      <c r="AN384" s="77"/>
      <c r="AO384" s="77"/>
      <c r="AP384" s="77"/>
      <c r="AQ384" s="77" t="s">
        <v>10818</v>
      </c>
      <c r="AR384" s="77"/>
      <c r="AS384" s="77"/>
      <c r="AT384" s="77"/>
      <c r="AU384" s="77"/>
      <c r="AV384" s="80" t="str">
        <f>HYPERLINK("https://pbs.twimg.com/media/FryV8G8WAAAl0VK.jpg")</f>
        <v>https://pbs.twimg.com/media/FryV8G8WAAAl0VK.jpg</v>
      </c>
      <c r="AW384" s="82" t="s">
        <v>12579</v>
      </c>
      <c r="AX384" s="82" t="s">
        <v>12579</v>
      </c>
      <c r="AY384" s="77"/>
      <c r="AZ384" s="82" t="s">
        <v>15804</v>
      </c>
      <c r="BA384" s="82" t="s">
        <v>15804</v>
      </c>
      <c r="BB384" s="82" t="s">
        <v>15804</v>
      </c>
      <c r="BC384" s="82" t="s">
        <v>12579</v>
      </c>
      <c r="BD384" s="77">
        <v>790434666</v>
      </c>
      <c r="BE384" s="77"/>
      <c r="BF384" s="77"/>
      <c r="BG384" s="77"/>
      <c r="BH384" s="77"/>
      <c r="BI384" s="77"/>
    </row>
    <row r="385" spans="1:61" x14ac:dyDescent="0.25">
      <c r="A385" s="62" t="s">
        <v>352</v>
      </c>
      <c r="B385" s="62" t="s">
        <v>352</v>
      </c>
      <c r="C385" s="63"/>
      <c r="D385" s="64"/>
      <c r="E385" s="65"/>
      <c r="F385" s="66"/>
      <c r="G385" s="63"/>
      <c r="H385" s="67"/>
      <c r="I385" s="68"/>
      <c r="J385" s="68"/>
      <c r="K385" s="32"/>
      <c r="L385" s="75">
        <v>385</v>
      </c>
      <c r="M385" s="75"/>
      <c r="N385" s="70"/>
      <c r="O385" s="77" t="s">
        <v>1132</v>
      </c>
      <c r="P385" s="79">
        <v>45027.112453703703</v>
      </c>
      <c r="Q385" s="77" t="s">
        <v>1495</v>
      </c>
      <c r="R385" s="77">
        <v>0</v>
      </c>
      <c r="S385" s="77">
        <v>0</v>
      </c>
      <c r="T385" s="77">
        <v>0</v>
      </c>
      <c r="U385" s="77">
        <v>0</v>
      </c>
      <c r="V385" s="77">
        <v>23</v>
      </c>
      <c r="W385" s="82" t="s">
        <v>4306</v>
      </c>
      <c r="X385" s="77"/>
      <c r="Y385" s="77"/>
      <c r="Z385" s="77"/>
      <c r="AA385" s="77"/>
      <c r="AB385" s="77"/>
      <c r="AC385" s="82" t="s">
        <v>7707</v>
      </c>
      <c r="AD385" s="77" t="s">
        <v>7748</v>
      </c>
      <c r="AE385" s="80" t="str">
        <f>HYPERLINK("https://twitter.com/fabi_b_amador/status/1645618153391640576")</f>
        <v>https://twitter.com/fabi_b_amador/status/1645618153391640576</v>
      </c>
      <c r="AF385" s="79">
        <v>45027.112453703703</v>
      </c>
      <c r="AG385" s="85">
        <v>45027</v>
      </c>
      <c r="AH385" s="82" t="s">
        <v>8126</v>
      </c>
      <c r="AI385" s="77"/>
      <c r="AJ385" s="77"/>
      <c r="AK385" s="77"/>
      <c r="AL385" s="77"/>
      <c r="AM385" s="77"/>
      <c r="AN385" s="77"/>
      <c r="AO385" s="77"/>
      <c r="AP385" s="77"/>
      <c r="AQ385" s="77"/>
      <c r="AR385" s="77"/>
      <c r="AS385" s="77"/>
      <c r="AT385" s="77"/>
      <c r="AU385" s="77"/>
      <c r="AV385" s="80" t="str">
        <f>HYPERLINK("https://pbs.twimg.com/profile_images/550592012849016832/hyDtvYPe_normal.jpeg")</f>
        <v>https://pbs.twimg.com/profile_images/550592012849016832/hyDtvYPe_normal.jpeg</v>
      </c>
      <c r="AW385" s="82" t="s">
        <v>12580</v>
      </c>
      <c r="AX385" s="82" t="s">
        <v>12581</v>
      </c>
      <c r="AY385" s="82" t="s">
        <v>15697</v>
      </c>
      <c r="AZ385" s="82" t="s">
        <v>12581</v>
      </c>
      <c r="BA385" s="82" t="s">
        <v>15804</v>
      </c>
      <c r="BB385" s="82" t="s">
        <v>15804</v>
      </c>
      <c r="BC385" s="82" t="s">
        <v>12581</v>
      </c>
      <c r="BD385" s="77">
        <v>2954588386</v>
      </c>
      <c r="BE385" s="77"/>
      <c r="BF385" s="77"/>
      <c r="BG385" s="77"/>
      <c r="BH385" s="77"/>
      <c r="BI385" s="77"/>
    </row>
    <row r="386" spans="1:61" x14ac:dyDescent="0.25">
      <c r="A386" s="62" t="s">
        <v>352</v>
      </c>
      <c r="B386" s="62" t="s">
        <v>352</v>
      </c>
      <c r="C386" s="63"/>
      <c r="D386" s="64"/>
      <c r="E386" s="65"/>
      <c r="F386" s="66"/>
      <c r="G386" s="63"/>
      <c r="H386" s="67"/>
      <c r="I386" s="68"/>
      <c r="J386" s="68"/>
      <c r="K386" s="32"/>
      <c r="L386" s="75">
        <v>386</v>
      </c>
      <c r="M386" s="75"/>
      <c r="N386" s="70"/>
      <c r="O386" s="77" t="s">
        <v>179</v>
      </c>
      <c r="P386" s="79">
        <v>45027.111620370371</v>
      </c>
      <c r="Q386" s="77" t="s">
        <v>1496</v>
      </c>
      <c r="R386" s="77">
        <v>0</v>
      </c>
      <c r="S386" s="77">
        <v>1</v>
      </c>
      <c r="T386" s="77">
        <v>1</v>
      </c>
      <c r="U386" s="77">
        <v>0</v>
      </c>
      <c r="V386" s="77">
        <v>41</v>
      </c>
      <c r="W386" s="82" t="s">
        <v>4307</v>
      </c>
      <c r="X386" s="80" t="str">
        <f>HYPERLINK("https://hotmart.com/pt-br/marketplace/produtos/saia-do-vermelho-um-guia-pratico-para-sair-das-dividas-e-conquistar-sua-liberdade/Q81617693C")</f>
        <v>https://hotmart.com/pt-br/marketplace/produtos/saia-do-vermelho-um-guia-pratico-para-sair-das-dividas-e-conquistar-sua-liberdade/Q81617693C</v>
      </c>
      <c r="Y386" s="77" t="s">
        <v>6023</v>
      </c>
      <c r="Z386" s="77"/>
      <c r="AA386" s="77"/>
      <c r="AB386" s="77"/>
      <c r="AC386" s="82" t="s">
        <v>7707</v>
      </c>
      <c r="AD386" s="77" t="s">
        <v>7745</v>
      </c>
      <c r="AE386" s="80" t="str">
        <f>HYPERLINK("https://twitter.com/fabi_b_amador/status/1645617852546727936")</f>
        <v>https://twitter.com/fabi_b_amador/status/1645617852546727936</v>
      </c>
      <c r="AF386" s="79">
        <v>45027.111620370371</v>
      </c>
      <c r="AG386" s="85">
        <v>45027</v>
      </c>
      <c r="AH386" s="82" t="s">
        <v>8127</v>
      </c>
      <c r="AI386" s="77" t="b">
        <v>0</v>
      </c>
      <c r="AJ386" s="77"/>
      <c r="AK386" s="77"/>
      <c r="AL386" s="77"/>
      <c r="AM386" s="77"/>
      <c r="AN386" s="77"/>
      <c r="AO386" s="77"/>
      <c r="AP386" s="77"/>
      <c r="AQ386" s="77"/>
      <c r="AR386" s="77"/>
      <c r="AS386" s="77"/>
      <c r="AT386" s="77"/>
      <c r="AU386" s="77"/>
      <c r="AV386" s="80" t="str">
        <f>HYPERLINK("https://pbs.twimg.com/profile_images/550592012849016832/hyDtvYPe_normal.jpeg")</f>
        <v>https://pbs.twimg.com/profile_images/550592012849016832/hyDtvYPe_normal.jpeg</v>
      </c>
      <c r="AW386" s="82" t="s">
        <v>12581</v>
      </c>
      <c r="AX386" s="82" t="s">
        <v>12581</v>
      </c>
      <c r="AY386" s="77"/>
      <c r="AZ386" s="82" t="s">
        <v>15804</v>
      </c>
      <c r="BA386" s="82" t="s">
        <v>15804</v>
      </c>
      <c r="BB386" s="82" t="s">
        <v>15804</v>
      </c>
      <c r="BC386" s="82" t="s">
        <v>12581</v>
      </c>
      <c r="BD386" s="77">
        <v>2954588386</v>
      </c>
      <c r="BE386" s="77"/>
      <c r="BF386" s="77"/>
      <c r="BG386" s="77"/>
      <c r="BH386" s="77"/>
      <c r="BI386" s="77"/>
    </row>
    <row r="387" spans="1:61" x14ac:dyDescent="0.25">
      <c r="A387" s="62" t="s">
        <v>353</v>
      </c>
      <c r="B387" s="62" t="s">
        <v>353</v>
      </c>
      <c r="C387" s="63"/>
      <c r="D387" s="64"/>
      <c r="E387" s="65"/>
      <c r="F387" s="66"/>
      <c r="G387" s="63"/>
      <c r="H387" s="67"/>
      <c r="I387" s="68"/>
      <c r="J387" s="68"/>
      <c r="K387" s="32"/>
      <c r="L387" s="75">
        <v>387</v>
      </c>
      <c r="M387" s="75"/>
      <c r="N387" s="70"/>
      <c r="O387" s="77" t="s">
        <v>179</v>
      </c>
      <c r="P387" s="79">
        <v>45051.500023148146</v>
      </c>
      <c r="Q387" s="77" t="s">
        <v>1497</v>
      </c>
      <c r="R387" s="77">
        <v>0</v>
      </c>
      <c r="S387" s="77">
        <v>0</v>
      </c>
      <c r="T387" s="77">
        <v>0</v>
      </c>
      <c r="U387" s="77">
        <v>0</v>
      </c>
      <c r="V387" s="77">
        <v>27</v>
      </c>
      <c r="W387" s="82" t="s">
        <v>4308</v>
      </c>
      <c r="X387" s="80" t="str">
        <f>HYPERLINK("https://www.williamhunt.com.br/segredos-dos-investimentos-para-iniciantes")</f>
        <v>https://www.williamhunt.com.br/segredos-dos-investimentos-para-iniciantes</v>
      </c>
      <c r="Y387" s="77" t="s">
        <v>6002</v>
      </c>
      <c r="Z387" s="77"/>
      <c r="AA387" s="77" t="s">
        <v>6312</v>
      </c>
      <c r="AB387" s="77" t="s">
        <v>7696</v>
      </c>
      <c r="AC387" s="82" t="s">
        <v>7706</v>
      </c>
      <c r="AD387" s="77" t="s">
        <v>7745</v>
      </c>
      <c r="AE387" s="80" t="str">
        <f>HYPERLINK("https://twitter.com/williamhuntbr/status/1654455914412531712")</f>
        <v>https://twitter.com/williamhuntbr/status/1654455914412531712</v>
      </c>
      <c r="AF387" s="79">
        <v>45051.500023148146</v>
      </c>
      <c r="AG387" s="85">
        <v>45051</v>
      </c>
      <c r="AH387" s="82" t="s">
        <v>8128</v>
      </c>
      <c r="AI387" s="77" t="b">
        <v>0</v>
      </c>
      <c r="AJ387" s="77"/>
      <c r="AK387" s="77"/>
      <c r="AL387" s="77"/>
      <c r="AM387" s="77"/>
      <c r="AN387" s="77"/>
      <c r="AO387" s="77"/>
      <c r="AP387" s="77"/>
      <c r="AQ387" s="77" t="s">
        <v>10819</v>
      </c>
      <c r="AR387" s="77"/>
      <c r="AS387" s="77"/>
      <c r="AT387" s="77"/>
      <c r="AU387" s="77"/>
      <c r="AV387" s="80" t="str">
        <f>HYPERLINK("https://pbs.twimg.com/media/FvD7DXpWcAE6BwN.jpg")</f>
        <v>https://pbs.twimg.com/media/FvD7DXpWcAE6BwN.jpg</v>
      </c>
      <c r="AW387" s="82" t="s">
        <v>12582</v>
      </c>
      <c r="AX387" s="82" t="s">
        <v>12582</v>
      </c>
      <c r="AY387" s="77"/>
      <c r="AZ387" s="82" t="s">
        <v>15804</v>
      </c>
      <c r="BA387" s="82" t="s">
        <v>15804</v>
      </c>
      <c r="BB387" s="82" t="s">
        <v>15804</v>
      </c>
      <c r="BC387" s="82" t="s">
        <v>12582</v>
      </c>
      <c r="BD387" s="82" t="s">
        <v>16208</v>
      </c>
      <c r="BE387" s="77"/>
      <c r="BF387" s="77"/>
      <c r="BG387" s="77"/>
      <c r="BH387" s="77"/>
      <c r="BI387" s="77"/>
    </row>
    <row r="388" spans="1:61" x14ac:dyDescent="0.25">
      <c r="A388" s="62" t="s">
        <v>353</v>
      </c>
      <c r="B388" s="62" t="s">
        <v>353</v>
      </c>
      <c r="C388" s="63"/>
      <c r="D388" s="64"/>
      <c r="E388" s="65"/>
      <c r="F388" s="66"/>
      <c r="G388" s="63"/>
      <c r="H388" s="67"/>
      <c r="I388" s="68"/>
      <c r="J388" s="68"/>
      <c r="K388" s="32"/>
      <c r="L388" s="75">
        <v>388</v>
      </c>
      <c r="M388" s="75"/>
      <c r="N388" s="70"/>
      <c r="O388" s="77" t="s">
        <v>179</v>
      </c>
      <c r="P388" s="79">
        <v>45042.604166666664</v>
      </c>
      <c r="Q388" s="77" t="s">
        <v>1498</v>
      </c>
      <c r="R388" s="77">
        <v>0</v>
      </c>
      <c r="S388" s="77">
        <v>0</v>
      </c>
      <c r="T388" s="77">
        <v>0</v>
      </c>
      <c r="U388" s="77">
        <v>0</v>
      </c>
      <c r="V388" s="77">
        <v>14</v>
      </c>
      <c r="W388" s="82" t="s">
        <v>4309</v>
      </c>
      <c r="X388" s="80" t="str">
        <f>HYPERLINK("https://www.williamhunt.com.br/segredos-dos-investimentos-para-iniciantes")</f>
        <v>https://www.williamhunt.com.br/segredos-dos-investimentos-para-iniciantes</v>
      </c>
      <c r="Y388" s="77" t="s">
        <v>6002</v>
      </c>
      <c r="Z388" s="77"/>
      <c r="AA388" s="77" t="s">
        <v>6313</v>
      </c>
      <c r="AB388" s="77" t="s">
        <v>7696</v>
      </c>
      <c r="AC388" s="82" t="s">
        <v>7706</v>
      </c>
      <c r="AD388" s="77" t="s">
        <v>7745</v>
      </c>
      <c r="AE388" s="80" t="str">
        <f>HYPERLINK("https://twitter.com/williamhuntbr/status/1651232162518032385")</f>
        <v>https://twitter.com/williamhuntbr/status/1651232162518032385</v>
      </c>
      <c r="AF388" s="79">
        <v>45042.604166666664</v>
      </c>
      <c r="AG388" s="85">
        <v>45042</v>
      </c>
      <c r="AH388" s="82" t="s">
        <v>8129</v>
      </c>
      <c r="AI388" s="77" t="b">
        <v>0</v>
      </c>
      <c r="AJ388" s="77"/>
      <c r="AK388" s="77"/>
      <c r="AL388" s="77"/>
      <c r="AM388" s="77"/>
      <c r="AN388" s="77"/>
      <c r="AO388" s="77"/>
      <c r="AP388" s="77"/>
      <c r="AQ388" s="77" t="s">
        <v>10820</v>
      </c>
      <c r="AR388" s="77"/>
      <c r="AS388" s="77"/>
      <c r="AT388" s="77"/>
      <c r="AU388" s="77"/>
      <c r="AV388" s="80" t="str">
        <f>HYPERLINK("https://pbs.twimg.com/media/FuLO1fPWAAQHekN.jpg")</f>
        <v>https://pbs.twimg.com/media/FuLO1fPWAAQHekN.jpg</v>
      </c>
      <c r="AW388" s="82" t="s">
        <v>12583</v>
      </c>
      <c r="AX388" s="82" t="s">
        <v>12583</v>
      </c>
      <c r="AY388" s="77"/>
      <c r="AZ388" s="82" t="s">
        <v>15804</v>
      </c>
      <c r="BA388" s="82" t="s">
        <v>15804</v>
      </c>
      <c r="BB388" s="82" t="s">
        <v>15804</v>
      </c>
      <c r="BC388" s="82" t="s">
        <v>12583</v>
      </c>
      <c r="BD388" s="82" t="s">
        <v>16208</v>
      </c>
      <c r="BE388" s="77"/>
      <c r="BF388" s="77"/>
      <c r="BG388" s="77"/>
      <c r="BH388" s="77"/>
      <c r="BI388" s="77"/>
    </row>
    <row r="389" spans="1:61" x14ac:dyDescent="0.25">
      <c r="A389" s="62" t="s">
        <v>353</v>
      </c>
      <c r="B389" s="62" t="s">
        <v>353</v>
      </c>
      <c r="C389" s="63"/>
      <c r="D389" s="64"/>
      <c r="E389" s="65"/>
      <c r="F389" s="66"/>
      <c r="G389" s="63"/>
      <c r="H389" s="67"/>
      <c r="I389" s="68"/>
      <c r="J389" s="68"/>
      <c r="K389" s="32"/>
      <c r="L389" s="75">
        <v>389</v>
      </c>
      <c r="M389" s="75"/>
      <c r="N389" s="70"/>
      <c r="O389" s="77" t="s">
        <v>179</v>
      </c>
      <c r="P389" s="79">
        <v>45033.604166666664</v>
      </c>
      <c r="Q389" s="77" t="s">
        <v>1499</v>
      </c>
      <c r="R389" s="77">
        <v>0</v>
      </c>
      <c r="S389" s="77">
        <v>0</v>
      </c>
      <c r="T389" s="77">
        <v>0</v>
      </c>
      <c r="U389" s="77">
        <v>0</v>
      </c>
      <c r="V389" s="77">
        <v>34</v>
      </c>
      <c r="W389" s="82" t="s">
        <v>4310</v>
      </c>
      <c r="X389" s="80" t="str">
        <f>HYPERLINK("http://www.williamhunt.com.br/segredos-dos-investimentos-para-iniciantes")</f>
        <v>http://www.williamhunt.com.br/segredos-dos-investimentos-para-iniciantes</v>
      </c>
      <c r="Y389" s="77" t="s">
        <v>6002</v>
      </c>
      <c r="Z389" s="77"/>
      <c r="AA389" s="77" t="s">
        <v>6314</v>
      </c>
      <c r="AB389" s="77" t="s">
        <v>7701</v>
      </c>
      <c r="AC389" s="82" t="s">
        <v>7706</v>
      </c>
      <c r="AD389" s="77" t="s">
        <v>7745</v>
      </c>
      <c r="AE389" s="80" t="str">
        <f>HYPERLINK("https://twitter.com/williamhuntbr/status/1647970671731912704")</f>
        <v>https://twitter.com/williamhuntbr/status/1647970671731912704</v>
      </c>
      <c r="AF389" s="79">
        <v>45033.604166666664</v>
      </c>
      <c r="AG389" s="85">
        <v>45033</v>
      </c>
      <c r="AH389" s="82" t="s">
        <v>8129</v>
      </c>
      <c r="AI389" s="77" t="b">
        <v>0</v>
      </c>
      <c r="AJ389" s="77"/>
      <c r="AK389" s="77"/>
      <c r="AL389" s="77"/>
      <c r="AM389" s="77"/>
      <c r="AN389" s="77"/>
      <c r="AO389" s="77"/>
      <c r="AP389" s="77"/>
      <c r="AQ389" s="77" t="s">
        <v>10821</v>
      </c>
      <c r="AR389" s="77"/>
      <c r="AS389" s="77"/>
      <c r="AT389" s="77"/>
      <c r="AU389" s="77"/>
      <c r="AV389" s="80" t="str">
        <f>HYPERLINK("https://pbs.twimg.com/media/FtdONjLWIAApxwj.jpg")</f>
        <v>https://pbs.twimg.com/media/FtdONjLWIAApxwj.jpg</v>
      </c>
      <c r="AW389" s="82" t="s">
        <v>12584</v>
      </c>
      <c r="AX389" s="82" t="s">
        <v>12584</v>
      </c>
      <c r="AY389" s="77"/>
      <c r="AZ389" s="82" t="s">
        <v>15804</v>
      </c>
      <c r="BA389" s="82" t="s">
        <v>15804</v>
      </c>
      <c r="BB389" s="82" t="s">
        <v>15804</v>
      </c>
      <c r="BC389" s="82" t="s">
        <v>12584</v>
      </c>
      <c r="BD389" s="82" t="s">
        <v>16208</v>
      </c>
      <c r="BE389" s="77"/>
      <c r="BF389" s="77"/>
      <c r="BG389" s="77"/>
      <c r="BH389" s="77"/>
      <c r="BI389" s="77"/>
    </row>
    <row r="390" spans="1:61" x14ac:dyDescent="0.25">
      <c r="A390" s="62" t="s">
        <v>353</v>
      </c>
      <c r="B390" s="62" t="s">
        <v>353</v>
      </c>
      <c r="C390" s="63"/>
      <c r="D390" s="64"/>
      <c r="E390" s="65"/>
      <c r="F390" s="66"/>
      <c r="G390" s="63"/>
      <c r="H390" s="67"/>
      <c r="I390" s="68"/>
      <c r="J390" s="68"/>
      <c r="K390" s="32"/>
      <c r="L390" s="75">
        <v>390</v>
      </c>
      <c r="M390" s="75"/>
      <c r="N390" s="70"/>
      <c r="O390" s="77" t="s">
        <v>179</v>
      </c>
      <c r="P390" s="79">
        <v>44935.505208333336</v>
      </c>
      <c r="Q390" s="77" t="s">
        <v>1500</v>
      </c>
      <c r="R390" s="77">
        <v>0</v>
      </c>
      <c r="S390" s="77">
        <v>0</v>
      </c>
      <c r="T390" s="77">
        <v>0</v>
      </c>
      <c r="U390" s="77">
        <v>0</v>
      </c>
      <c r="V390" s="77">
        <v>34</v>
      </c>
      <c r="W390" s="82" t="s">
        <v>4311</v>
      </c>
      <c r="X390" s="80" t="str">
        <f>HYPERLINK("http://williamhunt.com.br/segredos-dos-investimentos-para-iniciantes")</f>
        <v>http://williamhunt.com.br/segredos-dos-investimentos-para-iniciantes</v>
      </c>
      <c r="Y390" s="77" t="s">
        <v>6002</v>
      </c>
      <c r="Z390" s="77"/>
      <c r="AA390" s="77" t="s">
        <v>6315</v>
      </c>
      <c r="AB390" s="77" t="s">
        <v>7696</v>
      </c>
      <c r="AC390" s="82" t="s">
        <v>7706</v>
      </c>
      <c r="AD390" s="77" t="s">
        <v>7745</v>
      </c>
      <c r="AE390" s="80" t="str">
        <f>HYPERLINK("https://twitter.com/williamhuntbr/status/1612420799830556675")</f>
        <v>https://twitter.com/williamhuntbr/status/1612420799830556675</v>
      </c>
      <c r="AF390" s="79">
        <v>44935.505208333336</v>
      </c>
      <c r="AG390" s="85">
        <v>44935</v>
      </c>
      <c r="AH390" s="82" t="s">
        <v>8130</v>
      </c>
      <c r="AI390" s="77" t="b">
        <v>0</v>
      </c>
      <c r="AJ390" s="77"/>
      <c r="AK390" s="77"/>
      <c r="AL390" s="77"/>
      <c r="AM390" s="77"/>
      <c r="AN390" s="77"/>
      <c r="AO390" s="77"/>
      <c r="AP390" s="77"/>
      <c r="AQ390" s="77" t="s">
        <v>10822</v>
      </c>
      <c r="AR390" s="77"/>
      <c r="AS390" s="77"/>
      <c r="AT390" s="77"/>
      <c r="AU390" s="77"/>
      <c r="AV390" s="80" t="str">
        <f>HYPERLINK("https://pbs.twimg.com/media/FmB4IJ3XoAAiVEN.jpg")</f>
        <v>https://pbs.twimg.com/media/FmB4IJ3XoAAiVEN.jpg</v>
      </c>
      <c r="AW390" s="82" t="s">
        <v>12585</v>
      </c>
      <c r="AX390" s="82" t="s">
        <v>12585</v>
      </c>
      <c r="AY390" s="77"/>
      <c r="AZ390" s="82" t="s">
        <v>15804</v>
      </c>
      <c r="BA390" s="82" t="s">
        <v>15804</v>
      </c>
      <c r="BB390" s="82" t="s">
        <v>15804</v>
      </c>
      <c r="BC390" s="82" t="s">
        <v>12585</v>
      </c>
      <c r="BD390" s="82" t="s">
        <v>16208</v>
      </c>
      <c r="BE390" s="77"/>
      <c r="BF390" s="77"/>
      <c r="BG390" s="77"/>
      <c r="BH390" s="77"/>
      <c r="BI390" s="77"/>
    </row>
    <row r="391" spans="1:61" x14ac:dyDescent="0.25">
      <c r="A391" s="62" t="s">
        <v>353</v>
      </c>
      <c r="B391" s="62" t="s">
        <v>353</v>
      </c>
      <c r="C391" s="63"/>
      <c r="D391" s="64"/>
      <c r="E391" s="65"/>
      <c r="F391" s="66"/>
      <c r="G391" s="63"/>
      <c r="H391" s="67"/>
      <c r="I391" s="68"/>
      <c r="J391" s="68"/>
      <c r="K391" s="32"/>
      <c r="L391" s="75">
        <v>391</v>
      </c>
      <c r="M391" s="75"/>
      <c r="N391" s="70"/>
      <c r="O391" s="77" t="s">
        <v>179</v>
      </c>
      <c r="P391" s="79">
        <v>45070.500034722223</v>
      </c>
      <c r="Q391" s="77" t="s">
        <v>1501</v>
      </c>
      <c r="R391" s="77">
        <v>0</v>
      </c>
      <c r="S391" s="77">
        <v>0</v>
      </c>
      <c r="T391" s="77">
        <v>0</v>
      </c>
      <c r="U391" s="77">
        <v>0</v>
      </c>
      <c r="V391" s="77">
        <v>37</v>
      </c>
      <c r="W391" s="82" t="s">
        <v>4312</v>
      </c>
      <c r="X391" s="80" t="str">
        <f>HYPERLINK("https://www.williamhunt.com.br/segredos-dos-investimentos-para-iniciantes")</f>
        <v>https://www.williamhunt.com.br/segredos-dos-investimentos-para-iniciantes</v>
      </c>
      <c r="Y391" s="77" t="s">
        <v>6002</v>
      </c>
      <c r="Z391" s="77"/>
      <c r="AA391" s="77" t="s">
        <v>6316</v>
      </c>
      <c r="AB391" s="77" t="s">
        <v>7696</v>
      </c>
      <c r="AC391" s="82" t="s">
        <v>7706</v>
      </c>
      <c r="AD391" s="77" t="s">
        <v>7745</v>
      </c>
      <c r="AE391" s="80" t="str">
        <f>HYPERLINK("https://twitter.com/williamhuntbr/status/1661341286782337025")</f>
        <v>https://twitter.com/williamhuntbr/status/1661341286782337025</v>
      </c>
      <c r="AF391" s="79">
        <v>45070.500034722223</v>
      </c>
      <c r="AG391" s="85">
        <v>45070</v>
      </c>
      <c r="AH391" s="82" t="s">
        <v>8131</v>
      </c>
      <c r="AI391" s="77" t="b">
        <v>0</v>
      </c>
      <c r="AJ391" s="77"/>
      <c r="AK391" s="77"/>
      <c r="AL391" s="77"/>
      <c r="AM391" s="77"/>
      <c r="AN391" s="77"/>
      <c r="AO391" s="77"/>
      <c r="AP391" s="77"/>
      <c r="AQ391" s="77" t="s">
        <v>10823</v>
      </c>
      <c r="AR391" s="77"/>
      <c r="AS391" s="77"/>
      <c r="AT391" s="77"/>
      <c r="AU391" s="77"/>
      <c r="AV391" s="80" t="str">
        <f>HYPERLINK("https://pbs.twimg.com/media/Fwhl-lfWIAMqoP4.jpg")</f>
        <v>https://pbs.twimg.com/media/Fwhl-lfWIAMqoP4.jpg</v>
      </c>
      <c r="AW391" s="82" t="s">
        <v>12586</v>
      </c>
      <c r="AX391" s="82" t="s">
        <v>12586</v>
      </c>
      <c r="AY391" s="77"/>
      <c r="AZ391" s="82" t="s">
        <v>15804</v>
      </c>
      <c r="BA391" s="82" t="s">
        <v>15804</v>
      </c>
      <c r="BB391" s="82" t="s">
        <v>15804</v>
      </c>
      <c r="BC391" s="82" t="s">
        <v>12586</v>
      </c>
      <c r="BD391" s="82" t="s">
        <v>16208</v>
      </c>
      <c r="BE391" s="77"/>
      <c r="BF391" s="77"/>
      <c r="BG391" s="77"/>
      <c r="BH391" s="77"/>
      <c r="BI391" s="77"/>
    </row>
    <row r="392" spans="1:61" x14ac:dyDescent="0.25">
      <c r="A392" s="62" t="s">
        <v>353</v>
      </c>
      <c r="B392" s="62" t="s">
        <v>353</v>
      </c>
      <c r="C392" s="63"/>
      <c r="D392" s="64"/>
      <c r="E392" s="65"/>
      <c r="F392" s="66"/>
      <c r="G392" s="63"/>
      <c r="H392" s="67"/>
      <c r="I392" s="68"/>
      <c r="J392" s="68"/>
      <c r="K392" s="32"/>
      <c r="L392" s="75">
        <v>392</v>
      </c>
      <c r="M392" s="75"/>
      <c r="N392" s="70"/>
      <c r="O392" s="77" t="s">
        <v>179</v>
      </c>
      <c r="P392" s="79">
        <v>45044.604166666664</v>
      </c>
      <c r="Q392" s="77" t="s">
        <v>1502</v>
      </c>
      <c r="R392" s="77">
        <v>0</v>
      </c>
      <c r="S392" s="77">
        <v>0</v>
      </c>
      <c r="T392" s="77">
        <v>0</v>
      </c>
      <c r="U392" s="77">
        <v>0</v>
      </c>
      <c r="V392" s="77">
        <v>16</v>
      </c>
      <c r="W392" s="82" t="s">
        <v>4313</v>
      </c>
      <c r="X392" s="80" t="str">
        <f>HYPERLINK("https://www.williamhunt.com.br/segredos-dos-investimentos-para-iniciantes")</f>
        <v>https://www.williamhunt.com.br/segredos-dos-investimentos-para-iniciantes</v>
      </c>
      <c r="Y392" s="77" t="s">
        <v>6002</v>
      </c>
      <c r="Z392" s="77"/>
      <c r="AA392" s="77" t="s">
        <v>6317</v>
      </c>
      <c r="AB392" s="77" t="s">
        <v>7696</v>
      </c>
      <c r="AC392" s="82" t="s">
        <v>7706</v>
      </c>
      <c r="AD392" s="77" t="s">
        <v>7745</v>
      </c>
      <c r="AE392" s="80" t="str">
        <f>HYPERLINK("https://twitter.com/williamhuntbr/status/1651956937444171776")</f>
        <v>https://twitter.com/williamhuntbr/status/1651956937444171776</v>
      </c>
      <c r="AF392" s="79">
        <v>45044.604166666664</v>
      </c>
      <c r="AG392" s="85">
        <v>45044</v>
      </c>
      <c r="AH392" s="82" t="s">
        <v>8129</v>
      </c>
      <c r="AI392" s="77" t="b">
        <v>0</v>
      </c>
      <c r="AJ392" s="77"/>
      <c r="AK392" s="77"/>
      <c r="AL392" s="77"/>
      <c r="AM392" s="77"/>
      <c r="AN392" s="77"/>
      <c r="AO392" s="77"/>
      <c r="AP392" s="77"/>
      <c r="AQ392" s="77" t="s">
        <v>10824</v>
      </c>
      <c r="AR392" s="77"/>
      <c r="AS392" s="77"/>
      <c r="AT392" s="77"/>
      <c r="AU392" s="77"/>
      <c r="AV392" s="80" t="str">
        <f>HYPERLINK("https://pbs.twimg.com/media/FuLhjbiWcA0elMd.jpg")</f>
        <v>https://pbs.twimg.com/media/FuLhjbiWcA0elMd.jpg</v>
      </c>
      <c r="AW392" s="82" t="s">
        <v>12587</v>
      </c>
      <c r="AX392" s="82" t="s">
        <v>12587</v>
      </c>
      <c r="AY392" s="77"/>
      <c r="AZ392" s="82" t="s">
        <v>15804</v>
      </c>
      <c r="BA392" s="82" t="s">
        <v>15804</v>
      </c>
      <c r="BB392" s="82" t="s">
        <v>15804</v>
      </c>
      <c r="BC392" s="82" t="s">
        <v>12587</v>
      </c>
      <c r="BD392" s="82" t="s">
        <v>16208</v>
      </c>
      <c r="BE392" s="77"/>
      <c r="BF392" s="77"/>
      <c r="BG392" s="77"/>
      <c r="BH392" s="77"/>
      <c r="BI392" s="77"/>
    </row>
    <row r="393" spans="1:61" x14ac:dyDescent="0.25">
      <c r="A393" s="62" t="s">
        <v>353</v>
      </c>
      <c r="B393" s="62" t="s">
        <v>353</v>
      </c>
      <c r="C393" s="63"/>
      <c r="D393" s="64"/>
      <c r="E393" s="65"/>
      <c r="F393" s="66"/>
      <c r="G393" s="63"/>
      <c r="H393" s="67"/>
      <c r="I393" s="68"/>
      <c r="J393" s="68"/>
      <c r="K393" s="32"/>
      <c r="L393" s="75">
        <v>393</v>
      </c>
      <c r="M393" s="75"/>
      <c r="N393" s="70"/>
      <c r="O393" s="77" t="s">
        <v>179</v>
      </c>
      <c r="P393" s="79">
        <v>45030.604166666664</v>
      </c>
      <c r="Q393" s="77" t="s">
        <v>1503</v>
      </c>
      <c r="R393" s="77">
        <v>0</v>
      </c>
      <c r="S393" s="77">
        <v>0</v>
      </c>
      <c r="T393" s="77">
        <v>0</v>
      </c>
      <c r="U393" s="77">
        <v>0</v>
      </c>
      <c r="V393" s="77">
        <v>16</v>
      </c>
      <c r="W393" s="82" t="s">
        <v>4314</v>
      </c>
      <c r="X393" s="80" t="str">
        <f>HYPERLINK("https://www.williamhunt.com.br/segredos-dos-investimentos-para-iniciantes")</f>
        <v>https://www.williamhunt.com.br/segredos-dos-investimentos-para-iniciantes</v>
      </c>
      <c r="Y393" s="77" t="s">
        <v>6002</v>
      </c>
      <c r="Z393" s="77"/>
      <c r="AA393" s="77" t="s">
        <v>6318</v>
      </c>
      <c r="AB393" s="77" t="s">
        <v>7696</v>
      </c>
      <c r="AC393" s="82" t="s">
        <v>7706</v>
      </c>
      <c r="AD393" s="77" t="s">
        <v>7745</v>
      </c>
      <c r="AE393" s="80" t="str">
        <f>HYPERLINK("https://twitter.com/williamhuntbr/status/1646883507690704901")</f>
        <v>https://twitter.com/williamhuntbr/status/1646883507690704901</v>
      </c>
      <c r="AF393" s="79">
        <v>45030.604166666664</v>
      </c>
      <c r="AG393" s="85">
        <v>45030</v>
      </c>
      <c r="AH393" s="82" t="s">
        <v>8129</v>
      </c>
      <c r="AI393" s="77" t="b">
        <v>0</v>
      </c>
      <c r="AJ393" s="77"/>
      <c r="AK393" s="77"/>
      <c r="AL393" s="77"/>
      <c r="AM393" s="77"/>
      <c r="AN393" s="77"/>
      <c r="AO393" s="77"/>
      <c r="AP393" s="77"/>
      <c r="AQ393" s="77" t="s">
        <v>10825</v>
      </c>
      <c r="AR393" s="77"/>
      <c r="AS393" s="77"/>
      <c r="AT393" s="77"/>
      <c r="AU393" s="77"/>
      <c r="AV393" s="80" t="str">
        <f>HYPERLINK("https://pbs.twimg.com/media/FtmhCeQXsAE8-iG.jpg")</f>
        <v>https://pbs.twimg.com/media/FtmhCeQXsAE8-iG.jpg</v>
      </c>
      <c r="AW393" s="82" t="s">
        <v>12588</v>
      </c>
      <c r="AX393" s="82" t="s">
        <v>12588</v>
      </c>
      <c r="AY393" s="77"/>
      <c r="AZ393" s="82" t="s">
        <v>15804</v>
      </c>
      <c r="BA393" s="82" t="s">
        <v>15804</v>
      </c>
      <c r="BB393" s="82" t="s">
        <v>15804</v>
      </c>
      <c r="BC393" s="82" t="s">
        <v>12588</v>
      </c>
      <c r="BD393" s="82" t="s">
        <v>16208</v>
      </c>
      <c r="BE393" s="77"/>
      <c r="BF393" s="77"/>
      <c r="BG393" s="77"/>
      <c r="BH393" s="77"/>
      <c r="BI393" s="77"/>
    </row>
    <row r="394" spans="1:61" x14ac:dyDescent="0.25">
      <c r="A394" s="62" t="s">
        <v>353</v>
      </c>
      <c r="B394" s="62" t="s">
        <v>353</v>
      </c>
      <c r="C394" s="63"/>
      <c r="D394" s="64"/>
      <c r="E394" s="65"/>
      <c r="F394" s="66"/>
      <c r="G394" s="63"/>
      <c r="H394" s="67"/>
      <c r="I394" s="68"/>
      <c r="J394" s="68"/>
      <c r="K394" s="32"/>
      <c r="L394" s="75">
        <v>394</v>
      </c>
      <c r="M394" s="75"/>
      <c r="N394" s="70"/>
      <c r="O394" s="77" t="s">
        <v>179</v>
      </c>
      <c r="P394" s="79">
        <v>45028.604166666664</v>
      </c>
      <c r="Q394" s="77" t="s">
        <v>1504</v>
      </c>
      <c r="R394" s="77">
        <v>0</v>
      </c>
      <c r="S394" s="77">
        <v>1</v>
      </c>
      <c r="T394" s="77">
        <v>0</v>
      </c>
      <c r="U394" s="77">
        <v>0</v>
      </c>
      <c r="V394" s="77">
        <v>28</v>
      </c>
      <c r="W394" s="82" t="s">
        <v>4315</v>
      </c>
      <c r="X394" s="80" t="str">
        <f>HYPERLINK("https://www.williamhunt.com.br/segredos-dos-investimentos-para-iniciantes")</f>
        <v>https://www.williamhunt.com.br/segredos-dos-investimentos-para-iniciantes</v>
      </c>
      <c r="Y394" s="77" t="s">
        <v>6002</v>
      </c>
      <c r="Z394" s="77"/>
      <c r="AA394" s="77" t="s">
        <v>6319</v>
      </c>
      <c r="AB394" s="77" t="s">
        <v>7698</v>
      </c>
      <c r="AC394" s="82" t="s">
        <v>7706</v>
      </c>
      <c r="AD394" s="77" t="s">
        <v>7745</v>
      </c>
      <c r="AE394" s="80" t="str">
        <f>HYPERLINK("https://twitter.com/williamhuntbr/status/1646158730525040642")</f>
        <v>https://twitter.com/williamhuntbr/status/1646158730525040642</v>
      </c>
      <c r="AF394" s="79">
        <v>45028.604166666664</v>
      </c>
      <c r="AG394" s="85">
        <v>45028</v>
      </c>
      <c r="AH394" s="82" t="s">
        <v>8129</v>
      </c>
      <c r="AI394" s="77" t="b">
        <v>0</v>
      </c>
      <c r="AJ394" s="77"/>
      <c r="AK394" s="77"/>
      <c r="AL394" s="77"/>
      <c r="AM394" s="77"/>
      <c r="AN394" s="77"/>
      <c r="AO394" s="77"/>
      <c r="AP394" s="77"/>
      <c r="AQ394" s="77" t="s">
        <v>10826</v>
      </c>
      <c r="AR394" s="77"/>
      <c r="AS394" s="77"/>
      <c r="AT394" s="77"/>
      <c r="AU394" s="77"/>
      <c r="AV394" s="80" t="str">
        <f>HYPERLINK("https://pbs.twimg.com/media/FtNua8rWwAMLsAJ.jpg")</f>
        <v>https://pbs.twimg.com/media/FtNua8rWwAMLsAJ.jpg</v>
      </c>
      <c r="AW394" s="82" t="s">
        <v>12589</v>
      </c>
      <c r="AX394" s="82" t="s">
        <v>12589</v>
      </c>
      <c r="AY394" s="77"/>
      <c r="AZ394" s="82" t="s">
        <v>15804</v>
      </c>
      <c r="BA394" s="82" t="s">
        <v>15804</v>
      </c>
      <c r="BB394" s="82" t="s">
        <v>15804</v>
      </c>
      <c r="BC394" s="82" t="s">
        <v>12589</v>
      </c>
      <c r="BD394" s="82" t="s">
        <v>16208</v>
      </c>
      <c r="BE394" s="77"/>
      <c r="BF394" s="77"/>
      <c r="BG394" s="77"/>
      <c r="BH394" s="77"/>
      <c r="BI394" s="77"/>
    </row>
    <row r="395" spans="1:61" x14ac:dyDescent="0.25">
      <c r="A395" s="62" t="s">
        <v>353</v>
      </c>
      <c r="B395" s="62" t="s">
        <v>353</v>
      </c>
      <c r="C395" s="63"/>
      <c r="D395" s="64"/>
      <c r="E395" s="65"/>
      <c r="F395" s="66"/>
      <c r="G395" s="63"/>
      <c r="H395" s="67"/>
      <c r="I395" s="68"/>
      <c r="J395" s="68"/>
      <c r="K395" s="32"/>
      <c r="L395" s="75">
        <v>395</v>
      </c>
      <c r="M395" s="75"/>
      <c r="N395" s="70"/>
      <c r="O395" s="77" t="s">
        <v>179</v>
      </c>
      <c r="P395" s="79">
        <v>44998.725775462961</v>
      </c>
      <c r="Q395" s="77" t="s">
        <v>1505</v>
      </c>
      <c r="R395" s="77">
        <v>0</v>
      </c>
      <c r="S395" s="77">
        <v>0</v>
      </c>
      <c r="T395" s="77">
        <v>0</v>
      </c>
      <c r="U395" s="77">
        <v>0</v>
      </c>
      <c r="V395" s="77">
        <v>80</v>
      </c>
      <c r="W395" s="82" t="s">
        <v>4316</v>
      </c>
      <c r="X395" s="77"/>
      <c r="Y395" s="77"/>
      <c r="Z395" s="77"/>
      <c r="AA395" s="77" t="s">
        <v>6320</v>
      </c>
      <c r="AB395" s="77" t="s">
        <v>7698</v>
      </c>
      <c r="AC395" s="82" t="s">
        <v>7706</v>
      </c>
      <c r="AD395" s="77" t="s">
        <v>7745</v>
      </c>
      <c r="AE395" s="80" t="str">
        <f>HYPERLINK("https://twitter.com/williamhuntbr/status/1635331166869016576")</f>
        <v>https://twitter.com/williamhuntbr/status/1635331166869016576</v>
      </c>
      <c r="AF395" s="79">
        <v>44998.725775462961</v>
      </c>
      <c r="AG395" s="85">
        <v>44998</v>
      </c>
      <c r="AH395" s="82" t="s">
        <v>8132</v>
      </c>
      <c r="AI395" s="77" t="b">
        <v>0</v>
      </c>
      <c r="AJ395" s="77"/>
      <c r="AK395" s="77"/>
      <c r="AL395" s="77"/>
      <c r="AM395" s="77"/>
      <c r="AN395" s="77"/>
      <c r="AO395" s="77"/>
      <c r="AP395" s="77"/>
      <c r="AQ395" s="77" t="s">
        <v>10827</v>
      </c>
      <c r="AR395" s="77"/>
      <c r="AS395" s="77"/>
      <c r="AT395" s="77"/>
      <c r="AU395" s="77"/>
      <c r="AV395" s="80" t="str">
        <f>HYPERLINK("https://pbs.twimg.com/media/FrHc8kqXoCM1lnH.jpg")</f>
        <v>https://pbs.twimg.com/media/FrHc8kqXoCM1lnH.jpg</v>
      </c>
      <c r="AW395" s="82" t="s">
        <v>12590</v>
      </c>
      <c r="AX395" s="82" t="s">
        <v>12590</v>
      </c>
      <c r="AY395" s="77"/>
      <c r="AZ395" s="82" t="s">
        <v>15804</v>
      </c>
      <c r="BA395" s="82" t="s">
        <v>15804</v>
      </c>
      <c r="BB395" s="82" t="s">
        <v>15804</v>
      </c>
      <c r="BC395" s="82" t="s">
        <v>12590</v>
      </c>
      <c r="BD395" s="82" t="s">
        <v>16208</v>
      </c>
      <c r="BE395" s="77"/>
      <c r="BF395" s="77"/>
      <c r="BG395" s="77"/>
      <c r="BH395" s="77"/>
      <c r="BI395" s="77"/>
    </row>
    <row r="396" spans="1:61" x14ac:dyDescent="0.25">
      <c r="A396" s="62" t="s">
        <v>353</v>
      </c>
      <c r="B396" s="62" t="s">
        <v>353</v>
      </c>
      <c r="C396" s="63"/>
      <c r="D396" s="64"/>
      <c r="E396" s="65"/>
      <c r="F396" s="66"/>
      <c r="G396" s="63"/>
      <c r="H396" s="67"/>
      <c r="I396" s="68"/>
      <c r="J396" s="68"/>
      <c r="K396" s="32"/>
      <c r="L396" s="75">
        <v>396</v>
      </c>
      <c r="M396" s="75"/>
      <c r="N396" s="70"/>
      <c r="O396" s="77" t="s">
        <v>179</v>
      </c>
      <c r="P396" s="79">
        <v>44984.682685185187</v>
      </c>
      <c r="Q396" s="77" t="s">
        <v>1506</v>
      </c>
      <c r="R396" s="77">
        <v>0</v>
      </c>
      <c r="S396" s="77">
        <v>0</v>
      </c>
      <c r="T396" s="77">
        <v>0</v>
      </c>
      <c r="U396" s="77">
        <v>0</v>
      </c>
      <c r="V396" s="77">
        <v>24</v>
      </c>
      <c r="W396" s="82" t="s">
        <v>4317</v>
      </c>
      <c r="X396" s="77"/>
      <c r="Y396" s="77"/>
      <c r="Z396" s="77"/>
      <c r="AA396" s="77" t="s">
        <v>6321</v>
      </c>
      <c r="AB396" s="77" t="s">
        <v>7696</v>
      </c>
      <c r="AC396" s="82" t="s">
        <v>7706</v>
      </c>
      <c r="AD396" s="77" t="s">
        <v>7745</v>
      </c>
      <c r="AE396" s="80" t="str">
        <f>HYPERLINK("https://twitter.com/williamhuntbr/status/1630242118953480193")</f>
        <v>https://twitter.com/williamhuntbr/status/1630242118953480193</v>
      </c>
      <c r="AF396" s="79">
        <v>44984.682685185187</v>
      </c>
      <c r="AG396" s="85">
        <v>44984</v>
      </c>
      <c r="AH396" s="82" t="s">
        <v>8133</v>
      </c>
      <c r="AI396" s="77" t="b">
        <v>0</v>
      </c>
      <c r="AJ396" s="77"/>
      <c r="AK396" s="77"/>
      <c r="AL396" s="77"/>
      <c r="AM396" s="77"/>
      <c r="AN396" s="77"/>
      <c r="AO396" s="77"/>
      <c r="AP396" s="77"/>
      <c r="AQ396" s="77" t="s">
        <v>10828</v>
      </c>
      <c r="AR396" s="77"/>
      <c r="AS396" s="77"/>
      <c r="AT396" s="77"/>
      <c r="AU396" s="77"/>
      <c r="AV396" s="80" t="str">
        <f>HYPERLINK("https://pbs.twimg.com/media/Fp_IffiX0AMrhxy.jpg")</f>
        <v>https://pbs.twimg.com/media/Fp_IffiX0AMrhxy.jpg</v>
      </c>
      <c r="AW396" s="82" t="s">
        <v>12591</v>
      </c>
      <c r="AX396" s="82" t="s">
        <v>12591</v>
      </c>
      <c r="AY396" s="77"/>
      <c r="AZ396" s="82" t="s">
        <v>15804</v>
      </c>
      <c r="BA396" s="82" t="s">
        <v>15804</v>
      </c>
      <c r="BB396" s="82" t="s">
        <v>15804</v>
      </c>
      <c r="BC396" s="82" t="s">
        <v>12591</v>
      </c>
      <c r="BD396" s="82" t="s">
        <v>16208</v>
      </c>
      <c r="BE396" s="77"/>
      <c r="BF396" s="77"/>
      <c r="BG396" s="77"/>
      <c r="BH396" s="77"/>
      <c r="BI396" s="77"/>
    </row>
    <row r="397" spans="1:61" x14ac:dyDescent="0.25">
      <c r="A397" s="62" t="s">
        <v>353</v>
      </c>
      <c r="B397" s="62" t="s">
        <v>353</v>
      </c>
      <c r="C397" s="63"/>
      <c r="D397" s="64"/>
      <c r="E397" s="65"/>
      <c r="F397" s="66"/>
      <c r="G397" s="63"/>
      <c r="H397" s="67"/>
      <c r="I397" s="68"/>
      <c r="J397" s="68"/>
      <c r="K397" s="32"/>
      <c r="L397" s="75">
        <v>397</v>
      </c>
      <c r="M397" s="75"/>
      <c r="N397" s="70"/>
      <c r="O397" s="77" t="s">
        <v>179</v>
      </c>
      <c r="P397" s="79">
        <v>44984.621423611112</v>
      </c>
      <c r="Q397" s="77" t="s">
        <v>1507</v>
      </c>
      <c r="R397" s="77">
        <v>0</v>
      </c>
      <c r="S397" s="77">
        <v>0</v>
      </c>
      <c r="T397" s="77">
        <v>0</v>
      </c>
      <c r="U397" s="77">
        <v>0</v>
      </c>
      <c r="V397" s="77">
        <v>25</v>
      </c>
      <c r="W397" s="82" t="s">
        <v>4318</v>
      </c>
      <c r="X397" s="77"/>
      <c r="Y397" s="77"/>
      <c r="Z397" s="77"/>
      <c r="AA397" s="77" t="s">
        <v>6322</v>
      </c>
      <c r="AB397" s="77" t="s">
        <v>7696</v>
      </c>
      <c r="AC397" s="82" t="s">
        <v>7706</v>
      </c>
      <c r="AD397" s="77" t="s">
        <v>7745</v>
      </c>
      <c r="AE397" s="80" t="str">
        <f>HYPERLINK("https://twitter.com/williamhuntbr/status/1630219919026532355")</f>
        <v>https://twitter.com/williamhuntbr/status/1630219919026532355</v>
      </c>
      <c r="AF397" s="79">
        <v>44984.621423611112</v>
      </c>
      <c r="AG397" s="85">
        <v>44984</v>
      </c>
      <c r="AH397" s="82" t="s">
        <v>8134</v>
      </c>
      <c r="AI397" s="77" t="b">
        <v>0</v>
      </c>
      <c r="AJ397" s="77"/>
      <c r="AK397" s="77"/>
      <c r="AL397" s="77"/>
      <c r="AM397" s="77"/>
      <c r="AN397" s="77"/>
      <c r="AO397" s="77"/>
      <c r="AP397" s="77"/>
      <c r="AQ397" s="77" t="s">
        <v>10829</v>
      </c>
      <c r="AR397" s="77"/>
      <c r="AS397" s="77"/>
      <c r="AT397" s="77"/>
      <c r="AU397" s="77"/>
      <c r="AV397" s="80" t="str">
        <f>HYPERLINK("https://pbs.twimg.com/media/Fp-0VgFWcAIKT00.jpg")</f>
        <v>https://pbs.twimg.com/media/Fp-0VgFWcAIKT00.jpg</v>
      </c>
      <c r="AW397" s="82" t="s">
        <v>12592</v>
      </c>
      <c r="AX397" s="82" t="s">
        <v>12592</v>
      </c>
      <c r="AY397" s="77"/>
      <c r="AZ397" s="82" t="s">
        <v>15804</v>
      </c>
      <c r="BA397" s="82" t="s">
        <v>15804</v>
      </c>
      <c r="BB397" s="82" t="s">
        <v>15804</v>
      </c>
      <c r="BC397" s="82" t="s">
        <v>12592</v>
      </c>
      <c r="BD397" s="82" t="s">
        <v>16208</v>
      </c>
      <c r="BE397" s="77"/>
      <c r="BF397" s="77"/>
      <c r="BG397" s="77"/>
      <c r="BH397" s="77"/>
      <c r="BI397" s="77"/>
    </row>
    <row r="398" spans="1:61" x14ac:dyDescent="0.25">
      <c r="A398" s="62" t="s">
        <v>353</v>
      </c>
      <c r="B398" s="62" t="s">
        <v>353</v>
      </c>
      <c r="C398" s="63"/>
      <c r="D398" s="64"/>
      <c r="E398" s="65"/>
      <c r="F398" s="66"/>
      <c r="G398" s="63"/>
      <c r="H398" s="67"/>
      <c r="I398" s="68"/>
      <c r="J398" s="68"/>
      <c r="K398" s="32"/>
      <c r="L398" s="75">
        <v>398</v>
      </c>
      <c r="M398" s="75"/>
      <c r="N398" s="70"/>
      <c r="O398" s="77" t="s">
        <v>179</v>
      </c>
      <c r="P398" s="79">
        <v>44982.962337962963</v>
      </c>
      <c r="Q398" s="77" t="s">
        <v>1508</v>
      </c>
      <c r="R398" s="77">
        <v>0</v>
      </c>
      <c r="S398" s="77">
        <v>0</v>
      </c>
      <c r="T398" s="77">
        <v>0</v>
      </c>
      <c r="U398" s="77">
        <v>0</v>
      </c>
      <c r="V398" s="77">
        <v>28</v>
      </c>
      <c r="W398" s="82" t="s">
        <v>4319</v>
      </c>
      <c r="X398" s="80" t="str">
        <f>HYPERLINK("https://www.williamhunt.com.br/masterclass-segredos-dos-investimentos-para-iniciantes")</f>
        <v>https://www.williamhunt.com.br/masterclass-segredos-dos-investimentos-para-iniciantes</v>
      </c>
      <c r="Y398" s="77" t="s">
        <v>6002</v>
      </c>
      <c r="Z398" s="77"/>
      <c r="AA398" s="77" t="s">
        <v>6323</v>
      </c>
      <c r="AB398" s="77" t="s">
        <v>7696</v>
      </c>
      <c r="AC398" s="82" t="s">
        <v>7706</v>
      </c>
      <c r="AD398" s="77" t="s">
        <v>7745</v>
      </c>
      <c r="AE398" s="80" t="str">
        <f>HYPERLINK("https://twitter.com/williamhuntbr/status/1629618687186444288")</f>
        <v>https://twitter.com/williamhuntbr/status/1629618687186444288</v>
      </c>
      <c r="AF398" s="79">
        <v>44982.962337962963</v>
      </c>
      <c r="AG398" s="85">
        <v>44982</v>
      </c>
      <c r="AH398" s="82" t="s">
        <v>8135</v>
      </c>
      <c r="AI398" s="77" t="b">
        <v>0</v>
      </c>
      <c r="AJ398" s="77"/>
      <c r="AK398" s="77"/>
      <c r="AL398" s="77"/>
      <c r="AM398" s="77"/>
      <c r="AN398" s="77"/>
      <c r="AO398" s="77"/>
      <c r="AP398" s="77"/>
      <c r="AQ398" s="77" t="s">
        <v>10830</v>
      </c>
      <c r="AR398" s="77"/>
      <c r="AS398" s="77"/>
      <c r="AT398" s="77"/>
      <c r="AU398" s="77"/>
      <c r="AV398" s="80" t="str">
        <f>HYPERLINK("https://pbs.twimg.com/media/Fp2RblMXoAAN2sA.jpg")</f>
        <v>https://pbs.twimg.com/media/Fp2RblMXoAAN2sA.jpg</v>
      </c>
      <c r="AW398" s="82" t="s">
        <v>12593</v>
      </c>
      <c r="AX398" s="82" t="s">
        <v>12593</v>
      </c>
      <c r="AY398" s="77"/>
      <c r="AZ398" s="82" t="s">
        <v>15804</v>
      </c>
      <c r="BA398" s="82" t="s">
        <v>15804</v>
      </c>
      <c r="BB398" s="82" t="s">
        <v>15804</v>
      </c>
      <c r="BC398" s="82" t="s">
        <v>12593</v>
      </c>
      <c r="BD398" s="82" t="s">
        <v>16208</v>
      </c>
      <c r="BE398" s="77"/>
      <c r="BF398" s="77"/>
      <c r="BG398" s="77"/>
      <c r="BH398" s="77"/>
      <c r="BI398" s="77"/>
    </row>
    <row r="399" spans="1:61" x14ac:dyDescent="0.25">
      <c r="A399" s="62" t="s">
        <v>353</v>
      </c>
      <c r="B399" s="62" t="s">
        <v>353</v>
      </c>
      <c r="C399" s="63"/>
      <c r="D399" s="64"/>
      <c r="E399" s="65"/>
      <c r="F399" s="66"/>
      <c r="G399" s="63"/>
      <c r="H399" s="67"/>
      <c r="I399" s="68"/>
      <c r="J399" s="68"/>
      <c r="K399" s="32"/>
      <c r="L399" s="75">
        <v>399</v>
      </c>
      <c r="M399" s="75"/>
      <c r="N399" s="70"/>
      <c r="O399" s="77" t="s">
        <v>179</v>
      </c>
      <c r="P399" s="79">
        <v>44979.595462962963</v>
      </c>
      <c r="Q399" s="77" t="s">
        <v>1509</v>
      </c>
      <c r="R399" s="77">
        <v>0</v>
      </c>
      <c r="S399" s="77">
        <v>0</v>
      </c>
      <c r="T399" s="77">
        <v>0</v>
      </c>
      <c r="U399" s="77">
        <v>0</v>
      </c>
      <c r="V399" s="77">
        <v>42</v>
      </c>
      <c r="W399" s="82" t="s">
        <v>4320</v>
      </c>
      <c r="X399" s="77"/>
      <c r="Y399" s="77"/>
      <c r="Z399" s="77"/>
      <c r="AA399" s="77" t="s">
        <v>6324</v>
      </c>
      <c r="AB399" s="77" t="s">
        <v>7696</v>
      </c>
      <c r="AC399" s="82" t="s">
        <v>7706</v>
      </c>
      <c r="AD399" s="77" t="s">
        <v>7745</v>
      </c>
      <c r="AE399" s="80" t="str">
        <f>HYPERLINK("https://twitter.com/williamhuntbr/status/1628398571497177089")</f>
        <v>https://twitter.com/williamhuntbr/status/1628398571497177089</v>
      </c>
      <c r="AF399" s="79">
        <v>44979.595462962963</v>
      </c>
      <c r="AG399" s="85">
        <v>44979</v>
      </c>
      <c r="AH399" s="82" t="s">
        <v>8136</v>
      </c>
      <c r="AI399" s="77" t="b">
        <v>0</v>
      </c>
      <c r="AJ399" s="77"/>
      <c r="AK399" s="77"/>
      <c r="AL399" s="77"/>
      <c r="AM399" s="77"/>
      <c r="AN399" s="77"/>
      <c r="AO399" s="77"/>
      <c r="AP399" s="77"/>
      <c r="AQ399" s="77" t="s">
        <v>10831</v>
      </c>
      <c r="AR399" s="77"/>
      <c r="AS399" s="77"/>
      <c r="AT399" s="77"/>
      <c r="AU399" s="77"/>
      <c r="AV399" s="80" t="str">
        <f>HYPERLINK("https://pbs.twimg.com/media/Fpk7zVaXsAEgy74.jpg")</f>
        <v>https://pbs.twimg.com/media/Fpk7zVaXsAEgy74.jpg</v>
      </c>
      <c r="AW399" s="82" t="s">
        <v>12594</v>
      </c>
      <c r="AX399" s="82" t="s">
        <v>12594</v>
      </c>
      <c r="AY399" s="77"/>
      <c r="AZ399" s="82" t="s">
        <v>15804</v>
      </c>
      <c r="BA399" s="82" t="s">
        <v>15804</v>
      </c>
      <c r="BB399" s="82" t="s">
        <v>15804</v>
      </c>
      <c r="BC399" s="82" t="s">
        <v>12594</v>
      </c>
      <c r="BD399" s="82" t="s">
        <v>16208</v>
      </c>
      <c r="BE399" s="77"/>
      <c r="BF399" s="77"/>
      <c r="BG399" s="77"/>
      <c r="BH399" s="77"/>
      <c r="BI399" s="77"/>
    </row>
    <row r="400" spans="1:61" x14ac:dyDescent="0.25">
      <c r="A400" s="62" t="s">
        <v>353</v>
      </c>
      <c r="B400" s="62" t="s">
        <v>353</v>
      </c>
      <c r="C400" s="63"/>
      <c r="D400" s="64"/>
      <c r="E400" s="65"/>
      <c r="F400" s="66"/>
      <c r="G400" s="63"/>
      <c r="H400" s="67"/>
      <c r="I400" s="68"/>
      <c r="J400" s="68"/>
      <c r="K400" s="32"/>
      <c r="L400" s="75">
        <v>400</v>
      </c>
      <c r="M400" s="75"/>
      <c r="N400" s="70"/>
      <c r="O400" s="77" t="s">
        <v>179</v>
      </c>
      <c r="P400" s="79">
        <v>45126.500023148146</v>
      </c>
      <c r="Q400" s="77" t="s">
        <v>1510</v>
      </c>
      <c r="R400" s="77">
        <v>0</v>
      </c>
      <c r="S400" s="77">
        <v>0</v>
      </c>
      <c r="T400" s="77">
        <v>0</v>
      </c>
      <c r="U400" s="77">
        <v>0</v>
      </c>
      <c r="V400" s="77">
        <v>18</v>
      </c>
      <c r="W400" s="82" t="s">
        <v>4321</v>
      </c>
      <c r="X400" s="80" t="str">
        <f>HYPERLINK("https://www.williamhunt.com.br/segredos-dos-investimentos-para-iniciantes")</f>
        <v>https://www.williamhunt.com.br/segredos-dos-investimentos-para-iniciantes</v>
      </c>
      <c r="Y400" s="77" t="s">
        <v>6002</v>
      </c>
      <c r="Z400" s="77"/>
      <c r="AA400" s="77" t="s">
        <v>6325</v>
      </c>
      <c r="AB400" s="77" t="s">
        <v>7696</v>
      </c>
      <c r="AC400" s="82" t="s">
        <v>7706</v>
      </c>
      <c r="AD400" s="77" t="s">
        <v>7745</v>
      </c>
      <c r="AE400" s="80" t="str">
        <f>HYPERLINK("https://twitter.com/williamhuntbr/status/1681635002683981826")</f>
        <v>https://twitter.com/williamhuntbr/status/1681635002683981826</v>
      </c>
      <c r="AF400" s="79">
        <v>45126.500023148146</v>
      </c>
      <c r="AG400" s="85">
        <v>45126</v>
      </c>
      <c r="AH400" s="82" t="s">
        <v>8128</v>
      </c>
      <c r="AI400" s="77" t="b">
        <v>0</v>
      </c>
      <c r="AJ400" s="77"/>
      <c r="AK400" s="77"/>
      <c r="AL400" s="77"/>
      <c r="AM400" s="77"/>
      <c r="AN400" s="77"/>
      <c r="AO400" s="77"/>
      <c r="AP400" s="77"/>
      <c r="AQ400" s="77" t="s">
        <v>10832</v>
      </c>
      <c r="AR400" s="77"/>
      <c r="AS400" s="77"/>
      <c r="AT400" s="77"/>
      <c r="AU400" s="77"/>
      <c r="AV400" s="80" t="str">
        <f>HYPERLINK("https://pbs.twimg.com/media/F1BPQGHWwAo4wOI.jpg")</f>
        <v>https://pbs.twimg.com/media/F1BPQGHWwAo4wOI.jpg</v>
      </c>
      <c r="AW400" s="82" t="s">
        <v>12595</v>
      </c>
      <c r="AX400" s="82" t="s">
        <v>12595</v>
      </c>
      <c r="AY400" s="77"/>
      <c r="AZ400" s="82" t="s">
        <v>15804</v>
      </c>
      <c r="BA400" s="82" t="s">
        <v>15804</v>
      </c>
      <c r="BB400" s="82" t="s">
        <v>15804</v>
      </c>
      <c r="BC400" s="82" t="s">
        <v>12595</v>
      </c>
      <c r="BD400" s="82" t="s">
        <v>16208</v>
      </c>
      <c r="BE400" s="77"/>
      <c r="BF400" s="77"/>
      <c r="BG400" s="77"/>
      <c r="BH400" s="77"/>
      <c r="BI400" s="77"/>
    </row>
    <row r="401" spans="1:61" x14ac:dyDescent="0.25">
      <c r="A401" s="62" t="s">
        <v>353</v>
      </c>
      <c r="B401" s="62" t="s">
        <v>353</v>
      </c>
      <c r="C401" s="63"/>
      <c r="D401" s="64"/>
      <c r="E401" s="65"/>
      <c r="F401" s="66"/>
      <c r="G401" s="63"/>
      <c r="H401" s="67"/>
      <c r="I401" s="68"/>
      <c r="J401" s="68"/>
      <c r="K401" s="32"/>
      <c r="L401" s="75">
        <v>401</v>
      </c>
      <c r="M401" s="75"/>
      <c r="N401" s="70"/>
      <c r="O401" s="77" t="s">
        <v>179</v>
      </c>
      <c r="P401" s="79">
        <v>45105.500034722223</v>
      </c>
      <c r="Q401" s="77" t="s">
        <v>1511</v>
      </c>
      <c r="R401" s="77">
        <v>0</v>
      </c>
      <c r="S401" s="77">
        <v>0</v>
      </c>
      <c r="T401" s="77">
        <v>0</v>
      </c>
      <c r="U401" s="77">
        <v>0</v>
      </c>
      <c r="V401" s="77">
        <v>12</v>
      </c>
      <c r="W401" s="82" t="s">
        <v>4322</v>
      </c>
      <c r="X401" s="80" t="str">
        <f>HYPERLINK("https://www.williamhunt.com.br/segredos-dos-investimentos-para-iniciantes")</f>
        <v>https://www.williamhunt.com.br/segredos-dos-investimentos-para-iniciantes</v>
      </c>
      <c r="Y401" s="77" t="s">
        <v>6002</v>
      </c>
      <c r="Z401" s="77"/>
      <c r="AA401" s="77" t="s">
        <v>6326</v>
      </c>
      <c r="AB401" s="77" t="s">
        <v>7696</v>
      </c>
      <c r="AC401" s="82" t="s">
        <v>7706</v>
      </c>
      <c r="AD401" s="77" t="s">
        <v>7745</v>
      </c>
      <c r="AE401" s="80" t="str">
        <f>HYPERLINK("https://twitter.com/williamhuntbr/status/1674024862590058497")</f>
        <v>https://twitter.com/williamhuntbr/status/1674024862590058497</v>
      </c>
      <c r="AF401" s="79">
        <v>45105.500034722223</v>
      </c>
      <c r="AG401" s="85">
        <v>45105</v>
      </c>
      <c r="AH401" s="82" t="s">
        <v>8131</v>
      </c>
      <c r="AI401" s="77" t="b">
        <v>0</v>
      </c>
      <c r="AJ401" s="77"/>
      <c r="AK401" s="77"/>
      <c r="AL401" s="77"/>
      <c r="AM401" s="77"/>
      <c r="AN401" s="77"/>
      <c r="AO401" s="77"/>
      <c r="AP401" s="77"/>
      <c r="AQ401" s="77" t="s">
        <v>10833</v>
      </c>
      <c r="AR401" s="77"/>
      <c r="AS401" s="77"/>
      <c r="AT401" s="77"/>
      <c r="AU401" s="77"/>
      <c r="AV401" s="80" t="str">
        <f>HYPERLINK("https://pbs.twimg.com/media/FzA5StbWAAAZ9ex.jpg")</f>
        <v>https://pbs.twimg.com/media/FzA5StbWAAAZ9ex.jpg</v>
      </c>
      <c r="AW401" s="82" t="s">
        <v>12596</v>
      </c>
      <c r="AX401" s="82" t="s">
        <v>12596</v>
      </c>
      <c r="AY401" s="77"/>
      <c r="AZ401" s="82" t="s">
        <v>15804</v>
      </c>
      <c r="BA401" s="82" t="s">
        <v>15804</v>
      </c>
      <c r="BB401" s="82" t="s">
        <v>15804</v>
      </c>
      <c r="BC401" s="82" t="s">
        <v>12596</v>
      </c>
      <c r="BD401" s="82" t="s">
        <v>16208</v>
      </c>
      <c r="BE401" s="77"/>
      <c r="BF401" s="77"/>
      <c r="BG401" s="77"/>
      <c r="BH401" s="77"/>
      <c r="BI401" s="77"/>
    </row>
    <row r="402" spans="1:61" x14ac:dyDescent="0.25">
      <c r="A402" s="62" t="s">
        <v>353</v>
      </c>
      <c r="B402" s="62" t="s">
        <v>353</v>
      </c>
      <c r="C402" s="63"/>
      <c r="D402" s="64"/>
      <c r="E402" s="65"/>
      <c r="F402" s="66"/>
      <c r="G402" s="63"/>
      <c r="H402" s="67"/>
      <c r="I402" s="68"/>
      <c r="J402" s="68"/>
      <c r="K402" s="32"/>
      <c r="L402" s="75">
        <v>402</v>
      </c>
      <c r="M402" s="75"/>
      <c r="N402" s="70"/>
      <c r="O402" s="77" t="s">
        <v>179</v>
      </c>
      <c r="P402" s="79">
        <v>45091.500011574077</v>
      </c>
      <c r="Q402" s="77" t="s">
        <v>1512</v>
      </c>
      <c r="R402" s="77">
        <v>0</v>
      </c>
      <c r="S402" s="77">
        <v>0</v>
      </c>
      <c r="T402" s="77">
        <v>0</v>
      </c>
      <c r="U402" s="77">
        <v>0</v>
      </c>
      <c r="V402" s="77">
        <v>9</v>
      </c>
      <c r="W402" s="82" t="s">
        <v>4323</v>
      </c>
      <c r="X402" s="80" t="str">
        <f>HYPERLINK("https://www.williamhunt.com.br/segredos-dos-investimentos-para-iniciantes")</f>
        <v>https://www.williamhunt.com.br/segredos-dos-investimentos-para-iniciantes</v>
      </c>
      <c r="Y402" s="77" t="s">
        <v>6002</v>
      </c>
      <c r="Z402" s="77"/>
      <c r="AA402" s="77" t="s">
        <v>6327</v>
      </c>
      <c r="AB402" s="77" t="s">
        <v>7696</v>
      </c>
      <c r="AC402" s="82" t="s">
        <v>7706</v>
      </c>
      <c r="AD402" s="77" t="s">
        <v>7745</v>
      </c>
      <c r="AE402" s="80" t="str">
        <f>HYPERLINK("https://twitter.com/williamhuntbr/status/1668951422233133057")</f>
        <v>https://twitter.com/williamhuntbr/status/1668951422233133057</v>
      </c>
      <c r="AF402" s="79">
        <v>45091.500011574077</v>
      </c>
      <c r="AG402" s="85">
        <v>45091</v>
      </c>
      <c r="AH402" s="82" t="s">
        <v>7923</v>
      </c>
      <c r="AI402" s="77" t="b">
        <v>0</v>
      </c>
      <c r="AJ402" s="77"/>
      <c r="AK402" s="77"/>
      <c r="AL402" s="77"/>
      <c r="AM402" s="77"/>
      <c r="AN402" s="77"/>
      <c r="AO402" s="77"/>
      <c r="AP402" s="77"/>
      <c r="AQ402" s="77" t="s">
        <v>10834</v>
      </c>
      <c r="AR402" s="77"/>
      <c r="AS402" s="77"/>
      <c r="AT402" s="77"/>
      <c r="AU402" s="77"/>
      <c r="AV402" s="80" t="str">
        <f>HYPERLINK("https://pbs.twimg.com/media/FyG-XYaaMAIBWTj.jpg")</f>
        <v>https://pbs.twimg.com/media/FyG-XYaaMAIBWTj.jpg</v>
      </c>
      <c r="AW402" s="82" t="s">
        <v>12597</v>
      </c>
      <c r="AX402" s="82" t="s">
        <v>12597</v>
      </c>
      <c r="AY402" s="77"/>
      <c r="AZ402" s="82" t="s">
        <v>15804</v>
      </c>
      <c r="BA402" s="82" t="s">
        <v>15804</v>
      </c>
      <c r="BB402" s="82" t="s">
        <v>15804</v>
      </c>
      <c r="BC402" s="82" t="s">
        <v>12597</v>
      </c>
      <c r="BD402" s="82" t="s">
        <v>16208</v>
      </c>
      <c r="BE402" s="77"/>
      <c r="BF402" s="77"/>
      <c r="BG402" s="77"/>
      <c r="BH402" s="77"/>
      <c r="BI402" s="77"/>
    </row>
    <row r="403" spans="1:61" x14ac:dyDescent="0.25">
      <c r="A403" s="62" t="s">
        <v>353</v>
      </c>
      <c r="B403" s="62" t="s">
        <v>353</v>
      </c>
      <c r="C403" s="63"/>
      <c r="D403" s="64"/>
      <c r="E403" s="65"/>
      <c r="F403" s="66"/>
      <c r="G403" s="63"/>
      <c r="H403" s="67"/>
      <c r="I403" s="68"/>
      <c r="J403" s="68"/>
      <c r="K403" s="32"/>
      <c r="L403" s="75">
        <v>403</v>
      </c>
      <c r="M403" s="75"/>
      <c r="N403" s="70"/>
      <c r="O403" s="77" t="s">
        <v>179</v>
      </c>
      <c r="P403" s="79">
        <v>45089.500023148146</v>
      </c>
      <c r="Q403" s="77" t="s">
        <v>1513</v>
      </c>
      <c r="R403" s="77">
        <v>0</v>
      </c>
      <c r="S403" s="77">
        <v>0</v>
      </c>
      <c r="T403" s="77">
        <v>0</v>
      </c>
      <c r="U403" s="77">
        <v>1</v>
      </c>
      <c r="V403" s="77">
        <v>19</v>
      </c>
      <c r="W403" s="82" t="s">
        <v>4324</v>
      </c>
      <c r="X403" s="80" t="str">
        <f>HYPERLINK("https://www.williamhunt.com.br/segredos-dos-investimentos-para-iniciantes")</f>
        <v>https://www.williamhunt.com.br/segredos-dos-investimentos-para-iniciantes</v>
      </c>
      <c r="Y403" s="77" t="s">
        <v>6002</v>
      </c>
      <c r="Z403" s="77"/>
      <c r="AA403" s="77" t="s">
        <v>6328</v>
      </c>
      <c r="AB403" s="77" t="s">
        <v>7696</v>
      </c>
      <c r="AC403" s="82" t="s">
        <v>7706</v>
      </c>
      <c r="AD403" s="77" t="s">
        <v>7745</v>
      </c>
      <c r="AE403" s="80" t="str">
        <f>HYPERLINK("https://twitter.com/williamhuntbr/status/1668226650255892482")</f>
        <v>https://twitter.com/williamhuntbr/status/1668226650255892482</v>
      </c>
      <c r="AF403" s="79">
        <v>45089.500023148146</v>
      </c>
      <c r="AG403" s="85">
        <v>45089</v>
      </c>
      <c r="AH403" s="82" t="s">
        <v>8128</v>
      </c>
      <c r="AI403" s="77" t="b">
        <v>0</v>
      </c>
      <c r="AJ403" s="77"/>
      <c r="AK403" s="77"/>
      <c r="AL403" s="77"/>
      <c r="AM403" s="77"/>
      <c r="AN403" s="77"/>
      <c r="AO403" s="77"/>
      <c r="AP403" s="77"/>
      <c r="AQ403" s="77" t="s">
        <v>10835</v>
      </c>
      <c r="AR403" s="77"/>
      <c r="AS403" s="77"/>
      <c r="AT403" s="77"/>
      <c r="AU403" s="77"/>
      <c r="AV403" s="80" t="str">
        <f>HYPERLINK("https://pbs.twimg.com/media/FyG47aYaMAAZax7.jpg")</f>
        <v>https://pbs.twimg.com/media/FyG47aYaMAAZax7.jpg</v>
      </c>
      <c r="AW403" s="82" t="s">
        <v>12598</v>
      </c>
      <c r="AX403" s="82" t="s">
        <v>12598</v>
      </c>
      <c r="AY403" s="77"/>
      <c r="AZ403" s="82" t="s">
        <v>15804</v>
      </c>
      <c r="BA403" s="82" t="s">
        <v>15804</v>
      </c>
      <c r="BB403" s="82" t="s">
        <v>15804</v>
      </c>
      <c r="BC403" s="82" t="s">
        <v>12598</v>
      </c>
      <c r="BD403" s="82" t="s">
        <v>16208</v>
      </c>
      <c r="BE403" s="77"/>
      <c r="BF403" s="77"/>
      <c r="BG403" s="77"/>
      <c r="BH403" s="77"/>
      <c r="BI403" s="77"/>
    </row>
    <row r="404" spans="1:61" x14ac:dyDescent="0.25">
      <c r="A404" s="62" t="s">
        <v>353</v>
      </c>
      <c r="B404" s="62" t="s">
        <v>353</v>
      </c>
      <c r="C404" s="63"/>
      <c r="D404" s="64"/>
      <c r="E404" s="65"/>
      <c r="F404" s="66"/>
      <c r="G404" s="63"/>
      <c r="H404" s="67"/>
      <c r="I404" s="68"/>
      <c r="J404" s="68"/>
      <c r="K404" s="32"/>
      <c r="L404" s="75">
        <v>404</v>
      </c>
      <c r="M404" s="75"/>
      <c r="N404" s="70"/>
      <c r="O404" s="77" t="s">
        <v>179</v>
      </c>
      <c r="P404" s="79">
        <v>45049.500034722223</v>
      </c>
      <c r="Q404" s="77" t="s">
        <v>1514</v>
      </c>
      <c r="R404" s="77">
        <v>0</v>
      </c>
      <c r="S404" s="77">
        <v>0</v>
      </c>
      <c r="T404" s="77">
        <v>0</v>
      </c>
      <c r="U404" s="77">
        <v>0</v>
      </c>
      <c r="V404" s="77">
        <v>18</v>
      </c>
      <c r="W404" s="82" t="s">
        <v>4325</v>
      </c>
      <c r="X404" s="80" t="str">
        <f>HYPERLINK("https://williamhunt.com.br/segredos-dos-investimentos-para-iniciantes")</f>
        <v>https://williamhunt.com.br/segredos-dos-investimentos-para-iniciantes</v>
      </c>
      <c r="Y404" s="77" t="s">
        <v>6002</v>
      </c>
      <c r="Z404" s="77"/>
      <c r="AA404" s="77" t="s">
        <v>6329</v>
      </c>
      <c r="AB404" s="77" t="s">
        <v>7696</v>
      </c>
      <c r="AC404" s="82" t="s">
        <v>7706</v>
      </c>
      <c r="AD404" s="77" t="s">
        <v>7745</v>
      </c>
      <c r="AE404" s="80" t="str">
        <f>HYPERLINK("https://twitter.com/williamhuntbr/status/1653731140191272960")</f>
        <v>https://twitter.com/williamhuntbr/status/1653731140191272960</v>
      </c>
      <c r="AF404" s="79">
        <v>45049.500034722223</v>
      </c>
      <c r="AG404" s="85">
        <v>45049</v>
      </c>
      <c r="AH404" s="82" t="s">
        <v>8131</v>
      </c>
      <c r="AI404" s="77" t="b">
        <v>0</v>
      </c>
      <c r="AJ404" s="77"/>
      <c r="AK404" s="77"/>
      <c r="AL404" s="77"/>
      <c r="AM404" s="77"/>
      <c r="AN404" s="77"/>
      <c r="AO404" s="77"/>
      <c r="AP404" s="77"/>
      <c r="AQ404" s="77" t="s">
        <v>10836</v>
      </c>
      <c r="AR404" s="77"/>
      <c r="AS404" s="77"/>
      <c r="AT404" s="77"/>
      <c r="AU404" s="77"/>
      <c r="AV404" s="80" t="str">
        <f>HYPERLINK("https://pbs.twimg.com/media/FvD2xnAWYA84OIZ.jpg")</f>
        <v>https://pbs.twimg.com/media/FvD2xnAWYA84OIZ.jpg</v>
      </c>
      <c r="AW404" s="82" t="s">
        <v>12599</v>
      </c>
      <c r="AX404" s="82" t="s">
        <v>12599</v>
      </c>
      <c r="AY404" s="77"/>
      <c r="AZ404" s="82" t="s">
        <v>15804</v>
      </c>
      <c r="BA404" s="82" t="s">
        <v>15804</v>
      </c>
      <c r="BB404" s="82" t="s">
        <v>15804</v>
      </c>
      <c r="BC404" s="82" t="s">
        <v>12599</v>
      </c>
      <c r="BD404" s="82" t="s">
        <v>16208</v>
      </c>
      <c r="BE404" s="77"/>
      <c r="BF404" s="77"/>
      <c r="BG404" s="77"/>
      <c r="BH404" s="77"/>
      <c r="BI404" s="77"/>
    </row>
    <row r="405" spans="1:61" x14ac:dyDescent="0.25">
      <c r="A405" s="62" t="s">
        <v>353</v>
      </c>
      <c r="B405" s="62" t="s">
        <v>353</v>
      </c>
      <c r="C405" s="63"/>
      <c r="D405" s="64"/>
      <c r="E405" s="65"/>
      <c r="F405" s="66"/>
      <c r="G405" s="63"/>
      <c r="H405" s="67"/>
      <c r="I405" s="68"/>
      <c r="J405" s="68"/>
      <c r="K405" s="32"/>
      <c r="L405" s="75">
        <v>405</v>
      </c>
      <c r="M405" s="75"/>
      <c r="N405" s="70"/>
      <c r="O405" s="77" t="s">
        <v>179</v>
      </c>
      <c r="P405" s="79">
        <v>45047.652303240742</v>
      </c>
      <c r="Q405" s="77" t="s">
        <v>1515</v>
      </c>
      <c r="R405" s="77">
        <v>0</v>
      </c>
      <c r="S405" s="77">
        <v>0</v>
      </c>
      <c r="T405" s="77">
        <v>0</v>
      </c>
      <c r="U405" s="77">
        <v>0</v>
      </c>
      <c r="V405" s="77">
        <v>21</v>
      </c>
      <c r="W405" s="82" t="s">
        <v>4326</v>
      </c>
      <c r="X405" s="80" t="str">
        <f>HYPERLINK("http://www.williamhunt.com.br/completo")</f>
        <v>http://www.williamhunt.com.br/completo</v>
      </c>
      <c r="Y405" s="77" t="s">
        <v>6002</v>
      </c>
      <c r="Z405" s="77"/>
      <c r="AA405" s="77" t="s">
        <v>6330</v>
      </c>
      <c r="AB405" s="77" t="s">
        <v>7696</v>
      </c>
      <c r="AC405" s="82" t="s">
        <v>7706</v>
      </c>
      <c r="AD405" s="77" t="s">
        <v>7745</v>
      </c>
      <c r="AE405" s="80" t="str">
        <f>HYPERLINK("https://twitter.com/williamhuntbr/status/1653061545675333634")</f>
        <v>https://twitter.com/williamhuntbr/status/1653061545675333634</v>
      </c>
      <c r="AF405" s="79">
        <v>45047.652303240742</v>
      </c>
      <c r="AG405" s="85">
        <v>45047</v>
      </c>
      <c r="AH405" s="82" t="s">
        <v>8137</v>
      </c>
      <c r="AI405" s="77" t="b">
        <v>0</v>
      </c>
      <c r="AJ405" s="77"/>
      <c r="AK405" s="77"/>
      <c r="AL405" s="77"/>
      <c r="AM405" s="77"/>
      <c r="AN405" s="77"/>
      <c r="AO405" s="77"/>
      <c r="AP405" s="77"/>
      <c r="AQ405" s="77" t="s">
        <v>10837</v>
      </c>
      <c r="AR405" s="77"/>
      <c r="AS405" s="77"/>
      <c r="AT405" s="77"/>
      <c r="AU405" s="77"/>
      <c r="AV405" s="80" t="str">
        <f>HYPERLINK("https://pbs.twimg.com/media/FvDahdUXgAA3awb.jpg")</f>
        <v>https://pbs.twimg.com/media/FvDahdUXgAA3awb.jpg</v>
      </c>
      <c r="AW405" s="82" t="s">
        <v>12600</v>
      </c>
      <c r="AX405" s="82" t="s">
        <v>12600</v>
      </c>
      <c r="AY405" s="77"/>
      <c r="AZ405" s="82" t="s">
        <v>15804</v>
      </c>
      <c r="BA405" s="82" t="s">
        <v>15804</v>
      </c>
      <c r="BB405" s="82" t="s">
        <v>15804</v>
      </c>
      <c r="BC405" s="82" t="s">
        <v>12600</v>
      </c>
      <c r="BD405" s="82" t="s">
        <v>16208</v>
      </c>
      <c r="BE405" s="77"/>
      <c r="BF405" s="77"/>
      <c r="BG405" s="77"/>
      <c r="BH405" s="77"/>
      <c r="BI405" s="77"/>
    </row>
    <row r="406" spans="1:61" x14ac:dyDescent="0.25">
      <c r="A406" s="62" t="s">
        <v>353</v>
      </c>
      <c r="B406" s="62" t="s">
        <v>353</v>
      </c>
      <c r="C406" s="63"/>
      <c r="D406" s="64"/>
      <c r="E406" s="65"/>
      <c r="F406" s="66"/>
      <c r="G406" s="63"/>
      <c r="H406" s="67"/>
      <c r="I406" s="68"/>
      <c r="J406" s="68"/>
      <c r="K406" s="32"/>
      <c r="L406" s="75">
        <v>406</v>
      </c>
      <c r="M406" s="75"/>
      <c r="N406" s="70"/>
      <c r="O406" s="77" t="s">
        <v>179</v>
      </c>
      <c r="P406" s="79">
        <v>45040.604166666664</v>
      </c>
      <c r="Q406" s="77" t="s">
        <v>1516</v>
      </c>
      <c r="R406" s="77">
        <v>0</v>
      </c>
      <c r="S406" s="77">
        <v>0</v>
      </c>
      <c r="T406" s="77">
        <v>0</v>
      </c>
      <c r="U406" s="77">
        <v>0</v>
      </c>
      <c r="V406" s="77">
        <v>28</v>
      </c>
      <c r="W406" s="82" t="s">
        <v>4327</v>
      </c>
      <c r="X406" s="80" t="str">
        <f>HYPERLINK("https://www.williamhunt.com.br/segredos-dos-investimentos-para-iniciantes")</f>
        <v>https://www.williamhunt.com.br/segredos-dos-investimentos-para-iniciantes</v>
      </c>
      <c r="Y406" s="77" t="s">
        <v>6002</v>
      </c>
      <c r="Z406" s="77"/>
      <c r="AA406" s="77" t="s">
        <v>6331</v>
      </c>
      <c r="AB406" s="77" t="s">
        <v>7696</v>
      </c>
      <c r="AC406" s="82" t="s">
        <v>7706</v>
      </c>
      <c r="AD406" s="77" t="s">
        <v>7745</v>
      </c>
      <c r="AE406" s="80" t="str">
        <f>HYPERLINK("https://twitter.com/williamhuntbr/status/1650507386497449989")</f>
        <v>https://twitter.com/williamhuntbr/status/1650507386497449989</v>
      </c>
      <c r="AF406" s="79">
        <v>45040.604166666664</v>
      </c>
      <c r="AG406" s="85">
        <v>45040</v>
      </c>
      <c r="AH406" s="82" t="s">
        <v>8129</v>
      </c>
      <c r="AI406" s="77" t="b">
        <v>0</v>
      </c>
      <c r="AJ406" s="77"/>
      <c r="AK406" s="77"/>
      <c r="AL406" s="77"/>
      <c r="AM406" s="77"/>
      <c r="AN406" s="77"/>
      <c r="AO406" s="77"/>
      <c r="AP406" s="77"/>
      <c r="AQ406" s="77" t="s">
        <v>10838</v>
      </c>
      <c r="AR406" s="77"/>
      <c r="AS406" s="77"/>
      <c r="AT406" s="77"/>
      <c r="AU406" s="77"/>
      <c r="AV406" s="80" t="str">
        <f>HYPERLINK("https://pbs.twimg.com/media/FuK66kdX0AE9uxJ.jpg")</f>
        <v>https://pbs.twimg.com/media/FuK66kdX0AE9uxJ.jpg</v>
      </c>
      <c r="AW406" s="82" t="s">
        <v>12601</v>
      </c>
      <c r="AX406" s="82" t="s">
        <v>12601</v>
      </c>
      <c r="AY406" s="77"/>
      <c r="AZ406" s="82" t="s">
        <v>15804</v>
      </c>
      <c r="BA406" s="82" t="s">
        <v>15804</v>
      </c>
      <c r="BB406" s="82" t="s">
        <v>15804</v>
      </c>
      <c r="BC406" s="82" t="s">
        <v>12601</v>
      </c>
      <c r="BD406" s="82" t="s">
        <v>16208</v>
      </c>
      <c r="BE406" s="77"/>
      <c r="BF406" s="77"/>
      <c r="BG406" s="77"/>
      <c r="BH406" s="77"/>
      <c r="BI406" s="77"/>
    </row>
    <row r="407" spans="1:61" x14ac:dyDescent="0.25">
      <c r="A407" s="62" t="s">
        <v>353</v>
      </c>
      <c r="B407" s="62" t="s">
        <v>353</v>
      </c>
      <c r="C407" s="63"/>
      <c r="D407" s="64"/>
      <c r="E407" s="65"/>
      <c r="F407" s="66"/>
      <c r="G407" s="63"/>
      <c r="H407" s="67"/>
      <c r="I407" s="68"/>
      <c r="J407" s="68"/>
      <c r="K407" s="32"/>
      <c r="L407" s="75">
        <v>407</v>
      </c>
      <c r="M407" s="75"/>
      <c r="N407" s="70"/>
      <c r="O407" s="77" t="s">
        <v>179</v>
      </c>
      <c r="P407" s="79">
        <v>45000.622777777775</v>
      </c>
      <c r="Q407" s="77" t="s">
        <v>1517</v>
      </c>
      <c r="R407" s="77">
        <v>0</v>
      </c>
      <c r="S407" s="77">
        <v>1</v>
      </c>
      <c r="T407" s="77">
        <v>0</v>
      </c>
      <c r="U407" s="77">
        <v>0</v>
      </c>
      <c r="V407" s="77">
        <v>27</v>
      </c>
      <c r="W407" s="82" t="s">
        <v>4328</v>
      </c>
      <c r="X407" s="77"/>
      <c r="Y407" s="77"/>
      <c r="Z407" s="77"/>
      <c r="AA407" s="77" t="s">
        <v>6332</v>
      </c>
      <c r="AB407" s="77" t="s">
        <v>7696</v>
      </c>
      <c r="AC407" s="82" t="s">
        <v>7706</v>
      </c>
      <c r="AD407" s="77" t="s">
        <v>7745</v>
      </c>
      <c r="AE407" s="80" t="str">
        <f>HYPERLINK("https://twitter.com/williamhuntbr/status/1636018616276582414")</f>
        <v>https://twitter.com/williamhuntbr/status/1636018616276582414</v>
      </c>
      <c r="AF407" s="79">
        <v>45000.622777777775</v>
      </c>
      <c r="AG407" s="85">
        <v>45000</v>
      </c>
      <c r="AH407" s="82" t="s">
        <v>8138</v>
      </c>
      <c r="AI407" s="77" t="b">
        <v>0</v>
      </c>
      <c r="AJ407" s="77"/>
      <c r="AK407" s="77"/>
      <c r="AL407" s="77"/>
      <c r="AM407" s="77"/>
      <c r="AN407" s="77"/>
      <c r="AO407" s="77"/>
      <c r="AP407" s="77"/>
      <c r="AQ407" s="77" t="s">
        <v>10839</v>
      </c>
      <c r="AR407" s="77"/>
      <c r="AS407" s="77"/>
      <c r="AT407" s="77"/>
      <c r="AU407" s="77"/>
      <c r="AV407" s="80" t="str">
        <f>HYPERLINK("https://pbs.twimg.com/media/FrROOutXoAQkKDg.jpg")</f>
        <v>https://pbs.twimg.com/media/FrROOutXoAQkKDg.jpg</v>
      </c>
      <c r="AW407" s="82" t="s">
        <v>12602</v>
      </c>
      <c r="AX407" s="82" t="s">
        <v>12602</v>
      </c>
      <c r="AY407" s="77"/>
      <c r="AZ407" s="82" t="s">
        <v>15804</v>
      </c>
      <c r="BA407" s="82" t="s">
        <v>15804</v>
      </c>
      <c r="BB407" s="82" t="s">
        <v>15804</v>
      </c>
      <c r="BC407" s="82" t="s">
        <v>12602</v>
      </c>
      <c r="BD407" s="82" t="s">
        <v>16208</v>
      </c>
      <c r="BE407" s="77"/>
      <c r="BF407" s="77"/>
      <c r="BG407" s="77"/>
      <c r="BH407" s="77"/>
      <c r="BI407" s="77"/>
    </row>
    <row r="408" spans="1:61" x14ac:dyDescent="0.25">
      <c r="A408" s="62" t="s">
        <v>353</v>
      </c>
      <c r="B408" s="62" t="s">
        <v>353</v>
      </c>
      <c r="C408" s="63"/>
      <c r="D408" s="64"/>
      <c r="E408" s="65"/>
      <c r="F408" s="66"/>
      <c r="G408" s="63"/>
      <c r="H408" s="67"/>
      <c r="I408" s="68"/>
      <c r="J408" s="68"/>
      <c r="K408" s="32"/>
      <c r="L408" s="75">
        <v>408</v>
      </c>
      <c r="M408" s="75"/>
      <c r="N408" s="70"/>
      <c r="O408" s="77" t="s">
        <v>179</v>
      </c>
      <c r="P408" s="79">
        <v>44944.604212962964</v>
      </c>
      <c r="Q408" s="77" t="s">
        <v>1518</v>
      </c>
      <c r="R408" s="77">
        <v>0</v>
      </c>
      <c r="S408" s="77">
        <v>0</v>
      </c>
      <c r="T408" s="77">
        <v>0</v>
      </c>
      <c r="U408" s="77">
        <v>0</v>
      </c>
      <c r="V408" s="77">
        <v>26</v>
      </c>
      <c r="W408" s="82" t="s">
        <v>4329</v>
      </c>
      <c r="X408" s="80" t="str">
        <f>HYPERLINK("http://williamhunt.com.br/segredos-dos-investimentos-para-iniciantes")</f>
        <v>http://williamhunt.com.br/segredos-dos-investimentos-para-iniciantes</v>
      </c>
      <c r="Y408" s="77" t="s">
        <v>6002</v>
      </c>
      <c r="Z408" s="77"/>
      <c r="AA408" s="77" t="s">
        <v>6333</v>
      </c>
      <c r="AB408" s="77" t="s">
        <v>7696</v>
      </c>
      <c r="AC408" s="82" t="s">
        <v>7706</v>
      </c>
      <c r="AD408" s="77" t="s">
        <v>7745</v>
      </c>
      <c r="AE408" s="80" t="str">
        <f>HYPERLINK("https://twitter.com/williamhuntbr/status/1615718167807918080")</f>
        <v>https://twitter.com/williamhuntbr/status/1615718167807918080</v>
      </c>
      <c r="AF408" s="79">
        <v>44944.604212962964</v>
      </c>
      <c r="AG408" s="85">
        <v>44944</v>
      </c>
      <c r="AH408" s="82" t="s">
        <v>8139</v>
      </c>
      <c r="AI408" s="77" t="b">
        <v>0</v>
      </c>
      <c r="AJ408" s="77"/>
      <c r="AK408" s="77"/>
      <c r="AL408" s="77"/>
      <c r="AM408" s="77"/>
      <c r="AN408" s="77"/>
      <c r="AO408" s="77"/>
      <c r="AP408" s="77"/>
      <c r="AQ408" s="77" t="s">
        <v>10840</v>
      </c>
      <c r="AR408" s="77"/>
      <c r="AS408" s="77"/>
      <c r="AT408" s="77"/>
      <c r="AU408" s="77"/>
      <c r="AV408" s="80" t="str">
        <f>HYPERLINK("https://pbs.twimg.com/media/FmwvGiIXwAIHC9P.jpg")</f>
        <v>https://pbs.twimg.com/media/FmwvGiIXwAIHC9P.jpg</v>
      </c>
      <c r="AW408" s="82" t="s">
        <v>12603</v>
      </c>
      <c r="AX408" s="82" t="s">
        <v>12603</v>
      </c>
      <c r="AY408" s="77"/>
      <c r="AZ408" s="82" t="s">
        <v>15804</v>
      </c>
      <c r="BA408" s="82" t="s">
        <v>15804</v>
      </c>
      <c r="BB408" s="82" t="s">
        <v>15804</v>
      </c>
      <c r="BC408" s="82" t="s">
        <v>12603</v>
      </c>
      <c r="BD408" s="82" t="s">
        <v>16208</v>
      </c>
      <c r="BE408" s="77"/>
      <c r="BF408" s="77"/>
      <c r="BG408" s="77"/>
      <c r="BH408" s="77"/>
      <c r="BI408" s="77"/>
    </row>
    <row r="409" spans="1:61" x14ac:dyDescent="0.25">
      <c r="A409" s="62" t="s">
        <v>353</v>
      </c>
      <c r="B409" s="62" t="s">
        <v>353</v>
      </c>
      <c r="C409" s="63"/>
      <c r="D409" s="64"/>
      <c r="E409" s="65"/>
      <c r="F409" s="66"/>
      <c r="G409" s="63"/>
      <c r="H409" s="67"/>
      <c r="I409" s="68"/>
      <c r="J409" s="68"/>
      <c r="K409" s="32"/>
      <c r="L409" s="75">
        <v>409</v>
      </c>
      <c r="M409" s="75"/>
      <c r="N409" s="70"/>
      <c r="O409" s="77" t="s">
        <v>179</v>
      </c>
      <c r="P409" s="79">
        <v>44942.607048611113</v>
      </c>
      <c r="Q409" s="77" t="s">
        <v>1519</v>
      </c>
      <c r="R409" s="77">
        <v>0</v>
      </c>
      <c r="S409" s="77">
        <v>0</v>
      </c>
      <c r="T409" s="77">
        <v>0</v>
      </c>
      <c r="U409" s="77">
        <v>0</v>
      </c>
      <c r="V409" s="77">
        <v>18</v>
      </c>
      <c r="W409" s="82" t="s">
        <v>4330</v>
      </c>
      <c r="X409" s="80" t="str">
        <f>HYPERLINK("http://williamhunt.com.br/segredos-dos-investimentos-para-iniciantes")</f>
        <v>http://williamhunt.com.br/segredos-dos-investimentos-para-iniciantes</v>
      </c>
      <c r="Y409" s="77" t="s">
        <v>6002</v>
      </c>
      <c r="Z409" s="77"/>
      <c r="AA409" s="77" t="s">
        <v>6334</v>
      </c>
      <c r="AB409" s="77" t="s">
        <v>7698</v>
      </c>
      <c r="AC409" s="82" t="s">
        <v>7706</v>
      </c>
      <c r="AD409" s="77" t="s">
        <v>7745</v>
      </c>
      <c r="AE409" s="80" t="str">
        <f>HYPERLINK("https://twitter.com/williamhuntbr/status/1614994419387613186")</f>
        <v>https://twitter.com/williamhuntbr/status/1614994419387613186</v>
      </c>
      <c r="AF409" s="79">
        <v>44942.607048611113</v>
      </c>
      <c r="AG409" s="85">
        <v>44942</v>
      </c>
      <c r="AH409" s="82" t="s">
        <v>8140</v>
      </c>
      <c r="AI409" s="77" t="b">
        <v>0</v>
      </c>
      <c r="AJ409" s="77"/>
      <c r="AK409" s="77"/>
      <c r="AL409" s="77"/>
      <c r="AM409" s="77"/>
      <c r="AN409" s="77"/>
      <c r="AO409" s="77"/>
      <c r="AP409" s="77"/>
      <c r="AQ409" s="77" t="s">
        <v>10841</v>
      </c>
      <c r="AR409" s="77"/>
      <c r="AS409" s="77"/>
      <c r="AT409" s="77"/>
      <c r="AU409" s="77"/>
      <c r="AV409" s="80" t="str">
        <f>HYPERLINK("https://pbs.twimg.com/media/Fmmc04BXwAEB9iJ.jpg")</f>
        <v>https://pbs.twimg.com/media/Fmmc04BXwAEB9iJ.jpg</v>
      </c>
      <c r="AW409" s="82" t="s">
        <v>12604</v>
      </c>
      <c r="AX409" s="82" t="s">
        <v>12604</v>
      </c>
      <c r="AY409" s="77"/>
      <c r="AZ409" s="82" t="s">
        <v>15804</v>
      </c>
      <c r="BA409" s="82" t="s">
        <v>15804</v>
      </c>
      <c r="BB409" s="82" t="s">
        <v>15804</v>
      </c>
      <c r="BC409" s="82" t="s">
        <v>12604</v>
      </c>
      <c r="BD409" s="82" t="s">
        <v>16208</v>
      </c>
      <c r="BE409" s="77"/>
      <c r="BF409" s="77"/>
      <c r="BG409" s="77"/>
      <c r="BH409" s="77"/>
      <c r="BI409" s="77"/>
    </row>
    <row r="410" spans="1:61" x14ac:dyDescent="0.25">
      <c r="A410" s="62" t="s">
        <v>353</v>
      </c>
      <c r="B410" s="62" t="s">
        <v>353</v>
      </c>
      <c r="C410" s="63"/>
      <c r="D410" s="64"/>
      <c r="E410" s="65"/>
      <c r="F410" s="66"/>
      <c r="G410" s="63"/>
      <c r="H410" s="67"/>
      <c r="I410" s="68"/>
      <c r="J410" s="68"/>
      <c r="K410" s="32"/>
      <c r="L410" s="75">
        <v>410</v>
      </c>
      <c r="M410" s="75"/>
      <c r="N410" s="70"/>
      <c r="O410" s="77" t="s">
        <v>179</v>
      </c>
      <c r="P410" s="79">
        <v>44939.837245370371</v>
      </c>
      <c r="Q410" s="77" t="s">
        <v>1520</v>
      </c>
      <c r="R410" s="77">
        <v>0</v>
      </c>
      <c r="S410" s="77">
        <v>0</v>
      </c>
      <c r="T410" s="77">
        <v>0</v>
      </c>
      <c r="U410" s="77">
        <v>0</v>
      </c>
      <c r="V410" s="77">
        <v>29</v>
      </c>
      <c r="W410" s="82" t="s">
        <v>4331</v>
      </c>
      <c r="X410" s="80" t="str">
        <f>HYPERLINK("http://williamhunt.com.br/segredos-dos-investimentos-para-iniciantes")</f>
        <v>http://williamhunt.com.br/segredos-dos-investimentos-para-iniciantes</v>
      </c>
      <c r="Y410" s="77" t="s">
        <v>6002</v>
      </c>
      <c r="Z410" s="77"/>
      <c r="AA410" s="77" t="s">
        <v>6335</v>
      </c>
      <c r="AB410" s="77" t="s">
        <v>7700</v>
      </c>
      <c r="AC410" s="82" t="s">
        <v>7706</v>
      </c>
      <c r="AD410" s="77" t="s">
        <v>7745</v>
      </c>
      <c r="AE410" s="80" t="str">
        <f>HYPERLINK("https://twitter.com/williamhuntbr/status/1613990678110904320")</f>
        <v>https://twitter.com/williamhuntbr/status/1613990678110904320</v>
      </c>
      <c r="AF410" s="79">
        <v>44939.837245370371</v>
      </c>
      <c r="AG410" s="85">
        <v>44939</v>
      </c>
      <c r="AH410" s="82" t="s">
        <v>8141</v>
      </c>
      <c r="AI410" s="77" t="b">
        <v>0</v>
      </c>
      <c r="AJ410" s="77"/>
      <c r="AK410" s="77"/>
      <c r="AL410" s="77"/>
      <c r="AM410" s="77"/>
      <c r="AN410" s="77"/>
      <c r="AO410" s="77"/>
      <c r="AP410" s="77"/>
      <c r="AQ410" s="77" t="s">
        <v>10842</v>
      </c>
      <c r="AR410" s="77"/>
      <c r="AS410" s="77"/>
      <c r="AT410" s="77"/>
      <c r="AU410" s="77"/>
      <c r="AV410" s="80" t="str">
        <f>HYPERLINK("https://pbs.twimg.com/media/FmYL8x1XEAMGqN3.jpg")</f>
        <v>https://pbs.twimg.com/media/FmYL8x1XEAMGqN3.jpg</v>
      </c>
      <c r="AW410" s="82" t="s">
        <v>12605</v>
      </c>
      <c r="AX410" s="82" t="s">
        <v>12605</v>
      </c>
      <c r="AY410" s="77"/>
      <c r="AZ410" s="82" t="s">
        <v>15804</v>
      </c>
      <c r="BA410" s="82" t="s">
        <v>15804</v>
      </c>
      <c r="BB410" s="82" t="s">
        <v>15804</v>
      </c>
      <c r="BC410" s="82" t="s">
        <v>12605</v>
      </c>
      <c r="BD410" s="82" t="s">
        <v>16208</v>
      </c>
      <c r="BE410" s="77"/>
      <c r="BF410" s="77"/>
      <c r="BG410" s="77"/>
      <c r="BH410" s="77"/>
      <c r="BI410" s="77"/>
    </row>
    <row r="411" spans="1:61" x14ac:dyDescent="0.25">
      <c r="A411" s="62" t="s">
        <v>353</v>
      </c>
      <c r="B411" s="62" t="s">
        <v>353</v>
      </c>
      <c r="C411" s="63"/>
      <c r="D411" s="64"/>
      <c r="E411" s="65"/>
      <c r="F411" s="66"/>
      <c r="G411" s="63"/>
      <c r="H411" s="67"/>
      <c r="I411" s="68"/>
      <c r="J411" s="68"/>
      <c r="K411" s="32"/>
      <c r="L411" s="75">
        <v>411</v>
      </c>
      <c r="M411" s="75"/>
      <c r="N411" s="70"/>
      <c r="O411" s="77" t="s">
        <v>179</v>
      </c>
      <c r="P411" s="79">
        <v>44939.538900462961</v>
      </c>
      <c r="Q411" s="77" t="s">
        <v>1521</v>
      </c>
      <c r="R411" s="77">
        <v>0</v>
      </c>
      <c r="S411" s="77">
        <v>0</v>
      </c>
      <c r="T411" s="77">
        <v>0</v>
      </c>
      <c r="U411" s="77">
        <v>0</v>
      </c>
      <c r="V411" s="77">
        <v>23</v>
      </c>
      <c r="W411" s="82" t="s">
        <v>4332</v>
      </c>
      <c r="X411" s="80" t="str">
        <f>HYPERLINK("http://williamhunt.com.br/segredos-dos-investimentos-para-iniciantes")</f>
        <v>http://williamhunt.com.br/segredos-dos-investimentos-para-iniciantes</v>
      </c>
      <c r="Y411" s="77" t="s">
        <v>6002</v>
      </c>
      <c r="Z411" s="77"/>
      <c r="AA411" s="77" t="s">
        <v>6336</v>
      </c>
      <c r="AB411" s="77" t="s">
        <v>7696</v>
      </c>
      <c r="AC411" s="82" t="s">
        <v>7706</v>
      </c>
      <c r="AD411" s="77" t="s">
        <v>7745</v>
      </c>
      <c r="AE411" s="80" t="str">
        <f>HYPERLINK("https://twitter.com/williamhuntbr/status/1613882561767301121")</f>
        <v>https://twitter.com/williamhuntbr/status/1613882561767301121</v>
      </c>
      <c r="AF411" s="79">
        <v>44939.538900462961</v>
      </c>
      <c r="AG411" s="85">
        <v>44939</v>
      </c>
      <c r="AH411" s="82" t="s">
        <v>8142</v>
      </c>
      <c r="AI411" s="77" t="b">
        <v>0</v>
      </c>
      <c r="AJ411" s="77"/>
      <c r="AK411" s="77"/>
      <c r="AL411" s="77"/>
      <c r="AM411" s="77"/>
      <c r="AN411" s="77"/>
      <c r="AO411" s="77"/>
      <c r="AP411" s="77"/>
      <c r="AQ411" s="77" t="s">
        <v>10843</v>
      </c>
      <c r="AR411" s="77"/>
      <c r="AS411" s="77"/>
      <c r="AT411" s="77"/>
      <c r="AU411" s="77"/>
      <c r="AV411" s="80" t="str">
        <f>HYPERLINK("https://pbs.twimg.com/media/FmWpmBHXEAEnBAj.jpg")</f>
        <v>https://pbs.twimg.com/media/FmWpmBHXEAEnBAj.jpg</v>
      </c>
      <c r="AW411" s="82" t="s">
        <v>12606</v>
      </c>
      <c r="AX411" s="82" t="s">
        <v>12606</v>
      </c>
      <c r="AY411" s="77"/>
      <c r="AZ411" s="82" t="s">
        <v>15804</v>
      </c>
      <c r="BA411" s="82" t="s">
        <v>15804</v>
      </c>
      <c r="BB411" s="82" t="s">
        <v>15804</v>
      </c>
      <c r="BC411" s="82" t="s">
        <v>12606</v>
      </c>
      <c r="BD411" s="82" t="s">
        <v>16208</v>
      </c>
      <c r="BE411" s="77"/>
      <c r="BF411" s="77"/>
      <c r="BG411" s="77"/>
      <c r="BH411" s="77"/>
      <c r="BI411" s="77"/>
    </row>
    <row r="412" spans="1:61" x14ac:dyDescent="0.25">
      <c r="A412" s="62" t="s">
        <v>353</v>
      </c>
      <c r="B412" s="62" t="s">
        <v>353</v>
      </c>
      <c r="C412" s="63"/>
      <c r="D412" s="64"/>
      <c r="E412" s="65"/>
      <c r="F412" s="66"/>
      <c r="G412" s="63"/>
      <c r="H412" s="67"/>
      <c r="I412" s="68"/>
      <c r="J412" s="68"/>
      <c r="K412" s="32"/>
      <c r="L412" s="75">
        <v>412</v>
      </c>
      <c r="M412" s="75"/>
      <c r="N412" s="70"/>
      <c r="O412" s="77" t="s">
        <v>179</v>
      </c>
      <c r="P412" s="79">
        <v>45159.5</v>
      </c>
      <c r="Q412" s="77" t="s">
        <v>1522</v>
      </c>
      <c r="R412" s="77">
        <v>0</v>
      </c>
      <c r="S412" s="77">
        <v>0</v>
      </c>
      <c r="T412" s="77">
        <v>0</v>
      </c>
      <c r="U412" s="77">
        <v>0</v>
      </c>
      <c r="V412" s="77">
        <v>14</v>
      </c>
      <c r="W412" s="82" t="s">
        <v>4333</v>
      </c>
      <c r="X412" s="80" t="str">
        <f>HYPERLINK("http://www.williamhunt.com.br/completo")</f>
        <v>http://www.williamhunt.com.br/completo</v>
      </c>
      <c r="Y412" s="77" t="s">
        <v>6002</v>
      </c>
      <c r="Z412" s="77"/>
      <c r="AA412" s="77" t="s">
        <v>6337</v>
      </c>
      <c r="AB412" s="77" t="s">
        <v>7698</v>
      </c>
      <c r="AC412" s="82" t="s">
        <v>7706</v>
      </c>
      <c r="AD412" s="77" t="s">
        <v>7745</v>
      </c>
      <c r="AE412" s="80" t="str">
        <f>HYPERLINK("https://twitter.com/williamhuntbr/status/1693593793113862517")</f>
        <v>https://twitter.com/williamhuntbr/status/1693593793113862517</v>
      </c>
      <c r="AF412" s="79">
        <v>45159.5</v>
      </c>
      <c r="AG412" s="85">
        <v>45159</v>
      </c>
      <c r="AH412" s="82" t="s">
        <v>8143</v>
      </c>
      <c r="AI412" s="77" t="b">
        <v>0</v>
      </c>
      <c r="AJ412" s="77"/>
      <c r="AK412" s="77"/>
      <c r="AL412" s="77"/>
      <c r="AM412" s="77"/>
      <c r="AN412" s="77"/>
      <c r="AO412" s="77"/>
      <c r="AP412" s="77"/>
      <c r="AQ412" s="77" t="s">
        <v>10844</v>
      </c>
      <c r="AR412" s="77"/>
      <c r="AS412" s="77"/>
      <c r="AT412" s="77"/>
      <c r="AU412" s="77"/>
      <c r="AV412" s="80" t="str">
        <f>HYPERLINK("https://pbs.twimg.com/media/F3BNQmIXwAA87Gb.jpg")</f>
        <v>https://pbs.twimg.com/media/F3BNQmIXwAA87Gb.jpg</v>
      </c>
      <c r="AW412" s="82" t="s">
        <v>12607</v>
      </c>
      <c r="AX412" s="82" t="s">
        <v>12607</v>
      </c>
      <c r="AY412" s="77"/>
      <c r="AZ412" s="82" t="s">
        <v>15804</v>
      </c>
      <c r="BA412" s="82" t="s">
        <v>15804</v>
      </c>
      <c r="BB412" s="82" t="s">
        <v>15804</v>
      </c>
      <c r="BC412" s="82" t="s">
        <v>12607</v>
      </c>
      <c r="BD412" s="82" t="s">
        <v>16208</v>
      </c>
      <c r="BE412" s="77"/>
      <c r="BF412" s="77"/>
      <c r="BG412" s="77"/>
      <c r="BH412" s="77"/>
      <c r="BI412" s="77"/>
    </row>
    <row r="413" spans="1:61" x14ac:dyDescent="0.25">
      <c r="A413" s="62" t="s">
        <v>353</v>
      </c>
      <c r="B413" s="62" t="s">
        <v>353</v>
      </c>
      <c r="C413" s="63"/>
      <c r="D413" s="64"/>
      <c r="E413" s="65"/>
      <c r="F413" s="66"/>
      <c r="G413" s="63"/>
      <c r="H413" s="67"/>
      <c r="I413" s="68"/>
      <c r="J413" s="68"/>
      <c r="K413" s="32"/>
      <c r="L413" s="75">
        <v>413</v>
      </c>
      <c r="M413" s="75"/>
      <c r="N413" s="70"/>
      <c r="O413" s="77" t="s">
        <v>179</v>
      </c>
      <c r="P413" s="79">
        <v>45138.5</v>
      </c>
      <c r="Q413" s="77" t="s">
        <v>1523</v>
      </c>
      <c r="R413" s="77">
        <v>0</v>
      </c>
      <c r="S413" s="77">
        <v>0</v>
      </c>
      <c r="T413" s="77">
        <v>0</v>
      </c>
      <c r="U413" s="77">
        <v>0</v>
      </c>
      <c r="V413" s="77">
        <v>21</v>
      </c>
      <c r="W413" s="82" t="s">
        <v>4334</v>
      </c>
      <c r="X413" s="80" t="str">
        <f>HYPERLINK("https://www.williamhunt.com.br/segredos-dos-investimentos-para-iniciantes")</f>
        <v>https://www.williamhunt.com.br/segredos-dos-investimentos-para-iniciantes</v>
      </c>
      <c r="Y413" s="77" t="s">
        <v>6002</v>
      </c>
      <c r="Z413" s="77"/>
      <c r="AA413" s="77" t="s">
        <v>6338</v>
      </c>
      <c r="AB413" s="77" t="s">
        <v>7696</v>
      </c>
      <c r="AC413" s="82" t="s">
        <v>7706</v>
      </c>
      <c r="AD413" s="77" t="s">
        <v>7745</v>
      </c>
      <c r="AE413" s="80" t="str">
        <f>HYPERLINK("https://twitter.com/williamhuntbr/status/1685983650234408960")</f>
        <v>https://twitter.com/williamhuntbr/status/1685983650234408960</v>
      </c>
      <c r="AF413" s="79">
        <v>45138.5</v>
      </c>
      <c r="AG413" s="85">
        <v>45138</v>
      </c>
      <c r="AH413" s="82" t="s">
        <v>8143</v>
      </c>
      <c r="AI413" s="77" t="b">
        <v>0</v>
      </c>
      <c r="AJ413" s="77"/>
      <c r="AK413" s="77"/>
      <c r="AL413" s="77"/>
      <c r="AM413" s="77"/>
      <c r="AN413" s="77"/>
      <c r="AO413" s="77"/>
      <c r="AP413" s="77"/>
      <c r="AQ413" s="77" t="s">
        <v>10845</v>
      </c>
      <c r="AR413" s="77"/>
      <c r="AS413" s="77"/>
      <c r="AT413" s="77"/>
      <c r="AU413" s="77"/>
      <c r="AV413" s="80" t="str">
        <f>HYPERLINK("https://pbs.twimg.com/media/F1lhk60WwAA34Oj.jpg")</f>
        <v>https://pbs.twimg.com/media/F1lhk60WwAA34Oj.jpg</v>
      </c>
      <c r="AW413" s="82" t="s">
        <v>12608</v>
      </c>
      <c r="AX413" s="82" t="s">
        <v>12608</v>
      </c>
      <c r="AY413" s="77"/>
      <c r="AZ413" s="82" t="s">
        <v>15804</v>
      </c>
      <c r="BA413" s="82" t="s">
        <v>15804</v>
      </c>
      <c r="BB413" s="82" t="s">
        <v>15804</v>
      </c>
      <c r="BC413" s="82" t="s">
        <v>12608</v>
      </c>
      <c r="BD413" s="82" t="s">
        <v>16208</v>
      </c>
      <c r="BE413" s="77"/>
      <c r="BF413" s="77"/>
      <c r="BG413" s="77"/>
      <c r="BH413" s="77"/>
      <c r="BI413" s="77"/>
    </row>
    <row r="414" spans="1:61" x14ac:dyDescent="0.25">
      <c r="A414" s="62" t="s">
        <v>353</v>
      </c>
      <c r="B414" s="62" t="s">
        <v>353</v>
      </c>
      <c r="C414" s="63"/>
      <c r="D414" s="64"/>
      <c r="E414" s="65"/>
      <c r="F414" s="66"/>
      <c r="G414" s="63"/>
      <c r="H414" s="67"/>
      <c r="I414" s="68"/>
      <c r="J414" s="68"/>
      <c r="K414" s="32"/>
      <c r="L414" s="75">
        <v>414</v>
      </c>
      <c r="M414" s="75"/>
      <c r="N414" s="70"/>
      <c r="O414" s="77" t="s">
        <v>179</v>
      </c>
      <c r="P414" s="79">
        <v>45131.500023148146</v>
      </c>
      <c r="Q414" s="77" t="s">
        <v>1524</v>
      </c>
      <c r="R414" s="77">
        <v>0</v>
      </c>
      <c r="S414" s="77">
        <v>0</v>
      </c>
      <c r="T414" s="77">
        <v>0</v>
      </c>
      <c r="U414" s="77">
        <v>0</v>
      </c>
      <c r="V414" s="77">
        <v>22</v>
      </c>
      <c r="W414" s="82" t="s">
        <v>4335</v>
      </c>
      <c r="X414" s="80" t="str">
        <f>HYPERLINK("https://www.williamhunt.com.br/segredos-dos-investimentos-para-iniciantes")</f>
        <v>https://www.williamhunt.com.br/segredos-dos-investimentos-para-iniciantes</v>
      </c>
      <c r="Y414" s="77" t="s">
        <v>6002</v>
      </c>
      <c r="Z414" s="77"/>
      <c r="AA414" s="77" t="s">
        <v>6339</v>
      </c>
      <c r="AB414" s="77" t="s">
        <v>7696</v>
      </c>
      <c r="AC414" s="82" t="s">
        <v>7706</v>
      </c>
      <c r="AD414" s="77" t="s">
        <v>7745</v>
      </c>
      <c r="AE414" s="80" t="str">
        <f>HYPERLINK("https://twitter.com/williamhuntbr/status/1683446940753641473")</f>
        <v>https://twitter.com/williamhuntbr/status/1683446940753641473</v>
      </c>
      <c r="AF414" s="79">
        <v>45131.500023148146</v>
      </c>
      <c r="AG414" s="85">
        <v>45131</v>
      </c>
      <c r="AH414" s="82" t="s">
        <v>8128</v>
      </c>
      <c r="AI414" s="77" t="b">
        <v>0</v>
      </c>
      <c r="AJ414" s="77"/>
      <c r="AK414" s="77"/>
      <c r="AL414" s="77"/>
      <c r="AM414" s="77"/>
      <c r="AN414" s="77"/>
      <c r="AO414" s="77"/>
      <c r="AP414" s="77"/>
      <c r="AQ414" s="77" t="s">
        <v>10846</v>
      </c>
      <c r="AR414" s="77"/>
      <c r="AS414" s="77"/>
      <c r="AT414" s="77"/>
      <c r="AU414" s="77"/>
      <c r="AV414" s="80" t="str">
        <f>HYPERLINK("https://pbs.twimg.com/media/F1Bo-gMWcAMjssd.jpg")</f>
        <v>https://pbs.twimg.com/media/F1Bo-gMWcAMjssd.jpg</v>
      </c>
      <c r="AW414" s="82" t="s">
        <v>12609</v>
      </c>
      <c r="AX414" s="82" t="s">
        <v>12609</v>
      </c>
      <c r="AY414" s="77"/>
      <c r="AZ414" s="82" t="s">
        <v>15804</v>
      </c>
      <c r="BA414" s="82" t="s">
        <v>15804</v>
      </c>
      <c r="BB414" s="82" t="s">
        <v>15804</v>
      </c>
      <c r="BC414" s="82" t="s">
        <v>12609</v>
      </c>
      <c r="BD414" s="82" t="s">
        <v>16208</v>
      </c>
      <c r="BE414" s="77"/>
      <c r="BF414" s="77"/>
      <c r="BG414" s="77"/>
      <c r="BH414" s="77"/>
      <c r="BI414" s="77"/>
    </row>
    <row r="415" spans="1:61" x14ac:dyDescent="0.25">
      <c r="A415" s="62" t="s">
        <v>353</v>
      </c>
      <c r="B415" s="62" t="s">
        <v>353</v>
      </c>
      <c r="C415" s="63"/>
      <c r="D415" s="64"/>
      <c r="E415" s="65"/>
      <c r="F415" s="66"/>
      <c r="G415" s="63"/>
      <c r="H415" s="67"/>
      <c r="I415" s="68"/>
      <c r="J415" s="68"/>
      <c r="K415" s="32"/>
      <c r="L415" s="75">
        <v>415</v>
      </c>
      <c r="M415" s="75"/>
      <c r="N415" s="70"/>
      <c r="O415" s="77" t="s">
        <v>179</v>
      </c>
      <c r="P415" s="79">
        <v>45121.500011574077</v>
      </c>
      <c r="Q415" s="77" t="s">
        <v>1525</v>
      </c>
      <c r="R415" s="77">
        <v>0</v>
      </c>
      <c r="S415" s="77">
        <v>0</v>
      </c>
      <c r="T415" s="77">
        <v>0</v>
      </c>
      <c r="U415" s="77">
        <v>0</v>
      </c>
      <c r="V415" s="77">
        <v>17</v>
      </c>
      <c r="W415" s="82" t="s">
        <v>4336</v>
      </c>
      <c r="X415" s="80" t="str">
        <f>HYPERLINK("https://www.williamhunt.com.br/segredos-dos-investimentos-para-iniciantes")</f>
        <v>https://www.williamhunt.com.br/segredos-dos-investimentos-para-iniciantes</v>
      </c>
      <c r="Y415" s="77" t="s">
        <v>6002</v>
      </c>
      <c r="Z415" s="77"/>
      <c r="AA415" s="77" t="s">
        <v>6340</v>
      </c>
      <c r="AB415" s="77" t="s">
        <v>7696</v>
      </c>
      <c r="AC415" s="82" t="s">
        <v>7706</v>
      </c>
      <c r="AD415" s="77" t="s">
        <v>7745</v>
      </c>
      <c r="AE415" s="80" t="str">
        <f>HYPERLINK("https://twitter.com/williamhuntbr/status/1679823058209751041")</f>
        <v>https://twitter.com/williamhuntbr/status/1679823058209751041</v>
      </c>
      <c r="AF415" s="79">
        <v>45121.500011574077</v>
      </c>
      <c r="AG415" s="85">
        <v>45121</v>
      </c>
      <c r="AH415" s="82" t="s">
        <v>7923</v>
      </c>
      <c r="AI415" s="77" t="b">
        <v>0</v>
      </c>
      <c r="AJ415" s="77"/>
      <c r="AK415" s="77"/>
      <c r="AL415" s="77"/>
      <c r="AM415" s="77"/>
      <c r="AN415" s="77"/>
      <c r="AO415" s="77"/>
      <c r="AP415" s="77"/>
      <c r="AQ415" s="77" t="s">
        <v>10847</v>
      </c>
      <c r="AR415" s="77"/>
      <c r="AS415" s="77"/>
      <c r="AT415" s="77"/>
      <c r="AU415" s="77"/>
      <c r="AV415" s="80" t="str">
        <f>HYPERLINK("https://pbs.twimg.com/media/F0dhBSOXoAAauci.jpg")</f>
        <v>https://pbs.twimg.com/media/F0dhBSOXoAAauci.jpg</v>
      </c>
      <c r="AW415" s="82" t="s">
        <v>12610</v>
      </c>
      <c r="AX415" s="82" t="s">
        <v>12610</v>
      </c>
      <c r="AY415" s="77"/>
      <c r="AZ415" s="82" t="s">
        <v>15804</v>
      </c>
      <c r="BA415" s="82" t="s">
        <v>15804</v>
      </c>
      <c r="BB415" s="82" t="s">
        <v>15804</v>
      </c>
      <c r="BC415" s="82" t="s">
        <v>12610</v>
      </c>
      <c r="BD415" s="82" t="s">
        <v>16208</v>
      </c>
      <c r="BE415" s="77"/>
      <c r="BF415" s="77"/>
      <c r="BG415" s="77"/>
      <c r="BH415" s="77"/>
      <c r="BI415" s="77"/>
    </row>
    <row r="416" spans="1:61" x14ac:dyDescent="0.25">
      <c r="A416" s="62" t="s">
        <v>353</v>
      </c>
      <c r="B416" s="62" t="s">
        <v>353</v>
      </c>
      <c r="C416" s="63"/>
      <c r="D416" s="64"/>
      <c r="E416" s="65"/>
      <c r="F416" s="66"/>
      <c r="G416" s="63"/>
      <c r="H416" s="67"/>
      <c r="I416" s="68"/>
      <c r="J416" s="68"/>
      <c r="K416" s="32"/>
      <c r="L416" s="75">
        <v>416</v>
      </c>
      <c r="M416" s="75"/>
      <c r="N416" s="70"/>
      <c r="O416" s="77" t="s">
        <v>179</v>
      </c>
      <c r="P416" s="79">
        <v>45084.500023148146</v>
      </c>
      <c r="Q416" s="77" t="s">
        <v>1526</v>
      </c>
      <c r="R416" s="77">
        <v>0</v>
      </c>
      <c r="S416" s="77">
        <v>0</v>
      </c>
      <c r="T416" s="77">
        <v>0</v>
      </c>
      <c r="U416" s="77">
        <v>0</v>
      </c>
      <c r="V416" s="77">
        <v>12</v>
      </c>
      <c r="W416" s="82" t="s">
        <v>4337</v>
      </c>
      <c r="X416" s="80" t="str">
        <f>HYPERLINK("https://www.williamhunt.com.br/segredos-dos-investimentos-para-iniciantes")</f>
        <v>https://www.williamhunt.com.br/segredos-dos-investimentos-para-iniciantes</v>
      </c>
      <c r="Y416" s="77" t="s">
        <v>6002</v>
      </c>
      <c r="Z416" s="77"/>
      <c r="AA416" s="77" t="s">
        <v>6341</v>
      </c>
      <c r="AB416" s="77" t="s">
        <v>7701</v>
      </c>
      <c r="AC416" s="82" t="s">
        <v>7706</v>
      </c>
      <c r="AD416" s="77" t="s">
        <v>7745</v>
      </c>
      <c r="AE416" s="80" t="str">
        <f>HYPERLINK("https://twitter.com/williamhuntbr/status/1666414710814646272")</f>
        <v>https://twitter.com/williamhuntbr/status/1666414710814646272</v>
      </c>
      <c r="AF416" s="79">
        <v>45084.500023148146</v>
      </c>
      <c r="AG416" s="85">
        <v>45084</v>
      </c>
      <c r="AH416" s="82" t="s">
        <v>8128</v>
      </c>
      <c r="AI416" s="77" t="b">
        <v>0</v>
      </c>
      <c r="AJ416" s="77"/>
      <c r="AK416" s="77"/>
      <c r="AL416" s="77"/>
      <c r="AM416" s="77"/>
      <c r="AN416" s="77"/>
      <c r="AO416" s="77"/>
      <c r="AP416" s="77"/>
      <c r="AQ416" s="77" t="s">
        <v>10848</v>
      </c>
      <c r="AR416" s="77"/>
      <c r="AS416" s="77"/>
      <c r="AT416" s="77"/>
      <c r="AU416" s="77"/>
      <c r="AV416" s="80" t="str">
        <f>HYPERLINK("https://pbs.twimg.com/media/FxpSWaRX0AACwqa.jpg")</f>
        <v>https://pbs.twimg.com/media/FxpSWaRX0AACwqa.jpg</v>
      </c>
      <c r="AW416" s="82" t="s">
        <v>12611</v>
      </c>
      <c r="AX416" s="82" t="s">
        <v>12611</v>
      </c>
      <c r="AY416" s="77"/>
      <c r="AZ416" s="82" t="s">
        <v>15804</v>
      </c>
      <c r="BA416" s="82" t="s">
        <v>15804</v>
      </c>
      <c r="BB416" s="82" t="s">
        <v>15804</v>
      </c>
      <c r="BC416" s="82" t="s">
        <v>12611</v>
      </c>
      <c r="BD416" s="82" t="s">
        <v>16208</v>
      </c>
      <c r="BE416" s="77"/>
      <c r="BF416" s="77"/>
      <c r="BG416" s="77"/>
      <c r="BH416" s="77"/>
      <c r="BI416" s="77"/>
    </row>
    <row r="417" spans="1:61" x14ac:dyDescent="0.25">
      <c r="A417" s="62" t="s">
        <v>353</v>
      </c>
      <c r="B417" s="62" t="s">
        <v>353</v>
      </c>
      <c r="C417" s="63"/>
      <c r="D417" s="64"/>
      <c r="E417" s="65"/>
      <c r="F417" s="66"/>
      <c r="G417" s="63"/>
      <c r="H417" s="67"/>
      <c r="I417" s="68"/>
      <c r="J417" s="68"/>
      <c r="K417" s="32"/>
      <c r="L417" s="75">
        <v>417</v>
      </c>
      <c r="M417" s="75"/>
      <c r="N417" s="70"/>
      <c r="O417" s="77" t="s">
        <v>179</v>
      </c>
      <c r="P417" s="79">
        <v>45082.500023148146</v>
      </c>
      <c r="Q417" s="77" t="s">
        <v>1527</v>
      </c>
      <c r="R417" s="77">
        <v>0</v>
      </c>
      <c r="S417" s="77">
        <v>0</v>
      </c>
      <c r="T417" s="77">
        <v>0</v>
      </c>
      <c r="U417" s="77">
        <v>0</v>
      </c>
      <c r="V417" s="77">
        <v>12</v>
      </c>
      <c r="W417" s="82" t="s">
        <v>4324</v>
      </c>
      <c r="X417" s="80" t="str">
        <f>HYPERLINK("https://www.williamhunt.com.br/segredos-dos-investimentos-para-iniciantes")</f>
        <v>https://www.williamhunt.com.br/segredos-dos-investimentos-para-iniciantes</v>
      </c>
      <c r="Y417" s="77" t="s">
        <v>6002</v>
      </c>
      <c r="Z417" s="77"/>
      <c r="AA417" s="77" t="s">
        <v>6342</v>
      </c>
      <c r="AB417" s="77" t="s">
        <v>7696</v>
      </c>
      <c r="AC417" s="82" t="s">
        <v>7706</v>
      </c>
      <c r="AD417" s="77" t="s">
        <v>7745</v>
      </c>
      <c r="AE417" s="80" t="str">
        <f>HYPERLINK("https://twitter.com/williamhuntbr/status/1665689936622747648")</f>
        <v>https://twitter.com/williamhuntbr/status/1665689936622747648</v>
      </c>
      <c r="AF417" s="79">
        <v>45082.500023148146</v>
      </c>
      <c r="AG417" s="85">
        <v>45082</v>
      </c>
      <c r="AH417" s="82" t="s">
        <v>8128</v>
      </c>
      <c r="AI417" s="77" t="b">
        <v>0</v>
      </c>
      <c r="AJ417" s="77"/>
      <c r="AK417" s="77"/>
      <c r="AL417" s="77"/>
      <c r="AM417" s="77"/>
      <c r="AN417" s="77"/>
      <c r="AO417" s="77"/>
      <c r="AP417" s="77"/>
      <c r="AQ417" s="77" t="s">
        <v>10849</v>
      </c>
      <c r="AR417" s="77"/>
      <c r="AS417" s="77"/>
      <c r="AT417" s="77"/>
      <c r="AU417" s="77"/>
      <c r="AV417" s="80" t="str">
        <f>HYPERLINK("https://pbs.twimg.com/media/FxpCW4rWYAAtS6l.jpg")</f>
        <v>https://pbs.twimg.com/media/FxpCW4rWYAAtS6l.jpg</v>
      </c>
      <c r="AW417" s="82" t="s">
        <v>12612</v>
      </c>
      <c r="AX417" s="82" t="s">
        <v>12612</v>
      </c>
      <c r="AY417" s="77"/>
      <c r="AZ417" s="82" t="s">
        <v>15804</v>
      </c>
      <c r="BA417" s="82" t="s">
        <v>15804</v>
      </c>
      <c r="BB417" s="82" t="s">
        <v>15804</v>
      </c>
      <c r="BC417" s="82" t="s">
        <v>12612</v>
      </c>
      <c r="BD417" s="82" t="s">
        <v>16208</v>
      </c>
      <c r="BE417" s="77"/>
      <c r="BF417" s="77"/>
      <c r="BG417" s="77"/>
      <c r="BH417" s="77"/>
      <c r="BI417" s="77"/>
    </row>
    <row r="418" spans="1:61" x14ac:dyDescent="0.25">
      <c r="A418" s="62" t="s">
        <v>353</v>
      </c>
      <c r="B418" s="62" t="s">
        <v>353</v>
      </c>
      <c r="C418" s="63"/>
      <c r="D418" s="64"/>
      <c r="E418" s="65"/>
      <c r="F418" s="66"/>
      <c r="G418" s="63"/>
      <c r="H418" s="67"/>
      <c r="I418" s="68"/>
      <c r="J418" s="68"/>
      <c r="K418" s="32"/>
      <c r="L418" s="75">
        <v>418</v>
      </c>
      <c r="M418" s="75"/>
      <c r="N418" s="70"/>
      <c r="O418" s="77" t="s">
        <v>179</v>
      </c>
      <c r="P418" s="79">
        <v>45068.500023148146</v>
      </c>
      <c r="Q418" s="77" t="s">
        <v>1528</v>
      </c>
      <c r="R418" s="77">
        <v>0</v>
      </c>
      <c r="S418" s="77">
        <v>0</v>
      </c>
      <c r="T418" s="77">
        <v>0</v>
      </c>
      <c r="U418" s="77">
        <v>0</v>
      </c>
      <c r="V418" s="77">
        <v>11</v>
      </c>
      <c r="W418" s="82" t="s">
        <v>4338</v>
      </c>
      <c r="X418" s="80" t="str">
        <f>HYPERLINK("https://www.williamhunt.com.br/segredos-dos-investimentos-para-iniciantes")</f>
        <v>https://www.williamhunt.com.br/segredos-dos-investimentos-para-iniciantes</v>
      </c>
      <c r="Y418" s="77" t="s">
        <v>6002</v>
      </c>
      <c r="Z418" s="77"/>
      <c r="AA418" s="77" t="s">
        <v>6343</v>
      </c>
      <c r="AB418" s="77" t="s">
        <v>7696</v>
      </c>
      <c r="AC418" s="82" t="s">
        <v>7706</v>
      </c>
      <c r="AD418" s="77" t="s">
        <v>7745</v>
      </c>
      <c r="AE418" s="80" t="str">
        <f>HYPERLINK("https://twitter.com/williamhuntbr/status/1660616504763613184")</f>
        <v>https://twitter.com/williamhuntbr/status/1660616504763613184</v>
      </c>
      <c r="AF418" s="79">
        <v>45068.500023148146</v>
      </c>
      <c r="AG418" s="85">
        <v>45068</v>
      </c>
      <c r="AH418" s="82" t="s">
        <v>8128</v>
      </c>
      <c r="AI418" s="77" t="b">
        <v>0</v>
      </c>
      <c r="AJ418" s="77"/>
      <c r="AK418" s="77"/>
      <c r="AL418" s="77"/>
      <c r="AM418" s="77"/>
      <c r="AN418" s="77"/>
      <c r="AO418" s="77"/>
      <c r="AP418" s="77"/>
      <c r="AQ418" s="77" t="s">
        <v>10850</v>
      </c>
      <c r="AR418" s="77"/>
      <c r="AS418" s="77"/>
      <c r="AT418" s="77"/>
      <c r="AU418" s="77"/>
      <c r="AV418" s="80" t="str">
        <f>HYPERLINK("https://pbs.twimg.com/media/FwSF3deXoAA3ZES.jpg")</f>
        <v>https://pbs.twimg.com/media/FwSF3deXoAA3ZES.jpg</v>
      </c>
      <c r="AW418" s="82" t="s">
        <v>12613</v>
      </c>
      <c r="AX418" s="82" t="s">
        <v>12613</v>
      </c>
      <c r="AY418" s="77"/>
      <c r="AZ418" s="82" t="s">
        <v>15804</v>
      </c>
      <c r="BA418" s="82" t="s">
        <v>15804</v>
      </c>
      <c r="BB418" s="82" t="s">
        <v>15804</v>
      </c>
      <c r="BC418" s="82" t="s">
        <v>12613</v>
      </c>
      <c r="BD418" s="82" t="s">
        <v>16208</v>
      </c>
      <c r="BE418" s="77"/>
      <c r="BF418" s="77"/>
      <c r="BG418" s="77"/>
      <c r="BH418" s="77"/>
      <c r="BI418" s="77"/>
    </row>
    <row r="419" spans="1:61" x14ac:dyDescent="0.25">
      <c r="A419" s="62" t="s">
        <v>353</v>
      </c>
      <c r="B419" s="62" t="s">
        <v>353</v>
      </c>
      <c r="C419" s="63"/>
      <c r="D419" s="64"/>
      <c r="E419" s="65"/>
      <c r="F419" s="66"/>
      <c r="G419" s="63"/>
      <c r="H419" s="67"/>
      <c r="I419" s="68"/>
      <c r="J419" s="68"/>
      <c r="K419" s="32"/>
      <c r="L419" s="75">
        <v>419</v>
      </c>
      <c r="M419" s="75"/>
      <c r="N419" s="70"/>
      <c r="O419" s="77" t="s">
        <v>179</v>
      </c>
      <c r="P419" s="79">
        <v>45065.500023148146</v>
      </c>
      <c r="Q419" s="77" t="s">
        <v>1529</v>
      </c>
      <c r="R419" s="77">
        <v>0</v>
      </c>
      <c r="S419" s="77">
        <v>0</v>
      </c>
      <c r="T419" s="77">
        <v>0</v>
      </c>
      <c r="U419" s="77">
        <v>0</v>
      </c>
      <c r="V419" s="77">
        <v>14</v>
      </c>
      <c r="W419" s="82" t="s">
        <v>4339</v>
      </c>
      <c r="X419" s="80" t="str">
        <f>HYPERLINK("https://www.williamhunt.com.br/segredos-dos-investimentos-para-iniciantes")</f>
        <v>https://www.williamhunt.com.br/segredos-dos-investimentos-para-iniciantes</v>
      </c>
      <c r="Y419" s="77" t="s">
        <v>6002</v>
      </c>
      <c r="Z419" s="77"/>
      <c r="AA419" s="77" t="s">
        <v>6344</v>
      </c>
      <c r="AB419" s="77" t="s">
        <v>7701</v>
      </c>
      <c r="AC419" s="82" t="s">
        <v>7706</v>
      </c>
      <c r="AD419" s="77" t="s">
        <v>7745</v>
      </c>
      <c r="AE419" s="80" t="str">
        <f>HYPERLINK("https://twitter.com/williamhuntbr/status/1659529341955641346")</f>
        <v>https://twitter.com/williamhuntbr/status/1659529341955641346</v>
      </c>
      <c r="AF419" s="79">
        <v>45065.500023148146</v>
      </c>
      <c r="AG419" s="85">
        <v>45065</v>
      </c>
      <c r="AH419" s="82" t="s">
        <v>8128</v>
      </c>
      <c r="AI419" s="77" t="b">
        <v>0</v>
      </c>
      <c r="AJ419" s="77"/>
      <c r="AK419" s="77"/>
      <c r="AL419" s="77"/>
      <c r="AM419" s="77"/>
      <c r="AN419" s="77"/>
      <c r="AO419" s="77"/>
      <c r="AP419" s="77"/>
      <c r="AQ419" s="77" t="s">
        <v>10851</v>
      </c>
      <c r="AR419" s="77"/>
      <c r="AS419" s="77"/>
      <c r="AT419" s="77"/>
      <c r="AU419" s="77"/>
      <c r="AV419" s="80" t="str">
        <f>HYPERLINK("https://pbs.twimg.com/media/Fv4A4nbX0AACx8d.jpg")</f>
        <v>https://pbs.twimg.com/media/Fv4A4nbX0AACx8d.jpg</v>
      </c>
      <c r="AW419" s="82" t="s">
        <v>12614</v>
      </c>
      <c r="AX419" s="82" t="s">
        <v>12614</v>
      </c>
      <c r="AY419" s="77"/>
      <c r="AZ419" s="82" t="s">
        <v>15804</v>
      </c>
      <c r="BA419" s="82" t="s">
        <v>15804</v>
      </c>
      <c r="BB419" s="82" t="s">
        <v>15804</v>
      </c>
      <c r="BC419" s="82" t="s">
        <v>12614</v>
      </c>
      <c r="BD419" s="82" t="s">
        <v>16208</v>
      </c>
      <c r="BE419" s="77"/>
      <c r="BF419" s="77"/>
      <c r="BG419" s="77"/>
      <c r="BH419" s="77"/>
      <c r="BI419" s="77"/>
    </row>
    <row r="420" spans="1:61" x14ac:dyDescent="0.25">
      <c r="A420" s="62" t="s">
        <v>353</v>
      </c>
      <c r="B420" s="62" t="s">
        <v>353</v>
      </c>
      <c r="C420" s="63"/>
      <c r="D420" s="64"/>
      <c r="E420" s="65"/>
      <c r="F420" s="66"/>
      <c r="G420" s="63"/>
      <c r="H420" s="67"/>
      <c r="I420" s="68"/>
      <c r="J420" s="68"/>
      <c r="K420" s="32"/>
      <c r="L420" s="75">
        <v>420</v>
      </c>
      <c r="M420" s="75"/>
      <c r="N420" s="70"/>
      <c r="O420" s="77" t="s">
        <v>179</v>
      </c>
      <c r="P420" s="79">
        <v>45026.855844907404</v>
      </c>
      <c r="Q420" s="77" t="s">
        <v>1530</v>
      </c>
      <c r="R420" s="77">
        <v>0</v>
      </c>
      <c r="S420" s="77">
        <v>0</v>
      </c>
      <c r="T420" s="77">
        <v>0</v>
      </c>
      <c r="U420" s="77">
        <v>0</v>
      </c>
      <c r="V420" s="77">
        <v>11</v>
      </c>
      <c r="W420" s="82" t="s">
        <v>4340</v>
      </c>
      <c r="X420" s="80" t="str">
        <f>HYPERLINK("http://www.williamhunt.com.br/segredos-dos-investimentos-para-iniciantes")</f>
        <v>http://www.williamhunt.com.br/segredos-dos-investimentos-para-iniciantes</v>
      </c>
      <c r="Y420" s="77" t="s">
        <v>6002</v>
      </c>
      <c r="Z420" s="77"/>
      <c r="AA420" s="77" t="s">
        <v>6345</v>
      </c>
      <c r="AB420" s="77" t="s">
        <v>7696</v>
      </c>
      <c r="AC420" s="82" t="s">
        <v>7706</v>
      </c>
      <c r="AD420" s="77" t="s">
        <v>7745</v>
      </c>
      <c r="AE420" s="80" t="str">
        <f>HYPERLINK("https://twitter.com/williamhuntbr/status/1645525161230372864")</f>
        <v>https://twitter.com/williamhuntbr/status/1645525161230372864</v>
      </c>
      <c r="AF420" s="79">
        <v>45026.855844907404</v>
      </c>
      <c r="AG420" s="85">
        <v>45026</v>
      </c>
      <c r="AH420" s="82" t="s">
        <v>8144</v>
      </c>
      <c r="AI420" s="77" t="b">
        <v>0</v>
      </c>
      <c r="AJ420" s="77"/>
      <c r="AK420" s="77"/>
      <c r="AL420" s="77"/>
      <c r="AM420" s="77"/>
      <c r="AN420" s="77"/>
      <c r="AO420" s="77"/>
      <c r="AP420" s="77"/>
      <c r="AQ420" s="77" t="s">
        <v>10852</v>
      </c>
      <c r="AR420" s="77"/>
      <c r="AS420" s="77"/>
      <c r="AT420" s="77"/>
      <c r="AU420" s="77"/>
      <c r="AV420" s="80" t="str">
        <f>HYPERLINK("https://pbs.twimg.com/media/FtYUXO0XgB0_ZFc.jpg")</f>
        <v>https://pbs.twimg.com/media/FtYUXO0XgB0_ZFc.jpg</v>
      </c>
      <c r="AW420" s="82" t="s">
        <v>12615</v>
      </c>
      <c r="AX420" s="82" t="s">
        <v>12615</v>
      </c>
      <c r="AY420" s="77"/>
      <c r="AZ420" s="82" t="s">
        <v>15804</v>
      </c>
      <c r="BA420" s="82" t="s">
        <v>15804</v>
      </c>
      <c r="BB420" s="82" t="s">
        <v>15804</v>
      </c>
      <c r="BC420" s="82" t="s">
        <v>12615</v>
      </c>
      <c r="BD420" s="82" t="s">
        <v>16208</v>
      </c>
      <c r="BE420" s="77"/>
      <c r="BF420" s="77"/>
      <c r="BG420" s="77"/>
      <c r="BH420" s="77"/>
      <c r="BI420" s="77"/>
    </row>
    <row r="421" spans="1:61" x14ac:dyDescent="0.25">
      <c r="A421" s="62" t="s">
        <v>353</v>
      </c>
      <c r="B421" s="62" t="s">
        <v>353</v>
      </c>
      <c r="C421" s="63"/>
      <c r="D421" s="64"/>
      <c r="E421" s="65"/>
      <c r="F421" s="66"/>
      <c r="G421" s="63"/>
      <c r="H421" s="67"/>
      <c r="I421" s="68"/>
      <c r="J421" s="68"/>
      <c r="K421" s="32"/>
      <c r="L421" s="75">
        <v>421</v>
      </c>
      <c r="M421" s="75"/>
      <c r="N421" s="70"/>
      <c r="O421" s="77" t="s">
        <v>179</v>
      </c>
      <c r="P421" s="79">
        <v>45023.509386574071</v>
      </c>
      <c r="Q421" s="77" t="s">
        <v>1531</v>
      </c>
      <c r="R421" s="77">
        <v>0</v>
      </c>
      <c r="S421" s="77">
        <v>0</v>
      </c>
      <c r="T421" s="77">
        <v>0</v>
      </c>
      <c r="U421" s="77">
        <v>0</v>
      </c>
      <c r="V421" s="77">
        <v>19</v>
      </c>
      <c r="W421" s="82" t="s">
        <v>4341</v>
      </c>
      <c r="X421" s="80" t="str">
        <f>HYPERLINK("https://www.williamhunt.com.br/segredos-dos-investimentos-para-iniciantes")</f>
        <v>https://www.williamhunt.com.br/segredos-dos-investimentos-para-iniciantes</v>
      </c>
      <c r="Y421" s="77" t="s">
        <v>6002</v>
      </c>
      <c r="Z421" s="77"/>
      <c r="AA421" s="77" t="s">
        <v>6346</v>
      </c>
      <c r="AB421" s="77" t="s">
        <v>7696</v>
      </c>
      <c r="AC421" s="82" t="s">
        <v>7706</v>
      </c>
      <c r="AD421" s="77" t="s">
        <v>7745</v>
      </c>
      <c r="AE421" s="80" t="str">
        <f>HYPERLINK("https://twitter.com/williamhuntbr/status/1644312447388360707")</f>
        <v>https://twitter.com/williamhuntbr/status/1644312447388360707</v>
      </c>
      <c r="AF421" s="79">
        <v>45023.509386574071</v>
      </c>
      <c r="AG421" s="85">
        <v>45023</v>
      </c>
      <c r="AH421" s="82" t="s">
        <v>8145</v>
      </c>
      <c r="AI421" s="77" t="b">
        <v>0</v>
      </c>
      <c r="AJ421" s="77"/>
      <c r="AK421" s="77"/>
      <c r="AL421" s="77"/>
      <c r="AM421" s="77"/>
      <c r="AN421" s="77"/>
      <c r="AO421" s="77"/>
      <c r="AP421" s="77"/>
      <c r="AQ421" s="77" t="s">
        <v>10853</v>
      </c>
      <c r="AR421" s="77"/>
      <c r="AS421" s="77"/>
      <c r="AT421" s="77"/>
      <c r="AU421" s="77"/>
      <c r="AV421" s="80" t="str">
        <f>HYPERLINK("https://pbs.twimg.com/media/FtHFXRLWcAIpILN.jpg")</f>
        <v>https://pbs.twimg.com/media/FtHFXRLWcAIpILN.jpg</v>
      </c>
      <c r="AW421" s="82" t="s">
        <v>12616</v>
      </c>
      <c r="AX421" s="82" t="s">
        <v>12616</v>
      </c>
      <c r="AY421" s="77"/>
      <c r="AZ421" s="82" t="s">
        <v>15804</v>
      </c>
      <c r="BA421" s="82" t="s">
        <v>15804</v>
      </c>
      <c r="BB421" s="82" t="s">
        <v>15804</v>
      </c>
      <c r="BC421" s="82" t="s">
        <v>12616</v>
      </c>
      <c r="BD421" s="82" t="s">
        <v>16208</v>
      </c>
      <c r="BE421" s="77"/>
      <c r="BF421" s="77"/>
      <c r="BG421" s="77"/>
      <c r="BH421" s="77"/>
      <c r="BI421" s="77"/>
    </row>
    <row r="422" spans="1:61" x14ac:dyDescent="0.25">
      <c r="A422" s="62" t="s">
        <v>353</v>
      </c>
      <c r="B422" s="62" t="s">
        <v>353</v>
      </c>
      <c r="C422" s="63"/>
      <c r="D422" s="64"/>
      <c r="E422" s="65"/>
      <c r="F422" s="66"/>
      <c r="G422" s="63"/>
      <c r="H422" s="67"/>
      <c r="I422" s="68"/>
      <c r="J422" s="68"/>
      <c r="K422" s="32"/>
      <c r="L422" s="75">
        <v>422</v>
      </c>
      <c r="M422" s="75"/>
      <c r="N422" s="70"/>
      <c r="O422" s="77" t="s">
        <v>179</v>
      </c>
      <c r="P422" s="79">
        <v>45021.634143518517</v>
      </c>
      <c r="Q422" s="77" t="s">
        <v>1532</v>
      </c>
      <c r="R422" s="77">
        <v>0</v>
      </c>
      <c r="S422" s="77">
        <v>0</v>
      </c>
      <c r="T422" s="77">
        <v>0</v>
      </c>
      <c r="U422" s="77">
        <v>0</v>
      </c>
      <c r="V422" s="77">
        <v>18</v>
      </c>
      <c r="W422" s="82" t="s">
        <v>4342</v>
      </c>
      <c r="X422" s="80" t="str">
        <f>HYPERLINK("https://www.williamhunt.com.br/segredos-dos-investimentos-para-iniciantes")</f>
        <v>https://www.williamhunt.com.br/segredos-dos-investimentos-para-iniciantes</v>
      </c>
      <c r="Y422" s="77" t="s">
        <v>6002</v>
      </c>
      <c r="Z422" s="77"/>
      <c r="AA422" s="77" t="s">
        <v>6347</v>
      </c>
      <c r="AB422" s="77" t="s">
        <v>7696</v>
      </c>
      <c r="AC422" s="82" t="s">
        <v>7706</v>
      </c>
      <c r="AD422" s="77" t="s">
        <v>7745</v>
      </c>
      <c r="AE422" s="80" t="str">
        <f>HYPERLINK("https://twitter.com/williamhuntbr/status/1643632882169028608")</f>
        <v>https://twitter.com/williamhuntbr/status/1643632882169028608</v>
      </c>
      <c r="AF422" s="79">
        <v>45021.634143518517</v>
      </c>
      <c r="AG422" s="85">
        <v>45021</v>
      </c>
      <c r="AH422" s="82" t="s">
        <v>8146</v>
      </c>
      <c r="AI422" s="77" t="b">
        <v>0</v>
      </c>
      <c r="AJ422" s="77"/>
      <c r="AK422" s="77"/>
      <c r="AL422" s="77"/>
      <c r="AM422" s="77"/>
      <c r="AN422" s="77"/>
      <c r="AO422" s="77"/>
      <c r="AP422" s="77"/>
      <c r="AQ422" s="77" t="s">
        <v>10854</v>
      </c>
      <c r="AR422" s="77"/>
      <c r="AS422" s="77"/>
      <c r="AT422" s="77"/>
      <c r="AU422" s="77"/>
      <c r="AV422" s="80" t="str">
        <f>HYPERLINK("https://pbs.twimg.com/media/Fs9bQyNXsAANI6e.jpg")</f>
        <v>https://pbs.twimg.com/media/Fs9bQyNXsAANI6e.jpg</v>
      </c>
      <c r="AW422" s="82" t="s">
        <v>12617</v>
      </c>
      <c r="AX422" s="82" t="s">
        <v>12617</v>
      </c>
      <c r="AY422" s="77"/>
      <c r="AZ422" s="82" t="s">
        <v>15804</v>
      </c>
      <c r="BA422" s="82" t="s">
        <v>15804</v>
      </c>
      <c r="BB422" s="82" t="s">
        <v>15804</v>
      </c>
      <c r="BC422" s="82" t="s">
        <v>12617</v>
      </c>
      <c r="BD422" s="82" t="s">
        <v>16208</v>
      </c>
      <c r="BE422" s="77"/>
      <c r="BF422" s="77"/>
      <c r="BG422" s="77"/>
      <c r="BH422" s="77"/>
      <c r="BI422" s="77"/>
    </row>
    <row r="423" spans="1:61" x14ac:dyDescent="0.25">
      <c r="A423" s="62" t="s">
        <v>353</v>
      </c>
      <c r="B423" s="62" t="s">
        <v>353</v>
      </c>
      <c r="C423" s="63"/>
      <c r="D423" s="64"/>
      <c r="E423" s="65"/>
      <c r="F423" s="66"/>
      <c r="G423" s="63"/>
      <c r="H423" s="67"/>
      <c r="I423" s="68"/>
      <c r="J423" s="68"/>
      <c r="K423" s="32"/>
      <c r="L423" s="75">
        <v>423</v>
      </c>
      <c r="M423" s="75"/>
      <c r="N423" s="70"/>
      <c r="O423" s="77" t="s">
        <v>179</v>
      </c>
      <c r="P423" s="79">
        <v>44967.653425925928</v>
      </c>
      <c r="Q423" s="77" t="s">
        <v>1533</v>
      </c>
      <c r="R423" s="77">
        <v>0</v>
      </c>
      <c r="S423" s="77">
        <v>0</v>
      </c>
      <c r="T423" s="77">
        <v>0</v>
      </c>
      <c r="U423" s="77">
        <v>0</v>
      </c>
      <c r="V423" s="77">
        <v>31</v>
      </c>
      <c r="W423" s="82" t="s">
        <v>4343</v>
      </c>
      <c r="X423" s="77"/>
      <c r="Y423" s="77"/>
      <c r="Z423" s="77"/>
      <c r="AA423" s="77" t="s">
        <v>6348</v>
      </c>
      <c r="AB423" s="77" t="s">
        <v>7700</v>
      </c>
      <c r="AC423" s="82" t="s">
        <v>7706</v>
      </c>
      <c r="AD423" s="77" t="s">
        <v>7745</v>
      </c>
      <c r="AE423" s="80" t="str">
        <f>HYPERLINK("https://twitter.com/williamhuntbr/status/1624070922985406470")</f>
        <v>https://twitter.com/williamhuntbr/status/1624070922985406470</v>
      </c>
      <c r="AF423" s="79">
        <v>44967.653425925928</v>
      </c>
      <c r="AG423" s="85">
        <v>44967</v>
      </c>
      <c r="AH423" s="82" t="s">
        <v>8147</v>
      </c>
      <c r="AI423" s="77" t="b">
        <v>0</v>
      </c>
      <c r="AJ423" s="77"/>
      <c r="AK423" s="77"/>
      <c r="AL423" s="77"/>
      <c r="AM423" s="77"/>
      <c r="AN423" s="77"/>
      <c r="AO423" s="77"/>
      <c r="AP423" s="77"/>
      <c r="AQ423" s="77" t="s">
        <v>10855</v>
      </c>
      <c r="AR423" s="77"/>
      <c r="AS423" s="77"/>
      <c r="AT423" s="77"/>
      <c r="AU423" s="77"/>
      <c r="AV423" s="80" t="str">
        <f>HYPERLINK("https://pbs.twimg.com/media/FonbtPFWcAMZdXq.jpg")</f>
        <v>https://pbs.twimg.com/media/FonbtPFWcAMZdXq.jpg</v>
      </c>
      <c r="AW423" s="82" t="s">
        <v>12618</v>
      </c>
      <c r="AX423" s="82" t="s">
        <v>12618</v>
      </c>
      <c r="AY423" s="77"/>
      <c r="AZ423" s="82" t="s">
        <v>15804</v>
      </c>
      <c r="BA423" s="82" t="s">
        <v>15804</v>
      </c>
      <c r="BB423" s="82" t="s">
        <v>15804</v>
      </c>
      <c r="BC423" s="82" t="s">
        <v>12618</v>
      </c>
      <c r="BD423" s="82" t="s">
        <v>16208</v>
      </c>
      <c r="BE423" s="77"/>
      <c r="BF423" s="77"/>
      <c r="BG423" s="77"/>
      <c r="BH423" s="77"/>
      <c r="BI423" s="77"/>
    </row>
    <row r="424" spans="1:61" x14ac:dyDescent="0.25">
      <c r="A424" s="62" t="s">
        <v>353</v>
      </c>
      <c r="B424" s="62" t="s">
        <v>353</v>
      </c>
      <c r="C424" s="63"/>
      <c r="D424" s="64"/>
      <c r="E424" s="65"/>
      <c r="F424" s="66"/>
      <c r="G424" s="63"/>
      <c r="H424" s="67"/>
      <c r="I424" s="68"/>
      <c r="J424" s="68"/>
      <c r="K424" s="32"/>
      <c r="L424" s="75">
        <v>424</v>
      </c>
      <c r="M424" s="75"/>
      <c r="N424" s="70"/>
      <c r="O424" s="77" t="s">
        <v>179</v>
      </c>
      <c r="P424" s="79">
        <v>45161.5</v>
      </c>
      <c r="Q424" s="77" t="s">
        <v>1534</v>
      </c>
      <c r="R424" s="77">
        <v>0</v>
      </c>
      <c r="S424" s="77">
        <v>0</v>
      </c>
      <c r="T424" s="77">
        <v>0</v>
      </c>
      <c r="U424" s="77">
        <v>0</v>
      </c>
      <c r="V424" s="77">
        <v>58</v>
      </c>
      <c r="W424" s="82" t="s">
        <v>4344</v>
      </c>
      <c r="X424" s="80" t="str">
        <f>HYPERLINK("http://www.williamhunt.com.br/completo")</f>
        <v>http://www.williamhunt.com.br/completo</v>
      </c>
      <c r="Y424" s="77" t="s">
        <v>6002</v>
      </c>
      <c r="Z424" s="77"/>
      <c r="AA424" s="77" t="s">
        <v>6349</v>
      </c>
      <c r="AB424" s="77" t="s">
        <v>7696</v>
      </c>
      <c r="AC424" s="82" t="s">
        <v>7706</v>
      </c>
      <c r="AD424" s="77" t="s">
        <v>7745</v>
      </c>
      <c r="AE424" s="80" t="str">
        <f>HYPERLINK("https://twitter.com/williamhuntbr/status/1694318570409267303")</f>
        <v>https://twitter.com/williamhuntbr/status/1694318570409267303</v>
      </c>
      <c r="AF424" s="79">
        <v>45161.5</v>
      </c>
      <c r="AG424" s="85">
        <v>45161</v>
      </c>
      <c r="AH424" s="82" t="s">
        <v>8143</v>
      </c>
      <c r="AI424" s="77" t="b">
        <v>0</v>
      </c>
      <c r="AJ424" s="77"/>
      <c r="AK424" s="77"/>
      <c r="AL424" s="77"/>
      <c r="AM424" s="77"/>
      <c r="AN424" s="77"/>
      <c r="AO424" s="77"/>
      <c r="AP424" s="77"/>
      <c r="AQ424" s="77" t="s">
        <v>10856</v>
      </c>
      <c r="AR424" s="77"/>
      <c r="AS424" s="77"/>
      <c r="AT424" s="77"/>
      <c r="AU424" s="77"/>
      <c r="AV424" s="80" t="str">
        <f>HYPERLINK("https://pbs.twimg.com/media/F3hg3lxWQAAymPr.jpg")</f>
        <v>https://pbs.twimg.com/media/F3hg3lxWQAAymPr.jpg</v>
      </c>
      <c r="AW424" s="82" t="s">
        <v>12619</v>
      </c>
      <c r="AX424" s="82" t="s">
        <v>12619</v>
      </c>
      <c r="AY424" s="77"/>
      <c r="AZ424" s="82" t="s">
        <v>15804</v>
      </c>
      <c r="BA424" s="82" t="s">
        <v>15804</v>
      </c>
      <c r="BB424" s="82" t="s">
        <v>15804</v>
      </c>
      <c r="BC424" s="82" t="s">
        <v>12619</v>
      </c>
      <c r="BD424" s="82" t="s">
        <v>16208</v>
      </c>
      <c r="BE424" s="77"/>
      <c r="BF424" s="77"/>
      <c r="BG424" s="77"/>
      <c r="BH424" s="77"/>
      <c r="BI424" s="77"/>
    </row>
    <row r="425" spans="1:61" x14ac:dyDescent="0.25">
      <c r="A425" s="62" t="s">
        <v>353</v>
      </c>
      <c r="B425" s="62" t="s">
        <v>353</v>
      </c>
      <c r="C425" s="63"/>
      <c r="D425" s="64"/>
      <c r="E425" s="65"/>
      <c r="F425" s="66"/>
      <c r="G425" s="63"/>
      <c r="H425" s="67"/>
      <c r="I425" s="68"/>
      <c r="J425" s="68"/>
      <c r="K425" s="32"/>
      <c r="L425" s="75">
        <v>425</v>
      </c>
      <c r="M425" s="75"/>
      <c r="N425" s="70"/>
      <c r="O425" s="77" t="s">
        <v>179</v>
      </c>
      <c r="P425" s="79">
        <v>45145.5</v>
      </c>
      <c r="Q425" s="77" t="s">
        <v>1535</v>
      </c>
      <c r="R425" s="77">
        <v>0</v>
      </c>
      <c r="S425" s="77">
        <v>0</v>
      </c>
      <c r="T425" s="77">
        <v>0</v>
      </c>
      <c r="U425" s="77">
        <v>0</v>
      </c>
      <c r="V425" s="77">
        <v>24</v>
      </c>
      <c r="W425" s="82" t="s">
        <v>4345</v>
      </c>
      <c r="X425" s="80" t="str">
        <f>HYPERLINK("http://www.williamhunt.com.br/completo")</f>
        <v>http://www.williamhunt.com.br/completo</v>
      </c>
      <c r="Y425" s="77" t="s">
        <v>6002</v>
      </c>
      <c r="Z425" s="77"/>
      <c r="AA425" s="77" t="s">
        <v>6350</v>
      </c>
      <c r="AB425" s="77" t="s">
        <v>7698</v>
      </c>
      <c r="AC425" s="82" t="s">
        <v>7706</v>
      </c>
      <c r="AD425" s="77" t="s">
        <v>7745</v>
      </c>
      <c r="AE425" s="80" t="str">
        <f>HYPERLINK("https://twitter.com/williamhuntbr/status/1688520364639617024")</f>
        <v>https://twitter.com/williamhuntbr/status/1688520364639617024</v>
      </c>
      <c r="AF425" s="79">
        <v>45145.5</v>
      </c>
      <c r="AG425" s="85">
        <v>45145</v>
      </c>
      <c r="AH425" s="82" t="s">
        <v>8143</v>
      </c>
      <c r="AI425" s="77" t="b">
        <v>0</v>
      </c>
      <c r="AJ425" s="77"/>
      <c r="AK425" s="77"/>
      <c r="AL425" s="77"/>
      <c r="AM425" s="77"/>
      <c r="AN425" s="77"/>
      <c r="AO425" s="77"/>
      <c r="AP425" s="77"/>
      <c r="AQ425" s="77" t="s">
        <v>10857</v>
      </c>
      <c r="AR425" s="77"/>
      <c r="AS425" s="77"/>
      <c r="AT425" s="77"/>
      <c r="AU425" s="77"/>
      <c r="AV425" s="80" t="str">
        <f>HYPERLINK("https://pbs.twimg.com/media/F2EbA_dW4AEG2QV.jpg")</f>
        <v>https://pbs.twimg.com/media/F2EbA_dW4AEG2QV.jpg</v>
      </c>
      <c r="AW425" s="82" t="s">
        <v>12620</v>
      </c>
      <c r="AX425" s="82" t="s">
        <v>12620</v>
      </c>
      <c r="AY425" s="77"/>
      <c r="AZ425" s="82" t="s">
        <v>15804</v>
      </c>
      <c r="BA425" s="82" t="s">
        <v>15804</v>
      </c>
      <c r="BB425" s="82" t="s">
        <v>15804</v>
      </c>
      <c r="BC425" s="82" t="s">
        <v>12620</v>
      </c>
      <c r="BD425" s="82" t="s">
        <v>16208</v>
      </c>
      <c r="BE425" s="77"/>
      <c r="BF425" s="77"/>
      <c r="BG425" s="77"/>
      <c r="BH425" s="77"/>
      <c r="BI425" s="77"/>
    </row>
    <row r="426" spans="1:61" x14ac:dyDescent="0.25">
      <c r="A426" s="62" t="s">
        <v>353</v>
      </c>
      <c r="B426" s="62" t="s">
        <v>353</v>
      </c>
      <c r="C426" s="63"/>
      <c r="D426" s="64"/>
      <c r="E426" s="65"/>
      <c r="F426" s="66"/>
      <c r="G426" s="63"/>
      <c r="H426" s="67"/>
      <c r="I426" s="68"/>
      <c r="J426" s="68"/>
      <c r="K426" s="32"/>
      <c r="L426" s="75">
        <v>426</v>
      </c>
      <c r="M426" s="75"/>
      <c r="N426" s="70"/>
      <c r="O426" s="77" t="s">
        <v>179</v>
      </c>
      <c r="P426" s="79">
        <v>45128.500011574077</v>
      </c>
      <c r="Q426" s="77" t="s">
        <v>1536</v>
      </c>
      <c r="R426" s="77">
        <v>0</v>
      </c>
      <c r="S426" s="77">
        <v>0</v>
      </c>
      <c r="T426" s="77">
        <v>0</v>
      </c>
      <c r="U426" s="77">
        <v>0</v>
      </c>
      <c r="V426" s="77">
        <v>17</v>
      </c>
      <c r="W426" s="82" t="s">
        <v>4346</v>
      </c>
      <c r="X426" s="80" t="str">
        <f>HYPERLINK("https://www.williamhunt.com.br/segredos-dos-investimentos-para-iniciantes")</f>
        <v>https://www.williamhunt.com.br/segredos-dos-investimentos-para-iniciantes</v>
      </c>
      <c r="Y426" s="77" t="s">
        <v>6002</v>
      </c>
      <c r="Z426" s="77"/>
      <c r="AA426" s="77" t="s">
        <v>6351</v>
      </c>
      <c r="AB426" s="77" t="s">
        <v>7696</v>
      </c>
      <c r="AC426" s="82" t="s">
        <v>7706</v>
      </c>
      <c r="AD426" s="77" t="s">
        <v>7745</v>
      </c>
      <c r="AE426" s="80" t="str">
        <f>HYPERLINK("https://twitter.com/williamhuntbr/status/1682359774556438532")</f>
        <v>https://twitter.com/williamhuntbr/status/1682359774556438532</v>
      </c>
      <c r="AF426" s="79">
        <v>45128.500011574077</v>
      </c>
      <c r="AG426" s="85">
        <v>45128</v>
      </c>
      <c r="AH426" s="82" t="s">
        <v>7923</v>
      </c>
      <c r="AI426" s="77" t="b">
        <v>0</v>
      </c>
      <c r="AJ426" s="77"/>
      <c r="AK426" s="77"/>
      <c r="AL426" s="77"/>
      <c r="AM426" s="77"/>
      <c r="AN426" s="77"/>
      <c r="AO426" s="77"/>
      <c r="AP426" s="77"/>
      <c r="AQ426" s="77" t="s">
        <v>10858</v>
      </c>
      <c r="AR426" s="77"/>
      <c r="AS426" s="77"/>
      <c r="AT426" s="77"/>
      <c r="AU426" s="77"/>
      <c r="AV426" s="80" t="str">
        <f>HYPERLINK("https://pbs.twimg.com/media/F1BZf-8XgAAGjC7.jpg")</f>
        <v>https://pbs.twimg.com/media/F1BZf-8XgAAGjC7.jpg</v>
      </c>
      <c r="AW426" s="82" t="s">
        <v>12621</v>
      </c>
      <c r="AX426" s="82" t="s">
        <v>12621</v>
      </c>
      <c r="AY426" s="77"/>
      <c r="AZ426" s="82" t="s">
        <v>15804</v>
      </c>
      <c r="BA426" s="82" t="s">
        <v>15804</v>
      </c>
      <c r="BB426" s="82" t="s">
        <v>15804</v>
      </c>
      <c r="BC426" s="82" t="s">
        <v>12621</v>
      </c>
      <c r="BD426" s="82" t="s">
        <v>16208</v>
      </c>
      <c r="BE426" s="77"/>
      <c r="BF426" s="77"/>
      <c r="BG426" s="77"/>
      <c r="BH426" s="77"/>
      <c r="BI426" s="77"/>
    </row>
    <row r="427" spans="1:61" x14ac:dyDescent="0.25">
      <c r="A427" s="62" t="s">
        <v>353</v>
      </c>
      <c r="B427" s="62" t="s">
        <v>353</v>
      </c>
      <c r="C427" s="63"/>
      <c r="D427" s="64"/>
      <c r="E427" s="65"/>
      <c r="F427" s="66"/>
      <c r="G427" s="63"/>
      <c r="H427" s="67"/>
      <c r="I427" s="68"/>
      <c r="J427" s="68"/>
      <c r="K427" s="32"/>
      <c r="L427" s="75">
        <v>427</v>
      </c>
      <c r="M427" s="75"/>
      <c r="N427" s="70"/>
      <c r="O427" s="77" t="s">
        <v>179</v>
      </c>
      <c r="P427" s="79">
        <v>45117.5</v>
      </c>
      <c r="Q427" s="77" t="s">
        <v>1537</v>
      </c>
      <c r="R427" s="77">
        <v>0</v>
      </c>
      <c r="S427" s="77">
        <v>0</v>
      </c>
      <c r="T427" s="77">
        <v>0</v>
      </c>
      <c r="U427" s="77">
        <v>0</v>
      </c>
      <c r="V427" s="77">
        <v>38</v>
      </c>
      <c r="W427" s="82" t="s">
        <v>4347</v>
      </c>
      <c r="X427" s="80" t="str">
        <f>HYPERLINK("https://www.williamhunt.com.br/segredos-dos-investimentos-para-iniciantes")</f>
        <v>https://www.williamhunt.com.br/segredos-dos-investimentos-para-iniciantes</v>
      </c>
      <c r="Y427" s="77" t="s">
        <v>6002</v>
      </c>
      <c r="Z427" s="77"/>
      <c r="AA427" s="77" t="s">
        <v>6352</v>
      </c>
      <c r="AB427" s="77" t="s">
        <v>7696</v>
      </c>
      <c r="AC427" s="82" t="s">
        <v>7706</v>
      </c>
      <c r="AD427" s="77" t="s">
        <v>7745</v>
      </c>
      <c r="AE427" s="80" t="str">
        <f>HYPERLINK("https://twitter.com/williamhuntbr/status/1678373504494837762")</f>
        <v>https://twitter.com/williamhuntbr/status/1678373504494837762</v>
      </c>
      <c r="AF427" s="79">
        <v>45117.5</v>
      </c>
      <c r="AG427" s="85">
        <v>45117</v>
      </c>
      <c r="AH427" s="82" t="s">
        <v>8143</v>
      </c>
      <c r="AI427" s="77" t="b">
        <v>0</v>
      </c>
      <c r="AJ427" s="77"/>
      <c r="AK427" s="77"/>
      <c r="AL427" s="77"/>
      <c r="AM427" s="77"/>
      <c r="AN427" s="77"/>
      <c r="AO427" s="77"/>
      <c r="AP427" s="77"/>
      <c r="AQ427" s="77" t="s">
        <v>10859</v>
      </c>
      <c r="AR427" s="77"/>
      <c r="AS427" s="77"/>
      <c r="AT427" s="77"/>
      <c r="AU427" s="77"/>
      <c r="AV427" s="80" t="str">
        <f>HYPERLINK("https://pbs.twimg.com/media/Fz52Xg2XsAA6yEY.jpg")</f>
        <v>https://pbs.twimg.com/media/Fz52Xg2XsAA6yEY.jpg</v>
      </c>
      <c r="AW427" s="82" t="s">
        <v>12622</v>
      </c>
      <c r="AX427" s="82" t="s">
        <v>12622</v>
      </c>
      <c r="AY427" s="77"/>
      <c r="AZ427" s="82" t="s">
        <v>15804</v>
      </c>
      <c r="BA427" s="82" t="s">
        <v>15804</v>
      </c>
      <c r="BB427" s="82" t="s">
        <v>15804</v>
      </c>
      <c r="BC427" s="82" t="s">
        <v>12622</v>
      </c>
      <c r="BD427" s="82" t="s">
        <v>16208</v>
      </c>
      <c r="BE427" s="77"/>
      <c r="BF427" s="77"/>
      <c r="BG427" s="77"/>
      <c r="BH427" s="77"/>
      <c r="BI427" s="77"/>
    </row>
    <row r="428" spans="1:61" x14ac:dyDescent="0.25">
      <c r="A428" s="62" t="s">
        <v>353</v>
      </c>
      <c r="B428" s="62" t="s">
        <v>353</v>
      </c>
      <c r="C428" s="63"/>
      <c r="D428" s="64"/>
      <c r="E428" s="65"/>
      <c r="F428" s="66"/>
      <c r="G428" s="63"/>
      <c r="H428" s="67"/>
      <c r="I428" s="68"/>
      <c r="J428" s="68"/>
      <c r="K428" s="32"/>
      <c r="L428" s="75">
        <v>428</v>
      </c>
      <c r="M428" s="75"/>
      <c r="N428" s="70"/>
      <c r="O428" s="77" t="s">
        <v>179</v>
      </c>
      <c r="P428" s="79">
        <v>45093.500034722223</v>
      </c>
      <c r="Q428" s="77" t="s">
        <v>1538</v>
      </c>
      <c r="R428" s="77">
        <v>0</v>
      </c>
      <c r="S428" s="77">
        <v>0</v>
      </c>
      <c r="T428" s="77">
        <v>0</v>
      </c>
      <c r="U428" s="77">
        <v>0</v>
      </c>
      <c r="V428" s="77">
        <v>13</v>
      </c>
      <c r="W428" s="82" t="s">
        <v>4324</v>
      </c>
      <c r="X428" s="80" t="str">
        <f>HYPERLINK("https://www.williamhunt.com.br/segredos-dos-investimentos-para-iniciantes")</f>
        <v>https://www.williamhunt.com.br/segredos-dos-investimentos-para-iniciantes</v>
      </c>
      <c r="Y428" s="77" t="s">
        <v>6002</v>
      </c>
      <c r="Z428" s="77"/>
      <c r="AA428" s="77" t="s">
        <v>6353</v>
      </c>
      <c r="AB428" s="77" t="s">
        <v>7696</v>
      </c>
      <c r="AC428" s="82" t="s">
        <v>7706</v>
      </c>
      <c r="AD428" s="77" t="s">
        <v>7745</v>
      </c>
      <c r="AE428" s="80" t="str">
        <f>HYPERLINK("https://twitter.com/williamhuntbr/status/1669676206197977088")</f>
        <v>https://twitter.com/williamhuntbr/status/1669676206197977088</v>
      </c>
      <c r="AF428" s="79">
        <v>45093.500034722223</v>
      </c>
      <c r="AG428" s="85">
        <v>45093</v>
      </c>
      <c r="AH428" s="82" t="s">
        <v>8131</v>
      </c>
      <c r="AI428" s="77" t="b">
        <v>0</v>
      </c>
      <c r="AJ428" s="77"/>
      <c r="AK428" s="77"/>
      <c r="AL428" s="77"/>
      <c r="AM428" s="77"/>
      <c r="AN428" s="77"/>
      <c r="AO428" s="77"/>
      <c r="AP428" s="77"/>
      <c r="AQ428" s="77" t="s">
        <v>10860</v>
      </c>
      <c r="AR428" s="77"/>
      <c r="AS428" s="77"/>
      <c r="AT428" s="77"/>
      <c r="AU428" s="77"/>
      <c r="AV428" s="80" t="str">
        <f>HYPERLINK("https://pbs.twimg.com/media/FyHvcFUWAAETjuh.jpg")</f>
        <v>https://pbs.twimg.com/media/FyHvcFUWAAETjuh.jpg</v>
      </c>
      <c r="AW428" s="82" t="s">
        <v>12623</v>
      </c>
      <c r="AX428" s="82" t="s">
        <v>12623</v>
      </c>
      <c r="AY428" s="77"/>
      <c r="AZ428" s="82" t="s">
        <v>15804</v>
      </c>
      <c r="BA428" s="82" t="s">
        <v>15804</v>
      </c>
      <c r="BB428" s="82" t="s">
        <v>15804</v>
      </c>
      <c r="BC428" s="82" t="s">
        <v>12623</v>
      </c>
      <c r="BD428" s="82" t="s">
        <v>16208</v>
      </c>
      <c r="BE428" s="77"/>
      <c r="BF428" s="77"/>
      <c r="BG428" s="77"/>
      <c r="BH428" s="77"/>
      <c r="BI428" s="77"/>
    </row>
    <row r="429" spans="1:61" x14ac:dyDescent="0.25">
      <c r="A429" s="62" t="s">
        <v>353</v>
      </c>
      <c r="B429" s="62" t="s">
        <v>353</v>
      </c>
      <c r="C429" s="63"/>
      <c r="D429" s="64"/>
      <c r="E429" s="65"/>
      <c r="F429" s="66"/>
      <c r="G429" s="63"/>
      <c r="H429" s="67"/>
      <c r="I429" s="68"/>
      <c r="J429" s="68"/>
      <c r="K429" s="32"/>
      <c r="L429" s="75">
        <v>429</v>
      </c>
      <c r="M429" s="75"/>
      <c r="N429" s="70"/>
      <c r="O429" s="77" t="s">
        <v>179</v>
      </c>
      <c r="P429" s="79">
        <v>45079.500034722223</v>
      </c>
      <c r="Q429" s="77" t="s">
        <v>1539</v>
      </c>
      <c r="R429" s="77">
        <v>0</v>
      </c>
      <c r="S429" s="77">
        <v>0</v>
      </c>
      <c r="T429" s="77">
        <v>0</v>
      </c>
      <c r="U429" s="77">
        <v>0</v>
      </c>
      <c r="V429" s="77">
        <v>16</v>
      </c>
      <c r="W429" s="82" t="s">
        <v>4348</v>
      </c>
      <c r="X429" s="80" t="str">
        <f>HYPERLINK("https://www.williamhunt.com.br/segredos-dos-investimentos-para-iniciantes")</f>
        <v>https://www.williamhunt.com.br/segredos-dos-investimentos-para-iniciantes</v>
      </c>
      <c r="Y429" s="77" t="s">
        <v>6002</v>
      </c>
      <c r="Z429" s="77"/>
      <c r="AA429" s="77" t="s">
        <v>6354</v>
      </c>
      <c r="AB429" s="77" t="s">
        <v>7696</v>
      </c>
      <c r="AC429" s="82" t="s">
        <v>7706</v>
      </c>
      <c r="AD429" s="77" t="s">
        <v>7745</v>
      </c>
      <c r="AE429" s="80" t="str">
        <f>HYPERLINK("https://twitter.com/williamhuntbr/status/1664602775781806080")</f>
        <v>https://twitter.com/williamhuntbr/status/1664602775781806080</v>
      </c>
      <c r="AF429" s="79">
        <v>45079.500034722223</v>
      </c>
      <c r="AG429" s="85">
        <v>45079</v>
      </c>
      <c r="AH429" s="82" t="s">
        <v>8131</v>
      </c>
      <c r="AI429" s="77" t="b">
        <v>0</v>
      </c>
      <c r="AJ429" s="77"/>
      <c r="AK429" s="77"/>
      <c r="AL429" s="77"/>
      <c r="AM429" s="77"/>
      <c r="AN429" s="77"/>
      <c r="AO429" s="77"/>
      <c r="AP429" s="77"/>
      <c r="AQ429" s="77" t="s">
        <v>10861</v>
      </c>
      <c r="AR429" s="77"/>
      <c r="AS429" s="77"/>
      <c r="AT429" s="77"/>
      <c r="AU429" s="77"/>
      <c r="AV429" s="80" t="str">
        <f>HYPERLINK("https://pbs.twimg.com/media/FxJxztWWYAMT-BB.jpg")</f>
        <v>https://pbs.twimg.com/media/FxJxztWWYAMT-BB.jpg</v>
      </c>
      <c r="AW429" s="82" t="s">
        <v>12624</v>
      </c>
      <c r="AX429" s="82" t="s">
        <v>12624</v>
      </c>
      <c r="AY429" s="77"/>
      <c r="AZ429" s="82" t="s">
        <v>15804</v>
      </c>
      <c r="BA429" s="82" t="s">
        <v>15804</v>
      </c>
      <c r="BB429" s="82" t="s">
        <v>15804</v>
      </c>
      <c r="BC429" s="82" t="s">
        <v>12624</v>
      </c>
      <c r="BD429" s="82" t="s">
        <v>16208</v>
      </c>
      <c r="BE429" s="77"/>
      <c r="BF429" s="77"/>
      <c r="BG429" s="77"/>
      <c r="BH429" s="77"/>
      <c r="BI429" s="77"/>
    </row>
    <row r="430" spans="1:61" x14ac:dyDescent="0.25">
      <c r="A430" s="62" t="s">
        <v>353</v>
      </c>
      <c r="B430" s="62" t="s">
        <v>353</v>
      </c>
      <c r="C430" s="63"/>
      <c r="D430" s="64"/>
      <c r="E430" s="65"/>
      <c r="F430" s="66"/>
      <c r="G430" s="63"/>
      <c r="H430" s="67"/>
      <c r="I430" s="68"/>
      <c r="J430" s="68"/>
      <c r="K430" s="32"/>
      <c r="L430" s="75">
        <v>430</v>
      </c>
      <c r="M430" s="75"/>
      <c r="N430" s="70"/>
      <c r="O430" s="77" t="s">
        <v>179</v>
      </c>
      <c r="P430" s="79">
        <v>45019.611226851855</v>
      </c>
      <c r="Q430" s="77" t="s">
        <v>1540</v>
      </c>
      <c r="R430" s="77">
        <v>0</v>
      </c>
      <c r="S430" s="77">
        <v>0</v>
      </c>
      <c r="T430" s="77">
        <v>0</v>
      </c>
      <c r="U430" s="77">
        <v>0</v>
      </c>
      <c r="V430" s="77">
        <v>19</v>
      </c>
      <c r="W430" s="82" t="s">
        <v>4349</v>
      </c>
      <c r="X430" s="80" t="str">
        <f>HYPERLINK("https://www.williamhunt.com.br/segredos-dos-investimentos-para-iniciantes")</f>
        <v>https://www.williamhunt.com.br/segredos-dos-investimentos-para-iniciantes</v>
      </c>
      <c r="Y430" s="77" t="s">
        <v>6002</v>
      </c>
      <c r="Z430" s="77"/>
      <c r="AA430" s="77" t="s">
        <v>6355</v>
      </c>
      <c r="AB430" s="77" t="s">
        <v>7696</v>
      </c>
      <c r="AC430" s="82" t="s">
        <v>7706</v>
      </c>
      <c r="AD430" s="77" t="s">
        <v>7745</v>
      </c>
      <c r="AE430" s="80" t="str">
        <f>HYPERLINK("https://twitter.com/williamhuntbr/status/1642899797995601920")</f>
        <v>https://twitter.com/williamhuntbr/status/1642899797995601920</v>
      </c>
      <c r="AF430" s="79">
        <v>45019.611226851855</v>
      </c>
      <c r="AG430" s="85">
        <v>45019</v>
      </c>
      <c r="AH430" s="82" t="s">
        <v>8148</v>
      </c>
      <c r="AI430" s="77" t="b">
        <v>0</v>
      </c>
      <c r="AJ430" s="77"/>
      <c r="AK430" s="77"/>
      <c r="AL430" s="77"/>
      <c r="AM430" s="77"/>
      <c r="AN430" s="77"/>
      <c r="AO430" s="77"/>
      <c r="AP430" s="77"/>
      <c r="AQ430" s="77" t="s">
        <v>10862</v>
      </c>
      <c r="AR430" s="77"/>
      <c r="AS430" s="77"/>
      <c r="AT430" s="77"/>
      <c r="AU430" s="77"/>
      <c r="AV430" s="80" t="str">
        <f>HYPERLINK("https://pbs.twimg.com/media/FszAhJkXoAEh2fk.jpg")</f>
        <v>https://pbs.twimg.com/media/FszAhJkXoAEh2fk.jpg</v>
      </c>
      <c r="AW430" s="82" t="s">
        <v>12625</v>
      </c>
      <c r="AX430" s="82" t="s">
        <v>12625</v>
      </c>
      <c r="AY430" s="77"/>
      <c r="AZ430" s="82" t="s">
        <v>15804</v>
      </c>
      <c r="BA430" s="82" t="s">
        <v>15804</v>
      </c>
      <c r="BB430" s="82" t="s">
        <v>15804</v>
      </c>
      <c r="BC430" s="82" t="s">
        <v>12625</v>
      </c>
      <c r="BD430" s="82" t="s">
        <v>16208</v>
      </c>
      <c r="BE430" s="77"/>
      <c r="BF430" s="77"/>
      <c r="BG430" s="77"/>
      <c r="BH430" s="77"/>
      <c r="BI430" s="77"/>
    </row>
    <row r="431" spans="1:61" x14ac:dyDescent="0.25">
      <c r="A431" s="62" t="s">
        <v>353</v>
      </c>
      <c r="B431" s="62" t="s">
        <v>353</v>
      </c>
      <c r="C431" s="63"/>
      <c r="D431" s="64"/>
      <c r="E431" s="65"/>
      <c r="F431" s="66"/>
      <c r="G431" s="63"/>
      <c r="H431" s="67"/>
      <c r="I431" s="68"/>
      <c r="J431" s="68"/>
      <c r="K431" s="32"/>
      <c r="L431" s="75">
        <v>431</v>
      </c>
      <c r="M431" s="75"/>
      <c r="N431" s="70"/>
      <c r="O431" s="77" t="s">
        <v>179</v>
      </c>
      <c r="P431" s="79">
        <v>45016.607025462959</v>
      </c>
      <c r="Q431" s="77" t="s">
        <v>1541</v>
      </c>
      <c r="R431" s="77">
        <v>0</v>
      </c>
      <c r="S431" s="77">
        <v>0</v>
      </c>
      <c r="T431" s="77">
        <v>0</v>
      </c>
      <c r="U431" s="77">
        <v>0</v>
      </c>
      <c r="V431" s="77">
        <v>19</v>
      </c>
      <c r="W431" s="82" t="s">
        <v>4350</v>
      </c>
      <c r="X431" s="80" t="str">
        <f>HYPERLINK("http://williamhunt.com.br/segredos-dos-investimentos-para-iniciantes")</f>
        <v>http://williamhunt.com.br/segredos-dos-investimentos-para-iniciantes</v>
      </c>
      <c r="Y431" s="77" t="s">
        <v>6002</v>
      </c>
      <c r="Z431" s="77"/>
      <c r="AA431" s="77" t="s">
        <v>6356</v>
      </c>
      <c r="AB431" s="77" t="s">
        <v>7696</v>
      </c>
      <c r="AC431" s="82" t="s">
        <v>7706</v>
      </c>
      <c r="AD431" s="77" t="s">
        <v>7745</v>
      </c>
      <c r="AE431" s="80" t="str">
        <f>HYPERLINK("https://twitter.com/williamhuntbr/status/1641811112998871043")</f>
        <v>https://twitter.com/williamhuntbr/status/1641811112998871043</v>
      </c>
      <c r="AF431" s="79">
        <v>45016.607025462959</v>
      </c>
      <c r="AG431" s="85">
        <v>45016</v>
      </c>
      <c r="AH431" s="82" t="s">
        <v>8149</v>
      </c>
      <c r="AI431" s="77" t="b">
        <v>0</v>
      </c>
      <c r="AJ431" s="77"/>
      <c r="AK431" s="77"/>
      <c r="AL431" s="77"/>
      <c r="AM431" s="77"/>
      <c r="AN431" s="77"/>
      <c r="AO431" s="77"/>
      <c r="AP431" s="77"/>
      <c r="AQ431" s="77" t="s">
        <v>10863</v>
      </c>
      <c r="AR431" s="77"/>
      <c r="AS431" s="77"/>
      <c r="AT431" s="77"/>
      <c r="AU431" s="77"/>
      <c r="AV431" s="80" t="str">
        <f>HYPERLINK("https://pbs.twimg.com/media/Fsjibi2XgAEBNsu.jpg")</f>
        <v>https://pbs.twimg.com/media/Fsjibi2XgAEBNsu.jpg</v>
      </c>
      <c r="AW431" s="82" t="s">
        <v>12626</v>
      </c>
      <c r="AX431" s="82" t="s">
        <v>12626</v>
      </c>
      <c r="AY431" s="77"/>
      <c r="AZ431" s="82" t="s">
        <v>15804</v>
      </c>
      <c r="BA431" s="82" t="s">
        <v>15804</v>
      </c>
      <c r="BB431" s="82" t="s">
        <v>15804</v>
      </c>
      <c r="BC431" s="82" t="s">
        <v>12626</v>
      </c>
      <c r="BD431" s="82" t="s">
        <v>16208</v>
      </c>
      <c r="BE431" s="77"/>
      <c r="BF431" s="77"/>
      <c r="BG431" s="77"/>
      <c r="BH431" s="77"/>
      <c r="BI431" s="77"/>
    </row>
    <row r="432" spans="1:61" x14ac:dyDescent="0.25">
      <c r="A432" s="62" t="s">
        <v>353</v>
      </c>
      <c r="B432" s="62" t="s">
        <v>353</v>
      </c>
      <c r="C432" s="63"/>
      <c r="D432" s="64"/>
      <c r="E432" s="65"/>
      <c r="F432" s="66"/>
      <c r="G432" s="63"/>
      <c r="H432" s="67"/>
      <c r="I432" s="68"/>
      <c r="J432" s="68"/>
      <c r="K432" s="32"/>
      <c r="L432" s="75">
        <v>432</v>
      </c>
      <c r="M432" s="75"/>
      <c r="N432" s="70"/>
      <c r="O432" s="77" t="s">
        <v>179</v>
      </c>
      <c r="P432" s="79">
        <v>44974.613738425927</v>
      </c>
      <c r="Q432" s="77" t="s">
        <v>1542</v>
      </c>
      <c r="R432" s="77">
        <v>0</v>
      </c>
      <c r="S432" s="77">
        <v>0</v>
      </c>
      <c r="T432" s="77">
        <v>0</v>
      </c>
      <c r="U432" s="77">
        <v>0</v>
      </c>
      <c r="V432" s="77">
        <v>46</v>
      </c>
      <c r="W432" s="82" t="s">
        <v>4351</v>
      </c>
      <c r="X432" s="77"/>
      <c r="Y432" s="77"/>
      <c r="Z432" s="77"/>
      <c r="AA432" s="77" t="s">
        <v>6357</v>
      </c>
      <c r="AB432" s="77" t="s">
        <v>7698</v>
      </c>
      <c r="AC432" s="82" t="s">
        <v>7706</v>
      </c>
      <c r="AD432" s="77" t="s">
        <v>7745</v>
      </c>
      <c r="AE432" s="80" t="str">
        <f>HYPERLINK("https://twitter.com/williamhuntbr/status/1626593256321716227")</f>
        <v>https://twitter.com/williamhuntbr/status/1626593256321716227</v>
      </c>
      <c r="AF432" s="79">
        <v>44974.613738425927</v>
      </c>
      <c r="AG432" s="85">
        <v>44974</v>
      </c>
      <c r="AH432" s="82" t="s">
        <v>8150</v>
      </c>
      <c r="AI432" s="77" t="b">
        <v>0</v>
      </c>
      <c r="AJ432" s="77"/>
      <c r="AK432" s="77"/>
      <c r="AL432" s="77"/>
      <c r="AM432" s="77"/>
      <c r="AN432" s="77"/>
      <c r="AO432" s="77"/>
      <c r="AP432" s="77"/>
      <c r="AQ432" s="77" t="s">
        <v>10864</v>
      </c>
      <c r="AR432" s="77"/>
      <c r="AS432" s="77"/>
      <c r="AT432" s="77"/>
      <c r="AU432" s="77"/>
      <c r="AV432" s="80" t="str">
        <f>HYPERLINK("https://pbs.twimg.com/media/FpLR2lXaMAcF8LJ.jpg")</f>
        <v>https://pbs.twimg.com/media/FpLR2lXaMAcF8LJ.jpg</v>
      </c>
      <c r="AW432" s="82" t="s">
        <v>12627</v>
      </c>
      <c r="AX432" s="82" t="s">
        <v>12627</v>
      </c>
      <c r="AY432" s="77"/>
      <c r="AZ432" s="82" t="s">
        <v>15804</v>
      </c>
      <c r="BA432" s="82" t="s">
        <v>15804</v>
      </c>
      <c r="BB432" s="82" t="s">
        <v>15804</v>
      </c>
      <c r="BC432" s="82" t="s">
        <v>12627</v>
      </c>
      <c r="BD432" s="82" t="s">
        <v>16208</v>
      </c>
      <c r="BE432" s="77"/>
      <c r="BF432" s="77"/>
      <c r="BG432" s="77"/>
      <c r="BH432" s="77"/>
      <c r="BI432" s="77"/>
    </row>
    <row r="433" spans="1:61" x14ac:dyDescent="0.25">
      <c r="A433" s="62" t="s">
        <v>353</v>
      </c>
      <c r="B433" s="62" t="s">
        <v>353</v>
      </c>
      <c r="C433" s="63"/>
      <c r="D433" s="64"/>
      <c r="E433" s="65"/>
      <c r="F433" s="66"/>
      <c r="G433" s="63"/>
      <c r="H433" s="67"/>
      <c r="I433" s="68"/>
      <c r="J433" s="68"/>
      <c r="K433" s="32"/>
      <c r="L433" s="75">
        <v>433</v>
      </c>
      <c r="M433" s="75"/>
      <c r="N433" s="70"/>
      <c r="O433" s="77" t="s">
        <v>179</v>
      </c>
      <c r="P433" s="79">
        <v>45175.5</v>
      </c>
      <c r="Q433" s="77" t="s">
        <v>1543</v>
      </c>
      <c r="R433" s="77">
        <v>0</v>
      </c>
      <c r="S433" s="77">
        <v>0</v>
      </c>
      <c r="T433" s="77">
        <v>0</v>
      </c>
      <c r="U433" s="77">
        <v>0</v>
      </c>
      <c r="V433" s="77">
        <v>72</v>
      </c>
      <c r="W433" s="82" t="s">
        <v>4352</v>
      </c>
      <c r="X433" s="80" t="str">
        <f>HYPERLINK("http://www.williamhunt.com.br/completo")</f>
        <v>http://www.williamhunt.com.br/completo</v>
      </c>
      <c r="Y433" s="77" t="s">
        <v>6002</v>
      </c>
      <c r="Z433" s="77"/>
      <c r="AA433" s="77" t="s">
        <v>6358</v>
      </c>
      <c r="AB433" s="77" t="s">
        <v>7700</v>
      </c>
      <c r="AC433" s="82" t="s">
        <v>7706</v>
      </c>
      <c r="AD433" s="77" t="s">
        <v>7745</v>
      </c>
      <c r="AE433" s="80" t="str">
        <f>HYPERLINK("https://twitter.com/williamhuntbr/status/1699391999210602502")</f>
        <v>https://twitter.com/williamhuntbr/status/1699391999210602502</v>
      </c>
      <c r="AF433" s="79">
        <v>45175.5</v>
      </c>
      <c r="AG433" s="85">
        <v>45175</v>
      </c>
      <c r="AH433" s="82" t="s">
        <v>8143</v>
      </c>
      <c r="AI433" s="77" t="b">
        <v>0</v>
      </c>
      <c r="AJ433" s="77"/>
      <c r="AK433" s="77"/>
      <c r="AL433" s="77"/>
      <c r="AM433" s="77"/>
      <c r="AN433" s="77"/>
      <c r="AO433" s="77"/>
      <c r="AP433" s="77"/>
      <c r="AQ433" s="77" t="s">
        <v>10865</v>
      </c>
      <c r="AR433" s="77"/>
      <c r="AS433" s="77"/>
      <c r="AT433" s="77"/>
      <c r="AU433" s="77"/>
      <c r="AV433" s="80" t="str">
        <f>HYPERLINK("https://pbs.twimg.com/media/F490g10W8AAhEev.jpg")</f>
        <v>https://pbs.twimg.com/media/F490g10W8AAhEev.jpg</v>
      </c>
      <c r="AW433" s="82" t="s">
        <v>12628</v>
      </c>
      <c r="AX433" s="82" t="s">
        <v>12628</v>
      </c>
      <c r="AY433" s="77"/>
      <c r="AZ433" s="82" t="s">
        <v>15804</v>
      </c>
      <c r="BA433" s="82" t="s">
        <v>15804</v>
      </c>
      <c r="BB433" s="82" t="s">
        <v>15804</v>
      </c>
      <c r="BC433" s="82" t="s">
        <v>12628</v>
      </c>
      <c r="BD433" s="82" t="s">
        <v>16208</v>
      </c>
      <c r="BE433" s="77"/>
      <c r="BF433" s="77"/>
      <c r="BG433" s="77"/>
      <c r="BH433" s="77"/>
      <c r="BI433" s="77"/>
    </row>
    <row r="434" spans="1:61" x14ac:dyDescent="0.25">
      <c r="A434" s="62" t="s">
        <v>353</v>
      </c>
      <c r="B434" s="62" t="s">
        <v>353</v>
      </c>
      <c r="C434" s="63"/>
      <c r="D434" s="64"/>
      <c r="E434" s="65"/>
      <c r="F434" s="66"/>
      <c r="G434" s="63"/>
      <c r="H434" s="67"/>
      <c r="I434" s="68"/>
      <c r="J434" s="68"/>
      <c r="K434" s="32"/>
      <c r="L434" s="75">
        <v>434</v>
      </c>
      <c r="M434" s="75"/>
      <c r="N434" s="70"/>
      <c r="O434" s="77" t="s">
        <v>179</v>
      </c>
      <c r="P434" s="79">
        <v>45163.5</v>
      </c>
      <c r="Q434" s="77" t="s">
        <v>1544</v>
      </c>
      <c r="R434" s="77">
        <v>0</v>
      </c>
      <c r="S434" s="77">
        <v>0</v>
      </c>
      <c r="T434" s="77">
        <v>0</v>
      </c>
      <c r="U434" s="77">
        <v>0</v>
      </c>
      <c r="V434" s="77">
        <v>85</v>
      </c>
      <c r="W434" s="82" t="s">
        <v>4353</v>
      </c>
      <c r="X434" s="80" t="str">
        <f>HYPERLINK("http://www.williamhunt.com.br/completo")</f>
        <v>http://www.williamhunt.com.br/completo</v>
      </c>
      <c r="Y434" s="77" t="s">
        <v>6002</v>
      </c>
      <c r="Z434" s="77"/>
      <c r="AA434" s="77" t="s">
        <v>6359</v>
      </c>
      <c r="AB434" s="77" t="s">
        <v>7696</v>
      </c>
      <c r="AC434" s="82" t="s">
        <v>7706</v>
      </c>
      <c r="AD434" s="77" t="s">
        <v>7745</v>
      </c>
      <c r="AE434" s="80" t="str">
        <f>HYPERLINK("https://twitter.com/williamhuntbr/status/1695043347004510688")</f>
        <v>https://twitter.com/williamhuntbr/status/1695043347004510688</v>
      </c>
      <c r="AF434" s="79">
        <v>45163.5</v>
      </c>
      <c r="AG434" s="85">
        <v>45163</v>
      </c>
      <c r="AH434" s="82" t="s">
        <v>8143</v>
      </c>
      <c r="AI434" s="77" t="b">
        <v>0</v>
      </c>
      <c r="AJ434" s="77"/>
      <c r="AK434" s="77"/>
      <c r="AL434" s="77"/>
      <c r="AM434" s="77"/>
      <c r="AN434" s="77"/>
      <c r="AO434" s="77"/>
      <c r="AP434" s="77"/>
      <c r="AQ434" s="77" t="s">
        <v>10866</v>
      </c>
      <c r="AR434" s="77"/>
      <c r="AS434" s="77"/>
      <c r="AT434" s="77"/>
      <c r="AU434" s="77"/>
      <c r="AV434" s="80" t="str">
        <f>HYPERLINK("https://pbs.twimg.com/media/F3havjJWMAAz6a7.jpg")</f>
        <v>https://pbs.twimg.com/media/F3havjJWMAAz6a7.jpg</v>
      </c>
      <c r="AW434" s="82" t="s">
        <v>12629</v>
      </c>
      <c r="AX434" s="82" t="s">
        <v>12629</v>
      </c>
      <c r="AY434" s="77"/>
      <c r="AZ434" s="82" t="s">
        <v>15804</v>
      </c>
      <c r="BA434" s="82" t="s">
        <v>15804</v>
      </c>
      <c r="BB434" s="82" t="s">
        <v>15804</v>
      </c>
      <c r="BC434" s="82" t="s">
        <v>12629</v>
      </c>
      <c r="BD434" s="82" t="s">
        <v>16208</v>
      </c>
      <c r="BE434" s="77"/>
      <c r="BF434" s="77"/>
      <c r="BG434" s="77"/>
      <c r="BH434" s="77"/>
      <c r="BI434" s="77"/>
    </row>
    <row r="435" spans="1:61" x14ac:dyDescent="0.25">
      <c r="A435" s="62" t="s">
        <v>353</v>
      </c>
      <c r="B435" s="62" t="s">
        <v>353</v>
      </c>
      <c r="C435" s="63"/>
      <c r="D435" s="64"/>
      <c r="E435" s="65"/>
      <c r="F435" s="66"/>
      <c r="G435" s="63"/>
      <c r="H435" s="67"/>
      <c r="I435" s="68"/>
      <c r="J435" s="68"/>
      <c r="K435" s="32"/>
      <c r="L435" s="75">
        <v>435</v>
      </c>
      <c r="M435" s="75"/>
      <c r="N435" s="70"/>
      <c r="O435" s="77" t="s">
        <v>179</v>
      </c>
      <c r="P435" s="79">
        <v>45135.5</v>
      </c>
      <c r="Q435" s="77" t="s">
        <v>1545</v>
      </c>
      <c r="R435" s="77">
        <v>0</v>
      </c>
      <c r="S435" s="77">
        <v>0</v>
      </c>
      <c r="T435" s="77">
        <v>0</v>
      </c>
      <c r="U435" s="77">
        <v>0</v>
      </c>
      <c r="V435" s="77">
        <v>14</v>
      </c>
      <c r="W435" s="82" t="s">
        <v>4354</v>
      </c>
      <c r="X435" s="80" t="str">
        <f>HYPERLINK("https://www.williamhunt.com.br/segredos-dos-investimentos-para-iniciantes")</f>
        <v>https://www.williamhunt.com.br/segredos-dos-investimentos-para-iniciantes</v>
      </c>
      <c r="Y435" s="77" t="s">
        <v>6002</v>
      </c>
      <c r="Z435" s="77"/>
      <c r="AA435" s="77" t="s">
        <v>6360</v>
      </c>
      <c r="AB435" s="77" t="s">
        <v>7696</v>
      </c>
      <c r="AC435" s="82" t="s">
        <v>7706</v>
      </c>
      <c r="AD435" s="77" t="s">
        <v>7745</v>
      </c>
      <c r="AE435" s="80" t="str">
        <f>HYPERLINK("https://twitter.com/williamhuntbr/status/1684896483634475008")</f>
        <v>https://twitter.com/williamhuntbr/status/1684896483634475008</v>
      </c>
      <c r="AF435" s="79">
        <v>45135.5</v>
      </c>
      <c r="AG435" s="85">
        <v>45135</v>
      </c>
      <c r="AH435" s="82" t="s">
        <v>8143</v>
      </c>
      <c r="AI435" s="77" t="b">
        <v>0</v>
      </c>
      <c r="AJ435" s="77"/>
      <c r="AK435" s="77"/>
      <c r="AL435" s="77"/>
      <c r="AM435" s="77"/>
      <c r="AN435" s="77"/>
      <c r="AO435" s="77"/>
      <c r="AP435" s="77"/>
      <c r="AQ435" s="77" t="s">
        <v>10867</v>
      </c>
      <c r="AR435" s="77"/>
      <c r="AS435" s="77"/>
      <c r="AT435" s="77"/>
      <c r="AU435" s="77"/>
      <c r="AV435" s="80" t="str">
        <f>HYPERLINK("https://pbs.twimg.com/media/F1ls8YCWAAAR3F9.jpg")</f>
        <v>https://pbs.twimg.com/media/F1ls8YCWAAAR3F9.jpg</v>
      </c>
      <c r="AW435" s="82" t="s">
        <v>12630</v>
      </c>
      <c r="AX435" s="82" t="s">
        <v>12630</v>
      </c>
      <c r="AY435" s="77"/>
      <c r="AZ435" s="82" t="s">
        <v>15804</v>
      </c>
      <c r="BA435" s="82" t="s">
        <v>15804</v>
      </c>
      <c r="BB435" s="82" t="s">
        <v>15804</v>
      </c>
      <c r="BC435" s="82" t="s">
        <v>12630</v>
      </c>
      <c r="BD435" s="82" t="s">
        <v>16208</v>
      </c>
      <c r="BE435" s="77"/>
      <c r="BF435" s="77"/>
      <c r="BG435" s="77"/>
      <c r="BH435" s="77"/>
      <c r="BI435" s="77"/>
    </row>
    <row r="436" spans="1:61" x14ac:dyDescent="0.25">
      <c r="A436" s="62" t="s">
        <v>353</v>
      </c>
      <c r="B436" s="62" t="s">
        <v>353</v>
      </c>
      <c r="C436" s="63"/>
      <c r="D436" s="64"/>
      <c r="E436" s="65"/>
      <c r="F436" s="66"/>
      <c r="G436" s="63"/>
      <c r="H436" s="67"/>
      <c r="I436" s="68"/>
      <c r="J436" s="68"/>
      <c r="K436" s="32"/>
      <c r="L436" s="75">
        <v>436</v>
      </c>
      <c r="M436" s="75"/>
      <c r="N436" s="70"/>
      <c r="O436" s="77" t="s">
        <v>179</v>
      </c>
      <c r="P436" s="79">
        <v>45133.5</v>
      </c>
      <c r="Q436" s="77" t="s">
        <v>1546</v>
      </c>
      <c r="R436" s="77">
        <v>0</v>
      </c>
      <c r="S436" s="77">
        <v>0</v>
      </c>
      <c r="T436" s="77">
        <v>0</v>
      </c>
      <c r="U436" s="77">
        <v>0</v>
      </c>
      <c r="V436" s="77">
        <v>19</v>
      </c>
      <c r="W436" s="82" t="s">
        <v>4355</v>
      </c>
      <c r="X436" s="80" t="str">
        <f>HYPERLINK("https://www.williamhunt.com.br/segredos-dos-investimentos-para-iniciantes")</f>
        <v>https://www.williamhunt.com.br/segredos-dos-investimentos-para-iniciantes</v>
      </c>
      <c r="Y436" s="77" t="s">
        <v>6002</v>
      </c>
      <c r="Z436" s="77"/>
      <c r="AA436" s="77" t="s">
        <v>6361</v>
      </c>
      <c r="AB436" s="77" t="s">
        <v>7696</v>
      </c>
      <c r="AC436" s="82" t="s">
        <v>7706</v>
      </c>
      <c r="AD436" s="77" t="s">
        <v>7745</v>
      </c>
      <c r="AE436" s="80" t="str">
        <f>HYPERLINK("https://twitter.com/williamhuntbr/status/1684171707848826881")</f>
        <v>https://twitter.com/williamhuntbr/status/1684171707848826881</v>
      </c>
      <c r="AF436" s="79">
        <v>45133.5</v>
      </c>
      <c r="AG436" s="85">
        <v>45133</v>
      </c>
      <c r="AH436" s="82" t="s">
        <v>8143</v>
      </c>
      <c r="AI436" s="77" t="b">
        <v>0</v>
      </c>
      <c r="AJ436" s="77"/>
      <c r="AK436" s="77"/>
      <c r="AL436" s="77"/>
      <c r="AM436" s="77"/>
      <c r="AN436" s="77"/>
      <c r="AO436" s="77"/>
      <c r="AP436" s="77"/>
      <c r="AQ436" s="77" t="s">
        <v>10868</v>
      </c>
      <c r="AR436" s="77"/>
      <c r="AS436" s="77"/>
      <c r="AT436" s="77"/>
      <c r="AU436" s="77"/>
      <c r="AV436" s="80" t="str">
        <f>HYPERLINK("https://pbs.twimg.com/media/F1GthTjWYAUZb36.jpg")</f>
        <v>https://pbs.twimg.com/media/F1GthTjWYAUZb36.jpg</v>
      </c>
      <c r="AW436" s="82" t="s">
        <v>12631</v>
      </c>
      <c r="AX436" s="82" t="s">
        <v>12631</v>
      </c>
      <c r="AY436" s="77"/>
      <c r="AZ436" s="82" t="s">
        <v>15804</v>
      </c>
      <c r="BA436" s="82" t="s">
        <v>15804</v>
      </c>
      <c r="BB436" s="82" t="s">
        <v>15804</v>
      </c>
      <c r="BC436" s="82" t="s">
        <v>12631</v>
      </c>
      <c r="BD436" s="82" t="s">
        <v>16208</v>
      </c>
      <c r="BE436" s="77"/>
      <c r="BF436" s="77"/>
      <c r="BG436" s="77"/>
      <c r="BH436" s="77"/>
      <c r="BI436" s="77"/>
    </row>
    <row r="437" spans="1:61" x14ac:dyDescent="0.25">
      <c r="A437" s="62" t="s">
        <v>353</v>
      </c>
      <c r="B437" s="62" t="s">
        <v>353</v>
      </c>
      <c r="C437" s="63"/>
      <c r="D437" s="64"/>
      <c r="E437" s="65"/>
      <c r="F437" s="66"/>
      <c r="G437" s="63"/>
      <c r="H437" s="67"/>
      <c r="I437" s="68"/>
      <c r="J437" s="68"/>
      <c r="K437" s="32"/>
      <c r="L437" s="75">
        <v>437</v>
      </c>
      <c r="M437" s="75"/>
      <c r="N437" s="70"/>
      <c r="O437" s="77" t="s">
        <v>179</v>
      </c>
      <c r="P437" s="79">
        <v>45114.500023148146</v>
      </c>
      <c r="Q437" s="77" t="s">
        <v>1547</v>
      </c>
      <c r="R437" s="77">
        <v>0</v>
      </c>
      <c r="S437" s="77">
        <v>0</v>
      </c>
      <c r="T437" s="77">
        <v>0</v>
      </c>
      <c r="U437" s="77">
        <v>0</v>
      </c>
      <c r="V437" s="77">
        <v>12</v>
      </c>
      <c r="W437" s="82" t="s">
        <v>4346</v>
      </c>
      <c r="X437" s="80" t="str">
        <f>HYPERLINK("https://www.williamhunt.com.br/segredos-dos-investimentos-para-iniciantes")</f>
        <v>https://www.williamhunt.com.br/segredos-dos-investimentos-para-iniciantes</v>
      </c>
      <c r="Y437" s="77" t="s">
        <v>6002</v>
      </c>
      <c r="Z437" s="77"/>
      <c r="AA437" s="77" t="s">
        <v>6362</v>
      </c>
      <c r="AB437" s="77" t="s">
        <v>7696</v>
      </c>
      <c r="AC437" s="82" t="s">
        <v>7706</v>
      </c>
      <c r="AD437" s="77" t="s">
        <v>7745</v>
      </c>
      <c r="AE437" s="80" t="str">
        <f>HYPERLINK("https://twitter.com/williamhuntbr/status/1677286349299412992")</f>
        <v>https://twitter.com/williamhuntbr/status/1677286349299412992</v>
      </c>
      <c r="AF437" s="79">
        <v>45114.500023148146</v>
      </c>
      <c r="AG437" s="85">
        <v>45114</v>
      </c>
      <c r="AH437" s="82" t="s">
        <v>8128</v>
      </c>
      <c r="AI437" s="77" t="b">
        <v>0</v>
      </c>
      <c r="AJ437" s="77"/>
      <c r="AK437" s="77"/>
      <c r="AL437" s="77"/>
      <c r="AM437" s="77"/>
      <c r="AN437" s="77"/>
      <c r="AO437" s="77"/>
      <c r="AP437" s="77"/>
      <c r="AQ437" s="77" t="s">
        <v>10869</v>
      </c>
      <c r="AR437" s="77"/>
      <c r="AS437" s="77"/>
      <c r="AT437" s="77"/>
      <c r="AU437" s="77"/>
      <c r="AV437" s="80" t="str">
        <f>HYPERLINK("https://pbs.twimg.com/media/Fz5xjKQXwAAXGEp.jpg")</f>
        <v>https://pbs.twimg.com/media/Fz5xjKQXwAAXGEp.jpg</v>
      </c>
      <c r="AW437" s="82" t="s">
        <v>12632</v>
      </c>
      <c r="AX437" s="82" t="s">
        <v>12632</v>
      </c>
      <c r="AY437" s="77"/>
      <c r="AZ437" s="82" t="s">
        <v>15804</v>
      </c>
      <c r="BA437" s="82" t="s">
        <v>15804</v>
      </c>
      <c r="BB437" s="82" t="s">
        <v>15804</v>
      </c>
      <c r="BC437" s="82" t="s">
        <v>12632</v>
      </c>
      <c r="BD437" s="82" t="s">
        <v>16208</v>
      </c>
      <c r="BE437" s="77"/>
      <c r="BF437" s="77"/>
      <c r="BG437" s="77"/>
      <c r="BH437" s="77"/>
      <c r="BI437" s="77"/>
    </row>
    <row r="438" spans="1:61" x14ac:dyDescent="0.25">
      <c r="A438" s="62" t="s">
        <v>353</v>
      </c>
      <c r="B438" s="62" t="s">
        <v>353</v>
      </c>
      <c r="C438" s="63"/>
      <c r="D438" s="64"/>
      <c r="E438" s="65"/>
      <c r="F438" s="66"/>
      <c r="G438" s="63"/>
      <c r="H438" s="67"/>
      <c r="I438" s="68"/>
      <c r="J438" s="68"/>
      <c r="K438" s="32"/>
      <c r="L438" s="75">
        <v>438</v>
      </c>
      <c r="M438" s="75"/>
      <c r="N438" s="70"/>
      <c r="O438" s="77" t="s">
        <v>179</v>
      </c>
      <c r="P438" s="79">
        <v>45112.500011574077</v>
      </c>
      <c r="Q438" s="77" t="s">
        <v>1548</v>
      </c>
      <c r="R438" s="77">
        <v>0</v>
      </c>
      <c r="S438" s="77">
        <v>1</v>
      </c>
      <c r="T438" s="77">
        <v>0</v>
      </c>
      <c r="U438" s="77">
        <v>0</v>
      </c>
      <c r="V438" s="77">
        <v>12</v>
      </c>
      <c r="W438" s="82" t="s">
        <v>4356</v>
      </c>
      <c r="X438" s="80" t="str">
        <f>HYPERLINK("https://www.williamhunt.com.br/segredos-dos-investimentos-para-iniciantes")</f>
        <v>https://www.williamhunt.com.br/segredos-dos-investimentos-para-iniciantes</v>
      </c>
      <c r="Y438" s="77" t="s">
        <v>6002</v>
      </c>
      <c r="Z438" s="77"/>
      <c r="AA438" s="77" t="s">
        <v>6363</v>
      </c>
      <c r="AB438" s="77" t="s">
        <v>7696</v>
      </c>
      <c r="AC438" s="82" t="s">
        <v>7706</v>
      </c>
      <c r="AD438" s="77" t="s">
        <v>7745</v>
      </c>
      <c r="AE438" s="80" t="str">
        <f>HYPERLINK("https://twitter.com/williamhuntbr/status/1676561566185971712")</f>
        <v>https://twitter.com/williamhuntbr/status/1676561566185971712</v>
      </c>
      <c r="AF438" s="79">
        <v>45112.500011574077</v>
      </c>
      <c r="AG438" s="85">
        <v>45112</v>
      </c>
      <c r="AH438" s="82" t="s">
        <v>7923</v>
      </c>
      <c r="AI438" s="77" t="b">
        <v>0</v>
      </c>
      <c r="AJ438" s="77"/>
      <c r="AK438" s="77"/>
      <c r="AL438" s="77"/>
      <c r="AM438" s="77"/>
      <c r="AN438" s="77"/>
      <c r="AO438" s="77"/>
      <c r="AP438" s="77"/>
      <c r="AQ438" s="77" t="s">
        <v>10870</v>
      </c>
      <c r="AR438" s="77"/>
      <c r="AS438" s="77"/>
      <c r="AT438" s="77"/>
      <c r="AU438" s="77"/>
      <c r="AV438" s="80" t="str">
        <f>HYPERLINK("https://pbs.twimg.com/media/Fz5tIh5XgAUhWNk.jpg")</f>
        <v>https://pbs.twimg.com/media/Fz5tIh5XgAUhWNk.jpg</v>
      </c>
      <c r="AW438" s="82" t="s">
        <v>12633</v>
      </c>
      <c r="AX438" s="82" t="s">
        <v>12633</v>
      </c>
      <c r="AY438" s="77"/>
      <c r="AZ438" s="82" t="s">
        <v>15804</v>
      </c>
      <c r="BA438" s="82" t="s">
        <v>15804</v>
      </c>
      <c r="BB438" s="82" t="s">
        <v>15804</v>
      </c>
      <c r="BC438" s="82" t="s">
        <v>12633</v>
      </c>
      <c r="BD438" s="82" t="s">
        <v>16208</v>
      </c>
      <c r="BE438" s="77"/>
      <c r="BF438" s="77"/>
      <c r="BG438" s="77"/>
      <c r="BH438" s="77"/>
      <c r="BI438" s="77"/>
    </row>
    <row r="439" spans="1:61" x14ac:dyDescent="0.25">
      <c r="A439" s="62" t="s">
        <v>353</v>
      </c>
      <c r="B439" s="62" t="s">
        <v>353</v>
      </c>
      <c r="C439" s="63"/>
      <c r="D439" s="64"/>
      <c r="E439" s="65"/>
      <c r="F439" s="66"/>
      <c r="G439" s="63"/>
      <c r="H439" s="67"/>
      <c r="I439" s="68"/>
      <c r="J439" s="68"/>
      <c r="K439" s="32"/>
      <c r="L439" s="75">
        <v>439</v>
      </c>
      <c r="M439" s="75"/>
      <c r="N439" s="70"/>
      <c r="O439" s="77" t="s">
        <v>179</v>
      </c>
      <c r="P439" s="79">
        <v>45075.500011574077</v>
      </c>
      <c r="Q439" s="77" t="s">
        <v>1549</v>
      </c>
      <c r="R439" s="77">
        <v>0</v>
      </c>
      <c r="S439" s="77">
        <v>0</v>
      </c>
      <c r="T439" s="77">
        <v>0</v>
      </c>
      <c r="U439" s="77">
        <v>0</v>
      </c>
      <c r="V439" s="77">
        <v>9</v>
      </c>
      <c r="W439" s="82" t="s">
        <v>4357</v>
      </c>
      <c r="X439" s="80" t="str">
        <f>HYPERLINK("https://www.williamhunt.com.br/segredos-dos-investimentos-para-iniciantes")</f>
        <v>https://www.williamhunt.com.br/segredos-dos-investimentos-para-iniciantes</v>
      </c>
      <c r="Y439" s="77" t="s">
        <v>6002</v>
      </c>
      <c r="Z439" s="77"/>
      <c r="AA439" s="77" t="s">
        <v>6364</v>
      </c>
      <c r="AB439" s="77" t="s">
        <v>7696</v>
      </c>
      <c r="AC439" s="82" t="s">
        <v>7706</v>
      </c>
      <c r="AD439" s="77" t="s">
        <v>7745</v>
      </c>
      <c r="AE439" s="80" t="str">
        <f>HYPERLINK("https://twitter.com/williamhuntbr/status/1663153216006291458")</f>
        <v>https://twitter.com/williamhuntbr/status/1663153216006291458</v>
      </c>
      <c r="AF439" s="79">
        <v>45075.500011574077</v>
      </c>
      <c r="AG439" s="85">
        <v>45075</v>
      </c>
      <c r="AH439" s="82" t="s">
        <v>7923</v>
      </c>
      <c r="AI439" s="77" t="b">
        <v>0</v>
      </c>
      <c r="AJ439" s="77"/>
      <c r="AK439" s="77"/>
      <c r="AL439" s="77"/>
      <c r="AM439" s="77"/>
      <c r="AN439" s="77"/>
      <c r="AO439" s="77"/>
      <c r="AP439" s="77"/>
      <c r="AQ439" s="77" t="s">
        <v>10871</v>
      </c>
      <c r="AR439" s="77"/>
      <c r="AS439" s="77"/>
      <c r="AT439" s="77"/>
      <c r="AU439" s="77"/>
      <c r="AV439" s="80" t="str">
        <f>HYPERLINK("https://pbs.twimg.com/media/Fw13OLmWIBwiQ1d.jpg")</f>
        <v>https://pbs.twimg.com/media/Fw13OLmWIBwiQ1d.jpg</v>
      </c>
      <c r="AW439" s="82" t="s">
        <v>12634</v>
      </c>
      <c r="AX439" s="82" t="s">
        <v>12634</v>
      </c>
      <c r="AY439" s="77"/>
      <c r="AZ439" s="82" t="s">
        <v>15804</v>
      </c>
      <c r="BA439" s="82" t="s">
        <v>15804</v>
      </c>
      <c r="BB439" s="82" t="s">
        <v>15804</v>
      </c>
      <c r="BC439" s="82" t="s">
        <v>12634</v>
      </c>
      <c r="BD439" s="82" t="s">
        <v>16208</v>
      </c>
      <c r="BE439" s="77"/>
      <c r="BF439" s="77"/>
      <c r="BG439" s="77"/>
      <c r="BH439" s="77"/>
      <c r="BI439" s="77"/>
    </row>
    <row r="440" spans="1:61" x14ac:dyDescent="0.25">
      <c r="A440" s="62" t="s">
        <v>353</v>
      </c>
      <c r="B440" s="62" t="s">
        <v>353</v>
      </c>
      <c r="C440" s="63"/>
      <c r="D440" s="64"/>
      <c r="E440" s="65"/>
      <c r="F440" s="66"/>
      <c r="G440" s="63"/>
      <c r="H440" s="67"/>
      <c r="I440" s="68"/>
      <c r="J440" s="68"/>
      <c r="K440" s="32"/>
      <c r="L440" s="75">
        <v>440</v>
      </c>
      <c r="M440" s="75"/>
      <c r="N440" s="70"/>
      <c r="O440" s="77" t="s">
        <v>179</v>
      </c>
      <c r="P440" s="79">
        <v>45037.604166666664</v>
      </c>
      <c r="Q440" s="77" t="s">
        <v>1550</v>
      </c>
      <c r="R440" s="77">
        <v>0</v>
      </c>
      <c r="S440" s="77">
        <v>0</v>
      </c>
      <c r="T440" s="77">
        <v>0</v>
      </c>
      <c r="U440" s="77">
        <v>0</v>
      </c>
      <c r="V440" s="77">
        <v>26</v>
      </c>
      <c r="W440" s="82" t="s">
        <v>4358</v>
      </c>
      <c r="X440" s="80" t="str">
        <f>HYPERLINK("https://www.williamhunt.com.br/segredos-dos-investimentos-para-iniciantes")</f>
        <v>https://www.williamhunt.com.br/segredos-dos-investimentos-para-iniciantes</v>
      </c>
      <c r="Y440" s="77" t="s">
        <v>6002</v>
      </c>
      <c r="Z440" s="77"/>
      <c r="AA440" s="77" t="s">
        <v>6365</v>
      </c>
      <c r="AB440" s="77" t="s">
        <v>7696</v>
      </c>
      <c r="AC440" s="82" t="s">
        <v>7706</v>
      </c>
      <c r="AD440" s="77" t="s">
        <v>7745</v>
      </c>
      <c r="AE440" s="80" t="str">
        <f>HYPERLINK("https://twitter.com/williamhuntbr/status/1649420222779015171")</f>
        <v>https://twitter.com/williamhuntbr/status/1649420222779015171</v>
      </c>
      <c r="AF440" s="79">
        <v>45037.604166666664</v>
      </c>
      <c r="AG440" s="85">
        <v>45037</v>
      </c>
      <c r="AH440" s="82" t="s">
        <v>8129</v>
      </c>
      <c r="AI440" s="77" t="b">
        <v>0</v>
      </c>
      <c r="AJ440" s="77"/>
      <c r="AK440" s="77"/>
      <c r="AL440" s="77"/>
      <c r="AM440" s="77"/>
      <c r="AN440" s="77"/>
      <c r="AO440" s="77"/>
      <c r="AP440" s="77"/>
      <c r="AQ440" s="77" t="s">
        <v>10872</v>
      </c>
      <c r="AR440" s="77"/>
      <c r="AS440" s="77"/>
      <c r="AT440" s="77"/>
      <c r="AU440" s="77"/>
      <c r="AV440" s="80" t="str">
        <f>HYPERLINK("https://pbs.twimg.com/media/FuKf34-XgAIazsP.jpg")</f>
        <v>https://pbs.twimg.com/media/FuKf34-XgAIazsP.jpg</v>
      </c>
      <c r="AW440" s="82" t="s">
        <v>12635</v>
      </c>
      <c r="AX440" s="82" t="s">
        <v>12635</v>
      </c>
      <c r="AY440" s="77"/>
      <c r="AZ440" s="82" t="s">
        <v>15804</v>
      </c>
      <c r="BA440" s="82" t="s">
        <v>15804</v>
      </c>
      <c r="BB440" s="82" t="s">
        <v>15804</v>
      </c>
      <c r="BC440" s="82" t="s">
        <v>12635</v>
      </c>
      <c r="BD440" s="82" t="s">
        <v>16208</v>
      </c>
      <c r="BE440" s="77"/>
      <c r="BF440" s="77"/>
      <c r="BG440" s="77"/>
      <c r="BH440" s="77"/>
      <c r="BI440" s="77"/>
    </row>
    <row r="441" spans="1:61" x14ac:dyDescent="0.25">
      <c r="A441" s="62" t="s">
        <v>353</v>
      </c>
      <c r="B441" s="62" t="s">
        <v>353</v>
      </c>
      <c r="C441" s="63"/>
      <c r="D441" s="64"/>
      <c r="E441" s="65"/>
      <c r="F441" s="66"/>
      <c r="G441" s="63"/>
      <c r="H441" s="67"/>
      <c r="I441" s="68"/>
      <c r="J441" s="68"/>
      <c r="K441" s="32"/>
      <c r="L441" s="75">
        <v>441</v>
      </c>
      <c r="M441" s="75"/>
      <c r="N441" s="70"/>
      <c r="O441" s="77" t="s">
        <v>179</v>
      </c>
      <c r="P441" s="79">
        <v>45035.604166666664</v>
      </c>
      <c r="Q441" s="77" t="s">
        <v>1551</v>
      </c>
      <c r="R441" s="77">
        <v>0</v>
      </c>
      <c r="S441" s="77">
        <v>0</v>
      </c>
      <c r="T441" s="77">
        <v>0</v>
      </c>
      <c r="U441" s="77">
        <v>0</v>
      </c>
      <c r="V441" s="77">
        <v>13</v>
      </c>
      <c r="W441" s="82" t="s">
        <v>4359</v>
      </c>
      <c r="X441" s="80" t="str">
        <f>HYPERLINK("https://www.williamhunt.com.br/segredos-dos-investimentos-para-iniciantes")</f>
        <v>https://www.williamhunt.com.br/segredos-dos-investimentos-para-iniciantes</v>
      </c>
      <c r="Y441" s="77" t="s">
        <v>6002</v>
      </c>
      <c r="Z441" s="77"/>
      <c r="AA441" s="77" t="s">
        <v>6366</v>
      </c>
      <c r="AB441" s="77" t="s">
        <v>7696</v>
      </c>
      <c r="AC441" s="82" t="s">
        <v>7706</v>
      </c>
      <c r="AD441" s="77" t="s">
        <v>7745</v>
      </c>
      <c r="AE441" s="80" t="str">
        <f>HYPERLINK("https://twitter.com/williamhuntbr/status/1648695447106600960")</f>
        <v>https://twitter.com/williamhuntbr/status/1648695447106600960</v>
      </c>
      <c r="AF441" s="79">
        <v>45035.604166666664</v>
      </c>
      <c r="AG441" s="85">
        <v>45035</v>
      </c>
      <c r="AH441" s="82" t="s">
        <v>8129</v>
      </c>
      <c r="AI441" s="77" t="b">
        <v>0</v>
      </c>
      <c r="AJ441" s="77"/>
      <c r="AK441" s="77"/>
      <c r="AL441" s="77"/>
      <c r="AM441" s="77"/>
      <c r="AN441" s="77"/>
      <c r="AO441" s="77"/>
      <c r="AP441" s="77"/>
      <c r="AQ441" s="77" t="s">
        <v>10873</v>
      </c>
      <c r="AR441" s="77"/>
      <c r="AS441" s="77"/>
      <c r="AT441" s="77"/>
      <c r="AU441" s="77"/>
      <c r="AV441" s="80" t="str">
        <f>HYPERLINK("https://pbs.twimg.com/media/FtnxNH7X0AAC4Zv.jpg")</f>
        <v>https://pbs.twimg.com/media/FtnxNH7X0AAC4Zv.jpg</v>
      </c>
      <c r="AW441" s="82" t="s">
        <v>12636</v>
      </c>
      <c r="AX441" s="82" t="s">
        <v>12636</v>
      </c>
      <c r="AY441" s="77"/>
      <c r="AZ441" s="82" t="s">
        <v>15804</v>
      </c>
      <c r="BA441" s="82" t="s">
        <v>15804</v>
      </c>
      <c r="BB441" s="82" t="s">
        <v>15804</v>
      </c>
      <c r="BC441" s="82" t="s">
        <v>12636</v>
      </c>
      <c r="BD441" s="82" t="s">
        <v>16208</v>
      </c>
      <c r="BE441" s="77"/>
      <c r="BF441" s="77"/>
      <c r="BG441" s="77"/>
      <c r="BH441" s="77"/>
      <c r="BI441" s="77"/>
    </row>
    <row r="442" spans="1:61" x14ac:dyDescent="0.25">
      <c r="A442" s="62" t="s">
        <v>353</v>
      </c>
      <c r="B442" s="62" t="s">
        <v>353</v>
      </c>
      <c r="C442" s="63"/>
      <c r="D442" s="64"/>
      <c r="E442" s="65"/>
      <c r="F442" s="66"/>
      <c r="G442" s="63"/>
      <c r="H442" s="67"/>
      <c r="I442" s="68"/>
      <c r="J442" s="68"/>
      <c r="K442" s="32"/>
      <c r="L442" s="75">
        <v>442</v>
      </c>
      <c r="M442" s="75"/>
      <c r="N442" s="70"/>
      <c r="O442" s="77" t="s">
        <v>179</v>
      </c>
      <c r="P442" s="79">
        <v>44993.651388888888</v>
      </c>
      <c r="Q442" s="77" t="s">
        <v>1552</v>
      </c>
      <c r="R442" s="77">
        <v>0</v>
      </c>
      <c r="S442" s="77">
        <v>0</v>
      </c>
      <c r="T442" s="77">
        <v>0</v>
      </c>
      <c r="U442" s="77">
        <v>0</v>
      </c>
      <c r="V442" s="77">
        <v>50</v>
      </c>
      <c r="W442" s="82" t="s">
        <v>4360</v>
      </c>
      <c r="X442" s="77"/>
      <c r="Y442" s="77"/>
      <c r="Z442" s="77"/>
      <c r="AA442" s="77" t="s">
        <v>6367</v>
      </c>
      <c r="AB442" s="77" t="s">
        <v>7696</v>
      </c>
      <c r="AC442" s="82" t="s">
        <v>7706</v>
      </c>
      <c r="AD442" s="77" t="s">
        <v>7745</v>
      </c>
      <c r="AE442" s="80" t="str">
        <f>HYPERLINK("https://twitter.com/williamhuntbr/status/1633492269385801728")</f>
        <v>https://twitter.com/williamhuntbr/status/1633492269385801728</v>
      </c>
      <c r="AF442" s="79">
        <v>44993.651388888888</v>
      </c>
      <c r="AG442" s="85">
        <v>44993</v>
      </c>
      <c r="AH442" s="82" t="s">
        <v>8151</v>
      </c>
      <c r="AI442" s="77" t="b">
        <v>0</v>
      </c>
      <c r="AJ442" s="77"/>
      <c r="AK442" s="77"/>
      <c r="AL442" s="77"/>
      <c r="AM442" s="77"/>
      <c r="AN442" s="77"/>
      <c r="AO442" s="77"/>
      <c r="AP442" s="77"/>
      <c r="AQ442" s="77" t="s">
        <v>10874</v>
      </c>
      <c r="AR442" s="77"/>
      <c r="AS442" s="77"/>
      <c r="AT442" s="77"/>
      <c r="AU442" s="77"/>
      <c r="AV442" s="80" t="str">
        <f>HYPERLINK("https://pbs.twimg.com/media/FqtUdHEXsAAfgqY.jpg")</f>
        <v>https://pbs.twimg.com/media/FqtUdHEXsAAfgqY.jpg</v>
      </c>
      <c r="AW442" s="82" t="s">
        <v>12637</v>
      </c>
      <c r="AX442" s="82" t="s">
        <v>12637</v>
      </c>
      <c r="AY442" s="77"/>
      <c r="AZ442" s="82" t="s">
        <v>15804</v>
      </c>
      <c r="BA442" s="82" t="s">
        <v>15804</v>
      </c>
      <c r="BB442" s="82" t="s">
        <v>15804</v>
      </c>
      <c r="BC442" s="82" t="s">
        <v>12637</v>
      </c>
      <c r="BD442" s="82" t="s">
        <v>16208</v>
      </c>
      <c r="BE442" s="77"/>
      <c r="BF442" s="77"/>
      <c r="BG442" s="77"/>
      <c r="BH442" s="77"/>
      <c r="BI442" s="77"/>
    </row>
    <row r="443" spans="1:61" x14ac:dyDescent="0.25">
      <c r="A443" s="62" t="s">
        <v>353</v>
      </c>
      <c r="B443" s="62" t="s">
        <v>353</v>
      </c>
      <c r="C443" s="63"/>
      <c r="D443" s="64"/>
      <c r="E443" s="65"/>
      <c r="F443" s="66"/>
      <c r="G443" s="63"/>
      <c r="H443" s="67"/>
      <c r="I443" s="68"/>
      <c r="J443" s="68"/>
      <c r="K443" s="32"/>
      <c r="L443" s="75">
        <v>443</v>
      </c>
      <c r="M443" s="75"/>
      <c r="N443" s="70"/>
      <c r="O443" s="77" t="s">
        <v>179</v>
      </c>
      <c r="P443" s="79">
        <v>44991.579398148147</v>
      </c>
      <c r="Q443" s="77" t="s">
        <v>1553</v>
      </c>
      <c r="R443" s="77">
        <v>0</v>
      </c>
      <c r="S443" s="77">
        <v>3</v>
      </c>
      <c r="T443" s="77">
        <v>1</v>
      </c>
      <c r="U443" s="77">
        <v>0</v>
      </c>
      <c r="V443" s="77">
        <v>74</v>
      </c>
      <c r="W443" s="82" t="s">
        <v>4361</v>
      </c>
      <c r="X443" s="77"/>
      <c r="Y443" s="77"/>
      <c r="Z443" s="77"/>
      <c r="AA443" s="77" t="s">
        <v>6368</v>
      </c>
      <c r="AB443" s="77" t="s">
        <v>7696</v>
      </c>
      <c r="AC443" s="82" t="s">
        <v>7706</v>
      </c>
      <c r="AD443" s="77" t="s">
        <v>7745</v>
      </c>
      <c r="AE443" s="80" t="str">
        <f>HYPERLINK("https://twitter.com/williamhuntbr/status/1632741405264052236")</f>
        <v>https://twitter.com/williamhuntbr/status/1632741405264052236</v>
      </c>
      <c r="AF443" s="79">
        <v>44991.579398148147</v>
      </c>
      <c r="AG443" s="85">
        <v>44991</v>
      </c>
      <c r="AH443" s="82" t="s">
        <v>8152</v>
      </c>
      <c r="AI443" s="77" t="b">
        <v>0</v>
      </c>
      <c r="AJ443" s="77"/>
      <c r="AK443" s="77"/>
      <c r="AL443" s="77"/>
      <c r="AM443" s="77"/>
      <c r="AN443" s="77"/>
      <c r="AO443" s="77"/>
      <c r="AP443" s="77"/>
      <c r="AQ443" s="77" t="s">
        <v>10875</v>
      </c>
      <c r="AR443" s="77"/>
      <c r="AS443" s="77"/>
      <c r="AT443" s="77"/>
      <c r="AU443" s="77"/>
      <c r="AV443" s="80" t="str">
        <f>HYPERLINK("https://pbs.twimg.com/media/Fqipjs6WYAMZEfm.jpg")</f>
        <v>https://pbs.twimg.com/media/Fqipjs6WYAMZEfm.jpg</v>
      </c>
      <c r="AW443" s="82" t="s">
        <v>12638</v>
      </c>
      <c r="AX443" s="82" t="s">
        <v>12638</v>
      </c>
      <c r="AY443" s="77"/>
      <c r="AZ443" s="82" t="s">
        <v>15804</v>
      </c>
      <c r="BA443" s="82" t="s">
        <v>15804</v>
      </c>
      <c r="BB443" s="82" t="s">
        <v>15804</v>
      </c>
      <c r="BC443" s="82" t="s">
        <v>12638</v>
      </c>
      <c r="BD443" s="82" t="s">
        <v>16208</v>
      </c>
      <c r="BE443" s="77"/>
      <c r="BF443" s="77"/>
      <c r="BG443" s="77"/>
      <c r="BH443" s="77"/>
      <c r="BI443" s="77"/>
    </row>
    <row r="444" spans="1:61" x14ac:dyDescent="0.25">
      <c r="A444" s="62" t="s">
        <v>353</v>
      </c>
      <c r="B444" s="62" t="s">
        <v>353</v>
      </c>
      <c r="C444" s="63"/>
      <c r="D444" s="64"/>
      <c r="E444" s="65"/>
      <c r="F444" s="66"/>
      <c r="G444" s="63"/>
      <c r="H444" s="67"/>
      <c r="I444" s="68"/>
      <c r="J444" s="68"/>
      <c r="K444" s="32"/>
      <c r="L444" s="75">
        <v>444</v>
      </c>
      <c r="M444" s="75"/>
      <c r="N444" s="70"/>
      <c r="O444" s="77" t="s">
        <v>179</v>
      </c>
      <c r="P444" s="79">
        <v>44991.564421296294</v>
      </c>
      <c r="Q444" s="77" t="s">
        <v>1554</v>
      </c>
      <c r="R444" s="77">
        <v>0</v>
      </c>
      <c r="S444" s="77">
        <v>0</v>
      </c>
      <c r="T444" s="77">
        <v>0</v>
      </c>
      <c r="U444" s="77">
        <v>0</v>
      </c>
      <c r="V444" s="77">
        <v>13</v>
      </c>
      <c r="W444" s="82" t="s">
        <v>4362</v>
      </c>
      <c r="X444" s="80" t="str">
        <f>HYPERLINK("https://williamhunt.com.br/masterclass-segredos-dos-investimentos-para-iniciantes")</f>
        <v>https://williamhunt.com.br/masterclass-segredos-dos-investimentos-para-iniciantes</v>
      </c>
      <c r="Y444" s="77" t="s">
        <v>6002</v>
      </c>
      <c r="Z444" s="77"/>
      <c r="AA444" s="77" t="s">
        <v>6369</v>
      </c>
      <c r="AB444" s="77" t="s">
        <v>7696</v>
      </c>
      <c r="AC444" s="82" t="s">
        <v>7706</v>
      </c>
      <c r="AD444" s="77" t="s">
        <v>7745</v>
      </c>
      <c r="AE444" s="80" t="str">
        <f>HYPERLINK("https://twitter.com/williamhuntbr/status/1632735976043823104")</f>
        <v>https://twitter.com/williamhuntbr/status/1632735976043823104</v>
      </c>
      <c r="AF444" s="79">
        <v>44991.564421296294</v>
      </c>
      <c r="AG444" s="85">
        <v>44991</v>
      </c>
      <c r="AH444" s="82" t="s">
        <v>8153</v>
      </c>
      <c r="AI444" s="77" t="b">
        <v>0</v>
      </c>
      <c r="AJ444" s="77"/>
      <c r="AK444" s="77"/>
      <c r="AL444" s="77"/>
      <c r="AM444" s="77"/>
      <c r="AN444" s="77"/>
      <c r="AO444" s="77"/>
      <c r="AP444" s="77"/>
      <c r="AQ444" s="77" t="s">
        <v>10876</v>
      </c>
      <c r="AR444" s="77"/>
      <c r="AS444" s="77"/>
      <c r="AT444" s="77"/>
      <c r="AU444" s="77"/>
      <c r="AV444" s="80" t="str">
        <f>HYPERLINK("https://pbs.twimg.com/media/Fqikn6KWYAEEPfK.jpg")</f>
        <v>https://pbs.twimg.com/media/Fqikn6KWYAEEPfK.jpg</v>
      </c>
      <c r="AW444" s="82" t="s">
        <v>12639</v>
      </c>
      <c r="AX444" s="82" t="s">
        <v>12639</v>
      </c>
      <c r="AY444" s="77"/>
      <c r="AZ444" s="82" t="s">
        <v>15804</v>
      </c>
      <c r="BA444" s="82" t="s">
        <v>15804</v>
      </c>
      <c r="BB444" s="82" t="s">
        <v>15804</v>
      </c>
      <c r="BC444" s="82" t="s">
        <v>12639</v>
      </c>
      <c r="BD444" s="82" t="s">
        <v>16208</v>
      </c>
      <c r="BE444" s="77"/>
      <c r="BF444" s="77"/>
      <c r="BG444" s="77"/>
      <c r="BH444" s="77"/>
      <c r="BI444" s="77"/>
    </row>
    <row r="445" spans="1:61" x14ac:dyDescent="0.25">
      <c r="A445" s="62" t="s">
        <v>353</v>
      </c>
      <c r="B445" s="62" t="s">
        <v>353</v>
      </c>
      <c r="C445" s="63"/>
      <c r="D445" s="64"/>
      <c r="E445" s="65"/>
      <c r="F445" s="66"/>
      <c r="G445" s="63"/>
      <c r="H445" s="67"/>
      <c r="I445" s="68"/>
      <c r="J445" s="68"/>
      <c r="K445" s="32"/>
      <c r="L445" s="75">
        <v>445</v>
      </c>
      <c r="M445" s="75"/>
      <c r="N445" s="70"/>
      <c r="O445" s="77" t="s">
        <v>179</v>
      </c>
      <c r="P445" s="79">
        <v>44988.768726851849</v>
      </c>
      <c r="Q445" s="77" t="s">
        <v>1555</v>
      </c>
      <c r="R445" s="77">
        <v>0</v>
      </c>
      <c r="S445" s="77">
        <v>0</v>
      </c>
      <c r="T445" s="77">
        <v>0</v>
      </c>
      <c r="U445" s="77">
        <v>0</v>
      </c>
      <c r="V445" s="77">
        <v>10</v>
      </c>
      <c r="W445" s="82" t="s">
        <v>4363</v>
      </c>
      <c r="X445" s="80" t="str">
        <f>HYPERLINK("https://www.williamhunt.com.br/masterclass-segredos-dos-investimentos-para-iniciantes")</f>
        <v>https://www.williamhunt.com.br/masterclass-segredos-dos-investimentos-para-iniciantes</v>
      </c>
      <c r="Y445" s="77" t="s">
        <v>6002</v>
      </c>
      <c r="Z445" s="77"/>
      <c r="AA445" s="77" t="s">
        <v>6370</v>
      </c>
      <c r="AB445" s="77" t="s">
        <v>7696</v>
      </c>
      <c r="AC445" s="82" t="s">
        <v>7706</v>
      </c>
      <c r="AD445" s="77" t="s">
        <v>7745</v>
      </c>
      <c r="AE445" s="80" t="str">
        <f>HYPERLINK("https://twitter.com/williamhuntbr/status/1631722851559694337")</f>
        <v>https://twitter.com/williamhuntbr/status/1631722851559694337</v>
      </c>
      <c r="AF445" s="79">
        <v>44988.768726851849</v>
      </c>
      <c r="AG445" s="85">
        <v>44988</v>
      </c>
      <c r="AH445" s="82" t="s">
        <v>8154</v>
      </c>
      <c r="AI445" s="77" t="b">
        <v>0</v>
      </c>
      <c r="AJ445" s="77"/>
      <c r="AK445" s="77"/>
      <c r="AL445" s="77"/>
      <c r="AM445" s="77"/>
      <c r="AN445" s="77"/>
      <c r="AO445" s="77"/>
      <c r="AP445" s="77"/>
      <c r="AQ445" s="77" t="s">
        <v>10877</v>
      </c>
      <c r="AR445" s="77"/>
      <c r="AS445" s="77"/>
      <c r="AT445" s="77"/>
      <c r="AU445" s="77"/>
      <c r="AV445" s="80" t="str">
        <f>HYPERLINK("https://pbs.twimg.com/media/FqULOwwXoBkEdD5.jpg")</f>
        <v>https://pbs.twimg.com/media/FqULOwwXoBkEdD5.jpg</v>
      </c>
      <c r="AW445" s="82" t="s">
        <v>12640</v>
      </c>
      <c r="AX445" s="82" t="s">
        <v>12640</v>
      </c>
      <c r="AY445" s="77"/>
      <c r="AZ445" s="82" t="s">
        <v>15804</v>
      </c>
      <c r="BA445" s="82" t="s">
        <v>15804</v>
      </c>
      <c r="BB445" s="82" t="s">
        <v>15804</v>
      </c>
      <c r="BC445" s="82" t="s">
        <v>12640</v>
      </c>
      <c r="BD445" s="82" t="s">
        <v>16208</v>
      </c>
      <c r="BE445" s="77"/>
      <c r="BF445" s="77"/>
      <c r="BG445" s="77"/>
      <c r="BH445" s="77"/>
      <c r="BI445" s="77"/>
    </row>
    <row r="446" spans="1:61" x14ac:dyDescent="0.25">
      <c r="A446" s="62" t="s">
        <v>353</v>
      </c>
      <c r="B446" s="62" t="s">
        <v>353</v>
      </c>
      <c r="C446" s="63"/>
      <c r="D446" s="64"/>
      <c r="E446" s="65"/>
      <c r="F446" s="66"/>
      <c r="G446" s="63"/>
      <c r="H446" s="67"/>
      <c r="I446" s="68"/>
      <c r="J446" s="68"/>
      <c r="K446" s="32"/>
      <c r="L446" s="75">
        <v>446</v>
      </c>
      <c r="M446" s="75"/>
      <c r="N446" s="70"/>
      <c r="O446" s="77" t="s">
        <v>179</v>
      </c>
      <c r="P446" s="79">
        <v>44987.749768518515</v>
      </c>
      <c r="Q446" s="77" t="s">
        <v>1556</v>
      </c>
      <c r="R446" s="77">
        <v>0</v>
      </c>
      <c r="S446" s="77">
        <v>0</v>
      </c>
      <c r="T446" s="77">
        <v>0</v>
      </c>
      <c r="U446" s="77">
        <v>0</v>
      </c>
      <c r="V446" s="77">
        <v>14</v>
      </c>
      <c r="W446" s="82" t="s">
        <v>4364</v>
      </c>
      <c r="X446" s="80" t="str">
        <f>HYPERLINK("http://williamhunt.com.br/segredos-dos-investimentos-para-iniciantes")</f>
        <v>http://williamhunt.com.br/segredos-dos-investimentos-para-iniciantes</v>
      </c>
      <c r="Y446" s="77" t="s">
        <v>6002</v>
      </c>
      <c r="Z446" s="77"/>
      <c r="AA446" s="77" t="s">
        <v>6371</v>
      </c>
      <c r="AB446" s="77" t="s">
        <v>7700</v>
      </c>
      <c r="AC446" s="82" t="s">
        <v>7706</v>
      </c>
      <c r="AD446" s="77" t="s">
        <v>7745</v>
      </c>
      <c r="AE446" s="80" t="str">
        <f>HYPERLINK("https://twitter.com/williamhuntbr/status/1631353592941518848")</f>
        <v>https://twitter.com/williamhuntbr/status/1631353592941518848</v>
      </c>
      <c r="AF446" s="79">
        <v>44987.749768518515</v>
      </c>
      <c r="AG446" s="85">
        <v>44987</v>
      </c>
      <c r="AH446" s="82" t="s">
        <v>8155</v>
      </c>
      <c r="AI446" s="77" t="b">
        <v>0</v>
      </c>
      <c r="AJ446" s="77"/>
      <c r="AK446" s="77"/>
      <c r="AL446" s="77"/>
      <c r="AM446" s="77"/>
      <c r="AN446" s="77"/>
      <c r="AO446" s="77"/>
      <c r="AP446" s="77"/>
      <c r="AQ446" s="77" t="s">
        <v>10878</v>
      </c>
      <c r="AR446" s="77"/>
      <c r="AS446" s="77"/>
      <c r="AT446" s="77"/>
      <c r="AU446" s="77"/>
      <c r="AV446" s="80" t="str">
        <f>HYPERLINK("https://pbs.twimg.com/media/FqO7YUuWAAAZh-4.jpg")</f>
        <v>https://pbs.twimg.com/media/FqO7YUuWAAAZh-4.jpg</v>
      </c>
      <c r="AW446" s="82" t="s">
        <v>12641</v>
      </c>
      <c r="AX446" s="82" t="s">
        <v>12641</v>
      </c>
      <c r="AY446" s="77"/>
      <c r="AZ446" s="82" t="s">
        <v>15804</v>
      </c>
      <c r="BA446" s="82" t="s">
        <v>15804</v>
      </c>
      <c r="BB446" s="82" t="s">
        <v>15804</v>
      </c>
      <c r="BC446" s="82" t="s">
        <v>12641</v>
      </c>
      <c r="BD446" s="82" t="s">
        <v>16208</v>
      </c>
      <c r="BE446" s="77"/>
      <c r="BF446" s="77"/>
      <c r="BG446" s="77"/>
      <c r="BH446" s="77"/>
      <c r="BI446" s="77"/>
    </row>
    <row r="447" spans="1:61" x14ac:dyDescent="0.25">
      <c r="A447" s="62" t="s">
        <v>353</v>
      </c>
      <c r="B447" s="62" t="s">
        <v>353</v>
      </c>
      <c r="C447" s="63"/>
      <c r="D447" s="64"/>
      <c r="E447" s="65"/>
      <c r="F447" s="66"/>
      <c r="G447" s="63"/>
      <c r="H447" s="67"/>
      <c r="I447" s="68"/>
      <c r="J447" s="68"/>
      <c r="K447" s="32"/>
      <c r="L447" s="75">
        <v>447</v>
      </c>
      <c r="M447" s="75"/>
      <c r="N447" s="70"/>
      <c r="O447" s="77" t="s">
        <v>179</v>
      </c>
      <c r="P447" s="79">
        <v>44986.646226851852</v>
      </c>
      <c r="Q447" s="77" t="s">
        <v>1557</v>
      </c>
      <c r="R447" s="77">
        <v>0</v>
      </c>
      <c r="S447" s="77">
        <v>0</v>
      </c>
      <c r="T447" s="77">
        <v>0</v>
      </c>
      <c r="U447" s="77">
        <v>0</v>
      </c>
      <c r="V447" s="77">
        <v>11</v>
      </c>
      <c r="W447" s="82" t="s">
        <v>4365</v>
      </c>
      <c r="X447" s="80" t="str">
        <f>HYPERLINK("https://williamhunt.com.br/masterclass-segredos-dos-investimentos-para-iniciantes")</f>
        <v>https://williamhunt.com.br/masterclass-segredos-dos-investimentos-para-iniciantes</v>
      </c>
      <c r="Y447" s="77" t="s">
        <v>6002</v>
      </c>
      <c r="Z447" s="77"/>
      <c r="AA447" s="77" t="s">
        <v>6372</v>
      </c>
      <c r="AB447" s="77" t="s">
        <v>7696</v>
      </c>
      <c r="AC447" s="82" t="s">
        <v>7706</v>
      </c>
      <c r="AD447" s="77" t="s">
        <v>7745</v>
      </c>
      <c r="AE447" s="80" t="str">
        <f>HYPERLINK("https://twitter.com/williamhuntbr/status/1630953682303893512")</f>
        <v>https://twitter.com/williamhuntbr/status/1630953682303893512</v>
      </c>
      <c r="AF447" s="79">
        <v>44986.646226851852</v>
      </c>
      <c r="AG447" s="85">
        <v>44986</v>
      </c>
      <c r="AH447" s="82" t="s">
        <v>8156</v>
      </c>
      <c r="AI447" s="77" t="b">
        <v>0</v>
      </c>
      <c r="AJ447" s="77"/>
      <c r="AK447" s="77"/>
      <c r="AL447" s="77"/>
      <c r="AM447" s="77"/>
      <c r="AN447" s="77"/>
      <c r="AO447" s="77"/>
      <c r="AP447" s="77"/>
      <c r="AQ447" s="77" t="s">
        <v>10879</v>
      </c>
      <c r="AR447" s="77"/>
      <c r="AS447" s="77"/>
      <c r="AT447" s="77"/>
      <c r="AU447" s="77"/>
      <c r="AV447" s="80" t="str">
        <f>HYPERLINK("https://pbs.twimg.com/media/FqJPjzAWwAI_J8y.jpg")</f>
        <v>https://pbs.twimg.com/media/FqJPjzAWwAI_J8y.jpg</v>
      </c>
      <c r="AW447" s="82" t="s">
        <v>12642</v>
      </c>
      <c r="AX447" s="82" t="s">
        <v>12642</v>
      </c>
      <c r="AY447" s="77"/>
      <c r="AZ447" s="82" t="s">
        <v>15804</v>
      </c>
      <c r="BA447" s="82" t="s">
        <v>15804</v>
      </c>
      <c r="BB447" s="82" t="s">
        <v>15804</v>
      </c>
      <c r="BC447" s="82" t="s">
        <v>12642</v>
      </c>
      <c r="BD447" s="82" t="s">
        <v>16208</v>
      </c>
      <c r="BE447" s="77"/>
      <c r="BF447" s="77"/>
      <c r="BG447" s="77"/>
      <c r="BH447" s="77"/>
      <c r="BI447" s="77"/>
    </row>
    <row r="448" spans="1:61" x14ac:dyDescent="0.25">
      <c r="A448" s="62" t="s">
        <v>353</v>
      </c>
      <c r="B448" s="62" t="s">
        <v>353</v>
      </c>
      <c r="C448" s="63"/>
      <c r="D448" s="64"/>
      <c r="E448" s="65"/>
      <c r="F448" s="66"/>
      <c r="G448" s="63"/>
      <c r="H448" s="67"/>
      <c r="I448" s="68"/>
      <c r="J448" s="68"/>
      <c r="K448" s="32"/>
      <c r="L448" s="75">
        <v>448</v>
      </c>
      <c r="M448" s="75"/>
      <c r="N448" s="70"/>
      <c r="O448" s="77" t="s">
        <v>179</v>
      </c>
      <c r="P448" s="79">
        <v>44986.640787037039</v>
      </c>
      <c r="Q448" s="77" t="s">
        <v>1558</v>
      </c>
      <c r="R448" s="77">
        <v>0</v>
      </c>
      <c r="S448" s="77">
        <v>0</v>
      </c>
      <c r="T448" s="77">
        <v>0</v>
      </c>
      <c r="U448" s="77">
        <v>0</v>
      </c>
      <c r="V448" s="77">
        <v>17</v>
      </c>
      <c r="W448" s="82" t="s">
        <v>4366</v>
      </c>
      <c r="X448" s="80" t="str">
        <f>HYPERLINK("https://blog.williamhunt.com.br/2023/03/real-digital-conheca-o-projeto-do-banco.html")</f>
        <v>https://blog.williamhunt.com.br/2023/03/real-digital-conheca-o-projeto-do-banco.html</v>
      </c>
      <c r="Y448" s="77" t="s">
        <v>6002</v>
      </c>
      <c r="Z448" s="77"/>
      <c r="AA448" s="77" t="s">
        <v>6373</v>
      </c>
      <c r="AB448" s="77" t="s">
        <v>7700</v>
      </c>
      <c r="AC448" s="82" t="s">
        <v>7706</v>
      </c>
      <c r="AD448" s="77" t="s">
        <v>7745</v>
      </c>
      <c r="AE448" s="80" t="str">
        <f>HYPERLINK("https://twitter.com/williamhuntbr/status/1630951713350860801")</f>
        <v>https://twitter.com/williamhuntbr/status/1630951713350860801</v>
      </c>
      <c r="AF448" s="79">
        <v>44986.640787037039</v>
      </c>
      <c r="AG448" s="85">
        <v>44986</v>
      </c>
      <c r="AH448" s="82" t="s">
        <v>8157</v>
      </c>
      <c r="AI448" s="77" t="b">
        <v>0</v>
      </c>
      <c r="AJ448" s="77"/>
      <c r="AK448" s="77"/>
      <c r="AL448" s="77"/>
      <c r="AM448" s="77"/>
      <c r="AN448" s="77"/>
      <c r="AO448" s="77"/>
      <c r="AP448" s="77"/>
      <c r="AQ448" s="77" t="s">
        <v>10880</v>
      </c>
      <c r="AR448" s="77"/>
      <c r="AS448" s="77"/>
      <c r="AT448" s="77"/>
      <c r="AU448" s="77"/>
      <c r="AV448" s="80" t="str">
        <f>HYPERLINK("https://pbs.twimg.com/media/FqJN7OqX0AABd5O.jpg")</f>
        <v>https://pbs.twimg.com/media/FqJN7OqX0AABd5O.jpg</v>
      </c>
      <c r="AW448" s="82" t="s">
        <v>12643</v>
      </c>
      <c r="AX448" s="82" t="s">
        <v>12643</v>
      </c>
      <c r="AY448" s="77"/>
      <c r="AZ448" s="82" t="s">
        <v>15804</v>
      </c>
      <c r="BA448" s="82" t="s">
        <v>15804</v>
      </c>
      <c r="BB448" s="82" t="s">
        <v>15804</v>
      </c>
      <c r="BC448" s="82" t="s">
        <v>12643</v>
      </c>
      <c r="BD448" s="82" t="s">
        <v>16208</v>
      </c>
      <c r="BE448" s="77"/>
      <c r="BF448" s="77"/>
      <c r="BG448" s="77"/>
      <c r="BH448" s="77"/>
      <c r="BI448" s="77"/>
    </row>
    <row r="449" spans="1:61" x14ac:dyDescent="0.25">
      <c r="A449" s="62" t="s">
        <v>353</v>
      </c>
      <c r="B449" s="62" t="s">
        <v>353</v>
      </c>
      <c r="C449" s="63"/>
      <c r="D449" s="64"/>
      <c r="E449" s="65"/>
      <c r="F449" s="66"/>
      <c r="G449" s="63"/>
      <c r="H449" s="67"/>
      <c r="I449" s="68"/>
      <c r="J449" s="68"/>
      <c r="K449" s="32"/>
      <c r="L449" s="75">
        <v>449</v>
      </c>
      <c r="M449" s="75"/>
      <c r="N449" s="70"/>
      <c r="O449" s="77" t="s">
        <v>179</v>
      </c>
      <c r="P449" s="79">
        <v>45180.500023148146</v>
      </c>
      <c r="Q449" s="77" t="s">
        <v>1559</v>
      </c>
      <c r="R449" s="77">
        <v>0</v>
      </c>
      <c r="S449" s="77">
        <v>0</v>
      </c>
      <c r="T449" s="77">
        <v>0</v>
      </c>
      <c r="U449" s="77">
        <v>0</v>
      </c>
      <c r="V449" s="77">
        <v>46</v>
      </c>
      <c r="W449" s="82" t="s">
        <v>4367</v>
      </c>
      <c r="X449" s="80" t="str">
        <f>HYPERLINK("http://www.williamhunt.com.br/completo")</f>
        <v>http://www.williamhunt.com.br/completo</v>
      </c>
      <c r="Y449" s="77" t="s">
        <v>6002</v>
      </c>
      <c r="Z449" s="77"/>
      <c r="AA449" s="77" t="s">
        <v>6374</v>
      </c>
      <c r="AB449" s="77" t="s">
        <v>7698</v>
      </c>
      <c r="AC449" s="82" t="s">
        <v>7706</v>
      </c>
      <c r="AD449" s="77" t="s">
        <v>7745</v>
      </c>
      <c r="AE449" s="80" t="str">
        <f>HYPERLINK("https://twitter.com/williamhuntbr/status/1701203945685713228")</f>
        <v>https://twitter.com/williamhuntbr/status/1701203945685713228</v>
      </c>
      <c r="AF449" s="79">
        <v>45180.500023148146</v>
      </c>
      <c r="AG449" s="85">
        <v>45180</v>
      </c>
      <c r="AH449" s="82" t="s">
        <v>8128</v>
      </c>
      <c r="AI449" s="77" t="b">
        <v>0</v>
      </c>
      <c r="AJ449" s="77"/>
      <c r="AK449" s="77"/>
      <c r="AL449" s="77"/>
      <c r="AM449" s="77"/>
      <c r="AN449" s="77"/>
      <c r="AO449" s="77"/>
      <c r="AP449" s="77"/>
      <c r="AQ449" s="77" t="s">
        <v>10881</v>
      </c>
      <c r="AR449" s="77"/>
      <c r="AS449" s="77"/>
      <c r="AT449" s="77"/>
      <c r="AU449" s="77"/>
      <c r="AV449" s="80" t="str">
        <f>HYPERLINK("https://pbs.twimg.com/media/F49qt6QXIAA5uj1.jpg")</f>
        <v>https://pbs.twimg.com/media/F49qt6QXIAA5uj1.jpg</v>
      </c>
      <c r="AW449" s="82" t="s">
        <v>12644</v>
      </c>
      <c r="AX449" s="82" t="s">
        <v>12644</v>
      </c>
      <c r="AY449" s="77"/>
      <c r="AZ449" s="82" t="s">
        <v>15804</v>
      </c>
      <c r="BA449" s="82" t="s">
        <v>15804</v>
      </c>
      <c r="BB449" s="82" t="s">
        <v>15804</v>
      </c>
      <c r="BC449" s="82" t="s">
        <v>12644</v>
      </c>
      <c r="BD449" s="82" t="s">
        <v>16208</v>
      </c>
      <c r="BE449" s="77"/>
      <c r="BF449" s="77"/>
      <c r="BG449" s="77"/>
      <c r="BH449" s="77"/>
      <c r="BI449" s="77"/>
    </row>
    <row r="450" spans="1:61" x14ac:dyDescent="0.25">
      <c r="A450" s="62" t="s">
        <v>353</v>
      </c>
      <c r="B450" s="62" t="s">
        <v>353</v>
      </c>
      <c r="C450" s="63"/>
      <c r="D450" s="64"/>
      <c r="E450" s="65"/>
      <c r="F450" s="66"/>
      <c r="G450" s="63"/>
      <c r="H450" s="67"/>
      <c r="I450" s="68"/>
      <c r="J450" s="68"/>
      <c r="K450" s="32"/>
      <c r="L450" s="75">
        <v>450</v>
      </c>
      <c r="M450" s="75"/>
      <c r="N450" s="70"/>
      <c r="O450" s="77" t="s">
        <v>179</v>
      </c>
      <c r="P450" s="79">
        <v>45177.500023148146</v>
      </c>
      <c r="Q450" s="77" t="s">
        <v>1560</v>
      </c>
      <c r="R450" s="77">
        <v>0</v>
      </c>
      <c r="S450" s="77">
        <v>0</v>
      </c>
      <c r="T450" s="77">
        <v>0</v>
      </c>
      <c r="U450" s="77">
        <v>0</v>
      </c>
      <c r="V450" s="77">
        <v>7</v>
      </c>
      <c r="W450" s="82" t="s">
        <v>4368</v>
      </c>
      <c r="X450" s="80" t="str">
        <f>HYPERLINK("http://www.williamhunt.com.br/completo")</f>
        <v>http://www.williamhunt.com.br/completo</v>
      </c>
      <c r="Y450" s="77" t="s">
        <v>6002</v>
      </c>
      <c r="Z450" s="77"/>
      <c r="AA450" s="77" t="s">
        <v>6375</v>
      </c>
      <c r="AB450" s="77" t="s">
        <v>7696</v>
      </c>
      <c r="AC450" s="82" t="s">
        <v>7706</v>
      </c>
      <c r="AD450" s="77" t="s">
        <v>7745</v>
      </c>
      <c r="AE450" s="80" t="str">
        <f>HYPERLINK("https://twitter.com/williamhuntbr/status/1700116783553040413")</f>
        <v>https://twitter.com/williamhuntbr/status/1700116783553040413</v>
      </c>
      <c r="AF450" s="79">
        <v>45177.500023148146</v>
      </c>
      <c r="AG450" s="85">
        <v>45177</v>
      </c>
      <c r="AH450" s="82" t="s">
        <v>8128</v>
      </c>
      <c r="AI450" s="77" t="b">
        <v>0</v>
      </c>
      <c r="AJ450" s="77"/>
      <c r="AK450" s="77"/>
      <c r="AL450" s="77"/>
      <c r="AM450" s="77"/>
      <c r="AN450" s="77"/>
      <c r="AO450" s="77"/>
      <c r="AP450" s="77"/>
      <c r="AQ450" s="77" t="s">
        <v>10882</v>
      </c>
      <c r="AR450" s="77"/>
      <c r="AS450" s="77"/>
      <c r="AT450" s="77"/>
      <c r="AU450" s="77"/>
      <c r="AV450" s="80" t="str">
        <f>HYPERLINK("https://pbs.twimg.com/media/F49lRqaW4AAkxoy.jpg")</f>
        <v>https://pbs.twimg.com/media/F49lRqaW4AAkxoy.jpg</v>
      </c>
      <c r="AW450" s="82" t="s">
        <v>12645</v>
      </c>
      <c r="AX450" s="82" t="s">
        <v>12645</v>
      </c>
      <c r="AY450" s="77"/>
      <c r="AZ450" s="82" t="s">
        <v>15804</v>
      </c>
      <c r="BA450" s="82" t="s">
        <v>15804</v>
      </c>
      <c r="BB450" s="82" t="s">
        <v>15804</v>
      </c>
      <c r="BC450" s="82" t="s">
        <v>12645</v>
      </c>
      <c r="BD450" s="82" t="s">
        <v>16208</v>
      </c>
      <c r="BE450" s="77"/>
      <c r="BF450" s="77"/>
      <c r="BG450" s="77"/>
      <c r="BH450" s="77"/>
      <c r="BI450" s="77"/>
    </row>
    <row r="451" spans="1:61" x14ac:dyDescent="0.25">
      <c r="A451" s="62" t="s">
        <v>353</v>
      </c>
      <c r="B451" s="62" t="s">
        <v>353</v>
      </c>
      <c r="C451" s="63"/>
      <c r="D451" s="64"/>
      <c r="E451" s="65"/>
      <c r="F451" s="66"/>
      <c r="G451" s="63"/>
      <c r="H451" s="67"/>
      <c r="I451" s="68"/>
      <c r="J451" s="68"/>
      <c r="K451" s="32"/>
      <c r="L451" s="75">
        <v>451</v>
      </c>
      <c r="M451" s="75"/>
      <c r="N451" s="70"/>
      <c r="O451" s="77" t="s">
        <v>179</v>
      </c>
      <c r="P451" s="79">
        <v>45170.551898148151</v>
      </c>
      <c r="Q451" s="77" t="s">
        <v>1561</v>
      </c>
      <c r="R451" s="77">
        <v>0</v>
      </c>
      <c r="S451" s="77">
        <v>0</v>
      </c>
      <c r="T451" s="77">
        <v>0</v>
      </c>
      <c r="U451" s="77">
        <v>0</v>
      </c>
      <c r="V451" s="77">
        <v>37</v>
      </c>
      <c r="W451" s="82" t="s">
        <v>4369</v>
      </c>
      <c r="X451" s="80" t="str">
        <f>HYPERLINK("http://www.williamhunt.com.br/completo")</f>
        <v>http://www.williamhunt.com.br/completo</v>
      </c>
      <c r="Y451" s="77" t="s">
        <v>6002</v>
      </c>
      <c r="Z451" s="77"/>
      <c r="AA451" s="77" t="s">
        <v>6376</v>
      </c>
      <c r="AB451" s="77" t="s">
        <v>7696</v>
      </c>
      <c r="AC451" s="82" t="s">
        <v>7706</v>
      </c>
      <c r="AD451" s="77" t="s">
        <v>7745</v>
      </c>
      <c r="AE451" s="80" t="str">
        <f>HYPERLINK("https://twitter.com/williamhuntbr/status/1697598865598189633")</f>
        <v>https://twitter.com/williamhuntbr/status/1697598865598189633</v>
      </c>
      <c r="AF451" s="79">
        <v>45170.551898148151</v>
      </c>
      <c r="AG451" s="85">
        <v>45170</v>
      </c>
      <c r="AH451" s="82" t="s">
        <v>8158</v>
      </c>
      <c r="AI451" s="77" t="b">
        <v>0</v>
      </c>
      <c r="AJ451" s="77"/>
      <c r="AK451" s="77"/>
      <c r="AL451" s="77"/>
      <c r="AM451" s="77"/>
      <c r="AN451" s="77"/>
      <c r="AO451" s="77"/>
      <c r="AP451" s="77"/>
      <c r="AQ451" s="77" t="s">
        <v>10883</v>
      </c>
      <c r="AR451" s="77"/>
      <c r="AS451" s="77"/>
      <c r="AT451" s="77"/>
      <c r="AU451" s="77"/>
      <c r="AV451" s="80" t="str">
        <f>HYPERLINK("https://pbs.twimg.com/media/F48VFn9WAAIoeiY.jpg")</f>
        <v>https://pbs.twimg.com/media/F48VFn9WAAIoeiY.jpg</v>
      </c>
      <c r="AW451" s="82" t="s">
        <v>12646</v>
      </c>
      <c r="AX451" s="82" t="s">
        <v>12646</v>
      </c>
      <c r="AY451" s="77"/>
      <c r="AZ451" s="82" t="s">
        <v>15804</v>
      </c>
      <c r="BA451" s="82" t="s">
        <v>15804</v>
      </c>
      <c r="BB451" s="82" t="s">
        <v>15804</v>
      </c>
      <c r="BC451" s="82" t="s">
        <v>12646</v>
      </c>
      <c r="BD451" s="82" t="s">
        <v>16208</v>
      </c>
      <c r="BE451" s="77"/>
      <c r="BF451" s="77"/>
      <c r="BG451" s="77"/>
      <c r="BH451" s="77"/>
      <c r="BI451" s="77"/>
    </row>
    <row r="452" spans="1:61" x14ac:dyDescent="0.25">
      <c r="A452" s="62" t="s">
        <v>353</v>
      </c>
      <c r="B452" s="62" t="s">
        <v>353</v>
      </c>
      <c r="C452" s="63"/>
      <c r="D452" s="64"/>
      <c r="E452" s="65"/>
      <c r="F452" s="66"/>
      <c r="G452" s="63"/>
      <c r="H452" s="67"/>
      <c r="I452" s="68"/>
      <c r="J452" s="68"/>
      <c r="K452" s="32"/>
      <c r="L452" s="75">
        <v>452</v>
      </c>
      <c r="M452" s="75"/>
      <c r="N452" s="70"/>
      <c r="O452" s="77" t="s">
        <v>179</v>
      </c>
      <c r="P452" s="79">
        <v>45170.500011574077</v>
      </c>
      <c r="Q452" s="77" t="s">
        <v>1562</v>
      </c>
      <c r="R452" s="77">
        <v>0</v>
      </c>
      <c r="S452" s="77">
        <v>0</v>
      </c>
      <c r="T452" s="77">
        <v>0</v>
      </c>
      <c r="U452" s="77">
        <v>0</v>
      </c>
      <c r="V452" s="77">
        <v>25</v>
      </c>
      <c r="W452" s="82" t="s">
        <v>4370</v>
      </c>
      <c r="X452" s="80" t="str">
        <f>HYPERLINK("http://www.williamhunt.com.br/completo")</f>
        <v>http://www.williamhunt.com.br/completo</v>
      </c>
      <c r="Y452" s="77" t="s">
        <v>6002</v>
      </c>
      <c r="Z452" s="77"/>
      <c r="AA452" s="77" t="s">
        <v>6377</v>
      </c>
      <c r="AB452" s="77" t="s">
        <v>7696</v>
      </c>
      <c r="AC452" s="82" t="s">
        <v>7706</v>
      </c>
      <c r="AD452" s="77" t="s">
        <v>7745</v>
      </c>
      <c r="AE452" s="80" t="str">
        <f>HYPERLINK("https://twitter.com/williamhuntbr/status/1697580063984926956")</f>
        <v>https://twitter.com/williamhuntbr/status/1697580063984926956</v>
      </c>
      <c r="AF452" s="79">
        <v>45170.500011574077</v>
      </c>
      <c r="AG452" s="85">
        <v>45170</v>
      </c>
      <c r="AH452" s="82" t="s">
        <v>7923</v>
      </c>
      <c r="AI452" s="77" t="b">
        <v>0</v>
      </c>
      <c r="AJ452" s="77"/>
      <c r="AK452" s="77"/>
      <c r="AL452" s="77"/>
      <c r="AM452" s="77"/>
      <c r="AN452" s="77"/>
      <c r="AO452" s="77"/>
      <c r="AP452" s="77"/>
      <c r="AQ452" s="77" t="s">
        <v>10884</v>
      </c>
      <c r="AR452" s="77"/>
      <c r="AS452" s="77"/>
      <c r="AT452" s="77"/>
      <c r="AU452" s="77"/>
      <c r="AV452" s="80" t="str">
        <f>HYPERLINK("https://pbs.twimg.com/media/F4KGNypWgAA7JqG.jpg")</f>
        <v>https://pbs.twimg.com/media/F4KGNypWgAA7JqG.jpg</v>
      </c>
      <c r="AW452" s="82" t="s">
        <v>12647</v>
      </c>
      <c r="AX452" s="82" t="s">
        <v>12647</v>
      </c>
      <c r="AY452" s="77"/>
      <c r="AZ452" s="82" t="s">
        <v>15804</v>
      </c>
      <c r="BA452" s="82" t="s">
        <v>15804</v>
      </c>
      <c r="BB452" s="82" t="s">
        <v>15804</v>
      </c>
      <c r="BC452" s="82" t="s">
        <v>12647</v>
      </c>
      <c r="BD452" s="82" t="s">
        <v>16208</v>
      </c>
      <c r="BE452" s="77"/>
      <c r="BF452" s="77"/>
      <c r="BG452" s="77"/>
      <c r="BH452" s="77"/>
      <c r="BI452" s="77"/>
    </row>
    <row r="453" spans="1:61" x14ac:dyDescent="0.25">
      <c r="A453" s="62" t="s">
        <v>353</v>
      </c>
      <c r="B453" s="62" t="s">
        <v>353</v>
      </c>
      <c r="C453" s="63"/>
      <c r="D453" s="64"/>
      <c r="E453" s="65"/>
      <c r="F453" s="66"/>
      <c r="G453" s="63"/>
      <c r="H453" s="67"/>
      <c r="I453" s="68"/>
      <c r="J453" s="68"/>
      <c r="K453" s="32"/>
      <c r="L453" s="75">
        <v>453</v>
      </c>
      <c r="M453" s="75"/>
      <c r="N453" s="70"/>
      <c r="O453" s="77" t="s">
        <v>179</v>
      </c>
      <c r="P453" s="79">
        <v>45168.5</v>
      </c>
      <c r="Q453" s="77" t="s">
        <v>1563</v>
      </c>
      <c r="R453" s="77">
        <v>0</v>
      </c>
      <c r="S453" s="77">
        <v>0</v>
      </c>
      <c r="T453" s="77">
        <v>0</v>
      </c>
      <c r="U453" s="77">
        <v>0</v>
      </c>
      <c r="V453" s="77">
        <v>90</v>
      </c>
      <c r="W453" s="82" t="s">
        <v>4371</v>
      </c>
      <c r="X453" s="80" t="str">
        <f>HYPERLINK("http://www.williamhunt.com.br/completo")</f>
        <v>http://www.williamhunt.com.br/completo</v>
      </c>
      <c r="Y453" s="77" t="s">
        <v>6002</v>
      </c>
      <c r="Z453" s="77"/>
      <c r="AA453" s="77" t="s">
        <v>6378</v>
      </c>
      <c r="AB453" s="77" t="s">
        <v>7696</v>
      </c>
      <c r="AC453" s="82" t="s">
        <v>7706</v>
      </c>
      <c r="AD453" s="77" t="s">
        <v>7745</v>
      </c>
      <c r="AE453" s="80" t="str">
        <f>HYPERLINK("https://twitter.com/williamhuntbr/status/1696855283912306852")</f>
        <v>https://twitter.com/williamhuntbr/status/1696855283912306852</v>
      </c>
      <c r="AF453" s="79">
        <v>45168.5</v>
      </c>
      <c r="AG453" s="85">
        <v>45168</v>
      </c>
      <c r="AH453" s="82" t="s">
        <v>8143</v>
      </c>
      <c r="AI453" s="77" t="b">
        <v>0</v>
      </c>
      <c r="AJ453" s="77"/>
      <c r="AK453" s="77"/>
      <c r="AL453" s="77"/>
      <c r="AM453" s="77"/>
      <c r="AN453" s="77"/>
      <c r="AO453" s="77"/>
      <c r="AP453" s="77"/>
      <c r="AQ453" s="77" t="s">
        <v>10885</v>
      </c>
      <c r="AR453" s="77"/>
      <c r="AS453" s="77"/>
      <c r="AT453" s="77"/>
      <c r="AU453" s="77"/>
      <c r="AV453" s="80" t="str">
        <f>HYPERLINK("https://pbs.twimg.com/media/F4J9BTsWIAALn-j.jpg")</f>
        <v>https://pbs.twimg.com/media/F4J9BTsWIAALn-j.jpg</v>
      </c>
      <c r="AW453" s="82" t="s">
        <v>12648</v>
      </c>
      <c r="AX453" s="82" t="s">
        <v>12648</v>
      </c>
      <c r="AY453" s="77"/>
      <c r="AZ453" s="82" t="s">
        <v>15804</v>
      </c>
      <c r="BA453" s="82" t="s">
        <v>15804</v>
      </c>
      <c r="BB453" s="82" t="s">
        <v>15804</v>
      </c>
      <c r="BC453" s="82" t="s">
        <v>12648</v>
      </c>
      <c r="BD453" s="82" t="s">
        <v>16208</v>
      </c>
      <c r="BE453" s="77"/>
      <c r="BF453" s="77"/>
      <c r="BG453" s="77"/>
      <c r="BH453" s="77"/>
      <c r="BI453" s="77"/>
    </row>
    <row r="454" spans="1:61" x14ac:dyDescent="0.25">
      <c r="A454" s="62" t="s">
        <v>353</v>
      </c>
      <c r="B454" s="62" t="s">
        <v>353</v>
      </c>
      <c r="C454" s="63"/>
      <c r="D454" s="64"/>
      <c r="E454" s="65"/>
      <c r="F454" s="66"/>
      <c r="G454" s="63"/>
      <c r="H454" s="67"/>
      <c r="I454" s="68"/>
      <c r="J454" s="68"/>
      <c r="K454" s="32"/>
      <c r="L454" s="75">
        <v>454</v>
      </c>
      <c r="M454" s="75"/>
      <c r="N454" s="70"/>
      <c r="O454" s="77" t="s">
        <v>179</v>
      </c>
      <c r="P454" s="79">
        <v>45154.500023148146</v>
      </c>
      <c r="Q454" s="77" t="s">
        <v>1564</v>
      </c>
      <c r="R454" s="77">
        <v>0</v>
      </c>
      <c r="S454" s="77">
        <v>0</v>
      </c>
      <c r="T454" s="77">
        <v>0</v>
      </c>
      <c r="U454" s="77">
        <v>0</v>
      </c>
      <c r="V454" s="77">
        <v>34</v>
      </c>
      <c r="W454" s="82" t="s">
        <v>4372</v>
      </c>
      <c r="X454" s="80" t="str">
        <f>HYPERLINK("http://www.williamhunt.com.br/completo")</f>
        <v>http://www.williamhunt.com.br/completo</v>
      </c>
      <c r="Y454" s="77" t="s">
        <v>6002</v>
      </c>
      <c r="Z454" s="77"/>
      <c r="AA454" s="77" t="s">
        <v>6379</v>
      </c>
      <c r="AB454" s="77" t="s">
        <v>7696</v>
      </c>
      <c r="AC454" s="82" t="s">
        <v>7706</v>
      </c>
      <c r="AD454" s="77" t="s">
        <v>7745</v>
      </c>
      <c r="AE454" s="80" t="str">
        <f>HYPERLINK("https://twitter.com/williamhuntbr/status/1691781863285604745")</f>
        <v>https://twitter.com/williamhuntbr/status/1691781863285604745</v>
      </c>
      <c r="AF454" s="79">
        <v>45154.500023148146</v>
      </c>
      <c r="AG454" s="85">
        <v>45154</v>
      </c>
      <c r="AH454" s="82" t="s">
        <v>8128</v>
      </c>
      <c r="AI454" s="77" t="b">
        <v>0</v>
      </c>
      <c r="AJ454" s="77"/>
      <c r="AK454" s="77"/>
      <c r="AL454" s="77"/>
      <c r="AM454" s="77"/>
      <c r="AN454" s="77"/>
      <c r="AO454" s="77"/>
      <c r="AP454" s="77"/>
      <c r="AQ454" s="77" t="s">
        <v>10886</v>
      </c>
      <c r="AR454" s="77"/>
      <c r="AS454" s="77"/>
      <c r="AT454" s="77"/>
      <c r="AU454" s="77"/>
      <c r="AV454" s="80" t="str">
        <f>HYPERLINK("https://pbs.twimg.com/media/F3gygA8XgAAqJlH.jpg")</f>
        <v>https://pbs.twimg.com/media/F3gygA8XgAAqJlH.jpg</v>
      </c>
      <c r="AW454" s="82" t="s">
        <v>12649</v>
      </c>
      <c r="AX454" s="82" t="s">
        <v>12649</v>
      </c>
      <c r="AY454" s="77"/>
      <c r="AZ454" s="82" t="s">
        <v>15804</v>
      </c>
      <c r="BA454" s="82" t="s">
        <v>15804</v>
      </c>
      <c r="BB454" s="82" t="s">
        <v>15804</v>
      </c>
      <c r="BC454" s="82" t="s">
        <v>12649</v>
      </c>
      <c r="BD454" s="82" t="s">
        <v>16208</v>
      </c>
      <c r="BE454" s="77"/>
      <c r="BF454" s="77"/>
      <c r="BG454" s="77"/>
      <c r="BH454" s="77"/>
      <c r="BI454" s="77"/>
    </row>
    <row r="455" spans="1:61" x14ac:dyDescent="0.25">
      <c r="A455" s="62" t="s">
        <v>353</v>
      </c>
      <c r="B455" s="62" t="s">
        <v>353</v>
      </c>
      <c r="C455" s="63"/>
      <c r="D455" s="64"/>
      <c r="E455" s="65"/>
      <c r="F455" s="66"/>
      <c r="G455" s="63"/>
      <c r="H455" s="67"/>
      <c r="I455" s="68"/>
      <c r="J455" s="68"/>
      <c r="K455" s="32"/>
      <c r="L455" s="75">
        <v>455</v>
      </c>
      <c r="M455" s="75"/>
      <c r="N455" s="70"/>
      <c r="O455" s="77" t="s">
        <v>179</v>
      </c>
      <c r="P455" s="79">
        <v>45142.5</v>
      </c>
      <c r="Q455" s="77" t="s">
        <v>1565</v>
      </c>
      <c r="R455" s="77">
        <v>0</v>
      </c>
      <c r="S455" s="77">
        <v>0</v>
      </c>
      <c r="T455" s="77">
        <v>0</v>
      </c>
      <c r="U455" s="77">
        <v>0</v>
      </c>
      <c r="V455" s="77">
        <v>119</v>
      </c>
      <c r="W455" s="82" t="s">
        <v>4373</v>
      </c>
      <c r="X455" s="80" t="str">
        <f>HYPERLINK("http://www.williamhunt.com.br/completo")</f>
        <v>http://www.williamhunt.com.br/completo</v>
      </c>
      <c r="Y455" s="77" t="s">
        <v>6002</v>
      </c>
      <c r="Z455" s="77"/>
      <c r="AA455" s="77" t="s">
        <v>6380</v>
      </c>
      <c r="AB455" s="77" t="s">
        <v>7696</v>
      </c>
      <c r="AC455" s="82" t="s">
        <v>7706</v>
      </c>
      <c r="AD455" s="77" t="s">
        <v>7745</v>
      </c>
      <c r="AE455" s="80" t="str">
        <f>HYPERLINK("https://twitter.com/williamhuntbr/status/1687433198618468352")</f>
        <v>https://twitter.com/williamhuntbr/status/1687433198618468352</v>
      </c>
      <c r="AF455" s="79">
        <v>45142.5</v>
      </c>
      <c r="AG455" s="85">
        <v>45142</v>
      </c>
      <c r="AH455" s="82" t="s">
        <v>8143</v>
      </c>
      <c r="AI455" s="77" t="b">
        <v>0</v>
      </c>
      <c r="AJ455" s="77"/>
      <c r="AK455" s="77"/>
      <c r="AL455" s="77"/>
      <c r="AM455" s="77"/>
      <c r="AN455" s="77"/>
      <c r="AO455" s="77"/>
      <c r="AP455" s="77"/>
      <c r="AQ455" s="77" t="s">
        <v>10887</v>
      </c>
      <c r="AR455" s="77"/>
      <c r="AS455" s="77"/>
      <c r="AT455" s="77"/>
      <c r="AU455" s="77"/>
      <c r="AV455" s="80" t="str">
        <f>HYPERLINK("https://pbs.twimg.com/media/F2D-u3aXQAAEkH-.jpg")</f>
        <v>https://pbs.twimg.com/media/F2D-u3aXQAAEkH-.jpg</v>
      </c>
      <c r="AW455" s="82" t="s">
        <v>12650</v>
      </c>
      <c r="AX455" s="82" t="s">
        <v>12650</v>
      </c>
      <c r="AY455" s="77"/>
      <c r="AZ455" s="82" t="s">
        <v>15804</v>
      </c>
      <c r="BA455" s="82" t="s">
        <v>15804</v>
      </c>
      <c r="BB455" s="82" t="s">
        <v>15804</v>
      </c>
      <c r="BC455" s="82" t="s">
        <v>12650</v>
      </c>
      <c r="BD455" s="82" t="s">
        <v>16208</v>
      </c>
      <c r="BE455" s="77"/>
      <c r="BF455" s="77"/>
      <c r="BG455" s="77"/>
      <c r="BH455" s="77"/>
      <c r="BI455" s="77"/>
    </row>
    <row r="456" spans="1:61" x14ac:dyDescent="0.25">
      <c r="A456" s="62" t="s">
        <v>353</v>
      </c>
      <c r="B456" s="62" t="s">
        <v>353</v>
      </c>
      <c r="C456" s="63"/>
      <c r="D456" s="64"/>
      <c r="E456" s="65"/>
      <c r="F456" s="66"/>
      <c r="G456" s="63"/>
      <c r="H456" s="67"/>
      <c r="I456" s="68"/>
      <c r="J456" s="68"/>
      <c r="K456" s="32"/>
      <c r="L456" s="75">
        <v>456</v>
      </c>
      <c r="M456" s="75"/>
      <c r="N456" s="70"/>
      <c r="O456" s="77" t="s">
        <v>179</v>
      </c>
      <c r="P456" s="79">
        <v>45119.500034722223</v>
      </c>
      <c r="Q456" s="77" t="s">
        <v>1566</v>
      </c>
      <c r="R456" s="77">
        <v>0</v>
      </c>
      <c r="S456" s="77">
        <v>0</v>
      </c>
      <c r="T456" s="77">
        <v>0</v>
      </c>
      <c r="U456" s="77">
        <v>0</v>
      </c>
      <c r="V456" s="77">
        <v>241</v>
      </c>
      <c r="W456" s="82" t="s">
        <v>4374</v>
      </c>
      <c r="X456" s="80" t="str">
        <f>HYPERLINK("https://www.williamhunt.com.br/segredos-dos-investimentos-para-iniciantes")</f>
        <v>https://www.williamhunt.com.br/segredos-dos-investimentos-para-iniciantes</v>
      </c>
      <c r="Y456" s="77" t="s">
        <v>6002</v>
      </c>
      <c r="Z456" s="77"/>
      <c r="AA456" s="77" t="s">
        <v>6381</v>
      </c>
      <c r="AB456" s="77" t="s">
        <v>7696</v>
      </c>
      <c r="AC456" s="82" t="s">
        <v>7706</v>
      </c>
      <c r="AD456" s="77" t="s">
        <v>7745</v>
      </c>
      <c r="AE456" s="80" t="str">
        <f>HYPERLINK("https://twitter.com/williamhuntbr/status/1679098290548121600")</f>
        <v>https://twitter.com/williamhuntbr/status/1679098290548121600</v>
      </c>
      <c r="AF456" s="79">
        <v>45119.500034722223</v>
      </c>
      <c r="AG456" s="85">
        <v>45119</v>
      </c>
      <c r="AH456" s="82" t="s">
        <v>8131</v>
      </c>
      <c r="AI456" s="77" t="b">
        <v>0</v>
      </c>
      <c r="AJ456" s="77"/>
      <c r="AK456" s="77"/>
      <c r="AL456" s="77"/>
      <c r="AM456" s="77"/>
      <c r="AN456" s="77"/>
      <c r="AO456" s="77"/>
      <c r="AP456" s="77"/>
      <c r="AQ456" s="77" t="s">
        <v>10888</v>
      </c>
      <c r="AR456" s="77"/>
      <c r="AS456" s="77"/>
      <c r="AT456" s="77"/>
      <c r="AU456" s="77"/>
      <c r="AV456" s="80" t="str">
        <f>HYPERLINK("https://pbs.twimg.com/media/Fz5-0O8XsAEZZUN.jpg")</f>
        <v>https://pbs.twimg.com/media/Fz5-0O8XsAEZZUN.jpg</v>
      </c>
      <c r="AW456" s="82" t="s">
        <v>12651</v>
      </c>
      <c r="AX456" s="82" t="s">
        <v>12651</v>
      </c>
      <c r="AY456" s="77"/>
      <c r="AZ456" s="82" t="s">
        <v>15804</v>
      </c>
      <c r="BA456" s="82" t="s">
        <v>15804</v>
      </c>
      <c r="BB456" s="82" t="s">
        <v>15804</v>
      </c>
      <c r="BC456" s="82" t="s">
        <v>12651</v>
      </c>
      <c r="BD456" s="82" t="s">
        <v>16208</v>
      </c>
      <c r="BE456" s="77"/>
      <c r="BF456" s="77"/>
      <c r="BG456" s="77"/>
      <c r="BH456" s="77"/>
      <c r="BI456" s="77"/>
    </row>
    <row r="457" spans="1:61" x14ac:dyDescent="0.25">
      <c r="A457" s="62" t="s">
        <v>353</v>
      </c>
      <c r="B457" s="62" t="s">
        <v>353</v>
      </c>
      <c r="C457" s="63"/>
      <c r="D457" s="64"/>
      <c r="E457" s="65"/>
      <c r="F457" s="66"/>
      <c r="G457" s="63"/>
      <c r="H457" s="67"/>
      <c r="I457" s="68"/>
      <c r="J457" s="68"/>
      <c r="K457" s="32"/>
      <c r="L457" s="75">
        <v>457</v>
      </c>
      <c r="M457" s="75"/>
      <c r="N457" s="70"/>
      <c r="O457" s="77" t="s">
        <v>179</v>
      </c>
      <c r="P457" s="79">
        <v>45103.5</v>
      </c>
      <c r="Q457" s="77" t="s">
        <v>1567</v>
      </c>
      <c r="R457" s="77">
        <v>0</v>
      </c>
      <c r="S457" s="77">
        <v>0</v>
      </c>
      <c r="T457" s="77">
        <v>0</v>
      </c>
      <c r="U457" s="77">
        <v>0</v>
      </c>
      <c r="V457" s="77">
        <v>10</v>
      </c>
      <c r="W457" s="82" t="s">
        <v>4324</v>
      </c>
      <c r="X457" s="80" t="str">
        <f>HYPERLINK("https://www.williamhunt.com.br/segredos-dos-investimentos-para-iniciantes")</f>
        <v>https://www.williamhunt.com.br/segredos-dos-investimentos-para-iniciantes</v>
      </c>
      <c r="Y457" s="77" t="s">
        <v>6002</v>
      </c>
      <c r="Z457" s="77"/>
      <c r="AA457" s="77" t="s">
        <v>6382</v>
      </c>
      <c r="AB457" s="77" t="s">
        <v>7696</v>
      </c>
      <c r="AC457" s="82" t="s">
        <v>7706</v>
      </c>
      <c r="AD457" s="77" t="s">
        <v>7745</v>
      </c>
      <c r="AE457" s="80" t="str">
        <f>HYPERLINK("https://twitter.com/williamhuntbr/status/1673300075206811653")</f>
        <v>https://twitter.com/williamhuntbr/status/1673300075206811653</v>
      </c>
      <c r="AF457" s="79">
        <v>45103.5</v>
      </c>
      <c r="AG457" s="85">
        <v>45103</v>
      </c>
      <c r="AH457" s="82" t="s">
        <v>8143</v>
      </c>
      <c r="AI457" s="77" t="b">
        <v>0</v>
      </c>
      <c r="AJ457" s="77"/>
      <c r="AK457" s="77"/>
      <c r="AL457" s="77"/>
      <c r="AM457" s="77"/>
      <c r="AN457" s="77"/>
      <c r="AO457" s="77"/>
      <c r="AP457" s="77"/>
      <c r="AQ457" s="77" t="s">
        <v>10889</v>
      </c>
      <c r="AR457" s="77"/>
      <c r="AS457" s="77"/>
      <c r="AT457" s="77"/>
      <c r="AU457" s="77"/>
      <c r="AV457" s="80" t="str">
        <f>HYPERLINK("https://pbs.twimg.com/media/FyxFu1IWAAE9i7k.jpg")</f>
        <v>https://pbs.twimg.com/media/FyxFu1IWAAE9i7k.jpg</v>
      </c>
      <c r="AW457" s="82" t="s">
        <v>12652</v>
      </c>
      <c r="AX457" s="82" t="s">
        <v>12652</v>
      </c>
      <c r="AY457" s="77"/>
      <c r="AZ457" s="82" t="s">
        <v>15804</v>
      </c>
      <c r="BA457" s="82" t="s">
        <v>15804</v>
      </c>
      <c r="BB457" s="82" t="s">
        <v>15804</v>
      </c>
      <c r="BC457" s="82" t="s">
        <v>12652</v>
      </c>
      <c r="BD457" s="82" t="s">
        <v>16208</v>
      </c>
      <c r="BE457" s="77"/>
      <c r="BF457" s="77"/>
      <c r="BG457" s="77"/>
      <c r="BH457" s="77"/>
      <c r="BI457" s="77"/>
    </row>
    <row r="458" spans="1:61" x14ac:dyDescent="0.25">
      <c r="A458" s="62" t="s">
        <v>353</v>
      </c>
      <c r="B458" s="62" t="s">
        <v>353</v>
      </c>
      <c r="C458" s="63"/>
      <c r="D458" s="64"/>
      <c r="E458" s="65"/>
      <c r="F458" s="66"/>
      <c r="G458" s="63"/>
      <c r="H458" s="67"/>
      <c r="I458" s="68"/>
      <c r="J458" s="68"/>
      <c r="K458" s="32"/>
      <c r="L458" s="75">
        <v>458</v>
      </c>
      <c r="M458" s="75"/>
      <c r="N458" s="70"/>
      <c r="O458" s="77" t="s">
        <v>179</v>
      </c>
      <c r="P458" s="79">
        <v>45100.5</v>
      </c>
      <c r="Q458" s="77" t="s">
        <v>1568</v>
      </c>
      <c r="R458" s="77">
        <v>0</v>
      </c>
      <c r="S458" s="77">
        <v>0</v>
      </c>
      <c r="T458" s="77">
        <v>0</v>
      </c>
      <c r="U458" s="77">
        <v>0</v>
      </c>
      <c r="V458" s="77">
        <v>23</v>
      </c>
      <c r="W458" s="82" t="s">
        <v>4375</v>
      </c>
      <c r="X458" s="80" t="str">
        <f>HYPERLINK("https://www.williamhunt.com.br/segredos-dos-investimentos-para-iniciantes")</f>
        <v>https://www.williamhunt.com.br/segredos-dos-investimentos-para-iniciantes</v>
      </c>
      <c r="Y458" s="77" t="s">
        <v>6002</v>
      </c>
      <c r="Z458" s="77"/>
      <c r="AA458" s="77" t="s">
        <v>6383</v>
      </c>
      <c r="AB458" s="77" t="s">
        <v>7696</v>
      </c>
      <c r="AC458" s="82" t="s">
        <v>7706</v>
      </c>
      <c r="AD458" s="77" t="s">
        <v>7745</v>
      </c>
      <c r="AE458" s="80" t="str">
        <f>HYPERLINK("https://twitter.com/williamhuntbr/status/1672212908409860097")</f>
        <v>https://twitter.com/williamhuntbr/status/1672212908409860097</v>
      </c>
      <c r="AF458" s="79">
        <v>45100.5</v>
      </c>
      <c r="AG458" s="85">
        <v>45100</v>
      </c>
      <c r="AH458" s="82" t="s">
        <v>8143</v>
      </c>
      <c r="AI458" s="77" t="b">
        <v>0</v>
      </c>
      <c r="AJ458" s="77"/>
      <c r="AK458" s="77"/>
      <c r="AL458" s="77"/>
      <c r="AM458" s="77"/>
      <c r="AN458" s="77"/>
      <c r="AO458" s="77"/>
      <c r="AP458" s="77"/>
      <c r="AQ458" s="77" t="s">
        <v>10890</v>
      </c>
      <c r="AR458" s="77"/>
      <c r="AS458" s="77"/>
      <c r="AT458" s="77"/>
      <c r="AU458" s="77"/>
      <c r="AV458" s="80" t="str">
        <f>HYPERLINK("https://pbs.twimg.com/media/FyIPEhKWIAY3GPh.jpg")</f>
        <v>https://pbs.twimg.com/media/FyIPEhKWIAY3GPh.jpg</v>
      </c>
      <c r="AW458" s="82" t="s">
        <v>12653</v>
      </c>
      <c r="AX458" s="82" t="s">
        <v>12653</v>
      </c>
      <c r="AY458" s="77"/>
      <c r="AZ458" s="82" t="s">
        <v>15804</v>
      </c>
      <c r="BA458" s="82" t="s">
        <v>15804</v>
      </c>
      <c r="BB458" s="82" t="s">
        <v>15804</v>
      </c>
      <c r="BC458" s="82" t="s">
        <v>12653</v>
      </c>
      <c r="BD458" s="82" t="s">
        <v>16208</v>
      </c>
      <c r="BE458" s="77"/>
      <c r="BF458" s="77"/>
      <c r="BG458" s="77"/>
      <c r="BH458" s="77"/>
      <c r="BI458" s="77"/>
    </row>
    <row r="459" spans="1:61" x14ac:dyDescent="0.25">
      <c r="A459" s="62" t="s">
        <v>353</v>
      </c>
      <c r="B459" s="62" t="s">
        <v>353</v>
      </c>
      <c r="C459" s="63"/>
      <c r="D459" s="64"/>
      <c r="E459" s="65"/>
      <c r="F459" s="66"/>
      <c r="G459" s="63"/>
      <c r="H459" s="67"/>
      <c r="I459" s="68"/>
      <c r="J459" s="68"/>
      <c r="K459" s="32"/>
      <c r="L459" s="75">
        <v>459</v>
      </c>
      <c r="M459" s="75"/>
      <c r="N459" s="70"/>
      <c r="O459" s="77" t="s">
        <v>179</v>
      </c>
      <c r="P459" s="79">
        <v>45056.537418981483</v>
      </c>
      <c r="Q459" s="77" t="s">
        <v>1569</v>
      </c>
      <c r="R459" s="77">
        <v>0</v>
      </c>
      <c r="S459" s="77">
        <v>0</v>
      </c>
      <c r="T459" s="77">
        <v>0</v>
      </c>
      <c r="U459" s="77">
        <v>0</v>
      </c>
      <c r="V459" s="77">
        <v>32</v>
      </c>
      <c r="W459" s="82" t="s">
        <v>4376</v>
      </c>
      <c r="X459" s="80" t="str">
        <f>HYPERLINK("http://williamhunt.com.br/segredos-dos-investimentos-para-iniciantes")</f>
        <v>http://williamhunt.com.br/segredos-dos-investimentos-para-iniciantes</v>
      </c>
      <c r="Y459" s="77" t="s">
        <v>6002</v>
      </c>
      <c r="Z459" s="77"/>
      <c r="AA459" s="77" t="s">
        <v>6384</v>
      </c>
      <c r="AB459" s="77" t="s">
        <v>7700</v>
      </c>
      <c r="AC459" s="82" t="s">
        <v>7706</v>
      </c>
      <c r="AD459" s="77" t="s">
        <v>7745</v>
      </c>
      <c r="AE459" s="80" t="str">
        <f>HYPERLINK("https://twitter.com/williamhuntbr/status/1656281403540094976")</f>
        <v>https://twitter.com/williamhuntbr/status/1656281403540094976</v>
      </c>
      <c r="AF459" s="79">
        <v>45056.537418981483</v>
      </c>
      <c r="AG459" s="85">
        <v>45056</v>
      </c>
      <c r="AH459" s="82" t="s">
        <v>8159</v>
      </c>
      <c r="AI459" s="77" t="b">
        <v>0</v>
      </c>
      <c r="AJ459" s="77"/>
      <c r="AK459" s="77"/>
      <c r="AL459" s="77"/>
      <c r="AM459" s="77"/>
      <c r="AN459" s="77"/>
      <c r="AO459" s="77"/>
      <c r="AP459" s="77"/>
      <c r="AQ459" s="77" t="s">
        <v>10891</v>
      </c>
      <c r="AR459" s="77"/>
      <c r="AS459" s="77"/>
      <c r="AT459" s="77"/>
      <c r="AU459" s="77"/>
      <c r="AV459" s="80" t="str">
        <f>HYPERLINK("https://pbs.twimg.com/media/FvxLJyMXsAI5Icn.jpg")</f>
        <v>https://pbs.twimg.com/media/FvxLJyMXsAI5Icn.jpg</v>
      </c>
      <c r="AW459" s="82" t="s">
        <v>12654</v>
      </c>
      <c r="AX459" s="82" t="s">
        <v>12654</v>
      </c>
      <c r="AY459" s="77"/>
      <c r="AZ459" s="82" t="s">
        <v>15804</v>
      </c>
      <c r="BA459" s="82" t="s">
        <v>15804</v>
      </c>
      <c r="BB459" s="82" t="s">
        <v>15804</v>
      </c>
      <c r="BC459" s="82" t="s">
        <v>12654</v>
      </c>
      <c r="BD459" s="82" t="s">
        <v>16208</v>
      </c>
      <c r="BE459" s="77"/>
      <c r="BF459" s="77"/>
      <c r="BG459" s="77"/>
      <c r="BH459" s="77"/>
      <c r="BI459" s="77"/>
    </row>
    <row r="460" spans="1:61" x14ac:dyDescent="0.25">
      <c r="A460" s="62" t="s">
        <v>353</v>
      </c>
      <c r="B460" s="62" t="s">
        <v>353</v>
      </c>
      <c r="C460" s="63"/>
      <c r="D460" s="64"/>
      <c r="E460" s="65"/>
      <c r="F460" s="66"/>
      <c r="G460" s="63"/>
      <c r="H460" s="67"/>
      <c r="I460" s="68"/>
      <c r="J460" s="68"/>
      <c r="K460" s="32"/>
      <c r="L460" s="75">
        <v>460</v>
      </c>
      <c r="M460" s="75"/>
      <c r="N460" s="70"/>
      <c r="O460" s="77" t="s">
        <v>179</v>
      </c>
      <c r="P460" s="79">
        <v>45054.500011574077</v>
      </c>
      <c r="Q460" s="77" t="s">
        <v>1570</v>
      </c>
      <c r="R460" s="77">
        <v>0</v>
      </c>
      <c r="S460" s="77">
        <v>0</v>
      </c>
      <c r="T460" s="77">
        <v>0</v>
      </c>
      <c r="U460" s="77">
        <v>0</v>
      </c>
      <c r="V460" s="77">
        <v>35</v>
      </c>
      <c r="W460" s="82" t="s">
        <v>4377</v>
      </c>
      <c r="X460" s="80" t="str">
        <f>HYPERLINK("https://www.williamhunt.com.br/segredos-dos-investimentos-para-iniciantes")</f>
        <v>https://www.williamhunt.com.br/segredos-dos-investimentos-para-iniciantes</v>
      </c>
      <c r="Y460" s="77" t="s">
        <v>6002</v>
      </c>
      <c r="Z460" s="77"/>
      <c r="AA460" s="77" t="s">
        <v>6385</v>
      </c>
      <c r="AB460" s="77" t="s">
        <v>7696</v>
      </c>
      <c r="AC460" s="82" t="s">
        <v>7706</v>
      </c>
      <c r="AD460" s="77" t="s">
        <v>7745</v>
      </c>
      <c r="AE460" s="80" t="str">
        <f>HYPERLINK("https://twitter.com/williamhuntbr/status/1655543073877942273")</f>
        <v>https://twitter.com/williamhuntbr/status/1655543073877942273</v>
      </c>
      <c r="AF460" s="79">
        <v>45054.500011574077</v>
      </c>
      <c r="AG460" s="85">
        <v>45054</v>
      </c>
      <c r="AH460" s="82" t="s">
        <v>7923</v>
      </c>
      <c r="AI460" s="77" t="b">
        <v>0</v>
      </c>
      <c r="AJ460" s="77"/>
      <c r="AK460" s="77"/>
      <c r="AL460" s="77"/>
      <c r="AM460" s="77"/>
      <c r="AN460" s="77"/>
      <c r="AO460" s="77"/>
      <c r="AP460" s="77"/>
      <c r="AQ460" s="77" t="s">
        <v>10892</v>
      </c>
      <c r="AR460" s="77"/>
      <c r="AS460" s="77"/>
      <c r="AT460" s="77"/>
      <c r="AU460" s="77"/>
      <c r="AV460" s="80" t="str">
        <f>HYPERLINK("https://pbs.twimg.com/media/FvJAfHHWACAkdXW.jpg")</f>
        <v>https://pbs.twimg.com/media/FvJAfHHWACAkdXW.jpg</v>
      </c>
      <c r="AW460" s="82" t="s">
        <v>12655</v>
      </c>
      <c r="AX460" s="82" t="s">
        <v>12655</v>
      </c>
      <c r="AY460" s="77"/>
      <c r="AZ460" s="82" t="s">
        <v>15804</v>
      </c>
      <c r="BA460" s="82" t="s">
        <v>15804</v>
      </c>
      <c r="BB460" s="82" t="s">
        <v>15804</v>
      </c>
      <c r="BC460" s="82" t="s">
        <v>12655</v>
      </c>
      <c r="BD460" s="82" t="s">
        <v>16208</v>
      </c>
      <c r="BE460" s="77"/>
      <c r="BF460" s="77"/>
      <c r="BG460" s="77"/>
      <c r="BH460" s="77"/>
      <c r="BI460" s="77"/>
    </row>
    <row r="461" spans="1:61" x14ac:dyDescent="0.25">
      <c r="A461" s="62" t="s">
        <v>353</v>
      </c>
      <c r="B461" s="62" t="s">
        <v>353</v>
      </c>
      <c r="C461" s="63"/>
      <c r="D461" s="64"/>
      <c r="E461" s="65"/>
      <c r="F461" s="66"/>
      <c r="G461" s="63"/>
      <c r="H461" s="67"/>
      <c r="I461" s="68"/>
      <c r="J461" s="68"/>
      <c r="K461" s="32"/>
      <c r="L461" s="75">
        <v>461</v>
      </c>
      <c r="M461" s="75"/>
      <c r="N461" s="70"/>
      <c r="O461" s="77" t="s">
        <v>179</v>
      </c>
      <c r="P461" s="79">
        <v>45007.607233796298</v>
      </c>
      <c r="Q461" s="77" t="s">
        <v>1571</v>
      </c>
      <c r="R461" s="77">
        <v>0</v>
      </c>
      <c r="S461" s="77">
        <v>0</v>
      </c>
      <c r="T461" s="77">
        <v>0</v>
      </c>
      <c r="U461" s="77">
        <v>0</v>
      </c>
      <c r="V461" s="77">
        <v>18</v>
      </c>
      <c r="W461" s="82" t="s">
        <v>4378</v>
      </c>
      <c r="X461" s="77"/>
      <c r="Y461" s="77"/>
      <c r="Z461" s="77"/>
      <c r="AA461" s="77" t="s">
        <v>6386</v>
      </c>
      <c r="AB461" s="77" t="s">
        <v>7696</v>
      </c>
      <c r="AC461" s="82" t="s">
        <v>7706</v>
      </c>
      <c r="AD461" s="77" t="s">
        <v>7745</v>
      </c>
      <c r="AE461" s="80" t="str">
        <f>HYPERLINK("https://twitter.com/williamhuntbr/status/1638549696506462209")</f>
        <v>https://twitter.com/williamhuntbr/status/1638549696506462209</v>
      </c>
      <c r="AF461" s="79">
        <v>45007.607233796298</v>
      </c>
      <c r="AG461" s="85">
        <v>45007</v>
      </c>
      <c r="AH461" s="82" t="s">
        <v>8160</v>
      </c>
      <c r="AI461" s="77" t="b">
        <v>0</v>
      </c>
      <c r="AJ461" s="77"/>
      <c r="AK461" s="77"/>
      <c r="AL461" s="77"/>
      <c r="AM461" s="77"/>
      <c r="AN461" s="77"/>
      <c r="AO461" s="77"/>
      <c r="AP461" s="77"/>
      <c r="AQ461" s="77" t="s">
        <v>10893</v>
      </c>
      <c r="AR461" s="77"/>
      <c r="AS461" s="77"/>
      <c r="AT461" s="77"/>
      <c r="AU461" s="77"/>
      <c r="AV461" s="80" t="str">
        <f>HYPERLINK("https://pbs.twimg.com/media/Fr1MLWGXwAEApMG.jpg")</f>
        <v>https://pbs.twimg.com/media/Fr1MLWGXwAEApMG.jpg</v>
      </c>
      <c r="AW461" s="82" t="s">
        <v>12656</v>
      </c>
      <c r="AX461" s="82" t="s">
        <v>12656</v>
      </c>
      <c r="AY461" s="77"/>
      <c r="AZ461" s="82" t="s">
        <v>15804</v>
      </c>
      <c r="BA461" s="82" t="s">
        <v>15804</v>
      </c>
      <c r="BB461" s="82" t="s">
        <v>15804</v>
      </c>
      <c r="BC461" s="82" t="s">
        <v>12656</v>
      </c>
      <c r="BD461" s="82" t="s">
        <v>16208</v>
      </c>
      <c r="BE461" s="77"/>
      <c r="BF461" s="77"/>
      <c r="BG461" s="77"/>
      <c r="BH461" s="77"/>
      <c r="BI461" s="77"/>
    </row>
    <row r="462" spans="1:61" x14ac:dyDescent="0.25">
      <c r="A462" s="62" t="s">
        <v>353</v>
      </c>
      <c r="B462" s="62" t="s">
        <v>353</v>
      </c>
      <c r="C462" s="63"/>
      <c r="D462" s="64"/>
      <c r="E462" s="65"/>
      <c r="F462" s="66"/>
      <c r="G462" s="63"/>
      <c r="H462" s="67"/>
      <c r="I462" s="68"/>
      <c r="J462" s="68"/>
      <c r="K462" s="32"/>
      <c r="L462" s="75">
        <v>462</v>
      </c>
      <c r="M462" s="75"/>
      <c r="N462" s="70"/>
      <c r="O462" s="77" t="s">
        <v>179</v>
      </c>
      <c r="P462" s="79">
        <v>45005.785497685189</v>
      </c>
      <c r="Q462" s="77" t="s">
        <v>1572</v>
      </c>
      <c r="R462" s="77">
        <v>0</v>
      </c>
      <c r="S462" s="77">
        <v>0</v>
      </c>
      <c r="T462" s="77">
        <v>1</v>
      </c>
      <c r="U462" s="77">
        <v>0</v>
      </c>
      <c r="V462" s="77">
        <v>55</v>
      </c>
      <c r="W462" s="82" t="s">
        <v>4379</v>
      </c>
      <c r="X462" s="77"/>
      <c r="Y462" s="77"/>
      <c r="Z462" s="77"/>
      <c r="AA462" s="77" t="s">
        <v>6387</v>
      </c>
      <c r="AB462" s="77" t="s">
        <v>7698</v>
      </c>
      <c r="AC462" s="82" t="s">
        <v>7706</v>
      </c>
      <c r="AD462" s="77" t="s">
        <v>7745</v>
      </c>
      <c r="AE462" s="80" t="str">
        <f>HYPERLINK("https://twitter.com/williamhuntbr/status/1637889524054237213")</f>
        <v>https://twitter.com/williamhuntbr/status/1637889524054237213</v>
      </c>
      <c r="AF462" s="79">
        <v>45005.785497685189</v>
      </c>
      <c r="AG462" s="85">
        <v>45005</v>
      </c>
      <c r="AH462" s="82" t="s">
        <v>8161</v>
      </c>
      <c r="AI462" s="77" t="b">
        <v>0</v>
      </c>
      <c r="AJ462" s="77"/>
      <c r="AK462" s="77"/>
      <c r="AL462" s="77"/>
      <c r="AM462" s="77"/>
      <c r="AN462" s="77"/>
      <c r="AO462" s="77"/>
      <c r="AP462" s="77"/>
      <c r="AQ462" s="77" t="s">
        <v>10894</v>
      </c>
      <c r="AR462" s="77"/>
      <c r="AS462" s="77"/>
      <c r="AT462" s="77"/>
      <c r="AU462" s="77"/>
      <c r="AV462" s="80" t="str">
        <f>HYPERLINK("https://pbs.twimg.com/media/FrrzFKNWAAAru39.jpg")</f>
        <v>https://pbs.twimg.com/media/FrrzFKNWAAAru39.jpg</v>
      </c>
      <c r="AW462" s="82" t="s">
        <v>12657</v>
      </c>
      <c r="AX462" s="82" t="s">
        <v>12657</v>
      </c>
      <c r="AY462" s="77"/>
      <c r="AZ462" s="82" t="s">
        <v>15804</v>
      </c>
      <c r="BA462" s="82" t="s">
        <v>15804</v>
      </c>
      <c r="BB462" s="82" t="s">
        <v>15804</v>
      </c>
      <c r="BC462" s="82" t="s">
        <v>12657</v>
      </c>
      <c r="BD462" s="82" t="s">
        <v>16208</v>
      </c>
      <c r="BE462" s="77"/>
      <c r="BF462" s="77"/>
      <c r="BG462" s="77"/>
      <c r="BH462" s="77"/>
      <c r="BI462" s="77"/>
    </row>
    <row r="463" spans="1:61" x14ac:dyDescent="0.25">
      <c r="A463" s="62" t="s">
        <v>353</v>
      </c>
      <c r="B463" s="62" t="s">
        <v>353</v>
      </c>
      <c r="C463" s="63"/>
      <c r="D463" s="64"/>
      <c r="E463" s="65"/>
      <c r="F463" s="66"/>
      <c r="G463" s="63"/>
      <c r="H463" s="67"/>
      <c r="I463" s="68"/>
      <c r="J463" s="68"/>
      <c r="K463" s="32"/>
      <c r="L463" s="75">
        <v>463</v>
      </c>
      <c r="M463" s="75"/>
      <c r="N463" s="70"/>
      <c r="O463" s="77" t="s">
        <v>179</v>
      </c>
      <c r="P463" s="79">
        <v>44957.621932870374</v>
      </c>
      <c r="Q463" s="77" t="s">
        <v>1573</v>
      </c>
      <c r="R463" s="77">
        <v>0</v>
      </c>
      <c r="S463" s="77">
        <v>0</v>
      </c>
      <c r="T463" s="77">
        <v>0</v>
      </c>
      <c r="U463" s="77">
        <v>0</v>
      </c>
      <c r="V463" s="77">
        <v>36</v>
      </c>
      <c r="W463" s="82" t="s">
        <v>4380</v>
      </c>
      <c r="X463" s="80" t="str">
        <f>HYPERLINK("http://williamhunt.com.br/segredos-dos-investimentos-para-iniciantes")</f>
        <v>http://williamhunt.com.br/segredos-dos-investimentos-para-iniciantes</v>
      </c>
      <c r="Y463" s="77" t="s">
        <v>6002</v>
      </c>
      <c r="Z463" s="77"/>
      <c r="AA463" s="77" t="s">
        <v>6388</v>
      </c>
      <c r="AB463" s="77" t="s">
        <v>7701</v>
      </c>
      <c r="AC463" s="82" t="s">
        <v>7706</v>
      </c>
      <c r="AD463" s="77" t="s">
        <v>7745</v>
      </c>
      <c r="AE463" s="80" t="str">
        <f>HYPERLINK("https://twitter.com/williamhuntbr/status/1620435633423654913")</f>
        <v>https://twitter.com/williamhuntbr/status/1620435633423654913</v>
      </c>
      <c r="AF463" s="79">
        <v>44957.621932870374</v>
      </c>
      <c r="AG463" s="85">
        <v>44957</v>
      </c>
      <c r="AH463" s="82" t="s">
        <v>8162</v>
      </c>
      <c r="AI463" s="77" t="b">
        <v>0</v>
      </c>
      <c r="AJ463" s="77"/>
      <c r="AK463" s="77"/>
      <c r="AL463" s="77"/>
      <c r="AM463" s="77"/>
      <c r="AN463" s="77"/>
      <c r="AO463" s="77"/>
      <c r="AP463" s="77"/>
      <c r="AQ463" s="77" t="s">
        <v>10895</v>
      </c>
      <c r="AR463" s="77"/>
      <c r="AS463" s="77"/>
      <c r="AT463" s="77"/>
      <c r="AU463" s="77"/>
      <c r="AV463" s="80" t="str">
        <f>HYPERLINK("https://pbs.twimg.com/media/Fnzxmd9WAAMIza0.jpg")</f>
        <v>https://pbs.twimg.com/media/Fnzxmd9WAAMIza0.jpg</v>
      </c>
      <c r="AW463" s="82" t="s">
        <v>12658</v>
      </c>
      <c r="AX463" s="82" t="s">
        <v>12658</v>
      </c>
      <c r="AY463" s="77"/>
      <c r="AZ463" s="82" t="s">
        <v>15804</v>
      </c>
      <c r="BA463" s="82" t="s">
        <v>15804</v>
      </c>
      <c r="BB463" s="82" t="s">
        <v>15804</v>
      </c>
      <c r="BC463" s="82" t="s">
        <v>12658</v>
      </c>
      <c r="BD463" s="82" t="s">
        <v>16208</v>
      </c>
      <c r="BE463" s="77"/>
      <c r="BF463" s="77"/>
      <c r="BG463" s="77"/>
      <c r="BH463" s="77"/>
      <c r="BI463" s="77"/>
    </row>
    <row r="464" spans="1:61" x14ac:dyDescent="0.25">
      <c r="A464" s="62" t="s">
        <v>353</v>
      </c>
      <c r="B464" s="62" t="s">
        <v>353</v>
      </c>
      <c r="C464" s="63"/>
      <c r="D464" s="64"/>
      <c r="E464" s="65"/>
      <c r="F464" s="66"/>
      <c r="G464" s="63"/>
      <c r="H464" s="67"/>
      <c r="I464" s="68"/>
      <c r="J464" s="68"/>
      <c r="K464" s="32"/>
      <c r="L464" s="75">
        <v>464</v>
      </c>
      <c r="M464" s="75"/>
      <c r="N464" s="70"/>
      <c r="O464" s="77" t="s">
        <v>179</v>
      </c>
      <c r="P464" s="79">
        <v>44953.70516203704</v>
      </c>
      <c r="Q464" s="77" t="s">
        <v>1574</v>
      </c>
      <c r="R464" s="77">
        <v>0</v>
      </c>
      <c r="S464" s="77">
        <v>0</v>
      </c>
      <c r="T464" s="77">
        <v>0</v>
      </c>
      <c r="U464" s="77">
        <v>0</v>
      </c>
      <c r="V464" s="77">
        <v>22</v>
      </c>
      <c r="W464" s="82" t="s">
        <v>4381</v>
      </c>
      <c r="X464" s="80" t="str">
        <f>HYPERLINK("http://williamhunt.com.br/segredos-dos-investimentos-para-iniciantes")</f>
        <v>http://williamhunt.com.br/segredos-dos-investimentos-para-iniciantes</v>
      </c>
      <c r="Y464" s="77" t="s">
        <v>6002</v>
      </c>
      <c r="Z464" s="77"/>
      <c r="AA464" s="77" t="s">
        <v>6389</v>
      </c>
      <c r="AB464" s="77" t="s">
        <v>7696</v>
      </c>
      <c r="AC464" s="82" t="s">
        <v>7706</v>
      </c>
      <c r="AD464" s="77" t="s">
        <v>7745</v>
      </c>
      <c r="AE464" s="80" t="str">
        <f>HYPERLINK("https://twitter.com/williamhuntbr/status/1619016243348135936")</f>
        <v>https://twitter.com/williamhuntbr/status/1619016243348135936</v>
      </c>
      <c r="AF464" s="79">
        <v>44953.70516203704</v>
      </c>
      <c r="AG464" s="85">
        <v>44953</v>
      </c>
      <c r="AH464" s="82" t="s">
        <v>8163</v>
      </c>
      <c r="AI464" s="77" t="b">
        <v>0</v>
      </c>
      <c r="AJ464" s="77"/>
      <c r="AK464" s="77"/>
      <c r="AL464" s="77"/>
      <c r="AM464" s="77"/>
      <c r="AN464" s="77"/>
      <c r="AO464" s="77"/>
      <c r="AP464" s="77"/>
      <c r="AQ464" s="77" t="s">
        <v>10896</v>
      </c>
      <c r="AR464" s="77"/>
      <c r="AS464" s="77"/>
      <c r="AT464" s="77"/>
      <c r="AU464" s="77"/>
      <c r="AV464" s="80" t="str">
        <f>HYPERLINK("https://pbs.twimg.com/media/FnfmqcqXkBAbH8o.jpg")</f>
        <v>https://pbs.twimg.com/media/FnfmqcqXkBAbH8o.jpg</v>
      </c>
      <c r="AW464" s="82" t="s">
        <v>12659</v>
      </c>
      <c r="AX464" s="82" t="s">
        <v>12659</v>
      </c>
      <c r="AY464" s="77"/>
      <c r="AZ464" s="82" t="s">
        <v>15804</v>
      </c>
      <c r="BA464" s="82" t="s">
        <v>15804</v>
      </c>
      <c r="BB464" s="82" t="s">
        <v>15804</v>
      </c>
      <c r="BC464" s="82" t="s">
        <v>12659</v>
      </c>
      <c r="BD464" s="82" t="s">
        <v>16208</v>
      </c>
      <c r="BE464" s="77"/>
      <c r="BF464" s="77"/>
      <c r="BG464" s="77"/>
      <c r="BH464" s="77"/>
      <c r="BI464" s="77"/>
    </row>
    <row r="465" spans="1:61" x14ac:dyDescent="0.25">
      <c r="A465" s="62" t="s">
        <v>353</v>
      </c>
      <c r="B465" s="62" t="s">
        <v>353</v>
      </c>
      <c r="C465" s="63"/>
      <c r="D465" s="64"/>
      <c r="E465" s="65"/>
      <c r="F465" s="66"/>
      <c r="G465" s="63"/>
      <c r="H465" s="67"/>
      <c r="I465" s="68"/>
      <c r="J465" s="68"/>
      <c r="K465" s="32"/>
      <c r="L465" s="75">
        <v>465</v>
      </c>
      <c r="M465" s="75"/>
      <c r="N465" s="70"/>
      <c r="O465" s="77" t="s">
        <v>179</v>
      </c>
      <c r="P465" s="79">
        <v>44949.644942129627</v>
      </c>
      <c r="Q465" s="77" t="s">
        <v>1575</v>
      </c>
      <c r="R465" s="77">
        <v>0</v>
      </c>
      <c r="S465" s="77">
        <v>0</v>
      </c>
      <c r="T465" s="77">
        <v>0</v>
      </c>
      <c r="U465" s="77">
        <v>0</v>
      </c>
      <c r="V465" s="77">
        <v>27</v>
      </c>
      <c r="W465" s="82" t="s">
        <v>4382</v>
      </c>
      <c r="X465" s="80" t="str">
        <f>HYPERLINK("http://williamhunt.com.br/segredos-dos-investimentos-para-iniciantes")</f>
        <v>http://williamhunt.com.br/segredos-dos-investimentos-para-iniciantes</v>
      </c>
      <c r="Y465" s="77" t="s">
        <v>6002</v>
      </c>
      <c r="Z465" s="77"/>
      <c r="AA465" s="77" t="s">
        <v>6390</v>
      </c>
      <c r="AB465" s="77" t="s">
        <v>7696</v>
      </c>
      <c r="AC465" s="82" t="s">
        <v>7706</v>
      </c>
      <c r="AD465" s="77" t="s">
        <v>7745</v>
      </c>
      <c r="AE465" s="80" t="str">
        <f>HYPERLINK("https://twitter.com/williamhuntbr/status/1617544866933903361")</f>
        <v>https://twitter.com/williamhuntbr/status/1617544866933903361</v>
      </c>
      <c r="AF465" s="79">
        <v>44949.644942129627</v>
      </c>
      <c r="AG465" s="85">
        <v>44949</v>
      </c>
      <c r="AH465" s="82" t="s">
        <v>8164</v>
      </c>
      <c r="AI465" s="77" t="b">
        <v>0</v>
      </c>
      <c r="AJ465" s="77"/>
      <c r="AK465" s="77"/>
      <c r="AL465" s="77"/>
      <c r="AM465" s="77"/>
      <c r="AN465" s="77"/>
      <c r="AO465" s="77"/>
      <c r="AP465" s="77"/>
      <c r="AQ465" s="77" t="s">
        <v>10897</v>
      </c>
      <c r="AR465" s="77"/>
      <c r="AS465" s="77"/>
      <c r="AT465" s="77"/>
      <c r="AU465" s="77"/>
      <c r="AV465" s="80" t="str">
        <f>HYPERLINK("https://pbs.twimg.com/media/FnKsb1qXwAURZ1s.jpg")</f>
        <v>https://pbs.twimg.com/media/FnKsb1qXwAURZ1s.jpg</v>
      </c>
      <c r="AW465" s="82" t="s">
        <v>12660</v>
      </c>
      <c r="AX465" s="82" t="s">
        <v>12660</v>
      </c>
      <c r="AY465" s="77"/>
      <c r="AZ465" s="82" t="s">
        <v>15804</v>
      </c>
      <c r="BA465" s="82" t="s">
        <v>15804</v>
      </c>
      <c r="BB465" s="82" t="s">
        <v>15804</v>
      </c>
      <c r="BC465" s="82" t="s">
        <v>12660</v>
      </c>
      <c r="BD465" s="82" t="s">
        <v>16208</v>
      </c>
      <c r="BE465" s="77"/>
      <c r="BF465" s="77"/>
      <c r="BG465" s="77"/>
      <c r="BH465" s="77"/>
      <c r="BI465" s="77"/>
    </row>
    <row r="466" spans="1:61" x14ac:dyDescent="0.25">
      <c r="A466" s="62" t="s">
        <v>353</v>
      </c>
      <c r="B466" s="62" t="s">
        <v>353</v>
      </c>
      <c r="C466" s="63"/>
      <c r="D466" s="64"/>
      <c r="E466" s="65"/>
      <c r="F466" s="66"/>
      <c r="G466" s="63"/>
      <c r="H466" s="67"/>
      <c r="I466" s="68"/>
      <c r="J466" s="68"/>
      <c r="K466" s="32"/>
      <c r="L466" s="75">
        <v>466</v>
      </c>
      <c r="M466" s="75"/>
      <c r="N466" s="70"/>
      <c r="O466" s="77" t="s">
        <v>179</v>
      </c>
      <c r="P466" s="79">
        <v>45182.5</v>
      </c>
      <c r="Q466" s="77" t="s">
        <v>1576</v>
      </c>
      <c r="R466" s="77">
        <v>0</v>
      </c>
      <c r="S466" s="77">
        <v>0</v>
      </c>
      <c r="T466" s="77">
        <v>0</v>
      </c>
      <c r="U466" s="77">
        <v>0</v>
      </c>
      <c r="V466" s="77">
        <v>9</v>
      </c>
      <c r="W466" s="82" t="s">
        <v>4383</v>
      </c>
      <c r="X466" s="80" t="str">
        <f>HYPERLINK("http://www.williamhunt.com.br/completo")</f>
        <v>http://www.williamhunt.com.br/completo</v>
      </c>
      <c r="Y466" s="77" t="s">
        <v>6002</v>
      </c>
      <c r="Z466" s="77"/>
      <c r="AA466" s="77" t="s">
        <v>6391</v>
      </c>
      <c r="AB466" s="77" t="s">
        <v>7696</v>
      </c>
      <c r="AC466" s="82" t="s">
        <v>7706</v>
      </c>
      <c r="AD466" s="77" t="s">
        <v>7745</v>
      </c>
      <c r="AE466" s="80" t="str">
        <f>HYPERLINK("https://twitter.com/williamhuntbr/status/1701928714274037999")</f>
        <v>https://twitter.com/williamhuntbr/status/1701928714274037999</v>
      </c>
      <c r="AF466" s="79">
        <v>45182.5</v>
      </c>
      <c r="AG466" s="85">
        <v>45182</v>
      </c>
      <c r="AH466" s="82" t="s">
        <v>8143</v>
      </c>
      <c r="AI466" s="77" t="b">
        <v>0</v>
      </c>
      <c r="AJ466" s="77"/>
      <c r="AK466" s="77"/>
      <c r="AL466" s="77"/>
      <c r="AM466" s="77"/>
      <c r="AN466" s="77"/>
      <c r="AO466" s="77"/>
      <c r="AP466" s="77"/>
      <c r="AQ466" s="77" t="s">
        <v>10898</v>
      </c>
      <c r="AR466" s="77"/>
      <c r="AS466" s="77"/>
      <c r="AT466" s="77"/>
      <c r="AU466" s="77"/>
      <c r="AV466" s="80" t="str">
        <f>HYPERLINK("https://pbs.twimg.com/media/F5NgI5MXIAAf6Em.jpg")</f>
        <v>https://pbs.twimg.com/media/F5NgI5MXIAAf6Em.jpg</v>
      </c>
      <c r="AW466" s="82" t="s">
        <v>12661</v>
      </c>
      <c r="AX466" s="82" t="s">
        <v>12661</v>
      </c>
      <c r="AY466" s="77"/>
      <c r="AZ466" s="82" t="s">
        <v>15804</v>
      </c>
      <c r="BA466" s="82" t="s">
        <v>15804</v>
      </c>
      <c r="BB466" s="82" t="s">
        <v>15804</v>
      </c>
      <c r="BC466" s="82" t="s">
        <v>12661</v>
      </c>
      <c r="BD466" s="82" t="s">
        <v>16208</v>
      </c>
      <c r="BE466" s="77"/>
      <c r="BF466" s="77"/>
      <c r="BG466" s="77"/>
      <c r="BH466" s="77"/>
      <c r="BI466" s="77"/>
    </row>
    <row r="467" spans="1:61" x14ac:dyDescent="0.25">
      <c r="A467" s="62" t="s">
        <v>353</v>
      </c>
      <c r="B467" s="62" t="s">
        <v>353</v>
      </c>
      <c r="C467" s="63"/>
      <c r="D467" s="64"/>
      <c r="E467" s="65"/>
      <c r="F467" s="66"/>
      <c r="G467" s="63"/>
      <c r="H467" s="67"/>
      <c r="I467" s="68"/>
      <c r="J467" s="68"/>
      <c r="K467" s="32"/>
      <c r="L467" s="75">
        <v>467</v>
      </c>
      <c r="M467" s="75"/>
      <c r="N467" s="70"/>
      <c r="O467" s="77" t="s">
        <v>179</v>
      </c>
      <c r="P467" s="79">
        <v>45152.500011574077</v>
      </c>
      <c r="Q467" s="77" t="s">
        <v>1577</v>
      </c>
      <c r="R467" s="77">
        <v>0</v>
      </c>
      <c r="S467" s="77">
        <v>0</v>
      </c>
      <c r="T467" s="77">
        <v>0</v>
      </c>
      <c r="U467" s="77">
        <v>0</v>
      </c>
      <c r="V467" s="77">
        <v>8</v>
      </c>
      <c r="W467" s="82" t="s">
        <v>4384</v>
      </c>
      <c r="X467" s="80" t="str">
        <f>HYPERLINK("http://www.williamhunt.com.br/completo")</f>
        <v>http://www.williamhunt.com.br/completo</v>
      </c>
      <c r="Y467" s="77" t="s">
        <v>6002</v>
      </c>
      <c r="Z467" s="77"/>
      <c r="AA467" s="77" t="s">
        <v>6392</v>
      </c>
      <c r="AB467" s="77" t="s">
        <v>7696</v>
      </c>
      <c r="AC467" s="82" t="s">
        <v>7706</v>
      </c>
      <c r="AD467" s="77" t="s">
        <v>7745</v>
      </c>
      <c r="AE467" s="80" t="str">
        <f>HYPERLINK("https://twitter.com/williamhuntbr/status/1691057082143776768")</f>
        <v>https://twitter.com/williamhuntbr/status/1691057082143776768</v>
      </c>
      <c r="AF467" s="79">
        <v>45152.500011574077</v>
      </c>
      <c r="AG467" s="85">
        <v>45152</v>
      </c>
      <c r="AH467" s="82" t="s">
        <v>7923</v>
      </c>
      <c r="AI467" s="77" t="b">
        <v>0</v>
      </c>
      <c r="AJ467" s="77"/>
      <c r="AK467" s="77"/>
      <c r="AL467" s="77"/>
      <c r="AM467" s="77"/>
      <c r="AN467" s="77"/>
      <c r="AO467" s="77"/>
      <c r="AP467" s="77"/>
      <c r="AQ467" s="77" t="s">
        <v>10899</v>
      </c>
      <c r="AR467" s="77"/>
      <c r="AS467" s="77"/>
      <c r="AT467" s="77"/>
      <c r="AU467" s="77"/>
      <c r="AV467" s="80" t="str">
        <f>HYPERLINK("https://pbs.twimg.com/media/F3BvZlaXEAEal3I.jpg")</f>
        <v>https://pbs.twimg.com/media/F3BvZlaXEAEal3I.jpg</v>
      </c>
      <c r="AW467" s="82" t="s">
        <v>12662</v>
      </c>
      <c r="AX467" s="82" t="s">
        <v>12662</v>
      </c>
      <c r="AY467" s="77"/>
      <c r="AZ467" s="82" t="s">
        <v>15804</v>
      </c>
      <c r="BA467" s="82" t="s">
        <v>15804</v>
      </c>
      <c r="BB467" s="82" t="s">
        <v>15804</v>
      </c>
      <c r="BC467" s="82" t="s">
        <v>12662</v>
      </c>
      <c r="BD467" s="82" t="s">
        <v>16208</v>
      </c>
      <c r="BE467" s="77"/>
      <c r="BF467" s="77"/>
      <c r="BG467" s="77"/>
      <c r="BH467" s="77"/>
      <c r="BI467" s="77"/>
    </row>
    <row r="468" spans="1:61" x14ac:dyDescent="0.25">
      <c r="A468" s="62" t="s">
        <v>353</v>
      </c>
      <c r="B468" s="62" t="s">
        <v>353</v>
      </c>
      <c r="C468" s="63"/>
      <c r="D468" s="64"/>
      <c r="E468" s="65"/>
      <c r="F468" s="66"/>
      <c r="G468" s="63"/>
      <c r="H468" s="67"/>
      <c r="I468" s="68"/>
      <c r="J468" s="68"/>
      <c r="K468" s="32"/>
      <c r="L468" s="75">
        <v>468</v>
      </c>
      <c r="M468" s="75"/>
      <c r="N468" s="70"/>
      <c r="O468" s="77" t="s">
        <v>179</v>
      </c>
      <c r="P468" s="79">
        <v>45147.500023148146</v>
      </c>
      <c r="Q468" s="77" t="s">
        <v>1578</v>
      </c>
      <c r="R468" s="77">
        <v>0</v>
      </c>
      <c r="S468" s="77">
        <v>0</v>
      </c>
      <c r="T468" s="77">
        <v>0</v>
      </c>
      <c r="U468" s="77">
        <v>0</v>
      </c>
      <c r="V468" s="77">
        <v>22</v>
      </c>
      <c r="W468" s="82" t="s">
        <v>4385</v>
      </c>
      <c r="X468" s="80" t="str">
        <f>HYPERLINK("http://www.williamhunt.com.br/completo")</f>
        <v>http://www.williamhunt.com.br/completo</v>
      </c>
      <c r="Y468" s="77" t="s">
        <v>6002</v>
      </c>
      <c r="Z468" s="77"/>
      <c r="AA468" s="77" t="s">
        <v>6393</v>
      </c>
      <c r="AB468" s="77" t="s">
        <v>7696</v>
      </c>
      <c r="AC468" s="82" t="s">
        <v>7706</v>
      </c>
      <c r="AD468" s="77" t="s">
        <v>7745</v>
      </c>
      <c r="AE468" s="80" t="str">
        <f>HYPERLINK("https://twitter.com/williamhuntbr/status/1689245146867699712")</f>
        <v>https://twitter.com/williamhuntbr/status/1689245146867699712</v>
      </c>
      <c r="AF468" s="79">
        <v>45147.500023148146</v>
      </c>
      <c r="AG468" s="85">
        <v>45147</v>
      </c>
      <c r="AH468" s="82" t="s">
        <v>8128</v>
      </c>
      <c r="AI468" s="77" t="b">
        <v>0</v>
      </c>
      <c r="AJ468" s="77"/>
      <c r="AK468" s="77"/>
      <c r="AL468" s="77"/>
      <c r="AM468" s="77"/>
      <c r="AN468" s="77"/>
      <c r="AO468" s="77"/>
      <c r="AP468" s="77"/>
      <c r="AQ468" s="77" t="s">
        <v>10900</v>
      </c>
      <c r="AR468" s="77"/>
      <c r="AS468" s="77"/>
      <c r="AT468" s="77"/>
      <c r="AU468" s="77"/>
      <c r="AV468" s="80" t="str">
        <f>HYPERLINK("https://pbs.twimg.com/media/F2Epw19XYAE_L1Z.jpg")</f>
        <v>https://pbs.twimg.com/media/F2Epw19XYAE_L1Z.jpg</v>
      </c>
      <c r="AW468" s="82" t="s">
        <v>12663</v>
      </c>
      <c r="AX468" s="82" t="s">
        <v>12663</v>
      </c>
      <c r="AY468" s="77"/>
      <c r="AZ468" s="82" t="s">
        <v>15804</v>
      </c>
      <c r="BA468" s="82" t="s">
        <v>15804</v>
      </c>
      <c r="BB468" s="82" t="s">
        <v>15804</v>
      </c>
      <c r="BC468" s="82" t="s">
        <v>12663</v>
      </c>
      <c r="BD468" s="82" t="s">
        <v>16208</v>
      </c>
      <c r="BE468" s="77"/>
      <c r="BF468" s="77"/>
      <c r="BG468" s="77"/>
      <c r="BH468" s="77"/>
      <c r="BI468" s="77"/>
    </row>
    <row r="469" spans="1:61" x14ac:dyDescent="0.25">
      <c r="A469" s="62" t="s">
        <v>353</v>
      </c>
      <c r="B469" s="62" t="s">
        <v>353</v>
      </c>
      <c r="C469" s="63"/>
      <c r="D469" s="64"/>
      <c r="E469" s="65"/>
      <c r="F469" s="66"/>
      <c r="G469" s="63"/>
      <c r="H469" s="67"/>
      <c r="I469" s="68"/>
      <c r="J469" s="68"/>
      <c r="K469" s="32"/>
      <c r="L469" s="75">
        <v>469</v>
      </c>
      <c r="M469" s="75"/>
      <c r="N469" s="70"/>
      <c r="O469" s="77" t="s">
        <v>179</v>
      </c>
      <c r="P469" s="79">
        <v>45107.5</v>
      </c>
      <c r="Q469" s="77" t="s">
        <v>1579</v>
      </c>
      <c r="R469" s="77">
        <v>0</v>
      </c>
      <c r="S469" s="77">
        <v>0</v>
      </c>
      <c r="T469" s="77">
        <v>0</v>
      </c>
      <c r="U469" s="77">
        <v>0</v>
      </c>
      <c r="V469" s="77">
        <v>21</v>
      </c>
      <c r="W469" s="82" t="s">
        <v>4386</v>
      </c>
      <c r="X469" s="80" t="str">
        <f>HYPERLINK("https://www.williamhunt.com.br/segredos-dos-investimentos-para-iniciantes")</f>
        <v>https://www.williamhunt.com.br/segredos-dos-investimentos-para-iniciantes</v>
      </c>
      <c r="Y469" s="77" t="s">
        <v>6002</v>
      </c>
      <c r="Z469" s="77"/>
      <c r="AA469" s="77" t="s">
        <v>6394</v>
      </c>
      <c r="AB469" s="77" t="s">
        <v>7696</v>
      </c>
      <c r="AC469" s="82" t="s">
        <v>7706</v>
      </c>
      <c r="AD469" s="77" t="s">
        <v>7745</v>
      </c>
      <c r="AE469" s="80" t="str">
        <f>HYPERLINK("https://twitter.com/williamhuntbr/status/1674749623670394881")</f>
        <v>https://twitter.com/williamhuntbr/status/1674749623670394881</v>
      </c>
      <c r="AF469" s="79">
        <v>45107.5</v>
      </c>
      <c r="AG469" s="85">
        <v>45107</v>
      </c>
      <c r="AH469" s="82" t="s">
        <v>8143</v>
      </c>
      <c r="AI469" s="77" t="b">
        <v>0</v>
      </c>
      <c r="AJ469" s="77"/>
      <c r="AK469" s="77"/>
      <c r="AL469" s="77"/>
      <c r="AM469" s="77"/>
      <c r="AN469" s="77"/>
      <c r="AO469" s="77"/>
      <c r="AP469" s="77"/>
      <c r="AQ469" s="77" t="s">
        <v>10901</v>
      </c>
      <c r="AR469" s="77"/>
      <c r="AS469" s="77"/>
      <c r="AT469" s="77"/>
      <c r="AU469" s="77"/>
      <c r="AV469" s="80" t="str">
        <f>HYPERLINK("https://pbs.twimg.com/media/FzE0X5JWAAECM92.jpg")</f>
        <v>https://pbs.twimg.com/media/FzE0X5JWAAECM92.jpg</v>
      </c>
      <c r="AW469" s="82" t="s">
        <v>12664</v>
      </c>
      <c r="AX469" s="82" t="s">
        <v>12664</v>
      </c>
      <c r="AY469" s="77"/>
      <c r="AZ469" s="82" t="s">
        <v>15804</v>
      </c>
      <c r="BA469" s="82" t="s">
        <v>15804</v>
      </c>
      <c r="BB469" s="82" t="s">
        <v>15804</v>
      </c>
      <c r="BC469" s="82" t="s">
        <v>12664</v>
      </c>
      <c r="BD469" s="82" t="s">
        <v>16208</v>
      </c>
      <c r="BE469" s="77"/>
      <c r="BF469" s="77"/>
      <c r="BG469" s="77"/>
      <c r="BH469" s="77"/>
      <c r="BI469" s="77"/>
    </row>
    <row r="470" spans="1:61" x14ac:dyDescent="0.25">
      <c r="A470" s="62" t="s">
        <v>353</v>
      </c>
      <c r="B470" s="62" t="s">
        <v>353</v>
      </c>
      <c r="C470" s="63"/>
      <c r="D470" s="64"/>
      <c r="E470" s="65"/>
      <c r="F470" s="66"/>
      <c r="G470" s="63"/>
      <c r="H470" s="67"/>
      <c r="I470" s="68"/>
      <c r="J470" s="68"/>
      <c r="K470" s="32"/>
      <c r="L470" s="75">
        <v>470</v>
      </c>
      <c r="M470" s="75"/>
      <c r="N470" s="70"/>
      <c r="O470" s="77" t="s">
        <v>179</v>
      </c>
      <c r="P470" s="79">
        <v>45086.5</v>
      </c>
      <c r="Q470" s="77" t="s">
        <v>1580</v>
      </c>
      <c r="R470" s="77">
        <v>0</v>
      </c>
      <c r="S470" s="77">
        <v>0</v>
      </c>
      <c r="T470" s="77">
        <v>0</v>
      </c>
      <c r="U470" s="77">
        <v>0</v>
      </c>
      <c r="V470" s="77">
        <v>29</v>
      </c>
      <c r="W470" s="82" t="s">
        <v>4387</v>
      </c>
      <c r="X470" s="80" t="str">
        <f>HYPERLINK("https://www.williamhunt.com.br/segredos-dos-investimentos-para-iniciantes")</f>
        <v>https://www.williamhunt.com.br/segredos-dos-investimentos-para-iniciantes</v>
      </c>
      <c r="Y470" s="77" t="s">
        <v>6002</v>
      </c>
      <c r="Z470" s="77"/>
      <c r="AA470" s="77" t="s">
        <v>6395</v>
      </c>
      <c r="AB470" s="77" t="s">
        <v>7696</v>
      </c>
      <c r="AC470" s="82" t="s">
        <v>7706</v>
      </c>
      <c r="AD470" s="77" t="s">
        <v>7745</v>
      </c>
      <c r="AE470" s="80" t="str">
        <f>HYPERLINK("https://twitter.com/williamhuntbr/status/1667139480195670016")</f>
        <v>https://twitter.com/williamhuntbr/status/1667139480195670016</v>
      </c>
      <c r="AF470" s="79">
        <v>45086.5</v>
      </c>
      <c r="AG470" s="85">
        <v>45086</v>
      </c>
      <c r="AH470" s="82" t="s">
        <v>8143</v>
      </c>
      <c r="AI470" s="77" t="b">
        <v>0</v>
      </c>
      <c r="AJ470" s="77"/>
      <c r="AK470" s="77"/>
      <c r="AL470" s="77"/>
      <c r="AM470" s="77"/>
      <c r="AN470" s="77"/>
      <c r="AO470" s="77"/>
      <c r="AP470" s="77"/>
      <c r="AQ470" s="77" t="s">
        <v>10902</v>
      </c>
      <c r="AR470" s="77"/>
      <c r="AS470" s="77"/>
      <c r="AT470" s="77"/>
      <c r="AU470" s="77"/>
      <c r="AV470" s="80" t="str">
        <f>HYPERLINK("https://pbs.twimg.com/media/FyGsYjoWcAIwRaa.jpg")</f>
        <v>https://pbs.twimg.com/media/FyGsYjoWcAIwRaa.jpg</v>
      </c>
      <c r="AW470" s="82" t="s">
        <v>12665</v>
      </c>
      <c r="AX470" s="82" t="s">
        <v>12665</v>
      </c>
      <c r="AY470" s="77"/>
      <c r="AZ470" s="82" t="s">
        <v>15804</v>
      </c>
      <c r="BA470" s="82" t="s">
        <v>15804</v>
      </c>
      <c r="BB470" s="82" t="s">
        <v>15804</v>
      </c>
      <c r="BC470" s="82" t="s">
        <v>12665</v>
      </c>
      <c r="BD470" s="82" t="s">
        <v>16208</v>
      </c>
      <c r="BE470" s="77"/>
      <c r="BF470" s="77"/>
      <c r="BG470" s="77"/>
      <c r="BH470" s="77"/>
      <c r="BI470" s="77"/>
    </row>
    <row r="471" spans="1:61" x14ac:dyDescent="0.25">
      <c r="A471" s="62" t="s">
        <v>353</v>
      </c>
      <c r="B471" s="62" t="s">
        <v>353</v>
      </c>
      <c r="C471" s="63"/>
      <c r="D471" s="64"/>
      <c r="E471" s="65"/>
      <c r="F471" s="66"/>
      <c r="G471" s="63"/>
      <c r="H471" s="67"/>
      <c r="I471" s="68"/>
      <c r="J471" s="68"/>
      <c r="K471" s="32"/>
      <c r="L471" s="75">
        <v>471</v>
      </c>
      <c r="M471" s="75"/>
      <c r="N471" s="70"/>
      <c r="O471" s="77" t="s">
        <v>179</v>
      </c>
      <c r="P471" s="79">
        <v>45063.500023148146</v>
      </c>
      <c r="Q471" s="77" t="s">
        <v>1581</v>
      </c>
      <c r="R471" s="77">
        <v>0</v>
      </c>
      <c r="S471" s="77">
        <v>0</v>
      </c>
      <c r="T471" s="77">
        <v>0</v>
      </c>
      <c r="U471" s="77">
        <v>0</v>
      </c>
      <c r="V471" s="77">
        <v>8</v>
      </c>
      <c r="W471" s="82" t="s">
        <v>4324</v>
      </c>
      <c r="X471" s="80" t="str">
        <f>HYPERLINK("https://www.williamhunt.com.br/segredos-dos-investimentos-para-iniciantes")</f>
        <v>https://www.williamhunt.com.br/segredos-dos-investimentos-para-iniciantes</v>
      </c>
      <c r="Y471" s="77" t="s">
        <v>6002</v>
      </c>
      <c r="Z471" s="77"/>
      <c r="AA471" s="77" t="s">
        <v>6396</v>
      </c>
      <c r="AB471" s="77" t="s">
        <v>7696</v>
      </c>
      <c r="AC471" s="82" t="s">
        <v>7706</v>
      </c>
      <c r="AD471" s="77" t="s">
        <v>7745</v>
      </c>
      <c r="AE471" s="80" t="str">
        <f>HYPERLINK("https://twitter.com/williamhuntbr/status/1658804568283545602")</f>
        <v>https://twitter.com/williamhuntbr/status/1658804568283545602</v>
      </c>
      <c r="AF471" s="79">
        <v>45063.500023148146</v>
      </c>
      <c r="AG471" s="85">
        <v>45063</v>
      </c>
      <c r="AH471" s="82" t="s">
        <v>8128</v>
      </c>
      <c r="AI471" s="77" t="b">
        <v>0</v>
      </c>
      <c r="AJ471" s="77"/>
      <c r="AK471" s="77"/>
      <c r="AL471" s="77"/>
      <c r="AM471" s="77"/>
      <c r="AN471" s="77"/>
      <c r="AO471" s="77"/>
      <c r="AP471" s="77"/>
      <c r="AQ471" s="77" t="s">
        <v>10903</v>
      </c>
      <c r="AR471" s="77"/>
      <c r="AS471" s="77"/>
      <c r="AT471" s="77"/>
      <c r="AU471" s="77"/>
      <c r="AV471" s="80" t="str">
        <f>HYPERLINK("https://pbs.twimg.com/media/Fv33mvfWcBU4Txc.jpg")</f>
        <v>https://pbs.twimg.com/media/Fv33mvfWcBU4Txc.jpg</v>
      </c>
      <c r="AW471" s="82" t="s">
        <v>12666</v>
      </c>
      <c r="AX471" s="82" t="s">
        <v>12666</v>
      </c>
      <c r="AY471" s="77"/>
      <c r="AZ471" s="82" t="s">
        <v>15804</v>
      </c>
      <c r="BA471" s="82" t="s">
        <v>15804</v>
      </c>
      <c r="BB471" s="82" t="s">
        <v>15804</v>
      </c>
      <c r="BC471" s="82" t="s">
        <v>12666</v>
      </c>
      <c r="BD471" s="82" t="s">
        <v>16208</v>
      </c>
      <c r="BE471" s="77"/>
      <c r="BF471" s="77"/>
      <c r="BG471" s="77"/>
      <c r="BH471" s="77"/>
      <c r="BI471" s="77"/>
    </row>
    <row r="472" spans="1:61" x14ac:dyDescent="0.25">
      <c r="A472" s="62" t="s">
        <v>353</v>
      </c>
      <c r="B472" s="62" t="s">
        <v>353</v>
      </c>
      <c r="C472" s="63"/>
      <c r="D472" s="64"/>
      <c r="E472" s="65"/>
      <c r="F472" s="66"/>
      <c r="G472" s="63"/>
      <c r="H472" s="67"/>
      <c r="I472" s="68"/>
      <c r="J472" s="68"/>
      <c r="K472" s="32"/>
      <c r="L472" s="75">
        <v>472</v>
      </c>
      <c r="M472" s="75"/>
      <c r="N472" s="70"/>
      <c r="O472" s="77" t="s">
        <v>179</v>
      </c>
      <c r="P472" s="79">
        <v>45061.5</v>
      </c>
      <c r="Q472" s="77" t="s">
        <v>1582</v>
      </c>
      <c r="R472" s="77">
        <v>0</v>
      </c>
      <c r="S472" s="77">
        <v>0</v>
      </c>
      <c r="T472" s="77">
        <v>0</v>
      </c>
      <c r="U472" s="77">
        <v>0</v>
      </c>
      <c r="V472" s="77">
        <v>14</v>
      </c>
      <c r="W472" s="82" t="s">
        <v>4388</v>
      </c>
      <c r="X472" s="80" t="str">
        <f>HYPERLINK("https://www.williamhunt.com.br/segredos-dos-investimentos-para-iniciantes")</f>
        <v>https://www.williamhunt.com.br/segredos-dos-investimentos-para-iniciantes</v>
      </c>
      <c r="Y472" s="77" t="s">
        <v>6002</v>
      </c>
      <c r="Z472" s="77"/>
      <c r="AA472" s="77" t="s">
        <v>6397</v>
      </c>
      <c r="AB472" s="77" t="s">
        <v>7698</v>
      </c>
      <c r="AC472" s="82" t="s">
        <v>7706</v>
      </c>
      <c r="AD472" s="77" t="s">
        <v>7745</v>
      </c>
      <c r="AE472" s="80" t="str">
        <f>HYPERLINK("https://twitter.com/williamhuntbr/status/1658079782343675906")</f>
        <v>https://twitter.com/williamhuntbr/status/1658079782343675906</v>
      </c>
      <c r="AF472" s="79">
        <v>45061.5</v>
      </c>
      <c r="AG472" s="85">
        <v>45061</v>
      </c>
      <c r="AH472" s="82" t="s">
        <v>8143</v>
      </c>
      <c r="AI472" s="77" t="b">
        <v>0</v>
      </c>
      <c r="AJ472" s="77"/>
      <c r="AK472" s="77"/>
      <c r="AL472" s="77"/>
      <c r="AM472" s="77"/>
      <c r="AN472" s="77"/>
      <c r="AO472" s="77"/>
      <c r="AP472" s="77"/>
      <c r="AQ472" s="77" t="s">
        <v>10904</v>
      </c>
      <c r="AR472" s="77"/>
      <c r="AS472" s="77"/>
      <c r="AT472" s="77"/>
      <c r="AU472" s="77"/>
      <c r="AV472" s="80" t="str">
        <f>HYPERLINK("https://pbs.twimg.com/media/Fv2R5uZXgAAK-Re.jpg")</f>
        <v>https://pbs.twimg.com/media/Fv2R5uZXgAAK-Re.jpg</v>
      </c>
      <c r="AW472" s="82" t="s">
        <v>12667</v>
      </c>
      <c r="AX472" s="82" t="s">
        <v>12667</v>
      </c>
      <c r="AY472" s="77"/>
      <c r="AZ472" s="82" t="s">
        <v>15804</v>
      </c>
      <c r="BA472" s="82" t="s">
        <v>15804</v>
      </c>
      <c r="BB472" s="82" t="s">
        <v>15804</v>
      </c>
      <c r="BC472" s="82" t="s">
        <v>12667</v>
      </c>
      <c r="BD472" s="82" t="s">
        <v>16208</v>
      </c>
      <c r="BE472" s="77"/>
      <c r="BF472" s="77"/>
      <c r="BG472" s="77"/>
      <c r="BH472" s="77"/>
      <c r="BI472" s="77"/>
    </row>
    <row r="473" spans="1:61" x14ac:dyDescent="0.25">
      <c r="A473" s="62" t="s">
        <v>353</v>
      </c>
      <c r="B473" s="62" t="s">
        <v>353</v>
      </c>
      <c r="C473" s="63"/>
      <c r="D473" s="64"/>
      <c r="E473" s="65"/>
      <c r="F473" s="66"/>
      <c r="G473" s="63"/>
      <c r="H473" s="67"/>
      <c r="I473" s="68"/>
      <c r="J473" s="68"/>
      <c r="K473" s="32"/>
      <c r="L473" s="75">
        <v>473</v>
      </c>
      <c r="M473" s="75"/>
      <c r="N473" s="70"/>
      <c r="O473" s="77" t="s">
        <v>179</v>
      </c>
      <c r="P473" s="79">
        <v>45012.649027777778</v>
      </c>
      <c r="Q473" s="77" t="s">
        <v>1583</v>
      </c>
      <c r="R473" s="77">
        <v>0</v>
      </c>
      <c r="S473" s="77">
        <v>0</v>
      </c>
      <c r="T473" s="77">
        <v>0</v>
      </c>
      <c r="U473" s="77">
        <v>0</v>
      </c>
      <c r="V473" s="77">
        <v>17</v>
      </c>
      <c r="W473" s="82" t="s">
        <v>4389</v>
      </c>
      <c r="X473" s="80" t="str">
        <f>HYPERLINK("http://www.williamhunt.com.br/segredos-dos-investimentos-para-iniciantes")</f>
        <v>http://www.williamhunt.com.br/segredos-dos-investimentos-para-iniciantes</v>
      </c>
      <c r="Y473" s="77" t="s">
        <v>6002</v>
      </c>
      <c r="Z473" s="77"/>
      <c r="AA473" s="77" t="s">
        <v>6398</v>
      </c>
      <c r="AB473" s="77" t="s">
        <v>7698</v>
      </c>
      <c r="AC473" s="82" t="s">
        <v>7706</v>
      </c>
      <c r="AD473" s="77" t="s">
        <v>7745</v>
      </c>
      <c r="AE473" s="80" t="str">
        <f>HYPERLINK("https://twitter.com/williamhuntbr/status/1640376781675851778")</f>
        <v>https://twitter.com/williamhuntbr/status/1640376781675851778</v>
      </c>
      <c r="AF473" s="79">
        <v>45012.649027777778</v>
      </c>
      <c r="AG473" s="85">
        <v>45012</v>
      </c>
      <c r="AH473" s="82" t="s">
        <v>8165</v>
      </c>
      <c r="AI473" s="77" t="b">
        <v>0</v>
      </c>
      <c r="AJ473" s="77"/>
      <c r="AK473" s="77"/>
      <c r="AL473" s="77"/>
      <c r="AM473" s="77"/>
      <c r="AN473" s="77"/>
      <c r="AO473" s="77"/>
      <c r="AP473" s="77"/>
      <c r="AQ473" s="77" t="s">
        <v>10905</v>
      </c>
      <c r="AR473" s="77"/>
      <c r="AS473" s="77"/>
      <c r="AT473" s="77"/>
      <c r="AU473" s="77"/>
      <c r="AV473" s="80" t="str">
        <f>HYPERLINK("https://pbs.twimg.com/media/FsPJ8xjWIAA0xyk.jpg")</f>
        <v>https://pbs.twimg.com/media/FsPJ8xjWIAA0xyk.jpg</v>
      </c>
      <c r="AW473" s="82" t="s">
        <v>12668</v>
      </c>
      <c r="AX473" s="82" t="s">
        <v>12668</v>
      </c>
      <c r="AY473" s="77"/>
      <c r="AZ473" s="82" t="s">
        <v>15804</v>
      </c>
      <c r="BA473" s="82" t="s">
        <v>15804</v>
      </c>
      <c r="BB473" s="82" t="s">
        <v>15804</v>
      </c>
      <c r="BC473" s="82" t="s">
        <v>12668</v>
      </c>
      <c r="BD473" s="82" t="s">
        <v>16208</v>
      </c>
      <c r="BE473" s="77"/>
      <c r="BF473" s="77"/>
      <c r="BG473" s="77"/>
      <c r="BH473" s="77"/>
      <c r="BI473" s="77"/>
    </row>
    <row r="474" spans="1:61" x14ac:dyDescent="0.25">
      <c r="A474" s="62" t="s">
        <v>353</v>
      </c>
      <c r="B474" s="62" t="s">
        <v>353</v>
      </c>
      <c r="C474" s="63"/>
      <c r="D474" s="64"/>
      <c r="E474" s="65"/>
      <c r="F474" s="66"/>
      <c r="G474" s="63"/>
      <c r="H474" s="67"/>
      <c r="I474" s="68"/>
      <c r="J474" s="68"/>
      <c r="K474" s="32"/>
      <c r="L474" s="75">
        <v>474</v>
      </c>
      <c r="M474" s="75"/>
      <c r="N474" s="70"/>
      <c r="O474" s="77" t="s">
        <v>179</v>
      </c>
      <c r="P474" s="79">
        <v>45009.626458333332</v>
      </c>
      <c r="Q474" s="77" t="s">
        <v>1584</v>
      </c>
      <c r="R474" s="77">
        <v>0</v>
      </c>
      <c r="S474" s="77">
        <v>0</v>
      </c>
      <c r="T474" s="77">
        <v>0</v>
      </c>
      <c r="U474" s="77">
        <v>0</v>
      </c>
      <c r="V474" s="77">
        <v>46</v>
      </c>
      <c r="W474" s="82" t="s">
        <v>4390</v>
      </c>
      <c r="X474" s="77"/>
      <c r="Y474" s="77"/>
      <c r="Z474" s="77"/>
      <c r="AA474" s="77" t="s">
        <v>6399</v>
      </c>
      <c r="AB474" s="77" t="s">
        <v>7700</v>
      </c>
      <c r="AC474" s="82" t="s">
        <v>7706</v>
      </c>
      <c r="AD474" s="77" t="s">
        <v>7745</v>
      </c>
      <c r="AE474" s="80" t="str">
        <f>HYPERLINK("https://twitter.com/williamhuntbr/status/1639281438716510209")</f>
        <v>https://twitter.com/williamhuntbr/status/1639281438716510209</v>
      </c>
      <c r="AF474" s="79">
        <v>45009.626458333332</v>
      </c>
      <c r="AG474" s="85">
        <v>45009</v>
      </c>
      <c r="AH474" s="82" t="s">
        <v>8166</v>
      </c>
      <c r="AI474" s="77" t="b">
        <v>0</v>
      </c>
      <c r="AJ474" s="77"/>
      <c r="AK474" s="77"/>
      <c r="AL474" s="77"/>
      <c r="AM474" s="77"/>
      <c r="AN474" s="77"/>
      <c r="AO474" s="77"/>
      <c r="AP474" s="77"/>
      <c r="AQ474" s="77" t="s">
        <v>10906</v>
      </c>
      <c r="AR474" s="77"/>
      <c r="AS474" s="77"/>
      <c r="AT474" s="77"/>
      <c r="AU474" s="77"/>
      <c r="AV474" s="80" t="str">
        <f>HYPERLINK("https://pbs.twimg.com/media/Fr_lvLYXsAEKAxJ.jpg")</f>
        <v>https://pbs.twimg.com/media/Fr_lvLYXsAEKAxJ.jpg</v>
      </c>
      <c r="AW474" s="82" t="s">
        <v>12669</v>
      </c>
      <c r="AX474" s="82" t="s">
        <v>12669</v>
      </c>
      <c r="AY474" s="77"/>
      <c r="AZ474" s="82" t="s">
        <v>15804</v>
      </c>
      <c r="BA474" s="82" t="s">
        <v>15804</v>
      </c>
      <c r="BB474" s="82" t="s">
        <v>15804</v>
      </c>
      <c r="BC474" s="82" t="s">
        <v>12669</v>
      </c>
      <c r="BD474" s="82" t="s">
        <v>16208</v>
      </c>
      <c r="BE474" s="77"/>
      <c r="BF474" s="77"/>
      <c r="BG474" s="77"/>
      <c r="BH474" s="77"/>
      <c r="BI474" s="77"/>
    </row>
    <row r="475" spans="1:61" x14ac:dyDescent="0.25">
      <c r="A475" s="62" t="s">
        <v>354</v>
      </c>
      <c r="B475" s="62" t="s">
        <v>891</v>
      </c>
      <c r="C475" s="63"/>
      <c r="D475" s="64"/>
      <c r="E475" s="65"/>
      <c r="F475" s="66"/>
      <c r="G475" s="63"/>
      <c r="H475" s="67"/>
      <c r="I475" s="68"/>
      <c r="J475" s="68"/>
      <c r="K475" s="32"/>
      <c r="L475" s="75">
        <v>475</v>
      </c>
      <c r="M475" s="75"/>
      <c r="N475" s="70"/>
      <c r="O475" s="77" t="s">
        <v>1134</v>
      </c>
      <c r="P475" s="79">
        <v>45180.714942129627</v>
      </c>
      <c r="Q475" s="77" t="s">
        <v>1585</v>
      </c>
      <c r="R475" s="77">
        <v>4</v>
      </c>
      <c r="S475" s="77">
        <v>0</v>
      </c>
      <c r="T475" s="77">
        <v>0</v>
      </c>
      <c r="U475" s="77">
        <v>0</v>
      </c>
      <c r="V475" s="77"/>
      <c r="W475" s="77"/>
      <c r="X475" s="77"/>
      <c r="Y475" s="77"/>
      <c r="Z475" s="77" t="s">
        <v>891</v>
      </c>
      <c r="AA475" s="77"/>
      <c r="AB475" s="77"/>
      <c r="AC475" s="82" t="s">
        <v>7706</v>
      </c>
      <c r="AD475" s="77" t="s">
        <v>7745</v>
      </c>
      <c r="AE475" s="80" t="str">
        <f>HYPERLINK("https://twitter.com/emykey05/status/1701281830765469729")</f>
        <v>https://twitter.com/emykey05/status/1701281830765469729</v>
      </c>
      <c r="AF475" s="79">
        <v>45180.714942129627</v>
      </c>
      <c r="AG475" s="85">
        <v>45180</v>
      </c>
      <c r="AH475" s="82" t="s">
        <v>8167</v>
      </c>
      <c r="AI475" s="77"/>
      <c r="AJ475" s="77"/>
      <c r="AK475" s="77"/>
      <c r="AL475" s="77"/>
      <c r="AM475" s="77"/>
      <c r="AN475" s="77"/>
      <c r="AO475" s="77"/>
      <c r="AP475" s="77"/>
      <c r="AQ475" s="77"/>
      <c r="AR475" s="77"/>
      <c r="AS475" s="77"/>
      <c r="AT475" s="77"/>
      <c r="AU475" s="77"/>
      <c r="AV475" s="80" t="str">
        <f>HYPERLINK("https://pbs.twimg.com/profile_images/1359621541047189514/O3Pb64nd_normal.jpg")</f>
        <v>https://pbs.twimg.com/profile_images/1359621541047189514/O3Pb64nd_normal.jpg</v>
      </c>
      <c r="AW475" s="82" t="s">
        <v>12670</v>
      </c>
      <c r="AX475" s="82" t="s">
        <v>12670</v>
      </c>
      <c r="AY475" s="77"/>
      <c r="AZ475" s="82" t="s">
        <v>15804</v>
      </c>
      <c r="BA475" s="82" t="s">
        <v>15804</v>
      </c>
      <c r="BB475" s="82" t="s">
        <v>14428</v>
      </c>
      <c r="BC475" s="82" t="s">
        <v>14428</v>
      </c>
      <c r="BD475" s="82" t="s">
        <v>16209</v>
      </c>
      <c r="BE475" s="77"/>
      <c r="BF475" s="77"/>
      <c r="BG475" s="77"/>
      <c r="BH475" s="77"/>
      <c r="BI475" s="77"/>
    </row>
    <row r="476" spans="1:61" x14ac:dyDescent="0.25">
      <c r="A476" s="62" t="s">
        <v>355</v>
      </c>
      <c r="B476" s="62" t="s">
        <v>355</v>
      </c>
      <c r="C476" s="63"/>
      <c r="D476" s="64"/>
      <c r="E476" s="65"/>
      <c r="F476" s="66"/>
      <c r="G476" s="63"/>
      <c r="H476" s="67"/>
      <c r="I476" s="68"/>
      <c r="J476" s="68"/>
      <c r="K476" s="32"/>
      <c r="L476" s="75">
        <v>476</v>
      </c>
      <c r="M476" s="75"/>
      <c r="N476" s="70"/>
      <c r="O476" s="77" t="s">
        <v>179</v>
      </c>
      <c r="P476" s="79">
        <v>44974.307812500003</v>
      </c>
      <c r="Q476" s="77" t="s">
        <v>1586</v>
      </c>
      <c r="R476" s="77">
        <v>0</v>
      </c>
      <c r="S476" s="77">
        <v>1</v>
      </c>
      <c r="T476" s="77">
        <v>0</v>
      </c>
      <c r="U476" s="77">
        <v>0</v>
      </c>
      <c r="V476" s="77">
        <v>5</v>
      </c>
      <c r="W476" s="82" t="s">
        <v>4391</v>
      </c>
      <c r="X476" s="80" t="str">
        <f>HYPERLINK("https://agende.segon.pt")</f>
        <v>https://agende.segon.pt</v>
      </c>
      <c r="Y476" s="77" t="s">
        <v>6024</v>
      </c>
      <c r="Z476" s="77"/>
      <c r="AA476" s="77" t="s">
        <v>6400</v>
      </c>
      <c r="AB476" s="77" t="s">
        <v>7696</v>
      </c>
      <c r="AC476" s="82" t="s">
        <v>7709</v>
      </c>
      <c r="AD476" s="77" t="s">
        <v>7745</v>
      </c>
      <c r="AE476" s="80" t="str">
        <f>HYPERLINK("https://twitter.com/cacdazevedo/status/1626482390502629378")</f>
        <v>https://twitter.com/cacdazevedo/status/1626482390502629378</v>
      </c>
      <c r="AF476" s="79">
        <v>44974.307812500003</v>
      </c>
      <c r="AG476" s="85">
        <v>44974</v>
      </c>
      <c r="AH476" s="82" t="s">
        <v>8168</v>
      </c>
      <c r="AI476" s="77" t="b">
        <v>0</v>
      </c>
      <c r="AJ476" s="77"/>
      <c r="AK476" s="77"/>
      <c r="AL476" s="77"/>
      <c r="AM476" s="77"/>
      <c r="AN476" s="77"/>
      <c r="AO476" s="77"/>
      <c r="AP476" s="77"/>
      <c r="AQ476" s="77" t="s">
        <v>10907</v>
      </c>
      <c r="AR476" s="77"/>
      <c r="AS476" s="77"/>
      <c r="AT476" s="77"/>
      <c r="AU476" s="77"/>
      <c r="AV476" s="80" t="str">
        <f>HYPERLINK("https://pbs.twimg.com/media/FpJtHVAXwAMjcFA.jpg")</f>
        <v>https://pbs.twimg.com/media/FpJtHVAXwAMjcFA.jpg</v>
      </c>
      <c r="AW476" s="82" t="s">
        <v>12671</v>
      </c>
      <c r="AX476" s="82" t="s">
        <v>12671</v>
      </c>
      <c r="AY476" s="77"/>
      <c r="AZ476" s="82" t="s">
        <v>15804</v>
      </c>
      <c r="BA476" s="82" t="s">
        <v>15804</v>
      </c>
      <c r="BB476" s="82" t="s">
        <v>15804</v>
      </c>
      <c r="BC476" s="82" t="s">
        <v>12671</v>
      </c>
      <c r="BD476" s="77">
        <v>33044346</v>
      </c>
      <c r="BE476" s="77"/>
      <c r="BF476" s="77"/>
      <c r="BG476" s="77"/>
      <c r="BH476" s="77"/>
      <c r="BI476" s="77"/>
    </row>
    <row r="477" spans="1:61" x14ac:dyDescent="0.25">
      <c r="A477" s="62" t="s">
        <v>355</v>
      </c>
      <c r="B477" s="62" t="s">
        <v>355</v>
      </c>
      <c r="C477" s="63"/>
      <c r="D477" s="64"/>
      <c r="E477" s="65"/>
      <c r="F477" s="66"/>
      <c r="G477" s="63"/>
      <c r="H477" s="67"/>
      <c r="I477" s="68"/>
      <c r="J477" s="68"/>
      <c r="K477" s="32"/>
      <c r="L477" s="75">
        <v>477</v>
      </c>
      <c r="M477" s="75"/>
      <c r="N477" s="70"/>
      <c r="O477" s="77" t="s">
        <v>179</v>
      </c>
      <c r="P477" s="79">
        <v>44991.414305555554</v>
      </c>
      <c r="Q477" s="77" t="s">
        <v>1587</v>
      </c>
      <c r="R477" s="77">
        <v>0</v>
      </c>
      <c r="S477" s="77">
        <v>0</v>
      </c>
      <c r="T477" s="77">
        <v>0</v>
      </c>
      <c r="U477" s="77">
        <v>0</v>
      </c>
      <c r="V477" s="77">
        <v>7</v>
      </c>
      <c r="W477" s="82" t="s">
        <v>4392</v>
      </c>
      <c r="X477" s="77"/>
      <c r="Y477" s="77"/>
      <c r="Z477" s="77"/>
      <c r="AA477" s="77" t="s">
        <v>6401</v>
      </c>
      <c r="AB477" s="77" t="s">
        <v>7696</v>
      </c>
      <c r="AC477" s="82" t="s">
        <v>7709</v>
      </c>
      <c r="AD477" s="77" t="s">
        <v>7745</v>
      </c>
      <c r="AE477" s="80" t="str">
        <f>HYPERLINK("https://twitter.com/cacdazevedo/status/1632681576512253957")</f>
        <v>https://twitter.com/cacdazevedo/status/1632681576512253957</v>
      </c>
      <c r="AF477" s="79">
        <v>44991.414305555554</v>
      </c>
      <c r="AG477" s="85">
        <v>44991</v>
      </c>
      <c r="AH477" s="82" t="s">
        <v>8169</v>
      </c>
      <c r="AI477" s="77" t="b">
        <v>0</v>
      </c>
      <c r="AJ477" s="77"/>
      <c r="AK477" s="77"/>
      <c r="AL477" s="77"/>
      <c r="AM477" s="77"/>
      <c r="AN477" s="77"/>
      <c r="AO477" s="77"/>
      <c r="AP477" s="77"/>
      <c r="AQ477" s="77" t="s">
        <v>10908</v>
      </c>
      <c r="AR477" s="77"/>
      <c r="AS477" s="77"/>
      <c r="AT477" s="77"/>
      <c r="AU477" s="77"/>
      <c r="AV477" s="80" t="str">
        <f>HYPERLINK("https://pbs.twimg.com/media/FqhzPbMXoAA7vqP.jpg")</f>
        <v>https://pbs.twimg.com/media/FqhzPbMXoAA7vqP.jpg</v>
      </c>
      <c r="AW477" s="82" t="s">
        <v>12672</v>
      </c>
      <c r="AX477" s="82" t="s">
        <v>12672</v>
      </c>
      <c r="AY477" s="77"/>
      <c r="AZ477" s="82" t="s">
        <v>15804</v>
      </c>
      <c r="BA477" s="82" t="s">
        <v>15804</v>
      </c>
      <c r="BB477" s="82" t="s">
        <v>15804</v>
      </c>
      <c r="BC477" s="82" t="s">
        <v>12672</v>
      </c>
      <c r="BD477" s="77">
        <v>33044346</v>
      </c>
      <c r="BE477" s="77"/>
      <c r="BF477" s="77"/>
      <c r="BG477" s="77"/>
      <c r="BH477" s="77"/>
      <c r="BI477" s="77"/>
    </row>
    <row r="478" spans="1:61" x14ac:dyDescent="0.25">
      <c r="A478" s="62" t="s">
        <v>355</v>
      </c>
      <c r="B478" s="62" t="s">
        <v>355</v>
      </c>
      <c r="C478" s="63"/>
      <c r="D478" s="64"/>
      <c r="E478" s="65"/>
      <c r="F478" s="66"/>
      <c r="G478" s="63"/>
      <c r="H478" s="67"/>
      <c r="I478" s="68"/>
      <c r="J478" s="68"/>
      <c r="K478" s="32"/>
      <c r="L478" s="75">
        <v>478</v>
      </c>
      <c r="M478" s="75"/>
      <c r="N478" s="70"/>
      <c r="O478" s="77" t="s">
        <v>179</v>
      </c>
      <c r="P478" s="79">
        <v>44959.327777777777</v>
      </c>
      <c r="Q478" s="77" t="s">
        <v>1588</v>
      </c>
      <c r="R478" s="77">
        <v>0</v>
      </c>
      <c r="S478" s="77">
        <v>0</v>
      </c>
      <c r="T478" s="77">
        <v>0</v>
      </c>
      <c r="U478" s="77">
        <v>0</v>
      </c>
      <c r="V478" s="77">
        <v>2</v>
      </c>
      <c r="W478" s="82" t="s">
        <v>4393</v>
      </c>
      <c r="X478" s="77"/>
      <c r="Y478" s="77"/>
      <c r="Z478" s="77"/>
      <c r="AA478" s="77" t="s">
        <v>6402</v>
      </c>
      <c r="AB478" s="77" t="s">
        <v>7699</v>
      </c>
      <c r="AC478" s="82" t="s">
        <v>7706</v>
      </c>
      <c r="AD478" s="77" t="s">
        <v>7745</v>
      </c>
      <c r="AE478" s="80" t="str">
        <f>HYPERLINK("https://twitter.com/cacdazevedo/status/1621053807873642496")</f>
        <v>https://twitter.com/cacdazevedo/status/1621053807873642496</v>
      </c>
      <c r="AF478" s="79">
        <v>44959.327777777777</v>
      </c>
      <c r="AG478" s="85">
        <v>44959</v>
      </c>
      <c r="AH478" s="82" t="s">
        <v>8170</v>
      </c>
      <c r="AI478" s="77" t="b">
        <v>0</v>
      </c>
      <c r="AJ478" s="77"/>
      <c r="AK478" s="77"/>
      <c r="AL478" s="77"/>
      <c r="AM478" s="77"/>
      <c r="AN478" s="77"/>
      <c r="AO478" s="77"/>
      <c r="AP478" s="77"/>
      <c r="AQ478" s="77" t="s">
        <v>10909</v>
      </c>
      <c r="AR478" s="77"/>
      <c r="AS478" s="77"/>
      <c r="AT478" s="77"/>
      <c r="AU478" s="77"/>
      <c r="AV478" s="80" t="str">
        <f>HYPERLINK("https://pbs.twimg.com/tweet_video_thumb/Fn8e6deXEAEnI9O.jpg")</f>
        <v>https://pbs.twimg.com/tweet_video_thumb/Fn8e6deXEAEnI9O.jpg</v>
      </c>
      <c r="AW478" s="82" t="s">
        <v>12673</v>
      </c>
      <c r="AX478" s="82" t="s">
        <v>12673</v>
      </c>
      <c r="AY478" s="77"/>
      <c r="AZ478" s="82" t="s">
        <v>15804</v>
      </c>
      <c r="BA478" s="82" t="s">
        <v>15804</v>
      </c>
      <c r="BB478" s="82" t="s">
        <v>15804</v>
      </c>
      <c r="BC478" s="82" t="s">
        <v>12673</v>
      </c>
      <c r="BD478" s="77">
        <v>33044346</v>
      </c>
      <c r="BE478" s="77"/>
      <c r="BF478" s="77"/>
      <c r="BG478" s="77"/>
      <c r="BH478" s="77"/>
      <c r="BI478" s="77"/>
    </row>
    <row r="479" spans="1:61" x14ac:dyDescent="0.25">
      <c r="A479" s="62" t="s">
        <v>355</v>
      </c>
      <c r="B479" s="62" t="s">
        <v>355</v>
      </c>
      <c r="C479" s="63"/>
      <c r="D479" s="64"/>
      <c r="E479" s="65"/>
      <c r="F479" s="66"/>
      <c r="G479" s="63"/>
      <c r="H479" s="67"/>
      <c r="I479" s="68"/>
      <c r="J479" s="68"/>
      <c r="K479" s="32"/>
      <c r="L479" s="75">
        <v>479</v>
      </c>
      <c r="M479" s="75"/>
      <c r="N479" s="70"/>
      <c r="O479" s="77" t="s">
        <v>179</v>
      </c>
      <c r="P479" s="79">
        <v>44958.332835648151</v>
      </c>
      <c r="Q479" s="77" t="s">
        <v>1589</v>
      </c>
      <c r="R479" s="77">
        <v>0</v>
      </c>
      <c r="S479" s="77">
        <v>0</v>
      </c>
      <c r="T479" s="77">
        <v>0</v>
      </c>
      <c r="U479" s="77">
        <v>0</v>
      </c>
      <c r="V479" s="77"/>
      <c r="W479" s="82" t="s">
        <v>4282</v>
      </c>
      <c r="X479" s="77"/>
      <c r="Y479" s="77"/>
      <c r="Z479" s="77"/>
      <c r="AA479" s="77" t="s">
        <v>6403</v>
      </c>
      <c r="AB479" s="77" t="s">
        <v>7696</v>
      </c>
      <c r="AC479" s="82" t="s">
        <v>7709</v>
      </c>
      <c r="AD479" s="77" t="s">
        <v>7745</v>
      </c>
      <c r="AE479" s="80" t="str">
        <f>HYPERLINK("https://twitter.com/cacdazevedo/status/1620693256227930120")</f>
        <v>https://twitter.com/cacdazevedo/status/1620693256227930120</v>
      </c>
      <c r="AF479" s="79">
        <v>44958.332835648151</v>
      </c>
      <c r="AG479" s="85">
        <v>44958</v>
      </c>
      <c r="AH479" s="82" t="s">
        <v>8171</v>
      </c>
      <c r="AI479" s="77" t="b">
        <v>0</v>
      </c>
      <c r="AJ479" s="77"/>
      <c r="AK479" s="77"/>
      <c r="AL479" s="77"/>
      <c r="AM479" s="77"/>
      <c r="AN479" s="77"/>
      <c r="AO479" s="77"/>
      <c r="AP479" s="77"/>
      <c r="AQ479" s="77" t="s">
        <v>10910</v>
      </c>
      <c r="AR479" s="77"/>
      <c r="AS479" s="77"/>
      <c r="AT479" s="77"/>
      <c r="AU479" s="77"/>
      <c r="AV479" s="80" t="str">
        <f>HYPERLINK("https://pbs.twimg.com/media/Fn3b7XKXwAA_YCh.jpg")</f>
        <v>https://pbs.twimg.com/media/Fn3b7XKXwAA_YCh.jpg</v>
      </c>
      <c r="AW479" s="82" t="s">
        <v>12674</v>
      </c>
      <c r="AX479" s="82" t="s">
        <v>12674</v>
      </c>
      <c r="AY479" s="77"/>
      <c r="AZ479" s="82" t="s">
        <v>15804</v>
      </c>
      <c r="BA479" s="82" t="s">
        <v>15804</v>
      </c>
      <c r="BB479" s="82" t="s">
        <v>15804</v>
      </c>
      <c r="BC479" s="82" t="s">
        <v>12674</v>
      </c>
      <c r="BD479" s="77">
        <v>33044346</v>
      </c>
      <c r="BE479" s="77"/>
      <c r="BF479" s="77"/>
      <c r="BG479" s="77"/>
      <c r="BH479" s="77"/>
      <c r="BI479" s="77"/>
    </row>
    <row r="480" spans="1:61" x14ac:dyDescent="0.25">
      <c r="A480" s="62" t="s">
        <v>355</v>
      </c>
      <c r="B480" s="62" t="s">
        <v>355</v>
      </c>
      <c r="C480" s="63"/>
      <c r="D480" s="64"/>
      <c r="E480" s="65"/>
      <c r="F480" s="66"/>
      <c r="G480" s="63"/>
      <c r="H480" s="67"/>
      <c r="I480" s="68"/>
      <c r="J480" s="68"/>
      <c r="K480" s="32"/>
      <c r="L480" s="75">
        <v>480</v>
      </c>
      <c r="M480" s="75"/>
      <c r="N480" s="70"/>
      <c r="O480" s="77" t="s">
        <v>179</v>
      </c>
      <c r="P480" s="79">
        <v>44956.61619212963</v>
      </c>
      <c r="Q480" s="77" t="s">
        <v>1590</v>
      </c>
      <c r="R480" s="77">
        <v>0</v>
      </c>
      <c r="S480" s="77">
        <v>0</v>
      </c>
      <c r="T480" s="77">
        <v>0</v>
      </c>
      <c r="U480" s="77">
        <v>0</v>
      </c>
      <c r="V480" s="77">
        <v>9</v>
      </c>
      <c r="W480" s="82" t="s">
        <v>4393</v>
      </c>
      <c r="X480" s="77"/>
      <c r="Y480" s="77"/>
      <c r="Z480" s="77"/>
      <c r="AA480" s="77" t="s">
        <v>6404</v>
      </c>
      <c r="AB480" s="77" t="s">
        <v>7696</v>
      </c>
      <c r="AC480" s="82" t="s">
        <v>7709</v>
      </c>
      <c r="AD480" s="77" t="s">
        <v>7745</v>
      </c>
      <c r="AE480" s="80" t="str">
        <f>HYPERLINK("https://twitter.com/cacdazevedo/status/1620071164008701956")</f>
        <v>https://twitter.com/cacdazevedo/status/1620071164008701956</v>
      </c>
      <c r="AF480" s="79">
        <v>44956.61619212963</v>
      </c>
      <c r="AG480" s="85">
        <v>44956</v>
      </c>
      <c r="AH480" s="82" t="s">
        <v>8172</v>
      </c>
      <c r="AI480" s="77" t="b">
        <v>0</v>
      </c>
      <c r="AJ480" s="77"/>
      <c r="AK480" s="77"/>
      <c r="AL480" s="77"/>
      <c r="AM480" s="77"/>
      <c r="AN480" s="77"/>
      <c r="AO480" s="77"/>
      <c r="AP480" s="77"/>
      <c r="AQ480" s="77" t="s">
        <v>10911</v>
      </c>
      <c r="AR480" s="77"/>
      <c r="AS480" s="77"/>
      <c r="AT480" s="77"/>
      <c r="AU480" s="77"/>
      <c r="AV480" s="80" t="str">
        <f>HYPERLINK("https://pbs.twimg.com/media/FnumI3WXEAIOgPB.jpg")</f>
        <v>https://pbs.twimg.com/media/FnumI3WXEAIOgPB.jpg</v>
      </c>
      <c r="AW480" s="82" t="s">
        <v>12675</v>
      </c>
      <c r="AX480" s="82" t="s">
        <v>12675</v>
      </c>
      <c r="AY480" s="77"/>
      <c r="AZ480" s="82" t="s">
        <v>15804</v>
      </c>
      <c r="BA480" s="82" t="s">
        <v>15804</v>
      </c>
      <c r="BB480" s="82" t="s">
        <v>15804</v>
      </c>
      <c r="BC480" s="82" t="s">
        <v>12675</v>
      </c>
      <c r="BD480" s="77">
        <v>33044346</v>
      </c>
      <c r="BE480" s="77"/>
      <c r="BF480" s="77"/>
      <c r="BG480" s="77"/>
      <c r="BH480" s="77"/>
      <c r="BI480" s="77"/>
    </row>
    <row r="481" spans="1:61" x14ac:dyDescent="0.25">
      <c r="A481" s="62" t="s">
        <v>355</v>
      </c>
      <c r="B481" s="62" t="s">
        <v>355</v>
      </c>
      <c r="C481" s="63"/>
      <c r="D481" s="64"/>
      <c r="E481" s="65"/>
      <c r="F481" s="66"/>
      <c r="G481" s="63"/>
      <c r="H481" s="67"/>
      <c r="I481" s="68"/>
      <c r="J481" s="68"/>
      <c r="K481" s="32"/>
      <c r="L481" s="75">
        <v>481</v>
      </c>
      <c r="M481" s="75"/>
      <c r="N481" s="70"/>
      <c r="O481" s="77" t="s">
        <v>179</v>
      </c>
      <c r="P481" s="79">
        <v>44996.442997685182</v>
      </c>
      <c r="Q481" s="77" t="s">
        <v>1591</v>
      </c>
      <c r="R481" s="77">
        <v>0</v>
      </c>
      <c r="S481" s="77">
        <v>0</v>
      </c>
      <c r="T481" s="77">
        <v>0</v>
      </c>
      <c r="U481" s="77">
        <v>0</v>
      </c>
      <c r="V481" s="77">
        <v>6</v>
      </c>
      <c r="W481" s="82" t="s">
        <v>4394</v>
      </c>
      <c r="X481" s="77"/>
      <c r="Y481" s="77"/>
      <c r="Z481" s="77"/>
      <c r="AA481" s="77" t="s">
        <v>6405</v>
      </c>
      <c r="AB481" s="77" t="s">
        <v>7696</v>
      </c>
      <c r="AC481" s="82" t="s">
        <v>7709</v>
      </c>
      <c r="AD481" s="77" t="s">
        <v>7745</v>
      </c>
      <c r="AE481" s="80" t="str">
        <f>HYPERLINK("https://twitter.com/cacdazevedo/status/1634503915189202946")</f>
        <v>https://twitter.com/cacdazevedo/status/1634503915189202946</v>
      </c>
      <c r="AF481" s="79">
        <v>44996.442997685182</v>
      </c>
      <c r="AG481" s="85">
        <v>44996</v>
      </c>
      <c r="AH481" s="82" t="s">
        <v>8173</v>
      </c>
      <c r="AI481" s="77" t="b">
        <v>0</v>
      </c>
      <c r="AJ481" s="77"/>
      <c r="AK481" s="77"/>
      <c r="AL481" s="77"/>
      <c r="AM481" s="77"/>
      <c r="AN481" s="77"/>
      <c r="AO481" s="77"/>
      <c r="AP481" s="77"/>
      <c r="AQ481" s="77" t="s">
        <v>10912</v>
      </c>
      <c r="AR481" s="77"/>
      <c r="AS481" s="77"/>
      <c r="AT481" s="77"/>
      <c r="AU481" s="77"/>
      <c r="AV481" s="80" t="str">
        <f>HYPERLINK("https://pbs.twimg.com/media/Fq7spjsWYAEgWiU.jpg")</f>
        <v>https://pbs.twimg.com/media/Fq7spjsWYAEgWiU.jpg</v>
      </c>
      <c r="AW481" s="82" t="s">
        <v>12676</v>
      </c>
      <c r="AX481" s="82" t="s">
        <v>12676</v>
      </c>
      <c r="AY481" s="77"/>
      <c r="AZ481" s="82" t="s">
        <v>15804</v>
      </c>
      <c r="BA481" s="82" t="s">
        <v>15804</v>
      </c>
      <c r="BB481" s="82" t="s">
        <v>15804</v>
      </c>
      <c r="BC481" s="82" t="s">
        <v>12676</v>
      </c>
      <c r="BD481" s="77">
        <v>33044346</v>
      </c>
      <c r="BE481" s="77"/>
      <c r="BF481" s="77"/>
      <c r="BG481" s="77"/>
      <c r="BH481" s="77"/>
      <c r="BI481" s="77"/>
    </row>
    <row r="482" spans="1:61" x14ac:dyDescent="0.25">
      <c r="A482" s="62" t="s">
        <v>355</v>
      </c>
      <c r="B482" s="62" t="s">
        <v>355</v>
      </c>
      <c r="C482" s="63"/>
      <c r="D482" s="64"/>
      <c r="E482" s="65"/>
      <c r="F482" s="66"/>
      <c r="G482" s="63"/>
      <c r="H482" s="67"/>
      <c r="I482" s="68"/>
      <c r="J482" s="68"/>
      <c r="K482" s="32"/>
      <c r="L482" s="75">
        <v>482</v>
      </c>
      <c r="M482" s="75"/>
      <c r="N482" s="70"/>
      <c r="O482" s="77" t="s">
        <v>179</v>
      </c>
      <c r="P482" s="79">
        <v>45009.392731481479</v>
      </c>
      <c r="Q482" s="77" t="s">
        <v>1592</v>
      </c>
      <c r="R482" s="77">
        <v>0</v>
      </c>
      <c r="S482" s="77">
        <v>0</v>
      </c>
      <c r="T482" s="77">
        <v>0</v>
      </c>
      <c r="U482" s="77">
        <v>0</v>
      </c>
      <c r="V482" s="77">
        <v>2</v>
      </c>
      <c r="W482" s="82" t="s">
        <v>4395</v>
      </c>
      <c r="X482" s="80" t="str">
        <f>HYPERLINK("https://zurl.co/q1C3")</f>
        <v>https://zurl.co/q1C3</v>
      </c>
      <c r="Y482" s="77" t="s">
        <v>6025</v>
      </c>
      <c r="Z482" s="77"/>
      <c r="AA482" s="77" t="s">
        <v>6406</v>
      </c>
      <c r="AB482" s="77" t="s">
        <v>7696</v>
      </c>
      <c r="AC482" s="82" t="s">
        <v>7709</v>
      </c>
      <c r="AD482" s="77" t="s">
        <v>7745</v>
      </c>
      <c r="AE482" s="80" t="str">
        <f>HYPERLINK("https://twitter.com/cacdazevedo/status/1639196741257011205")</f>
        <v>https://twitter.com/cacdazevedo/status/1639196741257011205</v>
      </c>
      <c r="AF482" s="79">
        <v>45009.392731481479</v>
      </c>
      <c r="AG482" s="85">
        <v>45009</v>
      </c>
      <c r="AH482" s="82" t="s">
        <v>8174</v>
      </c>
      <c r="AI482" s="77" t="b">
        <v>0</v>
      </c>
      <c r="AJ482" s="77"/>
      <c r="AK482" s="77"/>
      <c r="AL482" s="77"/>
      <c r="AM482" s="77"/>
      <c r="AN482" s="77"/>
      <c r="AO482" s="77"/>
      <c r="AP482" s="77"/>
      <c r="AQ482" s="77" t="s">
        <v>10913</v>
      </c>
      <c r="AR482" s="77"/>
      <c r="AS482" s="77"/>
      <c r="AT482" s="77"/>
      <c r="AU482" s="77"/>
      <c r="AV482" s="80" t="str">
        <f>HYPERLINK("https://pbs.twimg.com/media/Fr-Yv7JWwAEose1.jpg")</f>
        <v>https://pbs.twimg.com/media/Fr-Yv7JWwAEose1.jpg</v>
      </c>
      <c r="AW482" s="82" t="s">
        <v>12677</v>
      </c>
      <c r="AX482" s="82" t="s">
        <v>12677</v>
      </c>
      <c r="AY482" s="77"/>
      <c r="AZ482" s="82" t="s">
        <v>15804</v>
      </c>
      <c r="BA482" s="82" t="s">
        <v>15804</v>
      </c>
      <c r="BB482" s="82" t="s">
        <v>15804</v>
      </c>
      <c r="BC482" s="82" t="s">
        <v>12677</v>
      </c>
      <c r="BD482" s="77">
        <v>33044346</v>
      </c>
      <c r="BE482" s="77"/>
      <c r="BF482" s="77"/>
      <c r="BG482" s="77"/>
      <c r="BH482" s="77"/>
      <c r="BI482" s="77"/>
    </row>
    <row r="483" spans="1:61" x14ac:dyDescent="0.25">
      <c r="A483" s="62" t="s">
        <v>355</v>
      </c>
      <c r="B483" s="62" t="s">
        <v>355</v>
      </c>
      <c r="C483" s="63"/>
      <c r="D483" s="64"/>
      <c r="E483" s="65"/>
      <c r="F483" s="66"/>
      <c r="G483" s="63"/>
      <c r="H483" s="67"/>
      <c r="I483" s="68"/>
      <c r="J483" s="68"/>
      <c r="K483" s="32"/>
      <c r="L483" s="75">
        <v>483</v>
      </c>
      <c r="M483" s="75"/>
      <c r="N483" s="70"/>
      <c r="O483" s="77" t="s">
        <v>179</v>
      </c>
      <c r="P483" s="79">
        <v>45001.389988425923</v>
      </c>
      <c r="Q483" s="77" t="s">
        <v>1593</v>
      </c>
      <c r="R483" s="77">
        <v>0</v>
      </c>
      <c r="S483" s="77">
        <v>0</v>
      </c>
      <c r="T483" s="77">
        <v>0</v>
      </c>
      <c r="U483" s="77">
        <v>0</v>
      </c>
      <c r="V483" s="77">
        <v>3</v>
      </c>
      <c r="W483" s="82" t="s">
        <v>4396</v>
      </c>
      <c r="X483" s="77"/>
      <c r="Y483" s="77"/>
      <c r="Z483" s="77"/>
      <c r="AA483" s="77" t="s">
        <v>6407</v>
      </c>
      <c r="AB483" s="77" t="s">
        <v>7699</v>
      </c>
      <c r="AC483" s="82" t="s">
        <v>7709</v>
      </c>
      <c r="AD483" s="77" t="s">
        <v>7745</v>
      </c>
      <c r="AE483" s="80" t="str">
        <f>HYPERLINK("https://twitter.com/cacdazevedo/status/1636296644483334145")</f>
        <v>https://twitter.com/cacdazevedo/status/1636296644483334145</v>
      </c>
      <c r="AF483" s="79">
        <v>45001.389988425923</v>
      </c>
      <c r="AG483" s="85">
        <v>45001</v>
      </c>
      <c r="AH483" s="82" t="s">
        <v>8175</v>
      </c>
      <c r="AI483" s="77" t="b">
        <v>0</v>
      </c>
      <c r="AJ483" s="77"/>
      <c r="AK483" s="77"/>
      <c r="AL483" s="77"/>
      <c r="AM483" s="77"/>
      <c r="AN483" s="77"/>
      <c r="AO483" s="77"/>
      <c r="AP483" s="77"/>
      <c r="AQ483" s="77" t="s">
        <v>10914</v>
      </c>
      <c r="AR483" s="77"/>
      <c r="AS483" s="77"/>
      <c r="AT483" s="77"/>
      <c r="AU483" s="77"/>
      <c r="AV483" s="80" t="str">
        <f>HYPERLINK("https://pbs.twimg.com/tweet_video_thumb/FrVLIG-XwAUVC5L.jpg")</f>
        <v>https://pbs.twimg.com/tweet_video_thumb/FrVLIG-XwAUVC5L.jpg</v>
      </c>
      <c r="AW483" s="82" t="s">
        <v>12678</v>
      </c>
      <c r="AX483" s="82" t="s">
        <v>12678</v>
      </c>
      <c r="AY483" s="77"/>
      <c r="AZ483" s="82" t="s">
        <v>15804</v>
      </c>
      <c r="BA483" s="82" t="s">
        <v>15804</v>
      </c>
      <c r="BB483" s="82" t="s">
        <v>15804</v>
      </c>
      <c r="BC483" s="82" t="s">
        <v>12678</v>
      </c>
      <c r="BD483" s="77">
        <v>33044346</v>
      </c>
      <c r="BE483" s="77"/>
      <c r="BF483" s="77"/>
      <c r="BG483" s="77"/>
      <c r="BH483" s="77"/>
      <c r="BI483" s="77"/>
    </row>
    <row r="484" spans="1:61" x14ac:dyDescent="0.25">
      <c r="A484" s="62" t="s">
        <v>355</v>
      </c>
      <c r="B484" s="62" t="s">
        <v>355</v>
      </c>
      <c r="C484" s="63"/>
      <c r="D484" s="64"/>
      <c r="E484" s="65"/>
      <c r="F484" s="66"/>
      <c r="G484" s="63"/>
      <c r="H484" s="67"/>
      <c r="I484" s="68"/>
      <c r="J484" s="68"/>
      <c r="K484" s="32"/>
      <c r="L484" s="75">
        <v>484</v>
      </c>
      <c r="M484" s="75"/>
      <c r="N484" s="70"/>
      <c r="O484" s="77" t="s">
        <v>179</v>
      </c>
      <c r="P484" s="79">
        <v>44942.439641203702</v>
      </c>
      <c r="Q484" s="77" t="s">
        <v>1594</v>
      </c>
      <c r="R484" s="77">
        <v>0</v>
      </c>
      <c r="S484" s="77">
        <v>0</v>
      </c>
      <c r="T484" s="77">
        <v>0</v>
      </c>
      <c r="U484" s="77">
        <v>0</v>
      </c>
      <c r="V484" s="77">
        <v>7</v>
      </c>
      <c r="W484" s="82" t="s">
        <v>4397</v>
      </c>
      <c r="X484" s="80" t="str">
        <f>HYPERLINK("https://zcu.io/Elip")</f>
        <v>https://zcu.io/Elip</v>
      </c>
      <c r="Y484" s="77" t="s">
        <v>6026</v>
      </c>
      <c r="Z484" s="77"/>
      <c r="AA484" s="77" t="s">
        <v>6408</v>
      </c>
      <c r="AB484" s="77" t="s">
        <v>7696</v>
      </c>
      <c r="AC484" s="82" t="s">
        <v>7709</v>
      </c>
      <c r="AD484" s="77" t="s">
        <v>7745</v>
      </c>
      <c r="AE484" s="80" t="str">
        <f>HYPERLINK("https://twitter.com/cacdazevedo/status/1614933755365318658")</f>
        <v>https://twitter.com/cacdazevedo/status/1614933755365318658</v>
      </c>
      <c r="AF484" s="79">
        <v>44942.439641203702</v>
      </c>
      <c r="AG484" s="85">
        <v>44942</v>
      </c>
      <c r="AH484" s="82" t="s">
        <v>8176</v>
      </c>
      <c r="AI484" s="77" t="b">
        <v>0</v>
      </c>
      <c r="AJ484" s="77"/>
      <c r="AK484" s="77"/>
      <c r="AL484" s="77"/>
      <c r="AM484" s="77"/>
      <c r="AN484" s="77"/>
      <c r="AO484" s="77"/>
      <c r="AP484" s="77"/>
      <c r="AQ484" s="77" t="s">
        <v>10915</v>
      </c>
      <c r="AR484" s="77"/>
      <c r="AS484" s="77"/>
      <c r="AT484" s="77"/>
      <c r="AU484" s="77"/>
      <c r="AV484" s="80" t="str">
        <f>HYPERLINK("https://pbs.twimg.com/media/FmllsVgXEAAP6pH.jpg")</f>
        <v>https://pbs.twimg.com/media/FmllsVgXEAAP6pH.jpg</v>
      </c>
      <c r="AW484" s="82" t="s">
        <v>12679</v>
      </c>
      <c r="AX484" s="82" t="s">
        <v>12679</v>
      </c>
      <c r="AY484" s="77"/>
      <c r="AZ484" s="82" t="s">
        <v>15804</v>
      </c>
      <c r="BA484" s="82" t="s">
        <v>15804</v>
      </c>
      <c r="BB484" s="82" t="s">
        <v>15804</v>
      </c>
      <c r="BC484" s="82" t="s">
        <v>12679</v>
      </c>
      <c r="BD484" s="77">
        <v>33044346</v>
      </c>
      <c r="BE484" s="77"/>
      <c r="BF484" s="77"/>
      <c r="BG484" s="77"/>
      <c r="BH484" s="77"/>
      <c r="BI484" s="77"/>
    </row>
    <row r="485" spans="1:61" x14ac:dyDescent="0.25">
      <c r="A485" s="62" t="s">
        <v>355</v>
      </c>
      <c r="B485" s="62" t="s">
        <v>355</v>
      </c>
      <c r="C485" s="63"/>
      <c r="D485" s="64"/>
      <c r="E485" s="65"/>
      <c r="F485" s="66"/>
      <c r="G485" s="63"/>
      <c r="H485" s="67"/>
      <c r="I485" s="68"/>
      <c r="J485" s="68"/>
      <c r="K485" s="32"/>
      <c r="L485" s="75">
        <v>485</v>
      </c>
      <c r="M485" s="75"/>
      <c r="N485" s="70"/>
      <c r="O485" s="77" t="s">
        <v>179</v>
      </c>
      <c r="P485" s="79">
        <v>45026.399131944447</v>
      </c>
      <c r="Q485" s="77" t="s">
        <v>1595</v>
      </c>
      <c r="R485" s="77">
        <v>0</v>
      </c>
      <c r="S485" s="77">
        <v>0</v>
      </c>
      <c r="T485" s="77">
        <v>0</v>
      </c>
      <c r="U485" s="77">
        <v>0</v>
      </c>
      <c r="V485" s="77">
        <v>16</v>
      </c>
      <c r="W485" s="82" t="s">
        <v>4398</v>
      </c>
      <c r="X485" s="77"/>
      <c r="Y485" s="77"/>
      <c r="Z485" s="77"/>
      <c r="AA485" s="77" t="s">
        <v>6409</v>
      </c>
      <c r="AB485" s="77" t="s">
        <v>7696</v>
      </c>
      <c r="AC485" s="82" t="s">
        <v>7709</v>
      </c>
      <c r="AD485" s="77" t="s">
        <v>7745</v>
      </c>
      <c r="AE485" s="80" t="str">
        <f>HYPERLINK("https://twitter.com/cacdazevedo/status/1645359654061461504")</f>
        <v>https://twitter.com/cacdazevedo/status/1645359654061461504</v>
      </c>
      <c r="AF485" s="79">
        <v>45026.399131944447</v>
      </c>
      <c r="AG485" s="85">
        <v>45026</v>
      </c>
      <c r="AH485" s="82" t="s">
        <v>8177</v>
      </c>
      <c r="AI485" s="77" t="b">
        <v>0</v>
      </c>
      <c r="AJ485" s="77"/>
      <c r="AK485" s="77"/>
      <c r="AL485" s="77"/>
      <c r="AM485" s="77"/>
      <c r="AN485" s="77"/>
      <c r="AO485" s="77"/>
      <c r="AP485" s="77"/>
      <c r="AQ485" s="77" t="s">
        <v>10916</v>
      </c>
      <c r="AR485" s="77"/>
      <c r="AS485" s="77"/>
      <c r="AT485" s="77"/>
      <c r="AU485" s="77"/>
      <c r="AV485" s="80" t="str">
        <f>HYPERLINK("https://pbs.twimg.com/media/FtV94sKWIAM0wlN.jpg")</f>
        <v>https://pbs.twimg.com/media/FtV94sKWIAM0wlN.jpg</v>
      </c>
      <c r="AW485" s="82" t="s">
        <v>12680</v>
      </c>
      <c r="AX485" s="82" t="s">
        <v>12680</v>
      </c>
      <c r="AY485" s="77"/>
      <c r="AZ485" s="82" t="s">
        <v>15804</v>
      </c>
      <c r="BA485" s="82" t="s">
        <v>15804</v>
      </c>
      <c r="BB485" s="82" t="s">
        <v>15804</v>
      </c>
      <c r="BC485" s="82" t="s">
        <v>12680</v>
      </c>
      <c r="BD485" s="77">
        <v>33044346</v>
      </c>
      <c r="BE485" s="77"/>
      <c r="BF485" s="77"/>
      <c r="BG485" s="77"/>
      <c r="BH485" s="77"/>
      <c r="BI485" s="77"/>
    </row>
    <row r="486" spans="1:61" x14ac:dyDescent="0.25">
      <c r="A486" s="62" t="s">
        <v>355</v>
      </c>
      <c r="B486" s="62" t="s">
        <v>355</v>
      </c>
      <c r="C486" s="63"/>
      <c r="D486" s="64"/>
      <c r="E486" s="65"/>
      <c r="F486" s="66"/>
      <c r="G486" s="63"/>
      <c r="H486" s="67"/>
      <c r="I486" s="68"/>
      <c r="J486" s="68"/>
      <c r="K486" s="32"/>
      <c r="L486" s="75">
        <v>486</v>
      </c>
      <c r="M486" s="75"/>
      <c r="N486" s="70"/>
      <c r="O486" s="77" t="s">
        <v>179</v>
      </c>
      <c r="P486" s="79">
        <v>45022.292291666665</v>
      </c>
      <c r="Q486" s="77" t="s">
        <v>1596</v>
      </c>
      <c r="R486" s="77">
        <v>0</v>
      </c>
      <c r="S486" s="77">
        <v>0</v>
      </c>
      <c r="T486" s="77">
        <v>0</v>
      </c>
      <c r="U486" s="77">
        <v>0</v>
      </c>
      <c r="V486" s="77">
        <v>10</v>
      </c>
      <c r="W486" s="82" t="s">
        <v>4393</v>
      </c>
      <c r="X486" s="77"/>
      <c r="Y486" s="77"/>
      <c r="Z486" s="77"/>
      <c r="AA486" s="77" t="s">
        <v>6410</v>
      </c>
      <c r="AB486" s="77" t="s">
        <v>7696</v>
      </c>
      <c r="AC486" s="82" t="s">
        <v>7709</v>
      </c>
      <c r="AD486" s="77" t="s">
        <v>7745</v>
      </c>
      <c r="AE486" s="80" t="str">
        <f>HYPERLINK("https://twitter.com/cacdazevedo/status/1643871383049457666")</f>
        <v>https://twitter.com/cacdazevedo/status/1643871383049457666</v>
      </c>
      <c r="AF486" s="79">
        <v>45022.292291666665</v>
      </c>
      <c r="AG486" s="85">
        <v>45022</v>
      </c>
      <c r="AH486" s="82" t="s">
        <v>8178</v>
      </c>
      <c r="AI486" s="77" t="b">
        <v>0</v>
      </c>
      <c r="AJ486" s="77"/>
      <c r="AK486" s="77"/>
      <c r="AL486" s="77"/>
      <c r="AM486" s="77"/>
      <c r="AN486" s="77"/>
      <c r="AO486" s="77"/>
      <c r="AP486" s="77"/>
      <c r="AQ486" s="77" t="s">
        <v>10917</v>
      </c>
      <c r="AR486" s="77"/>
      <c r="AS486" s="77"/>
      <c r="AT486" s="77"/>
      <c r="AU486" s="77"/>
      <c r="AV486" s="80" t="str">
        <f>HYPERLINK("https://pbs.twimg.com/media/FtA0T60XoAA1k6M.jpg")</f>
        <v>https://pbs.twimg.com/media/FtA0T60XoAA1k6M.jpg</v>
      </c>
      <c r="AW486" s="82" t="s">
        <v>12681</v>
      </c>
      <c r="AX486" s="82" t="s">
        <v>12681</v>
      </c>
      <c r="AY486" s="77"/>
      <c r="AZ486" s="82" t="s">
        <v>15804</v>
      </c>
      <c r="BA486" s="82" t="s">
        <v>15804</v>
      </c>
      <c r="BB486" s="82" t="s">
        <v>15804</v>
      </c>
      <c r="BC486" s="82" t="s">
        <v>12681</v>
      </c>
      <c r="BD486" s="77">
        <v>33044346</v>
      </c>
      <c r="BE486" s="77"/>
      <c r="BF486" s="77"/>
      <c r="BG486" s="77"/>
      <c r="BH486" s="77"/>
      <c r="BI486" s="77"/>
    </row>
    <row r="487" spans="1:61" x14ac:dyDescent="0.25">
      <c r="A487" s="62" t="s">
        <v>355</v>
      </c>
      <c r="B487" s="62" t="s">
        <v>355</v>
      </c>
      <c r="C487" s="63"/>
      <c r="D487" s="64"/>
      <c r="E487" s="65"/>
      <c r="F487" s="66"/>
      <c r="G487" s="63"/>
      <c r="H487" s="67"/>
      <c r="I487" s="68"/>
      <c r="J487" s="68"/>
      <c r="K487" s="32"/>
      <c r="L487" s="75">
        <v>487</v>
      </c>
      <c r="M487" s="75"/>
      <c r="N487" s="70"/>
      <c r="O487" s="77" t="s">
        <v>179</v>
      </c>
      <c r="P487" s="79">
        <v>45005.371898148151</v>
      </c>
      <c r="Q487" s="77" t="s">
        <v>1597</v>
      </c>
      <c r="R487" s="77">
        <v>0</v>
      </c>
      <c r="S487" s="77">
        <v>0</v>
      </c>
      <c r="T487" s="77">
        <v>0</v>
      </c>
      <c r="U487" s="77">
        <v>0</v>
      </c>
      <c r="V487" s="77">
        <v>5</v>
      </c>
      <c r="W487" s="82" t="s">
        <v>4393</v>
      </c>
      <c r="X487" s="77"/>
      <c r="Y487" s="77"/>
      <c r="Z487" s="77"/>
      <c r="AA487" s="77" t="s">
        <v>6411</v>
      </c>
      <c r="AB487" s="77" t="s">
        <v>7696</v>
      </c>
      <c r="AC487" s="82" t="s">
        <v>7709</v>
      </c>
      <c r="AD487" s="77" t="s">
        <v>7745</v>
      </c>
      <c r="AE487" s="80" t="str">
        <f>HYPERLINK("https://twitter.com/cacdazevedo/status/1637739638189064193")</f>
        <v>https://twitter.com/cacdazevedo/status/1637739638189064193</v>
      </c>
      <c r="AF487" s="79">
        <v>45005.371898148151</v>
      </c>
      <c r="AG487" s="85">
        <v>45005</v>
      </c>
      <c r="AH487" s="82" t="s">
        <v>8179</v>
      </c>
      <c r="AI487" s="77" t="b">
        <v>0</v>
      </c>
      <c r="AJ487" s="77"/>
      <c r="AK487" s="77"/>
      <c r="AL487" s="77"/>
      <c r="AM487" s="77"/>
      <c r="AN487" s="77"/>
      <c r="AO487" s="77"/>
      <c r="AP487" s="77"/>
      <c r="AQ487" s="77" t="s">
        <v>10918</v>
      </c>
      <c r="AR487" s="77"/>
      <c r="AS487" s="77"/>
      <c r="AT487" s="77"/>
      <c r="AU487" s="77"/>
      <c r="AV487" s="80" t="str">
        <f>HYPERLINK("https://pbs.twimg.com/media/FrprhalWIAARSRP.jpg")</f>
        <v>https://pbs.twimg.com/media/FrprhalWIAARSRP.jpg</v>
      </c>
      <c r="AW487" s="82" t="s">
        <v>12682</v>
      </c>
      <c r="AX487" s="82" t="s">
        <v>12682</v>
      </c>
      <c r="AY487" s="77"/>
      <c r="AZ487" s="82" t="s">
        <v>15804</v>
      </c>
      <c r="BA487" s="82" t="s">
        <v>15804</v>
      </c>
      <c r="BB487" s="82" t="s">
        <v>15804</v>
      </c>
      <c r="BC487" s="82" t="s">
        <v>12682</v>
      </c>
      <c r="BD487" s="77">
        <v>33044346</v>
      </c>
      <c r="BE487" s="77"/>
      <c r="BF487" s="77"/>
      <c r="BG487" s="77"/>
      <c r="BH487" s="77"/>
      <c r="BI487" s="77"/>
    </row>
    <row r="488" spans="1:61" x14ac:dyDescent="0.25">
      <c r="A488" s="62" t="s">
        <v>356</v>
      </c>
      <c r="B488" s="62" t="s">
        <v>1062</v>
      </c>
      <c r="C488" s="63"/>
      <c r="D488" s="64"/>
      <c r="E488" s="65"/>
      <c r="F488" s="66"/>
      <c r="G488" s="63"/>
      <c r="H488" s="67"/>
      <c r="I488" s="68"/>
      <c r="J488" s="68"/>
      <c r="K488" s="32"/>
      <c r="L488" s="75">
        <v>488</v>
      </c>
      <c r="M488" s="75"/>
      <c r="N488" s="70"/>
      <c r="O488" s="77" t="s">
        <v>1133</v>
      </c>
      <c r="P488" s="79">
        <v>45135.864756944444</v>
      </c>
      <c r="Q488" s="77" t="s">
        <v>1598</v>
      </c>
      <c r="R488" s="77">
        <v>5</v>
      </c>
      <c r="S488" s="77">
        <v>16</v>
      </c>
      <c r="T488" s="77">
        <v>0</v>
      </c>
      <c r="U488" s="77">
        <v>1</v>
      </c>
      <c r="V488" s="77">
        <v>336</v>
      </c>
      <c r="W488" s="82" t="s">
        <v>4399</v>
      </c>
      <c r="X488" s="77"/>
      <c r="Y488" s="77"/>
      <c r="Z488" s="77" t="s">
        <v>1062</v>
      </c>
      <c r="AA488" s="77" t="s">
        <v>6412</v>
      </c>
      <c r="AB488" s="77" t="s">
        <v>7696</v>
      </c>
      <c r="AC488" s="82" t="s">
        <v>7707</v>
      </c>
      <c r="AD488" s="77" t="s">
        <v>7745</v>
      </c>
      <c r="AE488" s="80" t="str">
        <f>HYPERLINK("https://twitter.com/mblparana/status/1685028669394137089")</f>
        <v>https://twitter.com/mblparana/status/1685028669394137089</v>
      </c>
      <c r="AF488" s="79">
        <v>45135.864756944444</v>
      </c>
      <c r="AG488" s="85">
        <v>45135</v>
      </c>
      <c r="AH488" s="82" t="s">
        <v>8180</v>
      </c>
      <c r="AI488" s="77" t="b">
        <v>0</v>
      </c>
      <c r="AJ488" s="77"/>
      <c r="AK488" s="77"/>
      <c r="AL488" s="77"/>
      <c r="AM488" s="77"/>
      <c r="AN488" s="77"/>
      <c r="AO488" s="77"/>
      <c r="AP488" s="77"/>
      <c r="AQ488" s="77" t="s">
        <v>10919</v>
      </c>
      <c r="AR488" s="77"/>
      <c r="AS488" s="77"/>
      <c r="AT488" s="77"/>
      <c r="AU488" s="77"/>
      <c r="AV488" s="80" t="str">
        <f>HYPERLINK("https://pbs.twimg.com/media/F2JspL-XAAAA-kf.jpg")</f>
        <v>https://pbs.twimg.com/media/F2JspL-XAAAA-kf.jpg</v>
      </c>
      <c r="AW488" s="82" t="s">
        <v>12683</v>
      </c>
      <c r="AX488" s="82" t="s">
        <v>12683</v>
      </c>
      <c r="AY488" s="77"/>
      <c r="AZ488" s="82" t="s">
        <v>15804</v>
      </c>
      <c r="BA488" s="82" t="s">
        <v>15804</v>
      </c>
      <c r="BB488" s="82" t="s">
        <v>15804</v>
      </c>
      <c r="BC488" s="82" t="s">
        <v>12683</v>
      </c>
      <c r="BD488" s="82" t="s">
        <v>16210</v>
      </c>
      <c r="BE488" s="77"/>
      <c r="BF488" s="77"/>
      <c r="BG488" s="77"/>
      <c r="BH488" s="77"/>
      <c r="BI488" s="77"/>
    </row>
    <row r="489" spans="1:61" x14ac:dyDescent="0.25">
      <c r="A489" s="62" t="s">
        <v>357</v>
      </c>
      <c r="B489" s="62" t="s">
        <v>357</v>
      </c>
      <c r="C489" s="63"/>
      <c r="D489" s="64"/>
      <c r="E489" s="65"/>
      <c r="F489" s="66"/>
      <c r="G489" s="63"/>
      <c r="H489" s="67"/>
      <c r="I489" s="68"/>
      <c r="J489" s="68"/>
      <c r="K489" s="32"/>
      <c r="L489" s="75">
        <v>489</v>
      </c>
      <c r="M489" s="75"/>
      <c r="N489" s="70"/>
      <c r="O489" s="77" t="s">
        <v>179</v>
      </c>
      <c r="P489" s="79">
        <v>45069.449756944443</v>
      </c>
      <c r="Q489" s="77" t="s">
        <v>1599</v>
      </c>
      <c r="R489" s="77">
        <v>0</v>
      </c>
      <c r="S489" s="77">
        <v>0</v>
      </c>
      <c r="T489" s="77">
        <v>0</v>
      </c>
      <c r="U489" s="77">
        <v>0</v>
      </c>
      <c r="V489" s="77">
        <v>88</v>
      </c>
      <c r="W489" s="82" t="s">
        <v>4400</v>
      </c>
      <c r="X489" s="77"/>
      <c r="Y489" s="77"/>
      <c r="Z489" s="77"/>
      <c r="AA489" s="77" t="s">
        <v>6413</v>
      </c>
      <c r="AB489" s="77" t="s">
        <v>7697</v>
      </c>
      <c r="AC489" s="82" t="s">
        <v>7705</v>
      </c>
      <c r="AD489" s="77" t="s">
        <v>7745</v>
      </c>
      <c r="AE489" s="80" t="str">
        <f>HYPERLINK("https://twitter.com/casal_trader/status/1660960679568785416")</f>
        <v>https://twitter.com/casal_trader/status/1660960679568785416</v>
      </c>
      <c r="AF489" s="79">
        <v>45069.449756944443</v>
      </c>
      <c r="AG489" s="85">
        <v>45069</v>
      </c>
      <c r="AH489" s="82" t="s">
        <v>8181</v>
      </c>
      <c r="AI489" s="77" t="b">
        <v>0</v>
      </c>
      <c r="AJ489" s="77"/>
      <c r="AK489" s="77"/>
      <c r="AL489" s="77"/>
      <c r="AM489" s="77"/>
      <c r="AN489" s="77"/>
      <c r="AO489" s="77"/>
      <c r="AP489" s="77"/>
      <c r="AQ489" s="77" t="s">
        <v>10920</v>
      </c>
      <c r="AR489" s="77">
        <v>57500</v>
      </c>
      <c r="AS489" s="77"/>
      <c r="AT489" s="77"/>
      <c r="AU489" s="77">
        <v>11</v>
      </c>
      <c r="AV489" s="80" t="str">
        <f>HYPERLINK("https://pbs.twimg.com/ext_tw_video_thumb/1660960564460281858/pu/img/g1-4D96DnMxhfaxQ.jpg")</f>
        <v>https://pbs.twimg.com/ext_tw_video_thumb/1660960564460281858/pu/img/g1-4D96DnMxhfaxQ.jpg</v>
      </c>
      <c r="AW489" s="82" t="s">
        <v>12684</v>
      </c>
      <c r="AX489" s="82" t="s">
        <v>12684</v>
      </c>
      <c r="AY489" s="77"/>
      <c r="AZ489" s="82" t="s">
        <v>15804</v>
      </c>
      <c r="BA489" s="82" t="s">
        <v>15804</v>
      </c>
      <c r="BB489" s="82" t="s">
        <v>15804</v>
      </c>
      <c r="BC489" s="82" t="s">
        <v>12684</v>
      </c>
      <c r="BD489" s="82" t="s">
        <v>16211</v>
      </c>
      <c r="BE489" s="77"/>
      <c r="BF489" s="77"/>
      <c r="BG489" s="77"/>
      <c r="BH489" s="77"/>
      <c r="BI489" s="77"/>
    </row>
    <row r="490" spans="1:61" x14ac:dyDescent="0.25">
      <c r="A490" s="62" t="s">
        <v>357</v>
      </c>
      <c r="B490" s="62" t="s">
        <v>357</v>
      </c>
      <c r="C490" s="63"/>
      <c r="D490" s="64"/>
      <c r="E490" s="65"/>
      <c r="F490" s="66"/>
      <c r="G490" s="63"/>
      <c r="H490" s="67"/>
      <c r="I490" s="68"/>
      <c r="J490" s="68"/>
      <c r="K490" s="32"/>
      <c r="L490" s="75">
        <v>490</v>
      </c>
      <c r="M490" s="75"/>
      <c r="N490" s="70"/>
      <c r="O490" s="77" t="s">
        <v>179</v>
      </c>
      <c r="P490" s="79">
        <v>45070.452048611114</v>
      </c>
      <c r="Q490" s="77" t="s">
        <v>1600</v>
      </c>
      <c r="R490" s="77">
        <v>0</v>
      </c>
      <c r="S490" s="77">
        <v>0</v>
      </c>
      <c r="T490" s="77">
        <v>0</v>
      </c>
      <c r="U490" s="77">
        <v>0</v>
      </c>
      <c r="V490" s="77">
        <v>67</v>
      </c>
      <c r="W490" s="82" t="s">
        <v>4400</v>
      </c>
      <c r="X490" s="77"/>
      <c r="Y490" s="77"/>
      <c r="Z490" s="77"/>
      <c r="AA490" s="77" t="s">
        <v>6414</v>
      </c>
      <c r="AB490" s="77" t="s">
        <v>7697</v>
      </c>
      <c r="AC490" s="82" t="s">
        <v>7705</v>
      </c>
      <c r="AD490" s="77" t="s">
        <v>7745</v>
      </c>
      <c r="AE490" s="80" t="str">
        <f>HYPERLINK("https://twitter.com/casal_trader/status/1661323896719654912")</f>
        <v>https://twitter.com/casal_trader/status/1661323896719654912</v>
      </c>
      <c r="AF490" s="79">
        <v>45070.452048611114</v>
      </c>
      <c r="AG490" s="85">
        <v>45070</v>
      </c>
      <c r="AH490" s="82" t="s">
        <v>8182</v>
      </c>
      <c r="AI490" s="77" t="b">
        <v>0</v>
      </c>
      <c r="AJ490" s="77"/>
      <c r="AK490" s="77"/>
      <c r="AL490" s="77"/>
      <c r="AM490" s="77"/>
      <c r="AN490" s="77"/>
      <c r="AO490" s="77"/>
      <c r="AP490" s="77"/>
      <c r="AQ490" s="77" t="s">
        <v>10921</v>
      </c>
      <c r="AR490" s="77">
        <v>56833</v>
      </c>
      <c r="AS490" s="77"/>
      <c r="AT490" s="77"/>
      <c r="AU490" s="77">
        <v>16</v>
      </c>
      <c r="AV490" s="80" t="str">
        <f>HYPERLINK("https://pbs.twimg.com/ext_tw_video_thumb/1661323792537321472/pu/img/dUxhbVKoUPXTDf6z.jpg")</f>
        <v>https://pbs.twimg.com/ext_tw_video_thumb/1661323792537321472/pu/img/dUxhbVKoUPXTDf6z.jpg</v>
      </c>
      <c r="AW490" s="82" t="s">
        <v>12685</v>
      </c>
      <c r="AX490" s="82" t="s">
        <v>12685</v>
      </c>
      <c r="AY490" s="77"/>
      <c r="AZ490" s="82" t="s">
        <v>15804</v>
      </c>
      <c r="BA490" s="82" t="s">
        <v>15804</v>
      </c>
      <c r="BB490" s="82" t="s">
        <v>15804</v>
      </c>
      <c r="BC490" s="82" t="s">
        <v>12685</v>
      </c>
      <c r="BD490" s="82" t="s">
        <v>16211</v>
      </c>
      <c r="BE490" s="77"/>
      <c r="BF490" s="77"/>
      <c r="BG490" s="77"/>
      <c r="BH490" s="77"/>
      <c r="BI490" s="77"/>
    </row>
    <row r="491" spans="1:61" x14ac:dyDescent="0.25">
      <c r="A491" s="62" t="s">
        <v>358</v>
      </c>
      <c r="B491" s="62" t="s">
        <v>358</v>
      </c>
      <c r="C491" s="63"/>
      <c r="D491" s="64"/>
      <c r="E491" s="65"/>
      <c r="F491" s="66"/>
      <c r="G491" s="63"/>
      <c r="H491" s="67"/>
      <c r="I491" s="68"/>
      <c r="J491" s="68"/>
      <c r="K491" s="32"/>
      <c r="L491" s="75">
        <v>491</v>
      </c>
      <c r="M491" s="75"/>
      <c r="N491" s="70"/>
      <c r="O491" s="77" t="s">
        <v>1132</v>
      </c>
      <c r="P491" s="79">
        <v>45076.806041666663</v>
      </c>
      <c r="Q491" s="77" t="s">
        <v>1601</v>
      </c>
      <c r="R491" s="77">
        <v>0</v>
      </c>
      <c r="S491" s="77">
        <v>0</v>
      </c>
      <c r="T491" s="77">
        <v>1</v>
      </c>
      <c r="U491" s="77">
        <v>0</v>
      </c>
      <c r="V491" s="77">
        <v>12</v>
      </c>
      <c r="W491" s="82" t="s">
        <v>4401</v>
      </c>
      <c r="X491" s="77"/>
      <c r="Y491" s="77"/>
      <c r="Z491" s="77"/>
      <c r="AA491" s="77"/>
      <c r="AB491" s="77"/>
      <c r="AC491" s="82" t="s">
        <v>7705</v>
      </c>
      <c r="AD491" s="77" t="s">
        <v>7745</v>
      </c>
      <c r="AE491" s="80" t="str">
        <f>HYPERLINK("https://twitter.com/netorebello1/status/1663626506751340544")</f>
        <v>https://twitter.com/netorebello1/status/1663626506751340544</v>
      </c>
      <c r="AF491" s="79">
        <v>45076.806041666663</v>
      </c>
      <c r="AG491" s="85">
        <v>45076</v>
      </c>
      <c r="AH491" s="82" t="s">
        <v>8183</v>
      </c>
      <c r="AI491" s="77"/>
      <c r="AJ491" s="77"/>
      <c r="AK491" s="77"/>
      <c r="AL491" s="77"/>
      <c r="AM491" s="77"/>
      <c r="AN491" s="77"/>
      <c r="AO491" s="77"/>
      <c r="AP491" s="77"/>
      <c r="AQ491" s="77"/>
      <c r="AR491" s="77"/>
      <c r="AS491" s="77"/>
      <c r="AT491" s="77"/>
      <c r="AU491" s="77"/>
      <c r="AV491" s="80" t="str">
        <f>HYPERLINK("https://pbs.twimg.com/profile_images/1272691553618755590/AGwT69Fm_normal.jpg")</f>
        <v>https://pbs.twimg.com/profile_images/1272691553618755590/AGwT69Fm_normal.jpg</v>
      </c>
      <c r="AW491" s="82" t="s">
        <v>12686</v>
      </c>
      <c r="AX491" s="82" t="s">
        <v>15270</v>
      </c>
      <c r="AY491" s="82" t="s">
        <v>15698</v>
      </c>
      <c r="AZ491" s="82" t="s">
        <v>15841</v>
      </c>
      <c r="BA491" s="82" t="s">
        <v>15804</v>
      </c>
      <c r="BB491" s="82" t="s">
        <v>15804</v>
      </c>
      <c r="BC491" s="82" t="s">
        <v>15841</v>
      </c>
      <c r="BD491" s="82" t="s">
        <v>15698</v>
      </c>
      <c r="BE491" s="77"/>
      <c r="BF491" s="77"/>
      <c r="BG491" s="77"/>
      <c r="BH491" s="77"/>
      <c r="BI491" s="77"/>
    </row>
    <row r="492" spans="1:61" x14ac:dyDescent="0.25">
      <c r="A492" s="62" t="s">
        <v>359</v>
      </c>
      <c r="B492" s="62" t="s">
        <v>1063</v>
      </c>
      <c r="C492" s="63"/>
      <c r="D492" s="64"/>
      <c r="E492" s="65"/>
      <c r="F492" s="66"/>
      <c r="G492" s="63"/>
      <c r="H492" s="67"/>
      <c r="I492" s="68"/>
      <c r="J492" s="68"/>
      <c r="K492" s="32"/>
      <c r="L492" s="75">
        <v>492</v>
      </c>
      <c r="M492" s="75"/>
      <c r="N492" s="70"/>
      <c r="O492" s="77" t="s">
        <v>1133</v>
      </c>
      <c r="P492" s="79">
        <v>44948.258449074077</v>
      </c>
      <c r="Q492" s="77" t="s">
        <v>1602</v>
      </c>
      <c r="R492" s="77">
        <v>1</v>
      </c>
      <c r="S492" s="77">
        <v>0</v>
      </c>
      <c r="T492" s="77">
        <v>0</v>
      </c>
      <c r="U492" s="77">
        <v>0</v>
      </c>
      <c r="V492" s="77">
        <v>25</v>
      </c>
      <c r="W492" s="82" t="s">
        <v>4402</v>
      </c>
      <c r="X492" s="80" t="str">
        <f>HYPERLINK("https://islamicbfs.com/registration")</f>
        <v>https://islamicbfs.com/registration</v>
      </c>
      <c r="Y492" s="77" t="s">
        <v>6027</v>
      </c>
      <c r="Z492" s="77" t="s">
        <v>1063</v>
      </c>
      <c r="AA492" s="77" t="s">
        <v>6415</v>
      </c>
      <c r="AB492" s="77" t="s">
        <v>7696</v>
      </c>
      <c r="AC492" s="82" t="s">
        <v>7706</v>
      </c>
      <c r="AD492" s="77" t="s">
        <v>7747</v>
      </c>
      <c r="AE492" s="80" t="str">
        <f>HYPERLINK("https://twitter.com/islamicsummit/status/1617042418670469120")</f>
        <v>https://twitter.com/islamicsummit/status/1617042418670469120</v>
      </c>
      <c r="AF492" s="79">
        <v>44948.258449074077</v>
      </c>
      <c r="AG492" s="85">
        <v>44948</v>
      </c>
      <c r="AH492" s="82" t="s">
        <v>8184</v>
      </c>
      <c r="AI492" s="77" t="b">
        <v>0</v>
      </c>
      <c r="AJ492" s="77"/>
      <c r="AK492" s="77"/>
      <c r="AL492" s="77"/>
      <c r="AM492" s="77"/>
      <c r="AN492" s="77"/>
      <c r="AO492" s="77"/>
      <c r="AP492" s="77"/>
      <c r="AQ492" s="77" t="s">
        <v>10922</v>
      </c>
      <c r="AR492" s="77"/>
      <c r="AS492" s="77"/>
      <c r="AT492" s="77"/>
      <c r="AU492" s="77"/>
      <c r="AV492" s="80" t="str">
        <f>HYPERLINK("https://pbs.twimg.com/media/FnDi45BX0AIsd6u.jpg")</f>
        <v>https://pbs.twimg.com/media/FnDi45BX0AIsd6u.jpg</v>
      </c>
      <c r="AW492" s="82" t="s">
        <v>12687</v>
      </c>
      <c r="AX492" s="82" t="s">
        <v>12687</v>
      </c>
      <c r="AY492" s="77"/>
      <c r="AZ492" s="82" t="s">
        <v>15804</v>
      </c>
      <c r="BA492" s="82" t="s">
        <v>15804</v>
      </c>
      <c r="BB492" s="82" t="s">
        <v>15804</v>
      </c>
      <c r="BC492" s="82" t="s">
        <v>12687</v>
      </c>
      <c r="BD492" s="82" t="s">
        <v>16212</v>
      </c>
      <c r="BE492" s="77"/>
      <c r="BF492" s="77"/>
      <c r="BG492" s="77"/>
      <c r="BH492" s="77"/>
      <c r="BI492" s="77"/>
    </row>
    <row r="493" spans="1:61" x14ac:dyDescent="0.25">
      <c r="A493" s="62" t="s">
        <v>360</v>
      </c>
      <c r="B493" s="62" t="s">
        <v>360</v>
      </c>
      <c r="C493" s="63"/>
      <c r="D493" s="64"/>
      <c r="E493" s="65"/>
      <c r="F493" s="66"/>
      <c r="G493" s="63"/>
      <c r="H493" s="67"/>
      <c r="I493" s="68"/>
      <c r="J493" s="68"/>
      <c r="K493" s="32"/>
      <c r="L493" s="75">
        <v>493</v>
      </c>
      <c r="M493" s="75"/>
      <c r="N493" s="70"/>
      <c r="O493" s="77" t="s">
        <v>179</v>
      </c>
      <c r="P493" s="79">
        <v>45026.800902777781</v>
      </c>
      <c r="Q493" s="77" t="s">
        <v>1603</v>
      </c>
      <c r="R493" s="77">
        <v>0</v>
      </c>
      <c r="S493" s="77">
        <v>0</v>
      </c>
      <c r="T493" s="77">
        <v>0</v>
      </c>
      <c r="U493" s="77">
        <v>0</v>
      </c>
      <c r="V493" s="77">
        <v>161</v>
      </c>
      <c r="W493" s="82" t="s">
        <v>4403</v>
      </c>
      <c r="X493" s="80" t="str">
        <f>HYPERLINK("https://bit.ly/blogimpacto356")</f>
        <v>https://bit.ly/blogimpacto356</v>
      </c>
      <c r="Y493" s="77" t="s">
        <v>6004</v>
      </c>
      <c r="Z493" s="77"/>
      <c r="AA493" s="77" t="s">
        <v>6416</v>
      </c>
      <c r="AB493" s="77" t="s">
        <v>7696</v>
      </c>
      <c r="AC493" s="82" t="s">
        <v>7706</v>
      </c>
      <c r="AD493" s="77" t="s">
        <v>7745</v>
      </c>
      <c r="AE493" s="80" t="str">
        <f>HYPERLINK("https://twitter.com/fgv_eaesp/status/1645505250353115138")</f>
        <v>https://twitter.com/fgv_eaesp/status/1645505250353115138</v>
      </c>
      <c r="AF493" s="79">
        <v>45026.800902777781</v>
      </c>
      <c r="AG493" s="85">
        <v>45026</v>
      </c>
      <c r="AH493" s="82" t="s">
        <v>8185</v>
      </c>
      <c r="AI493" s="77" t="b">
        <v>0</v>
      </c>
      <c r="AJ493" s="77"/>
      <c r="AK493" s="77"/>
      <c r="AL493" s="77"/>
      <c r="AM493" s="77"/>
      <c r="AN493" s="77"/>
      <c r="AO493" s="77"/>
      <c r="AP493" s="77"/>
      <c r="AQ493" s="77" t="s">
        <v>10923</v>
      </c>
      <c r="AR493" s="77"/>
      <c r="AS493" s="77"/>
      <c r="AT493" s="77"/>
      <c r="AU493" s="77"/>
      <c r="AV493" s="80" t="str">
        <f>HYPERLINK("https://pbs.twimg.com/media/FtYCRKaWwAMTexv.jpg")</f>
        <v>https://pbs.twimg.com/media/FtYCRKaWwAMTexv.jpg</v>
      </c>
      <c r="AW493" s="82" t="s">
        <v>12688</v>
      </c>
      <c r="AX493" s="82" t="s">
        <v>12688</v>
      </c>
      <c r="AY493" s="77"/>
      <c r="AZ493" s="82" t="s">
        <v>15804</v>
      </c>
      <c r="BA493" s="82" t="s">
        <v>15804</v>
      </c>
      <c r="BB493" s="82" t="s">
        <v>15804</v>
      </c>
      <c r="BC493" s="82" t="s">
        <v>12688</v>
      </c>
      <c r="BD493" s="77">
        <v>44449999</v>
      </c>
      <c r="BE493" s="77"/>
      <c r="BF493" s="77"/>
      <c r="BG493" s="77"/>
      <c r="BH493" s="77"/>
      <c r="BI493" s="77"/>
    </row>
    <row r="494" spans="1:61" x14ac:dyDescent="0.25">
      <c r="A494" s="62" t="s">
        <v>360</v>
      </c>
      <c r="B494" s="62" t="s">
        <v>360</v>
      </c>
      <c r="C494" s="63"/>
      <c r="D494" s="64"/>
      <c r="E494" s="65"/>
      <c r="F494" s="66"/>
      <c r="G494" s="63"/>
      <c r="H494" s="67"/>
      <c r="I494" s="68"/>
      <c r="J494" s="68"/>
      <c r="K494" s="32"/>
      <c r="L494" s="75">
        <v>494</v>
      </c>
      <c r="M494" s="75"/>
      <c r="N494" s="70"/>
      <c r="O494" s="77" t="s">
        <v>179</v>
      </c>
      <c r="P494" s="79">
        <v>45056.664074074077</v>
      </c>
      <c r="Q494" s="77" t="s">
        <v>1604</v>
      </c>
      <c r="R494" s="77">
        <v>0</v>
      </c>
      <c r="S494" s="77">
        <v>0</v>
      </c>
      <c r="T494" s="77">
        <v>0</v>
      </c>
      <c r="U494" s="77">
        <v>0</v>
      </c>
      <c r="V494" s="77">
        <v>117</v>
      </c>
      <c r="W494" s="82" t="s">
        <v>4404</v>
      </c>
      <c r="X494" s="80" t="str">
        <f>HYPERLINK("https://bit.ly/blogimpacto380")</f>
        <v>https://bit.ly/blogimpacto380</v>
      </c>
      <c r="Y494" s="77" t="s">
        <v>6004</v>
      </c>
      <c r="Z494" s="77"/>
      <c r="AA494" s="77" t="s">
        <v>6417</v>
      </c>
      <c r="AB494" s="77" t="s">
        <v>7696</v>
      </c>
      <c r="AC494" s="82" t="s">
        <v>7706</v>
      </c>
      <c r="AD494" s="77" t="s">
        <v>7745</v>
      </c>
      <c r="AE494" s="80" t="str">
        <f>HYPERLINK("https://twitter.com/fgv_eaesp/status/1656327303599738880")</f>
        <v>https://twitter.com/fgv_eaesp/status/1656327303599738880</v>
      </c>
      <c r="AF494" s="79">
        <v>45056.664074074077</v>
      </c>
      <c r="AG494" s="85">
        <v>45056</v>
      </c>
      <c r="AH494" s="82" t="s">
        <v>8186</v>
      </c>
      <c r="AI494" s="77" t="b">
        <v>0</v>
      </c>
      <c r="AJ494" s="77"/>
      <c r="AK494" s="77"/>
      <c r="AL494" s="77"/>
      <c r="AM494" s="77"/>
      <c r="AN494" s="77"/>
      <c r="AO494" s="77"/>
      <c r="AP494" s="77"/>
      <c r="AQ494" s="77" t="s">
        <v>10924</v>
      </c>
      <c r="AR494" s="77"/>
      <c r="AS494" s="77"/>
      <c r="AT494" s="77"/>
      <c r="AU494" s="77"/>
      <c r="AV494" s="80" t="str">
        <f>HYPERLINK("https://pbs.twimg.com/media/Fvx0vg2WIAADyL5.jpg")</f>
        <v>https://pbs.twimg.com/media/Fvx0vg2WIAADyL5.jpg</v>
      </c>
      <c r="AW494" s="82" t="s">
        <v>12689</v>
      </c>
      <c r="AX494" s="82" t="s">
        <v>12689</v>
      </c>
      <c r="AY494" s="77"/>
      <c r="AZ494" s="82" t="s">
        <v>15804</v>
      </c>
      <c r="BA494" s="82" t="s">
        <v>15804</v>
      </c>
      <c r="BB494" s="82" t="s">
        <v>15804</v>
      </c>
      <c r="BC494" s="82" t="s">
        <v>12689</v>
      </c>
      <c r="BD494" s="77">
        <v>44449999</v>
      </c>
      <c r="BE494" s="77"/>
      <c r="BF494" s="77"/>
      <c r="BG494" s="77"/>
      <c r="BH494" s="77"/>
      <c r="BI494" s="77"/>
    </row>
    <row r="495" spans="1:61" x14ac:dyDescent="0.25">
      <c r="A495" s="62" t="s">
        <v>361</v>
      </c>
      <c r="B495" s="62" t="s">
        <v>361</v>
      </c>
      <c r="C495" s="63"/>
      <c r="D495" s="64"/>
      <c r="E495" s="65"/>
      <c r="F495" s="66"/>
      <c r="G495" s="63"/>
      <c r="H495" s="67"/>
      <c r="I495" s="68"/>
      <c r="J495" s="68"/>
      <c r="K495" s="32"/>
      <c r="L495" s="75">
        <v>495</v>
      </c>
      <c r="M495" s="75"/>
      <c r="N495" s="70"/>
      <c r="O495" s="77" t="s">
        <v>179</v>
      </c>
      <c r="P495" s="79">
        <v>44988.479444444441</v>
      </c>
      <c r="Q495" s="77" t="s">
        <v>1605</v>
      </c>
      <c r="R495" s="77">
        <v>0</v>
      </c>
      <c r="S495" s="77">
        <v>0</v>
      </c>
      <c r="T495" s="77">
        <v>0</v>
      </c>
      <c r="U495" s="77">
        <v>0</v>
      </c>
      <c r="V495" s="77">
        <v>37</v>
      </c>
      <c r="W495" s="82" t="s">
        <v>4405</v>
      </c>
      <c r="X495" s="77"/>
      <c r="Y495" s="77"/>
      <c r="Z495" s="77"/>
      <c r="AA495" s="77" t="s">
        <v>6418</v>
      </c>
      <c r="AB495" s="77" t="s">
        <v>7697</v>
      </c>
      <c r="AC495" s="82" t="s">
        <v>7705</v>
      </c>
      <c r="AD495" s="77" t="s">
        <v>7745</v>
      </c>
      <c r="AE495" s="80" t="str">
        <f>HYPERLINK("https://twitter.com/evertondesg/status/1631618017716064257")</f>
        <v>https://twitter.com/evertondesg/status/1631618017716064257</v>
      </c>
      <c r="AF495" s="79">
        <v>44988.479444444441</v>
      </c>
      <c r="AG495" s="85">
        <v>44988</v>
      </c>
      <c r="AH495" s="82" t="s">
        <v>8187</v>
      </c>
      <c r="AI495" s="77" t="b">
        <v>0</v>
      </c>
      <c r="AJ495" s="77"/>
      <c r="AK495" s="77"/>
      <c r="AL495" s="77"/>
      <c r="AM495" s="77"/>
      <c r="AN495" s="77"/>
      <c r="AO495" s="77"/>
      <c r="AP495" s="77"/>
      <c r="AQ495" s="77" t="s">
        <v>10925</v>
      </c>
      <c r="AR495" s="77">
        <v>20733</v>
      </c>
      <c r="AS495" s="77"/>
      <c r="AT495" s="77"/>
      <c r="AU495" s="77">
        <v>14</v>
      </c>
      <c r="AV495" s="80" t="str">
        <f>HYPERLINK("https://pbs.twimg.com/ext_tw_video_thumb/1631617947406942211/pu/img/kNQHpY08uSHy30ON.jpg")</f>
        <v>https://pbs.twimg.com/ext_tw_video_thumb/1631617947406942211/pu/img/kNQHpY08uSHy30ON.jpg</v>
      </c>
      <c r="AW495" s="82" t="s">
        <v>12690</v>
      </c>
      <c r="AX495" s="82" t="s">
        <v>12690</v>
      </c>
      <c r="AY495" s="77"/>
      <c r="AZ495" s="82" t="s">
        <v>15804</v>
      </c>
      <c r="BA495" s="82" t="s">
        <v>15804</v>
      </c>
      <c r="BB495" s="82" t="s">
        <v>15804</v>
      </c>
      <c r="BC495" s="82" t="s">
        <v>12690</v>
      </c>
      <c r="BD495" s="82" t="s">
        <v>16213</v>
      </c>
      <c r="BE495" s="77"/>
      <c r="BF495" s="77"/>
      <c r="BG495" s="77"/>
      <c r="BH495" s="77"/>
      <c r="BI495" s="77"/>
    </row>
    <row r="496" spans="1:61" x14ac:dyDescent="0.25">
      <c r="A496" s="62" t="s">
        <v>362</v>
      </c>
      <c r="B496" s="62" t="s">
        <v>1064</v>
      </c>
      <c r="C496" s="63"/>
      <c r="D496" s="64"/>
      <c r="E496" s="65"/>
      <c r="F496" s="66"/>
      <c r="G496" s="63"/>
      <c r="H496" s="67"/>
      <c r="I496" s="68"/>
      <c r="J496" s="68"/>
      <c r="K496" s="32"/>
      <c r="L496" s="75">
        <v>496</v>
      </c>
      <c r="M496" s="75"/>
      <c r="N496" s="70"/>
      <c r="O496" s="77" t="s">
        <v>1133</v>
      </c>
      <c r="P496" s="79">
        <v>44995.539560185185</v>
      </c>
      <c r="Q496" s="77" t="s">
        <v>1606</v>
      </c>
      <c r="R496" s="77">
        <v>0</v>
      </c>
      <c r="S496" s="77">
        <v>1</v>
      </c>
      <c r="T496" s="77">
        <v>0</v>
      </c>
      <c r="U496" s="77">
        <v>0</v>
      </c>
      <c r="V496" s="77">
        <v>58</v>
      </c>
      <c r="W496" s="82" t="s">
        <v>4406</v>
      </c>
      <c r="X496" s="77"/>
      <c r="Y496" s="77"/>
      <c r="Z496" s="77" t="s">
        <v>1064</v>
      </c>
      <c r="AA496" s="77" t="s">
        <v>6419</v>
      </c>
      <c r="AB496" s="77" t="s">
        <v>7698</v>
      </c>
      <c r="AC496" s="82" t="s">
        <v>7707</v>
      </c>
      <c r="AD496" s="77" t="s">
        <v>7745</v>
      </c>
      <c r="AE496" s="80" t="str">
        <f>HYPERLINK("https://twitter.com/camarajp/status/1634176521421176838")</f>
        <v>https://twitter.com/camarajp/status/1634176521421176838</v>
      </c>
      <c r="AF496" s="79">
        <v>44995.539560185185</v>
      </c>
      <c r="AG496" s="85">
        <v>44995</v>
      </c>
      <c r="AH496" s="82" t="s">
        <v>8188</v>
      </c>
      <c r="AI496" s="77" t="b">
        <v>0</v>
      </c>
      <c r="AJ496" s="77" t="s">
        <v>10528</v>
      </c>
      <c r="AK496" s="77" t="s">
        <v>10552</v>
      </c>
      <c r="AL496" s="77" t="s">
        <v>10555</v>
      </c>
      <c r="AM496" s="77" t="s">
        <v>10565</v>
      </c>
      <c r="AN496" s="77" t="s">
        <v>10595</v>
      </c>
      <c r="AO496" s="77" t="s">
        <v>10626</v>
      </c>
      <c r="AP496" s="77" t="s">
        <v>10649</v>
      </c>
      <c r="AQ496" s="77" t="s">
        <v>10926</v>
      </c>
      <c r="AR496" s="77"/>
      <c r="AS496" s="77"/>
      <c r="AT496" s="77"/>
      <c r="AU496" s="77"/>
      <c r="AV496" s="80" t="str">
        <f>HYPERLINK("https://pbs.twimg.com/media/Fq3C4MlX0AAPG4X.jpg")</f>
        <v>https://pbs.twimg.com/media/Fq3C4MlX0AAPG4X.jpg</v>
      </c>
      <c r="AW496" s="82" t="s">
        <v>12691</v>
      </c>
      <c r="AX496" s="82" t="s">
        <v>12691</v>
      </c>
      <c r="AY496" s="77"/>
      <c r="AZ496" s="82" t="s">
        <v>15804</v>
      </c>
      <c r="BA496" s="82" t="s">
        <v>15804</v>
      </c>
      <c r="BB496" s="82" t="s">
        <v>15804</v>
      </c>
      <c r="BC496" s="82" t="s">
        <v>12691</v>
      </c>
      <c r="BD496" s="77">
        <v>95895775</v>
      </c>
      <c r="BE496" s="77"/>
      <c r="BF496" s="77"/>
      <c r="BG496" s="77"/>
      <c r="BH496" s="77"/>
      <c r="BI496" s="77"/>
    </row>
    <row r="497" spans="1:61" x14ac:dyDescent="0.25">
      <c r="A497" s="62" t="s">
        <v>363</v>
      </c>
      <c r="B497" s="62" t="s">
        <v>363</v>
      </c>
      <c r="C497" s="63"/>
      <c r="D497" s="64"/>
      <c r="E497" s="65"/>
      <c r="F497" s="66"/>
      <c r="G497" s="63"/>
      <c r="H497" s="67"/>
      <c r="I497" s="68"/>
      <c r="J497" s="68"/>
      <c r="K497" s="32"/>
      <c r="L497" s="75">
        <v>497</v>
      </c>
      <c r="M497" s="75"/>
      <c r="N497" s="70"/>
      <c r="O497" s="77" t="s">
        <v>1132</v>
      </c>
      <c r="P497" s="79">
        <v>44964.040219907409</v>
      </c>
      <c r="Q497" s="77" t="s">
        <v>1607</v>
      </c>
      <c r="R497" s="77">
        <v>0</v>
      </c>
      <c r="S497" s="77">
        <v>0</v>
      </c>
      <c r="T497" s="77">
        <v>0</v>
      </c>
      <c r="U497" s="77">
        <v>0</v>
      </c>
      <c r="V497" s="77">
        <v>27</v>
      </c>
      <c r="W497" s="82" t="s">
        <v>4407</v>
      </c>
      <c r="X497" s="77"/>
      <c r="Y497" s="77"/>
      <c r="Z497" s="77"/>
      <c r="AA497" s="77"/>
      <c r="AB497" s="77"/>
      <c r="AC497" s="82" t="s">
        <v>7705</v>
      </c>
      <c r="AD497" s="77" t="s">
        <v>7745</v>
      </c>
      <c r="AE497" s="80" t="str">
        <f>HYPERLINK("https://twitter.com/paulonodigital/status/1622761542956601345")</f>
        <v>https://twitter.com/paulonodigital/status/1622761542956601345</v>
      </c>
      <c r="AF497" s="79">
        <v>44964.040219907409</v>
      </c>
      <c r="AG497" s="85">
        <v>44964</v>
      </c>
      <c r="AH497" s="82" t="s">
        <v>8189</v>
      </c>
      <c r="AI497" s="77"/>
      <c r="AJ497" s="77" t="s">
        <v>10529</v>
      </c>
      <c r="AK497" s="77" t="s">
        <v>10552</v>
      </c>
      <c r="AL497" s="77" t="s">
        <v>10555</v>
      </c>
      <c r="AM497" s="77" t="s">
        <v>10566</v>
      </c>
      <c r="AN497" s="77" t="s">
        <v>10596</v>
      </c>
      <c r="AO497" s="77" t="s">
        <v>10627</v>
      </c>
      <c r="AP497" s="77" t="s">
        <v>10649</v>
      </c>
      <c r="AQ497" s="77"/>
      <c r="AR497" s="77"/>
      <c r="AS497" s="77"/>
      <c r="AT497" s="77"/>
      <c r="AU497" s="77"/>
      <c r="AV497" s="80" t="str">
        <f>HYPERLINK("https://pbs.twimg.com/profile_images/1642214481383104513/CSuLwrVo_normal.jpg")</f>
        <v>https://pbs.twimg.com/profile_images/1642214481383104513/CSuLwrVo_normal.jpg</v>
      </c>
      <c r="AW497" s="82" t="s">
        <v>12692</v>
      </c>
      <c r="AX497" s="82" t="s">
        <v>15271</v>
      </c>
      <c r="AY497" s="82" t="s">
        <v>15699</v>
      </c>
      <c r="AZ497" s="82" t="s">
        <v>15842</v>
      </c>
      <c r="BA497" s="82" t="s">
        <v>15804</v>
      </c>
      <c r="BB497" s="82" t="s">
        <v>15804</v>
      </c>
      <c r="BC497" s="82" t="s">
        <v>15842</v>
      </c>
      <c r="BD497" s="77">
        <v>153904334</v>
      </c>
      <c r="BE497" s="77"/>
      <c r="BF497" s="77"/>
      <c r="BG497" s="77"/>
      <c r="BH497" s="77"/>
      <c r="BI497" s="77"/>
    </row>
    <row r="498" spans="1:61" x14ac:dyDescent="0.25">
      <c r="A498" s="62" t="s">
        <v>363</v>
      </c>
      <c r="B498" s="62" t="s">
        <v>363</v>
      </c>
      <c r="C498" s="63"/>
      <c r="D498" s="64"/>
      <c r="E498" s="65"/>
      <c r="F498" s="66"/>
      <c r="G498" s="63"/>
      <c r="H498" s="67"/>
      <c r="I498" s="68"/>
      <c r="J498" s="68"/>
      <c r="K498" s="32"/>
      <c r="L498" s="75">
        <v>498</v>
      </c>
      <c r="M498" s="75"/>
      <c r="N498" s="70"/>
      <c r="O498" s="77" t="s">
        <v>179</v>
      </c>
      <c r="P498" s="79">
        <v>44997.947233796294</v>
      </c>
      <c r="Q498" s="77" t="s">
        <v>1608</v>
      </c>
      <c r="R498" s="77">
        <v>0</v>
      </c>
      <c r="S498" s="77">
        <v>0</v>
      </c>
      <c r="T498" s="77">
        <v>0</v>
      </c>
      <c r="U498" s="77">
        <v>0</v>
      </c>
      <c r="V498" s="77">
        <v>500</v>
      </c>
      <c r="W498" s="82" t="s">
        <v>4408</v>
      </c>
      <c r="X498" s="77"/>
      <c r="Y498" s="77"/>
      <c r="Z498" s="77"/>
      <c r="AA498" s="77"/>
      <c r="AB498" s="77"/>
      <c r="AC498" s="82" t="s">
        <v>7705</v>
      </c>
      <c r="AD498" s="77" t="s">
        <v>7745</v>
      </c>
      <c r="AE498" s="80" t="str">
        <f>HYPERLINK("https://twitter.com/paulonodigital/status/1635049031423631360")</f>
        <v>https://twitter.com/paulonodigital/status/1635049031423631360</v>
      </c>
      <c r="AF498" s="79">
        <v>44997.947233796294</v>
      </c>
      <c r="AG498" s="85">
        <v>44997</v>
      </c>
      <c r="AH498" s="82" t="s">
        <v>8190</v>
      </c>
      <c r="AI498" s="77"/>
      <c r="AJ498" s="77"/>
      <c r="AK498" s="77"/>
      <c r="AL498" s="77"/>
      <c r="AM498" s="77"/>
      <c r="AN498" s="77"/>
      <c r="AO498" s="77"/>
      <c r="AP498" s="77"/>
      <c r="AQ498" s="77"/>
      <c r="AR498" s="77"/>
      <c r="AS498" s="77"/>
      <c r="AT498" s="77"/>
      <c r="AU498" s="77"/>
      <c r="AV498" s="80" t="str">
        <f>HYPERLINK("https://pbs.twimg.com/profile_images/1642214481383104513/CSuLwrVo_normal.jpg")</f>
        <v>https://pbs.twimg.com/profile_images/1642214481383104513/CSuLwrVo_normal.jpg</v>
      </c>
      <c r="AW498" s="82" t="s">
        <v>12693</v>
      </c>
      <c r="AX498" s="82" t="s">
        <v>12693</v>
      </c>
      <c r="AY498" s="77"/>
      <c r="AZ498" s="82" t="s">
        <v>15804</v>
      </c>
      <c r="BA498" s="82" t="s">
        <v>15804</v>
      </c>
      <c r="BB498" s="82" t="s">
        <v>15804</v>
      </c>
      <c r="BC498" s="82" t="s">
        <v>12693</v>
      </c>
      <c r="BD498" s="77">
        <v>153904334</v>
      </c>
      <c r="BE498" s="77"/>
      <c r="BF498" s="77"/>
      <c r="BG498" s="77"/>
      <c r="BH498" s="77"/>
      <c r="BI498" s="77"/>
    </row>
    <row r="499" spans="1:61" x14ac:dyDescent="0.25">
      <c r="A499" s="62" t="s">
        <v>363</v>
      </c>
      <c r="B499" s="62" t="s">
        <v>363</v>
      </c>
      <c r="C499" s="63"/>
      <c r="D499" s="64"/>
      <c r="E499" s="65"/>
      <c r="F499" s="66"/>
      <c r="G499" s="63"/>
      <c r="H499" s="67"/>
      <c r="I499" s="68"/>
      <c r="J499" s="68"/>
      <c r="K499" s="32"/>
      <c r="L499" s="75">
        <v>499</v>
      </c>
      <c r="M499" s="75"/>
      <c r="N499" s="70"/>
      <c r="O499" s="77" t="s">
        <v>1132</v>
      </c>
      <c r="P499" s="79">
        <v>45126.620127314818</v>
      </c>
      <c r="Q499" s="77" t="s">
        <v>1609</v>
      </c>
      <c r="R499" s="77">
        <v>0</v>
      </c>
      <c r="S499" s="77">
        <v>0</v>
      </c>
      <c r="T499" s="77">
        <v>1</v>
      </c>
      <c r="U499" s="77">
        <v>0</v>
      </c>
      <c r="V499" s="77">
        <v>4</v>
      </c>
      <c r="W499" s="82" t="s">
        <v>4097</v>
      </c>
      <c r="X499" s="77"/>
      <c r="Y499" s="77"/>
      <c r="Z499" s="77"/>
      <c r="AA499" s="77"/>
      <c r="AB499" s="77"/>
      <c r="AC499" s="82" t="s">
        <v>7706</v>
      </c>
      <c r="AD499" s="77" t="s">
        <v>7745</v>
      </c>
      <c r="AE499" s="80" t="str">
        <f>HYPERLINK("https://twitter.com/paulonodigital/status/1681678527643500545")</f>
        <v>https://twitter.com/paulonodigital/status/1681678527643500545</v>
      </c>
      <c r="AF499" s="79">
        <v>45126.620127314818</v>
      </c>
      <c r="AG499" s="85">
        <v>45126</v>
      </c>
      <c r="AH499" s="82" t="s">
        <v>8191</v>
      </c>
      <c r="AI499" s="77"/>
      <c r="AJ499" s="77"/>
      <c r="AK499" s="77"/>
      <c r="AL499" s="77"/>
      <c r="AM499" s="77"/>
      <c r="AN499" s="77"/>
      <c r="AO499" s="77"/>
      <c r="AP499" s="77"/>
      <c r="AQ499" s="77"/>
      <c r="AR499" s="77"/>
      <c r="AS499" s="77"/>
      <c r="AT499" s="77"/>
      <c r="AU499" s="77"/>
      <c r="AV499" s="80" t="str">
        <f>HYPERLINK("https://pbs.twimg.com/profile_images/1642214481383104513/CSuLwrVo_normal.jpg")</f>
        <v>https://pbs.twimg.com/profile_images/1642214481383104513/CSuLwrVo_normal.jpg</v>
      </c>
      <c r="AW499" s="82" t="s">
        <v>12694</v>
      </c>
      <c r="AX499" s="82" t="s">
        <v>15272</v>
      </c>
      <c r="AY499" s="82" t="s">
        <v>15699</v>
      </c>
      <c r="AZ499" s="82" t="s">
        <v>15843</v>
      </c>
      <c r="BA499" s="82" t="s">
        <v>15804</v>
      </c>
      <c r="BB499" s="82" t="s">
        <v>15804</v>
      </c>
      <c r="BC499" s="82" t="s">
        <v>15843</v>
      </c>
      <c r="BD499" s="77">
        <v>153904334</v>
      </c>
      <c r="BE499" s="77"/>
      <c r="BF499" s="77"/>
      <c r="BG499" s="77"/>
      <c r="BH499" s="77"/>
      <c r="BI499" s="77"/>
    </row>
    <row r="500" spans="1:61" x14ac:dyDescent="0.25">
      <c r="A500" s="62" t="s">
        <v>364</v>
      </c>
      <c r="B500" s="62" t="s">
        <v>364</v>
      </c>
      <c r="C500" s="63"/>
      <c r="D500" s="64"/>
      <c r="E500" s="65"/>
      <c r="F500" s="66"/>
      <c r="G500" s="63"/>
      <c r="H500" s="67"/>
      <c r="I500" s="68"/>
      <c r="J500" s="68"/>
      <c r="K500" s="32"/>
      <c r="L500" s="75">
        <v>500</v>
      </c>
      <c r="M500" s="75"/>
      <c r="N500" s="70"/>
      <c r="O500" s="77" t="s">
        <v>179</v>
      </c>
      <c r="P500" s="79">
        <v>44961.791909722226</v>
      </c>
      <c r="Q500" s="77" t="s">
        <v>1610</v>
      </c>
      <c r="R500" s="77">
        <v>0</v>
      </c>
      <c r="S500" s="77">
        <v>0</v>
      </c>
      <c r="T500" s="77">
        <v>0</v>
      </c>
      <c r="U500" s="77">
        <v>0</v>
      </c>
      <c r="V500" s="77">
        <v>15</v>
      </c>
      <c r="W500" s="82" t="s">
        <v>4409</v>
      </c>
      <c r="X500" s="80" t="str">
        <f>HYPERLINK("https://youtu.be/pjUgwFhGiug")</f>
        <v>https://youtu.be/pjUgwFhGiug</v>
      </c>
      <c r="Y500" s="77" t="s">
        <v>6003</v>
      </c>
      <c r="Z500" s="77"/>
      <c r="AA500" s="77" t="s">
        <v>6420</v>
      </c>
      <c r="AB500" s="77" t="s">
        <v>7696</v>
      </c>
      <c r="AC500" s="82" t="s">
        <v>7708</v>
      </c>
      <c r="AD500" s="77" t="s">
        <v>7745</v>
      </c>
      <c r="AE500" s="80" t="str">
        <f>HYPERLINK("https://twitter.com/dielison_/status/1621946779674591236")</f>
        <v>https://twitter.com/dielison_/status/1621946779674591236</v>
      </c>
      <c r="AF500" s="79">
        <v>44961.791909722226</v>
      </c>
      <c r="AG500" s="85">
        <v>44961</v>
      </c>
      <c r="AH500" s="82" t="s">
        <v>8192</v>
      </c>
      <c r="AI500" s="77" t="b">
        <v>0</v>
      </c>
      <c r="AJ500" s="77"/>
      <c r="AK500" s="77"/>
      <c r="AL500" s="77"/>
      <c r="AM500" s="77"/>
      <c r="AN500" s="77"/>
      <c r="AO500" s="77"/>
      <c r="AP500" s="77"/>
      <c r="AQ500" s="77" t="s">
        <v>10927</v>
      </c>
      <c r="AR500" s="77"/>
      <c r="AS500" s="77"/>
      <c r="AT500" s="77"/>
      <c r="AU500" s="77"/>
      <c r="AV500" s="80" t="str">
        <f>HYPERLINK("https://pbs.twimg.com/media/FoJQADKXEAAS2dj.jpg")</f>
        <v>https://pbs.twimg.com/media/FoJQADKXEAAS2dj.jpg</v>
      </c>
      <c r="AW500" s="82" t="s">
        <v>12695</v>
      </c>
      <c r="AX500" s="82" t="s">
        <v>12695</v>
      </c>
      <c r="AY500" s="77"/>
      <c r="AZ500" s="82" t="s">
        <v>15804</v>
      </c>
      <c r="BA500" s="82" t="s">
        <v>15804</v>
      </c>
      <c r="BB500" s="82" t="s">
        <v>15804</v>
      </c>
      <c r="BC500" s="82" t="s">
        <v>12695</v>
      </c>
      <c r="BD500" s="77">
        <v>297991789</v>
      </c>
      <c r="BE500" s="77"/>
      <c r="BF500" s="77"/>
      <c r="BG500" s="77"/>
      <c r="BH500" s="77"/>
      <c r="BI500" s="77"/>
    </row>
    <row r="501" spans="1:61" x14ac:dyDescent="0.25">
      <c r="A501" s="62" t="s">
        <v>364</v>
      </c>
      <c r="B501" s="62" t="s">
        <v>364</v>
      </c>
      <c r="C501" s="63"/>
      <c r="D501" s="64"/>
      <c r="E501" s="65"/>
      <c r="F501" s="66"/>
      <c r="G501" s="63"/>
      <c r="H501" s="67"/>
      <c r="I501" s="68"/>
      <c r="J501" s="68"/>
      <c r="K501" s="32"/>
      <c r="L501" s="75">
        <v>501</v>
      </c>
      <c r="M501" s="75"/>
      <c r="N501" s="70"/>
      <c r="O501" s="77" t="s">
        <v>179</v>
      </c>
      <c r="P501" s="79">
        <v>44968.983773148146</v>
      </c>
      <c r="Q501" s="77" t="s">
        <v>1611</v>
      </c>
      <c r="R501" s="77">
        <v>0</v>
      </c>
      <c r="S501" s="77">
        <v>0</v>
      </c>
      <c r="T501" s="77">
        <v>0</v>
      </c>
      <c r="U501" s="77">
        <v>0</v>
      </c>
      <c r="V501" s="77">
        <v>6</v>
      </c>
      <c r="W501" s="82" t="s">
        <v>4410</v>
      </c>
      <c r="X501" s="80" t="str">
        <f>HYPERLINK("https://www.youtube.com/watch?v=JVJBkfhApoI")</f>
        <v>https://www.youtube.com/watch?v=JVJBkfhApoI</v>
      </c>
      <c r="Y501" s="77" t="s">
        <v>6006</v>
      </c>
      <c r="Z501" s="77"/>
      <c r="AA501" s="77" t="s">
        <v>6421</v>
      </c>
      <c r="AB501" s="77" t="s">
        <v>7696</v>
      </c>
      <c r="AC501" s="82" t="s">
        <v>7706</v>
      </c>
      <c r="AD501" s="77" t="s">
        <v>7745</v>
      </c>
      <c r="AE501" s="80" t="str">
        <f>HYPERLINK("https://twitter.com/dielison_/status/1624553022830399489")</f>
        <v>https://twitter.com/dielison_/status/1624553022830399489</v>
      </c>
      <c r="AF501" s="79">
        <v>44968.983773148146</v>
      </c>
      <c r="AG501" s="85">
        <v>44968</v>
      </c>
      <c r="AH501" s="82" t="s">
        <v>8193</v>
      </c>
      <c r="AI501" s="77" t="b">
        <v>0</v>
      </c>
      <c r="AJ501" s="77"/>
      <c r="AK501" s="77"/>
      <c r="AL501" s="77"/>
      <c r="AM501" s="77"/>
      <c r="AN501" s="77"/>
      <c r="AO501" s="77"/>
      <c r="AP501" s="77"/>
      <c r="AQ501" s="77" t="s">
        <v>10928</v>
      </c>
      <c r="AR501" s="77"/>
      <c r="AS501" s="77"/>
      <c r="AT501" s="77"/>
      <c r="AU501" s="77"/>
      <c r="AV501" s="80" t="str">
        <f>HYPERLINK("https://pbs.twimg.com/media/FouSTlyXoAMNPeA.jpg")</f>
        <v>https://pbs.twimg.com/media/FouSTlyXoAMNPeA.jpg</v>
      </c>
      <c r="AW501" s="82" t="s">
        <v>12696</v>
      </c>
      <c r="AX501" s="82" t="s">
        <v>12696</v>
      </c>
      <c r="AY501" s="77"/>
      <c r="AZ501" s="82" t="s">
        <v>15804</v>
      </c>
      <c r="BA501" s="82" t="s">
        <v>15804</v>
      </c>
      <c r="BB501" s="82" t="s">
        <v>15804</v>
      </c>
      <c r="BC501" s="82" t="s">
        <v>12696</v>
      </c>
      <c r="BD501" s="77">
        <v>297991789</v>
      </c>
      <c r="BE501" s="77"/>
      <c r="BF501" s="77"/>
      <c r="BG501" s="77"/>
      <c r="BH501" s="77"/>
      <c r="BI501" s="77"/>
    </row>
    <row r="502" spans="1:61" x14ac:dyDescent="0.25">
      <c r="A502" s="62" t="s">
        <v>364</v>
      </c>
      <c r="B502" s="62" t="s">
        <v>364</v>
      </c>
      <c r="C502" s="63"/>
      <c r="D502" s="64"/>
      <c r="E502" s="65"/>
      <c r="F502" s="66"/>
      <c r="G502" s="63"/>
      <c r="H502" s="67"/>
      <c r="I502" s="68"/>
      <c r="J502" s="68"/>
      <c r="K502" s="32"/>
      <c r="L502" s="75">
        <v>502</v>
      </c>
      <c r="M502" s="75"/>
      <c r="N502" s="70"/>
      <c r="O502" s="77" t="s">
        <v>179</v>
      </c>
      <c r="P502" s="79">
        <v>44960.791979166665</v>
      </c>
      <c r="Q502" s="77" t="s">
        <v>1612</v>
      </c>
      <c r="R502" s="77">
        <v>0</v>
      </c>
      <c r="S502" s="77">
        <v>0</v>
      </c>
      <c r="T502" s="77">
        <v>0</v>
      </c>
      <c r="U502" s="77">
        <v>0</v>
      </c>
      <c r="V502" s="77">
        <v>15</v>
      </c>
      <c r="W502" s="82" t="s">
        <v>4411</v>
      </c>
      <c r="X502" s="80" t="str">
        <f>HYPERLINK("https://youtu.be/_y2gWtekqFI")</f>
        <v>https://youtu.be/_y2gWtekqFI</v>
      </c>
      <c r="Y502" s="77" t="s">
        <v>6003</v>
      </c>
      <c r="Z502" s="77"/>
      <c r="AA502" s="77" t="s">
        <v>6422</v>
      </c>
      <c r="AB502" s="77" t="s">
        <v>7696</v>
      </c>
      <c r="AC502" s="82" t="s">
        <v>7708</v>
      </c>
      <c r="AD502" s="77" t="s">
        <v>7745</v>
      </c>
      <c r="AE502" s="80" t="str">
        <f>HYPERLINK("https://twitter.com/dielison_/status/1621584417679413248")</f>
        <v>https://twitter.com/dielison_/status/1621584417679413248</v>
      </c>
      <c r="AF502" s="79">
        <v>44960.791979166665</v>
      </c>
      <c r="AG502" s="85">
        <v>44960</v>
      </c>
      <c r="AH502" s="82" t="s">
        <v>8194</v>
      </c>
      <c r="AI502" s="77" t="b">
        <v>0</v>
      </c>
      <c r="AJ502" s="77"/>
      <c r="AK502" s="77"/>
      <c r="AL502" s="77"/>
      <c r="AM502" s="77"/>
      <c r="AN502" s="77"/>
      <c r="AO502" s="77"/>
      <c r="AP502" s="77"/>
      <c r="AQ502" s="77" t="s">
        <v>10929</v>
      </c>
      <c r="AR502" s="77"/>
      <c r="AS502" s="77"/>
      <c r="AT502" s="77"/>
      <c r="AU502" s="77"/>
      <c r="AV502" s="80" t="str">
        <f>HYPERLINK("https://pbs.twimg.com/media/FoEGbw5XoAcJ4bm.jpg")</f>
        <v>https://pbs.twimg.com/media/FoEGbw5XoAcJ4bm.jpg</v>
      </c>
      <c r="AW502" s="82" t="s">
        <v>12697</v>
      </c>
      <c r="AX502" s="82" t="s">
        <v>12697</v>
      </c>
      <c r="AY502" s="77"/>
      <c r="AZ502" s="82" t="s">
        <v>15804</v>
      </c>
      <c r="BA502" s="82" t="s">
        <v>15804</v>
      </c>
      <c r="BB502" s="82" t="s">
        <v>15804</v>
      </c>
      <c r="BC502" s="82" t="s">
        <v>12697</v>
      </c>
      <c r="BD502" s="77">
        <v>297991789</v>
      </c>
      <c r="BE502" s="77"/>
      <c r="BF502" s="77"/>
      <c r="BG502" s="77"/>
      <c r="BH502" s="77"/>
      <c r="BI502" s="77"/>
    </row>
    <row r="503" spans="1:61" x14ac:dyDescent="0.25">
      <c r="A503" s="62" t="s">
        <v>364</v>
      </c>
      <c r="B503" s="62" t="s">
        <v>364</v>
      </c>
      <c r="C503" s="63"/>
      <c r="D503" s="64"/>
      <c r="E503" s="65"/>
      <c r="F503" s="66"/>
      <c r="G503" s="63"/>
      <c r="H503" s="67"/>
      <c r="I503" s="68"/>
      <c r="J503" s="68"/>
      <c r="K503" s="32"/>
      <c r="L503" s="75">
        <v>503</v>
      </c>
      <c r="M503" s="75"/>
      <c r="N503" s="70"/>
      <c r="O503" s="77" t="s">
        <v>179</v>
      </c>
      <c r="P503" s="79">
        <v>44958.035428240742</v>
      </c>
      <c r="Q503" s="77" t="s">
        <v>1613</v>
      </c>
      <c r="R503" s="77">
        <v>0</v>
      </c>
      <c r="S503" s="77">
        <v>0</v>
      </c>
      <c r="T503" s="77">
        <v>0</v>
      </c>
      <c r="U503" s="77">
        <v>0</v>
      </c>
      <c r="V503" s="77">
        <v>133</v>
      </c>
      <c r="W503" s="82" t="s">
        <v>4412</v>
      </c>
      <c r="X503" s="77"/>
      <c r="Y503" s="77"/>
      <c r="Z503" s="77"/>
      <c r="AA503" s="77" t="s">
        <v>6423</v>
      </c>
      <c r="AB503" s="77" t="s">
        <v>7697</v>
      </c>
      <c r="AC503" s="82" t="s">
        <v>7706</v>
      </c>
      <c r="AD503" s="77" t="s">
        <v>7745</v>
      </c>
      <c r="AE503" s="80" t="str">
        <f>HYPERLINK("https://twitter.com/dielison_/status/1620585477668741120")</f>
        <v>https://twitter.com/dielison_/status/1620585477668741120</v>
      </c>
      <c r="AF503" s="79">
        <v>44958.035428240742</v>
      </c>
      <c r="AG503" s="85">
        <v>44958</v>
      </c>
      <c r="AH503" s="82" t="s">
        <v>8195</v>
      </c>
      <c r="AI503" s="77" t="b">
        <v>0</v>
      </c>
      <c r="AJ503" s="77"/>
      <c r="AK503" s="77"/>
      <c r="AL503" s="77"/>
      <c r="AM503" s="77"/>
      <c r="AN503" s="77"/>
      <c r="AO503" s="77"/>
      <c r="AP503" s="77"/>
      <c r="AQ503" s="77" t="s">
        <v>10930</v>
      </c>
      <c r="AR503" s="77">
        <v>58916</v>
      </c>
      <c r="AS503" s="77"/>
      <c r="AT503" s="77"/>
      <c r="AU503" s="77">
        <v>39</v>
      </c>
      <c r="AV503" s="80" t="str">
        <f>HYPERLINK("https://pbs.twimg.com/ext_tw_video_thumb/1620585150311550976/pu/img/s7I1ef1Vv4EySB2Z.jpg")</f>
        <v>https://pbs.twimg.com/ext_tw_video_thumb/1620585150311550976/pu/img/s7I1ef1Vv4EySB2Z.jpg</v>
      </c>
      <c r="AW503" s="82" t="s">
        <v>12698</v>
      </c>
      <c r="AX503" s="82" t="s">
        <v>12698</v>
      </c>
      <c r="AY503" s="77"/>
      <c r="AZ503" s="82" t="s">
        <v>15804</v>
      </c>
      <c r="BA503" s="82" t="s">
        <v>15804</v>
      </c>
      <c r="BB503" s="82" t="s">
        <v>15804</v>
      </c>
      <c r="BC503" s="82" t="s">
        <v>12698</v>
      </c>
      <c r="BD503" s="77">
        <v>297991789</v>
      </c>
      <c r="BE503" s="77"/>
      <c r="BF503" s="77"/>
      <c r="BG503" s="77"/>
      <c r="BH503" s="77"/>
      <c r="BI503" s="77"/>
    </row>
    <row r="504" spans="1:61" x14ac:dyDescent="0.25">
      <c r="A504" s="62" t="s">
        <v>364</v>
      </c>
      <c r="B504" s="62" t="s">
        <v>364</v>
      </c>
      <c r="C504" s="63"/>
      <c r="D504" s="64"/>
      <c r="E504" s="65"/>
      <c r="F504" s="66"/>
      <c r="G504" s="63"/>
      <c r="H504" s="67"/>
      <c r="I504" s="68"/>
      <c r="J504" s="68"/>
      <c r="K504" s="32"/>
      <c r="L504" s="75">
        <v>504</v>
      </c>
      <c r="M504" s="75"/>
      <c r="N504" s="70"/>
      <c r="O504" s="77" t="s">
        <v>179</v>
      </c>
      <c r="P504" s="79">
        <v>44958.030671296299</v>
      </c>
      <c r="Q504" s="77" t="s">
        <v>1614</v>
      </c>
      <c r="R504" s="77">
        <v>0</v>
      </c>
      <c r="S504" s="77">
        <v>0</v>
      </c>
      <c r="T504" s="77">
        <v>0</v>
      </c>
      <c r="U504" s="77">
        <v>0</v>
      </c>
      <c r="V504" s="77">
        <v>49</v>
      </c>
      <c r="W504" s="82" t="s">
        <v>4413</v>
      </c>
      <c r="X504" s="77"/>
      <c r="Y504" s="77"/>
      <c r="Z504" s="77"/>
      <c r="AA504" s="77" t="s">
        <v>6424</v>
      </c>
      <c r="AB504" s="77" t="s">
        <v>7697</v>
      </c>
      <c r="AC504" s="82" t="s">
        <v>7706</v>
      </c>
      <c r="AD504" s="77" t="s">
        <v>7745</v>
      </c>
      <c r="AE504" s="80" t="str">
        <f>HYPERLINK("https://twitter.com/dielison_/status/1620583751762972673")</f>
        <v>https://twitter.com/dielison_/status/1620583751762972673</v>
      </c>
      <c r="AF504" s="79">
        <v>44958.030671296299</v>
      </c>
      <c r="AG504" s="85">
        <v>44958</v>
      </c>
      <c r="AH504" s="82" t="s">
        <v>8196</v>
      </c>
      <c r="AI504" s="77" t="b">
        <v>0</v>
      </c>
      <c r="AJ504" s="77"/>
      <c r="AK504" s="77"/>
      <c r="AL504" s="77"/>
      <c r="AM504" s="77"/>
      <c r="AN504" s="77"/>
      <c r="AO504" s="77"/>
      <c r="AP504" s="77"/>
      <c r="AQ504" s="77" t="s">
        <v>10931</v>
      </c>
      <c r="AR504" s="77">
        <v>55375</v>
      </c>
      <c r="AS504" s="77"/>
      <c r="AT504" s="77"/>
      <c r="AU504" s="77">
        <v>4</v>
      </c>
      <c r="AV504" s="80" t="str">
        <f>HYPERLINK("https://pbs.twimg.com/ext_tw_video_thumb/1620583432173617153/pu/img/NcEWxQEhLWThjP1z.jpg")</f>
        <v>https://pbs.twimg.com/ext_tw_video_thumb/1620583432173617153/pu/img/NcEWxQEhLWThjP1z.jpg</v>
      </c>
      <c r="AW504" s="82" t="s">
        <v>12699</v>
      </c>
      <c r="AX504" s="82" t="s">
        <v>12699</v>
      </c>
      <c r="AY504" s="77"/>
      <c r="AZ504" s="82" t="s">
        <v>15804</v>
      </c>
      <c r="BA504" s="82" t="s">
        <v>15804</v>
      </c>
      <c r="BB504" s="82" t="s">
        <v>15804</v>
      </c>
      <c r="BC504" s="82" t="s">
        <v>12699</v>
      </c>
      <c r="BD504" s="77">
        <v>297991789</v>
      </c>
      <c r="BE504" s="77"/>
      <c r="BF504" s="77"/>
      <c r="BG504" s="77"/>
      <c r="BH504" s="77"/>
      <c r="BI504" s="77"/>
    </row>
    <row r="505" spans="1:61" x14ac:dyDescent="0.25">
      <c r="A505" s="62" t="s">
        <v>364</v>
      </c>
      <c r="B505" s="62" t="s">
        <v>364</v>
      </c>
      <c r="C505" s="63"/>
      <c r="D505" s="64"/>
      <c r="E505" s="65"/>
      <c r="F505" s="66"/>
      <c r="G505" s="63"/>
      <c r="H505" s="67"/>
      <c r="I505" s="68"/>
      <c r="J505" s="68"/>
      <c r="K505" s="32"/>
      <c r="L505" s="75">
        <v>505</v>
      </c>
      <c r="M505" s="75"/>
      <c r="N505" s="70"/>
      <c r="O505" s="77" t="s">
        <v>179</v>
      </c>
      <c r="P505" s="79">
        <v>44958.029317129629</v>
      </c>
      <c r="Q505" s="77" t="s">
        <v>1615</v>
      </c>
      <c r="R505" s="77">
        <v>0</v>
      </c>
      <c r="S505" s="77">
        <v>2</v>
      </c>
      <c r="T505" s="77">
        <v>0</v>
      </c>
      <c r="U505" s="77">
        <v>0</v>
      </c>
      <c r="V505" s="77">
        <v>546</v>
      </c>
      <c r="W505" s="82" t="s">
        <v>4414</v>
      </c>
      <c r="X505" s="77"/>
      <c r="Y505" s="77"/>
      <c r="Z505" s="77"/>
      <c r="AA505" s="77" t="s">
        <v>6425</v>
      </c>
      <c r="AB505" s="77" t="s">
        <v>7697</v>
      </c>
      <c r="AC505" s="82" t="s">
        <v>7706</v>
      </c>
      <c r="AD505" s="77" t="s">
        <v>7745</v>
      </c>
      <c r="AE505" s="80" t="str">
        <f>HYPERLINK("https://twitter.com/dielison_/status/1620583260966518784")</f>
        <v>https://twitter.com/dielison_/status/1620583260966518784</v>
      </c>
      <c r="AF505" s="79">
        <v>44958.029317129629</v>
      </c>
      <c r="AG505" s="85">
        <v>44958</v>
      </c>
      <c r="AH505" s="82" t="s">
        <v>8197</v>
      </c>
      <c r="AI505" s="77" t="b">
        <v>0</v>
      </c>
      <c r="AJ505" s="77"/>
      <c r="AK505" s="77"/>
      <c r="AL505" s="77"/>
      <c r="AM505" s="77"/>
      <c r="AN505" s="77"/>
      <c r="AO505" s="77"/>
      <c r="AP505" s="77"/>
      <c r="AQ505" s="77" t="s">
        <v>10932</v>
      </c>
      <c r="AR505" s="77">
        <v>57291</v>
      </c>
      <c r="AS505" s="77"/>
      <c r="AT505" s="77"/>
      <c r="AU505" s="77">
        <v>240</v>
      </c>
      <c r="AV505" s="80" t="str">
        <f>HYPERLINK("https://pbs.twimg.com/ext_tw_video_thumb/1620582977766924289/pu/img/1RE7LK1IWGD7B9Ts.jpg")</f>
        <v>https://pbs.twimg.com/ext_tw_video_thumb/1620582977766924289/pu/img/1RE7LK1IWGD7B9Ts.jpg</v>
      </c>
      <c r="AW505" s="82" t="s">
        <v>12700</v>
      </c>
      <c r="AX505" s="82" t="s">
        <v>12700</v>
      </c>
      <c r="AY505" s="77"/>
      <c r="AZ505" s="82" t="s">
        <v>15804</v>
      </c>
      <c r="BA505" s="82" t="s">
        <v>15804</v>
      </c>
      <c r="BB505" s="82" t="s">
        <v>15804</v>
      </c>
      <c r="BC505" s="82" t="s">
        <v>12700</v>
      </c>
      <c r="BD505" s="77">
        <v>297991789</v>
      </c>
      <c r="BE505" s="77"/>
      <c r="BF505" s="77"/>
      <c r="BG505" s="77"/>
      <c r="BH505" s="77"/>
      <c r="BI505" s="77"/>
    </row>
    <row r="506" spans="1:61" x14ac:dyDescent="0.25">
      <c r="A506" s="62" t="s">
        <v>364</v>
      </c>
      <c r="B506" s="62" t="s">
        <v>364</v>
      </c>
      <c r="C506" s="63"/>
      <c r="D506" s="64"/>
      <c r="E506" s="65"/>
      <c r="F506" s="66"/>
      <c r="G506" s="63"/>
      <c r="H506" s="67"/>
      <c r="I506" s="68"/>
      <c r="J506" s="68"/>
      <c r="K506" s="32"/>
      <c r="L506" s="75">
        <v>506</v>
      </c>
      <c r="M506" s="75"/>
      <c r="N506" s="70"/>
      <c r="O506" s="77" t="s">
        <v>179</v>
      </c>
      <c r="P506" s="79">
        <v>44958.027326388888</v>
      </c>
      <c r="Q506" s="77" t="s">
        <v>1616</v>
      </c>
      <c r="R506" s="77">
        <v>0</v>
      </c>
      <c r="S506" s="77">
        <v>0</v>
      </c>
      <c r="T506" s="77">
        <v>0</v>
      </c>
      <c r="U506" s="77">
        <v>0</v>
      </c>
      <c r="V506" s="77">
        <v>118</v>
      </c>
      <c r="W506" s="82" t="s">
        <v>4413</v>
      </c>
      <c r="X506" s="77"/>
      <c r="Y506" s="77"/>
      <c r="Z506" s="77"/>
      <c r="AA506" s="77" t="s">
        <v>6426</v>
      </c>
      <c r="AB506" s="77" t="s">
        <v>7697</v>
      </c>
      <c r="AC506" s="82" t="s">
        <v>7706</v>
      </c>
      <c r="AD506" s="77" t="s">
        <v>7745</v>
      </c>
      <c r="AE506" s="80" t="str">
        <f>HYPERLINK("https://twitter.com/dielison_/status/1620582542956191744")</f>
        <v>https://twitter.com/dielison_/status/1620582542956191744</v>
      </c>
      <c r="AF506" s="79">
        <v>44958.027326388888</v>
      </c>
      <c r="AG506" s="85">
        <v>44958</v>
      </c>
      <c r="AH506" s="82" t="s">
        <v>8198</v>
      </c>
      <c r="AI506" s="77" t="b">
        <v>0</v>
      </c>
      <c r="AJ506" s="77"/>
      <c r="AK506" s="77"/>
      <c r="AL506" s="77"/>
      <c r="AM506" s="77"/>
      <c r="AN506" s="77"/>
      <c r="AO506" s="77"/>
      <c r="AP506" s="77"/>
      <c r="AQ506" s="77" t="s">
        <v>10933</v>
      </c>
      <c r="AR506" s="77">
        <v>56750</v>
      </c>
      <c r="AS506" s="77"/>
      <c r="AT506" s="77"/>
      <c r="AU506" s="77">
        <v>21</v>
      </c>
      <c r="AV506" s="80" t="str">
        <f>HYPERLINK("https://pbs.twimg.com/ext_tw_video_thumb/1620582130144231424/pu/img/gh_0kVmKAgqPn21v.jpg")</f>
        <v>https://pbs.twimg.com/ext_tw_video_thumb/1620582130144231424/pu/img/gh_0kVmKAgqPn21v.jpg</v>
      </c>
      <c r="AW506" s="82" t="s">
        <v>12701</v>
      </c>
      <c r="AX506" s="82" t="s">
        <v>12701</v>
      </c>
      <c r="AY506" s="77"/>
      <c r="AZ506" s="82" t="s">
        <v>15804</v>
      </c>
      <c r="BA506" s="82" t="s">
        <v>15804</v>
      </c>
      <c r="BB506" s="82" t="s">
        <v>15804</v>
      </c>
      <c r="BC506" s="82" t="s">
        <v>12701</v>
      </c>
      <c r="BD506" s="77">
        <v>297991789</v>
      </c>
      <c r="BE506" s="77"/>
      <c r="BF506" s="77"/>
      <c r="BG506" s="77"/>
      <c r="BH506" s="77"/>
      <c r="BI506" s="77"/>
    </row>
    <row r="507" spans="1:61" x14ac:dyDescent="0.25">
      <c r="A507" s="62" t="s">
        <v>364</v>
      </c>
      <c r="B507" s="62" t="s">
        <v>364</v>
      </c>
      <c r="C507" s="63"/>
      <c r="D507" s="64"/>
      <c r="E507" s="65"/>
      <c r="F507" s="66"/>
      <c r="G507" s="63"/>
      <c r="H507" s="67"/>
      <c r="I507" s="68"/>
      <c r="J507" s="68"/>
      <c r="K507" s="32"/>
      <c r="L507" s="75">
        <v>507</v>
      </c>
      <c r="M507" s="75"/>
      <c r="N507" s="70"/>
      <c r="O507" s="77" t="s">
        <v>179</v>
      </c>
      <c r="P507" s="79">
        <v>44958.016273148147</v>
      </c>
      <c r="Q507" s="77" t="s">
        <v>1617</v>
      </c>
      <c r="R507" s="77">
        <v>0</v>
      </c>
      <c r="S507" s="77">
        <v>0</v>
      </c>
      <c r="T507" s="77">
        <v>0</v>
      </c>
      <c r="U507" s="77">
        <v>0</v>
      </c>
      <c r="V507" s="77">
        <v>118</v>
      </c>
      <c r="W507" s="82" t="s">
        <v>4415</v>
      </c>
      <c r="X507" s="77"/>
      <c r="Y507" s="77"/>
      <c r="Z507" s="77"/>
      <c r="AA507" s="77" t="s">
        <v>6427</v>
      </c>
      <c r="AB507" s="77" t="s">
        <v>7697</v>
      </c>
      <c r="AC507" s="82" t="s">
        <v>7706</v>
      </c>
      <c r="AD507" s="77" t="s">
        <v>7745</v>
      </c>
      <c r="AE507" s="80" t="str">
        <f>HYPERLINK("https://twitter.com/dielison_/status/1620578537366495234")</f>
        <v>https://twitter.com/dielison_/status/1620578537366495234</v>
      </c>
      <c r="AF507" s="79">
        <v>44958.016273148147</v>
      </c>
      <c r="AG507" s="85">
        <v>44958</v>
      </c>
      <c r="AH507" s="82" t="s">
        <v>8199</v>
      </c>
      <c r="AI507" s="77" t="b">
        <v>0</v>
      </c>
      <c r="AJ507" s="77"/>
      <c r="AK507" s="77"/>
      <c r="AL507" s="77"/>
      <c r="AM507" s="77"/>
      <c r="AN507" s="77"/>
      <c r="AO507" s="77"/>
      <c r="AP507" s="77"/>
      <c r="AQ507" s="77" t="s">
        <v>10934</v>
      </c>
      <c r="AR507" s="77">
        <v>53541</v>
      </c>
      <c r="AS507" s="77"/>
      <c r="AT507" s="77"/>
      <c r="AU507" s="77">
        <v>29</v>
      </c>
      <c r="AV507" s="80" t="str">
        <f>HYPERLINK("https://pbs.twimg.com/ext_tw_video_thumb/1620578375621279745/pu/img/fWWDnaSUfcxFhuEU.jpg")</f>
        <v>https://pbs.twimg.com/ext_tw_video_thumb/1620578375621279745/pu/img/fWWDnaSUfcxFhuEU.jpg</v>
      </c>
      <c r="AW507" s="82" t="s">
        <v>12702</v>
      </c>
      <c r="AX507" s="82" t="s">
        <v>12702</v>
      </c>
      <c r="AY507" s="77"/>
      <c r="AZ507" s="82" t="s">
        <v>15804</v>
      </c>
      <c r="BA507" s="82" t="s">
        <v>15804</v>
      </c>
      <c r="BB507" s="82" t="s">
        <v>15804</v>
      </c>
      <c r="BC507" s="82" t="s">
        <v>12702</v>
      </c>
      <c r="BD507" s="77">
        <v>297991789</v>
      </c>
      <c r="BE507" s="77"/>
      <c r="BF507" s="77"/>
      <c r="BG507" s="77"/>
      <c r="BH507" s="77"/>
      <c r="BI507" s="77"/>
    </row>
    <row r="508" spans="1:61" x14ac:dyDescent="0.25">
      <c r="A508" s="62" t="s">
        <v>364</v>
      </c>
      <c r="B508" s="62" t="s">
        <v>364</v>
      </c>
      <c r="C508" s="63"/>
      <c r="D508" s="64"/>
      <c r="E508" s="65"/>
      <c r="F508" s="66"/>
      <c r="G508" s="63"/>
      <c r="H508" s="67"/>
      <c r="I508" s="68"/>
      <c r="J508" s="68"/>
      <c r="K508" s="32"/>
      <c r="L508" s="75">
        <v>508</v>
      </c>
      <c r="M508" s="75"/>
      <c r="N508" s="70"/>
      <c r="O508" s="77" t="s">
        <v>179</v>
      </c>
      <c r="P508" s="79">
        <v>44958.0156712963</v>
      </c>
      <c r="Q508" s="77" t="s">
        <v>1618</v>
      </c>
      <c r="R508" s="77">
        <v>0</v>
      </c>
      <c r="S508" s="77">
        <v>0</v>
      </c>
      <c r="T508" s="77">
        <v>0</v>
      </c>
      <c r="U508" s="77">
        <v>0</v>
      </c>
      <c r="V508" s="77">
        <v>95</v>
      </c>
      <c r="W508" s="82" t="s">
        <v>4415</v>
      </c>
      <c r="X508" s="77"/>
      <c r="Y508" s="77"/>
      <c r="Z508" s="77"/>
      <c r="AA508" s="77" t="s">
        <v>6428</v>
      </c>
      <c r="AB508" s="77" t="s">
        <v>7697</v>
      </c>
      <c r="AC508" s="82" t="s">
        <v>7706</v>
      </c>
      <c r="AD508" s="77" t="s">
        <v>7745</v>
      </c>
      <c r="AE508" s="80" t="str">
        <f>HYPERLINK("https://twitter.com/dielison_/status/1620578317329104899")</f>
        <v>https://twitter.com/dielison_/status/1620578317329104899</v>
      </c>
      <c r="AF508" s="79">
        <v>44958.0156712963</v>
      </c>
      <c r="AG508" s="85">
        <v>44958</v>
      </c>
      <c r="AH508" s="82" t="s">
        <v>7882</v>
      </c>
      <c r="AI508" s="77" t="b">
        <v>0</v>
      </c>
      <c r="AJ508" s="77"/>
      <c r="AK508" s="77"/>
      <c r="AL508" s="77"/>
      <c r="AM508" s="77"/>
      <c r="AN508" s="77"/>
      <c r="AO508" s="77"/>
      <c r="AP508" s="77"/>
      <c r="AQ508" s="77" t="s">
        <v>10935</v>
      </c>
      <c r="AR508" s="77">
        <v>58291</v>
      </c>
      <c r="AS508" s="77"/>
      <c r="AT508" s="77"/>
      <c r="AU508" s="77">
        <v>19</v>
      </c>
      <c r="AV508" s="80" t="str">
        <f>HYPERLINK("https://pbs.twimg.com/ext_tw_video_thumb/1620578111443156994/pu/img/CGfsz4vX70xqSyi0.jpg")</f>
        <v>https://pbs.twimg.com/ext_tw_video_thumb/1620578111443156994/pu/img/CGfsz4vX70xqSyi0.jpg</v>
      </c>
      <c r="AW508" s="82" t="s">
        <v>12703</v>
      </c>
      <c r="AX508" s="82" t="s">
        <v>12703</v>
      </c>
      <c r="AY508" s="77"/>
      <c r="AZ508" s="82" t="s">
        <v>15804</v>
      </c>
      <c r="BA508" s="82" t="s">
        <v>15804</v>
      </c>
      <c r="BB508" s="82" t="s">
        <v>15804</v>
      </c>
      <c r="BC508" s="82" t="s">
        <v>12703</v>
      </c>
      <c r="BD508" s="77">
        <v>297991789</v>
      </c>
      <c r="BE508" s="77"/>
      <c r="BF508" s="77"/>
      <c r="BG508" s="77"/>
      <c r="BH508" s="77"/>
      <c r="BI508" s="77"/>
    </row>
    <row r="509" spans="1:61" x14ac:dyDescent="0.25">
      <c r="A509" s="62" t="s">
        <v>364</v>
      </c>
      <c r="B509" s="62" t="s">
        <v>364</v>
      </c>
      <c r="C509" s="63"/>
      <c r="D509" s="64"/>
      <c r="E509" s="65"/>
      <c r="F509" s="66"/>
      <c r="G509" s="63"/>
      <c r="H509" s="67"/>
      <c r="I509" s="68"/>
      <c r="J509" s="68"/>
      <c r="K509" s="32"/>
      <c r="L509" s="75">
        <v>509</v>
      </c>
      <c r="M509" s="75"/>
      <c r="N509" s="70"/>
      <c r="O509" s="77" t="s">
        <v>179</v>
      </c>
      <c r="P509" s="79">
        <v>44958.005011574074</v>
      </c>
      <c r="Q509" s="77" t="s">
        <v>1619</v>
      </c>
      <c r="R509" s="77">
        <v>0</v>
      </c>
      <c r="S509" s="77">
        <v>0</v>
      </c>
      <c r="T509" s="77">
        <v>0</v>
      </c>
      <c r="U509" s="77">
        <v>0</v>
      </c>
      <c r="V509" s="77">
        <v>46</v>
      </c>
      <c r="W509" s="82" t="s">
        <v>4415</v>
      </c>
      <c r="X509" s="77"/>
      <c r="Y509" s="77"/>
      <c r="Z509" s="77"/>
      <c r="AA509" s="77" t="s">
        <v>6429</v>
      </c>
      <c r="AB509" s="77" t="s">
        <v>7697</v>
      </c>
      <c r="AC509" s="82" t="s">
        <v>7706</v>
      </c>
      <c r="AD509" s="77" t="s">
        <v>7745</v>
      </c>
      <c r="AE509" s="80" t="str">
        <f>HYPERLINK("https://twitter.com/dielison_/status/1620574453678899200")</f>
        <v>https://twitter.com/dielison_/status/1620574453678899200</v>
      </c>
      <c r="AF509" s="79">
        <v>44958.005011574074</v>
      </c>
      <c r="AG509" s="85">
        <v>44958</v>
      </c>
      <c r="AH509" s="82" t="s">
        <v>8200</v>
      </c>
      <c r="AI509" s="77" t="b">
        <v>0</v>
      </c>
      <c r="AJ509" s="77"/>
      <c r="AK509" s="77"/>
      <c r="AL509" s="77"/>
      <c r="AM509" s="77"/>
      <c r="AN509" s="77"/>
      <c r="AO509" s="77"/>
      <c r="AP509" s="77"/>
      <c r="AQ509" s="77" t="s">
        <v>10936</v>
      </c>
      <c r="AR509" s="77">
        <v>56625</v>
      </c>
      <c r="AS509" s="77"/>
      <c r="AT509" s="77"/>
      <c r="AU509" s="77">
        <v>11</v>
      </c>
      <c r="AV509" s="80" t="str">
        <f>HYPERLINK("https://pbs.twimg.com/ext_tw_video_thumb/1620573466696028161/pu/img/WRYEwMrGFAQH3LiG.jpg")</f>
        <v>https://pbs.twimg.com/ext_tw_video_thumb/1620573466696028161/pu/img/WRYEwMrGFAQH3LiG.jpg</v>
      </c>
      <c r="AW509" s="82" t="s">
        <v>12704</v>
      </c>
      <c r="AX509" s="82" t="s">
        <v>12704</v>
      </c>
      <c r="AY509" s="77"/>
      <c r="AZ509" s="82" t="s">
        <v>15804</v>
      </c>
      <c r="BA509" s="82" t="s">
        <v>15804</v>
      </c>
      <c r="BB509" s="82" t="s">
        <v>15804</v>
      </c>
      <c r="BC509" s="82" t="s">
        <v>12704</v>
      </c>
      <c r="BD509" s="77">
        <v>297991789</v>
      </c>
      <c r="BE509" s="77"/>
      <c r="BF509" s="77"/>
      <c r="BG509" s="77"/>
      <c r="BH509" s="77"/>
      <c r="BI509" s="77"/>
    </row>
    <row r="510" spans="1:61" x14ac:dyDescent="0.25">
      <c r="A510" s="62" t="s">
        <v>364</v>
      </c>
      <c r="B510" s="62" t="s">
        <v>364</v>
      </c>
      <c r="C510" s="63"/>
      <c r="D510" s="64"/>
      <c r="E510" s="65"/>
      <c r="F510" s="66"/>
      <c r="G510" s="63"/>
      <c r="H510" s="67"/>
      <c r="I510" s="68"/>
      <c r="J510" s="68"/>
      <c r="K510" s="32"/>
      <c r="L510" s="75">
        <v>510</v>
      </c>
      <c r="M510" s="75"/>
      <c r="N510" s="70"/>
      <c r="O510" s="77" t="s">
        <v>1132</v>
      </c>
      <c r="P510" s="79">
        <v>44956.813321759262</v>
      </c>
      <c r="Q510" s="77" t="s">
        <v>1620</v>
      </c>
      <c r="R510" s="77">
        <v>0</v>
      </c>
      <c r="S510" s="77">
        <v>0</v>
      </c>
      <c r="T510" s="77">
        <v>1</v>
      </c>
      <c r="U510" s="77">
        <v>0</v>
      </c>
      <c r="V510" s="77">
        <v>3</v>
      </c>
      <c r="W510" s="82" t="s">
        <v>4416</v>
      </c>
      <c r="X510" s="77"/>
      <c r="Y510" s="77"/>
      <c r="Z510" s="77"/>
      <c r="AA510" s="77"/>
      <c r="AB510" s="77"/>
      <c r="AC510" s="82" t="s">
        <v>7706</v>
      </c>
      <c r="AD510" s="77" t="s">
        <v>7745</v>
      </c>
      <c r="AE510" s="80" t="str">
        <f>HYPERLINK("https://twitter.com/dielison_/status/1620142599947583488")</f>
        <v>https://twitter.com/dielison_/status/1620142599947583488</v>
      </c>
      <c r="AF510" s="79">
        <v>44956.813321759262</v>
      </c>
      <c r="AG510" s="85">
        <v>44956</v>
      </c>
      <c r="AH510" s="82" t="s">
        <v>8201</v>
      </c>
      <c r="AI510" s="77"/>
      <c r="AJ510" s="77"/>
      <c r="AK510" s="77"/>
      <c r="AL510" s="77"/>
      <c r="AM510" s="77"/>
      <c r="AN510" s="77"/>
      <c r="AO510" s="77"/>
      <c r="AP510" s="77"/>
      <c r="AQ510" s="77"/>
      <c r="AR510" s="77"/>
      <c r="AS510" s="77"/>
      <c r="AT510" s="77"/>
      <c r="AU510" s="77"/>
      <c r="AV510" s="80" t="str">
        <f>HYPERLINK("https://pbs.twimg.com/profile_images/1673031564274331650/UJXLLwks_normal.jpg")</f>
        <v>https://pbs.twimg.com/profile_images/1673031564274331650/UJXLLwks_normal.jpg</v>
      </c>
      <c r="AW510" s="82" t="s">
        <v>12705</v>
      </c>
      <c r="AX510" s="82" t="s">
        <v>15273</v>
      </c>
      <c r="AY510" s="82" t="s">
        <v>15700</v>
      </c>
      <c r="AZ510" s="82" t="s">
        <v>15273</v>
      </c>
      <c r="BA510" s="82" t="s">
        <v>15804</v>
      </c>
      <c r="BB510" s="82" t="s">
        <v>15804</v>
      </c>
      <c r="BC510" s="82" t="s">
        <v>15273</v>
      </c>
      <c r="BD510" s="77">
        <v>297991789</v>
      </c>
      <c r="BE510" s="77"/>
      <c r="BF510" s="77"/>
      <c r="BG510" s="77"/>
      <c r="BH510" s="77"/>
      <c r="BI510" s="77"/>
    </row>
    <row r="511" spans="1:61" x14ac:dyDescent="0.25">
      <c r="A511" s="62" t="s">
        <v>364</v>
      </c>
      <c r="B511" s="62" t="s">
        <v>364</v>
      </c>
      <c r="C511" s="63"/>
      <c r="D511" s="64"/>
      <c r="E511" s="65"/>
      <c r="F511" s="66"/>
      <c r="G511" s="63"/>
      <c r="H511" s="67"/>
      <c r="I511" s="68"/>
      <c r="J511" s="68"/>
      <c r="K511" s="32"/>
      <c r="L511" s="75">
        <v>511</v>
      </c>
      <c r="M511" s="75"/>
      <c r="N511" s="70"/>
      <c r="O511" s="77" t="s">
        <v>179</v>
      </c>
      <c r="P511" s="79">
        <v>45040.972337962965</v>
      </c>
      <c r="Q511" s="77" t="s">
        <v>1621</v>
      </c>
      <c r="R511" s="77">
        <v>0</v>
      </c>
      <c r="S511" s="77">
        <v>0</v>
      </c>
      <c r="T511" s="77">
        <v>0</v>
      </c>
      <c r="U511" s="77">
        <v>0</v>
      </c>
      <c r="V511" s="77">
        <v>10</v>
      </c>
      <c r="W511" s="82" t="s">
        <v>4258</v>
      </c>
      <c r="X511" s="80" t="str">
        <f>HYPERLINK("https://accounts.binance.com/pt-BR/register-person?ref=139033146")</f>
        <v>https://accounts.binance.com/pt-BR/register-person?ref=139033146</v>
      </c>
      <c r="Y511" s="77" t="s">
        <v>6028</v>
      </c>
      <c r="Z511" s="77"/>
      <c r="AA511" s="77"/>
      <c r="AB511" s="77"/>
      <c r="AC511" s="82" t="s">
        <v>7708</v>
      </c>
      <c r="AD511" s="77" t="s">
        <v>7745</v>
      </c>
      <c r="AE511" s="80" t="str">
        <f>HYPERLINK("https://twitter.com/dielison_/status/1650640805285986304")</f>
        <v>https://twitter.com/dielison_/status/1650640805285986304</v>
      </c>
      <c r="AF511" s="79">
        <v>45040.972337962965</v>
      </c>
      <c r="AG511" s="85">
        <v>45040</v>
      </c>
      <c r="AH511" s="82" t="s">
        <v>8202</v>
      </c>
      <c r="AI511" s="77" t="b">
        <v>0</v>
      </c>
      <c r="AJ511" s="77"/>
      <c r="AK511" s="77"/>
      <c r="AL511" s="77"/>
      <c r="AM511" s="77"/>
      <c r="AN511" s="77"/>
      <c r="AO511" s="77"/>
      <c r="AP511" s="77"/>
      <c r="AQ511" s="77"/>
      <c r="AR511" s="77"/>
      <c r="AS511" s="77"/>
      <c r="AT511" s="77"/>
      <c r="AU511" s="77"/>
      <c r="AV511" s="80" t="str">
        <f>HYPERLINK("https://pbs.twimg.com/profile_images/1673031564274331650/UJXLLwks_normal.jpg")</f>
        <v>https://pbs.twimg.com/profile_images/1673031564274331650/UJXLLwks_normal.jpg</v>
      </c>
      <c r="AW511" s="82" t="s">
        <v>12706</v>
      </c>
      <c r="AX511" s="82" t="s">
        <v>12706</v>
      </c>
      <c r="AY511" s="77"/>
      <c r="AZ511" s="82" t="s">
        <v>15804</v>
      </c>
      <c r="BA511" s="82" t="s">
        <v>15804</v>
      </c>
      <c r="BB511" s="82" t="s">
        <v>15804</v>
      </c>
      <c r="BC511" s="82" t="s">
        <v>12706</v>
      </c>
      <c r="BD511" s="77">
        <v>297991789</v>
      </c>
      <c r="BE511" s="77"/>
      <c r="BF511" s="77"/>
      <c r="BG511" s="77"/>
      <c r="BH511" s="77"/>
      <c r="BI511" s="77"/>
    </row>
    <row r="512" spans="1:61" x14ac:dyDescent="0.25">
      <c r="A512" s="62" t="s">
        <v>364</v>
      </c>
      <c r="B512" s="62" t="s">
        <v>364</v>
      </c>
      <c r="C512" s="63"/>
      <c r="D512" s="64"/>
      <c r="E512" s="65"/>
      <c r="F512" s="66"/>
      <c r="G512" s="63"/>
      <c r="H512" s="67"/>
      <c r="I512" s="68"/>
      <c r="J512" s="68"/>
      <c r="K512" s="32"/>
      <c r="L512" s="75">
        <v>512</v>
      </c>
      <c r="M512" s="75"/>
      <c r="N512" s="70"/>
      <c r="O512" s="77" t="s">
        <v>179</v>
      </c>
      <c r="P512" s="79">
        <v>45046.63554398148</v>
      </c>
      <c r="Q512" s="77" t="s">
        <v>1622</v>
      </c>
      <c r="R512" s="77">
        <v>0</v>
      </c>
      <c r="S512" s="77">
        <v>1</v>
      </c>
      <c r="T512" s="77">
        <v>0</v>
      </c>
      <c r="U512" s="77">
        <v>0</v>
      </c>
      <c r="V512" s="77">
        <v>23</v>
      </c>
      <c r="W512" s="82" t="s">
        <v>4417</v>
      </c>
      <c r="X512" s="77"/>
      <c r="Y512" s="77"/>
      <c r="Z512" s="77"/>
      <c r="AA512" s="77" t="s">
        <v>6430</v>
      </c>
      <c r="AB512" s="77" t="s">
        <v>7696</v>
      </c>
      <c r="AC512" s="82" t="s">
        <v>7708</v>
      </c>
      <c r="AD512" s="77" t="s">
        <v>7745</v>
      </c>
      <c r="AE512" s="80" t="str">
        <f>HYPERLINK("https://twitter.com/dielison_/status/1652693084398821377")</f>
        <v>https://twitter.com/dielison_/status/1652693084398821377</v>
      </c>
      <c r="AF512" s="79">
        <v>45046.63554398148</v>
      </c>
      <c r="AG512" s="85">
        <v>45046</v>
      </c>
      <c r="AH512" s="82" t="s">
        <v>8203</v>
      </c>
      <c r="AI512" s="77" t="b">
        <v>0</v>
      </c>
      <c r="AJ512" s="77"/>
      <c r="AK512" s="77"/>
      <c r="AL512" s="77"/>
      <c r="AM512" s="77"/>
      <c r="AN512" s="77"/>
      <c r="AO512" s="77"/>
      <c r="AP512" s="77"/>
      <c r="AQ512" s="77" t="s">
        <v>10937</v>
      </c>
      <c r="AR512" s="77"/>
      <c r="AS512" s="77"/>
      <c r="AT512" s="77"/>
      <c r="AU512" s="77"/>
      <c r="AV512" s="80" t="str">
        <f>HYPERLINK("https://pbs.twimg.com/media/Fu-LmkVWYAIti51.jpg")</f>
        <v>https://pbs.twimg.com/media/Fu-LmkVWYAIti51.jpg</v>
      </c>
      <c r="AW512" s="82" t="s">
        <v>12707</v>
      </c>
      <c r="AX512" s="82" t="s">
        <v>12707</v>
      </c>
      <c r="AY512" s="77"/>
      <c r="AZ512" s="82" t="s">
        <v>15804</v>
      </c>
      <c r="BA512" s="82" t="s">
        <v>15804</v>
      </c>
      <c r="BB512" s="82" t="s">
        <v>15804</v>
      </c>
      <c r="BC512" s="82" t="s">
        <v>12707</v>
      </c>
      <c r="BD512" s="77">
        <v>297991789</v>
      </c>
      <c r="BE512" s="77"/>
      <c r="BF512" s="77"/>
      <c r="BG512" s="77"/>
      <c r="BH512" s="77"/>
      <c r="BI512" s="77"/>
    </row>
    <row r="513" spans="1:61" x14ac:dyDescent="0.25">
      <c r="A513" s="62" t="s">
        <v>365</v>
      </c>
      <c r="B513" s="62" t="s">
        <v>365</v>
      </c>
      <c r="C513" s="63"/>
      <c r="D513" s="64"/>
      <c r="E513" s="65"/>
      <c r="F513" s="66"/>
      <c r="G513" s="63"/>
      <c r="H513" s="67"/>
      <c r="I513" s="68"/>
      <c r="J513" s="68"/>
      <c r="K513" s="32"/>
      <c r="L513" s="75">
        <v>513</v>
      </c>
      <c r="M513" s="75"/>
      <c r="N513" s="70"/>
      <c r="O513" s="77" t="s">
        <v>179</v>
      </c>
      <c r="P513" s="79">
        <v>44949.031724537039</v>
      </c>
      <c r="Q513" s="77" t="s">
        <v>1623</v>
      </c>
      <c r="R513" s="77">
        <v>0</v>
      </c>
      <c r="S513" s="77">
        <v>0</v>
      </c>
      <c r="T513" s="77">
        <v>0</v>
      </c>
      <c r="U513" s="77">
        <v>0</v>
      </c>
      <c r="V513" s="77">
        <v>23</v>
      </c>
      <c r="W513" s="82" t="s">
        <v>4418</v>
      </c>
      <c r="X513" s="77"/>
      <c r="Y513" s="77"/>
      <c r="Z513" s="77"/>
      <c r="AA513" s="77" t="s">
        <v>6431</v>
      </c>
      <c r="AB513" s="77" t="s">
        <v>7696</v>
      </c>
      <c r="AC513" s="82" t="s">
        <v>7707</v>
      </c>
      <c r="AD513" s="77" t="s">
        <v>7746</v>
      </c>
      <c r="AE513" s="80" t="str">
        <f>HYPERLINK("https://twitter.com/pinchapila/status/1617322643820101632")</f>
        <v>https://twitter.com/pinchapila/status/1617322643820101632</v>
      </c>
      <c r="AF513" s="79">
        <v>44949.031724537039</v>
      </c>
      <c r="AG513" s="85">
        <v>44949</v>
      </c>
      <c r="AH513" s="82" t="s">
        <v>8204</v>
      </c>
      <c r="AI513" s="77" t="b">
        <v>0</v>
      </c>
      <c r="AJ513" s="77"/>
      <c r="AK513" s="77"/>
      <c r="AL513" s="77"/>
      <c r="AM513" s="77"/>
      <c r="AN513" s="77"/>
      <c r="AO513" s="77"/>
      <c r="AP513" s="77"/>
      <c r="AQ513" s="77" t="s">
        <v>10938</v>
      </c>
      <c r="AR513" s="77"/>
      <c r="AS513" s="77"/>
      <c r="AT513" s="77"/>
      <c r="AU513" s="77"/>
      <c r="AV513" s="80" t="str">
        <f>HYPERLINK("https://pbs.twimg.com/media/FnHiX2BWAAMdJGv.jpg")</f>
        <v>https://pbs.twimg.com/media/FnHiX2BWAAMdJGv.jpg</v>
      </c>
      <c r="AW513" s="82" t="s">
        <v>12708</v>
      </c>
      <c r="AX513" s="82" t="s">
        <v>12708</v>
      </c>
      <c r="AY513" s="77"/>
      <c r="AZ513" s="82" t="s">
        <v>15804</v>
      </c>
      <c r="BA513" s="82" t="s">
        <v>15804</v>
      </c>
      <c r="BB513" s="82" t="s">
        <v>15804</v>
      </c>
      <c r="BC513" s="82" t="s">
        <v>12708</v>
      </c>
      <c r="BD513" s="82" t="s">
        <v>16214</v>
      </c>
      <c r="BE513" s="77"/>
      <c r="BF513" s="77"/>
      <c r="BG513" s="77"/>
      <c r="BH513" s="77"/>
      <c r="BI513" s="77"/>
    </row>
    <row r="514" spans="1:61" x14ac:dyDescent="0.25">
      <c r="A514" s="62" t="s">
        <v>366</v>
      </c>
      <c r="B514" s="62" t="s">
        <v>366</v>
      </c>
      <c r="C514" s="63"/>
      <c r="D514" s="64"/>
      <c r="E514" s="65"/>
      <c r="F514" s="66"/>
      <c r="G514" s="63"/>
      <c r="H514" s="67"/>
      <c r="I514" s="68"/>
      <c r="J514" s="68"/>
      <c r="K514" s="32"/>
      <c r="L514" s="75">
        <v>514</v>
      </c>
      <c r="M514" s="75"/>
      <c r="N514" s="70"/>
      <c r="O514" s="77" t="s">
        <v>179</v>
      </c>
      <c r="P514" s="79">
        <v>44966.924259259256</v>
      </c>
      <c r="Q514" s="77" t="s">
        <v>1624</v>
      </c>
      <c r="R514" s="77">
        <v>0</v>
      </c>
      <c r="S514" s="77">
        <v>0</v>
      </c>
      <c r="T514" s="77">
        <v>0</v>
      </c>
      <c r="U514" s="77">
        <v>0</v>
      </c>
      <c r="V514" s="77">
        <v>66</v>
      </c>
      <c r="W514" s="82" t="s">
        <v>4419</v>
      </c>
      <c r="X514" s="77"/>
      <c r="Y514" s="77"/>
      <c r="Z514" s="77"/>
      <c r="AA514" s="77" t="s">
        <v>6432</v>
      </c>
      <c r="AB514" s="77" t="s">
        <v>7700</v>
      </c>
      <c r="AC514" s="82" t="s">
        <v>7707</v>
      </c>
      <c r="AD514" s="77" t="s">
        <v>7745</v>
      </c>
      <c r="AE514" s="80" t="str">
        <f>HYPERLINK("https://twitter.com/bizucash/status/1623806681619611648")</f>
        <v>https://twitter.com/bizucash/status/1623806681619611648</v>
      </c>
      <c r="AF514" s="79">
        <v>44966.924259259256</v>
      </c>
      <c r="AG514" s="85">
        <v>44966</v>
      </c>
      <c r="AH514" s="82" t="s">
        <v>8205</v>
      </c>
      <c r="AI514" s="77" t="b">
        <v>0</v>
      </c>
      <c r="AJ514" s="77"/>
      <c r="AK514" s="77"/>
      <c r="AL514" s="77"/>
      <c r="AM514" s="77"/>
      <c r="AN514" s="77"/>
      <c r="AO514" s="77"/>
      <c r="AP514" s="77"/>
      <c r="AQ514" s="77" t="s">
        <v>10939</v>
      </c>
      <c r="AR514" s="77"/>
      <c r="AS514" s="77"/>
      <c r="AT514" s="77"/>
      <c r="AU514" s="77"/>
      <c r="AV514" s="80" t="str">
        <f>HYPERLINK("https://pbs.twimg.com/media/FojrjvsXoAAUKgG.jpg")</f>
        <v>https://pbs.twimg.com/media/FojrjvsXoAAUKgG.jpg</v>
      </c>
      <c r="AW514" s="82" t="s">
        <v>12709</v>
      </c>
      <c r="AX514" s="82" t="s">
        <v>12709</v>
      </c>
      <c r="AY514" s="77"/>
      <c r="AZ514" s="82" t="s">
        <v>15804</v>
      </c>
      <c r="BA514" s="82" t="s">
        <v>15804</v>
      </c>
      <c r="BB514" s="82" t="s">
        <v>15804</v>
      </c>
      <c r="BC514" s="82" t="s">
        <v>12709</v>
      </c>
      <c r="BD514" s="82" t="s">
        <v>16215</v>
      </c>
      <c r="BE514" s="77"/>
      <c r="BF514" s="77"/>
      <c r="BG514" s="77"/>
      <c r="BH514" s="77"/>
      <c r="BI514" s="77"/>
    </row>
    <row r="515" spans="1:61" x14ac:dyDescent="0.25">
      <c r="A515" s="62" t="s">
        <v>367</v>
      </c>
      <c r="B515" s="62" t="s">
        <v>693</v>
      </c>
      <c r="C515" s="63"/>
      <c r="D515" s="64"/>
      <c r="E515" s="65"/>
      <c r="F515" s="66"/>
      <c r="G515" s="63"/>
      <c r="H515" s="67"/>
      <c r="I515" s="68"/>
      <c r="J515" s="68"/>
      <c r="K515" s="32"/>
      <c r="L515" s="75">
        <v>515</v>
      </c>
      <c r="M515" s="75"/>
      <c r="N515" s="70"/>
      <c r="O515" s="77" t="s">
        <v>1133</v>
      </c>
      <c r="P515" s="79">
        <v>44957.559687499997</v>
      </c>
      <c r="Q515" s="77" t="s">
        <v>1625</v>
      </c>
      <c r="R515" s="77">
        <v>1</v>
      </c>
      <c r="S515" s="77">
        <v>6</v>
      </c>
      <c r="T515" s="77">
        <v>3</v>
      </c>
      <c r="U515" s="77">
        <v>1</v>
      </c>
      <c r="V515" s="77">
        <v>617</v>
      </c>
      <c r="W515" s="77"/>
      <c r="X515" s="77"/>
      <c r="Y515" s="77"/>
      <c r="Z515" s="77" t="s">
        <v>693</v>
      </c>
      <c r="AA515" s="77" t="s">
        <v>6433</v>
      </c>
      <c r="AB515" s="77" t="s">
        <v>7699</v>
      </c>
      <c r="AC515" s="82" t="s">
        <v>7706</v>
      </c>
      <c r="AD515" s="77" t="s">
        <v>7745</v>
      </c>
      <c r="AE515" s="80" t="str">
        <f>HYPERLINK("https://twitter.com/twetthiago/status/1620413076167327746")</f>
        <v>https://twitter.com/twetthiago/status/1620413076167327746</v>
      </c>
      <c r="AF515" s="79">
        <v>44957.559687499997</v>
      </c>
      <c r="AG515" s="85">
        <v>44957</v>
      </c>
      <c r="AH515" s="82" t="s">
        <v>8206</v>
      </c>
      <c r="AI515" s="77" t="b">
        <v>0</v>
      </c>
      <c r="AJ515" s="77"/>
      <c r="AK515" s="77"/>
      <c r="AL515" s="77"/>
      <c r="AM515" s="77"/>
      <c r="AN515" s="77"/>
      <c r="AO515" s="77"/>
      <c r="AP515" s="77"/>
      <c r="AQ515" s="77" t="s">
        <v>10940</v>
      </c>
      <c r="AR515" s="77"/>
      <c r="AS515" s="77"/>
      <c r="AT515" s="77"/>
      <c r="AU515" s="77"/>
      <c r="AV515" s="80" t="str">
        <f>HYPERLINK("https://pbs.twimg.com/tweet_video_thumb/FnzdFxJaIAAw2th.jpg")</f>
        <v>https://pbs.twimg.com/tweet_video_thumb/FnzdFxJaIAAw2th.jpg</v>
      </c>
      <c r="AW515" s="82" t="s">
        <v>12710</v>
      </c>
      <c r="AX515" s="82" t="s">
        <v>12710</v>
      </c>
      <c r="AY515" s="77"/>
      <c r="AZ515" s="82" t="s">
        <v>15804</v>
      </c>
      <c r="BA515" s="82" t="s">
        <v>15804</v>
      </c>
      <c r="BB515" s="82" t="s">
        <v>15804</v>
      </c>
      <c r="BC515" s="82" t="s">
        <v>12710</v>
      </c>
      <c r="BD515" s="77">
        <v>31728843</v>
      </c>
      <c r="BE515" s="77"/>
      <c r="BF515" s="77"/>
      <c r="BG515" s="77"/>
      <c r="BH515" s="77"/>
      <c r="BI515" s="77"/>
    </row>
    <row r="516" spans="1:61" x14ac:dyDescent="0.25">
      <c r="A516" s="62" t="s">
        <v>368</v>
      </c>
      <c r="B516" s="62" t="s">
        <v>368</v>
      </c>
      <c r="C516" s="63"/>
      <c r="D516" s="64"/>
      <c r="E516" s="65"/>
      <c r="F516" s="66"/>
      <c r="G516" s="63"/>
      <c r="H516" s="67"/>
      <c r="I516" s="68"/>
      <c r="J516" s="68"/>
      <c r="K516" s="32"/>
      <c r="L516" s="75">
        <v>516</v>
      </c>
      <c r="M516" s="75"/>
      <c r="N516" s="70"/>
      <c r="O516" s="77" t="s">
        <v>179</v>
      </c>
      <c r="P516" s="79">
        <v>45045.954293981478</v>
      </c>
      <c r="Q516" s="77" t="s">
        <v>1626</v>
      </c>
      <c r="R516" s="77">
        <v>0</v>
      </c>
      <c r="S516" s="77">
        <v>0</v>
      </c>
      <c r="T516" s="77">
        <v>0</v>
      </c>
      <c r="U516" s="77">
        <v>0</v>
      </c>
      <c r="V516" s="77">
        <v>14</v>
      </c>
      <c r="W516" s="82" t="s">
        <v>4080</v>
      </c>
      <c r="X516" s="77"/>
      <c r="Y516" s="77"/>
      <c r="Z516" s="77"/>
      <c r="AA516" s="77"/>
      <c r="AB516" s="77"/>
      <c r="AC516" s="82" t="s">
        <v>7705</v>
      </c>
      <c r="AD516" s="77" t="s">
        <v>7745</v>
      </c>
      <c r="AE516" s="80" t="str">
        <f>HYPERLINK("https://twitter.com/tlcardoso/status/1652446208995016704")</f>
        <v>https://twitter.com/tlcardoso/status/1652446208995016704</v>
      </c>
      <c r="AF516" s="79">
        <v>45045.954293981478</v>
      </c>
      <c r="AG516" s="85">
        <v>45045</v>
      </c>
      <c r="AH516" s="82" t="s">
        <v>8207</v>
      </c>
      <c r="AI516" s="77"/>
      <c r="AJ516" s="77"/>
      <c r="AK516" s="77"/>
      <c r="AL516" s="77"/>
      <c r="AM516" s="77"/>
      <c r="AN516" s="77"/>
      <c r="AO516" s="77"/>
      <c r="AP516" s="77"/>
      <c r="AQ516" s="77"/>
      <c r="AR516" s="77"/>
      <c r="AS516" s="77"/>
      <c r="AT516" s="77"/>
      <c r="AU516" s="77"/>
      <c r="AV516" s="80" t="str">
        <f>HYPERLINK("https://pbs.twimg.com/profile_images/1493337066188550147/Yx8CrlTU_normal.jpg")</f>
        <v>https://pbs.twimg.com/profile_images/1493337066188550147/Yx8CrlTU_normal.jpg</v>
      </c>
      <c r="AW516" s="82" t="s">
        <v>12711</v>
      </c>
      <c r="AX516" s="82" t="s">
        <v>12711</v>
      </c>
      <c r="AY516" s="77"/>
      <c r="AZ516" s="82" t="s">
        <v>15804</v>
      </c>
      <c r="BA516" s="82" t="s">
        <v>15804</v>
      </c>
      <c r="BB516" s="82" t="s">
        <v>15804</v>
      </c>
      <c r="BC516" s="82" t="s">
        <v>12711</v>
      </c>
      <c r="BD516" s="77">
        <v>292013489</v>
      </c>
      <c r="BE516" s="77"/>
      <c r="BF516" s="77"/>
      <c r="BG516" s="77"/>
      <c r="BH516" s="77"/>
      <c r="BI516" s="77"/>
    </row>
    <row r="517" spans="1:61" x14ac:dyDescent="0.25">
      <c r="A517" s="62" t="s">
        <v>369</v>
      </c>
      <c r="B517" s="62" t="s">
        <v>420</v>
      </c>
      <c r="C517" s="63"/>
      <c r="D517" s="64"/>
      <c r="E517" s="65"/>
      <c r="F517" s="66"/>
      <c r="G517" s="63"/>
      <c r="H517" s="67"/>
      <c r="I517" s="68"/>
      <c r="J517" s="68"/>
      <c r="K517" s="32"/>
      <c r="L517" s="75">
        <v>517</v>
      </c>
      <c r="M517" s="75"/>
      <c r="N517" s="70"/>
      <c r="O517" s="77" t="s">
        <v>1134</v>
      </c>
      <c r="P517" s="79">
        <v>45177.700543981482</v>
      </c>
      <c r="Q517" s="77" t="s">
        <v>1627</v>
      </c>
      <c r="R517" s="77">
        <v>2</v>
      </c>
      <c r="S517" s="77">
        <v>0</v>
      </c>
      <c r="T517" s="77">
        <v>0</v>
      </c>
      <c r="U517" s="77">
        <v>0</v>
      </c>
      <c r="V517" s="77"/>
      <c r="W517" s="82" t="s">
        <v>4420</v>
      </c>
      <c r="X517" s="77"/>
      <c r="Y517" s="77"/>
      <c r="Z517" s="77" t="s">
        <v>420</v>
      </c>
      <c r="AA517" s="77"/>
      <c r="AB517" s="77"/>
      <c r="AC517" s="82" t="s">
        <v>7707</v>
      </c>
      <c r="AD517" s="77" t="s">
        <v>7745</v>
      </c>
      <c r="AE517" s="80" t="str">
        <f>HYPERLINK("https://twitter.com/gabrielaprocpi9/status/1700189450163155162")</f>
        <v>https://twitter.com/gabrielaprocpi9/status/1700189450163155162</v>
      </c>
      <c r="AF517" s="79">
        <v>45177.700543981482</v>
      </c>
      <c r="AG517" s="85">
        <v>45177</v>
      </c>
      <c r="AH517" s="82" t="s">
        <v>8208</v>
      </c>
      <c r="AI517" s="77" t="b">
        <v>0</v>
      </c>
      <c r="AJ517" s="77"/>
      <c r="AK517" s="77"/>
      <c r="AL517" s="77"/>
      <c r="AM517" s="77"/>
      <c r="AN517" s="77"/>
      <c r="AO517" s="77"/>
      <c r="AP517" s="77"/>
      <c r="AQ517" s="77"/>
      <c r="AR517" s="77"/>
      <c r="AS517" s="77"/>
      <c r="AT517" s="77"/>
      <c r="AU517" s="77"/>
      <c r="AV517" s="80" t="str">
        <f>HYPERLINK("https://pbs.twimg.com/profile_images/1410013183226617856/0XifvNTL_normal.jpg")</f>
        <v>https://pbs.twimg.com/profile_images/1410013183226617856/0XifvNTL_normal.jpg</v>
      </c>
      <c r="AW517" s="82" t="s">
        <v>12712</v>
      </c>
      <c r="AX517" s="82" t="s">
        <v>12712</v>
      </c>
      <c r="AY517" s="77"/>
      <c r="AZ517" s="82" t="s">
        <v>15804</v>
      </c>
      <c r="BA517" s="82" t="s">
        <v>15804</v>
      </c>
      <c r="BB517" s="82" t="s">
        <v>13805</v>
      </c>
      <c r="BC517" s="82" t="s">
        <v>13805</v>
      </c>
      <c r="BD517" s="82" t="s">
        <v>16216</v>
      </c>
      <c r="BE517" s="77"/>
      <c r="BF517" s="77"/>
      <c r="BG517" s="77"/>
      <c r="BH517" s="77"/>
      <c r="BI517" s="77"/>
    </row>
    <row r="518" spans="1:61" x14ac:dyDescent="0.25">
      <c r="A518" s="62" t="s">
        <v>369</v>
      </c>
      <c r="B518" s="62" t="s">
        <v>420</v>
      </c>
      <c r="C518" s="63"/>
      <c r="D518" s="64"/>
      <c r="E518" s="65"/>
      <c r="F518" s="66"/>
      <c r="G518" s="63"/>
      <c r="H518" s="67"/>
      <c r="I518" s="68"/>
      <c r="J518" s="68"/>
      <c r="K518" s="32"/>
      <c r="L518" s="75">
        <v>518</v>
      </c>
      <c r="M518" s="75"/>
      <c r="N518" s="70"/>
      <c r="O518" s="77" t="s">
        <v>1134</v>
      </c>
      <c r="P518" s="79">
        <v>45179.694479166668</v>
      </c>
      <c r="Q518" s="77" t="s">
        <v>1628</v>
      </c>
      <c r="R518" s="77">
        <v>1</v>
      </c>
      <c r="S518" s="77">
        <v>0</v>
      </c>
      <c r="T518" s="77">
        <v>0</v>
      </c>
      <c r="U518" s="77">
        <v>0</v>
      </c>
      <c r="V518" s="77"/>
      <c r="W518" s="77"/>
      <c r="X518" s="77"/>
      <c r="Y518" s="77"/>
      <c r="Z518" s="77" t="s">
        <v>420</v>
      </c>
      <c r="AA518" s="77"/>
      <c r="AB518" s="77"/>
      <c r="AC518" s="82" t="s">
        <v>7707</v>
      </c>
      <c r="AD518" s="77" t="s">
        <v>7745</v>
      </c>
      <c r="AE518" s="80" t="str">
        <f>HYPERLINK("https://twitter.com/gabrielaprocpi9/status/1700912028875940122")</f>
        <v>https://twitter.com/gabrielaprocpi9/status/1700912028875940122</v>
      </c>
      <c r="AF518" s="79">
        <v>45179.694479166668</v>
      </c>
      <c r="AG518" s="85">
        <v>45179</v>
      </c>
      <c r="AH518" s="82" t="s">
        <v>8209</v>
      </c>
      <c r="AI518" s="77" t="b">
        <v>0</v>
      </c>
      <c r="AJ518" s="77"/>
      <c r="AK518" s="77"/>
      <c r="AL518" s="77"/>
      <c r="AM518" s="77"/>
      <c r="AN518" s="77"/>
      <c r="AO518" s="77"/>
      <c r="AP518" s="77"/>
      <c r="AQ518" s="77"/>
      <c r="AR518" s="77"/>
      <c r="AS518" s="77"/>
      <c r="AT518" s="77"/>
      <c r="AU518" s="77"/>
      <c r="AV518" s="80" t="str">
        <f>HYPERLINK("https://pbs.twimg.com/profile_images/1410013183226617856/0XifvNTL_normal.jpg")</f>
        <v>https://pbs.twimg.com/profile_images/1410013183226617856/0XifvNTL_normal.jpg</v>
      </c>
      <c r="AW518" s="82" t="s">
        <v>12713</v>
      </c>
      <c r="AX518" s="82" t="s">
        <v>12713</v>
      </c>
      <c r="AY518" s="77"/>
      <c r="AZ518" s="82" t="s">
        <v>15804</v>
      </c>
      <c r="BA518" s="82" t="s">
        <v>15804</v>
      </c>
      <c r="BB518" s="82" t="s">
        <v>13821</v>
      </c>
      <c r="BC518" s="82" t="s">
        <v>13821</v>
      </c>
      <c r="BD518" s="82" t="s">
        <v>16216</v>
      </c>
      <c r="BE518" s="77"/>
      <c r="BF518" s="77"/>
      <c r="BG518" s="77"/>
      <c r="BH518" s="77"/>
      <c r="BI518" s="77"/>
    </row>
    <row r="519" spans="1:61" x14ac:dyDescent="0.25">
      <c r="A519" s="62" t="s">
        <v>370</v>
      </c>
      <c r="B519" s="62" t="s">
        <v>1058</v>
      </c>
      <c r="C519" s="63"/>
      <c r="D519" s="64"/>
      <c r="E519" s="65"/>
      <c r="F519" s="66"/>
      <c r="G519" s="63"/>
      <c r="H519" s="67"/>
      <c r="I519" s="68"/>
      <c r="J519" s="68"/>
      <c r="K519" s="32"/>
      <c r="L519" s="75">
        <v>519</v>
      </c>
      <c r="M519" s="75"/>
      <c r="N519" s="70"/>
      <c r="O519" s="77" t="s">
        <v>1133</v>
      </c>
      <c r="P519" s="79">
        <v>45138.181261574071</v>
      </c>
      <c r="Q519" s="77" t="s">
        <v>1629</v>
      </c>
      <c r="R519" s="77">
        <v>0</v>
      </c>
      <c r="S519" s="77">
        <v>0</v>
      </c>
      <c r="T519" s="77">
        <v>0</v>
      </c>
      <c r="U519" s="77">
        <v>0</v>
      </c>
      <c r="V519" s="77"/>
      <c r="W519" s="82" t="s">
        <v>4278</v>
      </c>
      <c r="X519" s="80" t="str">
        <f>HYPERLINK("https://youtube.com/shorts/pXjJ3zbu_VE?feature=share")</f>
        <v>https://youtube.com/shorts/pXjJ3zbu_VE?feature=share</v>
      </c>
      <c r="Y519" s="77" t="s">
        <v>6006</v>
      </c>
      <c r="Z519" s="77" t="s">
        <v>1058</v>
      </c>
      <c r="AA519" s="77"/>
      <c r="AB519" s="77"/>
      <c r="AC519" s="82" t="s">
        <v>7705</v>
      </c>
      <c r="AD519" s="77" t="s">
        <v>7745</v>
      </c>
      <c r="AE519" s="80" t="str">
        <f>HYPERLINK("https://twitter.com/grdotrader/status/1685868143430819840")</f>
        <v>https://twitter.com/grdotrader/status/1685868143430819840</v>
      </c>
      <c r="AF519" s="79">
        <v>45138.181261574071</v>
      </c>
      <c r="AG519" s="85">
        <v>45138</v>
      </c>
      <c r="AH519" s="82" t="s">
        <v>8210</v>
      </c>
      <c r="AI519" s="77" t="b">
        <v>0</v>
      </c>
      <c r="AJ519" s="77"/>
      <c r="AK519" s="77"/>
      <c r="AL519" s="77"/>
      <c r="AM519" s="77"/>
      <c r="AN519" s="77"/>
      <c r="AO519" s="77"/>
      <c r="AP519" s="77"/>
      <c r="AQ519" s="77"/>
      <c r="AR519" s="77"/>
      <c r="AS519" s="77"/>
      <c r="AT519" s="77"/>
      <c r="AU519" s="77"/>
      <c r="AV519" s="80" t="str">
        <f>HYPERLINK("https://pbs.twimg.com/profile_images/1579950136003895296/pk5m1FTe_normal.jpg")</f>
        <v>https://pbs.twimg.com/profile_images/1579950136003895296/pk5m1FTe_normal.jpg</v>
      </c>
      <c r="AW519" s="82" t="s">
        <v>12714</v>
      </c>
      <c r="AX519" s="82" t="s">
        <v>12714</v>
      </c>
      <c r="AY519" s="77"/>
      <c r="AZ519" s="82" t="s">
        <v>15804</v>
      </c>
      <c r="BA519" s="82" t="s">
        <v>15804</v>
      </c>
      <c r="BB519" s="82" t="s">
        <v>15804</v>
      </c>
      <c r="BC519" s="82" t="s">
        <v>12714</v>
      </c>
      <c r="BD519" s="82" t="s">
        <v>16217</v>
      </c>
      <c r="BE519" s="77"/>
      <c r="BF519" s="77"/>
      <c r="BG519" s="77"/>
      <c r="BH519" s="77"/>
      <c r="BI519" s="77"/>
    </row>
    <row r="520" spans="1:61" x14ac:dyDescent="0.25">
      <c r="A520" s="62" t="s">
        <v>371</v>
      </c>
      <c r="B520" s="62" t="s">
        <v>371</v>
      </c>
      <c r="C520" s="63"/>
      <c r="D520" s="64"/>
      <c r="E520" s="65"/>
      <c r="F520" s="66"/>
      <c r="G520" s="63"/>
      <c r="H520" s="67"/>
      <c r="I520" s="68"/>
      <c r="J520" s="68"/>
      <c r="K520" s="32"/>
      <c r="L520" s="75">
        <v>520</v>
      </c>
      <c r="M520" s="75"/>
      <c r="N520" s="70"/>
      <c r="O520" s="77" t="s">
        <v>179</v>
      </c>
      <c r="P520" s="79">
        <v>45021.790416666663</v>
      </c>
      <c r="Q520" s="77" t="s">
        <v>1630</v>
      </c>
      <c r="R520" s="77">
        <v>0</v>
      </c>
      <c r="S520" s="77">
        <v>0</v>
      </c>
      <c r="T520" s="77">
        <v>0</v>
      </c>
      <c r="U520" s="77">
        <v>0</v>
      </c>
      <c r="V520" s="77">
        <v>21</v>
      </c>
      <c r="W520" s="82" t="s">
        <v>4421</v>
      </c>
      <c r="X520" s="80" t="str">
        <f>HYPERLINK("https://www.instagram.com/p/CqqKEBIvR7P/?igshid=ZGY5ODdmOGM=")</f>
        <v>https://www.instagram.com/p/CqqKEBIvR7P/?igshid=ZGY5ODdmOGM=</v>
      </c>
      <c r="Y520" s="77" t="s">
        <v>6000</v>
      </c>
      <c r="Z520" s="77"/>
      <c r="AA520" s="77"/>
      <c r="AB520" s="77"/>
      <c r="AC520" s="82" t="s">
        <v>7707</v>
      </c>
      <c r="AD520" s="77" t="s">
        <v>7745</v>
      </c>
      <c r="AE520" s="80" t="str">
        <f>HYPERLINK("https://twitter.com/narfortsac/status/1643689513183502373")</f>
        <v>https://twitter.com/narfortsac/status/1643689513183502373</v>
      </c>
      <c r="AF520" s="79">
        <v>45021.790416666663</v>
      </c>
      <c r="AG520" s="85">
        <v>45021</v>
      </c>
      <c r="AH520" s="82" t="s">
        <v>8211</v>
      </c>
      <c r="AI520" s="77" t="b">
        <v>0</v>
      </c>
      <c r="AJ520" s="77"/>
      <c r="AK520" s="77"/>
      <c r="AL520" s="77"/>
      <c r="AM520" s="77"/>
      <c r="AN520" s="77"/>
      <c r="AO520" s="77"/>
      <c r="AP520" s="77"/>
      <c r="AQ520" s="77"/>
      <c r="AR520" s="77"/>
      <c r="AS520" s="77"/>
      <c r="AT520" s="77"/>
      <c r="AU520" s="77"/>
      <c r="AV520" s="80" t="str">
        <f>HYPERLINK("https://pbs.twimg.com/profile_images/1668406966454976514/dGDemEaa_normal.jpg")</f>
        <v>https://pbs.twimg.com/profile_images/1668406966454976514/dGDemEaa_normal.jpg</v>
      </c>
      <c r="AW520" s="82" t="s">
        <v>12715</v>
      </c>
      <c r="AX520" s="82" t="s">
        <v>12715</v>
      </c>
      <c r="AY520" s="77"/>
      <c r="AZ520" s="82" t="s">
        <v>15804</v>
      </c>
      <c r="BA520" s="82" t="s">
        <v>15804</v>
      </c>
      <c r="BB520" s="82" t="s">
        <v>15804</v>
      </c>
      <c r="BC520" s="82" t="s">
        <v>12715</v>
      </c>
      <c r="BD520" s="82" t="s">
        <v>16218</v>
      </c>
      <c r="BE520" s="77"/>
      <c r="BF520" s="77"/>
      <c r="BG520" s="77"/>
      <c r="BH520" s="77"/>
      <c r="BI520" s="77"/>
    </row>
    <row r="521" spans="1:61" x14ac:dyDescent="0.25">
      <c r="A521" s="62" t="s">
        <v>371</v>
      </c>
      <c r="B521" s="62" t="s">
        <v>371</v>
      </c>
      <c r="C521" s="63"/>
      <c r="D521" s="64"/>
      <c r="E521" s="65"/>
      <c r="F521" s="66"/>
      <c r="G521" s="63"/>
      <c r="H521" s="67"/>
      <c r="I521" s="68"/>
      <c r="J521" s="68"/>
      <c r="K521" s="32"/>
      <c r="L521" s="75">
        <v>521</v>
      </c>
      <c r="M521" s="75"/>
      <c r="N521" s="70"/>
      <c r="O521" s="77" t="s">
        <v>179</v>
      </c>
      <c r="P521" s="79">
        <v>45021.672754629632</v>
      </c>
      <c r="Q521" s="77" t="s">
        <v>1631</v>
      </c>
      <c r="R521" s="77">
        <v>0</v>
      </c>
      <c r="S521" s="77">
        <v>0</v>
      </c>
      <c r="T521" s="77">
        <v>0</v>
      </c>
      <c r="U521" s="77">
        <v>0</v>
      </c>
      <c r="V521" s="77">
        <v>15</v>
      </c>
      <c r="W521" s="82" t="s">
        <v>4421</v>
      </c>
      <c r="X521" s="80" t="str">
        <f>HYPERLINK("https://www.instagram.com/p/CqqKEBIvR7P/?igshid=ZGY5ODdmOGM=")</f>
        <v>https://www.instagram.com/p/CqqKEBIvR7P/?igshid=ZGY5ODdmOGM=</v>
      </c>
      <c r="Y521" s="77" t="s">
        <v>6000</v>
      </c>
      <c r="Z521" s="77"/>
      <c r="AA521" s="77"/>
      <c r="AB521" s="77"/>
      <c r="AC521" s="82" t="s">
        <v>7707</v>
      </c>
      <c r="AD521" s="77" t="s">
        <v>7745</v>
      </c>
      <c r="AE521" s="80" t="str">
        <f>HYPERLINK("https://twitter.com/narfortsac/status/1643646873805238273")</f>
        <v>https://twitter.com/narfortsac/status/1643646873805238273</v>
      </c>
      <c r="AF521" s="79">
        <v>45021.672754629632</v>
      </c>
      <c r="AG521" s="85">
        <v>45021</v>
      </c>
      <c r="AH521" s="82" t="s">
        <v>8212</v>
      </c>
      <c r="AI521" s="77" t="b">
        <v>0</v>
      </c>
      <c r="AJ521" s="77"/>
      <c r="AK521" s="77"/>
      <c r="AL521" s="77"/>
      <c r="AM521" s="77"/>
      <c r="AN521" s="77"/>
      <c r="AO521" s="77"/>
      <c r="AP521" s="77"/>
      <c r="AQ521" s="77"/>
      <c r="AR521" s="77"/>
      <c r="AS521" s="77"/>
      <c r="AT521" s="77"/>
      <c r="AU521" s="77"/>
      <c r="AV521" s="80" t="str">
        <f>HYPERLINK("https://pbs.twimg.com/profile_images/1668406966454976514/dGDemEaa_normal.jpg")</f>
        <v>https://pbs.twimg.com/profile_images/1668406966454976514/dGDemEaa_normal.jpg</v>
      </c>
      <c r="AW521" s="82" t="s">
        <v>12716</v>
      </c>
      <c r="AX521" s="82" t="s">
        <v>12716</v>
      </c>
      <c r="AY521" s="77"/>
      <c r="AZ521" s="82" t="s">
        <v>15804</v>
      </c>
      <c r="BA521" s="82" t="s">
        <v>15804</v>
      </c>
      <c r="BB521" s="82" t="s">
        <v>15804</v>
      </c>
      <c r="BC521" s="82" t="s">
        <v>12716</v>
      </c>
      <c r="BD521" s="82" t="s">
        <v>16218</v>
      </c>
      <c r="BE521" s="77"/>
      <c r="BF521" s="77"/>
      <c r="BG521" s="77"/>
      <c r="BH521" s="77"/>
      <c r="BI521" s="77"/>
    </row>
    <row r="522" spans="1:61" x14ac:dyDescent="0.25">
      <c r="A522" s="62" t="s">
        <v>372</v>
      </c>
      <c r="B522" s="62" t="s">
        <v>372</v>
      </c>
      <c r="C522" s="63"/>
      <c r="D522" s="64"/>
      <c r="E522" s="65"/>
      <c r="F522" s="66"/>
      <c r="G522" s="63"/>
      <c r="H522" s="67"/>
      <c r="I522" s="68"/>
      <c r="J522" s="68"/>
      <c r="K522" s="32"/>
      <c r="L522" s="75">
        <v>522</v>
      </c>
      <c r="M522" s="75"/>
      <c r="N522" s="70"/>
      <c r="O522" s="77" t="s">
        <v>179</v>
      </c>
      <c r="P522" s="79">
        <v>45132.584166666667</v>
      </c>
      <c r="Q522" s="77" t="s">
        <v>1632</v>
      </c>
      <c r="R522" s="77">
        <v>0</v>
      </c>
      <c r="S522" s="77">
        <v>0</v>
      </c>
      <c r="T522" s="77">
        <v>0</v>
      </c>
      <c r="U522" s="77">
        <v>0</v>
      </c>
      <c r="V522" s="77">
        <v>21</v>
      </c>
      <c r="W522" s="82" t="s">
        <v>4422</v>
      </c>
      <c r="X522" s="80" t="str">
        <f>HYPERLINK("https://fortecultural.wordpress.com/2023/07/25/renegociacao-de-dividas-mutirao-nacional-para-sair-do-superendividamento/")</f>
        <v>https://fortecultural.wordpress.com/2023/07/25/renegociacao-de-dividas-mutirao-nacional-para-sair-do-superendividamento/</v>
      </c>
      <c r="Y522" s="77" t="s">
        <v>6029</v>
      </c>
      <c r="Z522" s="77"/>
      <c r="AA522" s="77"/>
      <c r="AB522" s="77"/>
      <c r="AC522" s="82" t="s">
        <v>7706</v>
      </c>
      <c r="AD522" s="77" t="s">
        <v>7745</v>
      </c>
      <c r="AE522" s="80" t="str">
        <f>HYPERLINK("https://twitter.com/edisilva64/status/1683839823923257347")</f>
        <v>https://twitter.com/edisilva64/status/1683839823923257347</v>
      </c>
      <c r="AF522" s="79">
        <v>45132.584166666667</v>
      </c>
      <c r="AG522" s="85">
        <v>45132</v>
      </c>
      <c r="AH522" s="82" t="s">
        <v>8213</v>
      </c>
      <c r="AI522" s="77" t="b">
        <v>0</v>
      </c>
      <c r="AJ522" s="77"/>
      <c r="AK522" s="77"/>
      <c r="AL522" s="77"/>
      <c r="AM522" s="77"/>
      <c r="AN522" s="77"/>
      <c r="AO522" s="77"/>
      <c r="AP522" s="77"/>
      <c r="AQ522" s="77"/>
      <c r="AR522" s="77"/>
      <c r="AS522" s="77"/>
      <c r="AT522" s="77"/>
      <c r="AU522" s="77"/>
      <c r="AV522" s="80" t="str">
        <f>HYPERLINK("https://pbs.twimg.com/profile_images/1632444353409892352/MpxaQjgQ_normal.jpg")</f>
        <v>https://pbs.twimg.com/profile_images/1632444353409892352/MpxaQjgQ_normal.jpg</v>
      </c>
      <c r="AW522" s="82" t="s">
        <v>12717</v>
      </c>
      <c r="AX522" s="82" t="s">
        <v>12717</v>
      </c>
      <c r="AY522" s="77"/>
      <c r="AZ522" s="82" t="s">
        <v>15804</v>
      </c>
      <c r="BA522" s="82" t="s">
        <v>15804</v>
      </c>
      <c r="BB522" s="82" t="s">
        <v>15804</v>
      </c>
      <c r="BC522" s="82" t="s">
        <v>12717</v>
      </c>
      <c r="BD522" s="77">
        <v>18671212</v>
      </c>
      <c r="BE522" s="77"/>
      <c r="BF522" s="77"/>
      <c r="BG522" s="77"/>
      <c r="BH522" s="77"/>
      <c r="BI522" s="77"/>
    </row>
    <row r="523" spans="1:61" x14ac:dyDescent="0.25">
      <c r="A523" s="62" t="s">
        <v>373</v>
      </c>
      <c r="B523" s="62" t="s">
        <v>373</v>
      </c>
      <c r="C523" s="63"/>
      <c r="D523" s="64"/>
      <c r="E523" s="65"/>
      <c r="F523" s="66"/>
      <c r="G523" s="63"/>
      <c r="H523" s="67"/>
      <c r="I523" s="68"/>
      <c r="J523" s="68"/>
      <c r="K523" s="32"/>
      <c r="L523" s="75">
        <v>523</v>
      </c>
      <c r="M523" s="75"/>
      <c r="N523" s="70"/>
      <c r="O523" s="77" t="s">
        <v>179</v>
      </c>
      <c r="P523" s="79">
        <v>45105.812881944446</v>
      </c>
      <c r="Q523" s="77" t="s">
        <v>1633</v>
      </c>
      <c r="R523" s="77">
        <v>0</v>
      </c>
      <c r="S523" s="77">
        <v>1</v>
      </c>
      <c r="T523" s="77">
        <v>0</v>
      </c>
      <c r="U523" s="77">
        <v>0</v>
      </c>
      <c r="V523" s="77">
        <v>69</v>
      </c>
      <c r="W523" s="82" t="s">
        <v>4423</v>
      </c>
      <c r="X523" s="80" t="str">
        <f>HYPERLINK("https://mla.bs/8025c787")</f>
        <v>https://mla.bs/8025c787</v>
      </c>
      <c r="Y523" s="77" t="s">
        <v>6030</v>
      </c>
      <c r="Z523" s="77"/>
      <c r="AA523" s="77" t="s">
        <v>6434</v>
      </c>
      <c r="AB523" s="77" t="s">
        <v>7696</v>
      </c>
      <c r="AC523" s="82" t="s">
        <v>7708</v>
      </c>
      <c r="AD523" s="77" t="s">
        <v>7745</v>
      </c>
      <c r="AE523" s="80" t="str">
        <f>HYPERLINK("https://twitter.com/fenaconfed/status/1674138234891247616")</f>
        <v>https://twitter.com/fenaconfed/status/1674138234891247616</v>
      </c>
      <c r="AF523" s="79">
        <v>45105.812881944446</v>
      </c>
      <c r="AG523" s="85">
        <v>45105</v>
      </c>
      <c r="AH523" s="82" t="s">
        <v>8214</v>
      </c>
      <c r="AI523" s="77" t="b">
        <v>0</v>
      </c>
      <c r="AJ523" s="77"/>
      <c r="AK523" s="77"/>
      <c r="AL523" s="77"/>
      <c r="AM523" s="77"/>
      <c r="AN523" s="77"/>
      <c r="AO523" s="77"/>
      <c r="AP523" s="77"/>
      <c r="AQ523" s="77" t="s">
        <v>10941</v>
      </c>
      <c r="AR523" s="77"/>
      <c r="AS523" s="77"/>
      <c r="AT523" s="77"/>
      <c r="AU523" s="77"/>
      <c r="AV523" s="80" t="str">
        <f>HYPERLINK("https://pbs.twimg.com/media/Fzu72lFWAAApY6H.jpg")</f>
        <v>https://pbs.twimg.com/media/Fzu72lFWAAApY6H.jpg</v>
      </c>
      <c r="AW523" s="82" t="s">
        <v>12718</v>
      </c>
      <c r="AX523" s="82" t="s">
        <v>12718</v>
      </c>
      <c r="AY523" s="77"/>
      <c r="AZ523" s="82" t="s">
        <v>15804</v>
      </c>
      <c r="BA523" s="82" t="s">
        <v>15804</v>
      </c>
      <c r="BB523" s="82" t="s">
        <v>15804</v>
      </c>
      <c r="BC523" s="82" t="s">
        <v>12718</v>
      </c>
      <c r="BD523" s="77">
        <v>254001950</v>
      </c>
      <c r="BE523" s="77"/>
      <c r="BF523" s="77"/>
      <c r="BG523" s="77"/>
      <c r="BH523" s="77"/>
      <c r="BI523" s="77"/>
    </row>
    <row r="524" spans="1:61" x14ac:dyDescent="0.25">
      <c r="A524" s="62" t="s">
        <v>374</v>
      </c>
      <c r="B524" s="62" t="s">
        <v>1065</v>
      </c>
      <c r="C524" s="63"/>
      <c r="D524" s="64"/>
      <c r="E524" s="65"/>
      <c r="F524" s="66"/>
      <c r="G524" s="63"/>
      <c r="H524" s="67"/>
      <c r="I524" s="68"/>
      <c r="J524" s="68"/>
      <c r="K524" s="32"/>
      <c r="L524" s="75">
        <v>524</v>
      </c>
      <c r="M524" s="75"/>
      <c r="N524" s="70"/>
      <c r="O524" s="77" t="s">
        <v>1133</v>
      </c>
      <c r="P524" s="79">
        <v>45148.645289351851</v>
      </c>
      <c r="Q524" s="77" t="s">
        <v>1634</v>
      </c>
      <c r="R524" s="77">
        <v>0</v>
      </c>
      <c r="S524" s="77">
        <v>3</v>
      </c>
      <c r="T524" s="77">
        <v>1</v>
      </c>
      <c r="U524" s="77">
        <v>0</v>
      </c>
      <c r="V524" s="77">
        <v>502</v>
      </c>
      <c r="W524" s="82" t="s">
        <v>4424</v>
      </c>
      <c r="X524" s="77" t="s">
        <v>5992</v>
      </c>
      <c r="Y524" s="77" t="s">
        <v>6031</v>
      </c>
      <c r="Z524" s="77" t="s">
        <v>1065</v>
      </c>
      <c r="AA524" s="77" t="s">
        <v>6435</v>
      </c>
      <c r="AB524" s="77" t="s">
        <v>7696</v>
      </c>
      <c r="AC524" s="82" t="s">
        <v>7706</v>
      </c>
      <c r="AD524" s="77" t="s">
        <v>7745</v>
      </c>
      <c r="AE524" s="80" t="str">
        <f>HYPERLINK("https://twitter.com/agenciaestado/status/1689660176486313984")</f>
        <v>https://twitter.com/agenciaestado/status/1689660176486313984</v>
      </c>
      <c r="AF524" s="79">
        <v>45148.645289351851</v>
      </c>
      <c r="AG524" s="85">
        <v>45148</v>
      </c>
      <c r="AH524" s="82" t="s">
        <v>8215</v>
      </c>
      <c r="AI524" s="77" t="b">
        <v>0</v>
      </c>
      <c r="AJ524" s="77"/>
      <c r="AK524" s="77"/>
      <c r="AL524" s="77"/>
      <c r="AM524" s="77"/>
      <c r="AN524" s="77"/>
      <c r="AO524" s="77"/>
      <c r="AP524" s="77"/>
      <c r="AQ524" s="77" t="s">
        <v>10942</v>
      </c>
      <c r="AR524" s="77"/>
      <c r="AS524" s="77"/>
      <c r="AT524" s="77"/>
      <c r="AU524" s="77"/>
      <c r="AV524" s="80" t="str">
        <f>HYPERLINK("https://pbs.twimg.com/media/F3LfwvFWMAA3cui.jpg")</f>
        <v>https://pbs.twimg.com/media/F3LfwvFWMAA3cui.jpg</v>
      </c>
      <c r="AW524" s="82" t="s">
        <v>12719</v>
      </c>
      <c r="AX524" s="82" t="s">
        <v>12719</v>
      </c>
      <c r="AY524" s="82" t="s">
        <v>15701</v>
      </c>
      <c r="AZ524" s="82" t="s">
        <v>15804</v>
      </c>
      <c r="BA524" s="82" t="s">
        <v>15804</v>
      </c>
      <c r="BB524" s="82" t="s">
        <v>15804</v>
      </c>
      <c r="BC524" s="82" t="s">
        <v>12719</v>
      </c>
      <c r="BD524" s="77">
        <v>75289487</v>
      </c>
      <c r="BE524" s="77"/>
      <c r="BF524" s="77"/>
      <c r="BG524" s="77"/>
      <c r="BH524" s="77"/>
      <c r="BI524" s="77"/>
    </row>
    <row r="525" spans="1:61" x14ac:dyDescent="0.25">
      <c r="A525" s="62" t="s">
        <v>375</v>
      </c>
      <c r="B525" s="62" t="s">
        <v>375</v>
      </c>
      <c r="C525" s="63"/>
      <c r="D525" s="64"/>
      <c r="E525" s="65"/>
      <c r="F525" s="66"/>
      <c r="G525" s="63"/>
      <c r="H525" s="67"/>
      <c r="I525" s="68"/>
      <c r="J525" s="68"/>
      <c r="K525" s="32"/>
      <c r="L525" s="75">
        <v>525</v>
      </c>
      <c r="M525" s="75"/>
      <c r="N525" s="70"/>
      <c r="O525" s="77" t="s">
        <v>179</v>
      </c>
      <c r="P525" s="79">
        <v>45091.018425925926</v>
      </c>
      <c r="Q525" s="77" t="s">
        <v>1635</v>
      </c>
      <c r="R525" s="77">
        <v>0</v>
      </c>
      <c r="S525" s="77">
        <v>0</v>
      </c>
      <c r="T525" s="77">
        <v>0</v>
      </c>
      <c r="U525" s="77">
        <v>0</v>
      </c>
      <c r="V525" s="77">
        <v>3</v>
      </c>
      <c r="W525" s="82" t="s">
        <v>4425</v>
      </c>
      <c r="X525" s="80" t="str">
        <f>HYPERLINK("https://exame.com/future-of-money/colegio-no-rio-de-janeiro-desenvolve-criptomoeda-para-incentivar-educacao-financeira/")</f>
        <v>https://exame.com/future-of-money/colegio-no-rio-de-janeiro-desenvolve-criptomoeda-para-incentivar-educacao-financeira/</v>
      </c>
      <c r="Y525" s="77" t="s">
        <v>6020</v>
      </c>
      <c r="Z525" s="77"/>
      <c r="AA525" s="77"/>
      <c r="AB525" s="77"/>
      <c r="AC525" s="82" t="s">
        <v>7706</v>
      </c>
      <c r="AD525" s="77" t="s">
        <v>7745</v>
      </c>
      <c r="AE525" s="80" t="str">
        <f>HYPERLINK("https://twitter.com/ggianni/status/1668776900033134592")</f>
        <v>https://twitter.com/ggianni/status/1668776900033134592</v>
      </c>
      <c r="AF525" s="79">
        <v>45091.018425925926</v>
      </c>
      <c r="AG525" s="85">
        <v>45091</v>
      </c>
      <c r="AH525" s="82" t="s">
        <v>8216</v>
      </c>
      <c r="AI525" s="77" t="b">
        <v>0</v>
      </c>
      <c r="AJ525" s="77"/>
      <c r="AK525" s="77"/>
      <c r="AL525" s="77"/>
      <c r="AM525" s="77"/>
      <c r="AN525" s="77"/>
      <c r="AO525" s="77"/>
      <c r="AP525" s="77"/>
      <c r="AQ525" s="77"/>
      <c r="AR525" s="77"/>
      <c r="AS525" s="77"/>
      <c r="AT525" s="77"/>
      <c r="AU525" s="77"/>
      <c r="AV525" s="80" t="str">
        <f>HYPERLINK("https://pbs.twimg.com/profile_images/1471531764535468033/Rk36W-Sp_normal.jpg")</f>
        <v>https://pbs.twimg.com/profile_images/1471531764535468033/Rk36W-Sp_normal.jpg</v>
      </c>
      <c r="AW525" s="82" t="s">
        <v>12720</v>
      </c>
      <c r="AX525" s="82" t="s">
        <v>12720</v>
      </c>
      <c r="AY525" s="77"/>
      <c r="AZ525" s="82" t="s">
        <v>15804</v>
      </c>
      <c r="BA525" s="82" t="s">
        <v>15804</v>
      </c>
      <c r="BB525" s="82" t="s">
        <v>15804</v>
      </c>
      <c r="BC525" s="82" t="s">
        <v>12720</v>
      </c>
      <c r="BD525" s="77">
        <v>107496318</v>
      </c>
      <c r="BE525" s="77"/>
      <c r="BF525" s="77"/>
      <c r="BG525" s="77"/>
      <c r="BH525" s="77"/>
      <c r="BI525" s="77"/>
    </row>
    <row r="526" spans="1:61" x14ac:dyDescent="0.25">
      <c r="A526" s="62" t="s">
        <v>376</v>
      </c>
      <c r="B526" s="62" t="s">
        <v>376</v>
      </c>
      <c r="C526" s="63"/>
      <c r="D526" s="64"/>
      <c r="E526" s="65"/>
      <c r="F526" s="66"/>
      <c r="G526" s="63"/>
      <c r="H526" s="67"/>
      <c r="I526" s="68"/>
      <c r="J526" s="68"/>
      <c r="K526" s="32"/>
      <c r="L526" s="75">
        <v>526</v>
      </c>
      <c r="M526" s="75"/>
      <c r="N526" s="70"/>
      <c r="O526" s="77" t="s">
        <v>1133</v>
      </c>
      <c r="P526" s="79">
        <v>44916.49527777778</v>
      </c>
      <c r="Q526" s="77" t="s">
        <v>1636</v>
      </c>
      <c r="R526" s="77">
        <v>0</v>
      </c>
      <c r="S526" s="77">
        <v>1</v>
      </c>
      <c r="T526" s="77">
        <v>0</v>
      </c>
      <c r="U526" s="77">
        <v>1</v>
      </c>
      <c r="V526" s="77">
        <v>44</v>
      </c>
      <c r="W526" s="82" t="s">
        <v>4426</v>
      </c>
      <c r="X526" s="80" t="str">
        <f>HYPERLINK("https://www.varginhaonline.com.br/coluna/3069-negociando-dividas-em-atraso.html")</f>
        <v>https://www.varginhaonline.com.br/coluna/3069-negociando-dividas-em-atraso.html</v>
      </c>
      <c r="Y526" s="77" t="s">
        <v>6002</v>
      </c>
      <c r="Z526" s="77" t="s">
        <v>376</v>
      </c>
      <c r="AA526" s="77"/>
      <c r="AB526" s="77"/>
      <c r="AC526" s="82" t="s">
        <v>7706</v>
      </c>
      <c r="AD526" s="77" t="s">
        <v>7745</v>
      </c>
      <c r="AE526" s="80" t="str">
        <f>HYPERLINK("https://twitter.com/varginha_online/status/1605531829880102912")</f>
        <v>https://twitter.com/varginha_online/status/1605531829880102912</v>
      </c>
      <c r="AF526" s="79">
        <v>44916.49527777778</v>
      </c>
      <c r="AG526" s="85">
        <v>44916</v>
      </c>
      <c r="AH526" s="82" t="s">
        <v>8217</v>
      </c>
      <c r="AI526" s="77" t="b">
        <v>0</v>
      </c>
      <c r="AJ526" s="77"/>
      <c r="AK526" s="77"/>
      <c r="AL526" s="77"/>
      <c r="AM526" s="77"/>
      <c r="AN526" s="77"/>
      <c r="AO526" s="77"/>
      <c r="AP526" s="77"/>
      <c r="AQ526" s="77"/>
      <c r="AR526" s="77"/>
      <c r="AS526" s="77"/>
      <c r="AT526" s="77"/>
      <c r="AU526" s="77"/>
      <c r="AV526" s="80" t="str">
        <f>HYPERLINK("https://pbs.twimg.com/profile_images/1365833978050207745/naE6tUzw_normal.jpg")</f>
        <v>https://pbs.twimg.com/profile_images/1365833978050207745/naE6tUzw_normal.jpg</v>
      </c>
      <c r="AW526" s="82" t="s">
        <v>12721</v>
      </c>
      <c r="AX526" s="82" t="s">
        <v>12721</v>
      </c>
      <c r="AY526" s="77"/>
      <c r="AZ526" s="82" t="s">
        <v>15804</v>
      </c>
      <c r="BA526" s="82" t="s">
        <v>15804</v>
      </c>
      <c r="BB526" s="82" t="s">
        <v>15804</v>
      </c>
      <c r="BC526" s="82" t="s">
        <v>12721</v>
      </c>
      <c r="BD526" s="77">
        <v>135272073</v>
      </c>
      <c r="BE526" s="77"/>
      <c r="BF526" s="77"/>
      <c r="BG526" s="77"/>
      <c r="BH526" s="77"/>
      <c r="BI526" s="77"/>
    </row>
    <row r="527" spans="1:61" x14ac:dyDescent="0.25">
      <c r="A527" s="62" t="s">
        <v>377</v>
      </c>
      <c r="B527" s="62" t="s">
        <v>376</v>
      </c>
      <c r="C527" s="63"/>
      <c r="D527" s="64"/>
      <c r="E527" s="65"/>
      <c r="F527" s="66"/>
      <c r="G527" s="63"/>
      <c r="H527" s="67"/>
      <c r="I527" s="68"/>
      <c r="J527" s="68"/>
      <c r="K527" s="32"/>
      <c r="L527" s="75">
        <v>527</v>
      </c>
      <c r="M527" s="75"/>
      <c r="N527" s="70"/>
      <c r="O527" s="77" t="s">
        <v>1135</v>
      </c>
      <c r="P527" s="79">
        <v>45031.873888888891</v>
      </c>
      <c r="Q527" s="77" t="s">
        <v>1637</v>
      </c>
      <c r="R527" s="77">
        <v>0</v>
      </c>
      <c r="S527" s="77">
        <v>0</v>
      </c>
      <c r="T527" s="77">
        <v>0</v>
      </c>
      <c r="U527" s="77">
        <v>0</v>
      </c>
      <c r="V527" s="77">
        <v>11</v>
      </c>
      <c r="W527" s="82" t="s">
        <v>4427</v>
      </c>
      <c r="X527" s="77"/>
      <c r="Y527" s="77"/>
      <c r="Z527" s="77"/>
      <c r="AA527" s="77"/>
      <c r="AB527" s="77"/>
      <c r="AC527" s="82" t="s">
        <v>7707</v>
      </c>
      <c r="AD527" s="77" t="s">
        <v>7745</v>
      </c>
      <c r="AE527" s="80" t="str">
        <f>HYPERLINK("https://twitter.com/lidialuciara/status/1647343640149127174")</f>
        <v>https://twitter.com/lidialuciara/status/1647343640149127174</v>
      </c>
      <c r="AF527" s="79">
        <v>45031.873888888891</v>
      </c>
      <c r="AG527" s="85">
        <v>45031</v>
      </c>
      <c r="AH527" s="82" t="s">
        <v>8218</v>
      </c>
      <c r="AI527" s="77"/>
      <c r="AJ527" s="77"/>
      <c r="AK527" s="77"/>
      <c r="AL527" s="77"/>
      <c r="AM527" s="77"/>
      <c r="AN527" s="77"/>
      <c r="AO527" s="77"/>
      <c r="AP527" s="77"/>
      <c r="AQ527" s="77"/>
      <c r="AR527" s="77"/>
      <c r="AS527" s="77"/>
      <c r="AT527" s="77"/>
      <c r="AU527" s="77"/>
      <c r="AV527" s="80" t="str">
        <f>HYPERLINK("https://pbs.twimg.com/profile_images/1647317230160363521/47RPk1TN_normal.jpg")</f>
        <v>https://pbs.twimg.com/profile_images/1647317230160363521/47RPk1TN_normal.jpg</v>
      </c>
      <c r="AW527" s="82" t="s">
        <v>12722</v>
      </c>
      <c r="AX527" s="82" t="s">
        <v>12722</v>
      </c>
      <c r="AY527" s="77"/>
      <c r="AZ527" s="82" t="s">
        <v>15804</v>
      </c>
      <c r="BA527" s="82" t="s">
        <v>12721</v>
      </c>
      <c r="BB527" s="82" t="s">
        <v>15804</v>
      </c>
      <c r="BC527" s="82" t="s">
        <v>12721</v>
      </c>
      <c r="BD527" s="82" t="s">
        <v>16219</v>
      </c>
      <c r="BE527" s="77"/>
      <c r="BF527" s="77"/>
      <c r="BG527" s="77"/>
      <c r="BH527" s="77"/>
      <c r="BI527" s="77"/>
    </row>
    <row r="528" spans="1:61" x14ac:dyDescent="0.25">
      <c r="A528" s="62" t="s">
        <v>378</v>
      </c>
      <c r="B528" s="62" t="s">
        <v>378</v>
      </c>
      <c r="C528" s="63"/>
      <c r="D528" s="64"/>
      <c r="E528" s="65"/>
      <c r="F528" s="66"/>
      <c r="G528" s="63"/>
      <c r="H528" s="67"/>
      <c r="I528" s="68"/>
      <c r="J528" s="68"/>
      <c r="K528" s="32"/>
      <c r="L528" s="75">
        <v>528</v>
      </c>
      <c r="M528" s="75"/>
      <c r="N528" s="70"/>
      <c r="O528" s="77" t="s">
        <v>179</v>
      </c>
      <c r="P528" s="79">
        <v>45062.923703703702</v>
      </c>
      <c r="Q528" s="77" t="s">
        <v>1638</v>
      </c>
      <c r="R528" s="77">
        <v>0</v>
      </c>
      <c r="S528" s="77">
        <v>3</v>
      </c>
      <c r="T528" s="77">
        <v>0</v>
      </c>
      <c r="U528" s="77">
        <v>0</v>
      </c>
      <c r="V528" s="77">
        <v>116</v>
      </c>
      <c r="W528" s="82" t="s">
        <v>4428</v>
      </c>
      <c r="X528" s="80" t="str">
        <f>HYPERLINK("https://bit.ly/educacaofinanceiraPMM")</f>
        <v>https://bit.ly/educacaofinanceiraPMM</v>
      </c>
      <c r="Y528" s="77" t="s">
        <v>6004</v>
      </c>
      <c r="Z528" s="77"/>
      <c r="AA528" s="77" t="s">
        <v>6436</v>
      </c>
      <c r="AB528" s="77" t="s">
        <v>7696</v>
      </c>
      <c r="AC528" s="82" t="s">
        <v>7708</v>
      </c>
      <c r="AD528" s="77" t="s">
        <v>7745</v>
      </c>
      <c r="AE528" s="80" t="str">
        <f>HYPERLINK("https://twitter.com/mesquitarj/status/1658595715130482688")</f>
        <v>https://twitter.com/mesquitarj/status/1658595715130482688</v>
      </c>
      <c r="AF528" s="79">
        <v>45062.923703703702</v>
      </c>
      <c r="AG528" s="85">
        <v>45062</v>
      </c>
      <c r="AH528" s="82" t="s">
        <v>8219</v>
      </c>
      <c r="AI528" s="77" t="b">
        <v>0</v>
      </c>
      <c r="AJ528" s="77"/>
      <c r="AK528" s="77"/>
      <c r="AL528" s="77"/>
      <c r="AM528" s="77"/>
      <c r="AN528" s="77"/>
      <c r="AO528" s="77"/>
      <c r="AP528" s="77"/>
      <c r="AQ528" s="77" t="s">
        <v>10943</v>
      </c>
      <c r="AR528" s="77"/>
      <c r="AS528" s="77"/>
      <c r="AT528" s="77"/>
      <c r="AU528" s="77"/>
      <c r="AV528" s="80" t="str">
        <f>HYPERLINK("https://pbs.twimg.com/media/FwSEA0qXgAI0UPo.jpg")</f>
        <v>https://pbs.twimg.com/media/FwSEA0qXgAI0UPo.jpg</v>
      </c>
      <c r="AW528" s="82" t="s">
        <v>12723</v>
      </c>
      <c r="AX528" s="82" t="s">
        <v>12723</v>
      </c>
      <c r="AY528" s="77"/>
      <c r="AZ528" s="82" t="s">
        <v>15804</v>
      </c>
      <c r="BA528" s="82" t="s">
        <v>15804</v>
      </c>
      <c r="BB528" s="82" t="s">
        <v>15804</v>
      </c>
      <c r="BC528" s="82" t="s">
        <v>12723</v>
      </c>
      <c r="BD528" s="82" t="s">
        <v>16220</v>
      </c>
      <c r="BE528" s="77"/>
      <c r="BF528" s="77"/>
      <c r="BG528" s="77"/>
      <c r="BH528" s="77"/>
      <c r="BI528" s="77"/>
    </row>
    <row r="529" spans="1:61" x14ac:dyDescent="0.25">
      <c r="A529" s="62" t="s">
        <v>379</v>
      </c>
      <c r="B529" s="62" t="s">
        <v>379</v>
      </c>
      <c r="C529" s="63"/>
      <c r="D529" s="64"/>
      <c r="E529" s="65"/>
      <c r="F529" s="66"/>
      <c r="G529" s="63"/>
      <c r="H529" s="67"/>
      <c r="I529" s="68"/>
      <c r="J529" s="68"/>
      <c r="K529" s="32"/>
      <c r="L529" s="75">
        <v>529</v>
      </c>
      <c r="M529" s="75"/>
      <c r="N529" s="70"/>
      <c r="O529" s="77" t="s">
        <v>179</v>
      </c>
      <c r="P529" s="79">
        <v>44992.860636574071</v>
      </c>
      <c r="Q529" s="77" t="s">
        <v>1639</v>
      </c>
      <c r="R529" s="77">
        <v>0</v>
      </c>
      <c r="S529" s="77">
        <v>0</v>
      </c>
      <c r="T529" s="77">
        <v>0</v>
      </c>
      <c r="U529" s="77">
        <v>0</v>
      </c>
      <c r="V529" s="77">
        <v>19</v>
      </c>
      <c r="W529" s="82" t="s">
        <v>4429</v>
      </c>
      <c r="X529" s="77"/>
      <c r="Y529" s="77"/>
      <c r="Z529" s="77"/>
      <c r="AA529" s="77" t="s">
        <v>6437</v>
      </c>
      <c r="AB529" s="77" t="s">
        <v>7696</v>
      </c>
      <c r="AC529" s="82" t="s">
        <v>7709</v>
      </c>
      <c r="AD529" s="77" t="s">
        <v>7745</v>
      </c>
      <c r="AE529" s="80" t="str">
        <f>HYPERLINK("https://twitter.com/majesegseguros/status/1633205708476010496")</f>
        <v>https://twitter.com/majesegseguros/status/1633205708476010496</v>
      </c>
      <c r="AF529" s="79">
        <v>44992.860636574071</v>
      </c>
      <c r="AG529" s="85">
        <v>44992</v>
      </c>
      <c r="AH529" s="82" t="s">
        <v>8220</v>
      </c>
      <c r="AI529" s="77" t="b">
        <v>0</v>
      </c>
      <c r="AJ529" s="77"/>
      <c r="AK529" s="77"/>
      <c r="AL529" s="77"/>
      <c r="AM529" s="77"/>
      <c r="AN529" s="77"/>
      <c r="AO529" s="77"/>
      <c r="AP529" s="77"/>
      <c r="AQ529" s="77" t="s">
        <v>10944</v>
      </c>
      <c r="AR529" s="77"/>
      <c r="AS529" s="77"/>
      <c r="AT529" s="77"/>
      <c r="AU529" s="77"/>
      <c r="AV529" s="80" t="str">
        <f>HYPERLINK("https://pbs.twimg.com/media/FqpP78BaQAAhhBr.jpg")</f>
        <v>https://pbs.twimg.com/media/FqpP78BaQAAhhBr.jpg</v>
      </c>
      <c r="AW529" s="82" t="s">
        <v>12724</v>
      </c>
      <c r="AX529" s="82" t="s">
        <v>12724</v>
      </c>
      <c r="AY529" s="77"/>
      <c r="AZ529" s="82" t="s">
        <v>15804</v>
      </c>
      <c r="BA529" s="82" t="s">
        <v>15804</v>
      </c>
      <c r="BB529" s="82" t="s">
        <v>15804</v>
      </c>
      <c r="BC529" s="82" t="s">
        <v>12724</v>
      </c>
      <c r="BD529" s="77">
        <v>2483025594</v>
      </c>
      <c r="BE529" s="77"/>
      <c r="BF529" s="77"/>
      <c r="BG529" s="77"/>
      <c r="BH529" s="77"/>
      <c r="BI529" s="77"/>
    </row>
    <row r="530" spans="1:61" x14ac:dyDescent="0.25">
      <c r="A530" s="62" t="s">
        <v>380</v>
      </c>
      <c r="B530" s="62" t="s">
        <v>380</v>
      </c>
      <c r="C530" s="63"/>
      <c r="D530" s="64"/>
      <c r="E530" s="65"/>
      <c r="F530" s="66"/>
      <c r="G530" s="63"/>
      <c r="H530" s="67"/>
      <c r="I530" s="68"/>
      <c r="J530" s="68"/>
      <c r="K530" s="32"/>
      <c r="L530" s="75">
        <v>530</v>
      </c>
      <c r="M530" s="75"/>
      <c r="N530" s="70"/>
      <c r="O530" s="77" t="s">
        <v>1132</v>
      </c>
      <c r="P530" s="79">
        <v>45008.617199074077</v>
      </c>
      <c r="Q530" s="77" t="s">
        <v>1640</v>
      </c>
      <c r="R530" s="77">
        <v>0</v>
      </c>
      <c r="S530" s="77">
        <v>0</v>
      </c>
      <c r="T530" s="77">
        <v>1</v>
      </c>
      <c r="U530" s="77">
        <v>0</v>
      </c>
      <c r="V530" s="77">
        <v>8</v>
      </c>
      <c r="W530" s="82" t="s">
        <v>4160</v>
      </c>
      <c r="X530" s="77"/>
      <c r="Y530" s="77"/>
      <c r="Z530" s="77"/>
      <c r="AA530" s="77"/>
      <c r="AB530" s="77"/>
      <c r="AC530" s="82" t="s">
        <v>7706</v>
      </c>
      <c r="AD530" s="77" t="s">
        <v>7745</v>
      </c>
      <c r="AE530" s="80" t="str">
        <f>HYPERLINK("https://twitter.com/fabiooliveira18/status/1638915698989703168")</f>
        <v>https://twitter.com/fabiooliveira18/status/1638915698989703168</v>
      </c>
      <c r="AF530" s="79">
        <v>45008.617199074077</v>
      </c>
      <c r="AG530" s="85">
        <v>45008</v>
      </c>
      <c r="AH530" s="82" t="s">
        <v>8221</v>
      </c>
      <c r="AI530" s="77"/>
      <c r="AJ530" s="77"/>
      <c r="AK530" s="77"/>
      <c r="AL530" s="77"/>
      <c r="AM530" s="77"/>
      <c r="AN530" s="77"/>
      <c r="AO530" s="77"/>
      <c r="AP530" s="77"/>
      <c r="AQ530" s="77"/>
      <c r="AR530" s="77"/>
      <c r="AS530" s="77"/>
      <c r="AT530" s="77"/>
      <c r="AU530" s="77"/>
      <c r="AV530" s="80" t="str">
        <f>HYPERLINK("https://pbs.twimg.com/profile_images/1496451424997281796/pzgn7lxl_normal.jpg")</f>
        <v>https://pbs.twimg.com/profile_images/1496451424997281796/pzgn7lxl_normal.jpg</v>
      </c>
      <c r="AW530" s="82" t="s">
        <v>12725</v>
      </c>
      <c r="AX530" s="82" t="s">
        <v>15274</v>
      </c>
      <c r="AY530" s="82" t="s">
        <v>15702</v>
      </c>
      <c r="AZ530" s="82" t="s">
        <v>15274</v>
      </c>
      <c r="BA530" s="82" t="s">
        <v>15804</v>
      </c>
      <c r="BB530" s="82" t="s">
        <v>15804</v>
      </c>
      <c r="BC530" s="82" t="s">
        <v>15274</v>
      </c>
      <c r="BD530" s="77">
        <v>230005777</v>
      </c>
      <c r="BE530" s="77"/>
      <c r="BF530" s="77"/>
      <c r="BG530" s="77"/>
      <c r="BH530" s="77"/>
      <c r="BI530" s="77"/>
    </row>
    <row r="531" spans="1:61" x14ac:dyDescent="0.25">
      <c r="A531" s="62" t="s">
        <v>381</v>
      </c>
      <c r="B531" s="62" t="s">
        <v>1066</v>
      </c>
      <c r="C531" s="63"/>
      <c r="D531" s="64"/>
      <c r="E531" s="65"/>
      <c r="F531" s="66"/>
      <c r="G531" s="63"/>
      <c r="H531" s="67"/>
      <c r="I531" s="68"/>
      <c r="J531" s="68"/>
      <c r="K531" s="32"/>
      <c r="L531" s="75">
        <v>531</v>
      </c>
      <c r="M531" s="75"/>
      <c r="N531" s="70"/>
      <c r="O531" s="77" t="s">
        <v>1137</v>
      </c>
      <c r="P531" s="79">
        <v>44929.690532407411</v>
      </c>
      <c r="Q531" s="77" t="s">
        <v>1641</v>
      </c>
      <c r="R531" s="77">
        <v>0</v>
      </c>
      <c r="S531" s="77">
        <v>0</v>
      </c>
      <c r="T531" s="77">
        <v>0</v>
      </c>
      <c r="U531" s="77">
        <v>0</v>
      </c>
      <c r="V531" s="77">
        <v>30</v>
      </c>
      <c r="W531" s="82" t="s">
        <v>4097</v>
      </c>
      <c r="X531" s="77"/>
      <c r="Y531" s="77"/>
      <c r="Z531" s="77" t="s">
        <v>1066</v>
      </c>
      <c r="AA531" s="77"/>
      <c r="AB531" s="77"/>
      <c r="AC531" s="82" t="s">
        <v>7707</v>
      </c>
      <c r="AD531" s="77" t="s">
        <v>7745</v>
      </c>
      <c r="AE531" s="80" t="str">
        <f>HYPERLINK("https://twitter.com/dnavegacao/status/1610313632474357766")</f>
        <v>https://twitter.com/dnavegacao/status/1610313632474357766</v>
      </c>
      <c r="AF531" s="79">
        <v>44929.690532407411</v>
      </c>
      <c r="AG531" s="85">
        <v>44929</v>
      </c>
      <c r="AH531" s="82" t="s">
        <v>8222</v>
      </c>
      <c r="AI531" s="77"/>
      <c r="AJ531" s="77"/>
      <c r="AK531" s="77"/>
      <c r="AL531" s="77"/>
      <c r="AM531" s="77"/>
      <c r="AN531" s="77"/>
      <c r="AO531" s="77"/>
      <c r="AP531" s="77"/>
      <c r="AQ531" s="77"/>
      <c r="AR531" s="77"/>
      <c r="AS531" s="77"/>
      <c r="AT531" s="77"/>
      <c r="AU531" s="77"/>
      <c r="AV531" s="80" t="str">
        <f>HYPERLINK("https://pbs.twimg.com/profile_images/1610744954648760320/8EZ_JCLO_normal.jpg")</f>
        <v>https://pbs.twimg.com/profile_images/1610744954648760320/8EZ_JCLO_normal.jpg</v>
      </c>
      <c r="AW531" s="82" t="s">
        <v>12726</v>
      </c>
      <c r="AX531" s="82" t="s">
        <v>12726</v>
      </c>
      <c r="AY531" s="77"/>
      <c r="AZ531" s="82" t="s">
        <v>15804</v>
      </c>
      <c r="BA531" s="82" t="s">
        <v>13761</v>
      </c>
      <c r="BB531" s="82" t="s">
        <v>15804</v>
      </c>
      <c r="BC531" s="82" t="s">
        <v>13761</v>
      </c>
      <c r="BD531" s="82" t="s">
        <v>16221</v>
      </c>
      <c r="BE531" s="77"/>
      <c r="BF531" s="77"/>
      <c r="BG531" s="77"/>
      <c r="BH531" s="77"/>
      <c r="BI531" s="77"/>
    </row>
    <row r="532" spans="1:61" x14ac:dyDescent="0.25">
      <c r="A532" s="62" t="s">
        <v>381</v>
      </c>
      <c r="B532" s="62" t="s">
        <v>732</v>
      </c>
      <c r="C532" s="63"/>
      <c r="D532" s="64"/>
      <c r="E532" s="65"/>
      <c r="F532" s="66"/>
      <c r="G532" s="63"/>
      <c r="H532" s="67"/>
      <c r="I532" s="68"/>
      <c r="J532" s="68"/>
      <c r="K532" s="32"/>
      <c r="L532" s="75">
        <v>532</v>
      </c>
      <c r="M532" s="75"/>
      <c r="N532" s="70"/>
      <c r="O532" s="77" t="s">
        <v>1135</v>
      </c>
      <c r="P532" s="79">
        <v>44929.690532407411</v>
      </c>
      <c r="Q532" s="77" t="s">
        <v>1641</v>
      </c>
      <c r="R532" s="77">
        <v>0</v>
      </c>
      <c r="S532" s="77">
        <v>0</v>
      </c>
      <c r="T532" s="77">
        <v>0</v>
      </c>
      <c r="U532" s="77">
        <v>0</v>
      </c>
      <c r="V532" s="77">
        <v>30</v>
      </c>
      <c r="W532" s="82" t="s">
        <v>4097</v>
      </c>
      <c r="X532" s="77"/>
      <c r="Y532" s="77"/>
      <c r="Z532" s="77" t="s">
        <v>1066</v>
      </c>
      <c r="AA532" s="77"/>
      <c r="AB532" s="77"/>
      <c r="AC532" s="82" t="s">
        <v>7707</v>
      </c>
      <c r="AD532" s="77" t="s">
        <v>7745</v>
      </c>
      <c r="AE532" s="80" t="str">
        <f>HYPERLINK("https://twitter.com/dnavegacao/status/1610313632474357766")</f>
        <v>https://twitter.com/dnavegacao/status/1610313632474357766</v>
      </c>
      <c r="AF532" s="79">
        <v>44929.690532407411</v>
      </c>
      <c r="AG532" s="85">
        <v>44929</v>
      </c>
      <c r="AH532" s="82" t="s">
        <v>8222</v>
      </c>
      <c r="AI532" s="77"/>
      <c r="AJ532" s="77"/>
      <c r="AK532" s="77"/>
      <c r="AL532" s="77"/>
      <c r="AM532" s="77"/>
      <c r="AN532" s="77"/>
      <c r="AO532" s="77"/>
      <c r="AP532" s="77"/>
      <c r="AQ532" s="77"/>
      <c r="AR532" s="77"/>
      <c r="AS532" s="77"/>
      <c r="AT532" s="77"/>
      <c r="AU532" s="77"/>
      <c r="AV532" s="80" t="str">
        <f>HYPERLINK("https://pbs.twimg.com/profile_images/1610744954648760320/8EZ_JCLO_normal.jpg")</f>
        <v>https://pbs.twimg.com/profile_images/1610744954648760320/8EZ_JCLO_normal.jpg</v>
      </c>
      <c r="AW532" s="82" t="s">
        <v>12726</v>
      </c>
      <c r="AX532" s="82" t="s">
        <v>12726</v>
      </c>
      <c r="AY532" s="77"/>
      <c r="AZ532" s="82" t="s">
        <v>15804</v>
      </c>
      <c r="BA532" s="82" t="s">
        <v>13761</v>
      </c>
      <c r="BB532" s="82" t="s">
        <v>15804</v>
      </c>
      <c r="BC532" s="82" t="s">
        <v>13761</v>
      </c>
      <c r="BD532" s="82" t="s">
        <v>16221</v>
      </c>
      <c r="BE532" s="77"/>
      <c r="BF532" s="77"/>
      <c r="BG532" s="77"/>
      <c r="BH532" s="77"/>
      <c r="BI532" s="77"/>
    </row>
    <row r="533" spans="1:61" x14ac:dyDescent="0.25">
      <c r="A533" s="62" t="s">
        <v>382</v>
      </c>
      <c r="B533" s="62" t="s">
        <v>1067</v>
      </c>
      <c r="C533" s="63"/>
      <c r="D533" s="64"/>
      <c r="E533" s="65"/>
      <c r="F533" s="66"/>
      <c r="G533" s="63"/>
      <c r="H533" s="67"/>
      <c r="I533" s="68"/>
      <c r="J533" s="68"/>
      <c r="K533" s="32"/>
      <c r="L533" s="75">
        <v>533</v>
      </c>
      <c r="M533" s="75"/>
      <c r="N533" s="70"/>
      <c r="O533" s="77" t="s">
        <v>1133</v>
      </c>
      <c r="P533" s="79">
        <v>45084.649884259263</v>
      </c>
      <c r="Q533" s="77" t="s">
        <v>1642</v>
      </c>
      <c r="R533" s="77">
        <v>0</v>
      </c>
      <c r="S533" s="77">
        <v>0</v>
      </c>
      <c r="T533" s="77">
        <v>0</v>
      </c>
      <c r="U533" s="77">
        <v>0</v>
      </c>
      <c r="V533" s="77">
        <v>130</v>
      </c>
      <c r="W533" s="82" t="s">
        <v>4430</v>
      </c>
      <c r="X533" s="77"/>
      <c r="Y533" s="77"/>
      <c r="Z533" s="77" t="s">
        <v>6122</v>
      </c>
      <c r="AA533" s="77" t="s">
        <v>6438</v>
      </c>
      <c r="AB533" s="77" t="s">
        <v>7697</v>
      </c>
      <c r="AC533" s="82" t="s">
        <v>7705</v>
      </c>
      <c r="AD533" s="77" t="s">
        <v>7750</v>
      </c>
      <c r="AE533" s="80" t="str">
        <f>HYPERLINK("https://twitter.com/francisinvicto/status/1666469019891662848")</f>
        <v>https://twitter.com/francisinvicto/status/1666469019891662848</v>
      </c>
      <c r="AF533" s="79">
        <v>45084.649884259263</v>
      </c>
      <c r="AG533" s="85">
        <v>45084</v>
      </c>
      <c r="AH533" s="82" t="s">
        <v>8223</v>
      </c>
      <c r="AI533" s="77" t="b">
        <v>0</v>
      </c>
      <c r="AJ533" s="77"/>
      <c r="AK533" s="77"/>
      <c r="AL533" s="77"/>
      <c r="AM533" s="77"/>
      <c r="AN533" s="77"/>
      <c r="AO533" s="77"/>
      <c r="AP533" s="77"/>
      <c r="AQ533" s="77" t="s">
        <v>10945</v>
      </c>
      <c r="AR533" s="77">
        <v>19970</v>
      </c>
      <c r="AS533" s="77"/>
      <c r="AT533" s="77"/>
      <c r="AU533" s="77">
        <v>32</v>
      </c>
      <c r="AV533" s="80" t="str">
        <f>HYPERLINK("https://pbs.twimg.com/ext_tw_video_thumb/1666468989218828288/pu/img/4EYnLVmsQChh0HW4.jpg")</f>
        <v>https://pbs.twimg.com/ext_tw_video_thumb/1666468989218828288/pu/img/4EYnLVmsQChh0HW4.jpg</v>
      </c>
      <c r="AW533" s="82" t="s">
        <v>12727</v>
      </c>
      <c r="AX533" s="82" t="s">
        <v>12727</v>
      </c>
      <c r="AY533" s="77"/>
      <c r="AZ533" s="82" t="s">
        <v>15804</v>
      </c>
      <c r="BA533" s="82" t="s">
        <v>15804</v>
      </c>
      <c r="BB533" s="82" t="s">
        <v>15804</v>
      </c>
      <c r="BC533" s="82" t="s">
        <v>12727</v>
      </c>
      <c r="BD533" s="82" t="s">
        <v>16222</v>
      </c>
      <c r="BE533" s="77"/>
      <c r="BF533" s="77"/>
      <c r="BG533" s="77"/>
      <c r="BH533" s="77"/>
      <c r="BI533" s="77"/>
    </row>
    <row r="534" spans="1:61" x14ac:dyDescent="0.25">
      <c r="A534" s="62" t="s">
        <v>382</v>
      </c>
      <c r="B534" s="62" t="s">
        <v>1068</v>
      </c>
      <c r="C534" s="63"/>
      <c r="D534" s="64"/>
      <c r="E534" s="65"/>
      <c r="F534" s="66"/>
      <c r="G534" s="63"/>
      <c r="H534" s="67"/>
      <c r="I534" s="68"/>
      <c r="J534" s="68"/>
      <c r="K534" s="32"/>
      <c r="L534" s="75">
        <v>534</v>
      </c>
      <c r="M534" s="75"/>
      <c r="N534" s="70"/>
      <c r="O534" s="77" t="s">
        <v>1133</v>
      </c>
      <c r="P534" s="79">
        <v>45084.649884259263</v>
      </c>
      <c r="Q534" s="77" t="s">
        <v>1642</v>
      </c>
      <c r="R534" s="77">
        <v>0</v>
      </c>
      <c r="S534" s="77">
        <v>0</v>
      </c>
      <c r="T534" s="77">
        <v>0</v>
      </c>
      <c r="U534" s="77">
        <v>0</v>
      </c>
      <c r="V534" s="77">
        <v>130</v>
      </c>
      <c r="W534" s="82" t="s">
        <v>4430</v>
      </c>
      <c r="X534" s="77"/>
      <c r="Y534" s="77"/>
      <c r="Z534" s="77" t="s">
        <v>6122</v>
      </c>
      <c r="AA534" s="77" t="s">
        <v>6438</v>
      </c>
      <c r="AB534" s="77" t="s">
        <v>7697</v>
      </c>
      <c r="AC534" s="82" t="s">
        <v>7705</v>
      </c>
      <c r="AD534" s="77" t="s">
        <v>7750</v>
      </c>
      <c r="AE534" s="80" t="str">
        <f>HYPERLINK("https://twitter.com/francisinvicto/status/1666469019891662848")</f>
        <v>https://twitter.com/francisinvicto/status/1666469019891662848</v>
      </c>
      <c r="AF534" s="79">
        <v>45084.649884259263</v>
      </c>
      <c r="AG534" s="85">
        <v>45084</v>
      </c>
      <c r="AH534" s="82" t="s">
        <v>8223</v>
      </c>
      <c r="AI534" s="77" t="b">
        <v>0</v>
      </c>
      <c r="AJ534" s="77"/>
      <c r="AK534" s="77"/>
      <c r="AL534" s="77"/>
      <c r="AM534" s="77"/>
      <c r="AN534" s="77"/>
      <c r="AO534" s="77"/>
      <c r="AP534" s="77"/>
      <c r="AQ534" s="77" t="s">
        <v>10945</v>
      </c>
      <c r="AR534" s="77">
        <v>19970</v>
      </c>
      <c r="AS534" s="77"/>
      <c r="AT534" s="77"/>
      <c r="AU534" s="77">
        <v>32</v>
      </c>
      <c r="AV534" s="80" t="str">
        <f>HYPERLINK("https://pbs.twimg.com/ext_tw_video_thumb/1666468989218828288/pu/img/4EYnLVmsQChh0HW4.jpg")</f>
        <v>https://pbs.twimg.com/ext_tw_video_thumb/1666468989218828288/pu/img/4EYnLVmsQChh0HW4.jpg</v>
      </c>
      <c r="AW534" s="82" t="s">
        <v>12727</v>
      </c>
      <c r="AX534" s="82" t="s">
        <v>12727</v>
      </c>
      <c r="AY534" s="77"/>
      <c r="AZ534" s="82" t="s">
        <v>15804</v>
      </c>
      <c r="BA534" s="82" t="s">
        <v>15804</v>
      </c>
      <c r="BB534" s="82" t="s">
        <v>15804</v>
      </c>
      <c r="BC534" s="82" t="s">
        <v>12727</v>
      </c>
      <c r="BD534" s="82" t="s">
        <v>16222</v>
      </c>
      <c r="BE534" s="77"/>
      <c r="BF534" s="77"/>
      <c r="BG534" s="77"/>
      <c r="BH534" s="77"/>
      <c r="BI534" s="77"/>
    </row>
    <row r="535" spans="1:61" x14ac:dyDescent="0.25">
      <c r="A535" s="62" t="s">
        <v>382</v>
      </c>
      <c r="B535" s="62" t="s">
        <v>1069</v>
      </c>
      <c r="C535" s="63"/>
      <c r="D535" s="64"/>
      <c r="E535" s="65"/>
      <c r="F535" s="66"/>
      <c r="G535" s="63"/>
      <c r="H535" s="67"/>
      <c r="I535" s="68"/>
      <c r="J535" s="68"/>
      <c r="K535" s="32"/>
      <c r="L535" s="75">
        <v>535</v>
      </c>
      <c r="M535" s="75"/>
      <c r="N535" s="70"/>
      <c r="O535" s="77" t="s">
        <v>1133</v>
      </c>
      <c r="P535" s="79">
        <v>45084.649884259263</v>
      </c>
      <c r="Q535" s="77" t="s">
        <v>1642</v>
      </c>
      <c r="R535" s="77">
        <v>0</v>
      </c>
      <c r="S535" s="77">
        <v>0</v>
      </c>
      <c r="T535" s="77">
        <v>0</v>
      </c>
      <c r="U535" s="77">
        <v>0</v>
      </c>
      <c r="V535" s="77">
        <v>130</v>
      </c>
      <c r="W535" s="82" t="s">
        <v>4430</v>
      </c>
      <c r="X535" s="77"/>
      <c r="Y535" s="77"/>
      <c r="Z535" s="77" t="s">
        <v>6122</v>
      </c>
      <c r="AA535" s="77" t="s">
        <v>6438</v>
      </c>
      <c r="AB535" s="77" t="s">
        <v>7697</v>
      </c>
      <c r="AC535" s="82" t="s">
        <v>7705</v>
      </c>
      <c r="AD535" s="77" t="s">
        <v>7750</v>
      </c>
      <c r="AE535" s="80" t="str">
        <f>HYPERLINK("https://twitter.com/francisinvicto/status/1666469019891662848")</f>
        <v>https://twitter.com/francisinvicto/status/1666469019891662848</v>
      </c>
      <c r="AF535" s="79">
        <v>45084.649884259263</v>
      </c>
      <c r="AG535" s="85">
        <v>45084</v>
      </c>
      <c r="AH535" s="82" t="s">
        <v>8223</v>
      </c>
      <c r="AI535" s="77" t="b">
        <v>0</v>
      </c>
      <c r="AJ535" s="77"/>
      <c r="AK535" s="77"/>
      <c r="AL535" s="77"/>
      <c r="AM535" s="77"/>
      <c r="AN535" s="77"/>
      <c r="AO535" s="77"/>
      <c r="AP535" s="77"/>
      <c r="AQ535" s="77" t="s">
        <v>10945</v>
      </c>
      <c r="AR535" s="77">
        <v>19970</v>
      </c>
      <c r="AS535" s="77"/>
      <c r="AT535" s="77"/>
      <c r="AU535" s="77">
        <v>32</v>
      </c>
      <c r="AV535" s="80" t="str">
        <f>HYPERLINK("https://pbs.twimg.com/ext_tw_video_thumb/1666468989218828288/pu/img/4EYnLVmsQChh0HW4.jpg")</f>
        <v>https://pbs.twimg.com/ext_tw_video_thumb/1666468989218828288/pu/img/4EYnLVmsQChh0HW4.jpg</v>
      </c>
      <c r="AW535" s="82" t="s">
        <v>12727</v>
      </c>
      <c r="AX535" s="82" t="s">
        <v>12727</v>
      </c>
      <c r="AY535" s="77"/>
      <c r="AZ535" s="82" t="s">
        <v>15804</v>
      </c>
      <c r="BA535" s="82" t="s">
        <v>15804</v>
      </c>
      <c r="BB535" s="82" t="s">
        <v>15804</v>
      </c>
      <c r="BC535" s="82" t="s">
        <v>12727</v>
      </c>
      <c r="BD535" s="82" t="s">
        <v>16222</v>
      </c>
      <c r="BE535" s="77"/>
      <c r="BF535" s="77"/>
      <c r="BG535" s="77"/>
      <c r="BH535" s="77"/>
      <c r="BI535" s="77"/>
    </row>
    <row r="536" spans="1:61" x14ac:dyDescent="0.25">
      <c r="A536" s="62" t="s">
        <v>382</v>
      </c>
      <c r="B536" s="62" t="s">
        <v>382</v>
      </c>
      <c r="C536" s="63"/>
      <c r="D536" s="64"/>
      <c r="E536" s="65"/>
      <c r="F536" s="66"/>
      <c r="G536" s="63"/>
      <c r="H536" s="67"/>
      <c r="I536" s="68"/>
      <c r="J536" s="68"/>
      <c r="K536" s="32"/>
      <c r="L536" s="75">
        <v>536</v>
      </c>
      <c r="M536" s="75"/>
      <c r="N536" s="70"/>
      <c r="O536" s="77" t="s">
        <v>179</v>
      </c>
      <c r="P536" s="79">
        <v>45084.666030092594</v>
      </c>
      <c r="Q536" s="77" t="s">
        <v>1643</v>
      </c>
      <c r="R536" s="77">
        <v>0</v>
      </c>
      <c r="S536" s="77">
        <v>1</v>
      </c>
      <c r="T536" s="77">
        <v>0</v>
      </c>
      <c r="U536" s="77">
        <v>0</v>
      </c>
      <c r="V536" s="77">
        <v>310</v>
      </c>
      <c r="W536" s="82" t="s">
        <v>4430</v>
      </c>
      <c r="X536" s="77"/>
      <c r="Y536" s="77"/>
      <c r="Z536" s="77"/>
      <c r="AA536" s="77" t="s">
        <v>6439</v>
      </c>
      <c r="AB536" s="77" t="s">
        <v>7697</v>
      </c>
      <c r="AC536" s="82" t="s">
        <v>7705</v>
      </c>
      <c r="AD536" s="77" t="s">
        <v>7750</v>
      </c>
      <c r="AE536" s="80" t="str">
        <f>HYPERLINK("https://twitter.com/francisinvicto/status/1666474870861963266")</f>
        <v>https://twitter.com/francisinvicto/status/1666474870861963266</v>
      </c>
      <c r="AF536" s="79">
        <v>45084.666030092594</v>
      </c>
      <c r="AG536" s="85">
        <v>45084</v>
      </c>
      <c r="AH536" s="82" t="s">
        <v>8224</v>
      </c>
      <c r="AI536" s="77" t="b">
        <v>0</v>
      </c>
      <c r="AJ536" s="77"/>
      <c r="AK536" s="77"/>
      <c r="AL536" s="77"/>
      <c r="AM536" s="77"/>
      <c r="AN536" s="77"/>
      <c r="AO536" s="77"/>
      <c r="AP536" s="77"/>
      <c r="AQ536" s="77" t="s">
        <v>10946</v>
      </c>
      <c r="AR536" s="77">
        <v>44965</v>
      </c>
      <c r="AS536" s="77"/>
      <c r="AT536" s="77"/>
      <c r="AU536" s="77">
        <v>117</v>
      </c>
      <c r="AV536" s="80" t="str">
        <f>HYPERLINK("https://pbs.twimg.com/ext_tw_video_thumb/1666474818454126592/pu/img/vzBrbd1nevmfwxO9.jpg")</f>
        <v>https://pbs.twimg.com/ext_tw_video_thumb/1666474818454126592/pu/img/vzBrbd1nevmfwxO9.jpg</v>
      </c>
      <c r="AW536" s="82" t="s">
        <v>12728</v>
      </c>
      <c r="AX536" s="82" t="s">
        <v>12728</v>
      </c>
      <c r="AY536" s="77"/>
      <c r="AZ536" s="82" t="s">
        <v>15804</v>
      </c>
      <c r="BA536" s="82" t="s">
        <v>15804</v>
      </c>
      <c r="BB536" s="82" t="s">
        <v>15804</v>
      </c>
      <c r="BC536" s="82" t="s">
        <v>12728</v>
      </c>
      <c r="BD536" s="82" t="s">
        <v>16222</v>
      </c>
      <c r="BE536" s="77"/>
      <c r="BF536" s="77"/>
      <c r="BG536" s="77"/>
      <c r="BH536" s="77"/>
      <c r="BI536" s="77"/>
    </row>
    <row r="537" spans="1:61" x14ac:dyDescent="0.25">
      <c r="A537" s="62" t="s">
        <v>382</v>
      </c>
      <c r="B537" s="62" t="s">
        <v>382</v>
      </c>
      <c r="C537" s="63"/>
      <c r="D537" s="64"/>
      <c r="E537" s="65"/>
      <c r="F537" s="66"/>
      <c r="G537" s="63"/>
      <c r="H537" s="67"/>
      <c r="I537" s="68"/>
      <c r="J537" s="68"/>
      <c r="K537" s="32"/>
      <c r="L537" s="75">
        <v>537</v>
      </c>
      <c r="M537" s="75"/>
      <c r="N537" s="70"/>
      <c r="O537" s="77" t="s">
        <v>179</v>
      </c>
      <c r="P537" s="79">
        <v>45078.778495370374</v>
      </c>
      <c r="Q537" s="77" t="s">
        <v>1644</v>
      </c>
      <c r="R537" s="77">
        <v>0</v>
      </c>
      <c r="S537" s="77">
        <v>0</v>
      </c>
      <c r="T537" s="77">
        <v>0</v>
      </c>
      <c r="U537" s="77">
        <v>0</v>
      </c>
      <c r="V537" s="77">
        <v>19</v>
      </c>
      <c r="W537" s="82" t="s">
        <v>4430</v>
      </c>
      <c r="X537" s="77"/>
      <c r="Y537" s="77"/>
      <c r="Z537" s="77"/>
      <c r="AA537" s="77" t="s">
        <v>6440</v>
      </c>
      <c r="AB537" s="77" t="s">
        <v>7697</v>
      </c>
      <c r="AC537" s="82" t="s">
        <v>7705</v>
      </c>
      <c r="AD537" s="77" t="s">
        <v>7750</v>
      </c>
      <c r="AE537" s="80" t="str">
        <f>HYPERLINK("https://twitter.com/francisinvicto/status/1664341298873094145")</f>
        <v>https://twitter.com/francisinvicto/status/1664341298873094145</v>
      </c>
      <c r="AF537" s="79">
        <v>45078.778495370374</v>
      </c>
      <c r="AG537" s="85">
        <v>45078</v>
      </c>
      <c r="AH537" s="82" t="s">
        <v>8225</v>
      </c>
      <c r="AI537" s="77" t="b">
        <v>0</v>
      </c>
      <c r="AJ537" s="77"/>
      <c r="AK537" s="77"/>
      <c r="AL537" s="77"/>
      <c r="AM537" s="77"/>
      <c r="AN537" s="77"/>
      <c r="AO537" s="77"/>
      <c r="AP537" s="77"/>
      <c r="AQ537" s="77" t="s">
        <v>10947</v>
      </c>
      <c r="AR537" s="77">
        <v>15033</v>
      </c>
      <c r="AS537" s="77"/>
      <c r="AT537" s="77"/>
      <c r="AU537" s="77">
        <v>3</v>
      </c>
      <c r="AV537" s="80" t="str">
        <f>HYPERLINK("https://pbs.twimg.com/ext_tw_video_thumb/1664341273342361600/pu/img/-aNSP3rVASadM_zw.jpg")</f>
        <v>https://pbs.twimg.com/ext_tw_video_thumb/1664341273342361600/pu/img/-aNSP3rVASadM_zw.jpg</v>
      </c>
      <c r="AW537" s="82" t="s">
        <v>12729</v>
      </c>
      <c r="AX537" s="82" t="s">
        <v>12729</v>
      </c>
      <c r="AY537" s="77"/>
      <c r="AZ537" s="82" t="s">
        <v>15804</v>
      </c>
      <c r="BA537" s="82" t="s">
        <v>15804</v>
      </c>
      <c r="BB537" s="82" t="s">
        <v>15804</v>
      </c>
      <c r="BC537" s="82" t="s">
        <v>12729</v>
      </c>
      <c r="BD537" s="82" t="s">
        <v>16222</v>
      </c>
      <c r="BE537" s="77"/>
      <c r="BF537" s="77"/>
      <c r="BG537" s="77"/>
      <c r="BH537" s="77"/>
      <c r="BI537" s="77"/>
    </row>
    <row r="538" spans="1:61" x14ac:dyDescent="0.25">
      <c r="A538" s="62" t="s">
        <v>383</v>
      </c>
      <c r="B538" s="62" t="s">
        <v>383</v>
      </c>
      <c r="C538" s="63"/>
      <c r="D538" s="64"/>
      <c r="E538" s="65"/>
      <c r="F538" s="66"/>
      <c r="G538" s="63"/>
      <c r="H538" s="67"/>
      <c r="I538" s="68"/>
      <c r="J538" s="68"/>
      <c r="K538" s="32"/>
      <c r="L538" s="75">
        <v>538</v>
      </c>
      <c r="M538" s="75"/>
      <c r="N538" s="70"/>
      <c r="O538" s="77" t="s">
        <v>179</v>
      </c>
      <c r="P538" s="79">
        <v>45164.833645833336</v>
      </c>
      <c r="Q538" s="77" t="s">
        <v>1645</v>
      </c>
      <c r="R538" s="77">
        <v>0</v>
      </c>
      <c r="S538" s="77">
        <v>2</v>
      </c>
      <c r="T538" s="77">
        <v>0</v>
      </c>
      <c r="U538" s="77">
        <v>0</v>
      </c>
      <c r="V538" s="77">
        <v>60</v>
      </c>
      <c r="W538" s="82" t="s">
        <v>4431</v>
      </c>
      <c r="X538" s="77"/>
      <c r="Y538" s="77"/>
      <c r="Z538" s="77"/>
      <c r="AA538" s="77" t="s">
        <v>6441</v>
      </c>
      <c r="AB538" s="77" t="s">
        <v>7697</v>
      </c>
      <c r="AC538" s="82" t="s">
        <v>7705</v>
      </c>
      <c r="AD538" s="77" t="s">
        <v>7745</v>
      </c>
      <c r="AE538" s="80" t="str">
        <f>HYPERLINK("https://twitter.com/descentralizapt/status/1695526641391263900")</f>
        <v>https://twitter.com/descentralizapt/status/1695526641391263900</v>
      </c>
      <c r="AF538" s="79">
        <v>45164.833645833336</v>
      </c>
      <c r="AG538" s="85">
        <v>45164</v>
      </c>
      <c r="AH538" s="82" t="s">
        <v>8226</v>
      </c>
      <c r="AI538" s="77" t="b">
        <v>0</v>
      </c>
      <c r="AJ538" s="77"/>
      <c r="AK538" s="77"/>
      <c r="AL538" s="77"/>
      <c r="AM538" s="77"/>
      <c r="AN538" s="77"/>
      <c r="AO538" s="77"/>
      <c r="AP538" s="77"/>
      <c r="AQ538" s="77" t="s">
        <v>10948</v>
      </c>
      <c r="AR538" s="77">
        <v>140013</v>
      </c>
      <c r="AS538" s="77"/>
      <c r="AT538" s="77"/>
      <c r="AU538" s="77">
        <v>10</v>
      </c>
      <c r="AV538" s="80" t="str">
        <f>HYPERLINK("https://pbs.twimg.com/ext_tw_video_thumb/1695526429952233472/pu/img/KKSuQVnU0LE4t8Ud.jpg")</f>
        <v>https://pbs.twimg.com/ext_tw_video_thumb/1695526429952233472/pu/img/KKSuQVnU0LE4t8Ud.jpg</v>
      </c>
      <c r="AW538" s="82" t="s">
        <v>12730</v>
      </c>
      <c r="AX538" s="82" t="s">
        <v>12730</v>
      </c>
      <c r="AY538" s="77"/>
      <c r="AZ538" s="82" t="s">
        <v>15804</v>
      </c>
      <c r="BA538" s="82" t="s">
        <v>15804</v>
      </c>
      <c r="BB538" s="82" t="s">
        <v>15804</v>
      </c>
      <c r="BC538" s="82" t="s">
        <v>12730</v>
      </c>
      <c r="BD538" s="82" t="s">
        <v>16223</v>
      </c>
      <c r="BE538" s="77"/>
      <c r="BF538" s="77"/>
      <c r="BG538" s="77"/>
      <c r="BH538" s="77"/>
      <c r="BI538" s="77"/>
    </row>
    <row r="539" spans="1:61" x14ac:dyDescent="0.25">
      <c r="A539" s="62" t="s">
        <v>384</v>
      </c>
      <c r="B539" s="62" t="s">
        <v>384</v>
      </c>
      <c r="C539" s="63"/>
      <c r="D539" s="64"/>
      <c r="E539" s="65"/>
      <c r="F539" s="66"/>
      <c r="G539" s="63"/>
      <c r="H539" s="67"/>
      <c r="I539" s="68"/>
      <c r="J539" s="68"/>
      <c r="K539" s="32"/>
      <c r="L539" s="75">
        <v>539</v>
      </c>
      <c r="M539" s="75"/>
      <c r="N539" s="70"/>
      <c r="O539" s="77" t="s">
        <v>179</v>
      </c>
      <c r="P539" s="79">
        <v>45149.023090277777</v>
      </c>
      <c r="Q539" s="77" t="s">
        <v>1646</v>
      </c>
      <c r="R539" s="77">
        <v>0</v>
      </c>
      <c r="S539" s="77">
        <v>0</v>
      </c>
      <c r="T539" s="77">
        <v>0</v>
      </c>
      <c r="U539" s="77">
        <v>0</v>
      </c>
      <c r="V539" s="77">
        <v>9</v>
      </c>
      <c r="W539" s="82" t="s">
        <v>4432</v>
      </c>
      <c r="X539" s="77"/>
      <c r="Y539" s="77"/>
      <c r="Z539" s="77"/>
      <c r="AA539" s="77" t="s">
        <v>6442</v>
      </c>
      <c r="AB539" s="77" t="s">
        <v>7696</v>
      </c>
      <c r="AC539" s="82" t="s">
        <v>7706</v>
      </c>
      <c r="AD539" s="77" t="s">
        <v>7745</v>
      </c>
      <c r="AE539" s="80" t="str">
        <f>HYPERLINK("https://twitter.com/duduhrosa13/status/1689797087326609408")</f>
        <v>https://twitter.com/duduhrosa13/status/1689797087326609408</v>
      </c>
      <c r="AF539" s="79">
        <v>45149.023090277777</v>
      </c>
      <c r="AG539" s="85">
        <v>45149</v>
      </c>
      <c r="AH539" s="82" t="s">
        <v>8227</v>
      </c>
      <c r="AI539" s="77" t="b">
        <v>0</v>
      </c>
      <c r="AJ539" s="77"/>
      <c r="AK539" s="77"/>
      <c r="AL539" s="77"/>
      <c r="AM539" s="77"/>
      <c r="AN539" s="77"/>
      <c r="AO539" s="77"/>
      <c r="AP539" s="77"/>
      <c r="AQ539" s="77" t="s">
        <v>10949</v>
      </c>
      <c r="AR539" s="77"/>
      <c r="AS539" s="77"/>
      <c r="AT539" s="77"/>
      <c r="AU539" s="77"/>
      <c r="AV539" s="80" t="str">
        <f>HYPERLINK("https://pbs.twimg.com/media/F3NchL8XQAIQH5d.jpg")</f>
        <v>https://pbs.twimg.com/media/F3NchL8XQAIQH5d.jpg</v>
      </c>
      <c r="AW539" s="82" t="s">
        <v>12731</v>
      </c>
      <c r="AX539" s="82" t="s">
        <v>12731</v>
      </c>
      <c r="AY539" s="77"/>
      <c r="AZ539" s="82" t="s">
        <v>15804</v>
      </c>
      <c r="BA539" s="82" t="s">
        <v>15804</v>
      </c>
      <c r="BB539" s="82" t="s">
        <v>15804</v>
      </c>
      <c r="BC539" s="82" t="s">
        <v>12731</v>
      </c>
      <c r="BD539" s="77">
        <v>244707852</v>
      </c>
      <c r="BE539" s="77"/>
      <c r="BF539" s="77"/>
      <c r="BG539" s="77"/>
      <c r="BH539" s="77"/>
      <c r="BI539" s="77"/>
    </row>
    <row r="540" spans="1:61" x14ac:dyDescent="0.25">
      <c r="A540" s="62" t="s">
        <v>384</v>
      </c>
      <c r="B540" s="62" t="s">
        <v>384</v>
      </c>
      <c r="C540" s="63"/>
      <c r="D540" s="64"/>
      <c r="E540" s="65"/>
      <c r="F540" s="66"/>
      <c r="G540" s="63"/>
      <c r="H540" s="67"/>
      <c r="I540" s="68"/>
      <c r="J540" s="68"/>
      <c r="K540" s="32"/>
      <c r="L540" s="75">
        <v>540</v>
      </c>
      <c r="M540" s="75"/>
      <c r="N540" s="70"/>
      <c r="O540" s="77" t="s">
        <v>179</v>
      </c>
      <c r="P540" s="79">
        <v>45148.084409722222</v>
      </c>
      <c r="Q540" s="77" t="s">
        <v>1647</v>
      </c>
      <c r="R540" s="77">
        <v>0</v>
      </c>
      <c r="S540" s="77">
        <v>0</v>
      </c>
      <c r="T540" s="77">
        <v>0</v>
      </c>
      <c r="U540" s="77">
        <v>0</v>
      </c>
      <c r="V540" s="77">
        <v>45</v>
      </c>
      <c r="W540" s="82" t="s">
        <v>4433</v>
      </c>
      <c r="X540" s="77"/>
      <c r="Y540" s="77"/>
      <c r="Z540" s="77"/>
      <c r="AA540" s="77" t="s">
        <v>6443</v>
      </c>
      <c r="AB540" s="77" t="s">
        <v>7696</v>
      </c>
      <c r="AC540" s="82" t="s">
        <v>7706</v>
      </c>
      <c r="AD540" s="77" t="s">
        <v>7745</v>
      </c>
      <c r="AE540" s="80" t="str">
        <f>HYPERLINK("https://twitter.com/duduhrosa13/status/1689456921122578432")</f>
        <v>https://twitter.com/duduhrosa13/status/1689456921122578432</v>
      </c>
      <c r="AF540" s="79">
        <v>45148.084409722222</v>
      </c>
      <c r="AG540" s="85">
        <v>45148</v>
      </c>
      <c r="AH540" s="82" t="s">
        <v>8228</v>
      </c>
      <c r="AI540" s="77" t="b">
        <v>0</v>
      </c>
      <c r="AJ540" s="77"/>
      <c r="AK540" s="77"/>
      <c r="AL540" s="77"/>
      <c r="AM540" s="77"/>
      <c r="AN540" s="77"/>
      <c r="AO540" s="77"/>
      <c r="AP540" s="77"/>
      <c r="AQ540" s="77" t="s">
        <v>10950</v>
      </c>
      <c r="AR540" s="77"/>
      <c r="AS540" s="77"/>
      <c r="AT540" s="77"/>
      <c r="AU540" s="77"/>
      <c r="AV540" s="80" t="str">
        <f>HYPERLINK("https://pbs.twimg.com/media/F3IoDjBWMAAe4aq.jpg")</f>
        <v>https://pbs.twimg.com/media/F3IoDjBWMAAe4aq.jpg</v>
      </c>
      <c r="AW540" s="82" t="s">
        <v>12732</v>
      </c>
      <c r="AX540" s="82" t="s">
        <v>12732</v>
      </c>
      <c r="AY540" s="77"/>
      <c r="AZ540" s="82" t="s">
        <v>15804</v>
      </c>
      <c r="BA540" s="82" t="s">
        <v>15804</v>
      </c>
      <c r="BB540" s="82" t="s">
        <v>15804</v>
      </c>
      <c r="BC540" s="82" t="s">
        <v>12732</v>
      </c>
      <c r="BD540" s="77">
        <v>244707852</v>
      </c>
      <c r="BE540" s="77"/>
      <c r="BF540" s="77"/>
      <c r="BG540" s="77"/>
      <c r="BH540" s="77"/>
      <c r="BI540" s="77"/>
    </row>
    <row r="541" spans="1:61" x14ac:dyDescent="0.25">
      <c r="A541" s="62" t="s">
        <v>384</v>
      </c>
      <c r="B541" s="62" t="s">
        <v>384</v>
      </c>
      <c r="C541" s="63"/>
      <c r="D541" s="64"/>
      <c r="E541" s="65"/>
      <c r="F541" s="66"/>
      <c r="G541" s="63"/>
      <c r="H541" s="67"/>
      <c r="I541" s="68"/>
      <c r="J541" s="68"/>
      <c r="K541" s="32"/>
      <c r="L541" s="75">
        <v>541</v>
      </c>
      <c r="M541" s="75"/>
      <c r="N541" s="70"/>
      <c r="O541" s="77" t="s">
        <v>179</v>
      </c>
      <c r="P541" s="79">
        <v>45146.997199074074</v>
      </c>
      <c r="Q541" s="77" t="s">
        <v>1648</v>
      </c>
      <c r="R541" s="77">
        <v>0</v>
      </c>
      <c r="S541" s="77">
        <v>0</v>
      </c>
      <c r="T541" s="77">
        <v>0</v>
      </c>
      <c r="U541" s="77">
        <v>0</v>
      </c>
      <c r="V541" s="77">
        <v>54</v>
      </c>
      <c r="W541" s="82" t="s">
        <v>4434</v>
      </c>
      <c r="X541" s="77"/>
      <c r="Y541" s="77"/>
      <c r="Z541" s="77"/>
      <c r="AA541" s="77" t="s">
        <v>6444</v>
      </c>
      <c r="AB541" s="77" t="s">
        <v>7701</v>
      </c>
      <c r="AC541" s="82" t="s">
        <v>7706</v>
      </c>
      <c r="AD541" s="77" t="s">
        <v>7745</v>
      </c>
      <c r="AE541" s="80" t="str">
        <f>HYPERLINK("https://twitter.com/duduhrosa13/status/1689062928375250945")</f>
        <v>https://twitter.com/duduhrosa13/status/1689062928375250945</v>
      </c>
      <c r="AF541" s="79">
        <v>45146.997199074074</v>
      </c>
      <c r="AG541" s="85">
        <v>45146</v>
      </c>
      <c r="AH541" s="82" t="s">
        <v>8229</v>
      </c>
      <c r="AI541" s="77" t="b">
        <v>0</v>
      </c>
      <c r="AJ541" s="77"/>
      <c r="AK541" s="77"/>
      <c r="AL541" s="77"/>
      <c r="AM541" s="77"/>
      <c r="AN541" s="77"/>
      <c r="AO541" s="77"/>
      <c r="AP541" s="77"/>
      <c r="AQ541" s="77" t="s">
        <v>10951</v>
      </c>
      <c r="AR541" s="77"/>
      <c r="AS541" s="77"/>
      <c r="AT541" s="77"/>
      <c r="AU541" s="77"/>
      <c r="AV541" s="80" t="str">
        <f>HYPERLINK("https://pbs.twimg.com/media/F3DBrF_X0AAeuHJ.png")</f>
        <v>https://pbs.twimg.com/media/F3DBrF_X0AAeuHJ.png</v>
      </c>
      <c r="AW541" s="82" t="s">
        <v>12733</v>
      </c>
      <c r="AX541" s="82" t="s">
        <v>12733</v>
      </c>
      <c r="AY541" s="77"/>
      <c r="AZ541" s="82" t="s">
        <v>15804</v>
      </c>
      <c r="BA541" s="82" t="s">
        <v>15804</v>
      </c>
      <c r="BB541" s="82" t="s">
        <v>15804</v>
      </c>
      <c r="BC541" s="82" t="s">
        <v>12733</v>
      </c>
      <c r="BD541" s="77">
        <v>244707852</v>
      </c>
      <c r="BE541" s="77"/>
      <c r="BF541" s="77"/>
      <c r="BG541" s="77"/>
      <c r="BH541" s="77"/>
      <c r="BI541" s="77"/>
    </row>
    <row r="542" spans="1:61" x14ac:dyDescent="0.25">
      <c r="A542" s="62" t="s">
        <v>384</v>
      </c>
      <c r="B542" s="62" t="s">
        <v>384</v>
      </c>
      <c r="C542" s="63"/>
      <c r="D542" s="64"/>
      <c r="E542" s="65"/>
      <c r="F542" s="66"/>
      <c r="G542" s="63"/>
      <c r="H542" s="67"/>
      <c r="I542" s="68"/>
      <c r="J542" s="68"/>
      <c r="K542" s="32"/>
      <c r="L542" s="75">
        <v>542</v>
      </c>
      <c r="M542" s="75"/>
      <c r="N542" s="70"/>
      <c r="O542" s="77" t="s">
        <v>179</v>
      </c>
      <c r="P542" s="79">
        <v>45140.394513888888</v>
      </c>
      <c r="Q542" s="77" t="s">
        <v>1649</v>
      </c>
      <c r="R542" s="77">
        <v>0</v>
      </c>
      <c r="S542" s="77">
        <v>0</v>
      </c>
      <c r="T542" s="77">
        <v>0</v>
      </c>
      <c r="U542" s="77">
        <v>0</v>
      </c>
      <c r="V542" s="77">
        <v>36</v>
      </c>
      <c r="W542" s="82" t="s">
        <v>4435</v>
      </c>
      <c r="X542" s="80" t="str">
        <f>HYPERLINK("https://www.instagram.com/p/CvbC4-As29g/?igshid=MzRlODBiNWFlZA==")</f>
        <v>https://www.instagram.com/p/CvbC4-As29g/?igshid=MzRlODBiNWFlZA==</v>
      </c>
      <c r="Y542" s="77" t="s">
        <v>6000</v>
      </c>
      <c r="Z542" s="77"/>
      <c r="AA542" s="77"/>
      <c r="AB542" s="77"/>
      <c r="AC542" s="82" t="s">
        <v>7707</v>
      </c>
      <c r="AD542" s="77" t="s">
        <v>7745</v>
      </c>
      <c r="AE542" s="80" t="str">
        <f>HYPERLINK("https://twitter.com/duduhrosa13/status/1686670197132816384")</f>
        <v>https://twitter.com/duduhrosa13/status/1686670197132816384</v>
      </c>
      <c r="AF542" s="79">
        <v>45140.394513888888</v>
      </c>
      <c r="AG542" s="85">
        <v>45140</v>
      </c>
      <c r="AH542" s="82" t="s">
        <v>8230</v>
      </c>
      <c r="AI542" s="77" t="b">
        <v>0</v>
      </c>
      <c r="AJ542" s="77"/>
      <c r="AK542" s="77"/>
      <c r="AL542" s="77"/>
      <c r="AM542" s="77"/>
      <c r="AN542" s="77"/>
      <c r="AO542" s="77"/>
      <c r="AP542" s="77"/>
      <c r="AQ542" s="77"/>
      <c r="AR542" s="77"/>
      <c r="AS542" s="77"/>
      <c r="AT542" s="77"/>
      <c r="AU542" s="77"/>
      <c r="AV542" s="80" t="str">
        <f>HYPERLINK("https://pbs.twimg.com/profile_images/1689797296597155840/vPpm0iCl_normal.png")</f>
        <v>https://pbs.twimg.com/profile_images/1689797296597155840/vPpm0iCl_normal.png</v>
      </c>
      <c r="AW542" s="82" t="s">
        <v>12734</v>
      </c>
      <c r="AX542" s="82" t="s">
        <v>12734</v>
      </c>
      <c r="AY542" s="77"/>
      <c r="AZ542" s="82" t="s">
        <v>15804</v>
      </c>
      <c r="BA542" s="82" t="s">
        <v>15804</v>
      </c>
      <c r="BB542" s="82" t="s">
        <v>15804</v>
      </c>
      <c r="BC542" s="82" t="s">
        <v>12734</v>
      </c>
      <c r="BD542" s="77">
        <v>244707852</v>
      </c>
      <c r="BE542" s="77"/>
      <c r="BF542" s="77"/>
      <c r="BG542" s="77"/>
      <c r="BH542" s="77"/>
      <c r="BI542" s="77"/>
    </row>
    <row r="543" spans="1:61" x14ac:dyDescent="0.25">
      <c r="A543" s="62" t="s">
        <v>385</v>
      </c>
      <c r="B543" s="62" t="s">
        <v>1003</v>
      </c>
      <c r="C543" s="63"/>
      <c r="D543" s="64"/>
      <c r="E543" s="65"/>
      <c r="F543" s="66"/>
      <c r="G543" s="63"/>
      <c r="H543" s="67"/>
      <c r="I543" s="68"/>
      <c r="J543" s="68"/>
      <c r="K543" s="32"/>
      <c r="L543" s="75">
        <v>543</v>
      </c>
      <c r="M543" s="75"/>
      <c r="N543" s="70"/>
      <c r="O543" s="77" t="s">
        <v>1134</v>
      </c>
      <c r="P543" s="79">
        <v>45178.600381944445</v>
      </c>
      <c r="Q543" s="77" t="s">
        <v>1650</v>
      </c>
      <c r="R543" s="77">
        <v>1</v>
      </c>
      <c r="S543" s="77">
        <v>0</v>
      </c>
      <c r="T543" s="77">
        <v>0</v>
      </c>
      <c r="U543" s="77">
        <v>0</v>
      </c>
      <c r="V543" s="77"/>
      <c r="W543" s="77"/>
      <c r="X543" s="77"/>
      <c r="Y543" s="77"/>
      <c r="Z543" s="77" t="s">
        <v>1003</v>
      </c>
      <c r="AA543" s="77"/>
      <c r="AB543" s="77"/>
      <c r="AC543" s="82" t="s">
        <v>7706</v>
      </c>
      <c r="AD543" s="77" t="s">
        <v>7745</v>
      </c>
      <c r="AE543" s="80" t="str">
        <f>HYPERLINK("https://twitter.com/seakopt/status/1700515541977301342")</f>
        <v>https://twitter.com/seakopt/status/1700515541977301342</v>
      </c>
      <c r="AF543" s="79">
        <v>45178.600381944445</v>
      </c>
      <c r="AG543" s="85">
        <v>45178</v>
      </c>
      <c r="AH543" s="82" t="s">
        <v>8231</v>
      </c>
      <c r="AI543" s="77"/>
      <c r="AJ543" s="77"/>
      <c r="AK543" s="77"/>
      <c r="AL543" s="77"/>
      <c r="AM543" s="77"/>
      <c r="AN543" s="77"/>
      <c r="AO543" s="77"/>
      <c r="AP543" s="77"/>
      <c r="AQ543" s="77"/>
      <c r="AR543" s="77"/>
      <c r="AS543" s="77"/>
      <c r="AT543" s="77"/>
      <c r="AU543" s="77"/>
      <c r="AV543" s="80" t="str">
        <f>HYPERLINK("https://pbs.twimg.com/profile_images/74881862/avatar80x80_normal.jpg")</f>
        <v>https://pbs.twimg.com/profile_images/74881862/avatar80x80_normal.jpg</v>
      </c>
      <c r="AW543" s="82" t="s">
        <v>12735</v>
      </c>
      <c r="AX543" s="82" t="s">
        <v>12735</v>
      </c>
      <c r="AY543" s="77"/>
      <c r="AZ543" s="82" t="s">
        <v>15804</v>
      </c>
      <c r="BA543" s="82" t="s">
        <v>15804</v>
      </c>
      <c r="BB543" s="82" t="s">
        <v>14894</v>
      </c>
      <c r="BC543" s="82" t="s">
        <v>14894</v>
      </c>
      <c r="BD543" s="77">
        <v>19926360</v>
      </c>
      <c r="BE543" s="77"/>
      <c r="BF543" s="77"/>
      <c r="BG543" s="77"/>
      <c r="BH543" s="77"/>
      <c r="BI543" s="77"/>
    </row>
    <row r="544" spans="1:61" x14ac:dyDescent="0.25">
      <c r="A544" s="62" t="s">
        <v>386</v>
      </c>
      <c r="B544" s="62" t="s">
        <v>386</v>
      </c>
      <c r="C544" s="63"/>
      <c r="D544" s="64"/>
      <c r="E544" s="65"/>
      <c r="F544" s="66"/>
      <c r="G544" s="63"/>
      <c r="H544" s="67"/>
      <c r="I544" s="68"/>
      <c r="J544" s="68"/>
      <c r="K544" s="32"/>
      <c r="L544" s="75">
        <v>544</v>
      </c>
      <c r="M544" s="75"/>
      <c r="N544" s="70"/>
      <c r="O544" s="77" t="s">
        <v>179</v>
      </c>
      <c r="P544" s="79">
        <v>45110.749548611115</v>
      </c>
      <c r="Q544" s="77" t="s">
        <v>1651</v>
      </c>
      <c r="R544" s="77">
        <v>0</v>
      </c>
      <c r="S544" s="77">
        <v>0</v>
      </c>
      <c r="T544" s="77">
        <v>0</v>
      </c>
      <c r="U544" s="77">
        <v>0</v>
      </c>
      <c r="V544" s="77">
        <v>21</v>
      </c>
      <c r="W544" s="82" t="s">
        <v>4436</v>
      </c>
      <c r="X544" s="77"/>
      <c r="Y544" s="77"/>
      <c r="Z544" s="77"/>
      <c r="AA544" s="77" t="s">
        <v>6445</v>
      </c>
      <c r="AB544" s="77" t="s">
        <v>7696</v>
      </c>
      <c r="AC544" s="82" t="s">
        <v>7707</v>
      </c>
      <c r="AD544" s="77" t="s">
        <v>7745</v>
      </c>
      <c r="AE544" s="80" t="str">
        <f>HYPERLINK("https://twitter.com/brunomelop3/status/1675927219762241553")</f>
        <v>https://twitter.com/brunomelop3/status/1675927219762241553</v>
      </c>
      <c r="AF544" s="79">
        <v>45110.749548611115</v>
      </c>
      <c r="AG544" s="85">
        <v>45110</v>
      </c>
      <c r="AH544" s="82" t="s">
        <v>8232</v>
      </c>
      <c r="AI544" s="77" t="b">
        <v>0</v>
      </c>
      <c r="AJ544" s="77"/>
      <c r="AK544" s="77"/>
      <c r="AL544" s="77"/>
      <c r="AM544" s="77"/>
      <c r="AN544" s="77"/>
      <c r="AO544" s="77"/>
      <c r="AP544" s="77"/>
      <c r="AQ544" s="77" t="s">
        <v>10952</v>
      </c>
      <c r="AR544" s="77"/>
      <c r="AS544" s="77"/>
      <c r="AT544" s="77"/>
      <c r="AU544" s="77"/>
      <c r="AV544" s="80" t="str">
        <f>HYPERLINK("https://pbs.twimg.com/media/F0IW7NQWIBciZG0.jpg")</f>
        <v>https://pbs.twimg.com/media/F0IW7NQWIBciZG0.jpg</v>
      </c>
      <c r="AW544" s="82" t="s">
        <v>12736</v>
      </c>
      <c r="AX544" s="82" t="s">
        <v>12736</v>
      </c>
      <c r="AY544" s="77"/>
      <c r="AZ544" s="82" t="s">
        <v>15804</v>
      </c>
      <c r="BA544" s="82" t="s">
        <v>15804</v>
      </c>
      <c r="BB544" s="82" t="s">
        <v>15804</v>
      </c>
      <c r="BC544" s="82" t="s">
        <v>12736</v>
      </c>
      <c r="BD544" s="82" t="s">
        <v>16224</v>
      </c>
      <c r="BE544" s="77"/>
      <c r="BF544" s="77"/>
      <c r="BG544" s="77"/>
      <c r="BH544" s="77"/>
      <c r="BI544" s="77"/>
    </row>
    <row r="545" spans="1:61" x14ac:dyDescent="0.25">
      <c r="A545" s="62" t="s">
        <v>387</v>
      </c>
      <c r="B545" s="62" t="s">
        <v>387</v>
      </c>
      <c r="C545" s="63"/>
      <c r="D545" s="64"/>
      <c r="E545" s="65"/>
      <c r="F545" s="66"/>
      <c r="G545" s="63"/>
      <c r="H545" s="67"/>
      <c r="I545" s="68"/>
      <c r="J545" s="68"/>
      <c r="K545" s="32"/>
      <c r="L545" s="75">
        <v>545</v>
      </c>
      <c r="M545" s="75"/>
      <c r="N545" s="70"/>
      <c r="O545" s="77" t="s">
        <v>179</v>
      </c>
      <c r="P545" s="79">
        <v>44958.954293981478</v>
      </c>
      <c r="Q545" s="77" t="s">
        <v>1652</v>
      </c>
      <c r="R545" s="77">
        <v>0</v>
      </c>
      <c r="S545" s="77">
        <v>0</v>
      </c>
      <c r="T545" s="77">
        <v>0</v>
      </c>
      <c r="U545" s="77">
        <v>0</v>
      </c>
      <c r="V545" s="77">
        <v>6</v>
      </c>
      <c r="W545" s="82" t="s">
        <v>4437</v>
      </c>
      <c r="X545" s="80" t="str">
        <f>HYPERLINK("https://lnkd.in/dUKazDpp")</f>
        <v>https://lnkd.in/dUKazDpp</v>
      </c>
      <c r="Y545" s="77" t="s">
        <v>6014</v>
      </c>
      <c r="Z545" s="77"/>
      <c r="AA545" s="77"/>
      <c r="AB545" s="77"/>
      <c r="AC545" s="82" t="s">
        <v>7720</v>
      </c>
      <c r="AD545" s="77" t="s">
        <v>7745</v>
      </c>
      <c r="AE545" s="80" t="str">
        <f>HYPERLINK("https://twitter.com/wrodriguesbr/status/1620918462385102850")</f>
        <v>https://twitter.com/wrodriguesbr/status/1620918462385102850</v>
      </c>
      <c r="AF545" s="79">
        <v>44958.954293981478</v>
      </c>
      <c r="AG545" s="85">
        <v>44958</v>
      </c>
      <c r="AH545" s="82" t="s">
        <v>8207</v>
      </c>
      <c r="AI545" s="77" t="b">
        <v>0</v>
      </c>
      <c r="AJ545" s="77"/>
      <c r="AK545" s="77"/>
      <c r="AL545" s="77"/>
      <c r="AM545" s="77"/>
      <c r="AN545" s="77"/>
      <c r="AO545" s="77"/>
      <c r="AP545" s="77"/>
      <c r="AQ545" s="77"/>
      <c r="AR545" s="77"/>
      <c r="AS545" s="77"/>
      <c r="AT545" s="77"/>
      <c r="AU545" s="77"/>
      <c r="AV545" s="80" t="str">
        <f>HYPERLINK("https://pbs.twimg.com/profile_images/1637642959532302338/ilMjxonG_normal.jpg")</f>
        <v>https://pbs.twimg.com/profile_images/1637642959532302338/ilMjxonG_normal.jpg</v>
      </c>
      <c r="AW545" s="82" t="s">
        <v>12737</v>
      </c>
      <c r="AX545" s="82" t="s">
        <v>12737</v>
      </c>
      <c r="AY545" s="77"/>
      <c r="AZ545" s="82" t="s">
        <v>15804</v>
      </c>
      <c r="BA545" s="82" t="s">
        <v>15804</v>
      </c>
      <c r="BB545" s="82" t="s">
        <v>15804</v>
      </c>
      <c r="BC545" s="82" t="s">
        <v>12737</v>
      </c>
      <c r="BD545" s="77">
        <v>336310786</v>
      </c>
      <c r="BE545" s="77"/>
      <c r="BF545" s="77"/>
      <c r="BG545" s="77"/>
      <c r="BH545" s="77"/>
      <c r="BI545" s="77"/>
    </row>
    <row r="546" spans="1:61" x14ac:dyDescent="0.25">
      <c r="A546" s="62" t="s">
        <v>388</v>
      </c>
      <c r="B546" s="62" t="s">
        <v>388</v>
      </c>
      <c r="C546" s="63"/>
      <c r="D546" s="64"/>
      <c r="E546" s="65"/>
      <c r="F546" s="66"/>
      <c r="G546" s="63"/>
      <c r="H546" s="67"/>
      <c r="I546" s="68"/>
      <c r="J546" s="68"/>
      <c r="K546" s="32"/>
      <c r="L546" s="75">
        <v>546</v>
      </c>
      <c r="M546" s="75"/>
      <c r="N546" s="70"/>
      <c r="O546" s="77" t="s">
        <v>179</v>
      </c>
      <c r="P546" s="79">
        <v>45066.558796296296</v>
      </c>
      <c r="Q546" s="77" t="s">
        <v>1653</v>
      </c>
      <c r="R546" s="77">
        <v>0</v>
      </c>
      <c r="S546" s="77">
        <v>1</v>
      </c>
      <c r="T546" s="77">
        <v>0</v>
      </c>
      <c r="U546" s="77">
        <v>0</v>
      </c>
      <c r="V546" s="77">
        <v>47</v>
      </c>
      <c r="W546" s="82" t="s">
        <v>4438</v>
      </c>
      <c r="X546" s="80" t="str">
        <f>HYPERLINK("https://instagr.am/p/Csd0HAEtepN/")</f>
        <v>https://instagr.am/p/Csd0HAEtepN/</v>
      </c>
      <c r="Y546" s="77" t="s">
        <v>6022</v>
      </c>
      <c r="Z546" s="77"/>
      <c r="AA546" s="77" t="s">
        <v>6446</v>
      </c>
      <c r="AB546" s="77" t="s">
        <v>7696</v>
      </c>
      <c r="AC546" s="82" t="s">
        <v>7719</v>
      </c>
      <c r="AD546" s="77" t="s">
        <v>7745</v>
      </c>
      <c r="AE546" s="80" t="str">
        <f>HYPERLINK("https://twitter.com/imperiosolar/status/1659913028232413186")</f>
        <v>https://twitter.com/imperiosolar/status/1659913028232413186</v>
      </c>
      <c r="AF546" s="79">
        <v>45066.558796296296</v>
      </c>
      <c r="AG546" s="85">
        <v>45066</v>
      </c>
      <c r="AH546" s="82" t="s">
        <v>8233</v>
      </c>
      <c r="AI546" s="77" t="b">
        <v>0</v>
      </c>
      <c r="AJ546" s="77"/>
      <c r="AK546" s="77"/>
      <c r="AL546" s="77"/>
      <c r="AM546" s="77"/>
      <c r="AN546" s="77"/>
      <c r="AO546" s="77"/>
      <c r="AP546" s="77"/>
      <c r="AQ546" s="77" t="s">
        <v>10953</v>
      </c>
      <c r="AR546" s="77"/>
      <c r="AS546" s="77"/>
      <c r="AT546" s="77"/>
      <c r="AU546" s="77"/>
      <c r="AV546" s="80" t="str">
        <f>HYPERLINK("https://pbs.twimg.com/media/FwkyGmjX0AANlbs.jpg")</f>
        <v>https://pbs.twimg.com/media/FwkyGmjX0AANlbs.jpg</v>
      </c>
      <c r="AW546" s="82" t="s">
        <v>12738</v>
      </c>
      <c r="AX546" s="82" t="s">
        <v>12738</v>
      </c>
      <c r="AY546" s="77"/>
      <c r="AZ546" s="82" t="s">
        <v>15804</v>
      </c>
      <c r="BA546" s="82" t="s">
        <v>15804</v>
      </c>
      <c r="BB546" s="82" t="s">
        <v>15804</v>
      </c>
      <c r="BC546" s="82" t="s">
        <v>12738</v>
      </c>
      <c r="BD546" s="82" t="s">
        <v>16225</v>
      </c>
      <c r="BE546" s="77"/>
      <c r="BF546" s="77"/>
      <c r="BG546" s="77"/>
      <c r="BH546" s="77"/>
      <c r="BI546" s="77"/>
    </row>
    <row r="547" spans="1:61" x14ac:dyDescent="0.25">
      <c r="A547" s="62" t="s">
        <v>388</v>
      </c>
      <c r="B547" s="62" t="s">
        <v>388</v>
      </c>
      <c r="C547" s="63"/>
      <c r="D547" s="64"/>
      <c r="E547" s="65"/>
      <c r="F547" s="66"/>
      <c r="G547" s="63"/>
      <c r="H547" s="67"/>
      <c r="I547" s="68"/>
      <c r="J547" s="68"/>
      <c r="K547" s="32"/>
      <c r="L547" s="75">
        <v>547</v>
      </c>
      <c r="M547" s="75"/>
      <c r="N547" s="70"/>
      <c r="O547" s="77" t="s">
        <v>179</v>
      </c>
      <c r="P547" s="79">
        <v>45064.55940972222</v>
      </c>
      <c r="Q547" s="77" t="s">
        <v>1654</v>
      </c>
      <c r="R547" s="77">
        <v>0</v>
      </c>
      <c r="S547" s="77">
        <v>3</v>
      </c>
      <c r="T547" s="77">
        <v>0</v>
      </c>
      <c r="U547" s="77">
        <v>0</v>
      </c>
      <c r="V547" s="77">
        <v>10</v>
      </c>
      <c r="W547" s="82" t="s">
        <v>4439</v>
      </c>
      <c r="X547" s="80" t="str">
        <f>HYPERLINK("https://instagr.am/p/CsYqhGdgq2F/")</f>
        <v>https://instagr.am/p/CsYqhGdgq2F/</v>
      </c>
      <c r="Y547" s="77" t="s">
        <v>6022</v>
      </c>
      <c r="Z547" s="77"/>
      <c r="AA547" s="77" t="s">
        <v>6447</v>
      </c>
      <c r="AB547" s="77" t="s">
        <v>7696</v>
      </c>
      <c r="AC547" s="82" t="s">
        <v>7719</v>
      </c>
      <c r="AD547" s="77" t="s">
        <v>7745</v>
      </c>
      <c r="AE547" s="80" t="str">
        <f>HYPERLINK("https://twitter.com/imperiosolar/status/1659188477735436289")</f>
        <v>https://twitter.com/imperiosolar/status/1659188477735436289</v>
      </c>
      <c r="AF547" s="79">
        <v>45064.55940972222</v>
      </c>
      <c r="AG547" s="85">
        <v>45064</v>
      </c>
      <c r="AH547" s="82" t="s">
        <v>8234</v>
      </c>
      <c r="AI547" s="77" t="b">
        <v>0</v>
      </c>
      <c r="AJ547" s="77"/>
      <c r="AK547" s="77"/>
      <c r="AL547" s="77"/>
      <c r="AM547" s="77"/>
      <c r="AN547" s="77"/>
      <c r="AO547" s="77"/>
      <c r="AP547" s="77"/>
      <c r="AQ547" s="77" t="s">
        <v>10954</v>
      </c>
      <c r="AR547" s="77"/>
      <c r="AS547" s="77"/>
      <c r="AT547" s="77"/>
      <c r="AU547" s="77"/>
      <c r="AV547" s="80" t="str">
        <f>HYPERLINK("https://pbs.twimg.com/media/FwafIJvWwAAQwGB.jpg")</f>
        <v>https://pbs.twimg.com/media/FwafIJvWwAAQwGB.jpg</v>
      </c>
      <c r="AW547" s="82" t="s">
        <v>12739</v>
      </c>
      <c r="AX547" s="82" t="s">
        <v>12739</v>
      </c>
      <c r="AY547" s="77"/>
      <c r="AZ547" s="82" t="s">
        <v>15804</v>
      </c>
      <c r="BA547" s="82" t="s">
        <v>15804</v>
      </c>
      <c r="BB547" s="82" t="s">
        <v>15804</v>
      </c>
      <c r="BC547" s="82" t="s">
        <v>12739</v>
      </c>
      <c r="BD547" s="82" t="s">
        <v>16225</v>
      </c>
      <c r="BE547" s="77"/>
      <c r="BF547" s="77"/>
      <c r="BG547" s="77"/>
      <c r="BH547" s="77"/>
      <c r="BI547" s="77"/>
    </row>
    <row r="548" spans="1:61" x14ac:dyDescent="0.25">
      <c r="A548" s="62" t="s">
        <v>388</v>
      </c>
      <c r="B548" s="62" t="s">
        <v>388</v>
      </c>
      <c r="C548" s="63"/>
      <c r="D548" s="64"/>
      <c r="E548" s="65"/>
      <c r="F548" s="66"/>
      <c r="G548" s="63"/>
      <c r="H548" s="67"/>
      <c r="I548" s="68"/>
      <c r="J548" s="68"/>
      <c r="K548" s="32"/>
      <c r="L548" s="75">
        <v>548</v>
      </c>
      <c r="M548" s="75"/>
      <c r="N548" s="70"/>
      <c r="O548" s="77" t="s">
        <v>179</v>
      </c>
      <c r="P548" s="79">
        <v>45044.600949074076</v>
      </c>
      <c r="Q548" s="77" t="s">
        <v>1655</v>
      </c>
      <c r="R548" s="77">
        <v>0</v>
      </c>
      <c r="S548" s="77">
        <v>2</v>
      </c>
      <c r="T548" s="77">
        <v>0</v>
      </c>
      <c r="U548" s="77">
        <v>0</v>
      </c>
      <c r="V548" s="77">
        <v>10</v>
      </c>
      <c r="W548" s="82" t="s">
        <v>4440</v>
      </c>
      <c r="X548" s="80" t="str">
        <f>HYPERLINK("https://instagr.am/p/CrlOZO-MSu3/")</f>
        <v>https://instagr.am/p/CrlOZO-MSu3/</v>
      </c>
      <c r="Y548" s="77" t="s">
        <v>6022</v>
      </c>
      <c r="Z548" s="77"/>
      <c r="AA548" s="77" t="s">
        <v>6448</v>
      </c>
      <c r="AB548" s="77" t="s">
        <v>7696</v>
      </c>
      <c r="AC548" s="82" t="s">
        <v>7719</v>
      </c>
      <c r="AD548" s="77" t="s">
        <v>7745</v>
      </c>
      <c r="AE548" s="80" t="str">
        <f>HYPERLINK("https://twitter.com/imperiosolar/status/1651955771037319170")</f>
        <v>https://twitter.com/imperiosolar/status/1651955771037319170</v>
      </c>
      <c r="AF548" s="79">
        <v>45044.600949074076</v>
      </c>
      <c r="AG548" s="85">
        <v>45044</v>
      </c>
      <c r="AH548" s="82" t="s">
        <v>8235</v>
      </c>
      <c r="AI548" s="77" t="b">
        <v>0</v>
      </c>
      <c r="AJ548" s="77"/>
      <c r="AK548" s="77"/>
      <c r="AL548" s="77"/>
      <c r="AM548" s="77"/>
      <c r="AN548" s="77"/>
      <c r="AO548" s="77"/>
      <c r="AP548" s="77"/>
      <c r="AQ548" s="77" t="s">
        <v>10955</v>
      </c>
      <c r="AR548" s="77"/>
      <c r="AS548" s="77"/>
      <c r="AT548" s="77"/>
      <c r="AU548" s="77"/>
      <c r="AV548" s="80" t="str">
        <f>HYPERLINK("https://pbs.twimg.com/media/FuztBQsX0AAj89A.jpg")</f>
        <v>https://pbs.twimg.com/media/FuztBQsX0AAj89A.jpg</v>
      </c>
      <c r="AW548" s="82" t="s">
        <v>12740</v>
      </c>
      <c r="AX548" s="82" t="s">
        <v>12740</v>
      </c>
      <c r="AY548" s="77"/>
      <c r="AZ548" s="82" t="s">
        <v>15804</v>
      </c>
      <c r="BA548" s="82" t="s">
        <v>15804</v>
      </c>
      <c r="BB548" s="82" t="s">
        <v>15804</v>
      </c>
      <c r="BC548" s="82" t="s">
        <v>12740</v>
      </c>
      <c r="BD548" s="82" t="s">
        <v>16225</v>
      </c>
      <c r="BE548" s="77"/>
      <c r="BF548" s="77"/>
      <c r="BG548" s="77"/>
      <c r="BH548" s="77"/>
      <c r="BI548" s="77"/>
    </row>
    <row r="549" spans="1:61" x14ac:dyDescent="0.25">
      <c r="A549" s="62" t="s">
        <v>388</v>
      </c>
      <c r="B549" s="62" t="s">
        <v>388</v>
      </c>
      <c r="C549" s="63"/>
      <c r="D549" s="64"/>
      <c r="E549" s="65"/>
      <c r="F549" s="66"/>
      <c r="G549" s="63"/>
      <c r="H549" s="67"/>
      <c r="I549" s="68"/>
      <c r="J549" s="68"/>
      <c r="K549" s="32"/>
      <c r="L549" s="75">
        <v>549</v>
      </c>
      <c r="M549" s="75"/>
      <c r="N549" s="70"/>
      <c r="O549" s="77" t="s">
        <v>179</v>
      </c>
      <c r="P549" s="79">
        <v>45044.561030092591</v>
      </c>
      <c r="Q549" s="77" t="s">
        <v>1656</v>
      </c>
      <c r="R549" s="77">
        <v>0</v>
      </c>
      <c r="S549" s="77">
        <v>1</v>
      </c>
      <c r="T549" s="77">
        <v>0</v>
      </c>
      <c r="U549" s="77">
        <v>0</v>
      </c>
      <c r="V549" s="77">
        <v>15</v>
      </c>
      <c r="W549" s="82" t="s">
        <v>4441</v>
      </c>
      <c r="X549" s="80" t="str">
        <f>HYPERLINK("https://instagr.am/p/CrlKnhFPoKY/")</f>
        <v>https://instagr.am/p/CrlKnhFPoKY/</v>
      </c>
      <c r="Y549" s="77" t="s">
        <v>6022</v>
      </c>
      <c r="Z549" s="77"/>
      <c r="AA549" s="77" t="s">
        <v>6449</v>
      </c>
      <c r="AB549" s="77" t="s">
        <v>7696</v>
      </c>
      <c r="AC549" s="82" t="s">
        <v>7719</v>
      </c>
      <c r="AD549" s="77" t="s">
        <v>7745</v>
      </c>
      <c r="AE549" s="80" t="str">
        <f>HYPERLINK("https://twitter.com/imperiosolar/status/1651941306992582657")</f>
        <v>https://twitter.com/imperiosolar/status/1651941306992582657</v>
      </c>
      <c r="AF549" s="79">
        <v>45044.561030092591</v>
      </c>
      <c r="AG549" s="85">
        <v>45044</v>
      </c>
      <c r="AH549" s="82" t="s">
        <v>8236</v>
      </c>
      <c r="AI549" s="77" t="b">
        <v>0</v>
      </c>
      <c r="AJ549" s="77"/>
      <c r="AK549" s="77"/>
      <c r="AL549" s="77"/>
      <c r="AM549" s="77"/>
      <c r="AN549" s="77"/>
      <c r="AO549" s="77"/>
      <c r="AP549" s="77"/>
      <c r="AQ549" s="77" t="s">
        <v>10956</v>
      </c>
      <c r="AR549" s="77"/>
      <c r="AS549" s="77"/>
      <c r="AT549" s="77"/>
      <c r="AU549" s="77"/>
      <c r="AV549" s="80" t="str">
        <f>HYPERLINK("https://pbs.twimg.com/media/Fuzf3VzWAAczxlo.jpg")</f>
        <v>https://pbs.twimg.com/media/Fuzf3VzWAAczxlo.jpg</v>
      </c>
      <c r="AW549" s="82" t="s">
        <v>12741</v>
      </c>
      <c r="AX549" s="82" t="s">
        <v>12741</v>
      </c>
      <c r="AY549" s="77"/>
      <c r="AZ549" s="82" t="s">
        <v>15804</v>
      </c>
      <c r="BA549" s="82" t="s">
        <v>15804</v>
      </c>
      <c r="BB549" s="82" t="s">
        <v>15804</v>
      </c>
      <c r="BC549" s="82" t="s">
        <v>12741</v>
      </c>
      <c r="BD549" s="82" t="s">
        <v>16225</v>
      </c>
      <c r="BE549" s="77"/>
      <c r="BF549" s="77"/>
      <c r="BG549" s="77"/>
      <c r="BH549" s="77"/>
      <c r="BI549" s="77"/>
    </row>
    <row r="550" spans="1:61" x14ac:dyDescent="0.25">
      <c r="A550" s="62" t="s">
        <v>388</v>
      </c>
      <c r="B550" s="62" t="s">
        <v>388</v>
      </c>
      <c r="C550" s="63"/>
      <c r="D550" s="64"/>
      <c r="E550" s="65"/>
      <c r="F550" s="66"/>
      <c r="G550" s="63"/>
      <c r="H550" s="67"/>
      <c r="I550" s="68"/>
      <c r="J550" s="68"/>
      <c r="K550" s="32"/>
      <c r="L550" s="75">
        <v>550</v>
      </c>
      <c r="M550" s="75"/>
      <c r="N550" s="70"/>
      <c r="O550" s="77" t="s">
        <v>179</v>
      </c>
      <c r="P550" s="79">
        <v>45043.600486111114</v>
      </c>
      <c r="Q550" s="77" t="s">
        <v>1657</v>
      </c>
      <c r="R550" s="77">
        <v>0</v>
      </c>
      <c r="S550" s="77">
        <v>2</v>
      </c>
      <c r="T550" s="77">
        <v>0</v>
      </c>
      <c r="U550" s="77">
        <v>0</v>
      </c>
      <c r="V550" s="77">
        <v>6</v>
      </c>
      <c r="W550" s="82" t="s">
        <v>4440</v>
      </c>
      <c r="X550" s="80" t="str">
        <f>HYPERLINK("https://instagr.am/p/CripfEcPtG-/")</f>
        <v>https://instagr.am/p/CripfEcPtG-/</v>
      </c>
      <c r="Y550" s="77" t="s">
        <v>6022</v>
      </c>
      <c r="Z550" s="77"/>
      <c r="AA550" s="77" t="s">
        <v>6450</v>
      </c>
      <c r="AB550" s="77" t="s">
        <v>7696</v>
      </c>
      <c r="AC550" s="82" t="s">
        <v>7719</v>
      </c>
      <c r="AD550" s="77" t="s">
        <v>7745</v>
      </c>
      <c r="AE550" s="80" t="str">
        <f>HYPERLINK("https://twitter.com/imperiosolar/status/1651593214850211844")</f>
        <v>https://twitter.com/imperiosolar/status/1651593214850211844</v>
      </c>
      <c r="AF550" s="79">
        <v>45043.600486111114</v>
      </c>
      <c r="AG550" s="85">
        <v>45043</v>
      </c>
      <c r="AH550" s="82" t="s">
        <v>8237</v>
      </c>
      <c r="AI550" s="77" t="b">
        <v>0</v>
      </c>
      <c r="AJ550" s="77"/>
      <c r="AK550" s="77"/>
      <c r="AL550" s="77"/>
      <c r="AM550" s="77"/>
      <c r="AN550" s="77"/>
      <c r="AO550" s="77"/>
      <c r="AP550" s="77"/>
      <c r="AQ550" s="77" t="s">
        <v>10957</v>
      </c>
      <c r="AR550" s="77"/>
      <c r="AS550" s="77"/>
      <c r="AT550" s="77"/>
      <c r="AU550" s="77"/>
      <c r="AV550" s="80" t="str">
        <f>HYPERLINK("https://pbs.twimg.com/media/FuujRtKXoAA6xcD.jpg")</f>
        <v>https://pbs.twimg.com/media/FuujRtKXoAA6xcD.jpg</v>
      </c>
      <c r="AW550" s="82" t="s">
        <v>12742</v>
      </c>
      <c r="AX550" s="82" t="s">
        <v>12742</v>
      </c>
      <c r="AY550" s="77"/>
      <c r="AZ550" s="82" t="s">
        <v>15804</v>
      </c>
      <c r="BA550" s="82" t="s">
        <v>15804</v>
      </c>
      <c r="BB550" s="82" t="s">
        <v>15804</v>
      </c>
      <c r="BC550" s="82" t="s">
        <v>12742</v>
      </c>
      <c r="BD550" s="82" t="s">
        <v>16225</v>
      </c>
      <c r="BE550" s="77"/>
      <c r="BF550" s="77"/>
      <c r="BG550" s="77"/>
      <c r="BH550" s="77"/>
      <c r="BI550" s="77"/>
    </row>
    <row r="551" spans="1:61" x14ac:dyDescent="0.25">
      <c r="A551" s="62" t="s">
        <v>388</v>
      </c>
      <c r="B551" s="62" t="s">
        <v>388</v>
      </c>
      <c r="C551" s="63"/>
      <c r="D551" s="64"/>
      <c r="E551" s="65"/>
      <c r="F551" s="66"/>
      <c r="G551" s="63"/>
      <c r="H551" s="67"/>
      <c r="I551" s="68"/>
      <c r="J551" s="68"/>
      <c r="K551" s="32"/>
      <c r="L551" s="75">
        <v>551</v>
      </c>
      <c r="M551" s="75"/>
      <c r="N551" s="70"/>
      <c r="O551" s="77" t="s">
        <v>179</v>
      </c>
      <c r="P551" s="79">
        <v>45063.558518518519</v>
      </c>
      <c r="Q551" s="77" t="s">
        <v>1658</v>
      </c>
      <c r="R551" s="77">
        <v>0</v>
      </c>
      <c r="S551" s="77">
        <v>2</v>
      </c>
      <c r="T551" s="77">
        <v>0</v>
      </c>
      <c r="U551" s="77">
        <v>0</v>
      </c>
      <c r="V551" s="77">
        <v>11</v>
      </c>
      <c r="W551" s="82" t="s">
        <v>4441</v>
      </c>
      <c r="X551" s="80" t="str">
        <f>HYPERLINK("https://instagr.am/p/CsWFuNbIS3W/")</f>
        <v>https://instagr.am/p/CsWFuNbIS3W/</v>
      </c>
      <c r="Y551" s="77" t="s">
        <v>6022</v>
      </c>
      <c r="Z551" s="77"/>
      <c r="AA551" s="77" t="s">
        <v>6451</v>
      </c>
      <c r="AB551" s="77" t="s">
        <v>7696</v>
      </c>
      <c r="AC551" s="82" t="s">
        <v>7719</v>
      </c>
      <c r="AD551" s="77" t="s">
        <v>7745</v>
      </c>
      <c r="AE551" s="80" t="str">
        <f>HYPERLINK("https://twitter.com/imperiosolar/status/1658825763628384261")</f>
        <v>https://twitter.com/imperiosolar/status/1658825763628384261</v>
      </c>
      <c r="AF551" s="79">
        <v>45063.558518518519</v>
      </c>
      <c r="AG551" s="85">
        <v>45063</v>
      </c>
      <c r="AH551" s="82" t="s">
        <v>8238</v>
      </c>
      <c r="AI551" s="77" t="b">
        <v>0</v>
      </c>
      <c r="AJ551" s="77"/>
      <c r="AK551" s="77"/>
      <c r="AL551" s="77"/>
      <c r="AM551" s="77"/>
      <c r="AN551" s="77"/>
      <c r="AO551" s="77"/>
      <c r="AP551" s="77"/>
      <c r="AQ551" s="77" t="s">
        <v>10958</v>
      </c>
      <c r="AR551" s="77"/>
      <c r="AS551" s="77"/>
      <c r="AT551" s="77"/>
      <c r="AU551" s="77"/>
      <c r="AV551" s="80" t="str">
        <f>HYPERLINK("https://pbs.twimg.com/media/FwVVPcGWAAss_te.jpg")</f>
        <v>https://pbs.twimg.com/media/FwVVPcGWAAss_te.jpg</v>
      </c>
      <c r="AW551" s="82" t="s">
        <v>12743</v>
      </c>
      <c r="AX551" s="82" t="s">
        <v>12743</v>
      </c>
      <c r="AY551" s="77"/>
      <c r="AZ551" s="82" t="s">
        <v>15804</v>
      </c>
      <c r="BA551" s="82" t="s">
        <v>15804</v>
      </c>
      <c r="BB551" s="82" t="s">
        <v>15804</v>
      </c>
      <c r="BC551" s="82" t="s">
        <v>12743</v>
      </c>
      <c r="BD551" s="82" t="s">
        <v>16225</v>
      </c>
      <c r="BE551" s="77"/>
      <c r="BF551" s="77"/>
      <c r="BG551" s="77"/>
      <c r="BH551" s="77"/>
      <c r="BI551" s="77"/>
    </row>
    <row r="552" spans="1:61" x14ac:dyDescent="0.25">
      <c r="A552" s="62" t="s">
        <v>388</v>
      </c>
      <c r="B552" s="62" t="s">
        <v>388</v>
      </c>
      <c r="C552" s="63"/>
      <c r="D552" s="64"/>
      <c r="E552" s="65"/>
      <c r="F552" s="66"/>
      <c r="G552" s="63"/>
      <c r="H552" s="67"/>
      <c r="I552" s="68"/>
      <c r="J552" s="68"/>
      <c r="K552" s="32"/>
      <c r="L552" s="75">
        <v>552</v>
      </c>
      <c r="M552" s="75"/>
      <c r="N552" s="70"/>
      <c r="O552" s="77" t="s">
        <v>179</v>
      </c>
      <c r="P552" s="79">
        <v>45062.55982638889</v>
      </c>
      <c r="Q552" s="77" t="s">
        <v>1659</v>
      </c>
      <c r="R552" s="77">
        <v>0</v>
      </c>
      <c r="S552" s="77">
        <v>2</v>
      </c>
      <c r="T552" s="77">
        <v>0</v>
      </c>
      <c r="U552" s="77">
        <v>0</v>
      </c>
      <c r="V552" s="77">
        <v>6</v>
      </c>
      <c r="W552" s="82" t="s">
        <v>4441</v>
      </c>
      <c r="X552" s="80" t="str">
        <f>HYPERLINK("https://instagr.am/p/CsTg7KioILW/")</f>
        <v>https://instagr.am/p/CsTg7KioILW/</v>
      </c>
      <c r="Y552" s="77" t="s">
        <v>6022</v>
      </c>
      <c r="Z552" s="77"/>
      <c r="AA552" s="77" t="s">
        <v>6452</v>
      </c>
      <c r="AB552" s="77" t="s">
        <v>7696</v>
      </c>
      <c r="AC552" s="82" t="s">
        <v>7719</v>
      </c>
      <c r="AD552" s="77" t="s">
        <v>7745</v>
      </c>
      <c r="AE552" s="80" t="str">
        <f>HYPERLINK("https://twitter.com/imperiosolar/status/1658463851505958915")</f>
        <v>https://twitter.com/imperiosolar/status/1658463851505958915</v>
      </c>
      <c r="AF552" s="79">
        <v>45062.55982638889</v>
      </c>
      <c r="AG552" s="85">
        <v>45062</v>
      </c>
      <c r="AH552" s="82" t="s">
        <v>8239</v>
      </c>
      <c r="AI552" s="77" t="b">
        <v>0</v>
      </c>
      <c r="AJ552" s="77"/>
      <c r="AK552" s="77"/>
      <c r="AL552" s="77"/>
      <c r="AM552" s="77"/>
      <c r="AN552" s="77"/>
      <c r="AO552" s="77"/>
      <c r="AP552" s="77"/>
      <c r="AQ552" s="77" t="s">
        <v>10959</v>
      </c>
      <c r="AR552" s="77"/>
      <c r="AS552" s="77"/>
      <c r="AT552" s="77"/>
      <c r="AU552" s="77"/>
      <c r="AV552" s="80" t="str">
        <f>HYPERLINK("https://pbs.twimg.com/media/FwQMFY1XoAE9du5.jpg")</f>
        <v>https://pbs.twimg.com/media/FwQMFY1XoAE9du5.jpg</v>
      </c>
      <c r="AW552" s="82" t="s">
        <v>12744</v>
      </c>
      <c r="AX552" s="82" t="s">
        <v>12744</v>
      </c>
      <c r="AY552" s="77"/>
      <c r="AZ552" s="82" t="s">
        <v>15804</v>
      </c>
      <c r="BA552" s="82" t="s">
        <v>15804</v>
      </c>
      <c r="BB552" s="82" t="s">
        <v>15804</v>
      </c>
      <c r="BC552" s="82" t="s">
        <v>12744</v>
      </c>
      <c r="BD552" s="82" t="s">
        <v>16225</v>
      </c>
      <c r="BE552" s="77"/>
      <c r="BF552" s="77"/>
      <c r="BG552" s="77"/>
      <c r="BH552" s="77"/>
      <c r="BI552" s="77"/>
    </row>
    <row r="553" spans="1:61" x14ac:dyDescent="0.25">
      <c r="A553" s="62" t="s">
        <v>388</v>
      </c>
      <c r="B553" s="62" t="s">
        <v>388</v>
      </c>
      <c r="C553" s="63"/>
      <c r="D553" s="64"/>
      <c r="E553" s="65"/>
      <c r="F553" s="66"/>
      <c r="G553" s="63"/>
      <c r="H553" s="67"/>
      <c r="I553" s="68"/>
      <c r="J553" s="68"/>
      <c r="K553" s="32"/>
      <c r="L553" s="75">
        <v>553</v>
      </c>
      <c r="M553" s="75"/>
      <c r="N553" s="70"/>
      <c r="O553" s="77" t="s">
        <v>179</v>
      </c>
      <c r="P553" s="79">
        <v>45061.559803240743</v>
      </c>
      <c r="Q553" s="77" t="s">
        <v>1660</v>
      </c>
      <c r="R553" s="77">
        <v>0</v>
      </c>
      <c r="S553" s="77">
        <v>2</v>
      </c>
      <c r="T553" s="77">
        <v>0</v>
      </c>
      <c r="U553" s="77">
        <v>0</v>
      </c>
      <c r="V553" s="77">
        <v>13</v>
      </c>
      <c r="W553" s="82" t="s">
        <v>4441</v>
      </c>
      <c r="X553" s="80" t="str">
        <f>HYPERLINK("https://instagr.am/p/CsQ8Idbv5fc/")</f>
        <v>https://instagr.am/p/CsQ8Idbv5fc/</v>
      </c>
      <c r="Y553" s="77" t="s">
        <v>6022</v>
      </c>
      <c r="Z553" s="77"/>
      <c r="AA553" s="77" t="s">
        <v>6453</v>
      </c>
      <c r="AB553" s="77" t="s">
        <v>7696</v>
      </c>
      <c r="AC553" s="82" t="s">
        <v>7719</v>
      </c>
      <c r="AD553" s="77" t="s">
        <v>7745</v>
      </c>
      <c r="AE553" s="80" t="str">
        <f>HYPERLINK("https://twitter.com/imperiosolar/status/1658101452747812869")</f>
        <v>https://twitter.com/imperiosolar/status/1658101452747812869</v>
      </c>
      <c r="AF553" s="79">
        <v>45061.559803240743</v>
      </c>
      <c r="AG553" s="85">
        <v>45061</v>
      </c>
      <c r="AH553" s="82" t="s">
        <v>8240</v>
      </c>
      <c r="AI553" s="77" t="b">
        <v>0</v>
      </c>
      <c r="AJ553" s="77"/>
      <c r="AK553" s="77"/>
      <c r="AL553" s="77"/>
      <c r="AM553" s="77"/>
      <c r="AN553" s="77"/>
      <c r="AO553" s="77"/>
      <c r="AP553" s="77"/>
      <c r="AQ553" s="77" t="s">
        <v>10960</v>
      </c>
      <c r="AR553" s="77"/>
      <c r="AS553" s="77"/>
      <c r="AT553" s="77"/>
      <c r="AU553" s="77"/>
      <c r="AV553" s="80" t="str">
        <f>HYPERLINK("https://pbs.twimg.com/media/FwLCfAOWcAIQlFv.jpg")</f>
        <v>https://pbs.twimg.com/media/FwLCfAOWcAIQlFv.jpg</v>
      </c>
      <c r="AW553" s="82" t="s">
        <v>12745</v>
      </c>
      <c r="AX553" s="82" t="s">
        <v>12745</v>
      </c>
      <c r="AY553" s="77"/>
      <c r="AZ553" s="82" t="s">
        <v>15804</v>
      </c>
      <c r="BA553" s="82" t="s">
        <v>15804</v>
      </c>
      <c r="BB553" s="82" t="s">
        <v>15804</v>
      </c>
      <c r="BC553" s="82" t="s">
        <v>12745</v>
      </c>
      <c r="BD553" s="82" t="s">
        <v>16225</v>
      </c>
      <c r="BE553" s="77"/>
      <c r="BF553" s="77"/>
      <c r="BG553" s="77"/>
      <c r="BH553" s="77"/>
      <c r="BI553" s="77"/>
    </row>
    <row r="554" spans="1:61" x14ac:dyDescent="0.25">
      <c r="A554" s="62" t="s">
        <v>388</v>
      </c>
      <c r="B554" s="62" t="s">
        <v>388</v>
      </c>
      <c r="C554" s="63"/>
      <c r="D554" s="64"/>
      <c r="E554" s="65"/>
      <c r="F554" s="66"/>
      <c r="G554" s="63"/>
      <c r="H554" s="67"/>
      <c r="I554" s="68"/>
      <c r="J554" s="68"/>
      <c r="K554" s="32"/>
      <c r="L554" s="75">
        <v>554</v>
      </c>
      <c r="M554" s="75"/>
      <c r="N554" s="70"/>
      <c r="O554" s="77" t="s">
        <v>179</v>
      </c>
      <c r="P554" s="79">
        <v>45055.55908564815</v>
      </c>
      <c r="Q554" s="77" t="s">
        <v>1661</v>
      </c>
      <c r="R554" s="77">
        <v>0</v>
      </c>
      <c r="S554" s="77">
        <v>0</v>
      </c>
      <c r="T554" s="77">
        <v>0</v>
      </c>
      <c r="U554" s="77">
        <v>0</v>
      </c>
      <c r="V554" s="77">
        <v>7</v>
      </c>
      <c r="W554" s="82" t="s">
        <v>4442</v>
      </c>
      <c r="X554" s="80" t="str">
        <f>HYPERLINK("https://instagr.am/p/CsBfXJ7o2fB/")</f>
        <v>https://instagr.am/p/CsBfXJ7o2fB/</v>
      </c>
      <c r="Y554" s="77" t="s">
        <v>6022</v>
      </c>
      <c r="Z554" s="77"/>
      <c r="AA554" s="77" t="s">
        <v>6454</v>
      </c>
      <c r="AB554" s="77" t="s">
        <v>7696</v>
      </c>
      <c r="AC554" s="82" t="s">
        <v>7719</v>
      </c>
      <c r="AD554" s="77" t="s">
        <v>7745</v>
      </c>
      <c r="AE554" s="80" t="str">
        <f>HYPERLINK("https://twitter.com/imperiosolar/status/1655926868057497603")</f>
        <v>https://twitter.com/imperiosolar/status/1655926868057497603</v>
      </c>
      <c r="AF554" s="79">
        <v>45055.55908564815</v>
      </c>
      <c r="AG554" s="85">
        <v>45055</v>
      </c>
      <c r="AH554" s="82" t="s">
        <v>8241</v>
      </c>
      <c r="AI554" s="77" t="b">
        <v>0</v>
      </c>
      <c r="AJ554" s="77"/>
      <c r="AK554" s="77"/>
      <c r="AL554" s="77"/>
      <c r="AM554" s="77"/>
      <c r="AN554" s="77"/>
      <c r="AO554" s="77"/>
      <c r="AP554" s="77"/>
      <c r="AQ554" s="77" t="s">
        <v>10961</v>
      </c>
      <c r="AR554" s="77"/>
      <c r="AS554" s="77"/>
      <c r="AT554" s="77"/>
      <c r="AU554" s="77"/>
      <c r="AV554" s="80" t="str">
        <f>HYPERLINK("https://pbs.twimg.com/media/FvsItiUWIAMOEaD.jpg")</f>
        <v>https://pbs.twimg.com/media/FvsItiUWIAMOEaD.jpg</v>
      </c>
      <c r="AW554" s="82" t="s">
        <v>12746</v>
      </c>
      <c r="AX554" s="82" t="s">
        <v>12746</v>
      </c>
      <c r="AY554" s="77"/>
      <c r="AZ554" s="82" t="s">
        <v>15804</v>
      </c>
      <c r="BA554" s="82" t="s">
        <v>15804</v>
      </c>
      <c r="BB554" s="82" t="s">
        <v>15804</v>
      </c>
      <c r="BC554" s="82" t="s">
        <v>12746</v>
      </c>
      <c r="BD554" s="82" t="s">
        <v>16225</v>
      </c>
      <c r="BE554" s="77"/>
      <c r="BF554" s="77"/>
      <c r="BG554" s="77"/>
      <c r="BH554" s="77"/>
      <c r="BI554" s="77"/>
    </row>
    <row r="555" spans="1:61" x14ac:dyDescent="0.25">
      <c r="A555" s="62" t="s">
        <v>388</v>
      </c>
      <c r="B555" s="62" t="s">
        <v>388</v>
      </c>
      <c r="C555" s="63"/>
      <c r="D555" s="64"/>
      <c r="E555" s="65"/>
      <c r="F555" s="66"/>
      <c r="G555" s="63"/>
      <c r="H555" s="67"/>
      <c r="I555" s="68"/>
      <c r="J555" s="68"/>
      <c r="K555" s="32"/>
      <c r="L555" s="75">
        <v>555</v>
      </c>
      <c r="M555" s="75"/>
      <c r="N555" s="70"/>
      <c r="O555" s="77" t="s">
        <v>179</v>
      </c>
      <c r="P555" s="79">
        <v>45054.558680555558</v>
      </c>
      <c r="Q555" s="77" t="s">
        <v>1662</v>
      </c>
      <c r="R555" s="77">
        <v>0</v>
      </c>
      <c r="S555" s="77">
        <v>0</v>
      </c>
      <c r="T555" s="77">
        <v>0</v>
      </c>
      <c r="U555" s="77">
        <v>0</v>
      </c>
      <c r="V555" s="77">
        <v>7</v>
      </c>
      <c r="W555" s="82" t="s">
        <v>4442</v>
      </c>
      <c r="X555" s="80" t="str">
        <f>HYPERLINK("https://instagr.am/p/Cr-6kYuPiD4/")</f>
        <v>https://instagr.am/p/Cr-6kYuPiD4/</v>
      </c>
      <c r="Y555" s="77" t="s">
        <v>6022</v>
      </c>
      <c r="Z555" s="77"/>
      <c r="AA555" s="77" t="s">
        <v>6455</v>
      </c>
      <c r="AB555" s="77" t="s">
        <v>7696</v>
      </c>
      <c r="AC555" s="82" t="s">
        <v>7719</v>
      </c>
      <c r="AD555" s="77" t="s">
        <v>7745</v>
      </c>
      <c r="AE555" s="80" t="str">
        <f>HYPERLINK("https://twitter.com/imperiosolar/status/1655564334473379841")</f>
        <v>https://twitter.com/imperiosolar/status/1655564334473379841</v>
      </c>
      <c r="AF555" s="79">
        <v>45054.558680555558</v>
      </c>
      <c r="AG555" s="85">
        <v>45054</v>
      </c>
      <c r="AH555" s="82" t="s">
        <v>8242</v>
      </c>
      <c r="AI555" s="77" t="b">
        <v>0</v>
      </c>
      <c r="AJ555" s="77"/>
      <c r="AK555" s="77"/>
      <c r="AL555" s="77"/>
      <c r="AM555" s="77"/>
      <c r="AN555" s="77"/>
      <c r="AO555" s="77"/>
      <c r="AP555" s="77"/>
      <c r="AQ555" s="77" t="s">
        <v>10962</v>
      </c>
      <c r="AR555" s="77"/>
      <c r="AS555" s="77"/>
      <c r="AT555" s="77"/>
      <c r="AU555" s="77"/>
      <c r="AV555" s="80" t="str">
        <f>HYPERLINK("https://pbs.twimg.com/media/Fvm-_REXsAIxAhu.jpg")</f>
        <v>https://pbs.twimg.com/media/Fvm-_REXsAIxAhu.jpg</v>
      </c>
      <c r="AW555" s="82" t="s">
        <v>12747</v>
      </c>
      <c r="AX555" s="82" t="s">
        <v>12747</v>
      </c>
      <c r="AY555" s="77"/>
      <c r="AZ555" s="82" t="s">
        <v>15804</v>
      </c>
      <c r="BA555" s="82" t="s">
        <v>15804</v>
      </c>
      <c r="BB555" s="82" t="s">
        <v>15804</v>
      </c>
      <c r="BC555" s="82" t="s">
        <v>12747</v>
      </c>
      <c r="BD555" s="82" t="s">
        <v>16225</v>
      </c>
      <c r="BE555" s="77"/>
      <c r="BF555" s="77"/>
      <c r="BG555" s="77"/>
      <c r="BH555" s="77"/>
      <c r="BI555" s="77"/>
    </row>
    <row r="556" spans="1:61" x14ac:dyDescent="0.25">
      <c r="A556" s="62" t="s">
        <v>388</v>
      </c>
      <c r="B556" s="62" t="s">
        <v>388</v>
      </c>
      <c r="C556" s="63"/>
      <c r="D556" s="64"/>
      <c r="E556" s="65"/>
      <c r="F556" s="66"/>
      <c r="G556" s="63"/>
      <c r="H556" s="67"/>
      <c r="I556" s="68"/>
      <c r="J556" s="68"/>
      <c r="K556" s="32"/>
      <c r="L556" s="75">
        <v>556</v>
      </c>
      <c r="M556" s="75"/>
      <c r="N556" s="70"/>
      <c r="O556" s="77" t="s">
        <v>179</v>
      </c>
      <c r="P556" s="79">
        <v>45053.558692129627</v>
      </c>
      <c r="Q556" s="77" t="s">
        <v>1663</v>
      </c>
      <c r="R556" s="77">
        <v>0</v>
      </c>
      <c r="S556" s="77">
        <v>0</v>
      </c>
      <c r="T556" s="77">
        <v>0</v>
      </c>
      <c r="U556" s="77">
        <v>0</v>
      </c>
      <c r="V556" s="77">
        <v>3</v>
      </c>
      <c r="W556" s="82" t="s">
        <v>4442</v>
      </c>
      <c r="X556" s="80" t="str">
        <f>HYPERLINK("https://instagr.am/p/Cr8WOxOPgA9/")</f>
        <v>https://instagr.am/p/Cr8WOxOPgA9/</v>
      </c>
      <c r="Y556" s="77" t="s">
        <v>6022</v>
      </c>
      <c r="Z556" s="77"/>
      <c r="AA556" s="77" t="s">
        <v>6456</v>
      </c>
      <c r="AB556" s="77" t="s">
        <v>7696</v>
      </c>
      <c r="AC556" s="82" t="s">
        <v>7719</v>
      </c>
      <c r="AD556" s="77" t="s">
        <v>7745</v>
      </c>
      <c r="AE556" s="80" t="str">
        <f>HYPERLINK("https://twitter.com/imperiosolar/status/1655201949350871042")</f>
        <v>https://twitter.com/imperiosolar/status/1655201949350871042</v>
      </c>
      <c r="AF556" s="79">
        <v>45053.558692129627</v>
      </c>
      <c r="AG556" s="85">
        <v>45053</v>
      </c>
      <c r="AH556" s="82" t="s">
        <v>8243</v>
      </c>
      <c r="AI556" s="77" t="b">
        <v>0</v>
      </c>
      <c r="AJ556" s="77"/>
      <c r="AK556" s="77"/>
      <c r="AL556" s="77"/>
      <c r="AM556" s="77"/>
      <c r="AN556" s="77"/>
      <c r="AO556" s="77"/>
      <c r="AP556" s="77"/>
      <c r="AQ556" s="77" t="s">
        <v>10963</v>
      </c>
      <c r="AR556" s="77"/>
      <c r="AS556" s="77"/>
      <c r="AT556" s="77"/>
      <c r="AU556" s="77"/>
      <c r="AV556" s="80" t="str">
        <f>HYPERLINK("https://pbs.twimg.com/media/Fvh1ZuaXsAEqRql.jpg")</f>
        <v>https://pbs.twimg.com/media/Fvh1ZuaXsAEqRql.jpg</v>
      </c>
      <c r="AW556" s="82" t="s">
        <v>12748</v>
      </c>
      <c r="AX556" s="82" t="s">
        <v>12748</v>
      </c>
      <c r="AY556" s="77"/>
      <c r="AZ556" s="82" t="s">
        <v>15804</v>
      </c>
      <c r="BA556" s="82" t="s">
        <v>15804</v>
      </c>
      <c r="BB556" s="82" t="s">
        <v>15804</v>
      </c>
      <c r="BC556" s="82" t="s">
        <v>12748</v>
      </c>
      <c r="BD556" s="82" t="s">
        <v>16225</v>
      </c>
      <c r="BE556" s="77"/>
      <c r="BF556" s="77"/>
      <c r="BG556" s="77"/>
      <c r="BH556" s="77"/>
      <c r="BI556" s="77"/>
    </row>
    <row r="557" spans="1:61" x14ac:dyDescent="0.25">
      <c r="A557" s="62" t="s">
        <v>388</v>
      </c>
      <c r="B557" s="62" t="s">
        <v>388</v>
      </c>
      <c r="C557" s="63"/>
      <c r="D557" s="64"/>
      <c r="E557" s="65"/>
      <c r="F557" s="66"/>
      <c r="G557" s="63"/>
      <c r="H557" s="67"/>
      <c r="I557" s="68"/>
      <c r="J557" s="68"/>
      <c r="K557" s="32"/>
      <c r="L557" s="75">
        <v>557</v>
      </c>
      <c r="M557" s="75"/>
      <c r="N557" s="70"/>
      <c r="O557" s="77" t="s">
        <v>179</v>
      </c>
      <c r="P557" s="79">
        <v>45052.55846064815</v>
      </c>
      <c r="Q557" s="77" t="s">
        <v>1664</v>
      </c>
      <c r="R557" s="77">
        <v>0</v>
      </c>
      <c r="S557" s="77">
        <v>0</v>
      </c>
      <c r="T557" s="77">
        <v>0</v>
      </c>
      <c r="U557" s="77">
        <v>0</v>
      </c>
      <c r="V557" s="77">
        <v>4</v>
      </c>
      <c r="W557" s="82" t="s">
        <v>4442</v>
      </c>
      <c r="X557" s="80" t="str">
        <f>HYPERLINK("https://instagr.am/p/Cr5w-fquxKX/")</f>
        <v>https://instagr.am/p/Cr5w-fquxKX/</v>
      </c>
      <c r="Y557" s="77" t="s">
        <v>6022</v>
      </c>
      <c r="Z557" s="77"/>
      <c r="AA557" s="77" t="s">
        <v>6457</v>
      </c>
      <c r="AB557" s="77" t="s">
        <v>7696</v>
      </c>
      <c r="AC557" s="82" t="s">
        <v>7719</v>
      </c>
      <c r="AD557" s="77" t="s">
        <v>7745</v>
      </c>
      <c r="AE557" s="80" t="str">
        <f>HYPERLINK("https://twitter.com/imperiosolar/status/1654839478026895361")</f>
        <v>https://twitter.com/imperiosolar/status/1654839478026895361</v>
      </c>
      <c r="AF557" s="79">
        <v>45052.55846064815</v>
      </c>
      <c r="AG557" s="85">
        <v>45052</v>
      </c>
      <c r="AH557" s="82" t="s">
        <v>8244</v>
      </c>
      <c r="AI557" s="77" t="b">
        <v>0</v>
      </c>
      <c r="AJ557" s="77"/>
      <c r="AK557" s="77"/>
      <c r="AL557" s="77"/>
      <c r="AM557" s="77"/>
      <c r="AN557" s="77"/>
      <c r="AO557" s="77"/>
      <c r="AP557" s="77"/>
      <c r="AQ557" s="77" t="s">
        <v>10964</v>
      </c>
      <c r="AR557" s="77"/>
      <c r="AS557" s="77"/>
      <c r="AT557" s="77"/>
      <c r="AU557" s="77"/>
      <c r="AV557" s="80" t="str">
        <f>HYPERLINK("https://pbs.twimg.com/media/FvcrvC-WIAI0ieB.jpg")</f>
        <v>https://pbs.twimg.com/media/FvcrvC-WIAI0ieB.jpg</v>
      </c>
      <c r="AW557" s="82" t="s">
        <v>12749</v>
      </c>
      <c r="AX557" s="82" t="s">
        <v>12749</v>
      </c>
      <c r="AY557" s="77"/>
      <c r="AZ557" s="82" t="s">
        <v>15804</v>
      </c>
      <c r="BA557" s="82" t="s">
        <v>15804</v>
      </c>
      <c r="BB557" s="82" t="s">
        <v>15804</v>
      </c>
      <c r="BC557" s="82" t="s">
        <v>12749</v>
      </c>
      <c r="BD557" s="82" t="s">
        <v>16225</v>
      </c>
      <c r="BE557" s="77"/>
      <c r="BF557" s="77"/>
      <c r="BG557" s="77"/>
      <c r="BH557" s="77"/>
      <c r="BI557" s="77"/>
    </row>
    <row r="558" spans="1:61" x14ac:dyDescent="0.25">
      <c r="A558" s="62" t="s">
        <v>388</v>
      </c>
      <c r="B558" s="62" t="s">
        <v>388</v>
      </c>
      <c r="C558" s="63"/>
      <c r="D558" s="64"/>
      <c r="E558" s="65"/>
      <c r="F558" s="66"/>
      <c r="G558" s="63"/>
      <c r="H558" s="67"/>
      <c r="I558" s="68"/>
      <c r="J558" s="68"/>
      <c r="K558" s="32"/>
      <c r="L558" s="75">
        <v>558</v>
      </c>
      <c r="M558" s="75"/>
      <c r="N558" s="70"/>
      <c r="O558" s="77" t="s">
        <v>179</v>
      </c>
      <c r="P558" s="79">
        <v>45047.559305555558</v>
      </c>
      <c r="Q558" s="77" t="s">
        <v>1665</v>
      </c>
      <c r="R558" s="77">
        <v>0</v>
      </c>
      <c r="S558" s="77">
        <v>2</v>
      </c>
      <c r="T558" s="77">
        <v>0</v>
      </c>
      <c r="U558" s="77">
        <v>0</v>
      </c>
      <c r="V558" s="77">
        <v>12</v>
      </c>
      <c r="W558" s="82" t="s">
        <v>4442</v>
      </c>
      <c r="X558" s="80" t="str">
        <f>HYPERLINK("https://instagr.am/p/Crs5Ao3oUVy/")</f>
        <v>https://instagr.am/p/Crs5Ao3oUVy/</v>
      </c>
      <c r="Y558" s="77" t="s">
        <v>6022</v>
      </c>
      <c r="Z558" s="77"/>
      <c r="AA558" s="77" t="s">
        <v>6458</v>
      </c>
      <c r="AB558" s="77" t="s">
        <v>7696</v>
      </c>
      <c r="AC558" s="82" t="s">
        <v>7719</v>
      </c>
      <c r="AD558" s="77" t="s">
        <v>7745</v>
      </c>
      <c r="AE558" s="80" t="str">
        <f>HYPERLINK("https://twitter.com/imperiosolar/status/1653027845554200577")</f>
        <v>https://twitter.com/imperiosolar/status/1653027845554200577</v>
      </c>
      <c r="AF558" s="79">
        <v>45047.559305555558</v>
      </c>
      <c r="AG558" s="85">
        <v>45047</v>
      </c>
      <c r="AH558" s="82" t="s">
        <v>8245</v>
      </c>
      <c r="AI558" s="77" t="b">
        <v>0</v>
      </c>
      <c r="AJ558" s="77"/>
      <c r="AK558" s="77"/>
      <c r="AL558" s="77"/>
      <c r="AM558" s="77"/>
      <c r="AN558" s="77"/>
      <c r="AO558" s="77"/>
      <c r="AP558" s="77"/>
      <c r="AQ558" s="77" t="s">
        <v>10965</v>
      </c>
      <c r="AR558" s="77"/>
      <c r="AS558" s="77"/>
      <c r="AT558" s="77"/>
      <c r="AU558" s="77"/>
      <c r="AV558" s="80" t="str">
        <f>HYPERLINK("https://pbs.twimg.com/media/FvC8ELuXwAA3-r-.jpg")</f>
        <v>https://pbs.twimg.com/media/FvC8ELuXwAA3-r-.jpg</v>
      </c>
      <c r="AW558" s="82" t="s">
        <v>12750</v>
      </c>
      <c r="AX558" s="82" t="s">
        <v>12750</v>
      </c>
      <c r="AY558" s="77"/>
      <c r="AZ558" s="82" t="s">
        <v>15804</v>
      </c>
      <c r="BA558" s="82" t="s">
        <v>15804</v>
      </c>
      <c r="BB558" s="82" t="s">
        <v>15804</v>
      </c>
      <c r="BC558" s="82" t="s">
        <v>12750</v>
      </c>
      <c r="BD558" s="82" t="s">
        <v>16225</v>
      </c>
      <c r="BE558" s="77"/>
      <c r="BF558" s="77"/>
      <c r="BG558" s="77"/>
      <c r="BH558" s="77"/>
      <c r="BI558" s="77"/>
    </row>
    <row r="559" spans="1:61" x14ac:dyDescent="0.25">
      <c r="A559" s="62" t="s">
        <v>388</v>
      </c>
      <c r="B559" s="62" t="s">
        <v>388</v>
      </c>
      <c r="C559" s="63"/>
      <c r="D559" s="64"/>
      <c r="E559" s="65"/>
      <c r="F559" s="66"/>
      <c r="G559" s="63"/>
      <c r="H559" s="67"/>
      <c r="I559" s="68"/>
      <c r="J559" s="68"/>
      <c r="K559" s="32"/>
      <c r="L559" s="75">
        <v>559</v>
      </c>
      <c r="M559" s="75"/>
      <c r="N559" s="70"/>
      <c r="O559" s="77" t="s">
        <v>179</v>
      </c>
      <c r="P559" s="79">
        <v>45045.601134259261</v>
      </c>
      <c r="Q559" s="77" t="s">
        <v>1666</v>
      </c>
      <c r="R559" s="77">
        <v>0</v>
      </c>
      <c r="S559" s="77">
        <v>1</v>
      </c>
      <c r="T559" s="77">
        <v>0</v>
      </c>
      <c r="U559" s="77">
        <v>0</v>
      </c>
      <c r="V559" s="77">
        <v>9</v>
      </c>
      <c r="W559" s="82" t="s">
        <v>4440</v>
      </c>
      <c r="X559" s="80" t="str">
        <f>HYPERLINK("https://instagr.am/p/CrnzTjdhgNK/")</f>
        <v>https://instagr.am/p/CrnzTjdhgNK/</v>
      </c>
      <c r="Y559" s="77" t="s">
        <v>6022</v>
      </c>
      <c r="Z559" s="77"/>
      <c r="AA559" s="77" t="s">
        <v>6459</v>
      </c>
      <c r="AB559" s="77" t="s">
        <v>7696</v>
      </c>
      <c r="AC559" s="82" t="s">
        <v>7719</v>
      </c>
      <c r="AD559" s="77" t="s">
        <v>7745</v>
      </c>
      <c r="AE559" s="80" t="str">
        <f>HYPERLINK("https://twitter.com/imperiosolar/status/1652318228817887232")</f>
        <v>https://twitter.com/imperiosolar/status/1652318228817887232</v>
      </c>
      <c r="AF559" s="79">
        <v>45045.601134259261</v>
      </c>
      <c r="AG559" s="85">
        <v>45045</v>
      </c>
      <c r="AH559" s="82" t="s">
        <v>8246</v>
      </c>
      <c r="AI559" s="77" t="b">
        <v>0</v>
      </c>
      <c r="AJ559" s="77"/>
      <c r="AK559" s="77"/>
      <c r="AL559" s="77"/>
      <c r="AM559" s="77"/>
      <c r="AN559" s="77"/>
      <c r="AO559" s="77"/>
      <c r="AP559" s="77"/>
      <c r="AQ559" s="77" t="s">
        <v>10966</v>
      </c>
      <c r="AR559" s="77"/>
      <c r="AS559" s="77"/>
      <c r="AT559" s="77"/>
      <c r="AU559" s="77"/>
      <c r="AV559" s="80" t="str">
        <f>HYPERLINK("https://pbs.twimg.com/media/Fu42rFZXsAE7aca.jpg")</f>
        <v>https://pbs.twimg.com/media/Fu42rFZXsAE7aca.jpg</v>
      </c>
      <c r="AW559" s="82" t="s">
        <v>12751</v>
      </c>
      <c r="AX559" s="82" t="s">
        <v>12751</v>
      </c>
      <c r="AY559" s="77"/>
      <c r="AZ559" s="82" t="s">
        <v>15804</v>
      </c>
      <c r="BA559" s="82" t="s">
        <v>15804</v>
      </c>
      <c r="BB559" s="82" t="s">
        <v>15804</v>
      </c>
      <c r="BC559" s="82" t="s">
        <v>12751</v>
      </c>
      <c r="BD559" s="82" t="s">
        <v>16225</v>
      </c>
      <c r="BE559" s="77"/>
      <c r="BF559" s="77"/>
      <c r="BG559" s="77"/>
      <c r="BH559" s="77"/>
      <c r="BI559" s="77"/>
    </row>
    <row r="560" spans="1:61" x14ac:dyDescent="0.25">
      <c r="A560" s="62" t="s">
        <v>388</v>
      </c>
      <c r="B560" s="62" t="s">
        <v>388</v>
      </c>
      <c r="C560" s="63"/>
      <c r="D560" s="64"/>
      <c r="E560" s="65"/>
      <c r="F560" s="66"/>
      <c r="G560" s="63"/>
      <c r="H560" s="67"/>
      <c r="I560" s="68"/>
      <c r="J560" s="68"/>
      <c r="K560" s="32"/>
      <c r="L560" s="75">
        <v>560</v>
      </c>
      <c r="M560" s="75"/>
      <c r="N560" s="70"/>
      <c r="O560" s="77" t="s">
        <v>179</v>
      </c>
      <c r="P560" s="79">
        <v>45042.600081018521</v>
      </c>
      <c r="Q560" s="77" t="s">
        <v>1667</v>
      </c>
      <c r="R560" s="77">
        <v>0</v>
      </c>
      <c r="S560" s="77">
        <v>1</v>
      </c>
      <c r="T560" s="77">
        <v>0</v>
      </c>
      <c r="U560" s="77">
        <v>0</v>
      </c>
      <c r="V560" s="77">
        <v>6</v>
      </c>
      <c r="W560" s="82" t="s">
        <v>4440</v>
      </c>
      <c r="X560" s="80" t="str">
        <f>HYPERLINK("https://instagr.am/p/CrgEsTgoCKj/")</f>
        <v>https://instagr.am/p/CrgEsTgoCKj/</v>
      </c>
      <c r="Y560" s="77" t="s">
        <v>6022</v>
      </c>
      <c r="Z560" s="77"/>
      <c r="AA560" s="77" t="s">
        <v>6460</v>
      </c>
      <c r="AB560" s="77" t="s">
        <v>7696</v>
      </c>
      <c r="AC560" s="82" t="s">
        <v>7719</v>
      </c>
      <c r="AD560" s="77" t="s">
        <v>7745</v>
      </c>
      <c r="AE560" s="80" t="str">
        <f>HYPERLINK("https://twitter.com/imperiosolar/status/1651230681769431047")</f>
        <v>https://twitter.com/imperiosolar/status/1651230681769431047</v>
      </c>
      <c r="AF560" s="79">
        <v>45042.600081018521</v>
      </c>
      <c r="AG560" s="85">
        <v>45042</v>
      </c>
      <c r="AH560" s="82" t="s">
        <v>8247</v>
      </c>
      <c r="AI560" s="77" t="b">
        <v>0</v>
      </c>
      <c r="AJ560" s="77"/>
      <c r="AK560" s="77"/>
      <c r="AL560" s="77"/>
      <c r="AM560" s="77"/>
      <c r="AN560" s="77"/>
      <c r="AO560" s="77"/>
      <c r="AP560" s="77"/>
      <c r="AQ560" s="77" t="s">
        <v>10967</v>
      </c>
      <c r="AR560" s="77"/>
      <c r="AS560" s="77"/>
      <c r="AT560" s="77"/>
      <c r="AU560" s="77"/>
      <c r="AV560" s="80" t="str">
        <f>HYPERLINK("https://pbs.twimg.com/media/FupZjP4WcAIC8nC.jpg")</f>
        <v>https://pbs.twimg.com/media/FupZjP4WcAIC8nC.jpg</v>
      </c>
      <c r="AW560" s="82" t="s">
        <v>12752</v>
      </c>
      <c r="AX560" s="82" t="s">
        <v>12752</v>
      </c>
      <c r="AY560" s="77"/>
      <c r="AZ560" s="82" t="s">
        <v>15804</v>
      </c>
      <c r="BA560" s="82" t="s">
        <v>15804</v>
      </c>
      <c r="BB560" s="82" t="s">
        <v>15804</v>
      </c>
      <c r="BC560" s="82" t="s">
        <v>12752</v>
      </c>
      <c r="BD560" s="82" t="s">
        <v>16225</v>
      </c>
      <c r="BE560" s="77"/>
      <c r="BF560" s="77"/>
      <c r="BG560" s="77"/>
      <c r="BH560" s="77"/>
      <c r="BI560" s="77"/>
    </row>
    <row r="561" spans="1:61" x14ac:dyDescent="0.25">
      <c r="A561" s="62" t="s">
        <v>388</v>
      </c>
      <c r="B561" s="62" t="s">
        <v>388</v>
      </c>
      <c r="C561" s="63"/>
      <c r="D561" s="64"/>
      <c r="E561" s="65"/>
      <c r="F561" s="66"/>
      <c r="G561" s="63"/>
      <c r="H561" s="67"/>
      <c r="I561" s="68"/>
      <c r="J561" s="68"/>
      <c r="K561" s="32"/>
      <c r="L561" s="75">
        <v>561</v>
      </c>
      <c r="M561" s="75"/>
      <c r="N561" s="70"/>
      <c r="O561" s="77" t="s">
        <v>179</v>
      </c>
      <c r="P561" s="79">
        <v>45041.60052083333</v>
      </c>
      <c r="Q561" s="77" t="s">
        <v>1668</v>
      </c>
      <c r="R561" s="77">
        <v>0</v>
      </c>
      <c r="S561" s="77">
        <v>1</v>
      </c>
      <c r="T561" s="77">
        <v>0</v>
      </c>
      <c r="U561" s="77">
        <v>0</v>
      </c>
      <c r="V561" s="77">
        <v>4</v>
      </c>
      <c r="W561" s="82" t="s">
        <v>4440</v>
      </c>
      <c r="X561" s="80" t="str">
        <f>HYPERLINK("https://instagr.am/p/Crdfx1eJ6ZL/")</f>
        <v>https://instagr.am/p/Crdfx1eJ6ZL/</v>
      </c>
      <c r="Y561" s="77" t="s">
        <v>6022</v>
      </c>
      <c r="Z561" s="77"/>
      <c r="AA561" s="77" t="s">
        <v>6461</v>
      </c>
      <c r="AB561" s="77" t="s">
        <v>7696</v>
      </c>
      <c r="AC561" s="82" t="s">
        <v>7719</v>
      </c>
      <c r="AD561" s="77" t="s">
        <v>7745</v>
      </c>
      <c r="AE561" s="80" t="str">
        <f>HYPERLINK("https://twitter.com/imperiosolar/status/1650868451261530115")</f>
        <v>https://twitter.com/imperiosolar/status/1650868451261530115</v>
      </c>
      <c r="AF561" s="79">
        <v>45041.60052083333</v>
      </c>
      <c r="AG561" s="85">
        <v>45041</v>
      </c>
      <c r="AH561" s="82" t="s">
        <v>8248</v>
      </c>
      <c r="AI561" s="77" t="b">
        <v>0</v>
      </c>
      <c r="AJ561" s="77"/>
      <c r="AK561" s="77"/>
      <c r="AL561" s="77"/>
      <c r="AM561" s="77"/>
      <c r="AN561" s="77"/>
      <c r="AO561" s="77"/>
      <c r="AP561" s="77"/>
      <c r="AQ561" s="77" t="s">
        <v>10968</v>
      </c>
      <c r="AR561" s="77"/>
      <c r="AS561" s="77"/>
      <c r="AT561" s="77"/>
      <c r="AU561" s="77"/>
      <c r="AV561" s="80" t="str">
        <f>HYPERLINK("https://pbs.twimg.com/media/FukQG2NWwAArrkd.jpg")</f>
        <v>https://pbs.twimg.com/media/FukQG2NWwAArrkd.jpg</v>
      </c>
      <c r="AW561" s="82" t="s">
        <v>12753</v>
      </c>
      <c r="AX561" s="82" t="s">
        <v>12753</v>
      </c>
      <c r="AY561" s="77"/>
      <c r="AZ561" s="82" t="s">
        <v>15804</v>
      </c>
      <c r="BA561" s="82" t="s">
        <v>15804</v>
      </c>
      <c r="BB561" s="82" t="s">
        <v>15804</v>
      </c>
      <c r="BC561" s="82" t="s">
        <v>12753</v>
      </c>
      <c r="BD561" s="82" t="s">
        <v>16225</v>
      </c>
      <c r="BE561" s="77"/>
      <c r="BF561" s="77"/>
      <c r="BG561" s="77"/>
      <c r="BH561" s="77"/>
      <c r="BI561" s="77"/>
    </row>
    <row r="562" spans="1:61" x14ac:dyDescent="0.25">
      <c r="A562" s="62" t="s">
        <v>388</v>
      </c>
      <c r="B562" s="62" t="s">
        <v>388</v>
      </c>
      <c r="C562" s="63"/>
      <c r="D562" s="64"/>
      <c r="E562" s="65"/>
      <c r="F562" s="66"/>
      <c r="G562" s="63"/>
      <c r="H562" s="67"/>
      <c r="I562" s="68"/>
      <c r="J562" s="68"/>
      <c r="K562" s="32"/>
      <c r="L562" s="75">
        <v>562</v>
      </c>
      <c r="M562" s="75"/>
      <c r="N562" s="70"/>
      <c r="O562" s="77" t="s">
        <v>179</v>
      </c>
      <c r="P562" s="79">
        <v>45049.558611111112</v>
      </c>
      <c r="Q562" s="77" t="s">
        <v>1669</v>
      </c>
      <c r="R562" s="77">
        <v>0</v>
      </c>
      <c r="S562" s="77">
        <v>1</v>
      </c>
      <c r="T562" s="77">
        <v>0</v>
      </c>
      <c r="U562" s="77">
        <v>0</v>
      </c>
      <c r="V562" s="77">
        <v>4</v>
      </c>
      <c r="W562" s="82" t="s">
        <v>4442</v>
      </c>
      <c r="X562" s="80" t="str">
        <f>HYPERLINK("https://instagr.am/p/CryCl1_NtH7/")</f>
        <v>https://instagr.am/p/CryCl1_NtH7/</v>
      </c>
      <c r="Y562" s="77" t="s">
        <v>6022</v>
      </c>
      <c r="Z562" s="77"/>
      <c r="AA562" s="77" t="s">
        <v>6462</v>
      </c>
      <c r="AB562" s="77" t="s">
        <v>7696</v>
      </c>
      <c r="AC562" s="82" t="s">
        <v>7719</v>
      </c>
      <c r="AD562" s="77" t="s">
        <v>7745</v>
      </c>
      <c r="AE562" s="80" t="str">
        <f>HYPERLINK("https://twitter.com/imperiosolar/status/1653752370260475904")</f>
        <v>https://twitter.com/imperiosolar/status/1653752370260475904</v>
      </c>
      <c r="AF562" s="79">
        <v>45049.558611111112</v>
      </c>
      <c r="AG562" s="85">
        <v>45049</v>
      </c>
      <c r="AH562" s="82" t="s">
        <v>8249</v>
      </c>
      <c r="AI562" s="77" t="b">
        <v>0</v>
      </c>
      <c r="AJ562" s="77"/>
      <c r="AK562" s="77"/>
      <c r="AL562" s="77"/>
      <c r="AM562" s="77"/>
      <c r="AN562" s="77"/>
      <c r="AO562" s="77"/>
      <c r="AP562" s="77"/>
      <c r="AQ562" s="77" t="s">
        <v>10969</v>
      </c>
      <c r="AR562" s="77"/>
      <c r="AS562" s="77"/>
      <c r="AT562" s="77"/>
      <c r="AU562" s="77"/>
      <c r="AV562" s="80" t="str">
        <f>HYPERLINK("https://pbs.twimg.com/media/FvNPBG7X0AE_ETX.jpg")</f>
        <v>https://pbs.twimg.com/media/FvNPBG7X0AE_ETX.jpg</v>
      </c>
      <c r="AW562" s="82" t="s">
        <v>12754</v>
      </c>
      <c r="AX562" s="82" t="s">
        <v>12754</v>
      </c>
      <c r="AY562" s="77"/>
      <c r="AZ562" s="82" t="s">
        <v>15804</v>
      </c>
      <c r="BA562" s="82" t="s">
        <v>15804</v>
      </c>
      <c r="BB562" s="82" t="s">
        <v>15804</v>
      </c>
      <c r="BC562" s="82" t="s">
        <v>12754</v>
      </c>
      <c r="BD562" s="82" t="s">
        <v>16225</v>
      </c>
      <c r="BE562" s="77"/>
      <c r="BF562" s="77"/>
      <c r="BG562" s="77"/>
      <c r="BH562" s="77"/>
      <c r="BI562" s="77"/>
    </row>
    <row r="563" spans="1:61" x14ac:dyDescent="0.25">
      <c r="A563" s="62" t="s">
        <v>388</v>
      </c>
      <c r="B563" s="62" t="s">
        <v>388</v>
      </c>
      <c r="C563" s="63"/>
      <c r="D563" s="64"/>
      <c r="E563" s="65"/>
      <c r="F563" s="66"/>
      <c r="G563" s="63"/>
      <c r="H563" s="67"/>
      <c r="I563" s="68"/>
      <c r="J563" s="68"/>
      <c r="K563" s="32"/>
      <c r="L563" s="75">
        <v>563</v>
      </c>
      <c r="M563" s="75"/>
      <c r="N563" s="70"/>
      <c r="O563" s="77" t="s">
        <v>179</v>
      </c>
      <c r="P563" s="79">
        <v>45048.558437500003</v>
      </c>
      <c r="Q563" s="77" t="s">
        <v>1670</v>
      </c>
      <c r="R563" s="77">
        <v>0</v>
      </c>
      <c r="S563" s="77">
        <v>2</v>
      </c>
      <c r="T563" s="77">
        <v>0</v>
      </c>
      <c r="U563" s="77">
        <v>0</v>
      </c>
      <c r="V563" s="77">
        <v>11</v>
      </c>
      <c r="W563" s="82" t="s">
        <v>4442</v>
      </c>
      <c r="X563" s="80" t="str">
        <f>HYPERLINK("https://instagr.am/p/CrvdzN5P_Ei/")</f>
        <v>https://instagr.am/p/CrvdzN5P_Ei/</v>
      </c>
      <c r="Y563" s="77" t="s">
        <v>6022</v>
      </c>
      <c r="Z563" s="77"/>
      <c r="AA563" s="77" t="s">
        <v>6463</v>
      </c>
      <c r="AB563" s="77" t="s">
        <v>7696</v>
      </c>
      <c r="AC563" s="82" t="s">
        <v>7719</v>
      </c>
      <c r="AD563" s="77" t="s">
        <v>7745</v>
      </c>
      <c r="AE563" s="80" t="str">
        <f>HYPERLINK("https://twitter.com/imperiosolar/status/1653389918779973633")</f>
        <v>https://twitter.com/imperiosolar/status/1653389918779973633</v>
      </c>
      <c r="AF563" s="79">
        <v>45048.558437500003</v>
      </c>
      <c r="AG563" s="85">
        <v>45048</v>
      </c>
      <c r="AH563" s="82" t="s">
        <v>8250</v>
      </c>
      <c r="AI563" s="77" t="b">
        <v>0</v>
      </c>
      <c r="AJ563" s="77"/>
      <c r="AK563" s="77"/>
      <c r="AL563" s="77"/>
      <c r="AM563" s="77"/>
      <c r="AN563" s="77"/>
      <c r="AO563" s="77"/>
      <c r="AP563" s="77"/>
      <c r="AQ563" s="77" t="s">
        <v>10970</v>
      </c>
      <c r="AR563" s="77"/>
      <c r="AS563" s="77"/>
      <c r="AT563" s="77"/>
      <c r="AU563" s="77"/>
      <c r="AV563" s="80" t="str">
        <f>HYPERLINK("https://pbs.twimg.com/media/FvIFXngWwAEcp3H.jpg")</f>
        <v>https://pbs.twimg.com/media/FvIFXngWwAEcp3H.jpg</v>
      </c>
      <c r="AW563" s="82" t="s">
        <v>12755</v>
      </c>
      <c r="AX563" s="82" t="s">
        <v>12755</v>
      </c>
      <c r="AY563" s="77"/>
      <c r="AZ563" s="82" t="s">
        <v>15804</v>
      </c>
      <c r="BA563" s="82" t="s">
        <v>15804</v>
      </c>
      <c r="BB563" s="82" t="s">
        <v>15804</v>
      </c>
      <c r="BC563" s="82" t="s">
        <v>12755</v>
      </c>
      <c r="BD563" s="82" t="s">
        <v>16225</v>
      </c>
      <c r="BE563" s="77"/>
      <c r="BF563" s="77"/>
      <c r="BG563" s="77"/>
      <c r="BH563" s="77"/>
      <c r="BI563" s="77"/>
    </row>
    <row r="564" spans="1:61" x14ac:dyDescent="0.25">
      <c r="A564" s="62" t="s">
        <v>388</v>
      </c>
      <c r="B564" s="62" t="s">
        <v>388</v>
      </c>
      <c r="C564" s="63"/>
      <c r="D564" s="64"/>
      <c r="E564" s="65"/>
      <c r="F564" s="66"/>
      <c r="G564" s="63"/>
      <c r="H564" s="67"/>
      <c r="I564" s="68"/>
      <c r="J564" s="68"/>
      <c r="K564" s="32"/>
      <c r="L564" s="75">
        <v>564</v>
      </c>
      <c r="M564" s="75"/>
      <c r="N564" s="70"/>
      <c r="O564" s="77" t="s">
        <v>179</v>
      </c>
      <c r="P564" s="79">
        <v>45040.600972222222</v>
      </c>
      <c r="Q564" s="77" t="s">
        <v>1671</v>
      </c>
      <c r="R564" s="77">
        <v>0</v>
      </c>
      <c r="S564" s="77">
        <v>1</v>
      </c>
      <c r="T564" s="77">
        <v>0</v>
      </c>
      <c r="U564" s="77">
        <v>0</v>
      </c>
      <c r="V564" s="77">
        <v>4</v>
      </c>
      <c r="W564" s="82" t="s">
        <v>4440</v>
      </c>
      <c r="X564" s="80" t="str">
        <f>HYPERLINK("https://instagr.am/p/Cra63wsoCO3/")</f>
        <v>https://instagr.am/p/Cra63wsoCO3/</v>
      </c>
      <c r="Y564" s="77" t="s">
        <v>6022</v>
      </c>
      <c r="Z564" s="77"/>
      <c r="AA564" s="77" t="s">
        <v>6464</v>
      </c>
      <c r="AB564" s="77" t="s">
        <v>7696</v>
      </c>
      <c r="AC564" s="82" t="s">
        <v>7719</v>
      </c>
      <c r="AD564" s="77" t="s">
        <v>7745</v>
      </c>
      <c r="AE564" s="80" t="str">
        <f>HYPERLINK("https://twitter.com/imperiosolar/status/1650506229498757122")</f>
        <v>https://twitter.com/imperiosolar/status/1650506229498757122</v>
      </c>
      <c r="AF564" s="79">
        <v>45040.600972222222</v>
      </c>
      <c r="AG564" s="85">
        <v>45040</v>
      </c>
      <c r="AH564" s="82" t="s">
        <v>8251</v>
      </c>
      <c r="AI564" s="77" t="b">
        <v>0</v>
      </c>
      <c r="AJ564" s="77"/>
      <c r="AK564" s="77"/>
      <c r="AL564" s="77"/>
      <c r="AM564" s="77"/>
      <c r="AN564" s="77"/>
      <c r="AO564" s="77"/>
      <c r="AP564" s="77"/>
      <c r="AQ564" s="77" t="s">
        <v>10971</v>
      </c>
      <c r="AR564" s="77"/>
      <c r="AS564" s="77"/>
      <c r="AT564" s="77"/>
      <c r="AU564" s="77"/>
      <c r="AV564" s="80" t="str">
        <f>HYPERLINK("https://pbs.twimg.com/media/FufGq0dWYAAJKBM.jpg")</f>
        <v>https://pbs.twimg.com/media/FufGq0dWYAAJKBM.jpg</v>
      </c>
      <c r="AW564" s="82" t="s">
        <v>12756</v>
      </c>
      <c r="AX564" s="82" t="s">
        <v>12756</v>
      </c>
      <c r="AY564" s="77"/>
      <c r="AZ564" s="82" t="s">
        <v>15804</v>
      </c>
      <c r="BA564" s="82" t="s">
        <v>15804</v>
      </c>
      <c r="BB564" s="82" t="s">
        <v>15804</v>
      </c>
      <c r="BC564" s="82" t="s">
        <v>12756</v>
      </c>
      <c r="BD564" s="82" t="s">
        <v>16225</v>
      </c>
      <c r="BE564" s="77"/>
      <c r="BF564" s="77"/>
      <c r="BG564" s="77"/>
      <c r="BH564" s="77"/>
      <c r="BI564" s="77"/>
    </row>
    <row r="565" spans="1:61" x14ac:dyDescent="0.25">
      <c r="A565" s="62" t="s">
        <v>388</v>
      </c>
      <c r="B565" s="62" t="s">
        <v>388</v>
      </c>
      <c r="C565" s="63"/>
      <c r="D565" s="64"/>
      <c r="E565" s="65"/>
      <c r="F565" s="66"/>
      <c r="G565" s="63"/>
      <c r="H565" s="67"/>
      <c r="I565" s="68"/>
      <c r="J565" s="68"/>
      <c r="K565" s="32"/>
      <c r="L565" s="75">
        <v>565</v>
      </c>
      <c r="M565" s="75"/>
      <c r="N565" s="70"/>
      <c r="O565" s="77" t="s">
        <v>179</v>
      </c>
      <c r="P565" s="79">
        <v>45039.601018518515</v>
      </c>
      <c r="Q565" s="77" t="s">
        <v>1672</v>
      </c>
      <c r="R565" s="77">
        <v>0</v>
      </c>
      <c r="S565" s="77">
        <v>1</v>
      </c>
      <c r="T565" s="77">
        <v>0</v>
      </c>
      <c r="U565" s="77">
        <v>0</v>
      </c>
      <c r="V565" s="77">
        <v>4</v>
      </c>
      <c r="W565" s="82" t="s">
        <v>4440</v>
      </c>
      <c r="X565" s="80" t="str">
        <f>HYPERLINK("https://instagr.am/p/CrYV95NBghp/")</f>
        <v>https://instagr.am/p/CrYV95NBghp/</v>
      </c>
      <c r="Y565" s="77" t="s">
        <v>6022</v>
      </c>
      <c r="Z565" s="77"/>
      <c r="AA565" s="77" t="s">
        <v>6465</v>
      </c>
      <c r="AB565" s="77" t="s">
        <v>7696</v>
      </c>
      <c r="AC565" s="82" t="s">
        <v>7719</v>
      </c>
      <c r="AD565" s="77" t="s">
        <v>7745</v>
      </c>
      <c r="AE565" s="80" t="str">
        <f>HYPERLINK("https://twitter.com/imperiosolar/status/1650143859060486147")</f>
        <v>https://twitter.com/imperiosolar/status/1650143859060486147</v>
      </c>
      <c r="AF565" s="79">
        <v>45039.601018518515</v>
      </c>
      <c r="AG565" s="85">
        <v>45039</v>
      </c>
      <c r="AH565" s="82" t="s">
        <v>8252</v>
      </c>
      <c r="AI565" s="77" t="b">
        <v>0</v>
      </c>
      <c r="AJ565" s="77"/>
      <c r="AK565" s="77"/>
      <c r="AL565" s="77"/>
      <c r="AM565" s="77"/>
      <c r="AN565" s="77"/>
      <c r="AO565" s="77"/>
      <c r="AP565" s="77"/>
      <c r="AQ565" s="77" t="s">
        <v>10972</v>
      </c>
      <c r="AR565" s="77"/>
      <c r="AS565" s="77"/>
      <c r="AT565" s="77"/>
      <c r="AU565" s="77"/>
      <c r="AV565" s="80" t="str">
        <f>HYPERLINK("https://pbs.twimg.com/media/FuZ9GGwXwAEGaMr.jpg")</f>
        <v>https://pbs.twimg.com/media/FuZ9GGwXwAEGaMr.jpg</v>
      </c>
      <c r="AW565" s="82" t="s">
        <v>12757</v>
      </c>
      <c r="AX565" s="82" t="s">
        <v>12757</v>
      </c>
      <c r="AY565" s="77"/>
      <c r="AZ565" s="82" t="s">
        <v>15804</v>
      </c>
      <c r="BA565" s="82" t="s">
        <v>15804</v>
      </c>
      <c r="BB565" s="82" t="s">
        <v>15804</v>
      </c>
      <c r="BC565" s="82" t="s">
        <v>12757</v>
      </c>
      <c r="BD565" s="82" t="s">
        <v>16225</v>
      </c>
      <c r="BE565" s="77"/>
      <c r="BF565" s="77"/>
      <c r="BG565" s="77"/>
      <c r="BH565" s="77"/>
      <c r="BI565" s="77"/>
    </row>
    <row r="566" spans="1:61" x14ac:dyDescent="0.25">
      <c r="A566" s="62" t="s">
        <v>388</v>
      </c>
      <c r="B566" s="62" t="s">
        <v>388</v>
      </c>
      <c r="C566" s="63"/>
      <c r="D566" s="64"/>
      <c r="E566" s="65"/>
      <c r="F566" s="66"/>
      <c r="G566" s="63"/>
      <c r="H566" s="67"/>
      <c r="I566" s="68"/>
      <c r="J566" s="68"/>
      <c r="K566" s="32"/>
      <c r="L566" s="75">
        <v>566</v>
      </c>
      <c r="M566" s="75"/>
      <c r="N566" s="70"/>
      <c r="O566" s="77" t="s">
        <v>179</v>
      </c>
      <c r="P566" s="79">
        <v>45038.600405092591</v>
      </c>
      <c r="Q566" s="77" t="s">
        <v>1673</v>
      </c>
      <c r="R566" s="77">
        <v>0</v>
      </c>
      <c r="S566" s="77">
        <v>1</v>
      </c>
      <c r="T566" s="77">
        <v>0</v>
      </c>
      <c r="U566" s="77">
        <v>0</v>
      </c>
      <c r="V566" s="77">
        <v>6</v>
      </c>
      <c r="W566" s="82" t="s">
        <v>4440</v>
      </c>
      <c r="X566" s="80" t="str">
        <f>HYPERLINK("https://instagr.am/p/CrVxDm6vkyz/")</f>
        <v>https://instagr.am/p/CrVxDm6vkyz/</v>
      </c>
      <c r="Y566" s="77" t="s">
        <v>6022</v>
      </c>
      <c r="Z566" s="77"/>
      <c r="AA566" s="77" t="s">
        <v>6466</v>
      </c>
      <c r="AB566" s="77" t="s">
        <v>7696</v>
      </c>
      <c r="AC566" s="82" t="s">
        <v>7719</v>
      </c>
      <c r="AD566" s="77" t="s">
        <v>7745</v>
      </c>
      <c r="AE566" s="80" t="str">
        <f>HYPERLINK("https://twitter.com/imperiosolar/status/1649781248250847233")</f>
        <v>https://twitter.com/imperiosolar/status/1649781248250847233</v>
      </c>
      <c r="AF566" s="79">
        <v>45038.600405092591</v>
      </c>
      <c r="AG566" s="85">
        <v>45038</v>
      </c>
      <c r="AH566" s="82" t="s">
        <v>8253</v>
      </c>
      <c r="AI566" s="77" t="b">
        <v>0</v>
      </c>
      <c r="AJ566" s="77"/>
      <c r="AK566" s="77"/>
      <c r="AL566" s="77"/>
      <c r="AM566" s="77"/>
      <c r="AN566" s="77"/>
      <c r="AO566" s="77"/>
      <c r="AP566" s="77"/>
      <c r="AQ566" s="77" t="s">
        <v>10973</v>
      </c>
      <c r="AR566" s="77"/>
      <c r="AS566" s="77"/>
      <c r="AT566" s="77"/>
      <c r="AU566" s="77"/>
      <c r="AV566" s="80" t="str">
        <f>HYPERLINK("https://pbs.twimg.com/media/FuUzTYOX0AAbACz.jpg")</f>
        <v>https://pbs.twimg.com/media/FuUzTYOX0AAbACz.jpg</v>
      </c>
      <c r="AW566" s="82" t="s">
        <v>12758</v>
      </c>
      <c r="AX566" s="82" t="s">
        <v>12758</v>
      </c>
      <c r="AY566" s="77"/>
      <c r="AZ566" s="82" t="s">
        <v>15804</v>
      </c>
      <c r="BA566" s="82" t="s">
        <v>15804</v>
      </c>
      <c r="BB566" s="82" t="s">
        <v>15804</v>
      </c>
      <c r="BC566" s="82" t="s">
        <v>12758</v>
      </c>
      <c r="BD566" s="82" t="s">
        <v>16225</v>
      </c>
      <c r="BE566" s="77"/>
      <c r="BF566" s="77"/>
      <c r="BG566" s="77"/>
      <c r="BH566" s="77"/>
      <c r="BI566" s="77"/>
    </row>
    <row r="567" spans="1:61" x14ac:dyDescent="0.25">
      <c r="A567" s="62" t="s">
        <v>388</v>
      </c>
      <c r="B567" s="62" t="s">
        <v>388</v>
      </c>
      <c r="C567" s="63"/>
      <c r="D567" s="64"/>
      <c r="E567" s="65"/>
      <c r="F567" s="66"/>
      <c r="G567" s="63"/>
      <c r="H567" s="67"/>
      <c r="I567" s="68"/>
      <c r="J567" s="68"/>
      <c r="K567" s="32"/>
      <c r="L567" s="75">
        <v>567</v>
      </c>
      <c r="M567" s="75"/>
      <c r="N567" s="70"/>
      <c r="O567" s="77" t="s">
        <v>179</v>
      </c>
      <c r="P567" s="79">
        <v>45060.601145833331</v>
      </c>
      <c r="Q567" s="77" t="s">
        <v>1674</v>
      </c>
      <c r="R567" s="77">
        <v>0</v>
      </c>
      <c r="S567" s="77">
        <v>1</v>
      </c>
      <c r="T567" s="77">
        <v>0</v>
      </c>
      <c r="U567" s="77">
        <v>0</v>
      </c>
      <c r="V567" s="77">
        <v>6</v>
      </c>
      <c r="W567" s="82" t="s">
        <v>4441</v>
      </c>
      <c r="X567" s="80" t="str">
        <f>HYPERLINK("https://instagr.am/p/CsOgJJMooxj/")</f>
        <v>https://instagr.am/p/CsOgJJMooxj/</v>
      </c>
      <c r="Y567" s="77" t="s">
        <v>6022</v>
      </c>
      <c r="Z567" s="77"/>
      <c r="AA567" s="77" t="s">
        <v>6467</v>
      </c>
      <c r="AB567" s="77" t="s">
        <v>7696</v>
      </c>
      <c r="AC567" s="82" t="s">
        <v>7719</v>
      </c>
      <c r="AD567" s="77" t="s">
        <v>7745</v>
      </c>
      <c r="AE567" s="80" t="str">
        <f>HYPERLINK("https://twitter.com/imperiosolar/status/1657754049385570304")</f>
        <v>https://twitter.com/imperiosolar/status/1657754049385570304</v>
      </c>
      <c r="AF567" s="79">
        <v>45060.601145833331</v>
      </c>
      <c r="AG567" s="85">
        <v>45060</v>
      </c>
      <c r="AH567" s="82" t="s">
        <v>8254</v>
      </c>
      <c r="AI567" s="77" t="b">
        <v>0</v>
      </c>
      <c r="AJ567" s="77"/>
      <c r="AK567" s="77"/>
      <c r="AL567" s="77"/>
      <c r="AM567" s="77"/>
      <c r="AN567" s="77"/>
      <c r="AO567" s="77"/>
      <c r="AP567" s="77"/>
      <c r="AQ567" s="77" t="s">
        <v>10974</v>
      </c>
      <c r="AR567" s="77"/>
      <c r="AS567" s="77"/>
      <c r="AT567" s="77"/>
      <c r="AU567" s="77"/>
      <c r="AV567" s="80" t="str">
        <f>HYPERLINK("https://pbs.twimg.com/media/FwGGhewWYAQ9V6a.jpg")</f>
        <v>https://pbs.twimg.com/media/FwGGhewWYAQ9V6a.jpg</v>
      </c>
      <c r="AW567" s="82" t="s">
        <v>12759</v>
      </c>
      <c r="AX567" s="82" t="s">
        <v>12759</v>
      </c>
      <c r="AY567" s="77"/>
      <c r="AZ567" s="82" t="s">
        <v>15804</v>
      </c>
      <c r="BA567" s="82" t="s">
        <v>15804</v>
      </c>
      <c r="BB567" s="82" t="s">
        <v>15804</v>
      </c>
      <c r="BC567" s="82" t="s">
        <v>12759</v>
      </c>
      <c r="BD567" s="82" t="s">
        <v>16225</v>
      </c>
      <c r="BE567" s="77"/>
      <c r="BF567" s="77"/>
      <c r="BG567" s="77"/>
      <c r="BH567" s="77"/>
      <c r="BI567" s="77"/>
    </row>
    <row r="568" spans="1:61" x14ac:dyDescent="0.25">
      <c r="A568" s="62" t="s">
        <v>388</v>
      </c>
      <c r="B568" s="62" t="s">
        <v>388</v>
      </c>
      <c r="C568" s="63"/>
      <c r="D568" s="64"/>
      <c r="E568" s="65"/>
      <c r="F568" s="66"/>
      <c r="G568" s="63"/>
      <c r="H568" s="67"/>
      <c r="I568" s="68"/>
      <c r="J568" s="68"/>
      <c r="K568" s="32"/>
      <c r="L568" s="75">
        <v>568</v>
      </c>
      <c r="M568" s="75"/>
      <c r="N568" s="70"/>
      <c r="O568" s="77" t="s">
        <v>179</v>
      </c>
      <c r="P568" s="79">
        <v>45059.559120370373</v>
      </c>
      <c r="Q568" s="77" t="s">
        <v>1675</v>
      </c>
      <c r="R568" s="77">
        <v>0</v>
      </c>
      <c r="S568" s="77">
        <v>1</v>
      </c>
      <c r="T568" s="77">
        <v>0</v>
      </c>
      <c r="U568" s="77">
        <v>0</v>
      </c>
      <c r="V568" s="77">
        <v>7</v>
      </c>
      <c r="W568" s="82" t="s">
        <v>4442</v>
      </c>
      <c r="X568" s="80" t="str">
        <f>HYPERLINK("https://instagr.am/p/CsL0B3wvPnL/")</f>
        <v>https://instagr.am/p/CsL0B3wvPnL/</v>
      </c>
      <c r="Y568" s="77" t="s">
        <v>6022</v>
      </c>
      <c r="Z568" s="77"/>
      <c r="AA568" s="77" t="s">
        <v>6468</v>
      </c>
      <c r="AB568" s="77" t="s">
        <v>7696</v>
      </c>
      <c r="AC568" s="82" t="s">
        <v>7719</v>
      </c>
      <c r="AD568" s="77" t="s">
        <v>7745</v>
      </c>
      <c r="AE568" s="80" t="str">
        <f>HYPERLINK("https://twitter.com/imperiosolar/status/1657376429787447299")</f>
        <v>https://twitter.com/imperiosolar/status/1657376429787447299</v>
      </c>
      <c r="AF568" s="79">
        <v>45059.559120370373</v>
      </c>
      <c r="AG568" s="85">
        <v>45059</v>
      </c>
      <c r="AH568" s="82" t="s">
        <v>8255</v>
      </c>
      <c r="AI568" s="77" t="b">
        <v>0</v>
      </c>
      <c r="AJ568" s="77"/>
      <c r="AK568" s="77"/>
      <c r="AL568" s="77"/>
      <c r="AM568" s="77"/>
      <c r="AN568" s="77"/>
      <c r="AO568" s="77"/>
      <c r="AP568" s="77"/>
      <c r="AQ568" s="77" t="s">
        <v>10975</v>
      </c>
      <c r="AR568" s="77"/>
      <c r="AS568" s="77"/>
      <c r="AT568" s="77"/>
      <c r="AU568" s="77"/>
      <c r="AV568" s="80" t="str">
        <f>HYPERLINK("https://pbs.twimg.com/media/FwAvFFZWcAEESJG.jpg")</f>
        <v>https://pbs.twimg.com/media/FwAvFFZWcAEESJG.jpg</v>
      </c>
      <c r="AW568" s="82" t="s">
        <v>12760</v>
      </c>
      <c r="AX568" s="82" t="s">
        <v>12760</v>
      </c>
      <c r="AY568" s="77"/>
      <c r="AZ568" s="82" t="s">
        <v>15804</v>
      </c>
      <c r="BA568" s="82" t="s">
        <v>15804</v>
      </c>
      <c r="BB568" s="82" t="s">
        <v>15804</v>
      </c>
      <c r="BC568" s="82" t="s">
        <v>12760</v>
      </c>
      <c r="BD568" s="82" t="s">
        <v>16225</v>
      </c>
      <c r="BE568" s="77"/>
      <c r="BF568" s="77"/>
      <c r="BG568" s="77"/>
      <c r="BH568" s="77"/>
      <c r="BI568" s="77"/>
    </row>
    <row r="569" spans="1:61" x14ac:dyDescent="0.25">
      <c r="A569" s="62" t="s">
        <v>388</v>
      </c>
      <c r="B569" s="62" t="s">
        <v>388</v>
      </c>
      <c r="C569" s="63"/>
      <c r="D569" s="64"/>
      <c r="E569" s="65"/>
      <c r="F569" s="66"/>
      <c r="G569" s="63"/>
      <c r="H569" s="67"/>
      <c r="I569" s="68"/>
      <c r="J569" s="68"/>
      <c r="K569" s="32"/>
      <c r="L569" s="75">
        <v>569</v>
      </c>
      <c r="M569" s="75"/>
      <c r="N569" s="70"/>
      <c r="O569" s="77" t="s">
        <v>179</v>
      </c>
      <c r="P569" s="79">
        <v>45058.601203703707</v>
      </c>
      <c r="Q569" s="77" t="s">
        <v>1676</v>
      </c>
      <c r="R569" s="77">
        <v>0</v>
      </c>
      <c r="S569" s="77">
        <v>1</v>
      </c>
      <c r="T569" s="77">
        <v>0</v>
      </c>
      <c r="U569" s="77">
        <v>0</v>
      </c>
      <c r="V569" s="77">
        <v>9</v>
      </c>
      <c r="W569" s="82" t="s">
        <v>4442</v>
      </c>
      <c r="X569" s="80" t="str">
        <f>HYPERLINK("https://instagr.am/p/CsJTPTTtDWA/")</f>
        <v>https://instagr.am/p/CsJTPTTtDWA/</v>
      </c>
      <c r="Y569" s="77" t="s">
        <v>6022</v>
      </c>
      <c r="Z569" s="77"/>
      <c r="AA569" s="77" t="s">
        <v>6469</v>
      </c>
      <c r="AB569" s="77" t="s">
        <v>7696</v>
      </c>
      <c r="AC569" s="82" t="s">
        <v>7719</v>
      </c>
      <c r="AD569" s="77" t="s">
        <v>7745</v>
      </c>
      <c r="AE569" s="80" t="str">
        <f>HYPERLINK("https://twitter.com/imperiosolar/status/1657029294529343489")</f>
        <v>https://twitter.com/imperiosolar/status/1657029294529343489</v>
      </c>
      <c r="AF569" s="79">
        <v>45058.601203703707</v>
      </c>
      <c r="AG569" s="85">
        <v>45058</v>
      </c>
      <c r="AH569" s="82" t="s">
        <v>8256</v>
      </c>
      <c r="AI569" s="77" t="b">
        <v>0</v>
      </c>
      <c r="AJ569" s="77"/>
      <c r="AK569" s="77"/>
      <c r="AL569" s="77"/>
      <c r="AM569" s="77"/>
      <c r="AN569" s="77"/>
      <c r="AO569" s="77"/>
      <c r="AP569" s="77"/>
      <c r="AQ569" s="77" t="s">
        <v>10976</v>
      </c>
      <c r="AR569" s="77"/>
      <c r="AS569" s="77"/>
      <c r="AT569" s="77"/>
      <c r="AU569" s="77"/>
      <c r="AV569" s="80" t="str">
        <f>HYPERLINK("https://pbs.twimg.com/media/Fv7zXLjXwAgkwbo.jpg")</f>
        <v>https://pbs.twimg.com/media/Fv7zXLjXwAgkwbo.jpg</v>
      </c>
      <c r="AW569" s="82" t="s">
        <v>12761</v>
      </c>
      <c r="AX569" s="82" t="s">
        <v>12761</v>
      </c>
      <c r="AY569" s="77"/>
      <c r="AZ569" s="82" t="s">
        <v>15804</v>
      </c>
      <c r="BA569" s="82" t="s">
        <v>15804</v>
      </c>
      <c r="BB569" s="82" t="s">
        <v>15804</v>
      </c>
      <c r="BC569" s="82" t="s">
        <v>12761</v>
      </c>
      <c r="BD569" s="82" t="s">
        <v>16225</v>
      </c>
      <c r="BE569" s="77"/>
      <c r="BF569" s="77"/>
      <c r="BG569" s="77"/>
      <c r="BH569" s="77"/>
      <c r="BI569" s="77"/>
    </row>
    <row r="570" spans="1:61" x14ac:dyDescent="0.25">
      <c r="A570" s="62" t="s">
        <v>388</v>
      </c>
      <c r="B570" s="62" t="s">
        <v>388</v>
      </c>
      <c r="C570" s="63"/>
      <c r="D570" s="64"/>
      <c r="E570" s="65"/>
      <c r="F570" s="66"/>
      <c r="G570" s="63"/>
      <c r="H570" s="67"/>
      <c r="I570" s="68"/>
      <c r="J570" s="68"/>
      <c r="K570" s="32"/>
      <c r="L570" s="75">
        <v>570</v>
      </c>
      <c r="M570" s="75"/>
      <c r="N570" s="70"/>
      <c r="O570" s="77" t="s">
        <v>179</v>
      </c>
      <c r="P570" s="79">
        <v>45057.559907407405</v>
      </c>
      <c r="Q570" s="77" t="s">
        <v>1677</v>
      </c>
      <c r="R570" s="77">
        <v>0</v>
      </c>
      <c r="S570" s="77">
        <v>0</v>
      </c>
      <c r="T570" s="77">
        <v>0</v>
      </c>
      <c r="U570" s="77">
        <v>0</v>
      </c>
      <c r="V570" s="77">
        <v>5</v>
      </c>
      <c r="W570" s="82" t="s">
        <v>4442</v>
      </c>
      <c r="X570" s="80" t="str">
        <f>HYPERLINK("https://instagr.am/p/CsGo9AdBRXT/")</f>
        <v>https://instagr.am/p/CsGo9AdBRXT/</v>
      </c>
      <c r="Y570" s="77" t="s">
        <v>6022</v>
      </c>
      <c r="Z570" s="77"/>
      <c r="AA570" s="77" t="s">
        <v>6470</v>
      </c>
      <c r="AB570" s="77" t="s">
        <v>7696</v>
      </c>
      <c r="AC570" s="82" t="s">
        <v>7719</v>
      </c>
      <c r="AD570" s="77" t="s">
        <v>7745</v>
      </c>
      <c r="AE570" s="80" t="str">
        <f>HYPERLINK("https://twitter.com/imperiosolar/status/1656651942045573123")</f>
        <v>https://twitter.com/imperiosolar/status/1656651942045573123</v>
      </c>
      <c r="AF570" s="79">
        <v>45057.559907407405</v>
      </c>
      <c r="AG570" s="85">
        <v>45057</v>
      </c>
      <c r="AH570" s="82" t="s">
        <v>8257</v>
      </c>
      <c r="AI570" s="77" t="b">
        <v>0</v>
      </c>
      <c r="AJ570" s="77"/>
      <c r="AK570" s="77"/>
      <c r="AL570" s="77"/>
      <c r="AM570" s="77"/>
      <c r="AN570" s="77"/>
      <c r="AO570" s="77"/>
      <c r="AP570" s="77"/>
      <c r="AQ570" s="77" t="s">
        <v>10977</v>
      </c>
      <c r="AR570" s="77"/>
      <c r="AS570" s="77"/>
      <c r="AT570" s="77"/>
      <c r="AU570" s="77"/>
      <c r="AV570" s="80" t="str">
        <f>HYPERLINK("https://pbs.twimg.com/media/Fv2cKZLWIAMAuLs.jpg")</f>
        <v>https://pbs.twimg.com/media/Fv2cKZLWIAMAuLs.jpg</v>
      </c>
      <c r="AW570" s="82" t="s">
        <v>12762</v>
      </c>
      <c r="AX570" s="82" t="s">
        <v>12762</v>
      </c>
      <c r="AY570" s="77"/>
      <c r="AZ570" s="82" t="s">
        <v>15804</v>
      </c>
      <c r="BA570" s="82" t="s">
        <v>15804</v>
      </c>
      <c r="BB570" s="82" t="s">
        <v>15804</v>
      </c>
      <c r="BC570" s="82" t="s">
        <v>12762</v>
      </c>
      <c r="BD570" s="82" t="s">
        <v>16225</v>
      </c>
      <c r="BE570" s="77"/>
      <c r="BF570" s="77"/>
      <c r="BG570" s="77"/>
      <c r="BH570" s="77"/>
      <c r="BI570" s="77"/>
    </row>
    <row r="571" spans="1:61" x14ac:dyDescent="0.25">
      <c r="A571" s="62" t="s">
        <v>388</v>
      </c>
      <c r="B571" s="62" t="s">
        <v>388</v>
      </c>
      <c r="C571" s="63"/>
      <c r="D571" s="64"/>
      <c r="E571" s="65"/>
      <c r="F571" s="66"/>
      <c r="G571" s="63"/>
      <c r="H571" s="67"/>
      <c r="I571" s="68"/>
      <c r="J571" s="68"/>
      <c r="K571" s="32"/>
      <c r="L571" s="75">
        <v>571</v>
      </c>
      <c r="M571" s="75"/>
      <c r="N571" s="70"/>
      <c r="O571" s="77" t="s">
        <v>179</v>
      </c>
      <c r="P571" s="79">
        <v>45056.558425925927</v>
      </c>
      <c r="Q571" s="77" t="s">
        <v>1678</v>
      </c>
      <c r="R571" s="77">
        <v>0</v>
      </c>
      <c r="S571" s="77">
        <v>0</v>
      </c>
      <c r="T571" s="77">
        <v>0</v>
      </c>
      <c r="U571" s="77">
        <v>0</v>
      </c>
      <c r="V571" s="77">
        <v>4</v>
      </c>
      <c r="W571" s="82" t="s">
        <v>4442</v>
      </c>
      <c r="X571" s="80" t="str">
        <f>HYPERLINK("https://instagr.am/p/CsEEKE7tz_j/")</f>
        <v>https://instagr.am/p/CsEEKE7tz_j/</v>
      </c>
      <c r="Y571" s="77" t="s">
        <v>6022</v>
      </c>
      <c r="Z571" s="77"/>
      <c r="AA571" s="77" t="s">
        <v>6471</v>
      </c>
      <c r="AB571" s="77" t="s">
        <v>7696</v>
      </c>
      <c r="AC571" s="82" t="s">
        <v>7719</v>
      </c>
      <c r="AD571" s="77" t="s">
        <v>7745</v>
      </c>
      <c r="AE571" s="80" t="str">
        <f>HYPERLINK("https://twitter.com/imperiosolar/status/1656289015887286279")</f>
        <v>https://twitter.com/imperiosolar/status/1656289015887286279</v>
      </c>
      <c r="AF571" s="79">
        <v>45056.558425925927</v>
      </c>
      <c r="AG571" s="85">
        <v>45056</v>
      </c>
      <c r="AH571" s="82" t="s">
        <v>8258</v>
      </c>
      <c r="AI571" s="77" t="b">
        <v>0</v>
      </c>
      <c r="AJ571" s="77"/>
      <c r="AK571" s="77"/>
      <c r="AL571" s="77"/>
      <c r="AM571" s="77"/>
      <c r="AN571" s="77"/>
      <c r="AO571" s="77"/>
      <c r="AP571" s="77"/>
      <c r="AQ571" s="77" t="s">
        <v>10978</v>
      </c>
      <c r="AR571" s="77"/>
      <c r="AS571" s="77"/>
      <c r="AT571" s="77"/>
      <c r="AU571" s="77"/>
      <c r="AV571" s="80" t="str">
        <f>HYPERLINK("https://pbs.twimg.com/media/FvxSFTRXoAIRNtS.jpg")</f>
        <v>https://pbs.twimg.com/media/FvxSFTRXoAIRNtS.jpg</v>
      </c>
      <c r="AW571" s="82" t="s">
        <v>12763</v>
      </c>
      <c r="AX571" s="82" t="s">
        <v>12763</v>
      </c>
      <c r="AY571" s="77"/>
      <c r="AZ571" s="82" t="s">
        <v>15804</v>
      </c>
      <c r="BA571" s="82" t="s">
        <v>15804</v>
      </c>
      <c r="BB571" s="82" t="s">
        <v>15804</v>
      </c>
      <c r="BC571" s="82" t="s">
        <v>12763</v>
      </c>
      <c r="BD571" s="82" t="s">
        <v>16225</v>
      </c>
      <c r="BE571" s="77"/>
      <c r="BF571" s="77"/>
      <c r="BG571" s="77"/>
      <c r="BH571" s="77"/>
      <c r="BI571" s="77"/>
    </row>
    <row r="572" spans="1:61" x14ac:dyDescent="0.25">
      <c r="A572" s="62" t="s">
        <v>389</v>
      </c>
      <c r="B572" s="62" t="s">
        <v>389</v>
      </c>
      <c r="C572" s="63"/>
      <c r="D572" s="64"/>
      <c r="E572" s="65"/>
      <c r="F572" s="66"/>
      <c r="G572" s="63"/>
      <c r="H572" s="67"/>
      <c r="I572" s="68"/>
      <c r="J572" s="68"/>
      <c r="K572" s="32"/>
      <c r="L572" s="75">
        <v>572</v>
      </c>
      <c r="M572" s="75"/>
      <c r="N572" s="70"/>
      <c r="O572" s="77" t="s">
        <v>179</v>
      </c>
      <c r="P572" s="79">
        <v>45135.913923611108</v>
      </c>
      <c r="Q572" s="77" t="s">
        <v>1679</v>
      </c>
      <c r="R572" s="77">
        <v>0</v>
      </c>
      <c r="S572" s="77">
        <v>0</v>
      </c>
      <c r="T572" s="77">
        <v>0</v>
      </c>
      <c r="U572" s="77">
        <v>0</v>
      </c>
      <c r="V572" s="77">
        <v>23</v>
      </c>
      <c r="W572" s="82" t="s">
        <v>4443</v>
      </c>
      <c r="X572" s="77"/>
      <c r="Y572" s="77"/>
      <c r="Z572" s="77"/>
      <c r="AA572" s="77" t="s">
        <v>6472</v>
      </c>
      <c r="AB572" s="77" t="s">
        <v>7696</v>
      </c>
      <c r="AC572" s="82" t="s">
        <v>7716</v>
      </c>
      <c r="AD572" s="77" t="s">
        <v>7745</v>
      </c>
      <c r="AE572" s="80" t="str">
        <f>HYPERLINK("https://twitter.com/luxcapital_/status/1685046485342142464")</f>
        <v>https://twitter.com/luxcapital_/status/1685046485342142464</v>
      </c>
      <c r="AF572" s="79">
        <v>45135.913923611108</v>
      </c>
      <c r="AG572" s="85">
        <v>45135</v>
      </c>
      <c r="AH572" s="82" t="s">
        <v>8259</v>
      </c>
      <c r="AI572" s="77" t="b">
        <v>0</v>
      </c>
      <c r="AJ572" s="77"/>
      <c r="AK572" s="77"/>
      <c r="AL572" s="77"/>
      <c r="AM572" s="77"/>
      <c r="AN572" s="77"/>
      <c r="AO572" s="77"/>
      <c r="AP572" s="77"/>
      <c r="AQ572" s="77" t="s">
        <v>10979</v>
      </c>
      <c r="AR572" s="77"/>
      <c r="AS572" s="77"/>
      <c r="AT572" s="77"/>
      <c r="AU572" s="77"/>
      <c r="AV572" s="80" t="str">
        <f>HYPERLINK("https://pbs.twimg.com/media/F2J82TzW4AA3zLg.jpg")</f>
        <v>https://pbs.twimg.com/media/F2J82TzW4AA3zLg.jpg</v>
      </c>
      <c r="AW572" s="82" t="s">
        <v>12764</v>
      </c>
      <c r="AX572" s="82" t="s">
        <v>12764</v>
      </c>
      <c r="AY572" s="77"/>
      <c r="AZ572" s="82" t="s">
        <v>15804</v>
      </c>
      <c r="BA572" s="82" t="s">
        <v>15804</v>
      </c>
      <c r="BB572" s="82" t="s">
        <v>15804</v>
      </c>
      <c r="BC572" s="82" t="s">
        <v>12764</v>
      </c>
      <c r="BD572" s="82" t="s">
        <v>16226</v>
      </c>
      <c r="BE572" s="77"/>
      <c r="BF572" s="77"/>
      <c r="BG572" s="77"/>
      <c r="BH572" s="77"/>
      <c r="BI572" s="77"/>
    </row>
    <row r="573" spans="1:61" x14ac:dyDescent="0.25">
      <c r="A573" s="62" t="s">
        <v>390</v>
      </c>
      <c r="B573" s="62" t="s">
        <v>390</v>
      </c>
      <c r="C573" s="63"/>
      <c r="D573" s="64"/>
      <c r="E573" s="65"/>
      <c r="F573" s="66"/>
      <c r="G573" s="63"/>
      <c r="H573" s="67"/>
      <c r="I573" s="68"/>
      <c r="J573" s="68"/>
      <c r="K573" s="32"/>
      <c r="L573" s="75">
        <v>573</v>
      </c>
      <c r="M573" s="75"/>
      <c r="N573" s="70"/>
      <c r="O573" s="77" t="s">
        <v>179</v>
      </c>
      <c r="P573" s="79">
        <v>45082.61791666667</v>
      </c>
      <c r="Q573" s="77" t="s">
        <v>1680</v>
      </c>
      <c r="R573" s="77">
        <v>0</v>
      </c>
      <c r="S573" s="77">
        <v>6</v>
      </c>
      <c r="T573" s="77">
        <v>1</v>
      </c>
      <c r="U573" s="77">
        <v>0</v>
      </c>
      <c r="V573" s="77">
        <v>133</v>
      </c>
      <c r="W573" s="82" t="s">
        <v>4097</v>
      </c>
      <c r="X573" s="77"/>
      <c r="Y573" s="77"/>
      <c r="Z573" s="77"/>
      <c r="AA573" s="77" t="s">
        <v>6473</v>
      </c>
      <c r="AB573" s="77" t="s">
        <v>7696</v>
      </c>
      <c r="AC573" s="82" t="s">
        <v>7706</v>
      </c>
      <c r="AD573" s="77" t="s">
        <v>7745</v>
      </c>
      <c r="AE573" s="80" t="str">
        <f>HYPERLINK("https://twitter.com/mongeinvestidor/status/1665732660121989121")</f>
        <v>https://twitter.com/mongeinvestidor/status/1665732660121989121</v>
      </c>
      <c r="AF573" s="79">
        <v>45082.61791666667</v>
      </c>
      <c r="AG573" s="85">
        <v>45082</v>
      </c>
      <c r="AH573" s="82" t="s">
        <v>8260</v>
      </c>
      <c r="AI573" s="77" t="b">
        <v>0</v>
      </c>
      <c r="AJ573" s="77"/>
      <c r="AK573" s="77"/>
      <c r="AL573" s="77"/>
      <c r="AM573" s="77"/>
      <c r="AN573" s="77"/>
      <c r="AO573" s="77"/>
      <c r="AP573" s="77"/>
      <c r="AQ573" s="77" t="s">
        <v>10980</v>
      </c>
      <c r="AR573" s="77"/>
      <c r="AS573" s="77"/>
      <c r="AT573" s="77"/>
      <c r="AU573" s="77"/>
      <c r="AV573" s="80" t="str">
        <f>HYPERLINK("https://pbs.twimg.com/media/Fx3bKYFWAAIYx3B.jpg")</f>
        <v>https://pbs.twimg.com/media/Fx3bKYFWAAIYx3B.jpg</v>
      </c>
      <c r="AW573" s="82" t="s">
        <v>12765</v>
      </c>
      <c r="AX573" s="82" t="s">
        <v>12765</v>
      </c>
      <c r="AY573" s="77"/>
      <c r="AZ573" s="82" t="s">
        <v>15804</v>
      </c>
      <c r="BA573" s="82" t="s">
        <v>15804</v>
      </c>
      <c r="BB573" s="82" t="s">
        <v>15804</v>
      </c>
      <c r="BC573" s="82" t="s">
        <v>12765</v>
      </c>
      <c r="BD573" s="82" t="s">
        <v>16227</v>
      </c>
      <c r="BE573" s="77"/>
      <c r="BF573" s="77"/>
      <c r="BG573" s="77"/>
      <c r="BH573" s="77"/>
      <c r="BI573" s="77"/>
    </row>
    <row r="574" spans="1:61" x14ac:dyDescent="0.25">
      <c r="A574" s="62" t="s">
        <v>391</v>
      </c>
      <c r="B574" s="62" t="s">
        <v>391</v>
      </c>
      <c r="C574" s="63"/>
      <c r="D574" s="64"/>
      <c r="E574" s="65"/>
      <c r="F574" s="66"/>
      <c r="G574" s="63"/>
      <c r="H574" s="67"/>
      <c r="I574" s="68"/>
      <c r="J574" s="68"/>
      <c r="K574" s="32"/>
      <c r="L574" s="75">
        <v>574</v>
      </c>
      <c r="M574" s="75"/>
      <c r="N574" s="70"/>
      <c r="O574" s="77" t="s">
        <v>179</v>
      </c>
      <c r="P574" s="79">
        <v>45115.896087962959</v>
      </c>
      <c r="Q574" s="77" t="s">
        <v>1681</v>
      </c>
      <c r="R574" s="77">
        <v>0</v>
      </c>
      <c r="S574" s="77">
        <v>0</v>
      </c>
      <c r="T574" s="77">
        <v>0</v>
      </c>
      <c r="U574" s="77">
        <v>0</v>
      </c>
      <c r="V574" s="77">
        <v>13</v>
      </c>
      <c r="W574" s="82" t="s">
        <v>4444</v>
      </c>
      <c r="X574" s="80" t="str">
        <f>HYPERLINK("https://blogueiroconvidado.com/primeiros-passos-para-alcancar-a-independencia-financeira/")</f>
        <v>https://blogueiroconvidado.com/primeiros-passos-para-alcancar-a-independencia-financeira/</v>
      </c>
      <c r="Y574" s="77" t="s">
        <v>6032</v>
      </c>
      <c r="Z574" s="77"/>
      <c r="AA574" s="77" t="s">
        <v>6474</v>
      </c>
      <c r="AB574" s="77" t="s">
        <v>7696</v>
      </c>
      <c r="AC574" s="82" t="s">
        <v>7708</v>
      </c>
      <c r="AD574" s="77" t="s">
        <v>7745</v>
      </c>
      <c r="AE574" s="80" t="str">
        <f>HYPERLINK("https://twitter.com/blogconvidado/status/1677792265182347264")</f>
        <v>https://twitter.com/blogconvidado/status/1677792265182347264</v>
      </c>
      <c r="AF574" s="79">
        <v>45115.896087962959</v>
      </c>
      <c r="AG574" s="85">
        <v>45115</v>
      </c>
      <c r="AH574" s="82" t="s">
        <v>8261</v>
      </c>
      <c r="AI574" s="77" t="b">
        <v>0</v>
      </c>
      <c r="AJ574" s="77"/>
      <c r="AK574" s="77"/>
      <c r="AL574" s="77"/>
      <c r="AM574" s="77"/>
      <c r="AN574" s="77"/>
      <c r="AO574" s="77"/>
      <c r="AP574" s="77"/>
      <c r="AQ574" s="77" t="s">
        <v>10981</v>
      </c>
      <c r="AR574" s="77"/>
      <c r="AS574" s="77"/>
      <c r="AT574" s="77"/>
      <c r="AU574" s="77"/>
      <c r="AV574" s="80" t="str">
        <f>HYPERLINK("https://pbs.twimg.com/media/F0i3LHsWcAAolqh.jpg")</f>
        <v>https://pbs.twimg.com/media/F0i3LHsWcAAolqh.jpg</v>
      </c>
      <c r="AW574" s="82" t="s">
        <v>12766</v>
      </c>
      <c r="AX574" s="82" t="s">
        <v>12766</v>
      </c>
      <c r="AY574" s="77"/>
      <c r="AZ574" s="82" t="s">
        <v>15804</v>
      </c>
      <c r="BA574" s="82" t="s">
        <v>15804</v>
      </c>
      <c r="BB574" s="82" t="s">
        <v>15804</v>
      </c>
      <c r="BC574" s="82" t="s">
        <v>12766</v>
      </c>
      <c r="BD574" s="82" t="s">
        <v>16228</v>
      </c>
      <c r="BE574" s="77"/>
      <c r="BF574" s="77"/>
      <c r="BG574" s="77"/>
      <c r="BH574" s="77"/>
      <c r="BI574" s="77"/>
    </row>
    <row r="575" spans="1:61" x14ac:dyDescent="0.25">
      <c r="A575" s="62" t="s">
        <v>391</v>
      </c>
      <c r="B575" s="62" t="s">
        <v>391</v>
      </c>
      <c r="C575" s="63"/>
      <c r="D575" s="64"/>
      <c r="E575" s="65"/>
      <c r="F575" s="66"/>
      <c r="G575" s="63"/>
      <c r="H575" s="67"/>
      <c r="I575" s="68"/>
      <c r="J575" s="68"/>
      <c r="K575" s="32"/>
      <c r="L575" s="75">
        <v>575</v>
      </c>
      <c r="M575" s="75"/>
      <c r="N575" s="70"/>
      <c r="O575" s="77" t="s">
        <v>179</v>
      </c>
      <c r="P575" s="79">
        <v>45114.90761574074</v>
      </c>
      <c r="Q575" s="77" t="s">
        <v>1682</v>
      </c>
      <c r="R575" s="77">
        <v>0</v>
      </c>
      <c r="S575" s="77">
        <v>0</v>
      </c>
      <c r="T575" s="77">
        <v>0</v>
      </c>
      <c r="U575" s="77">
        <v>0</v>
      </c>
      <c r="V575" s="77">
        <v>15</v>
      </c>
      <c r="W575" s="82" t="s">
        <v>4445</v>
      </c>
      <c r="X575" s="80" t="str">
        <f>HYPERLINK("https://blogueiroconvidado.com/principais-dicas-financeiras-para-nomades-digitais/")</f>
        <v>https://blogueiroconvidado.com/principais-dicas-financeiras-para-nomades-digitais/</v>
      </c>
      <c r="Y575" s="77" t="s">
        <v>6032</v>
      </c>
      <c r="Z575" s="77"/>
      <c r="AA575" s="77" t="s">
        <v>6475</v>
      </c>
      <c r="AB575" s="77" t="s">
        <v>7696</v>
      </c>
      <c r="AC575" s="82" t="s">
        <v>7708</v>
      </c>
      <c r="AD575" s="77" t="s">
        <v>7745</v>
      </c>
      <c r="AE575" s="80" t="str">
        <f>HYPERLINK("https://twitter.com/blogconvidado/status/1677434052758863873")</f>
        <v>https://twitter.com/blogconvidado/status/1677434052758863873</v>
      </c>
      <c r="AF575" s="79">
        <v>45114.90761574074</v>
      </c>
      <c r="AG575" s="85">
        <v>45114</v>
      </c>
      <c r="AH575" s="82" t="s">
        <v>8262</v>
      </c>
      <c r="AI575" s="77" t="b">
        <v>0</v>
      </c>
      <c r="AJ575" s="77"/>
      <c r="AK575" s="77"/>
      <c r="AL575" s="77"/>
      <c r="AM575" s="77"/>
      <c r="AN575" s="77"/>
      <c r="AO575" s="77"/>
      <c r="AP575" s="77"/>
      <c r="AQ575" s="77" t="s">
        <v>10982</v>
      </c>
      <c r="AR575" s="77"/>
      <c r="AS575" s="77"/>
      <c r="AT575" s="77"/>
      <c r="AU575" s="77"/>
      <c r="AV575" s="80" t="str">
        <f>HYPERLINK("https://pbs.twimg.com/media/F0dxYbqXwAMdkBF.jpg")</f>
        <v>https://pbs.twimg.com/media/F0dxYbqXwAMdkBF.jpg</v>
      </c>
      <c r="AW575" s="82" t="s">
        <v>12767</v>
      </c>
      <c r="AX575" s="82" t="s">
        <v>12767</v>
      </c>
      <c r="AY575" s="77"/>
      <c r="AZ575" s="82" t="s">
        <v>15804</v>
      </c>
      <c r="BA575" s="82" t="s">
        <v>15804</v>
      </c>
      <c r="BB575" s="82" t="s">
        <v>15804</v>
      </c>
      <c r="BC575" s="82" t="s">
        <v>12767</v>
      </c>
      <c r="BD575" s="82" t="s">
        <v>16228</v>
      </c>
      <c r="BE575" s="77"/>
      <c r="BF575" s="77"/>
      <c r="BG575" s="77"/>
      <c r="BH575" s="77"/>
      <c r="BI575" s="77"/>
    </row>
    <row r="576" spans="1:61" x14ac:dyDescent="0.25">
      <c r="A576" s="62" t="s">
        <v>391</v>
      </c>
      <c r="B576" s="62" t="s">
        <v>391</v>
      </c>
      <c r="C576" s="63"/>
      <c r="D576" s="64"/>
      <c r="E576" s="65"/>
      <c r="F576" s="66"/>
      <c r="G576" s="63"/>
      <c r="H576" s="67"/>
      <c r="I576" s="68"/>
      <c r="J576" s="68"/>
      <c r="K576" s="32"/>
      <c r="L576" s="75">
        <v>576</v>
      </c>
      <c r="M576" s="75"/>
      <c r="N576" s="70"/>
      <c r="O576" s="77" t="s">
        <v>179</v>
      </c>
      <c r="P576" s="79">
        <v>45114.39634259259</v>
      </c>
      <c r="Q576" s="77" t="s">
        <v>1683</v>
      </c>
      <c r="R576" s="77">
        <v>0</v>
      </c>
      <c r="S576" s="77">
        <v>0</v>
      </c>
      <c r="T576" s="77">
        <v>0</v>
      </c>
      <c r="U576" s="77">
        <v>0</v>
      </c>
      <c r="V576" s="77">
        <v>27</v>
      </c>
      <c r="W576" s="82" t="s">
        <v>4446</v>
      </c>
      <c r="X576" s="80" t="str">
        <f>HYPERLINK("https://blogueiroconvidado.com/17-maneiras-rapidas-e-faceis-de-poupar-dinheiro/")</f>
        <v>https://blogueiroconvidado.com/17-maneiras-rapidas-e-faceis-de-poupar-dinheiro/</v>
      </c>
      <c r="Y576" s="77" t="s">
        <v>6032</v>
      </c>
      <c r="Z576" s="77"/>
      <c r="AA576" s="77" t="s">
        <v>6476</v>
      </c>
      <c r="AB576" s="77" t="s">
        <v>7696</v>
      </c>
      <c r="AC576" s="82" t="s">
        <v>7708</v>
      </c>
      <c r="AD576" s="77" t="s">
        <v>7745</v>
      </c>
      <c r="AE576" s="80" t="str">
        <f>HYPERLINK("https://twitter.com/blogconvidado/status/1677248774320578561")</f>
        <v>https://twitter.com/blogconvidado/status/1677248774320578561</v>
      </c>
      <c r="AF576" s="79">
        <v>45114.39634259259</v>
      </c>
      <c r="AG576" s="85">
        <v>45114</v>
      </c>
      <c r="AH576" s="82" t="s">
        <v>7819</v>
      </c>
      <c r="AI576" s="77" t="b">
        <v>0</v>
      </c>
      <c r="AJ576" s="77"/>
      <c r="AK576" s="77"/>
      <c r="AL576" s="77"/>
      <c r="AM576" s="77"/>
      <c r="AN576" s="77"/>
      <c r="AO576" s="77"/>
      <c r="AP576" s="77"/>
      <c r="AQ576" s="77" t="s">
        <v>10983</v>
      </c>
      <c r="AR576" s="77"/>
      <c r="AS576" s="77"/>
      <c r="AT576" s="77"/>
      <c r="AU576" s="77"/>
      <c r="AV576" s="80" t="str">
        <f>HYPERLINK("https://pbs.twimg.com/media/F0bI32fX0AEmjuF.jpg")</f>
        <v>https://pbs.twimg.com/media/F0bI32fX0AEmjuF.jpg</v>
      </c>
      <c r="AW576" s="82" t="s">
        <v>12768</v>
      </c>
      <c r="AX576" s="82" t="s">
        <v>12768</v>
      </c>
      <c r="AY576" s="77"/>
      <c r="AZ576" s="82" t="s">
        <v>15804</v>
      </c>
      <c r="BA576" s="82" t="s">
        <v>15804</v>
      </c>
      <c r="BB576" s="82" t="s">
        <v>15804</v>
      </c>
      <c r="BC576" s="82" t="s">
        <v>12768</v>
      </c>
      <c r="BD576" s="82" t="s">
        <v>16228</v>
      </c>
      <c r="BE576" s="77"/>
      <c r="BF576" s="77"/>
      <c r="BG576" s="77"/>
      <c r="BH576" s="77"/>
      <c r="BI576" s="77"/>
    </row>
    <row r="577" spans="1:61" x14ac:dyDescent="0.25">
      <c r="A577" s="62" t="s">
        <v>392</v>
      </c>
      <c r="B577" s="62" t="s">
        <v>392</v>
      </c>
      <c r="C577" s="63"/>
      <c r="D577" s="64"/>
      <c r="E577" s="65"/>
      <c r="F577" s="66"/>
      <c r="G577" s="63"/>
      <c r="H577" s="67"/>
      <c r="I577" s="68"/>
      <c r="J577" s="68"/>
      <c r="K577" s="32"/>
      <c r="L577" s="75">
        <v>577</v>
      </c>
      <c r="M577" s="75"/>
      <c r="N577" s="70"/>
      <c r="O577" s="77" t="s">
        <v>179</v>
      </c>
      <c r="P577" s="79">
        <v>45009.022164351853</v>
      </c>
      <c r="Q577" s="77" t="s">
        <v>1684</v>
      </c>
      <c r="R577" s="77">
        <v>0</v>
      </c>
      <c r="S577" s="77">
        <v>0</v>
      </c>
      <c r="T577" s="77">
        <v>0</v>
      </c>
      <c r="U577" s="77">
        <v>0</v>
      </c>
      <c r="V577" s="77">
        <v>8</v>
      </c>
      <c r="W577" s="82" t="s">
        <v>4160</v>
      </c>
      <c r="X577" s="80" t="str">
        <f>HYPERLINK("https://hotmart.com/pt-br/marketplace/produtos/empoderamento-financeiro-upd8/A57461201Q")</f>
        <v>https://hotmart.com/pt-br/marketplace/produtos/empoderamento-financeiro-upd8/A57461201Q</v>
      </c>
      <c r="Y577" s="77" t="s">
        <v>6023</v>
      </c>
      <c r="Z577" s="77"/>
      <c r="AA577" s="77" t="s">
        <v>6477</v>
      </c>
      <c r="AB577" s="77" t="s">
        <v>7696</v>
      </c>
      <c r="AC577" s="82" t="s">
        <v>7707</v>
      </c>
      <c r="AD577" s="77" t="s">
        <v>7745</v>
      </c>
      <c r="AE577" s="80" t="str">
        <f>HYPERLINK("https://twitter.com/luizmarjr/status/1639062453169299462")</f>
        <v>https://twitter.com/luizmarjr/status/1639062453169299462</v>
      </c>
      <c r="AF577" s="79">
        <v>45009.022164351853</v>
      </c>
      <c r="AG577" s="85">
        <v>45009</v>
      </c>
      <c r="AH577" s="82" t="s">
        <v>8263</v>
      </c>
      <c r="AI577" s="77" t="b">
        <v>0</v>
      </c>
      <c r="AJ577" s="77"/>
      <c r="AK577" s="77"/>
      <c r="AL577" s="77"/>
      <c r="AM577" s="77"/>
      <c r="AN577" s="77"/>
      <c r="AO577" s="77"/>
      <c r="AP577" s="77"/>
      <c r="AQ577" s="77" t="s">
        <v>10984</v>
      </c>
      <c r="AR577" s="77"/>
      <c r="AS577" s="77"/>
      <c r="AT577" s="77"/>
      <c r="AU577" s="77"/>
      <c r="AV577" s="80" t="str">
        <f>HYPERLINK("https://pbs.twimg.com/media/Fr8enLAWcAEv1YI.jpg")</f>
        <v>https://pbs.twimg.com/media/Fr8enLAWcAEv1YI.jpg</v>
      </c>
      <c r="AW577" s="82" t="s">
        <v>12769</v>
      </c>
      <c r="AX577" s="82" t="s">
        <v>12769</v>
      </c>
      <c r="AY577" s="77"/>
      <c r="AZ577" s="82" t="s">
        <v>15804</v>
      </c>
      <c r="BA577" s="82" t="s">
        <v>15804</v>
      </c>
      <c r="BB577" s="82" t="s">
        <v>15804</v>
      </c>
      <c r="BC577" s="82" t="s">
        <v>12769</v>
      </c>
      <c r="BD577" s="77">
        <v>100868755</v>
      </c>
      <c r="BE577" s="77"/>
      <c r="BF577" s="77"/>
      <c r="BG577" s="77"/>
      <c r="BH577" s="77"/>
      <c r="BI577" s="77"/>
    </row>
    <row r="578" spans="1:61" x14ac:dyDescent="0.25">
      <c r="A578" s="62" t="s">
        <v>392</v>
      </c>
      <c r="B578" s="62" t="s">
        <v>392</v>
      </c>
      <c r="C578" s="63"/>
      <c r="D578" s="64"/>
      <c r="E578" s="65"/>
      <c r="F578" s="66"/>
      <c r="G578" s="63"/>
      <c r="H578" s="67"/>
      <c r="I578" s="68"/>
      <c r="J578" s="68"/>
      <c r="K578" s="32"/>
      <c r="L578" s="75">
        <v>578</v>
      </c>
      <c r="M578" s="75"/>
      <c r="N578" s="70"/>
      <c r="O578" s="77" t="s">
        <v>179</v>
      </c>
      <c r="P578" s="79">
        <v>45092.08966435185</v>
      </c>
      <c r="Q578" s="77" t="s">
        <v>1685</v>
      </c>
      <c r="R578" s="77">
        <v>0</v>
      </c>
      <c r="S578" s="77">
        <v>0</v>
      </c>
      <c r="T578" s="77">
        <v>0</v>
      </c>
      <c r="U578" s="77">
        <v>0</v>
      </c>
      <c r="V578" s="77">
        <v>18</v>
      </c>
      <c r="W578" s="82" t="s">
        <v>4447</v>
      </c>
      <c r="X578" s="80" t="str">
        <f>HYPERLINK("https://youtu.be/R9vRE-blm7Q")</f>
        <v>https://youtu.be/R9vRE-blm7Q</v>
      </c>
      <c r="Y578" s="77" t="s">
        <v>6003</v>
      </c>
      <c r="Z578" s="77"/>
      <c r="AA578" s="77"/>
      <c r="AB578" s="77"/>
      <c r="AC578" s="82" t="s">
        <v>7707</v>
      </c>
      <c r="AD578" s="77" t="s">
        <v>7745</v>
      </c>
      <c r="AE578" s="80" t="str">
        <f>HYPERLINK("https://twitter.com/luizmarjr/status/1669165107111161857")</f>
        <v>https://twitter.com/luizmarjr/status/1669165107111161857</v>
      </c>
      <c r="AF578" s="79">
        <v>45092.08966435185</v>
      </c>
      <c r="AG578" s="85">
        <v>45092</v>
      </c>
      <c r="AH578" s="82" t="s">
        <v>8264</v>
      </c>
      <c r="AI578" s="77" t="b">
        <v>0</v>
      </c>
      <c r="AJ578" s="77"/>
      <c r="AK578" s="77"/>
      <c r="AL578" s="77"/>
      <c r="AM578" s="77"/>
      <c r="AN578" s="77"/>
      <c r="AO578" s="77"/>
      <c r="AP578" s="77"/>
      <c r="AQ578" s="77"/>
      <c r="AR578" s="77"/>
      <c r="AS578" s="77"/>
      <c r="AT578" s="77"/>
      <c r="AU578" s="77"/>
      <c r="AV578" s="80" t="str">
        <f>HYPERLINK("https://pbs.twimg.com/profile_images/1664838542126620672/bdhsehp6_normal.jpg")</f>
        <v>https://pbs.twimg.com/profile_images/1664838542126620672/bdhsehp6_normal.jpg</v>
      </c>
      <c r="AW578" s="82" t="s">
        <v>12770</v>
      </c>
      <c r="AX578" s="82" t="s">
        <v>12770</v>
      </c>
      <c r="AY578" s="77"/>
      <c r="AZ578" s="82" t="s">
        <v>15804</v>
      </c>
      <c r="BA578" s="82" t="s">
        <v>15804</v>
      </c>
      <c r="BB578" s="82" t="s">
        <v>15804</v>
      </c>
      <c r="BC578" s="82" t="s">
        <v>12770</v>
      </c>
      <c r="BD578" s="77">
        <v>100868755</v>
      </c>
      <c r="BE578" s="77"/>
      <c r="BF578" s="77"/>
      <c r="BG578" s="77"/>
      <c r="BH578" s="77"/>
      <c r="BI578" s="77"/>
    </row>
    <row r="579" spans="1:61" x14ac:dyDescent="0.25">
      <c r="A579" s="62" t="s">
        <v>393</v>
      </c>
      <c r="B579" s="62" t="s">
        <v>393</v>
      </c>
      <c r="C579" s="63"/>
      <c r="D579" s="64"/>
      <c r="E579" s="65"/>
      <c r="F579" s="66"/>
      <c r="G579" s="63"/>
      <c r="H579" s="67"/>
      <c r="I579" s="68"/>
      <c r="J579" s="68"/>
      <c r="K579" s="32"/>
      <c r="L579" s="75">
        <v>579</v>
      </c>
      <c r="M579" s="75"/>
      <c r="N579" s="70"/>
      <c r="O579" s="77" t="s">
        <v>179</v>
      </c>
      <c r="P579" s="79">
        <v>45021.053217592591</v>
      </c>
      <c r="Q579" s="77" t="s">
        <v>1686</v>
      </c>
      <c r="R579" s="77">
        <v>0</v>
      </c>
      <c r="S579" s="77">
        <v>0</v>
      </c>
      <c r="T579" s="77">
        <v>0</v>
      </c>
      <c r="U579" s="77">
        <v>0</v>
      </c>
      <c r="V579" s="77">
        <v>7</v>
      </c>
      <c r="W579" s="82" t="s">
        <v>4097</v>
      </c>
      <c r="X579" s="77"/>
      <c r="Y579" s="77"/>
      <c r="Z579" s="77"/>
      <c r="AA579" s="77" t="s">
        <v>6478</v>
      </c>
      <c r="AB579" s="77" t="s">
        <v>7696</v>
      </c>
      <c r="AC579" s="82" t="s">
        <v>7707</v>
      </c>
      <c r="AD579" s="77" t="s">
        <v>7745</v>
      </c>
      <c r="AE579" s="80" t="str">
        <f>HYPERLINK("https://twitter.com/ngelaca69067770/status/1643422358802255872")</f>
        <v>https://twitter.com/ngelaca69067770/status/1643422358802255872</v>
      </c>
      <c r="AF579" s="79">
        <v>45021.053217592591</v>
      </c>
      <c r="AG579" s="85">
        <v>45021</v>
      </c>
      <c r="AH579" s="82" t="s">
        <v>8265</v>
      </c>
      <c r="AI579" s="77" t="b">
        <v>0</v>
      </c>
      <c r="AJ579" s="77"/>
      <c r="AK579" s="77"/>
      <c r="AL579" s="77"/>
      <c r="AM579" s="77"/>
      <c r="AN579" s="77"/>
      <c r="AO579" s="77"/>
      <c r="AP579" s="77"/>
      <c r="AQ579" s="77" t="s">
        <v>10985</v>
      </c>
      <c r="AR579" s="77"/>
      <c r="AS579" s="77"/>
      <c r="AT579" s="77"/>
      <c r="AU579" s="77"/>
      <c r="AV579" s="80" t="str">
        <f>HYPERLINK("https://pbs.twimg.com/media/Fs6b7IqXsAQPW8l.jpg")</f>
        <v>https://pbs.twimg.com/media/Fs6b7IqXsAQPW8l.jpg</v>
      </c>
      <c r="AW579" s="82" t="s">
        <v>12771</v>
      </c>
      <c r="AX579" s="82" t="s">
        <v>12771</v>
      </c>
      <c r="AY579" s="77"/>
      <c r="AZ579" s="82" t="s">
        <v>15804</v>
      </c>
      <c r="BA579" s="82" t="s">
        <v>15804</v>
      </c>
      <c r="BB579" s="82" t="s">
        <v>15804</v>
      </c>
      <c r="BC579" s="82" t="s">
        <v>12771</v>
      </c>
      <c r="BD579" s="82" t="s">
        <v>16229</v>
      </c>
      <c r="BE579" s="77"/>
      <c r="BF579" s="77"/>
      <c r="BG579" s="77"/>
      <c r="BH579" s="77"/>
      <c r="BI579" s="77"/>
    </row>
    <row r="580" spans="1:61" x14ac:dyDescent="0.25">
      <c r="A580" s="62" t="s">
        <v>393</v>
      </c>
      <c r="B580" s="62" t="s">
        <v>393</v>
      </c>
      <c r="C580" s="63"/>
      <c r="D580" s="64"/>
      <c r="E580" s="65"/>
      <c r="F580" s="66"/>
      <c r="G580" s="63"/>
      <c r="H580" s="67"/>
      <c r="I580" s="68"/>
      <c r="J580" s="68"/>
      <c r="K580" s="32"/>
      <c r="L580" s="75">
        <v>580</v>
      </c>
      <c r="M580" s="75"/>
      <c r="N580" s="70"/>
      <c r="O580" s="77" t="s">
        <v>179</v>
      </c>
      <c r="P580" s="79">
        <v>45000.485694444447</v>
      </c>
      <c r="Q580" s="77" t="s">
        <v>1687</v>
      </c>
      <c r="R580" s="77">
        <v>0</v>
      </c>
      <c r="S580" s="77">
        <v>0</v>
      </c>
      <c r="T580" s="77">
        <v>0</v>
      </c>
      <c r="U580" s="77">
        <v>0</v>
      </c>
      <c r="V580" s="77">
        <v>26</v>
      </c>
      <c r="W580" s="82" t="s">
        <v>4448</v>
      </c>
      <c r="X580" s="77"/>
      <c r="Y580" s="77"/>
      <c r="Z580" s="77"/>
      <c r="AA580" s="77" t="s">
        <v>6479</v>
      </c>
      <c r="AB580" s="77" t="s">
        <v>7696</v>
      </c>
      <c r="AC580" s="82" t="s">
        <v>7707</v>
      </c>
      <c r="AD580" s="77" t="s">
        <v>7745</v>
      </c>
      <c r="AE580" s="80" t="str">
        <f>HYPERLINK("https://twitter.com/ngelaca69067770/status/1635968939913105411")</f>
        <v>https://twitter.com/ngelaca69067770/status/1635968939913105411</v>
      </c>
      <c r="AF580" s="79">
        <v>45000.485694444447</v>
      </c>
      <c r="AG580" s="85">
        <v>45000</v>
      </c>
      <c r="AH580" s="82" t="s">
        <v>8266</v>
      </c>
      <c r="AI580" s="77" t="b">
        <v>0</v>
      </c>
      <c r="AJ580" s="77"/>
      <c r="AK580" s="77"/>
      <c r="AL580" s="77"/>
      <c r="AM580" s="77"/>
      <c r="AN580" s="77"/>
      <c r="AO580" s="77"/>
      <c r="AP580" s="77"/>
      <c r="AQ580" s="77" t="s">
        <v>10986</v>
      </c>
      <c r="AR580" s="77"/>
      <c r="AS580" s="77"/>
      <c r="AT580" s="77"/>
      <c r="AU580" s="77"/>
      <c r="AV580" s="80" t="str">
        <f>HYPERLINK("https://pbs.twimg.com/media/FrQhFLRWwAEAlRu.jpg")</f>
        <v>https://pbs.twimg.com/media/FrQhFLRWwAEAlRu.jpg</v>
      </c>
      <c r="AW580" s="82" t="s">
        <v>12772</v>
      </c>
      <c r="AX580" s="82" t="s">
        <v>12772</v>
      </c>
      <c r="AY580" s="77"/>
      <c r="AZ580" s="82" t="s">
        <v>15804</v>
      </c>
      <c r="BA580" s="82" t="s">
        <v>15804</v>
      </c>
      <c r="BB580" s="82" t="s">
        <v>15804</v>
      </c>
      <c r="BC580" s="82" t="s">
        <v>12772</v>
      </c>
      <c r="BD580" s="82" t="s">
        <v>16229</v>
      </c>
      <c r="BE580" s="77"/>
      <c r="BF580" s="77"/>
      <c r="BG580" s="77"/>
      <c r="BH580" s="77"/>
      <c r="BI580" s="77"/>
    </row>
    <row r="581" spans="1:61" x14ac:dyDescent="0.25">
      <c r="A581" s="62" t="s">
        <v>393</v>
      </c>
      <c r="B581" s="62" t="s">
        <v>393</v>
      </c>
      <c r="C581" s="63"/>
      <c r="D581" s="64"/>
      <c r="E581" s="65"/>
      <c r="F581" s="66"/>
      <c r="G581" s="63"/>
      <c r="H581" s="67"/>
      <c r="I581" s="68"/>
      <c r="J581" s="68"/>
      <c r="K581" s="32"/>
      <c r="L581" s="75">
        <v>581</v>
      </c>
      <c r="M581" s="75"/>
      <c r="N581" s="70"/>
      <c r="O581" s="77" t="s">
        <v>179</v>
      </c>
      <c r="P581" s="79">
        <v>45007.90421296296</v>
      </c>
      <c r="Q581" s="77" t="s">
        <v>1688</v>
      </c>
      <c r="R581" s="77">
        <v>0</v>
      </c>
      <c r="S581" s="77">
        <v>0</v>
      </c>
      <c r="T581" s="77">
        <v>0</v>
      </c>
      <c r="U581" s="77">
        <v>0</v>
      </c>
      <c r="V581" s="77">
        <v>5</v>
      </c>
      <c r="W581" s="82" t="s">
        <v>4449</v>
      </c>
      <c r="X581" s="77"/>
      <c r="Y581" s="77"/>
      <c r="Z581" s="77"/>
      <c r="AA581" s="77" t="s">
        <v>6480</v>
      </c>
      <c r="AB581" s="77" t="s">
        <v>7696</v>
      </c>
      <c r="AC581" s="82" t="s">
        <v>7707</v>
      </c>
      <c r="AD581" s="77" t="s">
        <v>7745</v>
      </c>
      <c r="AE581" s="80" t="str">
        <f>HYPERLINK("https://twitter.com/ngelaca69067770/status/1638657318958006273")</f>
        <v>https://twitter.com/ngelaca69067770/status/1638657318958006273</v>
      </c>
      <c r="AF581" s="79">
        <v>45007.90421296296</v>
      </c>
      <c r="AG581" s="85">
        <v>45007</v>
      </c>
      <c r="AH581" s="82" t="s">
        <v>8267</v>
      </c>
      <c r="AI581" s="77" t="b">
        <v>0</v>
      </c>
      <c r="AJ581" s="77"/>
      <c r="AK581" s="77"/>
      <c r="AL581" s="77"/>
      <c r="AM581" s="77"/>
      <c r="AN581" s="77"/>
      <c r="AO581" s="77"/>
      <c r="AP581" s="77"/>
      <c r="AQ581" s="77" t="s">
        <v>10987</v>
      </c>
      <c r="AR581" s="77"/>
      <c r="AS581" s="77"/>
      <c r="AT581" s="77"/>
      <c r="AU581" s="77"/>
      <c r="AV581" s="80" t="str">
        <f>HYPERLINK("https://pbs.twimg.com/media/Fr2uJOtX0AAKSnZ.jpg")</f>
        <v>https://pbs.twimg.com/media/Fr2uJOtX0AAKSnZ.jpg</v>
      </c>
      <c r="AW581" s="82" t="s">
        <v>12773</v>
      </c>
      <c r="AX581" s="82" t="s">
        <v>12773</v>
      </c>
      <c r="AY581" s="77"/>
      <c r="AZ581" s="82" t="s">
        <v>15804</v>
      </c>
      <c r="BA581" s="82" t="s">
        <v>15804</v>
      </c>
      <c r="BB581" s="82" t="s">
        <v>15804</v>
      </c>
      <c r="BC581" s="82" t="s">
        <v>12773</v>
      </c>
      <c r="BD581" s="82" t="s">
        <v>16229</v>
      </c>
      <c r="BE581" s="77"/>
      <c r="BF581" s="77"/>
      <c r="BG581" s="77"/>
      <c r="BH581" s="77"/>
      <c r="BI581" s="77"/>
    </row>
    <row r="582" spans="1:61" x14ac:dyDescent="0.25">
      <c r="A582" s="62" t="s">
        <v>393</v>
      </c>
      <c r="B582" s="62" t="s">
        <v>393</v>
      </c>
      <c r="C582" s="63"/>
      <c r="D582" s="64"/>
      <c r="E582" s="65"/>
      <c r="F582" s="66"/>
      <c r="G582" s="63"/>
      <c r="H582" s="67"/>
      <c r="I582" s="68"/>
      <c r="J582" s="68"/>
      <c r="K582" s="32"/>
      <c r="L582" s="75">
        <v>582</v>
      </c>
      <c r="M582" s="75"/>
      <c r="N582" s="70"/>
      <c r="O582" s="77" t="s">
        <v>179</v>
      </c>
      <c r="P582" s="79">
        <v>45064.470925925925</v>
      </c>
      <c r="Q582" s="77" t="s">
        <v>1689</v>
      </c>
      <c r="R582" s="77">
        <v>0</v>
      </c>
      <c r="S582" s="77">
        <v>0</v>
      </c>
      <c r="T582" s="77">
        <v>0</v>
      </c>
      <c r="U582" s="77">
        <v>0</v>
      </c>
      <c r="V582" s="77">
        <v>10</v>
      </c>
      <c r="W582" s="82" t="s">
        <v>4450</v>
      </c>
      <c r="X582" s="77"/>
      <c r="Y582" s="77"/>
      <c r="Z582" s="77"/>
      <c r="AA582" s="77" t="s">
        <v>6481</v>
      </c>
      <c r="AB582" s="77" t="s">
        <v>7696</v>
      </c>
      <c r="AC582" s="82" t="s">
        <v>7707</v>
      </c>
      <c r="AD582" s="77" t="s">
        <v>7745</v>
      </c>
      <c r="AE582" s="80" t="str">
        <f>HYPERLINK("https://twitter.com/ngelaca69067770/status/1659156409500459008")</f>
        <v>https://twitter.com/ngelaca69067770/status/1659156409500459008</v>
      </c>
      <c r="AF582" s="79">
        <v>45064.470925925925</v>
      </c>
      <c r="AG582" s="85">
        <v>45064</v>
      </c>
      <c r="AH582" s="82" t="s">
        <v>8268</v>
      </c>
      <c r="AI582" s="77" t="b">
        <v>0</v>
      </c>
      <c r="AJ582" s="77"/>
      <c r="AK582" s="77"/>
      <c r="AL582" s="77"/>
      <c r="AM582" s="77"/>
      <c r="AN582" s="77"/>
      <c r="AO582" s="77"/>
      <c r="AP582" s="77"/>
      <c r="AQ582" s="77" t="s">
        <v>10988</v>
      </c>
      <c r="AR582" s="77"/>
      <c r="AS582" s="77"/>
      <c r="AT582" s="77"/>
      <c r="AU582" s="77"/>
      <c r="AV582" s="80" t="str">
        <f>HYPERLINK("https://pbs.twimg.com/media/FwaB9OiXsAEO-wj.jpg")</f>
        <v>https://pbs.twimg.com/media/FwaB9OiXsAEO-wj.jpg</v>
      </c>
      <c r="AW582" s="82" t="s">
        <v>12774</v>
      </c>
      <c r="AX582" s="82" t="s">
        <v>12774</v>
      </c>
      <c r="AY582" s="77"/>
      <c r="AZ582" s="82" t="s">
        <v>15804</v>
      </c>
      <c r="BA582" s="82" t="s">
        <v>15804</v>
      </c>
      <c r="BB582" s="82" t="s">
        <v>15804</v>
      </c>
      <c r="BC582" s="82" t="s">
        <v>12774</v>
      </c>
      <c r="BD582" s="82" t="s">
        <v>16229</v>
      </c>
      <c r="BE582" s="77"/>
      <c r="BF582" s="77"/>
      <c r="BG582" s="77"/>
      <c r="BH582" s="77"/>
      <c r="BI582" s="77"/>
    </row>
    <row r="583" spans="1:61" x14ac:dyDescent="0.25">
      <c r="A583" s="62" t="s">
        <v>394</v>
      </c>
      <c r="B583" s="62" t="s">
        <v>732</v>
      </c>
      <c r="C583" s="63"/>
      <c r="D583" s="64"/>
      <c r="E583" s="65"/>
      <c r="F583" s="66"/>
      <c r="G583" s="63"/>
      <c r="H583" s="67"/>
      <c r="I583" s="68"/>
      <c r="J583" s="68"/>
      <c r="K583" s="32"/>
      <c r="L583" s="75">
        <v>583</v>
      </c>
      <c r="M583" s="75"/>
      <c r="N583" s="70"/>
      <c r="O583" s="77" t="s">
        <v>1135</v>
      </c>
      <c r="P583" s="79">
        <v>44929.551064814812</v>
      </c>
      <c r="Q583" s="77" t="s">
        <v>1690</v>
      </c>
      <c r="R583" s="77">
        <v>0</v>
      </c>
      <c r="S583" s="77">
        <v>0</v>
      </c>
      <c r="T583" s="77">
        <v>0</v>
      </c>
      <c r="U583" s="77">
        <v>0</v>
      </c>
      <c r="V583" s="77">
        <v>16</v>
      </c>
      <c r="W583" s="82" t="s">
        <v>4451</v>
      </c>
      <c r="X583" s="77"/>
      <c r="Y583" s="77"/>
      <c r="Z583" s="77"/>
      <c r="AA583" s="77"/>
      <c r="AB583" s="77"/>
      <c r="AC583" s="82" t="s">
        <v>7705</v>
      </c>
      <c r="AD583" s="77" t="s">
        <v>7745</v>
      </c>
      <c r="AE583" s="80" t="str">
        <f>HYPERLINK("https://twitter.com/thiagorogel/status/1610263091471683585")</f>
        <v>https://twitter.com/thiagorogel/status/1610263091471683585</v>
      </c>
      <c r="AF583" s="79">
        <v>44929.551064814812</v>
      </c>
      <c r="AG583" s="85">
        <v>44929</v>
      </c>
      <c r="AH583" s="82" t="s">
        <v>8269</v>
      </c>
      <c r="AI583" s="77"/>
      <c r="AJ583" s="77"/>
      <c r="AK583" s="77"/>
      <c r="AL583" s="77"/>
      <c r="AM583" s="77"/>
      <c r="AN583" s="77"/>
      <c r="AO583" s="77"/>
      <c r="AP583" s="77"/>
      <c r="AQ583" s="77"/>
      <c r="AR583" s="77"/>
      <c r="AS583" s="77"/>
      <c r="AT583" s="77"/>
      <c r="AU583" s="77"/>
      <c r="AV583" s="80" t="str">
        <f>HYPERLINK("https://pbs.twimg.com/profile_images/947777919274967040/3jGKHXuR_normal.jpg")</f>
        <v>https://pbs.twimg.com/profile_images/947777919274967040/3jGKHXuR_normal.jpg</v>
      </c>
      <c r="AW583" s="82" t="s">
        <v>12775</v>
      </c>
      <c r="AX583" s="82" t="s">
        <v>12775</v>
      </c>
      <c r="AY583" s="77"/>
      <c r="AZ583" s="82" t="s">
        <v>15804</v>
      </c>
      <c r="BA583" s="82" t="s">
        <v>13761</v>
      </c>
      <c r="BB583" s="82" t="s">
        <v>15804</v>
      </c>
      <c r="BC583" s="82" t="s">
        <v>13761</v>
      </c>
      <c r="BD583" s="77">
        <v>37926491</v>
      </c>
      <c r="BE583" s="77"/>
      <c r="BF583" s="77"/>
      <c r="BG583" s="77"/>
      <c r="BH583" s="77"/>
      <c r="BI583" s="77"/>
    </row>
    <row r="584" spans="1:61" x14ac:dyDescent="0.25">
      <c r="A584" s="62" t="s">
        <v>395</v>
      </c>
      <c r="B584" s="62" t="s">
        <v>395</v>
      </c>
      <c r="C584" s="63"/>
      <c r="D584" s="64"/>
      <c r="E584" s="65"/>
      <c r="F584" s="66"/>
      <c r="G584" s="63"/>
      <c r="H584" s="67"/>
      <c r="I584" s="68"/>
      <c r="J584" s="68"/>
      <c r="K584" s="32"/>
      <c r="L584" s="75">
        <v>584</v>
      </c>
      <c r="M584" s="75"/>
      <c r="N584" s="70"/>
      <c r="O584" s="77" t="s">
        <v>179</v>
      </c>
      <c r="P584" s="79">
        <v>45064.638449074075</v>
      </c>
      <c r="Q584" s="77" t="s">
        <v>1691</v>
      </c>
      <c r="R584" s="77">
        <v>0</v>
      </c>
      <c r="S584" s="77">
        <v>0</v>
      </c>
      <c r="T584" s="77">
        <v>0</v>
      </c>
      <c r="U584" s="77">
        <v>0</v>
      </c>
      <c r="V584" s="77">
        <v>4</v>
      </c>
      <c r="W584" s="82" t="s">
        <v>4452</v>
      </c>
      <c r="X584" s="77" t="s">
        <v>5993</v>
      </c>
      <c r="Y584" s="77" t="s">
        <v>6008</v>
      </c>
      <c r="Z584" s="77"/>
      <c r="AA584" s="77"/>
      <c r="AB584" s="77"/>
      <c r="AC584" s="82" t="s">
        <v>7720</v>
      </c>
      <c r="AD584" s="77" t="s">
        <v>7750</v>
      </c>
      <c r="AE584" s="80" t="str">
        <f>HYPERLINK("https://twitter.com/mundorhonline/status/1659217120616497152")</f>
        <v>https://twitter.com/mundorhonline/status/1659217120616497152</v>
      </c>
      <c r="AF584" s="79">
        <v>45064.638449074075</v>
      </c>
      <c r="AG584" s="85">
        <v>45064</v>
      </c>
      <c r="AH584" s="82" t="s">
        <v>8270</v>
      </c>
      <c r="AI584" s="77" t="b">
        <v>0</v>
      </c>
      <c r="AJ584" s="77"/>
      <c r="AK584" s="77"/>
      <c r="AL584" s="77"/>
      <c r="AM584" s="77"/>
      <c r="AN584" s="77"/>
      <c r="AO584" s="77"/>
      <c r="AP584" s="77"/>
      <c r="AQ584" s="77"/>
      <c r="AR584" s="77"/>
      <c r="AS584" s="77"/>
      <c r="AT584" s="77"/>
      <c r="AU584" s="77"/>
      <c r="AV584" s="80" t="str">
        <f>HYPERLINK("https://pbs.twimg.com/profile_images/1279531656429346823/cmkQVk2v_normal.jpg")</f>
        <v>https://pbs.twimg.com/profile_images/1279531656429346823/cmkQVk2v_normal.jpg</v>
      </c>
      <c r="AW584" s="82" t="s">
        <v>12776</v>
      </c>
      <c r="AX584" s="82" t="s">
        <v>12776</v>
      </c>
      <c r="AY584" s="77"/>
      <c r="AZ584" s="82" t="s">
        <v>15804</v>
      </c>
      <c r="BA584" s="82" t="s">
        <v>15804</v>
      </c>
      <c r="BB584" s="82" t="s">
        <v>15804</v>
      </c>
      <c r="BC584" s="82" t="s">
        <v>12776</v>
      </c>
      <c r="BD584" s="77">
        <v>4827046511</v>
      </c>
      <c r="BE584" s="77"/>
      <c r="BF584" s="77"/>
      <c r="BG584" s="77"/>
      <c r="BH584" s="77"/>
      <c r="BI584" s="77"/>
    </row>
    <row r="585" spans="1:61" x14ac:dyDescent="0.25">
      <c r="A585" s="62" t="s">
        <v>396</v>
      </c>
      <c r="B585" s="62" t="s">
        <v>396</v>
      </c>
      <c r="C585" s="63"/>
      <c r="D585" s="64"/>
      <c r="E585" s="65"/>
      <c r="F585" s="66"/>
      <c r="G585" s="63"/>
      <c r="H585" s="67"/>
      <c r="I585" s="68"/>
      <c r="J585" s="68"/>
      <c r="K585" s="32"/>
      <c r="L585" s="75">
        <v>585</v>
      </c>
      <c r="M585" s="75"/>
      <c r="N585" s="70"/>
      <c r="O585" s="77" t="s">
        <v>179</v>
      </c>
      <c r="P585" s="79">
        <v>45044.412974537037</v>
      </c>
      <c r="Q585" s="77" t="s">
        <v>1692</v>
      </c>
      <c r="R585" s="77">
        <v>0</v>
      </c>
      <c r="S585" s="77">
        <v>1</v>
      </c>
      <c r="T585" s="77">
        <v>0</v>
      </c>
      <c r="U585" s="77">
        <v>0</v>
      </c>
      <c r="V585" s="77">
        <v>7</v>
      </c>
      <c r="W585" s="82" t="s">
        <v>4453</v>
      </c>
      <c r="X585" s="80" t="str">
        <f>HYPERLINK("https://youtube.com/shorts/8NAimpQ-FYw?feature=share")</f>
        <v>https://youtube.com/shorts/8NAimpQ-FYw?feature=share</v>
      </c>
      <c r="Y585" s="77" t="s">
        <v>6006</v>
      </c>
      <c r="Z585" s="77"/>
      <c r="AA585" s="77"/>
      <c r="AB585" s="77"/>
      <c r="AC585" s="82" t="s">
        <v>7707</v>
      </c>
      <c r="AD585" s="77" t="s">
        <v>7745</v>
      </c>
      <c r="AE585" s="80" t="str">
        <f>HYPERLINK("https://twitter.com/vsuzzio/status/1651887651841011712")</f>
        <v>https://twitter.com/vsuzzio/status/1651887651841011712</v>
      </c>
      <c r="AF585" s="79">
        <v>45044.412974537037</v>
      </c>
      <c r="AG585" s="85">
        <v>45044</v>
      </c>
      <c r="AH585" s="82" t="s">
        <v>8271</v>
      </c>
      <c r="AI585" s="77" t="b">
        <v>0</v>
      </c>
      <c r="AJ585" s="77" t="s">
        <v>10524</v>
      </c>
      <c r="AK585" s="77" t="s">
        <v>10552</v>
      </c>
      <c r="AL585" s="77" t="s">
        <v>10555</v>
      </c>
      <c r="AM585" s="77" t="s">
        <v>10561</v>
      </c>
      <c r="AN585" s="77" t="s">
        <v>10591</v>
      </c>
      <c r="AO585" s="77" t="s">
        <v>10622</v>
      </c>
      <c r="AP585" s="77" t="s">
        <v>10649</v>
      </c>
      <c r="AQ585" s="77"/>
      <c r="AR585" s="77"/>
      <c r="AS585" s="77"/>
      <c r="AT585" s="77"/>
      <c r="AU585" s="77"/>
      <c r="AV585" s="80" t="str">
        <f>HYPERLINK("https://pbs.twimg.com/profile_images/1664217644629651462/clrtwy8n_normal.jpg")</f>
        <v>https://pbs.twimg.com/profile_images/1664217644629651462/clrtwy8n_normal.jpg</v>
      </c>
      <c r="AW585" s="82" t="s">
        <v>12777</v>
      </c>
      <c r="AX585" s="82" t="s">
        <v>12777</v>
      </c>
      <c r="AY585" s="77"/>
      <c r="AZ585" s="82" t="s">
        <v>15804</v>
      </c>
      <c r="BA585" s="82" t="s">
        <v>15804</v>
      </c>
      <c r="BB585" s="82" t="s">
        <v>15804</v>
      </c>
      <c r="BC585" s="82" t="s">
        <v>12777</v>
      </c>
      <c r="BD585" s="82" t="s">
        <v>16230</v>
      </c>
      <c r="BE585" s="77"/>
      <c r="BF585" s="77"/>
      <c r="BG585" s="77"/>
      <c r="BH585" s="77"/>
      <c r="BI585" s="77"/>
    </row>
    <row r="586" spans="1:61" x14ac:dyDescent="0.25">
      <c r="A586" s="62" t="s">
        <v>397</v>
      </c>
      <c r="B586" s="62" t="s">
        <v>397</v>
      </c>
      <c r="C586" s="63"/>
      <c r="D586" s="64"/>
      <c r="E586" s="65"/>
      <c r="F586" s="66"/>
      <c r="G586" s="63"/>
      <c r="H586" s="67"/>
      <c r="I586" s="68"/>
      <c r="J586" s="68"/>
      <c r="K586" s="32"/>
      <c r="L586" s="75">
        <v>586</v>
      </c>
      <c r="M586" s="75"/>
      <c r="N586" s="70"/>
      <c r="O586" s="77" t="s">
        <v>1132</v>
      </c>
      <c r="P586" s="79">
        <v>45104.80537037037</v>
      </c>
      <c r="Q586" s="77" t="s">
        <v>1693</v>
      </c>
      <c r="R586" s="77">
        <v>0</v>
      </c>
      <c r="S586" s="77">
        <v>0</v>
      </c>
      <c r="T586" s="77">
        <v>0</v>
      </c>
      <c r="U586" s="77">
        <v>0</v>
      </c>
      <c r="V586" s="77">
        <v>16</v>
      </c>
      <c r="W586" s="82" t="s">
        <v>4454</v>
      </c>
      <c r="X586" s="77"/>
      <c r="Y586" s="77"/>
      <c r="Z586" s="77"/>
      <c r="AA586" s="77"/>
      <c r="AB586" s="77"/>
      <c r="AC586" s="82" t="s">
        <v>7706</v>
      </c>
      <c r="AD586" s="77" t="s">
        <v>7748</v>
      </c>
      <c r="AE586" s="80" t="str">
        <f>HYPERLINK("https://twitter.com/123passei/status/1673773123169136642")</f>
        <v>https://twitter.com/123passei/status/1673773123169136642</v>
      </c>
      <c r="AF586" s="79">
        <v>45104.80537037037</v>
      </c>
      <c r="AG586" s="85">
        <v>45104</v>
      </c>
      <c r="AH586" s="82" t="s">
        <v>8272</v>
      </c>
      <c r="AI586" s="77"/>
      <c r="AJ586" s="77"/>
      <c r="AK586" s="77"/>
      <c r="AL586" s="77"/>
      <c r="AM586" s="77"/>
      <c r="AN586" s="77"/>
      <c r="AO586" s="77"/>
      <c r="AP586" s="77"/>
      <c r="AQ586" s="77"/>
      <c r="AR586" s="77"/>
      <c r="AS586" s="77"/>
      <c r="AT586" s="77"/>
      <c r="AU586" s="77"/>
      <c r="AV586" s="80" t="str">
        <f>HYPERLINK("https://pbs.twimg.com/profile_images/1522270529243295746/TXJmk6A8_normal.jpg")</f>
        <v>https://pbs.twimg.com/profile_images/1522270529243295746/TXJmk6A8_normal.jpg</v>
      </c>
      <c r="AW586" s="82" t="s">
        <v>12778</v>
      </c>
      <c r="AX586" s="82" t="s">
        <v>15275</v>
      </c>
      <c r="AY586" s="82" t="s">
        <v>15703</v>
      </c>
      <c r="AZ586" s="82" t="s">
        <v>15844</v>
      </c>
      <c r="BA586" s="82" t="s">
        <v>15804</v>
      </c>
      <c r="BB586" s="82" t="s">
        <v>15804</v>
      </c>
      <c r="BC586" s="82" t="s">
        <v>15844</v>
      </c>
      <c r="BD586" s="82" t="s">
        <v>15703</v>
      </c>
      <c r="BE586" s="77"/>
      <c r="BF586" s="77"/>
      <c r="BG586" s="77"/>
      <c r="BH586" s="77"/>
      <c r="BI586" s="77"/>
    </row>
    <row r="587" spans="1:61" x14ac:dyDescent="0.25">
      <c r="A587" s="62" t="s">
        <v>398</v>
      </c>
      <c r="B587" s="62" t="s">
        <v>398</v>
      </c>
      <c r="C587" s="63"/>
      <c r="D587" s="64"/>
      <c r="E587" s="65"/>
      <c r="F587" s="66"/>
      <c r="G587" s="63"/>
      <c r="H587" s="67"/>
      <c r="I587" s="68"/>
      <c r="J587" s="68"/>
      <c r="K587" s="32"/>
      <c r="L587" s="75">
        <v>587</v>
      </c>
      <c r="M587" s="75"/>
      <c r="N587" s="70"/>
      <c r="O587" s="77" t="s">
        <v>179</v>
      </c>
      <c r="P587" s="79">
        <v>45099.895833333336</v>
      </c>
      <c r="Q587" s="77" t="s">
        <v>1694</v>
      </c>
      <c r="R587" s="77">
        <v>0</v>
      </c>
      <c r="S587" s="77">
        <v>4</v>
      </c>
      <c r="T587" s="77">
        <v>0</v>
      </c>
      <c r="U587" s="77">
        <v>0</v>
      </c>
      <c r="V587" s="77">
        <v>1866</v>
      </c>
      <c r="W587" s="82" t="s">
        <v>4455</v>
      </c>
      <c r="X587" s="77"/>
      <c r="Y587" s="77"/>
      <c r="Z587" s="77"/>
      <c r="AA587" s="77" t="s">
        <v>6482</v>
      </c>
      <c r="AB587" s="77" t="s">
        <v>7697</v>
      </c>
      <c r="AC587" s="82" t="s">
        <v>7706</v>
      </c>
      <c r="AD587" s="77" t="s">
        <v>7745</v>
      </c>
      <c r="AE587" s="80" t="str">
        <f>HYPERLINK("https://twitter.com/tcinvestimentos/status/1671993966768578561")</f>
        <v>https://twitter.com/tcinvestimentos/status/1671993966768578561</v>
      </c>
      <c r="AF587" s="79">
        <v>45099.895833333336</v>
      </c>
      <c r="AG587" s="85">
        <v>45099</v>
      </c>
      <c r="AH587" s="82" t="s">
        <v>8273</v>
      </c>
      <c r="AI587" s="77" t="b">
        <v>0</v>
      </c>
      <c r="AJ587" s="77"/>
      <c r="AK587" s="77"/>
      <c r="AL587" s="77"/>
      <c r="AM587" s="77"/>
      <c r="AN587" s="77"/>
      <c r="AO587" s="77"/>
      <c r="AP587" s="77"/>
      <c r="AQ587" s="77" t="s">
        <v>10989</v>
      </c>
      <c r="AR587" s="77">
        <v>59893</v>
      </c>
      <c r="AS587" s="77"/>
      <c r="AT587" s="77"/>
      <c r="AU587" s="77">
        <v>587</v>
      </c>
      <c r="AV587" s="80" t="str">
        <f>HYPERLINK("https://pbs.twimg.com/ext_tw_video_thumb/1671158386942160914/pu/img/pcvLcZQMfEYDVF_7.jpg")</f>
        <v>https://pbs.twimg.com/ext_tw_video_thumb/1671158386942160914/pu/img/pcvLcZQMfEYDVF_7.jpg</v>
      </c>
      <c r="AW587" s="82" t="s">
        <v>12779</v>
      </c>
      <c r="AX587" s="82" t="s">
        <v>12779</v>
      </c>
      <c r="AY587" s="77"/>
      <c r="AZ587" s="82" t="s">
        <v>15804</v>
      </c>
      <c r="BA587" s="82" t="s">
        <v>15804</v>
      </c>
      <c r="BB587" s="82" t="s">
        <v>15804</v>
      </c>
      <c r="BC587" s="82" t="s">
        <v>12779</v>
      </c>
      <c r="BD587" s="82" t="s">
        <v>16231</v>
      </c>
      <c r="BE587" s="77"/>
      <c r="BF587" s="77"/>
      <c r="BG587" s="77"/>
      <c r="BH587" s="77"/>
      <c r="BI587" s="77"/>
    </row>
    <row r="588" spans="1:61" x14ac:dyDescent="0.25">
      <c r="A588" s="62" t="s">
        <v>398</v>
      </c>
      <c r="B588" s="62" t="s">
        <v>398</v>
      </c>
      <c r="C588" s="63"/>
      <c r="D588" s="64"/>
      <c r="E588" s="65"/>
      <c r="F588" s="66"/>
      <c r="G588" s="63"/>
      <c r="H588" s="67"/>
      <c r="I588" s="68"/>
      <c r="J588" s="68"/>
      <c r="K588" s="32"/>
      <c r="L588" s="75">
        <v>588</v>
      </c>
      <c r="M588" s="75"/>
      <c r="N588" s="70"/>
      <c r="O588" s="77" t="s">
        <v>179</v>
      </c>
      <c r="P588" s="79">
        <v>45132.916689814818</v>
      </c>
      <c r="Q588" s="77" t="s">
        <v>1695</v>
      </c>
      <c r="R588" s="77">
        <v>2</v>
      </c>
      <c r="S588" s="77">
        <v>5</v>
      </c>
      <c r="T588" s="77">
        <v>1</v>
      </c>
      <c r="U588" s="77">
        <v>0</v>
      </c>
      <c r="V588" s="77">
        <v>2522</v>
      </c>
      <c r="W588" s="82" t="s">
        <v>4456</v>
      </c>
      <c r="X588" s="77"/>
      <c r="Y588" s="77"/>
      <c r="Z588" s="77"/>
      <c r="AA588" s="77" t="s">
        <v>6483</v>
      </c>
      <c r="AB588" s="77" t="s">
        <v>7697</v>
      </c>
      <c r="AC588" s="82" t="s">
        <v>7706</v>
      </c>
      <c r="AD588" s="77" t="s">
        <v>7745</v>
      </c>
      <c r="AE588" s="80" t="str">
        <f>HYPERLINK("https://twitter.com/tcinvestimentos/status/1683960324939030531")</f>
        <v>https://twitter.com/tcinvestimentos/status/1683960324939030531</v>
      </c>
      <c r="AF588" s="79">
        <v>45132.916689814818</v>
      </c>
      <c r="AG588" s="85">
        <v>45132</v>
      </c>
      <c r="AH588" s="82" t="s">
        <v>7921</v>
      </c>
      <c r="AI588" s="77" t="b">
        <v>0</v>
      </c>
      <c r="AJ588" s="77"/>
      <c r="AK588" s="77"/>
      <c r="AL588" s="77"/>
      <c r="AM588" s="77"/>
      <c r="AN588" s="77"/>
      <c r="AO588" s="77"/>
      <c r="AP588" s="77"/>
      <c r="AQ588" s="77" t="s">
        <v>10990</v>
      </c>
      <c r="AR588" s="77">
        <v>59526</v>
      </c>
      <c r="AS588" s="77"/>
      <c r="AT588" s="77"/>
      <c r="AU588" s="77">
        <v>647</v>
      </c>
      <c r="AV588" s="80" t="str">
        <f>HYPERLINK("https://pbs.twimg.com/ext_tw_video_thumb/1683546051272122381/pu/img/TYaO_Znp67NLfRXu.jpg")</f>
        <v>https://pbs.twimg.com/ext_tw_video_thumb/1683546051272122381/pu/img/TYaO_Znp67NLfRXu.jpg</v>
      </c>
      <c r="AW588" s="82" t="s">
        <v>12780</v>
      </c>
      <c r="AX588" s="82" t="s">
        <v>12780</v>
      </c>
      <c r="AY588" s="77"/>
      <c r="AZ588" s="82" t="s">
        <v>15804</v>
      </c>
      <c r="BA588" s="82" t="s">
        <v>15804</v>
      </c>
      <c r="BB588" s="82" t="s">
        <v>15804</v>
      </c>
      <c r="BC588" s="82" t="s">
        <v>12780</v>
      </c>
      <c r="BD588" s="82" t="s">
        <v>16231</v>
      </c>
      <c r="BE588" s="77"/>
      <c r="BF588" s="77"/>
      <c r="BG588" s="77"/>
      <c r="BH588" s="77"/>
      <c r="BI588" s="77"/>
    </row>
    <row r="589" spans="1:61" x14ac:dyDescent="0.25">
      <c r="A589" s="62" t="s">
        <v>398</v>
      </c>
      <c r="B589" s="62" t="s">
        <v>398</v>
      </c>
      <c r="C589" s="63"/>
      <c r="D589" s="64"/>
      <c r="E589" s="65"/>
      <c r="F589" s="66"/>
      <c r="G589" s="63"/>
      <c r="H589" s="67"/>
      <c r="I589" s="68"/>
      <c r="J589" s="68"/>
      <c r="K589" s="32"/>
      <c r="L589" s="75">
        <v>589</v>
      </c>
      <c r="M589" s="75"/>
      <c r="N589" s="70"/>
      <c r="O589" s="77" t="s">
        <v>179</v>
      </c>
      <c r="P589" s="79">
        <v>45166.955555555556</v>
      </c>
      <c r="Q589" s="77" t="s">
        <v>1696</v>
      </c>
      <c r="R589" s="77">
        <v>1</v>
      </c>
      <c r="S589" s="77">
        <v>4</v>
      </c>
      <c r="T589" s="77">
        <v>0</v>
      </c>
      <c r="U589" s="77">
        <v>0</v>
      </c>
      <c r="V589" s="77">
        <v>2206</v>
      </c>
      <c r="W589" s="82" t="s">
        <v>4457</v>
      </c>
      <c r="X589" s="77"/>
      <c r="Y589" s="77"/>
      <c r="Z589" s="77"/>
      <c r="AA589" s="77" t="s">
        <v>6484</v>
      </c>
      <c r="AB589" s="77" t="s">
        <v>7697</v>
      </c>
      <c r="AC589" s="82" t="s">
        <v>7706</v>
      </c>
      <c r="AD589" s="77" t="s">
        <v>7745</v>
      </c>
      <c r="AE589" s="80" t="str">
        <f>HYPERLINK("https://twitter.com/tcinvestimentos/status/1696295595311509915")</f>
        <v>https://twitter.com/tcinvestimentos/status/1696295595311509915</v>
      </c>
      <c r="AF589" s="79">
        <v>45166.955555555556</v>
      </c>
      <c r="AG589" s="85">
        <v>45166</v>
      </c>
      <c r="AH589" s="82" t="s">
        <v>8274</v>
      </c>
      <c r="AI589" s="77" t="b">
        <v>0</v>
      </c>
      <c r="AJ589" s="77"/>
      <c r="AK589" s="77"/>
      <c r="AL589" s="77"/>
      <c r="AM589" s="77"/>
      <c r="AN589" s="77"/>
      <c r="AO589" s="77"/>
      <c r="AP589" s="77"/>
      <c r="AQ589" s="77" t="s">
        <v>10991</v>
      </c>
      <c r="AR589" s="77">
        <v>57557</v>
      </c>
      <c r="AS589" s="77"/>
      <c r="AT589" s="77"/>
      <c r="AU589" s="77">
        <v>678</v>
      </c>
      <c r="AV589" s="80" t="str">
        <f>HYPERLINK("https://pbs.twimg.com/ext_tw_video_thumb/1694787022127271936/pu/img/PFLBrG254EABgI5s.jpg")</f>
        <v>https://pbs.twimg.com/ext_tw_video_thumb/1694787022127271936/pu/img/PFLBrG254EABgI5s.jpg</v>
      </c>
      <c r="AW589" s="82" t="s">
        <v>12781</v>
      </c>
      <c r="AX589" s="82" t="s">
        <v>12781</v>
      </c>
      <c r="AY589" s="77"/>
      <c r="AZ589" s="82" t="s">
        <v>15804</v>
      </c>
      <c r="BA589" s="82" t="s">
        <v>15804</v>
      </c>
      <c r="BB589" s="82" t="s">
        <v>15804</v>
      </c>
      <c r="BC589" s="82" t="s">
        <v>12781</v>
      </c>
      <c r="BD589" s="82" t="s">
        <v>16231</v>
      </c>
      <c r="BE589" s="77"/>
      <c r="BF589" s="77"/>
      <c r="BG589" s="77"/>
      <c r="BH589" s="77"/>
      <c r="BI589" s="77"/>
    </row>
    <row r="590" spans="1:61" x14ac:dyDescent="0.25">
      <c r="A590" s="62" t="s">
        <v>398</v>
      </c>
      <c r="B590" s="62" t="s">
        <v>398</v>
      </c>
      <c r="C590" s="63"/>
      <c r="D590" s="64"/>
      <c r="E590" s="65"/>
      <c r="F590" s="66"/>
      <c r="G590" s="63"/>
      <c r="H590" s="67"/>
      <c r="I590" s="68"/>
      <c r="J590" s="68"/>
      <c r="K590" s="32"/>
      <c r="L590" s="75">
        <v>590</v>
      </c>
      <c r="M590" s="75"/>
      <c r="N590" s="70"/>
      <c r="O590" s="77" t="s">
        <v>179</v>
      </c>
      <c r="P590" s="79">
        <v>45151.959722222222</v>
      </c>
      <c r="Q590" s="77" t="s">
        <v>1697</v>
      </c>
      <c r="R590" s="77">
        <v>0</v>
      </c>
      <c r="S590" s="77">
        <v>1</v>
      </c>
      <c r="T590" s="77">
        <v>0</v>
      </c>
      <c r="U590" s="77">
        <v>0</v>
      </c>
      <c r="V590" s="77">
        <v>2640</v>
      </c>
      <c r="W590" s="82" t="s">
        <v>4457</v>
      </c>
      <c r="X590" s="77"/>
      <c r="Y590" s="77"/>
      <c r="Z590" s="77"/>
      <c r="AA590" s="77" t="s">
        <v>6485</v>
      </c>
      <c r="AB590" s="77" t="s">
        <v>7697</v>
      </c>
      <c r="AC590" s="82" t="s">
        <v>7706</v>
      </c>
      <c r="AD590" s="77" t="s">
        <v>7745</v>
      </c>
      <c r="AE590" s="80" t="str">
        <f>HYPERLINK("https://twitter.com/tcinvestimentos/status/1690861287394377728")</f>
        <v>https://twitter.com/tcinvestimentos/status/1690861287394377728</v>
      </c>
      <c r="AF590" s="79">
        <v>45151.959722222222</v>
      </c>
      <c r="AG590" s="85">
        <v>45151</v>
      </c>
      <c r="AH590" s="82" t="s">
        <v>8275</v>
      </c>
      <c r="AI590" s="77" t="b">
        <v>0</v>
      </c>
      <c r="AJ590" s="77"/>
      <c r="AK590" s="77"/>
      <c r="AL590" s="77"/>
      <c r="AM590" s="77"/>
      <c r="AN590" s="77"/>
      <c r="AO590" s="77"/>
      <c r="AP590" s="77"/>
      <c r="AQ590" s="77" t="s">
        <v>10992</v>
      </c>
      <c r="AR590" s="77">
        <v>58258</v>
      </c>
      <c r="AS590" s="77"/>
      <c r="AT590" s="77"/>
      <c r="AU590" s="77">
        <v>782</v>
      </c>
      <c r="AV590" s="80" t="str">
        <f>HYPERLINK("https://pbs.twimg.com/ext_tw_video_thumb/1688943679140929536/pu/img/o4Pq64oKkwrNaizY.jpg")</f>
        <v>https://pbs.twimg.com/ext_tw_video_thumb/1688943679140929536/pu/img/o4Pq64oKkwrNaizY.jpg</v>
      </c>
      <c r="AW590" s="82" t="s">
        <v>12782</v>
      </c>
      <c r="AX590" s="82" t="s">
        <v>12782</v>
      </c>
      <c r="AY590" s="77"/>
      <c r="AZ590" s="82" t="s">
        <v>15804</v>
      </c>
      <c r="BA590" s="82" t="s">
        <v>15804</v>
      </c>
      <c r="BB590" s="82" t="s">
        <v>15804</v>
      </c>
      <c r="BC590" s="82" t="s">
        <v>12782</v>
      </c>
      <c r="BD590" s="82" t="s">
        <v>16231</v>
      </c>
      <c r="BE590" s="77"/>
      <c r="BF590" s="77"/>
      <c r="BG590" s="77"/>
      <c r="BH590" s="77"/>
      <c r="BI590" s="77"/>
    </row>
    <row r="591" spans="1:61" x14ac:dyDescent="0.25">
      <c r="A591" s="62" t="s">
        <v>399</v>
      </c>
      <c r="B591" s="62" t="s">
        <v>1058</v>
      </c>
      <c r="C591" s="63"/>
      <c r="D591" s="64"/>
      <c r="E591" s="65"/>
      <c r="F591" s="66"/>
      <c r="G591" s="63"/>
      <c r="H591" s="67"/>
      <c r="I591" s="68"/>
      <c r="J591" s="68"/>
      <c r="K591" s="32"/>
      <c r="L591" s="75">
        <v>591</v>
      </c>
      <c r="M591" s="75"/>
      <c r="N591" s="70"/>
      <c r="O591" s="77" t="s">
        <v>1133</v>
      </c>
      <c r="P591" s="79">
        <v>44989.013645833336</v>
      </c>
      <c r="Q591" s="77" t="s">
        <v>1698</v>
      </c>
      <c r="R591" s="77">
        <v>0</v>
      </c>
      <c r="S591" s="77">
        <v>0</v>
      </c>
      <c r="T591" s="77">
        <v>0</v>
      </c>
      <c r="U591" s="77">
        <v>0</v>
      </c>
      <c r="V591" s="77">
        <v>2</v>
      </c>
      <c r="W591" s="82" t="s">
        <v>4458</v>
      </c>
      <c r="X591" s="80" t="str">
        <f>HYPERLINK("https://youtube.com/shorts/zmBfpYBKdR8?feature=share")</f>
        <v>https://youtube.com/shorts/zmBfpYBKdR8?feature=share</v>
      </c>
      <c r="Y591" s="77" t="s">
        <v>6006</v>
      </c>
      <c r="Z591" s="77" t="s">
        <v>1058</v>
      </c>
      <c r="AA591" s="77"/>
      <c r="AB591" s="77"/>
      <c r="AC591" s="82" t="s">
        <v>7706</v>
      </c>
      <c r="AD591" s="77" t="s">
        <v>7750</v>
      </c>
      <c r="AE591" s="80" t="str">
        <f>HYPERLINK("https://twitter.com/mariaap28183165/status/1631811607968743428")</f>
        <v>https://twitter.com/mariaap28183165/status/1631811607968743428</v>
      </c>
      <c r="AF591" s="79">
        <v>44989.013645833336</v>
      </c>
      <c r="AG591" s="85">
        <v>44989</v>
      </c>
      <c r="AH591" s="82" t="s">
        <v>8276</v>
      </c>
      <c r="AI591" s="77" t="b">
        <v>0</v>
      </c>
      <c r="AJ591" s="77"/>
      <c r="AK591" s="77"/>
      <c r="AL591" s="77"/>
      <c r="AM591" s="77"/>
      <c r="AN591" s="77"/>
      <c r="AO591" s="77"/>
      <c r="AP591" s="77"/>
      <c r="AQ591" s="77"/>
      <c r="AR591" s="77"/>
      <c r="AS591" s="77"/>
      <c r="AT591" s="77"/>
      <c r="AU591" s="77"/>
      <c r="AV591" s="80" t="str">
        <f>HYPERLINK("https://pbs.twimg.com/profile_images/1430663404952379396/bkwSeEv-_normal.jpg")</f>
        <v>https://pbs.twimg.com/profile_images/1430663404952379396/bkwSeEv-_normal.jpg</v>
      </c>
      <c r="AW591" s="82" t="s">
        <v>12783</v>
      </c>
      <c r="AX591" s="82" t="s">
        <v>12783</v>
      </c>
      <c r="AY591" s="77"/>
      <c r="AZ591" s="82" t="s">
        <v>15804</v>
      </c>
      <c r="BA591" s="82" t="s">
        <v>15804</v>
      </c>
      <c r="BB591" s="82" t="s">
        <v>15804</v>
      </c>
      <c r="BC591" s="82" t="s">
        <v>12783</v>
      </c>
      <c r="BD591" s="82" t="s">
        <v>16232</v>
      </c>
      <c r="BE591" s="77"/>
      <c r="BF591" s="77"/>
      <c r="BG591" s="77"/>
      <c r="BH591" s="77"/>
      <c r="BI591" s="77"/>
    </row>
    <row r="592" spans="1:61" x14ac:dyDescent="0.25">
      <c r="A592" s="62" t="s">
        <v>400</v>
      </c>
      <c r="B592" s="62" t="s">
        <v>400</v>
      </c>
      <c r="C592" s="63"/>
      <c r="D592" s="64"/>
      <c r="E592" s="65"/>
      <c r="F592" s="66"/>
      <c r="G592" s="63"/>
      <c r="H592" s="67"/>
      <c r="I592" s="68"/>
      <c r="J592" s="68"/>
      <c r="K592" s="32"/>
      <c r="L592" s="75">
        <v>592</v>
      </c>
      <c r="M592" s="75"/>
      <c r="N592" s="70"/>
      <c r="O592" s="77" t="s">
        <v>179</v>
      </c>
      <c r="P592" s="79">
        <v>45062.918599537035</v>
      </c>
      <c r="Q592" s="77" t="s">
        <v>1699</v>
      </c>
      <c r="R592" s="77">
        <v>0</v>
      </c>
      <c r="S592" s="77">
        <v>0</v>
      </c>
      <c r="T592" s="77">
        <v>0</v>
      </c>
      <c r="U592" s="77">
        <v>0</v>
      </c>
      <c r="V592" s="77">
        <v>17</v>
      </c>
      <c r="W592" s="82" t="s">
        <v>4459</v>
      </c>
      <c r="X592" s="77"/>
      <c r="Y592" s="77"/>
      <c r="Z592" s="77"/>
      <c r="AA592" s="77" t="s">
        <v>6486</v>
      </c>
      <c r="AB592" s="77" t="s">
        <v>7697</v>
      </c>
      <c r="AC592" s="82" t="s">
        <v>7705</v>
      </c>
      <c r="AD592" s="77" t="s">
        <v>7745</v>
      </c>
      <c r="AE592" s="80" t="str">
        <f>HYPERLINK("https://twitter.com/gabriel98091764/status/1658593867413823488")</f>
        <v>https://twitter.com/gabriel98091764/status/1658593867413823488</v>
      </c>
      <c r="AF592" s="79">
        <v>45062.918599537035</v>
      </c>
      <c r="AG592" s="85">
        <v>45062</v>
      </c>
      <c r="AH592" s="82" t="s">
        <v>8277</v>
      </c>
      <c r="AI592" s="77" t="b">
        <v>0</v>
      </c>
      <c r="AJ592" s="77"/>
      <c r="AK592" s="77"/>
      <c r="AL592" s="77"/>
      <c r="AM592" s="77"/>
      <c r="AN592" s="77"/>
      <c r="AO592" s="77"/>
      <c r="AP592" s="77"/>
      <c r="AQ592" s="77" t="s">
        <v>10993</v>
      </c>
      <c r="AR592" s="77">
        <v>58666</v>
      </c>
      <c r="AS592" s="77"/>
      <c r="AT592" s="77"/>
      <c r="AU592" s="77">
        <v>9</v>
      </c>
      <c r="AV592" s="80" t="str">
        <f>HYPERLINK("https://pbs.twimg.com/ext_tw_video_thumb/1658593741823696901/pu/img/zbDHpsgsidS7kbN-.jpg")</f>
        <v>https://pbs.twimg.com/ext_tw_video_thumb/1658593741823696901/pu/img/zbDHpsgsidS7kbN-.jpg</v>
      </c>
      <c r="AW592" s="82" t="s">
        <v>12784</v>
      </c>
      <c r="AX592" s="82" t="s">
        <v>12784</v>
      </c>
      <c r="AY592" s="77"/>
      <c r="AZ592" s="82" t="s">
        <v>15804</v>
      </c>
      <c r="BA592" s="82" t="s">
        <v>15804</v>
      </c>
      <c r="BB592" s="82" t="s">
        <v>15804</v>
      </c>
      <c r="BC592" s="82" t="s">
        <v>12784</v>
      </c>
      <c r="BD592" s="82" t="s">
        <v>16233</v>
      </c>
      <c r="BE592" s="77"/>
      <c r="BF592" s="77"/>
      <c r="BG592" s="77"/>
      <c r="BH592" s="77"/>
      <c r="BI592" s="77"/>
    </row>
    <row r="593" spans="1:61" x14ac:dyDescent="0.25">
      <c r="A593" s="62" t="s">
        <v>401</v>
      </c>
      <c r="B593" s="62" t="s">
        <v>401</v>
      </c>
      <c r="C593" s="63"/>
      <c r="D593" s="64"/>
      <c r="E593" s="65"/>
      <c r="F593" s="66"/>
      <c r="G593" s="63"/>
      <c r="H593" s="67"/>
      <c r="I593" s="68"/>
      <c r="J593" s="68"/>
      <c r="K593" s="32"/>
      <c r="L593" s="75">
        <v>593</v>
      </c>
      <c r="M593" s="75"/>
      <c r="N593" s="70"/>
      <c r="O593" s="77" t="s">
        <v>179</v>
      </c>
      <c r="P593" s="79">
        <v>44972.619560185187</v>
      </c>
      <c r="Q593" s="77" t="s">
        <v>1700</v>
      </c>
      <c r="R593" s="77">
        <v>0</v>
      </c>
      <c r="S593" s="77">
        <v>0</v>
      </c>
      <c r="T593" s="77">
        <v>0</v>
      </c>
      <c r="U593" s="77">
        <v>0</v>
      </c>
      <c r="V593" s="77">
        <v>10</v>
      </c>
      <c r="W593" s="82" t="s">
        <v>4460</v>
      </c>
      <c r="X593" s="80" t="str">
        <f>HYPERLINK("https://www.linkedin.com/news/story/entrevista-como-criar-neg%C3%B3cios-adapt%C3%A1veis-e-resilientes-5137825/")</f>
        <v>https://www.linkedin.com/news/story/entrevista-como-criar-neg%C3%B3cios-adapt%C3%A1veis-e-resilientes-5137825/</v>
      </c>
      <c r="Y593" s="77" t="s">
        <v>6021</v>
      </c>
      <c r="Z593" s="77"/>
      <c r="AA593" s="77"/>
      <c r="AB593" s="77"/>
      <c r="AC593" s="82" t="s">
        <v>7706</v>
      </c>
      <c r="AD593" s="77" t="s">
        <v>7745</v>
      </c>
      <c r="AE593" s="80" t="str">
        <f>HYPERLINK("https://twitter.com/infodiaemfoco/status/1625870589079552000")</f>
        <v>https://twitter.com/infodiaemfoco/status/1625870589079552000</v>
      </c>
      <c r="AF593" s="79">
        <v>44972.619560185187</v>
      </c>
      <c r="AG593" s="85">
        <v>44972</v>
      </c>
      <c r="AH593" s="82" t="s">
        <v>8278</v>
      </c>
      <c r="AI593" s="77" t="b">
        <v>0</v>
      </c>
      <c r="AJ593" s="77"/>
      <c r="AK593" s="77"/>
      <c r="AL593" s="77"/>
      <c r="AM593" s="77"/>
      <c r="AN593" s="77"/>
      <c r="AO593" s="77"/>
      <c r="AP593" s="77"/>
      <c r="AQ593" s="77"/>
      <c r="AR593" s="77"/>
      <c r="AS593" s="77"/>
      <c r="AT593" s="77"/>
      <c r="AU593" s="77"/>
      <c r="AV593" s="80" t="str">
        <f>HYPERLINK("https://pbs.twimg.com/profile_images/1625634582425923586/fx51uJTK_normal.jpg")</f>
        <v>https://pbs.twimg.com/profile_images/1625634582425923586/fx51uJTK_normal.jpg</v>
      </c>
      <c r="AW593" s="82" t="s">
        <v>12785</v>
      </c>
      <c r="AX593" s="82" t="s">
        <v>12785</v>
      </c>
      <c r="AY593" s="77"/>
      <c r="AZ593" s="82" t="s">
        <v>15804</v>
      </c>
      <c r="BA593" s="82" t="s">
        <v>15804</v>
      </c>
      <c r="BB593" s="82" t="s">
        <v>15804</v>
      </c>
      <c r="BC593" s="82" t="s">
        <v>12785</v>
      </c>
      <c r="BD593" s="82" t="s">
        <v>16234</v>
      </c>
      <c r="BE593" s="77"/>
      <c r="BF593" s="77"/>
      <c r="BG593" s="77"/>
      <c r="BH593" s="77"/>
      <c r="BI593" s="77"/>
    </row>
    <row r="594" spans="1:61" x14ac:dyDescent="0.25">
      <c r="A594" s="62" t="s">
        <v>401</v>
      </c>
      <c r="B594" s="62" t="s">
        <v>401</v>
      </c>
      <c r="C594" s="63"/>
      <c r="D594" s="64"/>
      <c r="E594" s="65"/>
      <c r="F594" s="66"/>
      <c r="G594" s="63"/>
      <c r="H594" s="67"/>
      <c r="I594" s="68"/>
      <c r="J594" s="68"/>
      <c r="K594" s="32"/>
      <c r="L594" s="75">
        <v>594</v>
      </c>
      <c r="M594" s="75"/>
      <c r="N594" s="70"/>
      <c r="O594" s="77" t="s">
        <v>179</v>
      </c>
      <c r="P594" s="79">
        <v>44972.057268518518</v>
      </c>
      <c r="Q594" s="77" t="s">
        <v>1701</v>
      </c>
      <c r="R594" s="77">
        <v>0</v>
      </c>
      <c r="S594" s="77">
        <v>0</v>
      </c>
      <c r="T594" s="77">
        <v>0</v>
      </c>
      <c r="U594" s="77">
        <v>0</v>
      </c>
      <c r="V594" s="77">
        <v>21</v>
      </c>
      <c r="W594" s="82" t="s">
        <v>4461</v>
      </c>
      <c r="X594" s="77"/>
      <c r="Y594" s="77"/>
      <c r="Z594" s="77"/>
      <c r="AA594" s="77" t="s">
        <v>6487</v>
      </c>
      <c r="AB594" s="77" t="s">
        <v>7696</v>
      </c>
      <c r="AC594" s="82" t="s">
        <v>7706</v>
      </c>
      <c r="AD594" s="77" t="s">
        <v>7745</v>
      </c>
      <c r="AE594" s="80" t="str">
        <f>HYPERLINK("https://twitter.com/infodiaemfoco/status/1625666823021641731")</f>
        <v>https://twitter.com/infodiaemfoco/status/1625666823021641731</v>
      </c>
      <c r="AF594" s="79">
        <v>44972.057268518518</v>
      </c>
      <c r="AG594" s="85">
        <v>44972</v>
      </c>
      <c r="AH594" s="82" t="s">
        <v>8279</v>
      </c>
      <c r="AI594" s="77" t="b">
        <v>0</v>
      </c>
      <c r="AJ594" s="77"/>
      <c r="AK594" s="77"/>
      <c r="AL594" s="77"/>
      <c r="AM594" s="77"/>
      <c r="AN594" s="77"/>
      <c r="AO594" s="77"/>
      <c r="AP594" s="77"/>
      <c r="AQ594" s="77" t="s">
        <v>10994</v>
      </c>
      <c r="AR594" s="77"/>
      <c r="AS594" s="77"/>
      <c r="AT594" s="77"/>
      <c r="AU594" s="77"/>
      <c r="AV594" s="80" t="str">
        <f>HYPERLINK("https://pbs.twimg.com/media/Fo-HS4OXsAcPSe8.jpg")</f>
        <v>https://pbs.twimg.com/media/Fo-HS4OXsAcPSe8.jpg</v>
      </c>
      <c r="AW594" s="82" t="s">
        <v>12786</v>
      </c>
      <c r="AX594" s="82" t="s">
        <v>12786</v>
      </c>
      <c r="AY594" s="77"/>
      <c r="AZ594" s="82" t="s">
        <v>15804</v>
      </c>
      <c r="BA594" s="82" t="s">
        <v>15804</v>
      </c>
      <c r="BB594" s="82" t="s">
        <v>15804</v>
      </c>
      <c r="BC594" s="82" t="s">
        <v>12786</v>
      </c>
      <c r="BD594" s="82" t="s">
        <v>16234</v>
      </c>
      <c r="BE594" s="77"/>
      <c r="BF594" s="77"/>
      <c r="BG594" s="77"/>
      <c r="BH594" s="77"/>
      <c r="BI594" s="77"/>
    </row>
    <row r="595" spans="1:61" x14ac:dyDescent="0.25">
      <c r="A595" s="62" t="s">
        <v>402</v>
      </c>
      <c r="B595" s="62" t="s">
        <v>402</v>
      </c>
      <c r="C595" s="63"/>
      <c r="D595" s="64"/>
      <c r="E595" s="65"/>
      <c r="F595" s="66"/>
      <c r="G595" s="63"/>
      <c r="H595" s="67"/>
      <c r="I595" s="68"/>
      <c r="J595" s="68"/>
      <c r="K595" s="32"/>
      <c r="L595" s="75">
        <v>595</v>
      </c>
      <c r="M595" s="75"/>
      <c r="N595" s="70"/>
      <c r="O595" s="77" t="s">
        <v>179</v>
      </c>
      <c r="P595" s="79">
        <v>44980.536863425928</v>
      </c>
      <c r="Q595" s="77" t="s">
        <v>1702</v>
      </c>
      <c r="R595" s="77">
        <v>1</v>
      </c>
      <c r="S595" s="77">
        <v>6</v>
      </c>
      <c r="T595" s="77">
        <v>0</v>
      </c>
      <c r="U595" s="77">
        <v>0</v>
      </c>
      <c r="V595" s="77">
        <v>362</v>
      </c>
      <c r="W595" s="82" t="s">
        <v>4462</v>
      </c>
      <c r="X595" s="77"/>
      <c r="Y595" s="77"/>
      <c r="Z595" s="77"/>
      <c r="AA595" s="77" t="s">
        <v>6488</v>
      </c>
      <c r="AB595" s="77" t="s">
        <v>7696</v>
      </c>
      <c r="AC595" s="82" t="s">
        <v>7705</v>
      </c>
      <c r="AD595" s="77" t="s">
        <v>7745</v>
      </c>
      <c r="AE595" s="80" t="str">
        <f>HYPERLINK("https://twitter.com/kritikepodcast/status/1628739724541104130")</f>
        <v>https://twitter.com/kritikepodcast/status/1628739724541104130</v>
      </c>
      <c r="AF595" s="79">
        <v>44980.536863425928</v>
      </c>
      <c r="AG595" s="85">
        <v>44980</v>
      </c>
      <c r="AH595" s="82" t="s">
        <v>8280</v>
      </c>
      <c r="AI595" s="77" t="b">
        <v>0</v>
      </c>
      <c r="AJ595" s="77"/>
      <c r="AK595" s="77"/>
      <c r="AL595" s="77"/>
      <c r="AM595" s="77"/>
      <c r="AN595" s="77"/>
      <c r="AO595" s="77"/>
      <c r="AP595" s="77"/>
      <c r="AQ595" s="77" t="s">
        <v>10995</v>
      </c>
      <c r="AR595" s="77"/>
      <c r="AS595" s="77"/>
      <c r="AT595" s="77"/>
      <c r="AU595" s="77"/>
      <c r="AV595" s="80" t="str">
        <f>HYPERLINK("https://pbs.twimg.com/media/FppyJOAWcAACbfg.jpg")</f>
        <v>https://pbs.twimg.com/media/FppyJOAWcAACbfg.jpg</v>
      </c>
      <c r="AW595" s="82" t="s">
        <v>12787</v>
      </c>
      <c r="AX595" s="82" t="s">
        <v>12787</v>
      </c>
      <c r="AY595" s="77"/>
      <c r="AZ595" s="82" t="s">
        <v>15804</v>
      </c>
      <c r="BA595" s="82" t="s">
        <v>15804</v>
      </c>
      <c r="BB595" s="82" t="s">
        <v>15804</v>
      </c>
      <c r="BC595" s="82" t="s">
        <v>12787</v>
      </c>
      <c r="BD595" s="82" t="s">
        <v>16235</v>
      </c>
      <c r="BE595" s="77"/>
      <c r="BF595" s="77"/>
      <c r="BG595" s="77"/>
      <c r="BH595" s="77"/>
      <c r="BI595" s="77"/>
    </row>
    <row r="596" spans="1:61" x14ac:dyDescent="0.25">
      <c r="A596" s="62" t="s">
        <v>403</v>
      </c>
      <c r="B596" s="62" t="s">
        <v>403</v>
      </c>
      <c r="C596" s="63"/>
      <c r="D596" s="64"/>
      <c r="E596" s="65"/>
      <c r="F596" s="66"/>
      <c r="G596" s="63"/>
      <c r="H596" s="67"/>
      <c r="I596" s="68"/>
      <c r="J596" s="68"/>
      <c r="K596" s="32"/>
      <c r="L596" s="75">
        <v>596</v>
      </c>
      <c r="M596" s="75"/>
      <c r="N596" s="70"/>
      <c r="O596" s="77" t="s">
        <v>179</v>
      </c>
      <c r="P596" s="79">
        <v>45138.838055555556</v>
      </c>
      <c r="Q596" s="77" t="s">
        <v>1703</v>
      </c>
      <c r="R596" s="77">
        <v>0</v>
      </c>
      <c r="S596" s="77">
        <v>1</v>
      </c>
      <c r="T596" s="77">
        <v>1</v>
      </c>
      <c r="U596" s="77">
        <v>0</v>
      </c>
      <c r="V596" s="77">
        <v>51</v>
      </c>
      <c r="W596" s="82" t="s">
        <v>4463</v>
      </c>
      <c r="X596" s="77"/>
      <c r="Y596" s="77"/>
      <c r="Z596" s="77"/>
      <c r="AA596" s="77" t="s">
        <v>6489</v>
      </c>
      <c r="AB596" s="77" t="s">
        <v>7697</v>
      </c>
      <c r="AC596" s="82" t="s">
        <v>7707</v>
      </c>
      <c r="AD596" s="77" t="s">
        <v>7745</v>
      </c>
      <c r="AE596" s="80" t="str">
        <f>HYPERLINK("https://twitter.com/osvaldocapaca/status/1686106153636315136")</f>
        <v>https://twitter.com/osvaldocapaca/status/1686106153636315136</v>
      </c>
      <c r="AF596" s="79">
        <v>45138.838055555556</v>
      </c>
      <c r="AG596" s="85">
        <v>45138</v>
      </c>
      <c r="AH596" s="82" t="s">
        <v>8281</v>
      </c>
      <c r="AI596" s="77" t="b">
        <v>0</v>
      </c>
      <c r="AJ596" s="77"/>
      <c r="AK596" s="77"/>
      <c r="AL596" s="77"/>
      <c r="AM596" s="77"/>
      <c r="AN596" s="77"/>
      <c r="AO596" s="77"/>
      <c r="AP596" s="77"/>
      <c r="AQ596" s="77" t="s">
        <v>10996</v>
      </c>
      <c r="AR596" s="77">
        <v>44963</v>
      </c>
      <c r="AS596" s="77"/>
      <c r="AT596" s="77"/>
      <c r="AU596" s="77">
        <v>9</v>
      </c>
      <c r="AV596" s="80" t="str">
        <f>HYPERLINK("https://pbs.twimg.com/ext_tw_video_thumb/1686105854960099329/pu/img/fygw8Ngog1Spdemi.jpg")</f>
        <v>https://pbs.twimg.com/ext_tw_video_thumb/1686105854960099329/pu/img/fygw8Ngog1Spdemi.jpg</v>
      </c>
      <c r="AW596" s="82" t="s">
        <v>12788</v>
      </c>
      <c r="AX596" s="82" t="s">
        <v>12788</v>
      </c>
      <c r="AY596" s="77"/>
      <c r="AZ596" s="82" t="s">
        <v>15804</v>
      </c>
      <c r="BA596" s="82" t="s">
        <v>15804</v>
      </c>
      <c r="BB596" s="82" t="s">
        <v>15804</v>
      </c>
      <c r="BC596" s="82" t="s">
        <v>12788</v>
      </c>
      <c r="BD596" s="82" t="s">
        <v>16236</v>
      </c>
      <c r="BE596" s="77"/>
      <c r="BF596" s="77"/>
      <c r="BG596" s="77"/>
      <c r="BH596" s="77"/>
      <c r="BI596" s="77"/>
    </row>
    <row r="597" spans="1:61" x14ac:dyDescent="0.25">
      <c r="A597" s="62" t="s">
        <v>404</v>
      </c>
      <c r="B597" s="62" t="s">
        <v>1070</v>
      </c>
      <c r="C597" s="63"/>
      <c r="D597" s="64"/>
      <c r="E597" s="65"/>
      <c r="F597" s="66"/>
      <c r="G597" s="63"/>
      <c r="H597" s="67"/>
      <c r="I597" s="68"/>
      <c r="J597" s="68"/>
      <c r="K597" s="32"/>
      <c r="L597" s="75">
        <v>597</v>
      </c>
      <c r="M597" s="75"/>
      <c r="N597" s="70"/>
      <c r="O597" s="77" t="s">
        <v>1133</v>
      </c>
      <c r="P597" s="79">
        <v>44936.651331018518</v>
      </c>
      <c r="Q597" s="77" t="s">
        <v>1704</v>
      </c>
      <c r="R597" s="77">
        <v>2</v>
      </c>
      <c r="S597" s="77">
        <v>2</v>
      </c>
      <c r="T597" s="77">
        <v>0</v>
      </c>
      <c r="U597" s="77">
        <v>0</v>
      </c>
      <c r="V597" s="77">
        <v>57</v>
      </c>
      <c r="W597" s="82" t="s">
        <v>4464</v>
      </c>
      <c r="X597" s="77"/>
      <c r="Y597" s="77"/>
      <c r="Z597" s="77" t="s">
        <v>1070</v>
      </c>
      <c r="AA597" s="77" t="s">
        <v>6490</v>
      </c>
      <c r="AB597" s="77" t="s">
        <v>7696</v>
      </c>
      <c r="AC597" s="82" t="s">
        <v>7706</v>
      </c>
      <c r="AD597" s="77" t="s">
        <v>7745</v>
      </c>
      <c r="AE597" s="80" t="str">
        <f>HYPERLINK("https://twitter.com/cryptoherobr/status/1612836138603155458")</f>
        <v>https://twitter.com/cryptoherobr/status/1612836138603155458</v>
      </c>
      <c r="AF597" s="79">
        <v>44936.651331018518</v>
      </c>
      <c r="AG597" s="85">
        <v>44936</v>
      </c>
      <c r="AH597" s="82" t="s">
        <v>8282</v>
      </c>
      <c r="AI597" s="77" t="b">
        <v>0</v>
      </c>
      <c r="AJ597" s="77"/>
      <c r="AK597" s="77"/>
      <c r="AL597" s="77"/>
      <c r="AM597" s="77"/>
      <c r="AN597" s="77"/>
      <c r="AO597" s="77"/>
      <c r="AP597" s="77"/>
      <c r="AQ597" s="77" t="s">
        <v>10997</v>
      </c>
      <c r="AR597" s="77"/>
      <c r="AS597" s="77"/>
      <c r="AT597" s="77"/>
      <c r="AU597" s="77"/>
      <c r="AV597" s="80" t="str">
        <f>HYPERLINK("https://pbs.twimg.com/media/FmHxiwjWAAATJM2.jpg")</f>
        <v>https://pbs.twimg.com/media/FmHxiwjWAAATJM2.jpg</v>
      </c>
      <c r="AW597" s="82" t="s">
        <v>12789</v>
      </c>
      <c r="AX597" s="82" t="s">
        <v>12789</v>
      </c>
      <c r="AY597" s="77"/>
      <c r="AZ597" s="82" t="s">
        <v>15804</v>
      </c>
      <c r="BA597" s="82" t="s">
        <v>15804</v>
      </c>
      <c r="BB597" s="82" t="s">
        <v>15804</v>
      </c>
      <c r="BC597" s="82" t="s">
        <v>12789</v>
      </c>
      <c r="BD597" s="82" t="s">
        <v>16237</v>
      </c>
      <c r="BE597" s="77"/>
      <c r="BF597" s="77"/>
      <c r="BG597" s="77"/>
      <c r="BH597" s="77"/>
      <c r="BI597" s="77"/>
    </row>
    <row r="598" spans="1:61" x14ac:dyDescent="0.25">
      <c r="A598" s="62" t="s">
        <v>404</v>
      </c>
      <c r="B598" s="62" t="s">
        <v>404</v>
      </c>
      <c r="C598" s="63"/>
      <c r="D598" s="64"/>
      <c r="E598" s="65"/>
      <c r="F598" s="66"/>
      <c r="G598" s="63"/>
      <c r="H598" s="67"/>
      <c r="I598" s="68"/>
      <c r="J598" s="68"/>
      <c r="K598" s="32"/>
      <c r="L598" s="75">
        <v>598</v>
      </c>
      <c r="M598" s="75"/>
      <c r="N598" s="70"/>
      <c r="O598" s="77" t="s">
        <v>179</v>
      </c>
      <c r="P598" s="79">
        <v>45142.708136574074</v>
      </c>
      <c r="Q598" s="77" t="s">
        <v>1705</v>
      </c>
      <c r="R598" s="77">
        <v>0</v>
      </c>
      <c r="S598" s="77">
        <v>0</v>
      </c>
      <c r="T598" s="77">
        <v>0</v>
      </c>
      <c r="U598" s="77">
        <v>0</v>
      </c>
      <c r="V598" s="77">
        <v>18</v>
      </c>
      <c r="W598" s="82" t="s">
        <v>4465</v>
      </c>
      <c r="X598" s="77"/>
      <c r="Y598" s="77"/>
      <c r="Z598" s="77"/>
      <c r="AA598" s="77" t="s">
        <v>6491</v>
      </c>
      <c r="AB598" s="77" t="s">
        <v>7696</v>
      </c>
      <c r="AC598" s="82" t="s">
        <v>7706</v>
      </c>
      <c r="AD598" s="77" t="s">
        <v>7745</v>
      </c>
      <c r="AE598" s="80" t="str">
        <f>HYPERLINK("https://twitter.com/cryptoherobr/status/1687508626225733641")</f>
        <v>https://twitter.com/cryptoherobr/status/1687508626225733641</v>
      </c>
      <c r="AF598" s="79">
        <v>45142.708136574074</v>
      </c>
      <c r="AG598" s="85">
        <v>45142</v>
      </c>
      <c r="AH598" s="82" t="s">
        <v>8283</v>
      </c>
      <c r="AI598" s="77" t="b">
        <v>0</v>
      </c>
      <c r="AJ598" s="77"/>
      <c r="AK598" s="77"/>
      <c r="AL598" s="77"/>
      <c r="AM598" s="77"/>
      <c r="AN598" s="77"/>
      <c r="AO598" s="77"/>
      <c r="AP598" s="77"/>
      <c r="AQ598" s="77" t="s">
        <v>10998</v>
      </c>
      <c r="AR598" s="77"/>
      <c r="AS598" s="77"/>
      <c r="AT598" s="77"/>
      <c r="AU598" s="77"/>
      <c r="AV598" s="80" t="str">
        <f>HYPERLINK("https://pbs.twimg.com/media/F2s77xrXoAobbEw.jpg")</f>
        <v>https://pbs.twimg.com/media/F2s77xrXoAobbEw.jpg</v>
      </c>
      <c r="AW598" s="82" t="s">
        <v>12790</v>
      </c>
      <c r="AX598" s="82" t="s">
        <v>12790</v>
      </c>
      <c r="AY598" s="77"/>
      <c r="AZ598" s="82" t="s">
        <v>15804</v>
      </c>
      <c r="BA598" s="82" t="s">
        <v>15804</v>
      </c>
      <c r="BB598" s="82" t="s">
        <v>15804</v>
      </c>
      <c r="BC598" s="82" t="s">
        <v>12790</v>
      </c>
      <c r="BD598" s="82" t="s">
        <v>16237</v>
      </c>
      <c r="BE598" s="77"/>
      <c r="BF598" s="77"/>
      <c r="BG598" s="77"/>
      <c r="BH598" s="77"/>
      <c r="BI598" s="77"/>
    </row>
    <row r="599" spans="1:61" x14ac:dyDescent="0.25">
      <c r="A599" s="62" t="s">
        <v>404</v>
      </c>
      <c r="B599" s="62" t="s">
        <v>404</v>
      </c>
      <c r="C599" s="63"/>
      <c r="D599" s="64"/>
      <c r="E599" s="65"/>
      <c r="F599" s="66"/>
      <c r="G599" s="63"/>
      <c r="H599" s="67"/>
      <c r="I599" s="68"/>
      <c r="J599" s="68"/>
      <c r="K599" s="32"/>
      <c r="L599" s="75">
        <v>599</v>
      </c>
      <c r="M599" s="75"/>
      <c r="N599" s="70"/>
      <c r="O599" s="77" t="s">
        <v>179</v>
      </c>
      <c r="P599" s="79">
        <v>44953.594710648147</v>
      </c>
      <c r="Q599" s="77" t="s">
        <v>1706</v>
      </c>
      <c r="R599" s="77">
        <v>0</v>
      </c>
      <c r="S599" s="77">
        <v>0</v>
      </c>
      <c r="T599" s="77">
        <v>0</v>
      </c>
      <c r="U599" s="77">
        <v>0</v>
      </c>
      <c r="V599" s="77">
        <v>23</v>
      </c>
      <c r="W599" s="82" t="s">
        <v>4466</v>
      </c>
      <c r="X599" s="77"/>
      <c r="Y599" s="77"/>
      <c r="Z599" s="77"/>
      <c r="AA599" s="77" t="s">
        <v>6492</v>
      </c>
      <c r="AB599" s="77" t="s">
        <v>7696</v>
      </c>
      <c r="AC599" s="82" t="s">
        <v>7707</v>
      </c>
      <c r="AD599" s="77" t="s">
        <v>7745</v>
      </c>
      <c r="AE599" s="80" t="str">
        <f>HYPERLINK("https://twitter.com/cryptoherobr/status/1618976215972614146")</f>
        <v>https://twitter.com/cryptoherobr/status/1618976215972614146</v>
      </c>
      <c r="AF599" s="79">
        <v>44953.594710648147</v>
      </c>
      <c r="AG599" s="85">
        <v>44953</v>
      </c>
      <c r="AH599" s="82" t="s">
        <v>8284</v>
      </c>
      <c r="AI599" s="77" t="b">
        <v>0</v>
      </c>
      <c r="AJ599" s="77"/>
      <c r="AK599" s="77"/>
      <c r="AL599" s="77"/>
      <c r="AM599" s="77"/>
      <c r="AN599" s="77"/>
      <c r="AO599" s="77"/>
      <c r="AP599" s="77"/>
      <c r="AQ599" s="77" t="s">
        <v>10999</v>
      </c>
      <c r="AR599" s="77"/>
      <c r="AS599" s="77"/>
      <c r="AT599" s="77"/>
      <c r="AU599" s="77"/>
      <c r="AV599" s="80" t="str">
        <f>HYPERLINK("https://pbs.twimg.com/media/FnfCSKSX0AE6uFo.jpg")</f>
        <v>https://pbs.twimg.com/media/FnfCSKSX0AE6uFo.jpg</v>
      </c>
      <c r="AW599" s="82" t="s">
        <v>12791</v>
      </c>
      <c r="AX599" s="82" t="s">
        <v>12791</v>
      </c>
      <c r="AY599" s="77"/>
      <c r="AZ599" s="82" t="s">
        <v>15804</v>
      </c>
      <c r="BA599" s="82" t="s">
        <v>15804</v>
      </c>
      <c r="BB599" s="82" t="s">
        <v>15804</v>
      </c>
      <c r="BC599" s="82" t="s">
        <v>12791</v>
      </c>
      <c r="BD599" s="82" t="s">
        <v>16237</v>
      </c>
      <c r="BE599" s="77"/>
      <c r="BF599" s="77"/>
      <c r="BG599" s="77"/>
      <c r="BH599" s="77"/>
      <c r="BI599" s="77"/>
    </row>
    <row r="600" spans="1:61" x14ac:dyDescent="0.25">
      <c r="A600" s="62" t="s">
        <v>404</v>
      </c>
      <c r="B600" s="62" t="s">
        <v>404</v>
      </c>
      <c r="C600" s="63"/>
      <c r="D600" s="64"/>
      <c r="E600" s="65"/>
      <c r="F600" s="66"/>
      <c r="G600" s="63"/>
      <c r="H600" s="67"/>
      <c r="I600" s="68"/>
      <c r="J600" s="68"/>
      <c r="K600" s="32"/>
      <c r="L600" s="75">
        <v>600</v>
      </c>
      <c r="M600" s="75"/>
      <c r="N600" s="70"/>
      <c r="O600" s="77" t="s">
        <v>179</v>
      </c>
      <c r="P600" s="79">
        <v>45148.651898148149</v>
      </c>
      <c r="Q600" s="77" t="s">
        <v>1707</v>
      </c>
      <c r="R600" s="77">
        <v>0</v>
      </c>
      <c r="S600" s="77">
        <v>0</v>
      </c>
      <c r="T600" s="77">
        <v>2</v>
      </c>
      <c r="U600" s="77">
        <v>0</v>
      </c>
      <c r="V600" s="77">
        <v>41</v>
      </c>
      <c r="W600" s="82" t="s">
        <v>4467</v>
      </c>
      <c r="X600" s="77"/>
      <c r="Y600" s="77"/>
      <c r="Z600" s="77"/>
      <c r="AA600" s="77" t="s">
        <v>6493</v>
      </c>
      <c r="AB600" s="77" t="s">
        <v>7696</v>
      </c>
      <c r="AC600" s="82" t="s">
        <v>7707</v>
      </c>
      <c r="AD600" s="77" t="s">
        <v>7745</v>
      </c>
      <c r="AE600" s="80" t="str">
        <f>HYPERLINK("https://twitter.com/cryptoherobr/status/1689662573577220096")</f>
        <v>https://twitter.com/cryptoherobr/status/1689662573577220096</v>
      </c>
      <c r="AF600" s="79">
        <v>45148.651898148149</v>
      </c>
      <c r="AG600" s="85">
        <v>45148</v>
      </c>
      <c r="AH600" s="82" t="s">
        <v>8285</v>
      </c>
      <c r="AI600" s="77" t="b">
        <v>0</v>
      </c>
      <c r="AJ600" s="77"/>
      <c r="AK600" s="77"/>
      <c r="AL600" s="77"/>
      <c r="AM600" s="77"/>
      <c r="AN600" s="77"/>
      <c r="AO600" s="77"/>
      <c r="AP600" s="77"/>
      <c r="AQ600" s="77" t="s">
        <v>11000</v>
      </c>
      <c r="AR600" s="77"/>
      <c r="AS600" s="77"/>
      <c r="AT600" s="77"/>
      <c r="AU600" s="77"/>
      <c r="AV600" s="80" t="str">
        <f>HYPERLINK("https://pbs.twimg.com/media/F3LjJ-FWUAIUfKi.jpg")</f>
        <v>https://pbs.twimg.com/media/F3LjJ-FWUAIUfKi.jpg</v>
      </c>
      <c r="AW600" s="82" t="s">
        <v>12792</v>
      </c>
      <c r="AX600" s="82" t="s">
        <v>12792</v>
      </c>
      <c r="AY600" s="77"/>
      <c r="AZ600" s="82" t="s">
        <v>15804</v>
      </c>
      <c r="BA600" s="82" t="s">
        <v>15804</v>
      </c>
      <c r="BB600" s="82" t="s">
        <v>15804</v>
      </c>
      <c r="BC600" s="82" t="s">
        <v>12792</v>
      </c>
      <c r="BD600" s="82" t="s">
        <v>16237</v>
      </c>
      <c r="BE600" s="77"/>
      <c r="BF600" s="77"/>
      <c r="BG600" s="77"/>
      <c r="BH600" s="77"/>
      <c r="BI600" s="77"/>
    </row>
    <row r="601" spans="1:61" x14ac:dyDescent="0.25">
      <c r="A601" s="62" t="s">
        <v>404</v>
      </c>
      <c r="B601" s="62" t="s">
        <v>404</v>
      </c>
      <c r="C601" s="63"/>
      <c r="D601" s="64"/>
      <c r="E601" s="65"/>
      <c r="F601" s="66"/>
      <c r="G601" s="63"/>
      <c r="H601" s="67"/>
      <c r="I601" s="68"/>
      <c r="J601" s="68"/>
      <c r="K601" s="32"/>
      <c r="L601" s="75">
        <v>601</v>
      </c>
      <c r="M601" s="75"/>
      <c r="N601" s="70"/>
      <c r="O601" s="77" t="s">
        <v>179</v>
      </c>
      <c r="P601" s="79">
        <v>45145.780775462961</v>
      </c>
      <c r="Q601" s="77" t="s">
        <v>1708</v>
      </c>
      <c r="R601" s="77">
        <v>0</v>
      </c>
      <c r="S601" s="77">
        <v>0</v>
      </c>
      <c r="T601" s="77">
        <v>1</v>
      </c>
      <c r="U601" s="77">
        <v>0</v>
      </c>
      <c r="V601" s="77">
        <v>13</v>
      </c>
      <c r="W601" s="82" t="s">
        <v>4468</v>
      </c>
      <c r="X601" s="77"/>
      <c r="Y601" s="77"/>
      <c r="Z601" s="77"/>
      <c r="AA601" s="77" t="s">
        <v>6494</v>
      </c>
      <c r="AB601" s="77" t="s">
        <v>7696</v>
      </c>
      <c r="AC601" s="82" t="s">
        <v>7706</v>
      </c>
      <c r="AD601" s="77" t="s">
        <v>7745</v>
      </c>
      <c r="AE601" s="80" t="str">
        <f>HYPERLINK("https://twitter.com/cryptoherobr/status/1688622114616545283")</f>
        <v>https://twitter.com/cryptoherobr/status/1688622114616545283</v>
      </c>
      <c r="AF601" s="79">
        <v>45145.780775462961</v>
      </c>
      <c r="AG601" s="85">
        <v>45145</v>
      </c>
      <c r="AH601" s="82" t="s">
        <v>8286</v>
      </c>
      <c r="AI601" s="77" t="b">
        <v>0</v>
      </c>
      <c r="AJ601" s="77"/>
      <c r="AK601" s="77"/>
      <c r="AL601" s="77"/>
      <c r="AM601" s="77"/>
      <c r="AN601" s="77"/>
      <c r="AO601" s="77"/>
      <c r="AP601" s="77"/>
      <c r="AQ601" s="77" t="s">
        <v>11001</v>
      </c>
      <c r="AR601" s="77"/>
      <c r="AS601" s="77"/>
      <c r="AT601" s="77"/>
      <c r="AU601" s="77"/>
      <c r="AV601" s="80" t="str">
        <f>HYPERLINK("https://pbs.twimg.com/media/F28wo6jXIAAHJ0_.jpg")</f>
        <v>https://pbs.twimg.com/media/F28wo6jXIAAHJ0_.jpg</v>
      </c>
      <c r="AW601" s="82" t="s">
        <v>12793</v>
      </c>
      <c r="AX601" s="82" t="s">
        <v>12793</v>
      </c>
      <c r="AY601" s="77"/>
      <c r="AZ601" s="82" t="s">
        <v>15804</v>
      </c>
      <c r="BA601" s="82" t="s">
        <v>15804</v>
      </c>
      <c r="BB601" s="82" t="s">
        <v>15804</v>
      </c>
      <c r="BC601" s="82" t="s">
        <v>12793</v>
      </c>
      <c r="BD601" s="82" t="s">
        <v>16237</v>
      </c>
      <c r="BE601" s="77"/>
      <c r="BF601" s="77"/>
      <c r="BG601" s="77"/>
      <c r="BH601" s="77"/>
      <c r="BI601" s="77"/>
    </row>
    <row r="602" spans="1:61" x14ac:dyDescent="0.25">
      <c r="A602" s="62" t="s">
        <v>405</v>
      </c>
      <c r="B602" s="62" t="s">
        <v>405</v>
      </c>
      <c r="C602" s="63"/>
      <c r="D602" s="64"/>
      <c r="E602" s="65"/>
      <c r="F602" s="66"/>
      <c r="G602" s="63"/>
      <c r="H602" s="67"/>
      <c r="I602" s="68"/>
      <c r="J602" s="68"/>
      <c r="K602" s="32"/>
      <c r="L602" s="75">
        <v>602</v>
      </c>
      <c r="M602" s="75"/>
      <c r="N602" s="70"/>
      <c r="O602" s="77" t="s">
        <v>179</v>
      </c>
      <c r="P602" s="79">
        <v>45145.564571759256</v>
      </c>
      <c r="Q602" s="77" t="s">
        <v>1709</v>
      </c>
      <c r="R602" s="77">
        <v>0</v>
      </c>
      <c r="S602" s="77">
        <v>1</v>
      </c>
      <c r="T602" s="77">
        <v>0</v>
      </c>
      <c r="U602" s="77">
        <v>0</v>
      </c>
      <c r="V602" s="77">
        <v>60</v>
      </c>
      <c r="W602" s="82" t="s">
        <v>4469</v>
      </c>
      <c r="X602" s="77"/>
      <c r="Y602" s="77"/>
      <c r="Z602" s="77"/>
      <c r="AA602" s="77" t="s">
        <v>6495</v>
      </c>
      <c r="AB602" s="77" t="s">
        <v>7696</v>
      </c>
      <c r="AC602" s="82" t="s">
        <v>7707</v>
      </c>
      <c r="AD602" s="77" t="s">
        <v>7745</v>
      </c>
      <c r="AE602" s="80" t="str">
        <f>HYPERLINK("https://twitter.com/jjnoar/status/1688543761905651712")</f>
        <v>https://twitter.com/jjnoar/status/1688543761905651712</v>
      </c>
      <c r="AF602" s="79">
        <v>45145.564571759256</v>
      </c>
      <c r="AG602" s="85">
        <v>45145</v>
      </c>
      <c r="AH602" s="82" t="s">
        <v>8287</v>
      </c>
      <c r="AI602" s="77" t="b">
        <v>0</v>
      </c>
      <c r="AJ602" s="77"/>
      <c r="AK602" s="77"/>
      <c r="AL602" s="77"/>
      <c r="AM602" s="77"/>
      <c r="AN602" s="77"/>
      <c r="AO602" s="77"/>
      <c r="AP602" s="77"/>
      <c r="AQ602" s="77" t="s">
        <v>11002</v>
      </c>
      <c r="AR602" s="77"/>
      <c r="AS602" s="77"/>
      <c r="AT602" s="77"/>
      <c r="AU602" s="77"/>
      <c r="AV602" s="80" t="str">
        <f>HYPERLINK("https://pbs.twimg.com/media/F27pmlvWkAEIRVh.jpg")</f>
        <v>https://pbs.twimg.com/media/F27pmlvWkAEIRVh.jpg</v>
      </c>
      <c r="AW602" s="82" t="s">
        <v>12794</v>
      </c>
      <c r="AX602" s="82" t="s">
        <v>12794</v>
      </c>
      <c r="AY602" s="77"/>
      <c r="AZ602" s="82" t="s">
        <v>15804</v>
      </c>
      <c r="BA602" s="82" t="s">
        <v>15804</v>
      </c>
      <c r="BB602" s="82" t="s">
        <v>15804</v>
      </c>
      <c r="BC602" s="82" t="s">
        <v>12794</v>
      </c>
      <c r="BD602" s="77">
        <v>73478318</v>
      </c>
      <c r="BE602" s="77"/>
      <c r="BF602" s="77"/>
      <c r="BG602" s="77"/>
      <c r="BH602" s="77"/>
      <c r="BI602" s="77"/>
    </row>
    <row r="603" spans="1:61" x14ac:dyDescent="0.25">
      <c r="A603" s="62" t="s">
        <v>406</v>
      </c>
      <c r="B603" s="62" t="s">
        <v>406</v>
      </c>
      <c r="C603" s="63"/>
      <c r="D603" s="64"/>
      <c r="E603" s="65"/>
      <c r="F603" s="66"/>
      <c r="G603" s="63"/>
      <c r="H603" s="67"/>
      <c r="I603" s="68"/>
      <c r="J603" s="68"/>
      <c r="K603" s="32"/>
      <c r="L603" s="75">
        <v>603</v>
      </c>
      <c r="M603" s="75"/>
      <c r="N603" s="70"/>
      <c r="O603" s="77" t="s">
        <v>179</v>
      </c>
      <c r="P603" s="79">
        <v>44928.917210648149</v>
      </c>
      <c r="Q603" s="77" t="s">
        <v>1710</v>
      </c>
      <c r="R603" s="77">
        <v>0</v>
      </c>
      <c r="S603" s="77">
        <v>0</v>
      </c>
      <c r="T603" s="77">
        <v>0</v>
      </c>
      <c r="U603" s="77">
        <v>0</v>
      </c>
      <c r="V603" s="77"/>
      <c r="W603" s="82" t="s">
        <v>4080</v>
      </c>
      <c r="X603" s="80" t="str">
        <f>HYPERLINK("https://lnkd.in/dtp9QjUX")</f>
        <v>https://lnkd.in/dtp9QjUX</v>
      </c>
      <c r="Y603" s="77" t="s">
        <v>6014</v>
      </c>
      <c r="Z603" s="77"/>
      <c r="AA603" s="77"/>
      <c r="AB603" s="77"/>
      <c r="AC603" s="82" t="s">
        <v>7720</v>
      </c>
      <c r="AD603" s="77" t="s">
        <v>7745</v>
      </c>
      <c r="AE603" s="80" t="str">
        <f>HYPERLINK("https://twitter.com/faria_alcantara/status/1610033388274044928")</f>
        <v>https://twitter.com/faria_alcantara/status/1610033388274044928</v>
      </c>
      <c r="AF603" s="79">
        <v>44928.917210648149</v>
      </c>
      <c r="AG603" s="85">
        <v>44928</v>
      </c>
      <c r="AH603" s="82" t="s">
        <v>8288</v>
      </c>
      <c r="AI603" s="77" t="b">
        <v>0</v>
      </c>
      <c r="AJ603" s="77"/>
      <c r="AK603" s="77"/>
      <c r="AL603" s="77"/>
      <c r="AM603" s="77"/>
      <c r="AN603" s="77"/>
      <c r="AO603" s="77"/>
      <c r="AP603" s="77"/>
      <c r="AQ603" s="77"/>
      <c r="AR603" s="77"/>
      <c r="AS603" s="77"/>
      <c r="AT603" s="77"/>
      <c r="AU603" s="77"/>
      <c r="AV603" s="80" t="str">
        <f>HYPERLINK("https://pbs.twimg.com/profile_images/1111618098786906112/Lrja9uD4_normal.png")</f>
        <v>https://pbs.twimg.com/profile_images/1111618098786906112/Lrja9uD4_normal.png</v>
      </c>
      <c r="AW603" s="82" t="s">
        <v>12795</v>
      </c>
      <c r="AX603" s="82" t="s">
        <v>12795</v>
      </c>
      <c r="AY603" s="77"/>
      <c r="AZ603" s="82" t="s">
        <v>15804</v>
      </c>
      <c r="BA603" s="82" t="s">
        <v>15804</v>
      </c>
      <c r="BB603" s="82" t="s">
        <v>15804</v>
      </c>
      <c r="BC603" s="82" t="s">
        <v>12795</v>
      </c>
      <c r="BD603" s="82" t="s">
        <v>16238</v>
      </c>
      <c r="BE603" s="77"/>
      <c r="BF603" s="77"/>
      <c r="BG603" s="77"/>
      <c r="BH603" s="77"/>
      <c r="BI603" s="77"/>
    </row>
    <row r="604" spans="1:61" x14ac:dyDescent="0.25">
      <c r="A604" s="62" t="s">
        <v>407</v>
      </c>
      <c r="B604" s="62" t="s">
        <v>407</v>
      </c>
      <c r="C604" s="63"/>
      <c r="D604" s="64"/>
      <c r="E604" s="65"/>
      <c r="F604" s="66"/>
      <c r="G604" s="63"/>
      <c r="H604" s="67"/>
      <c r="I604" s="68"/>
      <c r="J604" s="68"/>
      <c r="K604" s="32"/>
      <c r="L604" s="75">
        <v>604</v>
      </c>
      <c r="M604" s="75"/>
      <c r="N604" s="70"/>
      <c r="O604" s="77" t="s">
        <v>179</v>
      </c>
      <c r="P604" s="79">
        <v>44994.664027777777</v>
      </c>
      <c r="Q604" s="77" t="s">
        <v>1711</v>
      </c>
      <c r="R604" s="77">
        <v>0</v>
      </c>
      <c r="S604" s="77">
        <v>0</v>
      </c>
      <c r="T604" s="77">
        <v>0</v>
      </c>
      <c r="U604" s="77">
        <v>0</v>
      </c>
      <c r="V604" s="77">
        <v>12</v>
      </c>
      <c r="W604" s="82" t="s">
        <v>4470</v>
      </c>
      <c r="X604" s="80" t="str">
        <f>HYPERLINK("https://blogdojuares.com.br/noticia/75881/pix-com-cartao-de-credito-entenda-as-alternativas-oferecidas-pelos-bancos-e-os-riscos-envolvidos.html")</f>
        <v>https://blogdojuares.com.br/noticia/75881/pix-com-cartao-de-credito-entenda-as-alternativas-oferecidas-pelos-bancos-e-os-riscos-envolvidos.html</v>
      </c>
      <c r="Y604" s="77" t="s">
        <v>6002</v>
      </c>
      <c r="Z604" s="77"/>
      <c r="AA604" s="77"/>
      <c r="AB604" s="77"/>
      <c r="AC604" s="82" t="s">
        <v>7721</v>
      </c>
      <c r="AD604" s="77" t="s">
        <v>7745</v>
      </c>
      <c r="AE604" s="80" t="str">
        <f>HYPERLINK("https://twitter.com/blogdojuares/status/1633859236298997762")</f>
        <v>https://twitter.com/blogdojuares/status/1633859236298997762</v>
      </c>
      <c r="AF604" s="79">
        <v>44994.664027777777</v>
      </c>
      <c r="AG604" s="85">
        <v>44994</v>
      </c>
      <c r="AH604" s="82" t="s">
        <v>8289</v>
      </c>
      <c r="AI604" s="77" t="b">
        <v>0</v>
      </c>
      <c r="AJ604" s="77"/>
      <c r="AK604" s="77"/>
      <c r="AL604" s="77"/>
      <c r="AM604" s="77"/>
      <c r="AN604" s="77"/>
      <c r="AO604" s="77"/>
      <c r="AP604" s="77"/>
      <c r="AQ604" s="77"/>
      <c r="AR604" s="77"/>
      <c r="AS604" s="77"/>
      <c r="AT604" s="77"/>
      <c r="AU604" s="77"/>
      <c r="AV604" s="80" t="str">
        <f>HYPERLINK("https://pbs.twimg.com/profile_images/1686834655801024512/sVEKXAB3_normal.jpg")</f>
        <v>https://pbs.twimg.com/profile_images/1686834655801024512/sVEKXAB3_normal.jpg</v>
      </c>
      <c r="AW604" s="82" t="s">
        <v>12796</v>
      </c>
      <c r="AX604" s="82" t="s">
        <v>12796</v>
      </c>
      <c r="AY604" s="77"/>
      <c r="AZ604" s="82" t="s">
        <v>15804</v>
      </c>
      <c r="BA604" s="82" t="s">
        <v>15804</v>
      </c>
      <c r="BB604" s="82" t="s">
        <v>15804</v>
      </c>
      <c r="BC604" s="82" t="s">
        <v>12796</v>
      </c>
      <c r="BD604" s="77">
        <v>568494327</v>
      </c>
      <c r="BE604" s="77"/>
      <c r="BF604" s="77"/>
      <c r="BG604" s="77"/>
      <c r="BH604" s="77"/>
      <c r="BI604" s="77"/>
    </row>
    <row r="605" spans="1:61" x14ac:dyDescent="0.25">
      <c r="A605" s="62" t="s">
        <v>407</v>
      </c>
      <c r="B605" s="62" t="s">
        <v>407</v>
      </c>
      <c r="C605" s="63"/>
      <c r="D605" s="64"/>
      <c r="E605" s="65"/>
      <c r="F605" s="66"/>
      <c r="G605" s="63"/>
      <c r="H605" s="67"/>
      <c r="I605" s="68"/>
      <c r="J605" s="68"/>
      <c r="K605" s="32"/>
      <c r="L605" s="75">
        <v>605</v>
      </c>
      <c r="M605" s="75"/>
      <c r="N605" s="70"/>
      <c r="O605" s="77" t="s">
        <v>179</v>
      </c>
      <c r="P605" s="79">
        <v>45035.657280092593</v>
      </c>
      <c r="Q605" s="77" t="s">
        <v>1712</v>
      </c>
      <c r="R605" s="77">
        <v>0</v>
      </c>
      <c r="S605" s="77">
        <v>0</v>
      </c>
      <c r="T605" s="77">
        <v>0</v>
      </c>
      <c r="U605" s="77">
        <v>0</v>
      </c>
      <c r="V605" s="77">
        <v>13</v>
      </c>
      <c r="W605" s="82" t="s">
        <v>4471</v>
      </c>
      <c r="X605" s="80" t="str">
        <f>HYPERLINK("https://blogdojuares.com.br/noticia/76814/educacao-financeira-para-as-criancas---deve-comecar-desde-cedo.html")</f>
        <v>https://blogdojuares.com.br/noticia/76814/educacao-financeira-para-as-criancas---deve-comecar-desde-cedo.html</v>
      </c>
      <c r="Y605" s="77" t="s">
        <v>6002</v>
      </c>
      <c r="Z605" s="77"/>
      <c r="AA605" s="77"/>
      <c r="AB605" s="77"/>
      <c r="AC605" s="82" t="s">
        <v>7721</v>
      </c>
      <c r="AD605" s="77" t="s">
        <v>7745</v>
      </c>
      <c r="AE605" s="80" t="str">
        <f>HYPERLINK("https://twitter.com/blogdojuares/status/1648714692695654401")</f>
        <v>https://twitter.com/blogdojuares/status/1648714692695654401</v>
      </c>
      <c r="AF605" s="79">
        <v>45035.657280092593</v>
      </c>
      <c r="AG605" s="85">
        <v>45035</v>
      </c>
      <c r="AH605" s="82" t="s">
        <v>8290</v>
      </c>
      <c r="AI605" s="77" t="b">
        <v>0</v>
      </c>
      <c r="AJ605" s="77"/>
      <c r="AK605" s="77"/>
      <c r="AL605" s="77"/>
      <c r="AM605" s="77"/>
      <c r="AN605" s="77"/>
      <c r="AO605" s="77"/>
      <c r="AP605" s="77"/>
      <c r="AQ605" s="77"/>
      <c r="AR605" s="77"/>
      <c r="AS605" s="77"/>
      <c r="AT605" s="77"/>
      <c r="AU605" s="77"/>
      <c r="AV605" s="80" t="str">
        <f>HYPERLINK("https://pbs.twimg.com/profile_images/1686834655801024512/sVEKXAB3_normal.jpg")</f>
        <v>https://pbs.twimg.com/profile_images/1686834655801024512/sVEKXAB3_normal.jpg</v>
      </c>
      <c r="AW605" s="82" t="s">
        <v>12797</v>
      </c>
      <c r="AX605" s="82" t="s">
        <v>12797</v>
      </c>
      <c r="AY605" s="77"/>
      <c r="AZ605" s="82" t="s">
        <v>15804</v>
      </c>
      <c r="BA605" s="82" t="s">
        <v>15804</v>
      </c>
      <c r="BB605" s="82" t="s">
        <v>15804</v>
      </c>
      <c r="BC605" s="82" t="s">
        <v>12797</v>
      </c>
      <c r="BD605" s="77">
        <v>568494327</v>
      </c>
      <c r="BE605" s="77"/>
      <c r="BF605" s="77"/>
      <c r="BG605" s="77"/>
      <c r="BH605" s="77"/>
      <c r="BI605" s="77"/>
    </row>
    <row r="606" spans="1:61" x14ac:dyDescent="0.25">
      <c r="A606" s="62" t="s">
        <v>408</v>
      </c>
      <c r="B606" s="62" t="s">
        <v>408</v>
      </c>
      <c r="C606" s="63"/>
      <c r="D606" s="64"/>
      <c r="E606" s="65"/>
      <c r="F606" s="66"/>
      <c r="G606" s="63"/>
      <c r="H606" s="67"/>
      <c r="I606" s="68"/>
      <c r="J606" s="68"/>
      <c r="K606" s="32"/>
      <c r="L606" s="75">
        <v>606</v>
      </c>
      <c r="M606" s="75"/>
      <c r="N606" s="70"/>
      <c r="O606" s="77" t="s">
        <v>179</v>
      </c>
      <c r="P606" s="79">
        <v>44968.632326388892</v>
      </c>
      <c r="Q606" s="77" t="s">
        <v>1713</v>
      </c>
      <c r="R606" s="77">
        <v>0</v>
      </c>
      <c r="S606" s="77">
        <v>0</v>
      </c>
      <c r="T606" s="77">
        <v>0</v>
      </c>
      <c r="U606" s="77">
        <v>0</v>
      </c>
      <c r="V606" s="77">
        <v>24</v>
      </c>
      <c r="W606" s="82" t="s">
        <v>4472</v>
      </c>
      <c r="X606" s="77"/>
      <c r="Y606" s="77"/>
      <c r="Z606" s="77"/>
      <c r="AA606" s="77" t="s">
        <v>6496</v>
      </c>
      <c r="AB606" s="77" t="s">
        <v>7697</v>
      </c>
      <c r="AC606" s="82" t="s">
        <v>7705</v>
      </c>
      <c r="AD606" s="77" t="s">
        <v>7745</v>
      </c>
      <c r="AE606" s="80" t="str">
        <f>HYPERLINK("https://twitter.com/avidamaisrica/status/1624425663598936065")</f>
        <v>https://twitter.com/avidamaisrica/status/1624425663598936065</v>
      </c>
      <c r="AF606" s="79">
        <v>44968.632326388892</v>
      </c>
      <c r="AG606" s="85">
        <v>44968</v>
      </c>
      <c r="AH606" s="82" t="s">
        <v>8291</v>
      </c>
      <c r="AI606" s="77" t="b">
        <v>0</v>
      </c>
      <c r="AJ606" s="77"/>
      <c r="AK606" s="77"/>
      <c r="AL606" s="77"/>
      <c r="AM606" s="77"/>
      <c r="AN606" s="77"/>
      <c r="AO606" s="77"/>
      <c r="AP606" s="77"/>
      <c r="AQ606" s="77" t="s">
        <v>11003</v>
      </c>
      <c r="AR606" s="77">
        <v>40033</v>
      </c>
      <c r="AS606" s="77"/>
      <c r="AT606" s="77"/>
      <c r="AU606" s="77">
        <v>8</v>
      </c>
      <c r="AV606" s="80" t="str">
        <f>HYPERLINK("https://pbs.twimg.com/ext_tw_video_thumb/1624425631617323010/pu/img/izmLlVGo1nzpw6ey.jpg")</f>
        <v>https://pbs.twimg.com/ext_tw_video_thumb/1624425631617323010/pu/img/izmLlVGo1nzpw6ey.jpg</v>
      </c>
      <c r="AW606" s="82" t="s">
        <v>12798</v>
      </c>
      <c r="AX606" s="82" t="s">
        <v>12798</v>
      </c>
      <c r="AY606" s="77"/>
      <c r="AZ606" s="82" t="s">
        <v>15804</v>
      </c>
      <c r="BA606" s="82" t="s">
        <v>15804</v>
      </c>
      <c r="BB606" s="82" t="s">
        <v>15804</v>
      </c>
      <c r="BC606" s="82" t="s">
        <v>12798</v>
      </c>
      <c r="BD606" s="82" t="s">
        <v>16239</v>
      </c>
      <c r="BE606" s="77"/>
      <c r="BF606" s="77"/>
      <c r="BG606" s="77"/>
      <c r="BH606" s="77"/>
      <c r="BI606" s="77"/>
    </row>
    <row r="607" spans="1:61" x14ac:dyDescent="0.25">
      <c r="A607" s="62" t="s">
        <v>408</v>
      </c>
      <c r="B607" s="62" t="s">
        <v>408</v>
      </c>
      <c r="C607" s="63"/>
      <c r="D607" s="64"/>
      <c r="E607" s="65"/>
      <c r="F607" s="66"/>
      <c r="G607" s="63"/>
      <c r="H607" s="67"/>
      <c r="I607" s="68"/>
      <c r="J607" s="68"/>
      <c r="K607" s="32"/>
      <c r="L607" s="75">
        <v>607</v>
      </c>
      <c r="M607" s="75"/>
      <c r="N607" s="70"/>
      <c r="O607" s="77" t="s">
        <v>179</v>
      </c>
      <c r="P607" s="79">
        <v>44965.867094907408</v>
      </c>
      <c r="Q607" s="77" t="s">
        <v>1714</v>
      </c>
      <c r="R607" s="77">
        <v>0</v>
      </c>
      <c r="S607" s="77">
        <v>0</v>
      </c>
      <c r="T607" s="77">
        <v>0</v>
      </c>
      <c r="U607" s="77">
        <v>0</v>
      </c>
      <c r="V607" s="77">
        <v>21</v>
      </c>
      <c r="W607" s="82" t="s">
        <v>4473</v>
      </c>
      <c r="X607" s="80" t="str">
        <f>HYPERLINK("http://avidamaisrica.com")</f>
        <v>http://avidamaisrica.com</v>
      </c>
      <c r="Y607" s="77" t="s">
        <v>6033</v>
      </c>
      <c r="Z607" s="77"/>
      <c r="AA607" s="77" t="s">
        <v>6497</v>
      </c>
      <c r="AB607" s="77" t="s">
        <v>7696</v>
      </c>
      <c r="AC607" s="82" t="s">
        <v>7705</v>
      </c>
      <c r="AD607" s="77" t="s">
        <v>7745</v>
      </c>
      <c r="AE607" s="80" t="str">
        <f>HYPERLINK("https://twitter.com/avidamaisrica/status/1623423578417790976")</f>
        <v>https://twitter.com/avidamaisrica/status/1623423578417790976</v>
      </c>
      <c r="AF607" s="79">
        <v>44965.867094907408</v>
      </c>
      <c r="AG607" s="85">
        <v>44965</v>
      </c>
      <c r="AH607" s="82" t="s">
        <v>8292</v>
      </c>
      <c r="AI607" s="77" t="b">
        <v>0</v>
      </c>
      <c r="AJ607" s="77"/>
      <c r="AK607" s="77"/>
      <c r="AL607" s="77"/>
      <c r="AM607" s="77"/>
      <c r="AN607" s="77"/>
      <c r="AO607" s="77"/>
      <c r="AP607" s="77"/>
      <c r="AQ607" s="77" t="s">
        <v>11004</v>
      </c>
      <c r="AR607" s="77"/>
      <c r="AS607" s="77"/>
      <c r="AT607" s="77"/>
      <c r="AU607" s="77"/>
      <c r="AV607" s="80" t="str">
        <f>HYPERLINK("https://pbs.twimg.com/media/FoePIlCWAAclwv4.jpg")</f>
        <v>https://pbs.twimg.com/media/FoePIlCWAAclwv4.jpg</v>
      </c>
      <c r="AW607" s="82" t="s">
        <v>12799</v>
      </c>
      <c r="AX607" s="82" t="s">
        <v>12799</v>
      </c>
      <c r="AY607" s="77"/>
      <c r="AZ607" s="82" t="s">
        <v>15804</v>
      </c>
      <c r="BA607" s="82" t="s">
        <v>15804</v>
      </c>
      <c r="BB607" s="82" t="s">
        <v>15804</v>
      </c>
      <c r="BC607" s="82" t="s">
        <v>12799</v>
      </c>
      <c r="BD607" s="82" t="s">
        <v>16239</v>
      </c>
      <c r="BE607" s="77"/>
      <c r="BF607" s="77"/>
      <c r="BG607" s="77"/>
      <c r="BH607" s="77"/>
      <c r="BI607" s="77"/>
    </row>
    <row r="608" spans="1:61" x14ac:dyDescent="0.25">
      <c r="A608" s="62" t="s">
        <v>408</v>
      </c>
      <c r="B608" s="62" t="s">
        <v>408</v>
      </c>
      <c r="C608" s="63"/>
      <c r="D608" s="64"/>
      <c r="E608" s="65"/>
      <c r="F608" s="66"/>
      <c r="G608" s="63"/>
      <c r="H608" s="67"/>
      <c r="I608" s="68"/>
      <c r="J608" s="68"/>
      <c r="K608" s="32"/>
      <c r="L608" s="75">
        <v>608</v>
      </c>
      <c r="M608" s="75"/>
      <c r="N608" s="70"/>
      <c r="O608" s="77" t="s">
        <v>179</v>
      </c>
      <c r="P608" s="79">
        <v>44962.747337962966</v>
      </c>
      <c r="Q608" s="77" t="s">
        <v>1715</v>
      </c>
      <c r="R608" s="77">
        <v>0</v>
      </c>
      <c r="S608" s="77">
        <v>1</v>
      </c>
      <c r="T608" s="77">
        <v>0</v>
      </c>
      <c r="U608" s="77">
        <v>0</v>
      </c>
      <c r="V608" s="77">
        <v>31</v>
      </c>
      <c r="W608" s="82" t="s">
        <v>4473</v>
      </c>
      <c r="X608" s="80" t="str">
        <f>HYPERLINK("http://avidamaisrica.com")</f>
        <v>http://avidamaisrica.com</v>
      </c>
      <c r="Y608" s="77" t="s">
        <v>6033</v>
      </c>
      <c r="Z608" s="77"/>
      <c r="AA608" s="77" t="s">
        <v>6498</v>
      </c>
      <c r="AB608" s="77" t="s">
        <v>7697</v>
      </c>
      <c r="AC608" s="82" t="s">
        <v>7705</v>
      </c>
      <c r="AD608" s="77" t="s">
        <v>7745</v>
      </c>
      <c r="AE608" s="80" t="str">
        <f>HYPERLINK("https://twitter.com/avidamaisrica/status/1622293016332337153")</f>
        <v>https://twitter.com/avidamaisrica/status/1622293016332337153</v>
      </c>
      <c r="AF608" s="79">
        <v>44962.747337962966</v>
      </c>
      <c r="AG608" s="85">
        <v>44962</v>
      </c>
      <c r="AH608" s="82" t="s">
        <v>8293</v>
      </c>
      <c r="AI608" s="77" t="b">
        <v>0</v>
      </c>
      <c r="AJ608" s="77"/>
      <c r="AK608" s="77"/>
      <c r="AL608" s="77"/>
      <c r="AM608" s="77"/>
      <c r="AN608" s="77"/>
      <c r="AO608" s="77"/>
      <c r="AP608" s="77"/>
      <c r="AQ608" s="77" t="s">
        <v>11005</v>
      </c>
      <c r="AR608" s="77">
        <v>27866</v>
      </c>
      <c r="AS608" s="77"/>
      <c r="AT608" s="77"/>
      <c r="AU608" s="77">
        <v>6</v>
      </c>
      <c r="AV608" s="80" t="str">
        <f>HYPERLINK("https://pbs.twimg.com/ext_tw_video_thumb/1622292968479625219/pu/img/ldEzm-6wxjffxS12.jpg")</f>
        <v>https://pbs.twimg.com/ext_tw_video_thumb/1622292968479625219/pu/img/ldEzm-6wxjffxS12.jpg</v>
      </c>
      <c r="AW608" s="82" t="s">
        <v>12800</v>
      </c>
      <c r="AX608" s="82" t="s">
        <v>12800</v>
      </c>
      <c r="AY608" s="77"/>
      <c r="AZ608" s="82" t="s">
        <v>15804</v>
      </c>
      <c r="BA608" s="82" t="s">
        <v>15804</v>
      </c>
      <c r="BB608" s="82" t="s">
        <v>15804</v>
      </c>
      <c r="BC608" s="82" t="s">
        <v>12800</v>
      </c>
      <c r="BD608" s="82" t="s">
        <v>16239</v>
      </c>
      <c r="BE608" s="77"/>
      <c r="BF608" s="77"/>
      <c r="BG608" s="77"/>
      <c r="BH608" s="77"/>
      <c r="BI608" s="77"/>
    </row>
    <row r="609" spans="1:61" x14ac:dyDescent="0.25">
      <c r="A609" s="62" t="s">
        <v>409</v>
      </c>
      <c r="B609" s="62" t="s">
        <v>409</v>
      </c>
      <c r="C609" s="63"/>
      <c r="D609" s="64"/>
      <c r="E609" s="65"/>
      <c r="F609" s="66"/>
      <c r="G609" s="63"/>
      <c r="H609" s="67"/>
      <c r="I609" s="68"/>
      <c r="J609" s="68"/>
      <c r="K609" s="32"/>
      <c r="L609" s="75">
        <v>609</v>
      </c>
      <c r="M609" s="75"/>
      <c r="N609" s="70"/>
      <c r="O609" s="77" t="s">
        <v>179</v>
      </c>
      <c r="P609" s="79">
        <v>44944.642395833333</v>
      </c>
      <c r="Q609" s="77" t="s">
        <v>1716</v>
      </c>
      <c r="R609" s="77">
        <v>0</v>
      </c>
      <c r="S609" s="77">
        <v>0</v>
      </c>
      <c r="T609" s="77">
        <v>0</v>
      </c>
      <c r="U609" s="77">
        <v>0</v>
      </c>
      <c r="V609" s="77">
        <v>25</v>
      </c>
      <c r="W609" s="82" t="s">
        <v>4474</v>
      </c>
      <c r="X609" s="80" t="str">
        <f>HYPERLINK("https://open.spotify.com/episode/4KSNKQIYhBlXOql2a3mAT3?si=q6rYQ45nSXmhnr1rQRaYgw")</f>
        <v>https://open.spotify.com/episode/4KSNKQIYhBlXOql2a3mAT3?si=q6rYQ45nSXmhnr1rQRaYgw</v>
      </c>
      <c r="Y609" s="77" t="s">
        <v>6034</v>
      </c>
      <c r="Z609" s="77"/>
      <c r="AA609" s="77"/>
      <c r="AB609" s="77"/>
      <c r="AC609" s="82" t="s">
        <v>7706</v>
      </c>
      <c r="AD609" s="77" t="s">
        <v>7745</v>
      </c>
      <c r="AE609" s="80" t="str">
        <f>HYPERLINK("https://twitter.com/joaoricardosil/status/1615732005030989829")</f>
        <v>https://twitter.com/joaoricardosil/status/1615732005030989829</v>
      </c>
      <c r="AF609" s="79">
        <v>44944.642395833333</v>
      </c>
      <c r="AG609" s="85">
        <v>44944</v>
      </c>
      <c r="AH609" s="82" t="s">
        <v>8294</v>
      </c>
      <c r="AI609" s="77" t="b">
        <v>0</v>
      </c>
      <c r="AJ609" s="77"/>
      <c r="AK609" s="77"/>
      <c r="AL609" s="77"/>
      <c r="AM609" s="77"/>
      <c r="AN609" s="77"/>
      <c r="AO609" s="77"/>
      <c r="AP609" s="77"/>
      <c r="AQ609" s="77"/>
      <c r="AR609" s="77"/>
      <c r="AS609" s="77"/>
      <c r="AT609" s="77"/>
      <c r="AU609" s="77"/>
      <c r="AV609" s="80" t="str">
        <f>HYPERLINK("https://pbs.twimg.com/profile_images/1509644692656431105/MWyCysV8_normal.jpg")</f>
        <v>https://pbs.twimg.com/profile_images/1509644692656431105/MWyCysV8_normal.jpg</v>
      </c>
      <c r="AW609" s="82" t="s">
        <v>12801</v>
      </c>
      <c r="AX609" s="82" t="s">
        <v>12801</v>
      </c>
      <c r="AY609" s="77"/>
      <c r="AZ609" s="82" t="s">
        <v>15804</v>
      </c>
      <c r="BA609" s="82" t="s">
        <v>15804</v>
      </c>
      <c r="BB609" s="82" t="s">
        <v>15804</v>
      </c>
      <c r="BC609" s="82" t="s">
        <v>12801</v>
      </c>
      <c r="BD609" s="77">
        <v>2396564851</v>
      </c>
      <c r="BE609" s="77"/>
      <c r="BF609" s="77"/>
      <c r="BG609" s="77"/>
      <c r="BH609" s="77"/>
      <c r="BI609" s="77"/>
    </row>
    <row r="610" spans="1:61" x14ac:dyDescent="0.25">
      <c r="A610" s="62" t="s">
        <v>409</v>
      </c>
      <c r="B610" s="62" t="s">
        <v>409</v>
      </c>
      <c r="C610" s="63"/>
      <c r="D610" s="64"/>
      <c r="E610" s="65"/>
      <c r="F610" s="66"/>
      <c r="G610" s="63"/>
      <c r="H610" s="67"/>
      <c r="I610" s="68"/>
      <c r="J610" s="68"/>
      <c r="K610" s="32"/>
      <c r="L610" s="75">
        <v>610</v>
      </c>
      <c r="M610" s="75"/>
      <c r="N610" s="70"/>
      <c r="O610" s="77" t="s">
        <v>179</v>
      </c>
      <c r="P610" s="79">
        <v>44941.518252314818</v>
      </c>
      <c r="Q610" s="77" t="s">
        <v>1717</v>
      </c>
      <c r="R610" s="77">
        <v>0</v>
      </c>
      <c r="S610" s="77">
        <v>0</v>
      </c>
      <c r="T610" s="77">
        <v>0</v>
      </c>
      <c r="U610" s="77">
        <v>0</v>
      </c>
      <c r="V610" s="77">
        <v>21</v>
      </c>
      <c r="W610" s="82" t="s">
        <v>4475</v>
      </c>
      <c r="X610" s="77"/>
      <c r="Y610" s="77"/>
      <c r="Z610" s="77"/>
      <c r="AA610" s="77"/>
      <c r="AB610" s="77"/>
      <c r="AC610" s="82" t="s">
        <v>7707</v>
      </c>
      <c r="AD610" s="77" t="s">
        <v>7745</v>
      </c>
      <c r="AE610" s="80" t="str">
        <f>HYPERLINK("https://twitter.com/joaoricardosil/status/1614599853530652673")</f>
        <v>https://twitter.com/joaoricardosil/status/1614599853530652673</v>
      </c>
      <c r="AF610" s="79">
        <v>44941.518252314818</v>
      </c>
      <c r="AG610" s="85">
        <v>44941</v>
      </c>
      <c r="AH610" s="82" t="s">
        <v>8295</v>
      </c>
      <c r="AI610" s="77" t="b">
        <v>0</v>
      </c>
      <c r="AJ610" s="77"/>
      <c r="AK610" s="77"/>
      <c r="AL610" s="77"/>
      <c r="AM610" s="77"/>
      <c r="AN610" s="77"/>
      <c r="AO610" s="77"/>
      <c r="AP610" s="77"/>
      <c r="AQ610" s="77"/>
      <c r="AR610" s="77"/>
      <c r="AS610" s="77"/>
      <c r="AT610" s="77"/>
      <c r="AU610" s="77"/>
      <c r="AV610" s="80" t="str">
        <f>HYPERLINK("https://pbs.twimg.com/profile_images/1509644692656431105/MWyCysV8_normal.jpg")</f>
        <v>https://pbs.twimg.com/profile_images/1509644692656431105/MWyCysV8_normal.jpg</v>
      </c>
      <c r="AW610" s="82" t="s">
        <v>12802</v>
      </c>
      <c r="AX610" s="82" t="s">
        <v>12802</v>
      </c>
      <c r="AY610" s="77"/>
      <c r="AZ610" s="82" t="s">
        <v>15804</v>
      </c>
      <c r="BA610" s="82" t="s">
        <v>15804</v>
      </c>
      <c r="BB610" s="82" t="s">
        <v>15804</v>
      </c>
      <c r="BC610" s="82" t="s">
        <v>12802</v>
      </c>
      <c r="BD610" s="77">
        <v>2396564851</v>
      </c>
      <c r="BE610" s="77" t="s">
        <v>16596</v>
      </c>
      <c r="BF610" s="77" t="s">
        <v>16599</v>
      </c>
      <c r="BG610" s="77">
        <v>2880</v>
      </c>
      <c r="BH610" s="77" t="s">
        <v>16601</v>
      </c>
      <c r="BI610" s="77" t="s">
        <v>16604</v>
      </c>
    </row>
    <row r="611" spans="1:61" x14ac:dyDescent="0.25">
      <c r="A611" s="62" t="s">
        <v>409</v>
      </c>
      <c r="B611" s="62" t="s">
        <v>409</v>
      </c>
      <c r="C611" s="63"/>
      <c r="D611" s="64"/>
      <c r="E611" s="65"/>
      <c r="F611" s="66"/>
      <c r="G611" s="63"/>
      <c r="H611" s="67"/>
      <c r="I611" s="68"/>
      <c r="J611" s="68"/>
      <c r="K611" s="32"/>
      <c r="L611" s="75">
        <v>611</v>
      </c>
      <c r="M611" s="75"/>
      <c r="N611" s="70"/>
      <c r="O611" s="77" t="s">
        <v>179</v>
      </c>
      <c r="P611" s="79">
        <v>44960.735231481478</v>
      </c>
      <c r="Q611" s="77" t="s">
        <v>1718</v>
      </c>
      <c r="R611" s="77">
        <v>0</v>
      </c>
      <c r="S611" s="77">
        <v>0</v>
      </c>
      <c r="T611" s="77">
        <v>0</v>
      </c>
      <c r="U611" s="77">
        <v>0</v>
      </c>
      <c r="V611" s="77">
        <v>17</v>
      </c>
      <c r="W611" s="82" t="s">
        <v>4476</v>
      </c>
      <c r="X611" s="80" t="str">
        <f>HYPERLINK("https://www.instagram.com/p/CoNLLXDsxlA/?igshid=MDJmNzVkMjY=")</f>
        <v>https://www.instagram.com/p/CoNLLXDsxlA/?igshid=MDJmNzVkMjY=</v>
      </c>
      <c r="Y611" s="77" t="s">
        <v>6000</v>
      </c>
      <c r="Z611" s="77"/>
      <c r="AA611" s="77"/>
      <c r="AB611" s="77"/>
      <c r="AC611" s="82" t="s">
        <v>7707</v>
      </c>
      <c r="AD611" s="77" t="s">
        <v>7745</v>
      </c>
      <c r="AE611" s="80" t="str">
        <f>HYPERLINK("https://twitter.com/joaoricardosil/status/1621563854969884672")</f>
        <v>https://twitter.com/joaoricardosil/status/1621563854969884672</v>
      </c>
      <c r="AF611" s="79">
        <v>44960.735231481478</v>
      </c>
      <c r="AG611" s="85">
        <v>44960</v>
      </c>
      <c r="AH611" s="82" t="s">
        <v>8296</v>
      </c>
      <c r="AI611" s="77" t="b">
        <v>0</v>
      </c>
      <c r="AJ611" s="77"/>
      <c r="AK611" s="77"/>
      <c r="AL611" s="77"/>
      <c r="AM611" s="77"/>
      <c r="AN611" s="77"/>
      <c r="AO611" s="77"/>
      <c r="AP611" s="77"/>
      <c r="AQ611" s="77"/>
      <c r="AR611" s="77"/>
      <c r="AS611" s="77"/>
      <c r="AT611" s="77"/>
      <c r="AU611" s="77"/>
      <c r="AV611" s="80" t="str">
        <f>HYPERLINK("https://pbs.twimg.com/profile_images/1509644692656431105/MWyCysV8_normal.jpg")</f>
        <v>https://pbs.twimg.com/profile_images/1509644692656431105/MWyCysV8_normal.jpg</v>
      </c>
      <c r="AW611" s="82" t="s">
        <v>12803</v>
      </c>
      <c r="AX611" s="82" t="s">
        <v>12803</v>
      </c>
      <c r="AY611" s="77"/>
      <c r="AZ611" s="82" t="s">
        <v>15804</v>
      </c>
      <c r="BA611" s="82" t="s">
        <v>15804</v>
      </c>
      <c r="BB611" s="82" t="s">
        <v>15804</v>
      </c>
      <c r="BC611" s="82" t="s">
        <v>12803</v>
      </c>
      <c r="BD611" s="77">
        <v>2396564851</v>
      </c>
      <c r="BE611" s="77"/>
      <c r="BF611" s="77"/>
      <c r="BG611" s="77"/>
      <c r="BH611" s="77"/>
      <c r="BI611" s="77"/>
    </row>
    <row r="612" spans="1:61" x14ac:dyDescent="0.25">
      <c r="A612" s="62" t="s">
        <v>409</v>
      </c>
      <c r="B612" s="62" t="s">
        <v>409</v>
      </c>
      <c r="C612" s="63"/>
      <c r="D612" s="64"/>
      <c r="E612" s="65"/>
      <c r="F612" s="66"/>
      <c r="G612" s="63"/>
      <c r="H612" s="67"/>
      <c r="I612" s="68"/>
      <c r="J612" s="68"/>
      <c r="K612" s="32"/>
      <c r="L612" s="75">
        <v>612</v>
      </c>
      <c r="M612" s="75"/>
      <c r="N612" s="70"/>
      <c r="O612" s="77" t="s">
        <v>179</v>
      </c>
      <c r="P612" s="79">
        <v>44950.488402777781</v>
      </c>
      <c r="Q612" s="77" t="s">
        <v>1719</v>
      </c>
      <c r="R612" s="77">
        <v>1</v>
      </c>
      <c r="S612" s="77">
        <v>1</v>
      </c>
      <c r="T612" s="77">
        <v>1</v>
      </c>
      <c r="U612" s="77">
        <v>0</v>
      </c>
      <c r="V612" s="77">
        <v>34</v>
      </c>
      <c r="W612" s="82" t="s">
        <v>4477</v>
      </c>
      <c r="X612" s="80" t="str">
        <f>HYPERLINK("https://www.instagram.com/p/Cny8wU1K0oc/?utm_source=ig_web_button_share_sheet")</f>
        <v>https://www.instagram.com/p/Cny8wU1K0oc/?utm_source=ig_web_button_share_sheet</v>
      </c>
      <c r="Y612" s="77" t="s">
        <v>6000</v>
      </c>
      <c r="Z612" s="77"/>
      <c r="AA612" s="77"/>
      <c r="AB612" s="77"/>
      <c r="AC612" s="82" t="s">
        <v>7706</v>
      </c>
      <c r="AD612" s="77" t="s">
        <v>7745</v>
      </c>
      <c r="AE612" s="80" t="str">
        <f>HYPERLINK("https://twitter.com/joaoricardosil/status/1617850527458684928")</f>
        <v>https://twitter.com/joaoricardosil/status/1617850527458684928</v>
      </c>
      <c r="AF612" s="79">
        <v>44950.488402777781</v>
      </c>
      <c r="AG612" s="85">
        <v>44950</v>
      </c>
      <c r="AH612" s="82" t="s">
        <v>8297</v>
      </c>
      <c r="AI612" s="77" t="b">
        <v>0</v>
      </c>
      <c r="AJ612" s="77"/>
      <c r="AK612" s="77"/>
      <c r="AL612" s="77"/>
      <c r="AM612" s="77"/>
      <c r="AN612" s="77"/>
      <c r="AO612" s="77"/>
      <c r="AP612" s="77"/>
      <c r="AQ612" s="77"/>
      <c r="AR612" s="77"/>
      <c r="AS612" s="77"/>
      <c r="AT612" s="77"/>
      <c r="AU612" s="77"/>
      <c r="AV612" s="80" t="str">
        <f>HYPERLINK("https://pbs.twimg.com/profile_images/1509644692656431105/MWyCysV8_normal.jpg")</f>
        <v>https://pbs.twimg.com/profile_images/1509644692656431105/MWyCysV8_normal.jpg</v>
      </c>
      <c r="AW612" s="82" t="s">
        <v>12804</v>
      </c>
      <c r="AX612" s="82" t="s">
        <v>12804</v>
      </c>
      <c r="AY612" s="77"/>
      <c r="AZ612" s="82" t="s">
        <v>15804</v>
      </c>
      <c r="BA612" s="82" t="s">
        <v>15804</v>
      </c>
      <c r="BB612" s="82" t="s">
        <v>15804</v>
      </c>
      <c r="BC612" s="82" t="s">
        <v>12804</v>
      </c>
      <c r="BD612" s="77">
        <v>2396564851</v>
      </c>
      <c r="BE612" s="77"/>
      <c r="BF612" s="77"/>
      <c r="BG612" s="77"/>
      <c r="BH612" s="77"/>
      <c r="BI612" s="77"/>
    </row>
    <row r="613" spans="1:61" x14ac:dyDescent="0.25">
      <c r="A613" s="62" t="s">
        <v>409</v>
      </c>
      <c r="B613" s="62" t="s">
        <v>409</v>
      </c>
      <c r="C613" s="63"/>
      <c r="D613" s="64"/>
      <c r="E613" s="65"/>
      <c r="F613" s="66"/>
      <c r="G613" s="63"/>
      <c r="H613" s="67"/>
      <c r="I613" s="68"/>
      <c r="J613" s="68"/>
      <c r="K613" s="32"/>
      <c r="L613" s="75">
        <v>613</v>
      </c>
      <c r="M613" s="75"/>
      <c r="N613" s="70"/>
      <c r="O613" s="77" t="s">
        <v>179</v>
      </c>
      <c r="P613" s="79">
        <v>44949.447534722225</v>
      </c>
      <c r="Q613" s="77" t="s">
        <v>1720</v>
      </c>
      <c r="R613" s="77">
        <v>0</v>
      </c>
      <c r="S613" s="77">
        <v>0</v>
      </c>
      <c r="T613" s="77">
        <v>0</v>
      </c>
      <c r="U613" s="77">
        <v>0</v>
      </c>
      <c r="V613" s="77">
        <v>20</v>
      </c>
      <c r="W613" s="82" t="s">
        <v>4478</v>
      </c>
      <c r="X613" s="77"/>
      <c r="Y613" s="77"/>
      <c r="Z613" s="77"/>
      <c r="AA613" s="77"/>
      <c r="AB613" s="77"/>
      <c r="AC613" s="82" t="s">
        <v>7706</v>
      </c>
      <c r="AD613" s="77" t="s">
        <v>7745</v>
      </c>
      <c r="AE613" s="80" t="str">
        <f>HYPERLINK("https://twitter.com/joaoricardosil/status/1617473327630807040")</f>
        <v>https://twitter.com/joaoricardosil/status/1617473327630807040</v>
      </c>
      <c r="AF613" s="79">
        <v>44949.447534722225</v>
      </c>
      <c r="AG613" s="85">
        <v>44949</v>
      </c>
      <c r="AH613" s="82" t="s">
        <v>8298</v>
      </c>
      <c r="AI613" s="77" t="b">
        <v>0</v>
      </c>
      <c r="AJ613" s="77"/>
      <c r="AK613" s="77"/>
      <c r="AL613" s="77"/>
      <c r="AM613" s="77"/>
      <c r="AN613" s="77"/>
      <c r="AO613" s="77"/>
      <c r="AP613" s="77"/>
      <c r="AQ613" s="77"/>
      <c r="AR613" s="77"/>
      <c r="AS613" s="77"/>
      <c r="AT613" s="77"/>
      <c r="AU613" s="77"/>
      <c r="AV613" s="80" t="str">
        <f>HYPERLINK("https://pbs.twimg.com/profile_images/1509644692656431105/MWyCysV8_normal.jpg")</f>
        <v>https://pbs.twimg.com/profile_images/1509644692656431105/MWyCysV8_normal.jpg</v>
      </c>
      <c r="AW613" s="82" t="s">
        <v>12805</v>
      </c>
      <c r="AX613" s="82" t="s">
        <v>12805</v>
      </c>
      <c r="AY613" s="77"/>
      <c r="AZ613" s="82" t="s">
        <v>15804</v>
      </c>
      <c r="BA613" s="82" t="s">
        <v>15804</v>
      </c>
      <c r="BB613" s="82" t="s">
        <v>15804</v>
      </c>
      <c r="BC613" s="82" t="s">
        <v>12805</v>
      </c>
      <c r="BD613" s="77">
        <v>2396564851</v>
      </c>
      <c r="BE613" s="77"/>
      <c r="BF613" s="77"/>
      <c r="BG613" s="77"/>
      <c r="BH613" s="77"/>
      <c r="BI613" s="77"/>
    </row>
    <row r="614" spans="1:61" x14ac:dyDescent="0.25">
      <c r="A614" s="62" t="s">
        <v>410</v>
      </c>
      <c r="B614" s="62" t="s">
        <v>410</v>
      </c>
      <c r="C614" s="63"/>
      <c r="D614" s="64"/>
      <c r="E614" s="65"/>
      <c r="F614" s="66"/>
      <c r="G614" s="63"/>
      <c r="H614" s="67"/>
      <c r="I614" s="68"/>
      <c r="J614" s="68"/>
      <c r="K614" s="32"/>
      <c r="L614" s="75">
        <v>614</v>
      </c>
      <c r="M614" s="75"/>
      <c r="N614" s="70"/>
      <c r="O614" s="77" t="s">
        <v>179</v>
      </c>
      <c r="P614" s="79">
        <v>44992.932326388887</v>
      </c>
      <c r="Q614" s="77" t="s">
        <v>1721</v>
      </c>
      <c r="R614" s="77">
        <v>0</v>
      </c>
      <c r="S614" s="77">
        <v>0</v>
      </c>
      <c r="T614" s="77">
        <v>0</v>
      </c>
      <c r="U614" s="77">
        <v>0</v>
      </c>
      <c r="V614" s="77">
        <v>47</v>
      </c>
      <c r="W614" s="82" t="s">
        <v>4479</v>
      </c>
      <c r="X614" s="77"/>
      <c r="Y614" s="77"/>
      <c r="Z614" s="77"/>
      <c r="AA614" s="77" t="s">
        <v>6499</v>
      </c>
      <c r="AB614" s="77" t="s">
        <v>7697</v>
      </c>
      <c r="AC614" s="82" t="s">
        <v>7707</v>
      </c>
      <c r="AD614" s="77" t="s">
        <v>7745</v>
      </c>
      <c r="AE614" s="80" t="str">
        <f>HYPERLINK("https://twitter.com/mondinthalles/status/1633231689047502849")</f>
        <v>https://twitter.com/mondinthalles/status/1633231689047502849</v>
      </c>
      <c r="AF614" s="79">
        <v>44992.932326388887</v>
      </c>
      <c r="AG614" s="85">
        <v>44992</v>
      </c>
      <c r="AH614" s="82" t="s">
        <v>8299</v>
      </c>
      <c r="AI614" s="77" t="b">
        <v>0</v>
      </c>
      <c r="AJ614" s="77"/>
      <c r="AK614" s="77"/>
      <c r="AL614" s="77"/>
      <c r="AM614" s="77"/>
      <c r="AN614" s="77"/>
      <c r="AO614" s="77"/>
      <c r="AP614" s="77"/>
      <c r="AQ614" s="77" t="s">
        <v>11006</v>
      </c>
      <c r="AR614" s="77">
        <v>61763</v>
      </c>
      <c r="AS614" s="77"/>
      <c r="AT614" s="77"/>
      <c r="AU614" s="77">
        <v>14</v>
      </c>
      <c r="AV614" s="80" t="str">
        <f>HYPERLINK("https://pbs.twimg.com/ext_tw_video_thumb/1633231606105161728/pu/img/vJhdT4JZfRYAhNFZ.jpg")</f>
        <v>https://pbs.twimg.com/ext_tw_video_thumb/1633231606105161728/pu/img/vJhdT4JZfRYAhNFZ.jpg</v>
      </c>
      <c r="AW614" s="82" t="s">
        <v>12806</v>
      </c>
      <c r="AX614" s="82" t="s">
        <v>12806</v>
      </c>
      <c r="AY614" s="77"/>
      <c r="AZ614" s="82" t="s">
        <v>15804</v>
      </c>
      <c r="BA614" s="82" t="s">
        <v>15804</v>
      </c>
      <c r="BB614" s="82" t="s">
        <v>15804</v>
      </c>
      <c r="BC614" s="82" t="s">
        <v>12806</v>
      </c>
      <c r="BD614" s="77">
        <v>3240648647</v>
      </c>
      <c r="BE614" s="77"/>
      <c r="BF614" s="77"/>
      <c r="BG614" s="77"/>
      <c r="BH614" s="77"/>
      <c r="BI614" s="77"/>
    </row>
    <row r="615" spans="1:61" x14ac:dyDescent="0.25">
      <c r="A615" s="62" t="s">
        <v>410</v>
      </c>
      <c r="B615" s="62" t="s">
        <v>410</v>
      </c>
      <c r="C615" s="63"/>
      <c r="D615" s="64"/>
      <c r="E615" s="65"/>
      <c r="F615" s="66"/>
      <c r="G615" s="63"/>
      <c r="H615" s="67"/>
      <c r="I615" s="68"/>
      <c r="J615" s="68"/>
      <c r="K615" s="32"/>
      <c r="L615" s="75">
        <v>615</v>
      </c>
      <c r="M615" s="75"/>
      <c r="N615" s="70"/>
      <c r="O615" s="77" t="s">
        <v>179</v>
      </c>
      <c r="P615" s="79">
        <v>45092.947465277779</v>
      </c>
      <c r="Q615" s="77" t="s">
        <v>1722</v>
      </c>
      <c r="R615" s="77">
        <v>0</v>
      </c>
      <c r="S615" s="77">
        <v>0</v>
      </c>
      <c r="T615" s="77">
        <v>0</v>
      </c>
      <c r="U615" s="77">
        <v>0</v>
      </c>
      <c r="V615" s="77">
        <v>41</v>
      </c>
      <c r="W615" s="82" t="s">
        <v>4480</v>
      </c>
      <c r="X615" s="77"/>
      <c r="Y615" s="77"/>
      <c r="Z615" s="77"/>
      <c r="AA615" s="77" t="s">
        <v>6500</v>
      </c>
      <c r="AB615" s="77" t="s">
        <v>7697</v>
      </c>
      <c r="AC615" s="82" t="s">
        <v>7707</v>
      </c>
      <c r="AD615" s="77" t="s">
        <v>7745</v>
      </c>
      <c r="AE615" s="80" t="str">
        <f>HYPERLINK("https://twitter.com/mondinthalles/status/1669475962789003264")</f>
        <v>https://twitter.com/mondinthalles/status/1669475962789003264</v>
      </c>
      <c r="AF615" s="79">
        <v>45092.947465277779</v>
      </c>
      <c r="AG615" s="85">
        <v>45092</v>
      </c>
      <c r="AH615" s="82" t="s">
        <v>8300</v>
      </c>
      <c r="AI615" s="77" t="b">
        <v>0</v>
      </c>
      <c r="AJ615" s="77"/>
      <c r="AK615" s="77"/>
      <c r="AL615" s="77"/>
      <c r="AM615" s="77"/>
      <c r="AN615" s="77"/>
      <c r="AO615" s="77"/>
      <c r="AP615" s="77"/>
      <c r="AQ615" s="77" t="s">
        <v>11007</v>
      </c>
      <c r="AR615" s="77">
        <v>44999</v>
      </c>
      <c r="AS615" s="77"/>
      <c r="AT615" s="77"/>
      <c r="AU615" s="77">
        <v>9</v>
      </c>
      <c r="AV615" s="80" t="str">
        <f>HYPERLINK("https://pbs.twimg.com/ext_tw_video_thumb/1669475633397653504/pu/img/UPKVcc8kXQfAwHH3.jpg")</f>
        <v>https://pbs.twimg.com/ext_tw_video_thumb/1669475633397653504/pu/img/UPKVcc8kXQfAwHH3.jpg</v>
      </c>
      <c r="AW615" s="82" t="s">
        <v>12807</v>
      </c>
      <c r="AX615" s="82" t="s">
        <v>12807</v>
      </c>
      <c r="AY615" s="77"/>
      <c r="AZ615" s="82" t="s">
        <v>15804</v>
      </c>
      <c r="BA615" s="82" t="s">
        <v>15804</v>
      </c>
      <c r="BB615" s="82" t="s">
        <v>15804</v>
      </c>
      <c r="BC615" s="82" t="s">
        <v>12807</v>
      </c>
      <c r="BD615" s="77">
        <v>3240648647</v>
      </c>
      <c r="BE615" s="77"/>
      <c r="BF615" s="77"/>
      <c r="BG615" s="77"/>
      <c r="BH615" s="77"/>
      <c r="BI615" s="77"/>
    </row>
    <row r="616" spans="1:61" x14ac:dyDescent="0.25">
      <c r="A616" s="62" t="s">
        <v>410</v>
      </c>
      <c r="B616" s="62" t="s">
        <v>410</v>
      </c>
      <c r="C616" s="63"/>
      <c r="D616" s="64"/>
      <c r="E616" s="65"/>
      <c r="F616" s="66"/>
      <c r="G616" s="63"/>
      <c r="H616" s="67"/>
      <c r="I616" s="68"/>
      <c r="J616" s="68"/>
      <c r="K616" s="32"/>
      <c r="L616" s="75">
        <v>616</v>
      </c>
      <c r="M616" s="75"/>
      <c r="N616" s="70"/>
      <c r="O616" s="77" t="s">
        <v>179</v>
      </c>
      <c r="P616" s="79">
        <v>44984.020636574074</v>
      </c>
      <c r="Q616" s="77" t="s">
        <v>1723</v>
      </c>
      <c r="R616" s="77">
        <v>0</v>
      </c>
      <c r="S616" s="77">
        <v>0</v>
      </c>
      <c r="T616" s="77">
        <v>0</v>
      </c>
      <c r="U616" s="77">
        <v>0</v>
      </c>
      <c r="V616" s="77">
        <v>72</v>
      </c>
      <c r="W616" s="82" t="s">
        <v>4481</v>
      </c>
      <c r="X616" s="77"/>
      <c r="Y616" s="77"/>
      <c r="Z616" s="77"/>
      <c r="AA616" s="77" t="s">
        <v>6501</v>
      </c>
      <c r="AB616" s="77" t="s">
        <v>7697</v>
      </c>
      <c r="AC616" s="82" t="s">
        <v>7707</v>
      </c>
      <c r="AD616" s="77" t="s">
        <v>7745</v>
      </c>
      <c r="AE616" s="80" t="str">
        <f>HYPERLINK("https://twitter.com/mondinthalles/status/1630002203556474880")</f>
        <v>https://twitter.com/mondinthalles/status/1630002203556474880</v>
      </c>
      <c r="AF616" s="79">
        <v>44984.020636574074</v>
      </c>
      <c r="AG616" s="85">
        <v>44984</v>
      </c>
      <c r="AH616" s="82" t="s">
        <v>8301</v>
      </c>
      <c r="AI616" s="77" t="b">
        <v>0</v>
      </c>
      <c r="AJ616" s="77"/>
      <c r="AK616" s="77"/>
      <c r="AL616" s="77"/>
      <c r="AM616" s="77"/>
      <c r="AN616" s="77"/>
      <c r="AO616" s="77"/>
      <c r="AP616" s="77"/>
      <c r="AQ616" s="77" t="s">
        <v>11008</v>
      </c>
      <c r="AR616" s="77">
        <v>6168</v>
      </c>
      <c r="AS616" s="77"/>
      <c r="AT616" s="77"/>
      <c r="AU616" s="77">
        <v>12</v>
      </c>
      <c r="AV616" s="80" t="str">
        <f>HYPERLINK("https://pbs.twimg.com/ext_tw_video_thumb/1630002167120576512/pu/img/pWi7tv_a-MgAqHw4.jpg")</f>
        <v>https://pbs.twimg.com/ext_tw_video_thumb/1630002167120576512/pu/img/pWi7tv_a-MgAqHw4.jpg</v>
      </c>
      <c r="AW616" s="82" t="s">
        <v>12808</v>
      </c>
      <c r="AX616" s="82" t="s">
        <v>12808</v>
      </c>
      <c r="AY616" s="77"/>
      <c r="AZ616" s="82" t="s">
        <v>15804</v>
      </c>
      <c r="BA616" s="82" t="s">
        <v>15804</v>
      </c>
      <c r="BB616" s="82" t="s">
        <v>15804</v>
      </c>
      <c r="BC616" s="82" t="s">
        <v>12808</v>
      </c>
      <c r="BD616" s="77">
        <v>3240648647</v>
      </c>
      <c r="BE616" s="77"/>
      <c r="BF616" s="77"/>
      <c r="BG616" s="77"/>
      <c r="BH616" s="77"/>
      <c r="BI616" s="77"/>
    </row>
    <row r="617" spans="1:61" x14ac:dyDescent="0.25">
      <c r="A617" s="62" t="s">
        <v>411</v>
      </c>
      <c r="B617" s="62" t="s">
        <v>411</v>
      </c>
      <c r="C617" s="63"/>
      <c r="D617" s="64"/>
      <c r="E617" s="65"/>
      <c r="F617" s="66"/>
      <c r="G617" s="63"/>
      <c r="H617" s="67"/>
      <c r="I617" s="68"/>
      <c r="J617" s="68"/>
      <c r="K617" s="32"/>
      <c r="L617" s="75">
        <v>617</v>
      </c>
      <c r="M617" s="75"/>
      <c r="N617" s="70"/>
      <c r="O617" s="77" t="s">
        <v>179</v>
      </c>
      <c r="P617" s="79">
        <v>45022.520833333336</v>
      </c>
      <c r="Q617" s="77" t="s">
        <v>1724</v>
      </c>
      <c r="R617" s="77">
        <v>0</v>
      </c>
      <c r="S617" s="77">
        <v>0</v>
      </c>
      <c r="T617" s="77">
        <v>0</v>
      </c>
      <c r="U617" s="77">
        <v>0</v>
      </c>
      <c r="V617" s="77">
        <v>309</v>
      </c>
      <c r="W617" s="82" t="s">
        <v>4482</v>
      </c>
      <c r="X617" s="80" t="str">
        <f>HYPERLINK("https://www.dinheirovivo.pt/financas-pessoais/despesas-com-imoveis-que-pode-declarar-e-deduzir-no-irs-16131611.html")</f>
        <v>https://www.dinheirovivo.pt/financas-pessoais/despesas-com-imoveis-que-pode-declarar-e-deduzir-no-irs-16131611.html</v>
      </c>
      <c r="Y617" s="77" t="s">
        <v>6035</v>
      </c>
      <c r="Z617" s="77"/>
      <c r="AA617" s="77"/>
      <c r="AB617" s="77"/>
      <c r="AC617" s="82" t="s">
        <v>7706</v>
      </c>
      <c r="AD617" s="77" t="s">
        <v>7745</v>
      </c>
      <c r="AE617" s="80" t="str">
        <f>HYPERLINK("https://twitter.com/dinheiro_vivo/status/1643954206443970560")</f>
        <v>https://twitter.com/dinheiro_vivo/status/1643954206443970560</v>
      </c>
      <c r="AF617" s="79">
        <v>45022.520833333336</v>
      </c>
      <c r="AG617" s="85">
        <v>45022</v>
      </c>
      <c r="AH617" s="82" t="s">
        <v>8302</v>
      </c>
      <c r="AI617" s="77" t="b">
        <v>0</v>
      </c>
      <c r="AJ617" s="77"/>
      <c r="AK617" s="77"/>
      <c r="AL617" s="77"/>
      <c r="AM617" s="77"/>
      <c r="AN617" s="77"/>
      <c r="AO617" s="77"/>
      <c r="AP617" s="77"/>
      <c r="AQ617" s="77"/>
      <c r="AR617" s="77"/>
      <c r="AS617" s="77"/>
      <c r="AT617" s="77"/>
      <c r="AU617" s="77"/>
      <c r="AV617" s="80" t="str">
        <f>HYPERLINK("https://pbs.twimg.com/profile_images/1506313757764554755/ugBzPPvW_normal.jpg")</f>
        <v>https://pbs.twimg.com/profile_images/1506313757764554755/ugBzPPvW_normal.jpg</v>
      </c>
      <c r="AW617" s="82" t="s">
        <v>12809</v>
      </c>
      <c r="AX617" s="82" t="s">
        <v>12809</v>
      </c>
      <c r="AY617" s="77"/>
      <c r="AZ617" s="82" t="s">
        <v>15804</v>
      </c>
      <c r="BA617" s="82" t="s">
        <v>15804</v>
      </c>
      <c r="BB617" s="82" t="s">
        <v>15804</v>
      </c>
      <c r="BC617" s="82" t="s">
        <v>12809</v>
      </c>
      <c r="BD617" s="77">
        <v>277495114</v>
      </c>
      <c r="BE617" s="77"/>
      <c r="BF617" s="77"/>
      <c r="BG617" s="77"/>
      <c r="BH617" s="77"/>
      <c r="BI617" s="77"/>
    </row>
    <row r="618" spans="1:61" x14ac:dyDescent="0.25">
      <c r="A618" s="62" t="s">
        <v>412</v>
      </c>
      <c r="B618" s="62" t="s">
        <v>412</v>
      </c>
      <c r="C618" s="63"/>
      <c r="D618" s="64"/>
      <c r="E618" s="65"/>
      <c r="F618" s="66"/>
      <c r="G618" s="63"/>
      <c r="H618" s="67"/>
      <c r="I618" s="68"/>
      <c r="J618" s="68"/>
      <c r="K618" s="32"/>
      <c r="L618" s="75">
        <v>618</v>
      </c>
      <c r="M618" s="75"/>
      <c r="N618" s="70"/>
      <c r="O618" s="77" t="s">
        <v>179</v>
      </c>
      <c r="P618" s="79">
        <v>45078.626087962963</v>
      </c>
      <c r="Q618" s="77" t="s">
        <v>1725</v>
      </c>
      <c r="R618" s="77">
        <v>0</v>
      </c>
      <c r="S618" s="77">
        <v>0</v>
      </c>
      <c r="T618" s="77">
        <v>0</v>
      </c>
      <c r="U618" s="77">
        <v>0</v>
      </c>
      <c r="V618" s="77">
        <v>40</v>
      </c>
      <c r="W618" s="82" t="s">
        <v>4483</v>
      </c>
      <c r="X618" s="77"/>
      <c r="Y618" s="77"/>
      <c r="Z618" s="77"/>
      <c r="AA618" s="77" t="s">
        <v>6502</v>
      </c>
      <c r="AB618" s="77" t="s">
        <v>7696</v>
      </c>
      <c r="AC618" s="82" t="s">
        <v>7722</v>
      </c>
      <c r="AD618" s="77" t="s">
        <v>7745</v>
      </c>
      <c r="AE618" s="80" t="str">
        <f>HYPERLINK("https://twitter.com/sonartrade/status/1664286071293878277")</f>
        <v>https://twitter.com/sonartrade/status/1664286071293878277</v>
      </c>
      <c r="AF618" s="79">
        <v>45078.626087962963</v>
      </c>
      <c r="AG618" s="85">
        <v>45078</v>
      </c>
      <c r="AH618" s="82" t="s">
        <v>8303</v>
      </c>
      <c r="AI618" s="77" t="b">
        <v>0</v>
      </c>
      <c r="AJ618" s="77"/>
      <c r="AK618" s="77"/>
      <c r="AL618" s="77"/>
      <c r="AM618" s="77"/>
      <c r="AN618" s="77"/>
      <c r="AO618" s="77"/>
      <c r="AP618" s="77"/>
      <c r="AQ618" s="77" t="s">
        <v>11009</v>
      </c>
      <c r="AR618" s="77"/>
      <c r="AS618" s="77"/>
      <c r="AT618" s="77"/>
      <c r="AU618" s="77"/>
      <c r="AV618" s="80" t="str">
        <f>HYPERLINK("https://pbs.twimg.com/media/Fxi7ELVakAIeNl-.jpg")</f>
        <v>https://pbs.twimg.com/media/Fxi7ELVakAIeNl-.jpg</v>
      </c>
      <c r="AW618" s="82" t="s">
        <v>12810</v>
      </c>
      <c r="AX618" s="82" t="s">
        <v>12810</v>
      </c>
      <c r="AY618" s="77"/>
      <c r="AZ618" s="82" t="s">
        <v>15804</v>
      </c>
      <c r="BA618" s="82" t="s">
        <v>15804</v>
      </c>
      <c r="BB618" s="82" t="s">
        <v>15804</v>
      </c>
      <c r="BC618" s="82" t="s">
        <v>12810</v>
      </c>
      <c r="BD618" s="82" t="s">
        <v>15704</v>
      </c>
      <c r="BE618" s="77"/>
      <c r="BF618" s="77"/>
      <c r="BG618" s="77"/>
      <c r="BH618" s="77"/>
      <c r="BI618" s="77"/>
    </row>
    <row r="619" spans="1:61" x14ac:dyDescent="0.25">
      <c r="A619" s="62" t="s">
        <v>412</v>
      </c>
      <c r="B619" s="62" t="s">
        <v>412</v>
      </c>
      <c r="C619" s="63"/>
      <c r="D619" s="64"/>
      <c r="E619" s="65"/>
      <c r="F619" s="66"/>
      <c r="G619" s="63"/>
      <c r="H619" s="67"/>
      <c r="I619" s="68"/>
      <c r="J619" s="68"/>
      <c r="K619" s="32"/>
      <c r="L619" s="75">
        <v>619</v>
      </c>
      <c r="M619" s="75"/>
      <c r="N619" s="70"/>
      <c r="O619" s="77" t="s">
        <v>179</v>
      </c>
      <c r="P619" s="79">
        <v>45137.500694444447</v>
      </c>
      <c r="Q619" s="77" t="s">
        <v>1726</v>
      </c>
      <c r="R619" s="77">
        <v>0</v>
      </c>
      <c r="S619" s="77">
        <v>0</v>
      </c>
      <c r="T619" s="77">
        <v>0</v>
      </c>
      <c r="U619" s="77">
        <v>0</v>
      </c>
      <c r="V619" s="77">
        <v>27</v>
      </c>
      <c r="W619" s="82" t="s">
        <v>4484</v>
      </c>
      <c r="X619" s="77"/>
      <c r="Y619" s="77"/>
      <c r="Z619" s="77"/>
      <c r="AA619" s="77" t="s">
        <v>6503</v>
      </c>
      <c r="AB619" s="77" t="s">
        <v>7697</v>
      </c>
      <c r="AC619" s="82" t="s">
        <v>7722</v>
      </c>
      <c r="AD619" s="77" t="s">
        <v>7745</v>
      </c>
      <c r="AE619" s="80" t="str">
        <f>HYPERLINK("https://twitter.com/sonartrade/status/1685621513255358465")</f>
        <v>https://twitter.com/sonartrade/status/1685621513255358465</v>
      </c>
      <c r="AF619" s="79">
        <v>45137.500694444447</v>
      </c>
      <c r="AG619" s="85">
        <v>45137</v>
      </c>
      <c r="AH619" s="82" t="s">
        <v>8304</v>
      </c>
      <c r="AI619" s="77" t="b">
        <v>0</v>
      </c>
      <c r="AJ619" s="77"/>
      <c r="AK619" s="77"/>
      <c r="AL619" s="77"/>
      <c r="AM619" s="77"/>
      <c r="AN619" s="77"/>
      <c r="AO619" s="77"/>
      <c r="AP619" s="77"/>
      <c r="AQ619" s="77" t="s">
        <v>11010</v>
      </c>
      <c r="AR619" s="77">
        <v>23296</v>
      </c>
      <c r="AS619" s="77"/>
      <c r="AT619" s="77"/>
      <c r="AU619" s="77">
        <v>5</v>
      </c>
      <c r="AV619" s="80" t="str">
        <f>HYPERLINK("https://pbs.twimg.com/ext_tw_video_thumb/1685621331214127104/pu/img/7tUdBvQazNI1IimW.jpg")</f>
        <v>https://pbs.twimg.com/ext_tw_video_thumb/1685621331214127104/pu/img/7tUdBvQazNI1IimW.jpg</v>
      </c>
      <c r="AW619" s="82" t="s">
        <v>12811</v>
      </c>
      <c r="AX619" s="82" t="s">
        <v>12811</v>
      </c>
      <c r="AY619" s="77"/>
      <c r="AZ619" s="82" t="s">
        <v>15804</v>
      </c>
      <c r="BA619" s="82" t="s">
        <v>15804</v>
      </c>
      <c r="BB619" s="82" t="s">
        <v>15804</v>
      </c>
      <c r="BC619" s="82" t="s">
        <v>12811</v>
      </c>
      <c r="BD619" s="82" t="s">
        <v>15704</v>
      </c>
      <c r="BE619" s="77"/>
      <c r="BF619" s="77"/>
      <c r="BG619" s="77"/>
      <c r="BH619" s="77"/>
      <c r="BI619" s="77"/>
    </row>
    <row r="620" spans="1:61" x14ac:dyDescent="0.25">
      <c r="A620" s="62" t="s">
        <v>412</v>
      </c>
      <c r="B620" s="62" t="s">
        <v>412</v>
      </c>
      <c r="C620" s="63"/>
      <c r="D620" s="64"/>
      <c r="E620" s="65"/>
      <c r="F620" s="66"/>
      <c r="G620" s="63"/>
      <c r="H620" s="67"/>
      <c r="I620" s="68"/>
      <c r="J620" s="68"/>
      <c r="K620" s="32"/>
      <c r="L620" s="75">
        <v>620</v>
      </c>
      <c r="M620" s="75"/>
      <c r="N620" s="70"/>
      <c r="O620" s="77" t="s">
        <v>179</v>
      </c>
      <c r="P620" s="79">
        <v>45142.875717592593</v>
      </c>
      <c r="Q620" s="77" t="s">
        <v>1727</v>
      </c>
      <c r="R620" s="77">
        <v>0</v>
      </c>
      <c r="S620" s="77">
        <v>0</v>
      </c>
      <c r="T620" s="77">
        <v>0</v>
      </c>
      <c r="U620" s="77">
        <v>0</v>
      </c>
      <c r="V620" s="77">
        <v>45</v>
      </c>
      <c r="W620" s="82" t="s">
        <v>4485</v>
      </c>
      <c r="X620" s="77"/>
      <c r="Y620" s="77"/>
      <c r="Z620" s="77"/>
      <c r="AA620" s="77" t="s">
        <v>6504</v>
      </c>
      <c r="AB620" s="77" t="s">
        <v>7697</v>
      </c>
      <c r="AC620" s="82" t="s">
        <v>7722</v>
      </c>
      <c r="AD620" s="77" t="s">
        <v>7745</v>
      </c>
      <c r="AE620" s="80" t="str">
        <f>HYPERLINK("https://twitter.com/sonartrade/status/1687569353904914433")</f>
        <v>https://twitter.com/sonartrade/status/1687569353904914433</v>
      </c>
      <c r="AF620" s="79">
        <v>45142.875717592593</v>
      </c>
      <c r="AG620" s="85">
        <v>45142</v>
      </c>
      <c r="AH620" s="82" t="s">
        <v>8305</v>
      </c>
      <c r="AI620" s="77" t="b">
        <v>0</v>
      </c>
      <c r="AJ620" s="77"/>
      <c r="AK620" s="77"/>
      <c r="AL620" s="77"/>
      <c r="AM620" s="77"/>
      <c r="AN620" s="77"/>
      <c r="AO620" s="77"/>
      <c r="AP620" s="77"/>
      <c r="AQ620" s="77" t="s">
        <v>11011</v>
      </c>
      <c r="AR620" s="77">
        <v>22311</v>
      </c>
      <c r="AS620" s="77"/>
      <c r="AT620" s="77"/>
      <c r="AU620" s="77">
        <v>6</v>
      </c>
      <c r="AV620" s="80" t="str">
        <f>HYPERLINK("https://pbs.twimg.com/ext_tw_video_thumb/1687569202050207744/pu/img/YZeMzqahtoaT0qug.jpg")</f>
        <v>https://pbs.twimg.com/ext_tw_video_thumb/1687569202050207744/pu/img/YZeMzqahtoaT0qug.jpg</v>
      </c>
      <c r="AW620" s="82" t="s">
        <v>12812</v>
      </c>
      <c r="AX620" s="82" t="s">
        <v>12812</v>
      </c>
      <c r="AY620" s="77"/>
      <c r="AZ620" s="82" t="s">
        <v>15804</v>
      </c>
      <c r="BA620" s="82" t="s">
        <v>15804</v>
      </c>
      <c r="BB620" s="82" t="s">
        <v>15804</v>
      </c>
      <c r="BC620" s="82" t="s">
        <v>12812</v>
      </c>
      <c r="BD620" s="82" t="s">
        <v>15704</v>
      </c>
      <c r="BE620" s="77"/>
      <c r="BF620" s="77"/>
      <c r="BG620" s="77"/>
      <c r="BH620" s="77"/>
      <c r="BI620" s="77"/>
    </row>
    <row r="621" spans="1:61" x14ac:dyDescent="0.25">
      <c r="A621" s="62" t="s">
        <v>412</v>
      </c>
      <c r="B621" s="62" t="s">
        <v>412</v>
      </c>
      <c r="C621" s="63"/>
      <c r="D621" s="64"/>
      <c r="E621" s="65"/>
      <c r="F621" s="66"/>
      <c r="G621" s="63"/>
      <c r="H621" s="67"/>
      <c r="I621" s="68"/>
      <c r="J621" s="68"/>
      <c r="K621" s="32"/>
      <c r="L621" s="75">
        <v>621</v>
      </c>
      <c r="M621" s="75"/>
      <c r="N621" s="70"/>
      <c r="O621" s="77" t="s">
        <v>179</v>
      </c>
      <c r="P621" s="79">
        <v>45051.918078703704</v>
      </c>
      <c r="Q621" s="77" t="s">
        <v>1728</v>
      </c>
      <c r="R621" s="77">
        <v>0</v>
      </c>
      <c r="S621" s="77">
        <v>0</v>
      </c>
      <c r="T621" s="77">
        <v>1</v>
      </c>
      <c r="U621" s="77">
        <v>0</v>
      </c>
      <c r="V621" s="77">
        <v>57</v>
      </c>
      <c r="W621" s="82" t="s">
        <v>4486</v>
      </c>
      <c r="X621" s="77"/>
      <c r="Y621" s="77"/>
      <c r="Z621" s="77"/>
      <c r="AA621" s="77" t="s">
        <v>6505</v>
      </c>
      <c r="AB621" s="77" t="s">
        <v>7697</v>
      </c>
      <c r="AC621" s="82" t="s">
        <v>7722</v>
      </c>
      <c r="AD621" s="77" t="s">
        <v>7745</v>
      </c>
      <c r="AE621" s="80" t="str">
        <f>HYPERLINK("https://twitter.com/sonartrade/status/1654607410462441472")</f>
        <v>https://twitter.com/sonartrade/status/1654607410462441472</v>
      </c>
      <c r="AF621" s="79">
        <v>45051.918078703704</v>
      </c>
      <c r="AG621" s="85">
        <v>45051</v>
      </c>
      <c r="AH621" s="82" t="s">
        <v>8306</v>
      </c>
      <c r="AI621" s="77" t="b">
        <v>0</v>
      </c>
      <c r="AJ621" s="77"/>
      <c r="AK621" s="77"/>
      <c r="AL621" s="77"/>
      <c r="AM621" s="77"/>
      <c r="AN621" s="77"/>
      <c r="AO621" s="77"/>
      <c r="AP621" s="77"/>
      <c r="AQ621" s="77" t="s">
        <v>11012</v>
      </c>
      <c r="AR621" s="77">
        <v>26640</v>
      </c>
      <c r="AS621" s="77"/>
      <c r="AT621" s="77"/>
      <c r="AU621" s="77">
        <v>17</v>
      </c>
      <c r="AV621" s="80" t="str">
        <f>HYPERLINK("https://pbs.twimg.com/ext_tw_video_thumb/1654607233068548096/pu/img/yYPKVsVBKLLLJRYM.jpg")</f>
        <v>https://pbs.twimg.com/ext_tw_video_thumb/1654607233068548096/pu/img/yYPKVsVBKLLLJRYM.jpg</v>
      </c>
      <c r="AW621" s="82" t="s">
        <v>12813</v>
      </c>
      <c r="AX621" s="82" t="s">
        <v>12813</v>
      </c>
      <c r="AY621" s="77"/>
      <c r="AZ621" s="82" t="s">
        <v>15804</v>
      </c>
      <c r="BA621" s="82" t="s">
        <v>15804</v>
      </c>
      <c r="BB621" s="82" t="s">
        <v>15804</v>
      </c>
      <c r="BC621" s="82" t="s">
        <v>12813</v>
      </c>
      <c r="BD621" s="82" t="s">
        <v>15704</v>
      </c>
      <c r="BE621" s="77"/>
      <c r="BF621" s="77"/>
      <c r="BG621" s="77"/>
      <c r="BH621" s="77"/>
      <c r="BI621" s="77"/>
    </row>
    <row r="622" spans="1:61" x14ac:dyDescent="0.25">
      <c r="A622" s="62" t="s">
        <v>412</v>
      </c>
      <c r="B622" s="62" t="s">
        <v>412</v>
      </c>
      <c r="C622" s="63"/>
      <c r="D622" s="64"/>
      <c r="E622" s="65"/>
      <c r="F622" s="66"/>
      <c r="G622" s="63"/>
      <c r="H622" s="67"/>
      <c r="I622" s="68"/>
      <c r="J622" s="68"/>
      <c r="K622" s="32"/>
      <c r="L622" s="75">
        <v>622</v>
      </c>
      <c r="M622" s="75"/>
      <c r="N622" s="70"/>
      <c r="O622" s="77" t="s">
        <v>179</v>
      </c>
      <c r="P622" s="79">
        <v>45149.875810185185</v>
      </c>
      <c r="Q622" s="77" t="s">
        <v>1729</v>
      </c>
      <c r="R622" s="77">
        <v>0</v>
      </c>
      <c r="S622" s="77">
        <v>0</v>
      </c>
      <c r="T622" s="77">
        <v>0</v>
      </c>
      <c r="U622" s="77">
        <v>0</v>
      </c>
      <c r="V622" s="77">
        <v>30</v>
      </c>
      <c r="W622" s="82" t="s">
        <v>4486</v>
      </c>
      <c r="X622" s="77"/>
      <c r="Y622" s="77"/>
      <c r="Z622" s="77"/>
      <c r="AA622" s="77" t="s">
        <v>6506</v>
      </c>
      <c r="AB622" s="77" t="s">
        <v>7697</v>
      </c>
      <c r="AC622" s="82" t="s">
        <v>7722</v>
      </c>
      <c r="AD622" s="77" t="s">
        <v>7745</v>
      </c>
      <c r="AE622" s="80" t="str">
        <f>HYPERLINK("https://twitter.com/sonartrade/status/1690106105500684288")</f>
        <v>https://twitter.com/sonartrade/status/1690106105500684288</v>
      </c>
      <c r="AF622" s="79">
        <v>45149.875810185185</v>
      </c>
      <c r="AG622" s="85">
        <v>45149</v>
      </c>
      <c r="AH622" s="82" t="s">
        <v>8307</v>
      </c>
      <c r="AI622" s="77" t="b">
        <v>0</v>
      </c>
      <c r="AJ622" s="77"/>
      <c r="AK622" s="77"/>
      <c r="AL622" s="77"/>
      <c r="AM622" s="77"/>
      <c r="AN622" s="77"/>
      <c r="AO622" s="77"/>
      <c r="AP622" s="77"/>
      <c r="AQ622" s="77" t="s">
        <v>11013</v>
      </c>
      <c r="AR622" s="77">
        <v>18390</v>
      </c>
      <c r="AS622" s="77"/>
      <c r="AT622" s="77"/>
      <c r="AU622" s="77">
        <v>6</v>
      </c>
      <c r="AV622" s="80" t="str">
        <f>HYPERLINK("https://pbs.twimg.com/ext_tw_video_thumb/1690105934280863745/pu/img/NVVJpYPTvCKFjiev.jpg")</f>
        <v>https://pbs.twimg.com/ext_tw_video_thumb/1690105934280863745/pu/img/NVVJpYPTvCKFjiev.jpg</v>
      </c>
      <c r="AW622" s="82" t="s">
        <v>12814</v>
      </c>
      <c r="AX622" s="82" t="s">
        <v>12814</v>
      </c>
      <c r="AY622" s="77"/>
      <c r="AZ622" s="82" t="s">
        <v>15804</v>
      </c>
      <c r="BA622" s="82" t="s">
        <v>15804</v>
      </c>
      <c r="BB622" s="82" t="s">
        <v>15804</v>
      </c>
      <c r="BC622" s="82" t="s">
        <v>12814</v>
      </c>
      <c r="BD622" s="82" t="s">
        <v>15704</v>
      </c>
      <c r="BE622" s="77"/>
      <c r="BF622" s="77"/>
      <c r="BG622" s="77"/>
      <c r="BH622" s="77"/>
      <c r="BI622" s="77"/>
    </row>
    <row r="623" spans="1:61" x14ac:dyDescent="0.25">
      <c r="A623" s="62" t="s">
        <v>412</v>
      </c>
      <c r="B623" s="62" t="s">
        <v>412</v>
      </c>
      <c r="C623" s="63"/>
      <c r="D623" s="64"/>
      <c r="E623" s="65"/>
      <c r="F623" s="66"/>
      <c r="G623" s="63"/>
      <c r="H623" s="67"/>
      <c r="I623" s="68"/>
      <c r="J623" s="68"/>
      <c r="K623" s="32"/>
      <c r="L623" s="75">
        <v>623</v>
      </c>
      <c r="M623" s="75"/>
      <c r="N623" s="70"/>
      <c r="O623" s="77" t="s">
        <v>179</v>
      </c>
      <c r="P623" s="79">
        <v>45114.875763888886</v>
      </c>
      <c r="Q623" s="77" t="s">
        <v>1730</v>
      </c>
      <c r="R623" s="77">
        <v>0</v>
      </c>
      <c r="S623" s="77">
        <v>0</v>
      </c>
      <c r="T623" s="77">
        <v>0</v>
      </c>
      <c r="U623" s="77">
        <v>0</v>
      </c>
      <c r="V623" s="77">
        <v>47</v>
      </c>
      <c r="W623" s="82" t="s">
        <v>4486</v>
      </c>
      <c r="X623" s="77"/>
      <c r="Y623" s="77"/>
      <c r="Z623" s="77"/>
      <c r="AA623" s="77" t="s">
        <v>6507</v>
      </c>
      <c r="AB623" s="77" t="s">
        <v>7697</v>
      </c>
      <c r="AC623" s="82" t="s">
        <v>7722</v>
      </c>
      <c r="AD623" s="77" t="s">
        <v>7745</v>
      </c>
      <c r="AE623" s="80" t="str">
        <f>HYPERLINK("https://twitter.com/sonartrade/status/1677422511045083136")</f>
        <v>https://twitter.com/sonartrade/status/1677422511045083136</v>
      </c>
      <c r="AF623" s="79">
        <v>45114.875763888886</v>
      </c>
      <c r="AG623" s="85">
        <v>45114</v>
      </c>
      <c r="AH623" s="82" t="s">
        <v>8308</v>
      </c>
      <c r="AI623" s="77" t="b">
        <v>0</v>
      </c>
      <c r="AJ623" s="77"/>
      <c r="AK623" s="77"/>
      <c r="AL623" s="77"/>
      <c r="AM623" s="77"/>
      <c r="AN623" s="77"/>
      <c r="AO623" s="77"/>
      <c r="AP623" s="77"/>
      <c r="AQ623" s="77" t="s">
        <v>11014</v>
      </c>
      <c r="AR623" s="77">
        <v>24681</v>
      </c>
      <c r="AS623" s="77"/>
      <c r="AT623" s="77"/>
      <c r="AU623" s="77">
        <v>14</v>
      </c>
      <c r="AV623" s="80" t="str">
        <f>HYPERLINK("https://pbs.twimg.com/ext_tw_video_thumb/1677422348725518336/pu/img/9NYDS7owewzzyGpI.jpg")</f>
        <v>https://pbs.twimg.com/ext_tw_video_thumb/1677422348725518336/pu/img/9NYDS7owewzzyGpI.jpg</v>
      </c>
      <c r="AW623" s="82" t="s">
        <v>12815</v>
      </c>
      <c r="AX623" s="82" t="s">
        <v>12815</v>
      </c>
      <c r="AY623" s="77"/>
      <c r="AZ623" s="82" t="s">
        <v>15804</v>
      </c>
      <c r="BA623" s="82" t="s">
        <v>15804</v>
      </c>
      <c r="BB623" s="82" t="s">
        <v>15804</v>
      </c>
      <c r="BC623" s="82" t="s">
        <v>12815</v>
      </c>
      <c r="BD623" s="82" t="s">
        <v>15704</v>
      </c>
      <c r="BE623" s="77"/>
      <c r="BF623" s="77"/>
      <c r="BG623" s="77"/>
      <c r="BH623" s="77"/>
      <c r="BI623" s="77"/>
    </row>
    <row r="624" spans="1:61" x14ac:dyDescent="0.25">
      <c r="A624" s="62" t="s">
        <v>412</v>
      </c>
      <c r="B624" s="62" t="s">
        <v>412</v>
      </c>
      <c r="C624" s="63"/>
      <c r="D624" s="64"/>
      <c r="E624" s="65"/>
      <c r="F624" s="66"/>
      <c r="G624" s="63"/>
      <c r="H624" s="67"/>
      <c r="I624" s="68"/>
      <c r="J624" s="68"/>
      <c r="K624" s="32"/>
      <c r="L624" s="75">
        <v>624</v>
      </c>
      <c r="M624" s="75"/>
      <c r="N624" s="70"/>
      <c r="O624" s="77" t="s">
        <v>1132</v>
      </c>
      <c r="P624" s="79">
        <v>45033.879421296297</v>
      </c>
      <c r="Q624" s="77" t="s">
        <v>1731</v>
      </c>
      <c r="R624" s="77">
        <v>0</v>
      </c>
      <c r="S624" s="77">
        <v>0</v>
      </c>
      <c r="T624" s="77">
        <v>1</v>
      </c>
      <c r="U624" s="77">
        <v>0</v>
      </c>
      <c r="V624" s="77">
        <v>17</v>
      </c>
      <c r="W624" s="82" t="s">
        <v>4097</v>
      </c>
      <c r="X624" s="77"/>
      <c r="Y624" s="77"/>
      <c r="Z624" s="77"/>
      <c r="AA624" s="77"/>
      <c r="AB624" s="77"/>
      <c r="AC624" s="82" t="s">
        <v>7706</v>
      </c>
      <c r="AD624" s="77" t="s">
        <v>7745</v>
      </c>
      <c r="AE624" s="80" t="str">
        <f>HYPERLINK("https://twitter.com/sonartrade/status/1648070419700760577")</f>
        <v>https://twitter.com/sonartrade/status/1648070419700760577</v>
      </c>
      <c r="AF624" s="79">
        <v>45033.879421296297</v>
      </c>
      <c r="AG624" s="85">
        <v>45033</v>
      </c>
      <c r="AH624" s="82" t="s">
        <v>8309</v>
      </c>
      <c r="AI624" s="77"/>
      <c r="AJ624" s="77"/>
      <c r="AK624" s="77"/>
      <c r="AL624" s="77"/>
      <c r="AM624" s="77"/>
      <c r="AN624" s="77"/>
      <c r="AO624" s="77"/>
      <c r="AP624" s="77"/>
      <c r="AQ624" s="77"/>
      <c r="AR624" s="77"/>
      <c r="AS624" s="77"/>
      <c r="AT624" s="77"/>
      <c r="AU624" s="77"/>
      <c r="AV624" s="80" t="str">
        <f>HYPERLINK("https://pbs.twimg.com/profile_images/1369748302854504453/ShpJasNI_normal.jpg")</f>
        <v>https://pbs.twimg.com/profile_images/1369748302854504453/ShpJasNI_normal.jpg</v>
      </c>
      <c r="AW624" s="82" t="s">
        <v>12816</v>
      </c>
      <c r="AX624" s="82" t="s">
        <v>15276</v>
      </c>
      <c r="AY624" s="82" t="s">
        <v>15704</v>
      </c>
      <c r="AZ624" s="82" t="s">
        <v>15845</v>
      </c>
      <c r="BA624" s="82" t="s">
        <v>15804</v>
      </c>
      <c r="BB624" s="82" t="s">
        <v>15804</v>
      </c>
      <c r="BC624" s="82" t="s">
        <v>15845</v>
      </c>
      <c r="BD624" s="82" t="s">
        <v>15704</v>
      </c>
      <c r="BE624" s="77"/>
      <c r="BF624" s="77"/>
      <c r="BG624" s="77"/>
      <c r="BH624" s="77"/>
      <c r="BI624" s="77"/>
    </row>
    <row r="625" spans="1:61" x14ac:dyDescent="0.25">
      <c r="A625" s="62" t="s">
        <v>413</v>
      </c>
      <c r="B625" s="62" t="s">
        <v>413</v>
      </c>
      <c r="C625" s="63"/>
      <c r="D625" s="64"/>
      <c r="E625" s="65"/>
      <c r="F625" s="66"/>
      <c r="G625" s="63"/>
      <c r="H625" s="67"/>
      <c r="I625" s="68"/>
      <c r="J625" s="68"/>
      <c r="K625" s="32"/>
      <c r="L625" s="75">
        <v>625</v>
      </c>
      <c r="M625" s="75"/>
      <c r="N625" s="70"/>
      <c r="O625" s="77" t="s">
        <v>179</v>
      </c>
      <c r="P625" s="79">
        <v>45124.541724537034</v>
      </c>
      <c r="Q625" s="77" t="s">
        <v>1732</v>
      </c>
      <c r="R625" s="77">
        <v>0</v>
      </c>
      <c r="S625" s="77">
        <v>0</v>
      </c>
      <c r="T625" s="77">
        <v>2</v>
      </c>
      <c r="U625" s="77">
        <v>0</v>
      </c>
      <c r="V625" s="77">
        <v>93</v>
      </c>
      <c r="W625" s="82" t="s">
        <v>4487</v>
      </c>
      <c r="X625" s="77"/>
      <c r="Y625" s="77"/>
      <c r="Z625" s="77"/>
      <c r="AA625" s="77"/>
      <c r="AB625" s="77"/>
      <c r="AC625" s="82" t="s">
        <v>7706</v>
      </c>
      <c r="AD625" s="77" t="s">
        <v>7745</v>
      </c>
      <c r="AE625" s="80" t="str">
        <f>HYPERLINK("https://twitter.com/blogdobetoveiga/status/1680925338811920384")</f>
        <v>https://twitter.com/blogdobetoveiga/status/1680925338811920384</v>
      </c>
      <c r="AF625" s="79">
        <v>45124.541724537034</v>
      </c>
      <c r="AG625" s="85">
        <v>45124</v>
      </c>
      <c r="AH625" s="82" t="s">
        <v>8310</v>
      </c>
      <c r="AI625" s="77"/>
      <c r="AJ625" s="77"/>
      <c r="AK625" s="77"/>
      <c r="AL625" s="77"/>
      <c r="AM625" s="77"/>
      <c r="AN625" s="77"/>
      <c r="AO625" s="77"/>
      <c r="AP625" s="77"/>
      <c r="AQ625" s="77"/>
      <c r="AR625" s="77"/>
      <c r="AS625" s="77"/>
      <c r="AT625" s="77"/>
      <c r="AU625" s="77"/>
      <c r="AV625" s="80" t="str">
        <f>HYPERLINK("https://pbs.twimg.com/profile_images/1583951286155845638/_PVjXzWM_normal.jpg")</f>
        <v>https://pbs.twimg.com/profile_images/1583951286155845638/_PVjXzWM_normal.jpg</v>
      </c>
      <c r="AW625" s="82" t="s">
        <v>12817</v>
      </c>
      <c r="AX625" s="82" t="s">
        <v>12817</v>
      </c>
      <c r="AY625" s="77"/>
      <c r="AZ625" s="82" t="s">
        <v>15804</v>
      </c>
      <c r="BA625" s="82" t="s">
        <v>15804</v>
      </c>
      <c r="BB625" s="82" t="s">
        <v>15804</v>
      </c>
      <c r="BC625" s="82" t="s">
        <v>12817</v>
      </c>
      <c r="BD625" s="77">
        <v>64670566</v>
      </c>
      <c r="BE625" s="77"/>
      <c r="BF625" s="77"/>
      <c r="BG625" s="77"/>
      <c r="BH625" s="77"/>
      <c r="BI625" s="77"/>
    </row>
    <row r="626" spans="1:61" x14ac:dyDescent="0.25">
      <c r="A626" s="62" t="s">
        <v>414</v>
      </c>
      <c r="B626" s="62" t="s">
        <v>610</v>
      </c>
      <c r="C626" s="63"/>
      <c r="D626" s="64"/>
      <c r="E626" s="65"/>
      <c r="F626" s="66"/>
      <c r="G626" s="63"/>
      <c r="H626" s="67"/>
      <c r="I626" s="68"/>
      <c r="J626" s="68"/>
      <c r="K626" s="32"/>
      <c r="L626" s="75">
        <v>626</v>
      </c>
      <c r="M626" s="75"/>
      <c r="N626" s="70"/>
      <c r="O626" s="77" t="s">
        <v>1134</v>
      </c>
      <c r="P626" s="79">
        <v>45175.73165509259</v>
      </c>
      <c r="Q626" s="77" t="s">
        <v>1164</v>
      </c>
      <c r="R626" s="77">
        <v>4</v>
      </c>
      <c r="S626" s="77">
        <v>0</v>
      </c>
      <c r="T626" s="77">
        <v>0</v>
      </c>
      <c r="U626" s="77">
        <v>0</v>
      </c>
      <c r="V626" s="77"/>
      <c r="W626" s="82" t="s">
        <v>4101</v>
      </c>
      <c r="X626" s="80" t="str">
        <f>HYPERLINK("https://www.youtube.com/live/ezqGDVlHL80?feature=shared")</f>
        <v>https://www.youtube.com/live/ezqGDVlHL80?feature=shared</v>
      </c>
      <c r="Y626" s="77" t="s">
        <v>6006</v>
      </c>
      <c r="Z626" s="77" t="s">
        <v>610</v>
      </c>
      <c r="AA626" s="77"/>
      <c r="AB626" s="77"/>
      <c r="AC626" s="82" t="s">
        <v>7706</v>
      </c>
      <c r="AD626" s="77" t="s">
        <v>7745</v>
      </c>
      <c r="AE626" s="80" t="str">
        <f>HYPERLINK("https://twitter.com/centralcursoss/status/1699475946779107501")</f>
        <v>https://twitter.com/centralcursoss/status/1699475946779107501</v>
      </c>
      <c r="AF626" s="79">
        <v>45175.73165509259</v>
      </c>
      <c r="AG626" s="85">
        <v>45175</v>
      </c>
      <c r="AH626" s="82" t="s">
        <v>8311</v>
      </c>
      <c r="AI626" s="77" t="b">
        <v>0</v>
      </c>
      <c r="AJ626" s="77"/>
      <c r="AK626" s="77"/>
      <c r="AL626" s="77"/>
      <c r="AM626" s="77"/>
      <c r="AN626" s="77"/>
      <c r="AO626" s="77"/>
      <c r="AP626" s="77"/>
      <c r="AQ626" s="77"/>
      <c r="AR626" s="77"/>
      <c r="AS626" s="77"/>
      <c r="AT626" s="77"/>
      <c r="AU626" s="77"/>
      <c r="AV626" s="80" t="str">
        <f>HYPERLINK("https://pbs.twimg.com/profile_images/1436137087/empresa_normal.jpg")</f>
        <v>https://pbs.twimg.com/profile_images/1436137087/empresa_normal.jpg</v>
      </c>
      <c r="AW626" s="82" t="s">
        <v>12818</v>
      </c>
      <c r="AX626" s="82" t="s">
        <v>12818</v>
      </c>
      <c r="AY626" s="77"/>
      <c r="AZ626" s="82" t="s">
        <v>15804</v>
      </c>
      <c r="BA626" s="82" t="s">
        <v>15804</v>
      </c>
      <c r="BB626" s="82" t="s">
        <v>13443</v>
      </c>
      <c r="BC626" s="82" t="s">
        <v>13443</v>
      </c>
      <c r="BD626" s="77">
        <v>333147653</v>
      </c>
      <c r="BE626" s="77"/>
      <c r="BF626" s="77"/>
      <c r="BG626" s="77"/>
      <c r="BH626" s="77"/>
      <c r="BI626" s="77"/>
    </row>
    <row r="627" spans="1:61" x14ac:dyDescent="0.25">
      <c r="A627" s="62" t="s">
        <v>415</v>
      </c>
      <c r="B627" s="62" t="s">
        <v>415</v>
      </c>
      <c r="C627" s="63"/>
      <c r="D627" s="64"/>
      <c r="E627" s="65"/>
      <c r="F627" s="66"/>
      <c r="G627" s="63"/>
      <c r="H627" s="67"/>
      <c r="I627" s="68"/>
      <c r="J627" s="68"/>
      <c r="K627" s="32"/>
      <c r="L627" s="75">
        <v>627</v>
      </c>
      <c r="M627" s="75"/>
      <c r="N627" s="70"/>
      <c r="O627" s="77" t="s">
        <v>1132</v>
      </c>
      <c r="P627" s="79">
        <v>45099.991574074076</v>
      </c>
      <c r="Q627" s="77" t="s">
        <v>1733</v>
      </c>
      <c r="R627" s="77">
        <v>0</v>
      </c>
      <c r="S627" s="77">
        <v>1</v>
      </c>
      <c r="T627" s="77">
        <v>0</v>
      </c>
      <c r="U627" s="77">
        <v>0</v>
      </c>
      <c r="V627" s="77">
        <v>10</v>
      </c>
      <c r="W627" s="82" t="s">
        <v>4488</v>
      </c>
      <c r="X627" s="77"/>
      <c r="Y627" s="77"/>
      <c r="Z627" s="77"/>
      <c r="AA627" s="77"/>
      <c r="AB627" s="77"/>
      <c r="AC627" s="82" t="s">
        <v>7707</v>
      </c>
      <c r="AD627" s="77" t="s">
        <v>7748</v>
      </c>
      <c r="AE627" s="80" t="str">
        <f>HYPERLINK("https://twitter.com/econovisao/status/1672028662818848768")</f>
        <v>https://twitter.com/econovisao/status/1672028662818848768</v>
      </c>
      <c r="AF627" s="79">
        <v>45099.991574074076</v>
      </c>
      <c r="AG627" s="85">
        <v>45099</v>
      </c>
      <c r="AH627" s="82" t="s">
        <v>8312</v>
      </c>
      <c r="AI627" s="77"/>
      <c r="AJ627" s="77"/>
      <c r="AK627" s="77"/>
      <c r="AL627" s="77"/>
      <c r="AM627" s="77"/>
      <c r="AN627" s="77"/>
      <c r="AO627" s="77"/>
      <c r="AP627" s="77"/>
      <c r="AQ627" s="77"/>
      <c r="AR627" s="77"/>
      <c r="AS627" s="77"/>
      <c r="AT627" s="77"/>
      <c r="AU627" s="77"/>
      <c r="AV627" s="80" t="str">
        <f>HYPERLINK("https://pbs.twimg.com/profile_images/1680970917977939969/-cbAdNlU_normal.jpg")</f>
        <v>https://pbs.twimg.com/profile_images/1680970917977939969/-cbAdNlU_normal.jpg</v>
      </c>
      <c r="AW627" s="82" t="s">
        <v>12819</v>
      </c>
      <c r="AX627" s="82" t="s">
        <v>15277</v>
      </c>
      <c r="AY627" s="82" t="s">
        <v>15705</v>
      </c>
      <c r="AZ627" s="82" t="s">
        <v>15846</v>
      </c>
      <c r="BA627" s="82" t="s">
        <v>15804</v>
      </c>
      <c r="BB627" s="82" t="s">
        <v>15804</v>
      </c>
      <c r="BC627" s="82" t="s">
        <v>15846</v>
      </c>
      <c r="BD627" s="82" t="s">
        <v>15705</v>
      </c>
      <c r="BE627" s="77"/>
      <c r="BF627" s="77"/>
      <c r="BG627" s="77"/>
      <c r="BH627" s="77"/>
      <c r="BI627" s="77"/>
    </row>
    <row r="628" spans="1:61" x14ac:dyDescent="0.25">
      <c r="A628" s="62" t="s">
        <v>415</v>
      </c>
      <c r="B628" s="62" t="s">
        <v>415</v>
      </c>
      <c r="C628" s="63"/>
      <c r="D628" s="64"/>
      <c r="E628" s="65"/>
      <c r="F628" s="66"/>
      <c r="G628" s="63"/>
      <c r="H628" s="67"/>
      <c r="I628" s="68"/>
      <c r="J628" s="68"/>
      <c r="K628" s="32"/>
      <c r="L628" s="75">
        <v>628</v>
      </c>
      <c r="M628" s="75"/>
      <c r="N628" s="70"/>
      <c r="O628" s="77" t="s">
        <v>1132</v>
      </c>
      <c r="P628" s="79">
        <v>45097.829965277779</v>
      </c>
      <c r="Q628" s="77" t="s">
        <v>1734</v>
      </c>
      <c r="R628" s="77">
        <v>0</v>
      </c>
      <c r="S628" s="77">
        <v>0</v>
      </c>
      <c r="T628" s="77">
        <v>0</v>
      </c>
      <c r="U628" s="77">
        <v>0</v>
      </c>
      <c r="V628" s="77">
        <v>12</v>
      </c>
      <c r="W628" s="82" t="s">
        <v>4489</v>
      </c>
      <c r="X628" s="77"/>
      <c r="Y628" s="77"/>
      <c r="Z628" s="77"/>
      <c r="AA628" s="77"/>
      <c r="AB628" s="77"/>
      <c r="AC628" s="82" t="s">
        <v>7707</v>
      </c>
      <c r="AD628" s="77" t="s">
        <v>7745</v>
      </c>
      <c r="AE628" s="80" t="str">
        <f>HYPERLINK("https://twitter.com/econovisao/status/1671245323098791937")</f>
        <v>https://twitter.com/econovisao/status/1671245323098791937</v>
      </c>
      <c r="AF628" s="79">
        <v>45097.829965277779</v>
      </c>
      <c r="AG628" s="85">
        <v>45097</v>
      </c>
      <c r="AH628" s="82" t="s">
        <v>8313</v>
      </c>
      <c r="AI628" s="77"/>
      <c r="AJ628" s="77"/>
      <c r="AK628" s="77"/>
      <c r="AL628" s="77"/>
      <c r="AM628" s="77"/>
      <c r="AN628" s="77"/>
      <c r="AO628" s="77"/>
      <c r="AP628" s="77"/>
      <c r="AQ628" s="77"/>
      <c r="AR628" s="77"/>
      <c r="AS628" s="77"/>
      <c r="AT628" s="77"/>
      <c r="AU628" s="77"/>
      <c r="AV628" s="80" t="str">
        <f>HYPERLINK("https://pbs.twimg.com/profile_images/1680970917977939969/-cbAdNlU_normal.jpg")</f>
        <v>https://pbs.twimg.com/profile_images/1680970917977939969/-cbAdNlU_normal.jpg</v>
      </c>
      <c r="AW628" s="82" t="s">
        <v>12820</v>
      </c>
      <c r="AX628" s="82" t="s">
        <v>15278</v>
      </c>
      <c r="AY628" s="82" t="s">
        <v>15705</v>
      </c>
      <c r="AZ628" s="82" t="s">
        <v>15847</v>
      </c>
      <c r="BA628" s="82" t="s">
        <v>15804</v>
      </c>
      <c r="BB628" s="82" t="s">
        <v>15804</v>
      </c>
      <c r="BC628" s="82" t="s">
        <v>15847</v>
      </c>
      <c r="BD628" s="82" t="s">
        <v>15705</v>
      </c>
      <c r="BE628" s="77"/>
      <c r="BF628" s="77"/>
      <c r="BG628" s="77"/>
      <c r="BH628" s="77"/>
      <c r="BI628" s="77"/>
    </row>
    <row r="629" spans="1:61" x14ac:dyDescent="0.25">
      <c r="A629" s="62" t="s">
        <v>415</v>
      </c>
      <c r="B629" s="62" t="s">
        <v>415</v>
      </c>
      <c r="C629" s="63"/>
      <c r="D629" s="64"/>
      <c r="E629" s="65"/>
      <c r="F629" s="66"/>
      <c r="G629" s="63"/>
      <c r="H629" s="67"/>
      <c r="I629" s="68"/>
      <c r="J629" s="68"/>
      <c r="K629" s="32"/>
      <c r="L629" s="75">
        <v>629</v>
      </c>
      <c r="M629" s="75"/>
      <c r="N629" s="70"/>
      <c r="O629" s="77" t="s">
        <v>1132</v>
      </c>
      <c r="P629" s="79">
        <v>45093.086446759262</v>
      </c>
      <c r="Q629" s="77" t="s">
        <v>1735</v>
      </c>
      <c r="R629" s="77">
        <v>0</v>
      </c>
      <c r="S629" s="77">
        <v>1</v>
      </c>
      <c r="T629" s="77">
        <v>0</v>
      </c>
      <c r="U629" s="77">
        <v>0</v>
      </c>
      <c r="V629" s="77">
        <v>91</v>
      </c>
      <c r="W629" s="82" t="s">
        <v>4490</v>
      </c>
      <c r="X629" s="77"/>
      <c r="Y629" s="77"/>
      <c r="Z629" s="77"/>
      <c r="AA629" s="77"/>
      <c r="AB629" s="77"/>
      <c r="AC629" s="82" t="s">
        <v>7706</v>
      </c>
      <c r="AD629" s="77" t="s">
        <v>7748</v>
      </c>
      <c r="AE629" s="80" t="str">
        <f>HYPERLINK("https://twitter.com/econovisao/status/1669526327358095361")</f>
        <v>https://twitter.com/econovisao/status/1669526327358095361</v>
      </c>
      <c r="AF629" s="79">
        <v>45093.086446759262</v>
      </c>
      <c r="AG629" s="85">
        <v>45093</v>
      </c>
      <c r="AH629" s="82" t="s">
        <v>8314</v>
      </c>
      <c r="AI629" s="77"/>
      <c r="AJ629" s="77"/>
      <c r="AK629" s="77"/>
      <c r="AL629" s="77"/>
      <c r="AM629" s="77"/>
      <c r="AN629" s="77"/>
      <c r="AO629" s="77"/>
      <c r="AP629" s="77"/>
      <c r="AQ629" s="77"/>
      <c r="AR629" s="77"/>
      <c r="AS629" s="77"/>
      <c r="AT629" s="77"/>
      <c r="AU629" s="77"/>
      <c r="AV629" s="80" t="str">
        <f>HYPERLINK("https://pbs.twimg.com/profile_images/1680970917977939969/-cbAdNlU_normal.jpg")</f>
        <v>https://pbs.twimg.com/profile_images/1680970917977939969/-cbAdNlU_normal.jpg</v>
      </c>
      <c r="AW629" s="82" t="s">
        <v>12821</v>
      </c>
      <c r="AX629" s="82" t="s">
        <v>15279</v>
      </c>
      <c r="AY629" s="82" t="s">
        <v>15705</v>
      </c>
      <c r="AZ629" s="82" t="s">
        <v>15848</v>
      </c>
      <c r="BA629" s="82" t="s">
        <v>15804</v>
      </c>
      <c r="BB629" s="82" t="s">
        <v>15804</v>
      </c>
      <c r="BC629" s="82" t="s">
        <v>15848</v>
      </c>
      <c r="BD629" s="82" t="s">
        <v>15705</v>
      </c>
      <c r="BE629" s="77"/>
      <c r="BF629" s="77"/>
      <c r="BG629" s="77"/>
      <c r="BH629" s="77"/>
      <c r="BI629" s="77"/>
    </row>
    <row r="630" spans="1:61" x14ac:dyDescent="0.25">
      <c r="A630" s="62" t="s">
        <v>416</v>
      </c>
      <c r="B630" s="62" t="s">
        <v>416</v>
      </c>
      <c r="C630" s="63"/>
      <c r="D630" s="64"/>
      <c r="E630" s="65"/>
      <c r="F630" s="66"/>
      <c r="G630" s="63"/>
      <c r="H630" s="67"/>
      <c r="I630" s="68"/>
      <c r="J630" s="68"/>
      <c r="K630" s="32"/>
      <c r="L630" s="75">
        <v>630</v>
      </c>
      <c r="M630" s="75"/>
      <c r="N630" s="70"/>
      <c r="O630" s="77" t="s">
        <v>1132</v>
      </c>
      <c r="P630" s="79">
        <v>45052.491793981484</v>
      </c>
      <c r="Q630" s="77" t="s">
        <v>1736</v>
      </c>
      <c r="R630" s="77">
        <v>0</v>
      </c>
      <c r="S630" s="77">
        <v>0</v>
      </c>
      <c r="T630" s="77">
        <v>1</v>
      </c>
      <c r="U630" s="77">
        <v>0</v>
      </c>
      <c r="V630" s="77">
        <v>22</v>
      </c>
      <c r="W630" s="82" t="s">
        <v>4097</v>
      </c>
      <c r="X630" s="77"/>
      <c r="Y630" s="77"/>
      <c r="Z630" s="77"/>
      <c r="AA630" s="77"/>
      <c r="AB630" s="77"/>
      <c r="AC630" s="82" t="s">
        <v>7706</v>
      </c>
      <c r="AD630" s="77" t="s">
        <v>7745</v>
      </c>
      <c r="AE630" s="80" t="str">
        <f>HYPERLINK("https://twitter.com/tradervlog/status/1654815318345416705")</f>
        <v>https://twitter.com/tradervlog/status/1654815318345416705</v>
      </c>
      <c r="AF630" s="79">
        <v>45052.491793981484</v>
      </c>
      <c r="AG630" s="85">
        <v>45052</v>
      </c>
      <c r="AH630" s="82" t="s">
        <v>8315</v>
      </c>
      <c r="AI630" s="77"/>
      <c r="AJ630" s="77"/>
      <c r="AK630" s="77"/>
      <c r="AL630" s="77"/>
      <c r="AM630" s="77"/>
      <c r="AN630" s="77"/>
      <c r="AO630" s="77"/>
      <c r="AP630" s="77"/>
      <c r="AQ630" s="77"/>
      <c r="AR630" s="77"/>
      <c r="AS630" s="77"/>
      <c r="AT630" s="77"/>
      <c r="AU630" s="77"/>
      <c r="AV630" s="80" t="str">
        <f>HYPERLINK("https://pbs.twimg.com/profile_images/1635926557977100289/xd69FX_J_normal.jpg")</f>
        <v>https://pbs.twimg.com/profile_images/1635926557977100289/xd69FX_J_normal.jpg</v>
      </c>
      <c r="AW630" s="82" t="s">
        <v>12822</v>
      </c>
      <c r="AX630" s="82" t="s">
        <v>15280</v>
      </c>
      <c r="AY630" s="82" t="s">
        <v>15706</v>
      </c>
      <c r="AZ630" s="82" t="s">
        <v>15280</v>
      </c>
      <c r="BA630" s="82" t="s">
        <v>15804</v>
      </c>
      <c r="BB630" s="82" t="s">
        <v>15804</v>
      </c>
      <c r="BC630" s="82" t="s">
        <v>15280</v>
      </c>
      <c r="BD630" s="82" t="s">
        <v>15706</v>
      </c>
      <c r="BE630" s="77"/>
      <c r="BF630" s="77"/>
      <c r="BG630" s="77"/>
      <c r="BH630" s="77"/>
      <c r="BI630" s="77"/>
    </row>
    <row r="631" spans="1:61" x14ac:dyDescent="0.25">
      <c r="A631" s="62" t="s">
        <v>416</v>
      </c>
      <c r="B631" s="62" t="s">
        <v>416</v>
      </c>
      <c r="C631" s="63"/>
      <c r="D631" s="64"/>
      <c r="E631" s="65"/>
      <c r="F631" s="66"/>
      <c r="G631" s="63"/>
      <c r="H631" s="67"/>
      <c r="I631" s="68"/>
      <c r="J631" s="68"/>
      <c r="K631" s="32"/>
      <c r="L631" s="75">
        <v>631</v>
      </c>
      <c r="M631" s="75"/>
      <c r="N631" s="70"/>
      <c r="O631" s="77" t="s">
        <v>179</v>
      </c>
      <c r="P631" s="79">
        <v>45050.746203703704</v>
      </c>
      <c r="Q631" s="77" t="s">
        <v>1737</v>
      </c>
      <c r="R631" s="77">
        <v>0</v>
      </c>
      <c r="S631" s="77">
        <v>0</v>
      </c>
      <c r="T631" s="77">
        <v>0</v>
      </c>
      <c r="U631" s="77">
        <v>0</v>
      </c>
      <c r="V631" s="77">
        <v>22</v>
      </c>
      <c r="W631" s="82" t="s">
        <v>4491</v>
      </c>
      <c r="X631" s="80" t="str">
        <f>HYPERLINK("https://youtu.be/arktxSHW2fg")</f>
        <v>https://youtu.be/arktxSHW2fg</v>
      </c>
      <c r="Y631" s="77" t="s">
        <v>6003</v>
      </c>
      <c r="Z631" s="77"/>
      <c r="AA631" s="77"/>
      <c r="AB631" s="77"/>
      <c r="AC631" s="82" t="s">
        <v>7706</v>
      </c>
      <c r="AD631" s="77" t="s">
        <v>7745</v>
      </c>
      <c r="AE631" s="80" t="str">
        <f>HYPERLINK("https://twitter.com/tradervlog/status/1654182736373092352")</f>
        <v>https://twitter.com/tradervlog/status/1654182736373092352</v>
      </c>
      <c r="AF631" s="79">
        <v>45050.746203703704</v>
      </c>
      <c r="AG631" s="85">
        <v>45050</v>
      </c>
      <c r="AH631" s="82" t="s">
        <v>8316</v>
      </c>
      <c r="AI631" s="77" t="b">
        <v>0</v>
      </c>
      <c r="AJ631" s="77"/>
      <c r="AK631" s="77"/>
      <c r="AL631" s="77"/>
      <c r="AM631" s="77"/>
      <c r="AN631" s="77"/>
      <c r="AO631" s="77"/>
      <c r="AP631" s="77"/>
      <c r="AQ631" s="77"/>
      <c r="AR631" s="77"/>
      <c r="AS631" s="77"/>
      <c r="AT631" s="77"/>
      <c r="AU631" s="77"/>
      <c r="AV631" s="80" t="str">
        <f>HYPERLINK("https://pbs.twimg.com/profile_images/1635926557977100289/xd69FX_J_normal.jpg")</f>
        <v>https://pbs.twimg.com/profile_images/1635926557977100289/xd69FX_J_normal.jpg</v>
      </c>
      <c r="AW631" s="82" t="s">
        <v>12823</v>
      </c>
      <c r="AX631" s="82" t="s">
        <v>12823</v>
      </c>
      <c r="AY631" s="77"/>
      <c r="AZ631" s="82" t="s">
        <v>15804</v>
      </c>
      <c r="BA631" s="82" t="s">
        <v>15804</v>
      </c>
      <c r="BB631" s="82" t="s">
        <v>15804</v>
      </c>
      <c r="BC631" s="82" t="s">
        <v>12823</v>
      </c>
      <c r="BD631" s="82" t="s">
        <v>15706</v>
      </c>
      <c r="BE631" s="77"/>
      <c r="BF631" s="77"/>
      <c r="BG631" s="77"/>
      <c r="BH631" s="77"/>
      <c r="BI631" s="77"/>
    </row>
    <row r="632" spans="1:61" x14ac:dyDescent="0.25">
      <c r="A632" s="62" t="s">
        <v>417</v>
      </c>
      <c r="B632" s="62" t="s">
        <v>417</v>
      </c>
      <c r="C632" s="63"/>
      <c r="D632" s="64"/>
      <c r="E632" s="65"/>
      <c r="F632" s="66"/>
      <c r="G632" s="63"/>
      <c r="H632" s="67"/>
      <c r="I632" s="68"/>
      <c r="J632" s="68"/>
      <c r="K632" s="32"/>
      <c r="L632" s="75">
        <v>632</v>
      </c>
      <c r="M632" s="75"/>
      <c r="N632" s="70"/>
      <c r="O632" s="77" t="s">
        <v>179</v>
      </c>
      <c r="P632" s="79">
        <v>45022.741782407407</v>
      </c>
      <c r="Q632" s="77" t="s">
        <v>1738</v>
      </c>
      <c r="R632" s="77">
        <v>0</v>
      </c>
      <c r="S632" s="77">
        <v>0</v>
      </c>
      <c r="T632" s="77">
        <v>0</v>
      </c>
      <c r="U632" s="77">
        <v>0</v>
      </c>
      <c r="V632" s="77">
        <v>24</v>
      </c>
      <c r="W632" s="82" t="s">
        <v>4492</v>
      </c>
      <c r="X632" s="80" t="str">
        <f>HYPERLINK("https://lnkd.in/gRDN9atB")</f>
        <v>https://lnkd.in/gRDN9atB</v>
      </c>
      <c r="Y632" s="77" t="s">
        <v>6014</v>
      </c>
      <c r="Z632" s="77"/>
      <c r="AA632" s="77" t="s">
        <v>6508</v>
      </c>
      <c r="AB632" s="77" t="s">
        <v>7696</v>
      </c>
      <c r="AC632" s="82" t="s">
        <v>7706</v>
      </c>
      <c r="AD632" s="77" t="s">
        <v>7745</v>
      </c>
      <c r="AE632" s="80" t="str">
        <f>HYPERLINK("https://twitter.com/claudiohabibe/status/1644034276415926278")</f>
        <v>https://twitter.com/claudiohabibe/status/1644034276415926278</v>
      </c>
      <c r="AF632" s="79">
        <v>45022.741782407407</v>
      </c>
      <c r="AG632" s="85">
        <v>45022</v>
      </c>
      <c r="AH632" s="82" t="s">
        <v>8317</v>
      </c>
      <c r="AI632" s="77" t="b">
        <v>0</v>
      </c>
      <c r="AJ632" s="77"/>
      <c r="AK632" s="77"/>
      <c r="AL632" s="77"/>
      <c r="AM632" s="77"/>
      <c r="AN632" s="77"/>
      <c r="AO632" s="77"/>
      <c r="AP632" s="77"/>
      <c r="AQ632" s="77" t="s">
        <v>11015</v>
      </c>
      <c r="AR632" s="77"/>
      <c r="AS632" s="77"/>
      <c r="AT632" s="77"/>
      <c r="AU632" s="77"/>
      <c r="AV632" s="80" t="str">
        <f>HYPERLINK("https://pbs.twimg.com/media/FtDIO0QXwAAa1Ks.jpg")</f>
        <v>https://pbs.twimg.com/media/FtDIO0QXwAAa1Ks.jpg</v>
      </c>
      <c r="AW632" s="82" t="s">
        <v>12824</v>
      </c>
      <c r="AX632" s="82" t="s">
        <v>12824</v>
      </c>
      <c r="AY632" s="77"/>
      <c r="AZ632" s="82" t="s">
        <v>15804</v>
      </c>
      <c r="BA632" s="82" t="s">
        <v>15804</v>
      </c>
      <c r="BB632" s="82" t="s">
        <v>15804</v>
      </c>
      <c r="BC632" s="82" t="s">
        <v>12824</v>
      </c>
      <c r="BD632" s="77">
        <v>260916432</v>
      </c>
      <c r="BE632" s="77"/>
      <c r="BF632" s="77"/>
      <c r="BG632" s="77"/>
      <c r="BH632" s="77"/>
      <c r="BI632" s="77"/>
    </row>
    <row r="633" spans="1:61" x14ac:dyDescent="0.25">
      <c r="A633" s="62" t="s">
        <v>418</v>
      </c>
      <c r="B633" s="62" t="s">
        <v>418</v>
      </c>
      <c r="C633" s="63"/>
      <c r="D633" s="64"/>
      <c r="E633" s="65"/>
      <c r="F633" s="66"/>
      <c r="G633" s="63"/>
      <c r="H633" s="67"/>
      <c r="I633" s="68"/>
      <c r="J633" s="68"/>
      <c r="K633" s="32"/>
      <c r="L633" s="75">
        <v>633</v>
      </c>
      <c r="M633" s="75"/>
      <c r="N633" s="70"/>
      <c r="O633" s="77" t="s">
        <v>1132</v>
      </c>
      <c r="P633" s="79">
        <v>45005.896180555559</v>
      </c>
      <c r="Q633" s="77" t="s">
        <v>1739</v>
      </c>
      <c r="R633" s="77">
        <v>1</v>
      </c>
      <c r="S633" s="77">
        <v>1</v>
      </c>
      <c r="T633" s="77">
        <v>0</v>
      </c>
      <c r="U633" s="77">
        <v>0</v>
      </c>
      <c r="V633" s="77">
        <v>19</v>
      </c>
      <c r="W633" s="82" t="s">
        <v>4493</v>
      </c>
      <c r="X633" s="77"/>
      <c r="Y633" s="77"/>
      <c r="Z633" s="77"/>
      <c r="AA633" s="77" t="s">
        <v>6509</v>
      </c>
      <c r="AB633" s="77" t="s">
        <v>7696</v>
      </c>
      <c r="AC633" s="82" t="s">
        <v>7706</v>
      </c>
      <c r="AD633" s="77" t="s">
        <v>7745</v>
      </c>
      <c r="AE633" s="80" t="str">
        <f>HYPERLINK("https://twitter.com/businessjrvc/status/1637929631725793280")</f>
        <v>https://twitter.com/businessjrvc/status/1637929631725793280</v>
      </c>
      <c r="AF633" s="79">
        <v>45005.896180555559</v>
      </c>
      <c r="AG633" s="85">
        <v>45005</v>
      </c>
      <c r="AH633" s="82" t="s">
        <v>8318</v>
      </c>
      <c r="AI633" s="77" t="b">
        <v>0</v>
      </c>
      <c r="AJ633" s="77"/>
      <c r="AK633" s="77"/>
      <c r="AL633" s="77"/>
      <c r="AM633" s="77"/>
      <c r="AN633" s="77"/>
      <c r="AO633" s="77"/>
      <c r="AP633" s="77"/>
      <c r="AQ633" s="77" t="s">
        <v>11016</v>
      </c>
      <c r="AR633" s="77"/>
      <c r="AS633" s="77"/>
      <c r="AT633" s="77"/>
      <c r="AU633" s="77"/>
      <c r="AV633" s="80" t="str">
        <f>HYPERLINK("https://pbs.twimg.com/media/FrsYUJ7WwAIgCYk.png")</f>
        <v>https://pbs.twimg.com/media/FrsYUJ7WwAIgCYk.png</v>
      </c>
      <c r="AW633" s="82" t="s">
        <v>12825</v>
      </c>
      <c r="AX633" s="82" t="s">
        <v>12827</v>
      </c>
      <c r="AY633" s="82" t="s">
        <v>15707</v>
      </c>
      <c r="AZ633" s="82" t="s">
        <v>12827</v>
      </c>
      <c r="BA633" s="82" t="s">
        <v>15804</v>
      </c>
      <c r="BB633" s="82" t="s">
        <v>15804</v>
      </c>
      <c r="BC633" s="82" t="s">
        <v>12827</v>
      </c>
      <c r="BD633" s="82" t="s">
        <v>15707</v>
      </c>
      <c r="BE633" s="77"/>
      <c r="BF633" s="77"/>
      <c r="BG633" s="77"/>
      <c r="BH633" s="77"/>
      <c r="BI633" s="77"/>
    </row>
    <row r="634" spans="1:61" x14ac:dyDescent="0.25">
      <c r="A634" s="62" t="s">
        <v>418</v>
      </c>
      <c r="B634" s="62" t="s">
        <v>418</v>
      </c>
      <c r="C634" s="63"/>
      <c r="D634" s="64"/>
      <c r="E634" s="65"/>
      <c r="F634" s="66"/>
      <c r="G634" s="63"/>
      <c r="H634" s="67"/>
      <c r="I634" s="68"/>
      <c r="J634" s="68"/>
      <c r="K634" s="32"/>
      <c r="L634" s="75">
        <v>634</v>
      </c>
      <c r="M634" s="75"/>
      <c r="N634" s="70"/>
      <c r="O634" s="77" t="s">
        <v>1132</v>
      </c>
      <c r="P634" s="79">
        <v>45005.895833333336</v>
      </c>
      <c r="Q634" s="77" t="s">
        <v>1740</v>
      </c>
      <c r="R634" s="77">
        <v>0</v>
      </c>
      <c r="S634" s="77">
        <v>0</v>
      </c>
      <c r="T634" s="77">
        <v>0</v>
      </c>
      <c r="U634" s="77">
        <v>0</v>
      </c>
      <c r="V634" s="77">
        <v>18</v>
      </c>
      <c r="W634" s="82" t="s">
        <v>4493</v>
      </c>
      <c r="X634" s="77"/>
      <c r="Y634" s="77"/>
      <c r="Z634" s="77"/>
      <c r="AA634" s="77" t="s">
        <v>6510</v>
      </c>
      <c r="AB634" s="77" t="s">
        <v>7700</v>
      </c>
      <c r="AC634" s="82" t="s">
        <v>7706</v>
      </c>
      <c r="AD634" s="77" t="s">
        <v>7745</v>
      </c>
      <c r="AE634" s="80" t="str">
        <f>HYPERLINK("https://twitter.com/businessjrvc/status/1637929508572479488")</f>
        <v>https://twitter.com/businessjrvc/status/1637929508572479488</v>
      </c>
      <c r="AF634" s="79">
        <v>45005.895833333336</v>
      </c>
      <c r="AG634" s="85">
        <v>45005</v>
      </c>
      <c r="AH634" s="82" t="s">
        <v>8273</v>
      </c>
      <c r="AI634" s="77" t="b">
        <v>0</v>
      </c>
      <c r="AJ634" s="77"/>
      <c r="AK634" s="77"/>
      <c r="AL634" s="77"/>
      <c r="AM634" s="77"/>
      <c r="AN634" s="77"/>
      <c r="AO634" s="77"/>
      <c r="AP634" s="77"/>
      <c r="AQ634" s="77" t="s">
        <v>11017</v>
      </c>
      <c r="AR634" s="77"/>
      <c r="AS634" s="77"/>
      <c r="AT634" s="77"/>
      <c r="AU634" s="77"/>
      <c r="AV634" s="80" t="str">
        <f>HYPERLINK("https://pbs.twimg.com/media/FrsYM-gXsAAlX0U.png")</f>
        <v>https://pbs.twimg.com/media/FrsYM-gXsAAlX0U.png</v>
      </c>
      <c r="AW634" s="82" t="s">
        <v>12826</v>
      </c>
      <c r="AX634" s="82" t="s">
        <v>12827</v>
      </c>
      <c r="AY634" s="82" t="s">
        <v>15707</v>
      </c>
      <c r="AZ634" s="82" t="s">
        <v>12827</v>
      </c>
      <c r="BA634" s="82" t="s">
        <v>15804</v>
      </c>
      <c r="BB634" s="82" t="s">
        <v>15804</v>
      </c>
      <c r="BC634" s="82" t="s">
        <v>12827</v>
      </c>
      <c r="BD634" s="82" t="s">
        <v>15707</v>
      </c>
      <c r="BE634" s="77"/>
      <c r="BF634" s="77"/>
      <c r="BG634" s="77"/>
      <c r="BH634" s="77"/>
      <c r="BI634" s="77"/>
    </row>
    <row r="635" spans="1:61" x14ac:dyDescent="0.25">
      <c r="A635" s="62" t="s">
        <v>418</v>
      </c>
      <c r="B635" s="62" t="s">
        <v>418</v>
      </c>
      <c r="C635" s="63"/>
      <c r="D635" s="64"/>
      <c r="E635" s="65"/>
      <c r="F635" s="66"/>
      <c r="G635" s="63"/>
      <c r="H635" s="67"/>
      <c r="I635" s="68"/>
      <c r="J635" s="68"/>
      <c r="K635" s="32"/>
      <c r="L635" s="75">
        <v>635</v>
      </c>
      <c r="M635" s="75"/>
      <c r="N635" s="70"/>
      <c r="O635" s="77" t="s">
        <v>179</v>
      </c>
      <c r="P635" s="79">
        <v>45005.895590277774</v>
      </c>
      <c r="Q635" s="77" t="s">
        <v>1741</v>
      </c>
      <c r="R635" s="77">
        <v>0</v>
      </c>
      <c r="S635" s="77">
        <v>0</v>
      </c>
      <c r="T635" s="77">
        <v>2</v>
      </c>
      <c r="U635" s="77">
        <v>0</v>
      </c>
      <c r="V635" s="77">
        <v>52</v>
      </c>
      <c r="W635" s="82" t="s">
        <v>4493</v>
      </c>
      <c r="X635" s="77"/>
      <c r="Y635" s="77"/>
      <c r="Z635" s="77"/>
      <c r="AA635" s="77" t="s">
        <v>6511</v>
      </c>
      <c r="AB635" s="77" t="s">
        <v>7700</v>
      </c>
      <c r="AC635" s="82" t="s">
        <v>7706</v>
      </c>
      <c r="AD635" s="77" t="s">
        <v>7745</v>
      </c>
      <c r="AE635" s="80" t="str">
        <f>HYPERLINK("https://twitter.com/businessjrvc/status/1637929417489133568")</f>
        <v>https://twitter.com/businessjrvc/status/1637929417489133568</v>
      </c>
      <c r="AF635" s="79">
        <v>45005.895590277774</v>
      </c>
      <c r="AG635" s="85">
        <v>45005</v>
      </c>
      <c r="AH635" s="82" t="s">
        <v>8319</v>
      </c>
      <c r="AI635" s="77" t="b">
        <v>0</v>
      </c>
      <c r="AJ635" s="77"/>
      <c r="AK635" s="77"/>
      <c r="AL635" s="77"/>
      <c r="AM635" s="77"/>
      <c r="AN635" s="77"/>
      <c r="AO635" s="77"/>
      <c r="AP635" s="77"/>
      <c r="AQ635" s="77" t="s">
        <v>11018</v>
      </c>
      <c r="AR635" s="77"/>
      <c r="AS635" s="77"/>
      <c r="AT635" s="77"/>
      <c r="AU635" s="77"/>
      <c r="AV635" s="80" t="str">
        <f>HYPERLINK("https://pbs.twimg.com/media/FrsYHnoX0AE__72.png")</f>
        <v>https://pbs.twimg.com/media/FrsYHnoX0AE__72.png</v>
      </c>
      <c r="AW635" s="82" t="s">
        <v>12827</v>
      </c>
      <c r="AX635" s="82" t="s">
        <v>12827</v>
      </c>
      <c r="AY635" s="77"/>
      <c r="AZ635" s="82" t="s">
        <v>15804</v>
      </c>
      <c r="BA635" s="82" t="s">
        <v>15804</v>
      </c>
      <c r="BB635" s="82" t="s">
        <v>15804</v>
      </c>
      <c r="BC635" s="82" t="s">
        <v>12827</v>
      </c>
      <c r="BD635" s="82" t="s">
        <v>15707</v>
      </c>
      <c r="BE635" s="77"/>
      <c r="BF635" s="77"/>
      <c r="BG635" s="77"/>
      <c r="BH635" s="77"/>
      <c r="BI635" s="77"/>
    </row>
    <row r="636" spans="1:61" x14ac:dyDescent="0.25">
      <c r="A636" s="62" t="s">
        <v>419</v>
      </c>
      <c r="B636" s="62" t="s">
        <v>419</v>
      </c>
      <c r="C636" s="63"/>
      <c r="D636" s="64"/>
      <c r="E636" s="65"/>
      <c r="F636" s="66"/>
      <c r="G636" s="63"/>
      <c r="H636" s="67"/>
      <c r="I636" s="68"/>
      <c r="J636" s="68"/>
      <c r="K636" s="32"/>
      <c r="L636" s="75">
        <v>636</v>
      </c>
      <c r="M636" s="75"/>
      <c r="N636" s="70"/>
      <c r="O636" s="77" t="s">
        <v>179</v>
      </c>
      <c r="P636" s="79">
        <v>45147.018958333334</v>
      </c>
      <c r="Q636" s="77" t="s">
        <v>1742</v>
      </c>
      <c r="R636" s="77">
        <v>0</v>
      </c>
      <c r="S636" s="77">
        <v>0</v>
      </c>
      <c r="T636" s="77">
        <v>1</v>
      </c>
      <c r="U636" s="77">
        <v>0</v>
      </c>
      <c r="V636" s="77">
        <v>40</v>
      </c>
      <c r="W636" s="82" t="s">
        <v>4494</v>
      </c>
      <c r="X636" s="77"/>
      <c r="Y636" s="77"/>
      <c r="Z636" s="77"/>
      <c r="AA636" s="77" t="s">
        <v>6512</v>
      </c>
      <c r="AB636" s="77" t="s">
        <v>7697</v>
      </c>
      <c r="AC636" s="82" t="s">
        <v>7705</v>
      </c>
      <c r="AD636" s="77" t="s">
        <v>7745</v>
      </c>
      <c r="AE636" s="80" t="str">
        <f>HYPERLINK("https://twitter.com/velosotrade/status/1689070817521410050")</f>
        <v>https://twitter.com/velosotrade/status/1689070817521410050</v>
      </c>
      <c r="AF636" s="79">
        <v>45147.018958333334</v>
      </c>
      <c r="AG636" s="85">
        <v>45147</v>
      </c>
      <c r="AH636" s="82" t="s">
        <v>8320</v>
      </c>
      <c r="AI636" s="77" t="b">
        <v>0</v>
      </c>
      <c r="AJ636" s="77"/>
      <c r="AK636" s="77"/>
      <c r="AL636" s="77"/>
      <c r="AM636" s="77"/>
      <c r="AN636" s="77"/>
      <c r="AO636" s="77"/>
      <c r="AP636" s="77"/>
      <c r="AQ636" s="77" t="s">
        <v>11019</v>
      </c>
      <c r="AR636" s="77">
        <v>77166</v>
      </c>
      <c r="AS636" s="77"/>
      <c r="AT636" s="77"/>
      <c r="AU636" s="77">
        <v>6</v>
      </c>
      <c r="AV636" s="80" t="str">
        <f>HYPERLINK("https://pbs.twimg.com/ext_tw_video_thumb/1689070694133313537/pu/img/DE89PyY5TmnolQRf.jpg")</f>
        <v>https://pbs.twimg.com/ext_tw_video_thumb/1689070694133313537/pu/img/DE89PyY5TmnolQRf.jpg</v>
      </c>
      <c r="AW636" s="82" t="s">
        <v>12828</v>
      </c>
      <c r="AX636" s="82" t="s">
        <v>12828</v>
      </c>
      <c r="AY636" s="77"/>
      <c r="AZ636" s="82" t="s">
        <v>15804</v>
      </c>
      <c r="BA636" s="82" t="s">
        <v>15804</v>
      </c>
      <c r="BB636" s="82" t="s">
        <v>15804</v>
      </c>
      <c r="BC636" s="82" t="s">
        <v>12828</v>
      </c>
      <c r="BD636" s="82" t="s">
        <v>16240</v>
      </c>
      <c r="BE636" s="77"/>
      <c r="BF636" s="77"/>
      <c r="BG636" s="77"/>
      <c r="BH636" s="77"/>
      <c r="BI636" s="77"/>
    </row>
    <row r="637" spans="1:61" x14ac:dyDescent="0.25">
      <c r="A637" s="62" t="s">
        <v>420</v>
      </c>
      <c r="B637" s="62" t="s">
        <v>1071</v>
      </c>
      <c r="C637" s="63"/>
      <c r="D637" s="64"/>
      <c r="E637" s="65"/>
      <c r="F637" s="66"/>
      <c r="G637" s="63"/>
      <c r="H637" s="67"/>
      <c r="I637" s="68"/>
      <c r="J637" s="68"/>
      <c r="K637" s="32"/>
      <c r="L637" s="75">
        <v>637</v>
      </c>
      <c r="M637" s="75"/>
      <c r="N637" s="70"/>
      <c r="O637" s="77" t="s">
        <v>1133</v>
      </c>
      <c r="P637" s="79">
        <v>45026.542256944442</v>
      </c>
      <c r="Q637" s="77" t="s">
        <v>1743</v>
      </c>
      <c r="R637" s="77">
        <v>0</v>
      </c>
      <c r="S637" s="77">
        <v>1</v>
      </c>
      <c r="T637" s="77">
        <v>0</v>
      </c>
      <c r="U637" s="77">
        <v>0</v>
      </c>
      <c r="V637" s="77">
        <v>554</v>
      </c>
      <c r="W637" s="82" t="s">
        <v>4495</v>
      </c>
      <c r="X637" s="80" t="str">
        <f>HYPERLINK("https://mla.bs/73f5a45d")</f>
        <v>https://mla.bs/73f5a45d</v>
      </c>
      <c r="Y637" s="77" t="s">
        <v>6030</v>
      </c>
      <c r="Z637" s="77" t="s">
        <v>1071</v>
      </c>
      <c r="AA637" s="77"/>
      <c r="AB637" s="77"/>
      <c r="AC637" s="82" t="s">
        <v>7708</v>
      </c>
      <c r="AD637" s="77" t="s">
        <v>7745</v>
      </c>
      <c r="AE637" s="80" t="str">
        <f>HYPERLINK("https://twitter.com/einvestidor/status/1645411520698785792")</f>
        <v>https://twitter.com/einvestidor/status/1645411520698785792</v>
      </c>
      <c r="AF637" s="79">
        <v>45026.542256944442</v>
      </c>
      <c r="AG637" s="85">
        <v>45026</v>
      </c>
      <c r="AH637" s="82" t="s">
        <v>8321</v>
      </c>
      <c r="AI637" s="77" t="b">
        <v>0</v>
      </c>
      <c r="AJ637" s="77"/>
      <c r="AK637" s="77"/>
      <c r="AL637" s="77"/>
      <c r="AM637" s="77"/>
      <c r="AN637" s="77"/>
      <c r="AO637" s="77"/>
      <c r="AP637" s="77"/>
      <c r="AQ637" s="77"/>
      <c r="AR637" s="77"/>
      <c r="AS637" s="77"/>
      <c r="AT637" s="77"/>
      <c r="AU637" s="77"/>
      <c r="AV637" s="80" t="str">
        <f>HYPERLINK("https://pbs.twimg.com/profile_images/1241147984924082183/gZgx_hL-_normal.jpg")</f>
        <v>https://pbs.twimg.com/profile_images/1241147984924082183/gZgx_hL-_normal.jpg</v>
      </c>
      <c r="AW637" s="82" t="s">
        <v>12829</v>
      </c>
      <c r="AX637" s="82" t="s">
        <v>12829</v>
      </c>
      <c r="AY637" s="77"/>
      <c r="AZ637" s="82" t="s">
        <v>15804</v>
      </c>
      <c r="BA637" s="82" t="s">
        <v>15804</v>
      </c>
      <c r="BB637" s="82" t="s">
        <v>15804</v>
      </c>
      <c r="BC637" s="82" t="s">
        <v>12829</v>
      </c>
      <c r="BD637" s="82" t="s">
        <v>15756</v>
      </c>
      <c r="BE637" s="77"/>
      <c r="BF637" s="77"/>
      <c r="BG637" s="77"/>
      <c r="BH637" s="77"/>
      <c r="BI637" s="77"/>
    </row>
    <row r="638" spans="1:61" x14ac:dyDescent="0.25">
      <c r="A638" s="62" t="s">
        <v>420</v>
      </c>
      <c r="B638" s="62" t="s">
        <v>1072</v>
      </c>
      <c r="C638" s="63"/>
      <c r="D638" s="64"/>
      <c r="E638" s="65"/>
      <c r="F638" s="66"/>
      <c r="G638" s="63"/>
      <c r="H638" s="67"/>
      <c r="I638" s="68"/>
      <c r="J638" s="68"/>
      <c r="K638" s="32"/>
      <c r="L638" s="75">
        <v>638</v>
      </c>
      <c r="M638" s="75"/>
      <c r="N638" s="70"/>
      <c r="O638" s="77" t="s">
        <v>1133</v>
      </c>
      <c r="P638" s="79">
        <v>44970.439039351855</v>
      </c>
      <c r="Q638" s="77" t="s">
        <v>1744</v>
      </c>
      <c r="R638" s="77">
        <v>1</v>
      </c>
      <c r="S638" s="77">
        <v>5</v>
      </c>
      <c r="T638" s="77">
        <v>4</v>
      </c>
      <c r="U638" s="77">
        <v>1</v>
      </c>
      <c r="V638" s="77">
        <v>1727</v>
      </c>
      <c r="W638" s="82" t="s">
        <v>4080</v>
      </c>
      <c r="X638" s="80" t="str">
        <f>HYPERLINK("https://mla.bs/c2d1ddbb")</f>
        <v>https://mla.bs/c2d1ddbb</v>
      </c>
      <c r="Y638" s="77" t="s">
        <v>6030</v>
      </c>
      <c r="Z638" s="77" t="s">
        <v>1072</v>
      </c>
      <c r="AA638" s="77"/>
      <c r="AB638" s="77"/>
      <c r="AC638" s="82" t="s">
        <v>7708</v>
      </c>
      <c r="AD638" s="77" t="s">
        <v>7745</v>
      </c>
      <c r="AE638" s="80" t="str">
        <f>HYPERLINK("https://twitter.com/einvestidor/status/1625080396554686473")</f>
        <v>https://twitter.com/einvestidor/status/1625080396554686473</v>
      </c>
      <c r="AF638" s="79">
        <v>44970.439039351855</v>
      </c>
      <c r="AG638" s="85">
        <v>44970</v>
      </c>
      <c r="AH638" s="82" t="s">
        <v>8322</v>
      </c>
      <c r="AI638" s="77" t="b">
        <v>0</v>
      </c>
      <c r="AJ638" s="77"/>
      <c r="AK638" s="77"/>
      <c r="AL638" s="77"/>
      <c r="AM638" s="77"/>
      <c r="AN638" s="77"/>
      <c r="AO638" s="77"/>
      <c r="AP638" s="77"/>
      <c r="AQ638" s="77"/>
      <c r="AR638" s="77"/>
      <c r="AS638" s="77"/>
      <c r="AT638" s="77"/>
      <c r="AU638" s="77"/>
      <c r="AV638" s="80" t="str">
        <f>HYPERLINK("https://pbs.twimg.com/profile_images/1241147984924082183/gZgx_hL-_normal.jpg")</f>
        <v>https://pbs.twimg.com/profile_images/1241147984924082183/gZgx_hL-_normal.jpg</v>
      </c>
      <c r="AW638" s="82" t="s">
        <v>12830</v>
      </c>
      <c r="AX638" s="82" t="s">
        <v>12830</v>
      </c>
      <c r="AY638" s="77"/>
      <c r="AZ638" s="82" t="s">
        <v>15804</v>
      </c>
      <c r="BA638" s="82" t="s">
        <v>15804</v>
      </c>
      <c r="BB638" s="82" t="s">
        <v>15804</v>
      </c>
      <c r="BC638" s="82" t="s">
        <v>12830</v>
      </c>
      <c r="BD638" s="82" t="s">
        <v>15756</v>
      </c>
      <c r="BE638" s="77"/>
      <c r="BF638" s="77"/>
      <c r="BG638" s="77"/>
      <c r="BH638" s="77"/>
      <c r="BI638" s="77"/>
    </row>
    <row r="639" spans="1:61" x14ac:dyDescent="0.25">
      <c r="A639" s="62" t="s">
        <v>420</v>
      </c>
      <c r="B639" s="62" t="s">
        <v>1073</v>
      </c>
      <c r="C639" s="63"/>
      <c r="D639" s="64"/>
      <c r="E639" s="65"/>
      <c r="F639" s="66"/>
      <c r="G639" s="63"/>
      <c r="H639" s="67"/>
      <c r="I639" s="68"/>
      <c r="J639" s="68"/>
      <c r="K639" s="32"/>
      <c r="L639" s="75">
        <v>639</v>
      </c>
      <c r="M639" s="75"/>
      <c r="N639" s="70"/>
      <c r="O639" s="77" t="s">
        <v>1133</v>
      </c>
      <c r="P639" s="79">
        <v>45115.792187500003</v>
      </c>
      <c r="Q639" s="77" t="s">
        <v>1745</v>
      </c>
      <c r="R639" s="77">
        <v>0</v>
      </c>
      <c r="S639" s="77">
        <v>2</v>
      </c>
      <c r="T639" s="77">
        <v>0</v>
      </c>
      <c r="U639" s="77">
        <v>0</v>
      </c>
      <c r="V639" s="77">
        <v>966</v>
      </c>
      <c r="W639" s="82" t="s">
        <v>4080</v>
      </c>
      <c r="X639" s="80" t="str">
        <f>HYPERLINK("https://mla.bs/6ae15de2")</f>
        <v>https://mla.bs/6ae15de2</v>
      </c>
      <c r="Y639" s="77" t="s">
        <v>6030</v>
      </c>
      <c r="Z639" s="77" t="s">
        <v>1073</v>
      </c>
      <c r="AA639" s="77"/>
      <c r="AB639" s="77"/>
      <c r="AC639" s="82" t="s">
        <v>7708</v>
      </c>
      <c r="AD639" s="77" t="s">
        <v>7745</v>
      </c>
      <c r="AE639" s="80" t="str">
        <f>HYPERLINK("https://twitter.com/einvestidor/status/1677754613536006144")</f>
        <v>https://twitter.com/einvestidor/status/1677754613536006144</v>
      </c>
      <c r="AF639" s="79">
        <v>45115.792187500003</v>
      </c>
      <c r="AG639" s="85">
        <v>45115</v>
      </c>
      <c r="AH639" s="82" t="s">
        <v>8323</v>
      </c>
      <c r="AI639" s="77" t="b">
        <v>0</v>
      </c>
      <c r="AJ639" s="77"/>
      <c r="AK639" s="77"/>
      <c r="AL639" s="77"/>
      <c r="AM639" s="77"/>
      <c r="AN639" s="77"/>
      <c r="AO639" s="77"/>
      <c r="AP639" s="77"/>
      <c r="AQ639" s="77"/>
      <c r="AR639" s="77"/>
      <c r="AS639" s="77"/>
      <c r="AT639" s="77"/>
      <c r="AU639" s="77"/>
      <c r="AV639" s="80" t="str">
        <f>HYPERLINK("https://pbs.twimg.com/profile_images/1241147984924082183/gZgx_hL-_normal.jpg")</f>
        <v>https://pbs.twimg.com/profile_images/1241147984924082183/gZgx_hL-_normal.jpg</v>
      </c>
      <c r="AW639" s="82" t="s">
        <v>12831</v>
      </c>
      <c r="AX639" s="82" t="s">
        <v>12831</v>
      </c>
      <c r="AY639" s="77"/>
      <c r="AZ639" s="82" t="s">
        <v>15804</v>
      </c>
      <c r="BA639" s="82" t="s">
        <v>15804</v>
      </c>
      <c r="BB639" s="82" t="s">
        <v>15804</v>
      </c>
      <c r="BC639" s="82" t="s">
        <v>12831</v>
      </c>
      <c r="BD639" s="82" t="s">
        <v>15756</v>
      </c>
      <c r="BE639" s="77"/>
      <c r="BF639" s="77"/>
      <c r="BG639" s="77"/>
      <c r="BH639" s="77"/>
      <c r="BI639" s="77"/>
    </row>
    <row r="640" spans="1:61" x14ac:dyDescent="0.25">
      <c r="A640" s="62" t="s">
        <v>420</v>
      </c>
      <c r="B640" s="62" t="s">
        <v>1073</v>
      </c>
      <c r="C640" s="63"/>
      <c r="D640" s="64"/>
      <c r="E640" s="65"/>
      <c r="F640" s="66"/>
      <c r="G640" s="63"/>
      <c r="H640" s="67"/>
      <c r="I640" s="68"/>
      <c r="J640" s="68"/>
      <c r="K640" s="32"/>
      <c r="L640" s="75">
        <v>640</v>
      </c>
      <c r="M640" s="75"/>
      <c r="N640" s="70"/>
      <c r="O640" s="77" t="s">
        <v>1133</v>
      </c>
      <c r="P640" s="79">
        <v>44973.500416666669</v>
      </c>
      <c r="Q640" s="77" t="s">
        <v>1746</v>
      </c>
      <c r="R640" s="77">
        <v>0</v>
      </c>
      <c r="S640" s="77">
        <v>1</v>
      </c>
      <c r="T640" s="77">
        <v>0</v>
      </c>
      <c r="U640" s="77">
        <v>0</v>
      </c>
      <c r="V640" s="77">
        <v>507</v>
      </c>
      <c r="W640" s="82" t="s">
        <v>4496</v>
      </c>
      <c r="X640" s="80" t="str">
        <f>HYPERLINK("https://mla.bs/3ff51267")</f>
        <v>https://mla.bs/3ff51267</v>
      </c>
      <c r="Y640" s="77" t="s">
        <v>6030</v>
      </c>
      <c r="Z640" s="77" t="s">
        <v>1073</v>
      </c>
      <c r="AA640" s="77"/>
      <c r="AB640" s="77"/>
      <c r="AC640" s="82" t="s">
        <v>7708</v>
      </c>
      <c r="AD640" s="77" t="s">
        <v>7745</v>
      </c>
      <c r="AE640" s="80" t="str">
        <f>HYPERLINK("https://twitter.com/einvestidor/status/1626189799513108480")</f>
        <v>https://twitter.com/einvestidor/status/1626189799513108480</v>
      </c>
      <c r="AF640" s="79">
        <v>44973.500416666669</v>
      </c>
      <c r="AG640" s="85">
        <v>44973</v>
      </c>
      <c r="AH640" s="82" t="s">
        <v>8324</v>
      </c>
      <c r="AI640" s="77" t="b">
        <v>0</v>
      </c>
      <c r="AJ640" s="77"/>
      <c r="AK640" s="77"/>
      <c r="AL640" s="77"/>
      <c r="AM640" s="77"/>
      <c r="AN640" s="77"/>
      <c r="AO640" s="77"/>
      <c r="AP640" s="77"/>
      <c r="AQ640" s="77"/>
      <c r="AR640" s="77"/>
      <c r="AS640" s="77"/>
      <c r="AT640" s="77"/>
      <c r="AU640" s="77"/>
      <c r="AV640" s="80" t="str">
        <f>HYPERLINK("https://pbs.twimg.com/profile_images/1241147984924082183/gZgx_hL-_normal.jpg")</f>
        <v>https://pbs.twimg.com/profile_images/1241147984924082183/gZgx_hL-_normal.jpg</v>
      </c>
      <c r="AW640" s="82" t="s">
        <v>12832</v>
      </c>
      <c r="AX640" s="82" t="s">
        <v>12832</v>
      </c>
      <c r="AY640" s="77"/>
      <c r="AZ640" s="82" t="s">
        <v>15804</v>
      </c>
      <c r="BA640" s="82" t="s">
        <v>15804</v>
      </c>
      <c r="BB640" s="82" t="s">
        <v>15804</v>
      </c>
      <c r="BC640" s="82" t="s">
        <v>12832</v>
      </c>
      <c r="BD640" s="82" t="s">
        <v>15756</v>
      </c>
      <c r="BE640" s="77"/>
      <c r="BF640" s="77"/>
      <c r="BG640" s="77"/>
      <c r="BH640" s="77"/>
      <c r="BI640" s="77"/>
    </row>
    <row r="641" spans="1:61" x14ac:dyDescent="0.25">
      <c r="A641" s="62" t="s">
        <v>420</v>
      </c>
      <c r="B641" s="62" t="s">
        <v>1073</v>
      </c>
      <c r="C641" s="63"/>
      <c r="D641" s="64"/>
      <c r="E641" s="65"/>
      <c r="F641" s="66"/>
      <c r="G641" s="63"/>
      <c r="H641" s="67"/>
      <c r="I641" s="68"/>
      <c r="J641" s="68"/>
      <c r="K641" s="32"/>
      <c r="L641" s="75">
        <v>641</v>
      </c>
      <c r="M641" s="75"/>
      <c r="N641" s="70"/>
      <c r="O641" s="77" t="s">
        <v>1133</v>
      </c>
      <c r="P641" s="79">
        <v>45110.604594907411</v>
      </c>
      <c r="Q641" s="77" t="s">
        <v>1745</v>
      </c>
      <c r="R641" s="77">
        <v>1</v>
      </c>
      <c r="S641" s="77">
        <v>4</v>
      </c>
      <c r="T641" s="77">
        <v>0</v>
      </c>
      <c r="U641" s="77">
        <v>0</v>
      </c>
      <c r="V641" s="77">
        <v>490</v>
      </c>
      <c r="W641" s="82" t="s">
        <v>4080</v>
      </c>
      <c r="X641" s="80" t="str">
        <f>HYPERLINK("https://mla.bs/6ae15de2")</f>
        <v>https://mla.bs/6ae15de2</v>
      </c>
      <c r="Y641" s="77" t="s">
        <v>6030</v>
      </c>
      <c r="Z641" s="77" t="s">
        <v>1073</v>
      </c>
      <c r="AA641" s="77"/>
      <c r="AB641" s="77"/>
      <c r="AC641" s="82" t="s">
        <v>7708</v>
      </c>
      <c r="AD641" s="77" t="s">
        <v>7745</v>
      </c>
      <c r="AE641" s="80" t="str">
        <f>HYPERLINK("https://twitter.com/einvestidor/status/1675874693721604097")</f>
        <v>https://twitter.com/einvestidor/status/1675874693721604097</v>
      </c>
      <c r="AF641" s="79">
        <v>45110.604594907411</v>
      </c>
      <c r="AG641" s="85">
        <v>45110</v>
      </c>
      <c r="AH641" s="82" t="s">
        <v>8325</v>
      </c>
      <c r="AI641" s="77" t="b">
        <v>0</v>
      </c>
      <c r="AJ641" s="77"/>
      <c r="AK641" s="77"/>
      <c r="AL641" s="77"/>
      <c r="AM641" s="77"/>
      <c r="AN641" s="77"/>
      <c r="AO641" s="77"/>
      <c r="AP641" s="77"/>
      <c r="AQ641" s="77"/>
      <c r="AR641" s="77"/>
      <c r="AS641" s="77"/>
      <c r="AT641" s="77"/>
      <c r="AU641" s="77"/>
      <c r="AV641" s="80" t="str">
        <f>HYPERLINK("https://pbs.twimg.com/profile_images/1241147984924082183/gZgx_hL-_normal.jpg")</f>
        <v>https://pbs.twimg.com/profile_images/1241147984924082183/gZgx_hL-_normal.jpg</v>
      </c>
      <c r="AW641" s="82" t="s">
        <v>12833</v>
      </c>
      <c r="AX641" s="82" t="s">
        <v>12833</v>
      </c>
      <c r="AY641" s="77"/>
      <c r="AZ641" s="82" t="s">
        <v>15804</v>
      </c>
      <c r="BA641" s="82" t="s">
        <v>15804</v>
      </c>
      <c r="BB641" s="82" t="s">
        <v>15804</v>
      </c>
      <c r="BC641" s="82" t="s">
        <v>12833</v>
      </c>
      <c r="BD641" s="82" t="s">
        <v>15756</v>
      </c>
      <c r="BE641" s="77"/>
      <c r="BF641" s="77"/>
      <c r="BG641" s="77"/>
      <c r="BH641" s="77"/>
      <c r="BI641" s="77"/>
    </row>
    <row r="642" spans="1:61" x14ac:dyDescent="0.25">
      <c r="A642" s="62" t="s">
        <v>420</v>
      </c>
      <c r="B642" s="62" t="s">
        <v>1073</v>
      </c>
      <c r="C642" s="63"/>
      <c r="D642" s="64"/>
      <c r="E642" s="65"/>
      <c r="F642" s="66"/>
      <c r="G642" s="63"/>
      <c r="H642" s="67"/>
      <c r="I642" s="68"/>
      <c r="J642" s="68"/>
      <c r="K642" s="32"/>
      <c r="L642" s="75">
        <v>642</v>
      </c>
      <c r="M642" s="75"/>
      <c r="N642" s="70"/>
      <c r="O642" s="77" t="s">
        <v>1133</v>
      </c>
      <c r="P642" s="79">
        <v>45036.58388888889</v>
      </c>
      <c r="Q642" s="77" t="s">
        <v>1747</v>
      </c>
      <c r="R642" s="77">
        <v>0</v>
      </c>
      <c r="S642" s="77">
        <v>1</v>
      </c>
      <c r="T642" s="77">
        <v>0</v>
      </c>
      <c r="U642" s="77">
        <v>0</v>
      </c>
      <c r="V642" s="77">
        <v>461</v>
      </c>
      <c r="W642" s="82" t="s">
        <v>4080</v>
      </c>
      <c r="X642" s="80" t="str">
        <f>HYPERLINK("https://mla.bs/b6858ba5")</f>
        <v>https://mla.bs/b6858ba5</v>
      </c>
      <c r="Y642" s="77" t="s">
        <v>6030</v>
      </c>
      <c r="Z642" s="77" t="s">
        <v>1073</v>
      </c>
      <c r="AA642" s="77"/>
      <c r="AB642" s="77"/>
      <c r="AC642" s="82" t="s">
        <v>7708</v>
      </c>
      <c r="AD642" s="77" t="s">
        <v>7745</v>
      </c>
      <c r="AE642" s="80" t="str">
        <f>HYPERLINK("https://twitter.com/einvestidor/status/1649050484974710790")</f>
        <v>https://twitter.com/einvestidor/status/1649050484974710790</v>
      </c>
      <c r="AF642" s="79">
        <v>45036.58388888889</v>
      </c>
      <c r="AG642" s="85">
        <v>45036</v>
      </c>
      <c r="AH642" s="82" t="s">
        <v>8326</v>
      </c>
      <c r="AI642" s="77" t="b">
        <v>0</v>
      </c>
      <c r="AJ642" s="77"/>
      <c r="AK642" s="77"/>
      <c r="AL642" s="77"/>
      <c r="AM642" s="77"/>
      <c r="AN642" s="77"/>
      <c r="AO642" s="77"/>
      <c r="AP642" s="77"/>
      <c r="AQ642" s="77"/>
      <c r="AR642" s="77"/>
      <c r="AS642" s="77"/>
      <c r="AT642" s="77"/>
      <c r="AU642" s="77"/>
      <c r="AV642" s="80" t="str">
        <f>HYPERLINK("https://pbs.twimg.com/profile_images/1241147984924082183/gZgx_hL-_normal.jpg")</f>
        <v>https://pbs.twimg.com/profile_images/1241147984924082183/gZgx_hL-_normal.jpg</v>
      </c>
      <c r="AW642" s="82" t="s">
        <v>12834</v>
      </c>
      <c r="AX642" s="82" t="s">
        <v>12834</v>
      </c>
      <c r="AY642" s="77"/>
      <c r="AZ642" s="82" t="s">
        <v>15804</v>
      </c>
      <c r="BA642" s="82" t="s">
        <v>15804</v>
      </c>
      <c r="BB642" s="82" t="s">
        <v>15804</v>
      </c>
      <c r="BC642" s="82" t="s">
        <v>12834</v>
      </c>
      <c r="BD642" s="82" t="s">
        <v>15756</v>
      </c>
      <c r="BE642" s="77"/>
      <c r="BF642" s="77"/>
      <c r="BG642" s="77"/>
      <c r="BH642" s="77"/>
      <c r="BI642" s="77"/>
    </row>
    <row r="643" spans="1:61" x14ac:dyDescent="0.25">
      <c r="A643" s="62" t="s">
        <v>421</v>
      </c>
      <c r="B643" s="62" t="s">
        <v>421</v>
      </c>
      <c r="C643" s="63"/>
      <c r="D643" s="64"/>
      <c r="E643" s="65"/>
      <c r="F643" s="66"/>
      <c r="G643" s="63"/>
      <c r="H643" s="67"/>
      <c r="I643" s="68"/>
      <c r="J643" s="68"/>
      <c r="K643" s="32"/>
      <c r="L643" s="75">
        <v>643</v>
      </c>
      <c r="M643" s="75"/>
      <c r="N643" s="70"/>
      <c r="O643" s="77" t="s">
        <v>179</v>
      </c>
      <c r="P643" s="79">
        <v>44966.723506944443</v>
      </c>
      <c r="Q643" s="77" t="s">
        <v>1748</v>
      </c>
      <c r="R643" s="77">
        <v>0</v>
      </c>
      <c r="S643" s="77">
        <v>0</v>
      </c>
      <c r="T643" s="77">
        <v>0</v>
      </c>
      <c r="U643" s="77">
        <v>0</v>
      </c>
      <c r="V643" s="77">
        <v>37</v>
      </c>
      <c r="W643" s="82" t="s">
        <v>4497</v>
      </c>
      <c r="X643" s="80" t="str">
        <f>HYPERLINK("https://paisefilhos.uol.com.br/blogs-e-colunistas/falando-de-grana/parcimonia-um-conceito-que-deve-ser-ensinado-sem-a-menor-parcimonia/")</f>
        <v>https://paisefilhos.uol.com.br/blogs-e-colunistas/falando-de-grana/parcimonia-um-conceito-que-deve-ser-ensinado-sem-a-menor-parcimonia/</v>
      </c>
      <c r="Y643" s="77" t="s">
        <v>6002</v>
      </c>
      <c r="Z643" s="77"/>
      <c r="AA643" s="77"/>
      <c r="AB643" s="77"/>
      <c r="AC643" s="82" t="s">
        <v>7706</v>
      </c>
      <c r="AD643" s="77" t="s">
        <v>7751</v>
      </c>
      <c r="AE643" s="80" t="str">
        <f>HYPERLINK("https://twitter.com/paisefilhos/status/1623733933144670210")</f>
        <v>https://twitter.com/paisefilhos/status/1623733933144670210</v>
      </c>
      <c r="AF643" s="79">
        <v>44966.723506944443</v>
      </c>
      <c r="AG643" s="85">
        <v>44966</v>
      </c>
      <c r="AH643" s="82" t="s">
        <v>8327</v>
      </c>
      <c r="AI643" s="77" t="b">
        <v>0</v>
      </c>
      <c r="AJ643" s="77"/>
      <c r="AK643" s="77"/>
      <c r="AL643" s="77"/>
      <c r="AM643" s="77"/>
      <c r="AN643" s="77"/>
      <c r="AO643" s="77"/>
      <c r="AP643" s="77"/>
      <c r="AQ643" s="77"/>
      <c r="AR643" s="77"/>
      <c r="AS643" s="77"/>
      <c r="AT643" s="77"/>
      <c r="AU643" s="77"/>
      <c r="AV643" s="80" t="str">
        <f>HYPERLINK("https://pbs.twimg.com/profile_images/1587409174933159939/LnUqyuPS_normal.jpg")</f>
        <v>https://pbs.twimg.com/profile_images/1587409174933159939/LnUqyuPS_normal.jpg</v>
      </c>
      <c r="AW643" s="82" t="s">
        <v>12835</v>
      </c>
      <c r="AX643" s="82" t="s">
        <v>12835</v>
      </c>
      <c r="AY643" s="77"/>
      <c r="AZ643" s="82" t="s">
        <v>15804</v>
      </c>
      <c r="BA643" s="82" t="s">
        <v>15804</v>
      </c>
      <c r="BB643" s="82" t="s">
        <v>15804</v>
      </c>
      <c r="BC643" s="82" t="s">
        <v>12835</v>
      </c>
      <c r="BD643" s="77">
        <v>29432429</v>
      </c>
      <c r="BE643" s="77"/>
      <c r="BF643" s="77"/>
      <c r="BG643" s="77"/>
      <c r="BH643" s="77"/>
      <c r="BI643" s="77"/>
    </row>
    <row r="644" spans="1:61" x14ac:dyDescent="0.25">
      <c r="A644" s="62" t="s">
        <v>421</v>
      </c>
      <c r="B644" s="62" t="s">
        <v>421</v>
      </c>
      <c r="C644" s="63"/>
      <c r="D644" s="64"/>
      <c r="E644" s="65"/>
      <c r="F644" s="66"/>
      <c r="G644" s="63"/>
      <c r="H644" s="67"/>
      <c r="I644" s="68"/>
      <c r="J644" s="68"/>
      <c r="K644" s="32"/>
      <c r="L644" s="75">
        <v>644</v>
      </c>
      <c r="M644" s="75"/>
      <c r="N644" s="70"/>
      <c r="O644" s="77" t="s">
        <v>179</v>
      </c>
      <c r="P644" s="79">
        <v>45015.560833333337</v>
      </c>
      <c r="Q644" s="77" t="s">
        <v>1749</v>
      </c>
      <c r="R644" s="77">
        <v>0</v>
      </c>
      <c r="S644" s="77">
        <v>0</v>
      </c>
      <c r="T644" s="77">
        <v>0</v>
      </c>
      <c r="U644" s="77">
        <v>0</v>
      </c>
      <c r="V644" s="77">
        <v>27</v>
      </c>
      <c r="W644" s="82" t="s">
        <v>4498</v>
      </c>
      <c r="X644" s="80" t="str">
        <f>HYPERLINK("https://paisefilhos.uol.com.br/blogs-e-colunistas/falando-de-grana/a-gourmetizacao-do-lapis-de-cor/")</f>
        <v>https://paisefilhos.uol.com.br/blogs-e-colunistas/falando-de-grana/a-gourmetizacao-do-lapis-de-cor/</v>
      </c>
      <c r="Y644" s="77" t="s">
        <v>6002</v>
      </c>
      <c r="Z644" s="77"/>
      <c r="AA644" s="77"/>
      <c r="AB644" s="77"/>
      <c r="AC644" s="82" t="s">
        <v>7706</v>
      </c>
      <c r="AD644" s="77" t="s">
        <v>7745</v>
      </c>
      <c r="AE644" s="80" t="str">
        <f>HYPERLINK("https://twitter.com/paisefilhos/status/1641431987075403778")</f>
        <v>https://twitter.com/paisefilhos/status/1641431987075403778</v>
      </c>
      <c r="AF644" s="79">
        <v>45015.560833333337</v>
      </c>
      <c r="AG644" s="85">
        <v>45015</v>
      </c>
      <c r="AH644" s="82" t="s">
        <v>8328</v>
      </c>
      <c r="AI644" s="77" t="b">
        <v>0</v>
      </c>
      <c r="AJ644" s="77"/>
      <c r="AK644" s="77"/>
      <c r="AL644" s="77"/>
      <c r="AM644" s="77"/>
      <c r="AN644" s="77"/>
      <c r="AO644" s="77"/>
      <c r="AP644" s="77"/>
      <c r="AQ644" s="77"/>
      <c r="AR644" s="77"/>
      <c r="AS644" s="77"/>
      <c r="AT644" s="77"/>
      <c r="AU644" s="77"/>
      <c r="AV644" s="80" t="str">
        <f>HYPERLINK("https://pbs.twimg.com/profile_images/1587409174933159939/LnUqyuPS_normal.jpg")</f>
        <v>https://pbs.twimg.com/profile_images/1587409174933159939/LnUqyuPS_normal.jpg</v>
      </c>
      <c r="AW644" s="82" t="s">
        <v>12836</v>
      </c>
      <c r="AX644" s="82" t="s">
        <v>12836</v>
      </c>
      <c r="AY644" s="77"/>
      <c r="AZ644" s="82" t="s">
        <v>15804</v>
      </c>
      <c r="BA644" s="82" t="s">
        <v>15804</v>
      </c>
      <c r="BB644" s="82" t="s">
        <v>15804</v>
      </c>
      <c r="BC644" s="82" t="s">
        <v>12836</v>
      </c>
      <c r="BD644" s="77">
        <v>29432429</v>
      </c>
      <c r="BE644" s="77"/>
      <c r="BF644" s="77"/>
      <c r="BG644" s="77"/>
      <c r="BH644" s="77"/>
      <c r="BI644" s="77"/>
    </row>
    <row r="645" spans="1:61" x14ac:dyDescent="0.25">
      <c r="A645" s="62" t="s">
        <v>421</v>
      </c>
      <c r="B645" s="62" t="s">
        <v>421</v>
      </c>
      <c r="C645" s="63"/>
      <c r="D645" s="64"/>
      <c r="E645" s="65"/>
      <c r="F645" s="66"/>
      <c r="G645" s="63"/>
      <c r="H645" s="67"/>
      <c r="I645" s="68"/>
      <c r="J645" s="68"/>
      <c r="K645" s="32"/>
      <c r="L645" s="75">
        <v>645</v>
      </c>
      <c r="M645" s="75"/>
      <c r="N645" s="70"/>
      <c r="O645" s="77" t="s">
        <v>179</v>
      </c>
      <c r="P645" s="79">
        <v>45161.545972222222</v>
      </c>
      <c r="Q645" s="77" t="s">
        <v>1750</v>
      </c>
      <c r="R645" s="77">
        <v>0</v>
      </c>
      <c r="S645" s="77">
        <v>0</v>
      </c>
      <c r="T645" s="77">
        <v>0</v>
      </c>
      <c r="U645" s="77">
        <v>0</v>
      </c>
      <c r="V645" s="77">
        <v>29</v>
      </c>
      <c r="W645" s="82" t="s">
        <v>4499</v>
      </c>
      <c r="X645" s="80" t="str">
        <f>HYPERLINK("https://paisefilhos.uol.com.br/blogs-e-colunistas/falando-de-grana/como-entender-o-valor-do-dinheiro-no-mundo-dos-cartoes/")</f>
        <v>https://paisefilhos.uol.com.br/blogs-e-colunistas/falando-de-grana/como-entender-o-valor-do-dinheiro-no-mundo-dos-cartoes/</v>
      </c>
      <c r="Y645" s="77" t="s">
        <v>6002</v>
      </c>
      <c r="Z645" s="77"/>
      <c r="AA645" s="77"/>
      <c r="AB645" s="77"/>
      <c r="AC645" s="82" t="s">
        <v>7706</v>
      </c>
      <c r="AD645" s="77" t="s">
        <v>7745</v>
      </c>
      <c r="AE645" s="80" t="str">
        <f>HYPERLINK("https://twitter.com/paisefilhos/status/1694335229723382186")</f>
        <v>https://twitter.com/paisefilhos/status/1694335229723382186</v>
      </c>
      <c r="AF645" s="79">
        <v>45161.545972222222</v>
      </c>
      <c r="AG645" s="85">
        <v>45161</v>
      </c>
      <c r="AH645" s="82" t="s">
        <v>8329</v>
      </c>
      <c r="AI645" s="77" t="b">
        <v>0</v>
      </c>
      <c r="AJ645" s="77"/>
      <c r="AK645" s="77"/>
      <c r="AL645" s="77"/>
      <c r="AM645" s="77"/>
      <c r="AN645" s="77"/>
      <c r="AO645" s="77"/>
      <c r="AP645" s="77"/>
      <c r="AQ645" s="77"/>
      <c r="AR645" s="77"/>
      <c r="AS645" s="77"/>
      <c r="AT645" s="77"/>
      <c r="AU645" s="77"/>
      <c r="AV645" s="80" t="str">
        <f>HYPERLINK("https://pbs.twimg.com/profile_images/1587409174933159939/LnUqyuPS_normal.jpg")</f>
        <v>https://pbs.twimg.com/profile_images/1587409174933159939/LnUqyuPS_normal.jpg</v>
      </c>
      <c r="AW645" s="82" t="s">
        <v>12837</v>
      </c>
      <c r="AX645" s="82" t="s">
        <v>12837</v>
      </c>
      <c r="AY645" s="77"/>
      <c r="AZ645" s="82" t="s">
        <v>15804</v>
      </c>
      <c r="BA645" s="82" t="s">
        <v>15804</v>
      </c>
      <c r="BB645" s="82" t="s">
        <v>15804</v>
      </c>
      <c r="BC645" s="82" t="s">
        <v>12837</v>
      </c>
      <c r="BD645" s="77">
        <v>29432429</v>
      </c>
      <c r="BE645" s="77"/>
      <c r="BF645" s="77"/>
      <c r="BG645" s="77"/>
      <c r="BH645" s="77"/>
      <c r="BI645" s="77"/>
    </row>
    <row r="646" spans="1:61" x14ac:dyDescent="0.25">
      <c r="A646" s="62" t="s">
        <v>421</v>
      </c>
      <c r="B646" s="62" t="s">
        <v>421</v>
      </c>
      <c r="C646" s="63"/>
      <c r="D646" s="64"/>
      <c r="E646" s="65"/>
      <c r="F646" s="66"/>
      <c r="G646" s="63"/>
      <c r="H646" s="67"/>
      <c r="I646" s="68"/>
      <c r="J646" s="68"/>
      <c r="K646" s="32"/>
      <c r="L646" s="75">
        <v>646</v>
      </c>
      <c r="M646" s="75"/>
      <c r="N646" s="70"/>
      <c r="O646" s="77" t="s">
        <v>179</v>
      </c>
      <c r="P646" s="79">
        <v>45054.734953703701</v>
      </c>
      <c r="Q646" s="77" t="s">
        <v>1751</v>
      </c>
      <c r="R646" s="77">
        <v>0</v>
      </c>
      <c r="S646" s="77">
        <v>0</v>
      </c>
      <c r="T646" s="77">
        <v>0</v>
      </c>
      <c r="U646" s="77">
        <v>0</v>
      </c>
      <c r="V646" s="77">
        <v>34</v>
      </c>
      <c r="W646" s="82" t="s">
        <v>4500</v>
      </c>
      <c r="X646" s="80" t="str">
        <f>HYPERLINK("https://paisefilhos.uol.com.br/blogs-e-colunistas/falando-de-grana/como-voce-lida-com-o-dinheiro/")</f>
        <v>https://paisefilhos.uol.com.br/blogs-e-colunistas/falando-de-grana/como-voce-lida-com-o-dinheiro/</v>
      </c>
      <c r="Y646" s="77" t="s">
        <v>6002</v>
      </c>
      <c r="Z646" s="77"/>
      <c r="AA646" s="77"/>
      <c r="AB646" s="77"/>
      <c r="AC646" s="82" t="s">
        <v>7706</v>
      </c>
      <c r="AD646" s="77" t="s">
        <v>7745</v>
      </c>
      <c r="AE646" s="80" t="str">
        <f>HYPERLINK("https://twitter.com/paisefilhos/status/1655628211240284160")</f>
        <v>https://twitter.com/paisefilhos/status/1655628211240284160</v>
      </c>
      <c r="AF646" s="79">
        <v>45054.734953703701</v>
      </c>
      <c r="AG646" s="85">
        <v>45054</v>
      </c>
      <c r="AH646" s="82" t="s">
        <v>8330</v>
      </c>
      <c r="AI646" s="77" t="b">
        <v>0</v>
      </c>
      <c r="AJ646" s="77"/>
      <c r="AK646" s="77"/>
      <c r="AL646" s="77"/>
      <c r="AM646" s="77"/>
      <c r="AN646" s="77"/>
      <c r="AO646" s="77"/>
      <c r="AP646" s="77"/>
      <c r="AQ646" s="77"/>
      <c r="AR646" s="77"/>
      <c r="AS646" s="77"/>
      <c r="AT646" s="77"/>
      <c r="AU646" s="77"/>
      <c r="AV646" s="80" t="str">
        <f>HYPERLINK("https://pbs.twimg.com/profile_images/1587409174933159939/LnUqyuPS_normal.jpg")</f>
        <v>https://pbs.twimg.com/profile_images/1587409174933159939/LnUqyuPS_normal.jpg</v>
      </c>
      <c r="AW646" s="82" t="s">
        <v>12838</v>
      </c>
      <c r="AX646" s="82" t="s">
        <v>12838</v>
      </c>
      <c r="AY646" s="77"/>
      <c r="AZ646" s="82" t="s">
        <v>15804</v>
      </c>
      <c r="BA646" s="82" t="s">
        <v>15804</v>
      </c>
      <c r="BB646" s="82" t="s">
        <v>15804</v>
      </c>
      <c r="BC646" s="82" t="s">
        <v>12838</v>
      </c>
      <c r="BD646" s="77">
        <v>29432429</v>
      </c>
      <c r="BE646" s="77"/>
      <c r="BF646" s="77"/>
      <c r="BG646" s="77"/>
      <c r="BH646" s="77"/>
      <c r="BI646" s="77"/>
    </row>
    <row r="647" spans="1:61" x14ac:dyDescent="0.25">
      <c r="A647" s="62" t="s">
        <v>422</v>
      </c>
      <c r="B647" s="62" t="s">
        <v>422</v>
      </c>
      <c r="C647" s="63"/>
      <c r="D647" s="64"/>
      <c r="E647" s="65"/>
      <c r="F647" s="66"/>
      <c r="G647" s="63"/>
      <c r="H647" s="67"/>
      <c r="I647" s="68"/>
      <c r="J647" s="68"/>
      <c r="K647" s="32"/>
      <c r="L647" s="75">
        <v>647</v>
      </c>
      <c r="M647" s="75"/>
      <c r="N647" s="70"/>
      <c r="O647" s="77" t="s">
        <v>179</v>
      </c>
      <c r="P647" s="79">
        <v>45050.500567129631</v>
      </c>
      <c r="Q647" s="77" t="s">
        <v>1752</v>
      </c>
      <c r="R647" s="77">
        <v>0</v>
      </c>
      <c r="S647" s="77">
        <v>0</v>
      </c>
      <c r="T647" s="77">
        <v>0</v>
      </c>
      <c r="U647" s="77">
        <v>0</v>
      </c>
      <c r="V647" s="77">
        <v>45</v>
      </c>
      <c r="W647" s="82" t="s">
        <v>4501</v>
      </c>
      <c r="X647" s="80" t="str">
        <f>HYPERLINK("https://tinyurl.com/construindo-solida-previdencia")</f>
        <v>https://tinyurl.com/construindo-solida-previdencia</v>
      </c>
      <c r="Y647" s="77" t="s">
        <v>6036</v>
      </c>
      <c r="Z647" s="77"/>
      <c r="AA647" s="77" t="s">
        <v>6513</v>
      </c>
      <c r="AB647" s="77" t="s">
        <v>7696</v>
      </c>
      <c r="AC647" s="82" t="s">
        <v>7708</v>
      </c>
      <c r="AD647" s="77" t="s">
        <v>7745</v>
      </c>
      <c r="AE647" s="80" t="str">
        <f>HYPERLINK("https://twitter.com/editoraviseu/status/1654093720604536833")</f>
        <v>https://twitter.com/editoraviseu/status/1654093720604536833</v>
      </c>
      <c r="AF647" s="79">
        <v>45050.500567129631</v>
      </c>
      <c r="AG647" s="85">
        <v>45050</v>
      </c>
      <c r="AH647" s="82" t="s">
        <v>8331</v>
      </c>
      <c r="AI647" s="77" t="b">
        <v>0</v>
      </c>
      <c r="AJ647" s="77"/>
      <c r="AK647" s="77"/>
      <c r="AL647" s="77"/>
      <c r="AM647" s="77"/>
      <c r="AN647" s="77"/>
      <c r="AO647" s="77"/>
      <c r="AP647" s="77"/>
      <c r="AQ647" s="77" t="s">
        <v>11020</v>
      </c>
      <c r="AR647" s="77"/>
      <c r="AS647" s="77"/>
      <c r="AT647" s="77"/>
      <c r="AU647" s="77"/>
      <c r="AV647" s="80" t="str">
        <f>HYPERLINK("https://pbs.twimg.com/media/FvSFeUOXoAA7VzA.png")</f>
        <v>https://pbs.twimg.com/media/FvSFeUOXoAA7VzA.png</v>
      </c>
      <c r="AW647" s="82" t="s">
        <v>12839</v>
      </c>
      <c r="AX647" s="82" t="s">
        <v>12839</v>
      </c>
      <c r="AY647" s="77"/>
      <c r="AZ647" s="82" t="s">
        <v>15804</v>
      </c>
      <c r="BA647" s="82" t="s">
        <v>15804</v>
      </c>
      <c r="BB647" s="82" t="s">
        <v>15804</v>
      </c>
      <c r="BC647" s="82" t="s">
        <v>12839</v>
      </c>
      <c r="BD647" s="82" t="s">
        <v>16241</v>
      </c>
      <c r="BE647" s="77"/>
      <c r="BF647" s="77"/>
      <c r="BG647" s="77"/>
      <c r="BH647" s="77"/>
      <c r="BI647" s="77"/>
    </row>
    <row r="648" spans="1:61" x14ac:dyDescent="0.25">
      <c r="A648" s="62" t="s">
        <v>423</v>
      </c>
      <c r="B648" s="62" t="s">
        <v>423</v>
      </c>
      <c r="C648" s="63"/>
      <c r="D648" s="64"/>
      <c r="E648" s="65"/>
      <c r="F648" s="66"/>
      <c r="G648" s="63"/>
      <c r="H648" s="67"/>
      <c r="I648" s="68"/>
      <c r="J648" s="68"/>
      <c r="K648" s="32"/>
      <c r="L648" s="75">
        <v>648</v>
      </c>
      <c r="M648" s="75"/>
      <c r="N648" s="70"/>
      <c r="O648" s="77" t="s">
        <v>1132</v>
      </c>
      <c r="P648" s="79">
        <v>45125.538634259261</v>
      </c>
      <c r="Q648" s="77" t="s">
        <v>1753</v>
      </c>
      <c r="R648" s="77">
        <v>0</v>
      </c>
      <c r="S648" s="77">
        <v>0</v>
      </c>
      <c r="T648" s="77">
        <v>0</v>
      </c>
      <c r="U648" s="77">
        <v>0</v>
      </c>
      <c r="V648" s="77">
        <v>6</v>
      </c>
      <c r="W648" s="82" t="s">
        <v>4502</v>
      </c>
      <c r="X648" s="77"/>
      <c r="Y648" s="77"/>
      <c r="Z648" s="77"/>
      <c r="AA648" s="77"/>
      <c r="AB648" s="77"/>
      <c r="AC648" s="82" t="s">
        <v>7706</v>
      </c>
      <c r="AD648" s="77" t="s">
        <v>7748</v>
      </c>
      <c r="AE648" s="80" t="str">
        <f>HYPERLINK("https://twitter.com/danielg_s6/status/1681286607578583042")</f>
        <v>https://twitter.com/danielg_s6/status/1681286607578583042</v>
      </c>
      <c r="AF648" s="79">
        <v>45125.538634259261</v>
      </c>
      <c r="AG648" s="85">
        <v>45125</v>
      </c>
      <c r="AH648" s="82" t="s">
        <v>8332</v>
      </c>
      <c r="AI648" s="77"/>
      <c r="AJ648" s="77"/>
      <c r="AK648" s="77"/>
      <c r="AL648" s="77"/>
      <c r="AM648" s="77"/>
      <c r="AN648" s="77"/>
      <c r="AO648" s="77"/>
      <c r="AP648" s="77"/>
      <c r="AQ648" s="77"/>
      <c r="AR648" s="77"/>
      <c r="AS648" s="77"/>
      <c r="AT648" s="77"/>
      <c r="AU648" s="77"/>
      <c r="AV648" s="80" t="str">
        <f>HYPERLINK("https://pbs.twimg.com/profile_images/1598423978082705410/jU-vUeHf_normal.jpg")</f>
        <v>https://pbs.twimg.com/profile_images/1598423978082705410/jU-vUeHf_normal.jpg</v>
      </c>
      <c r="AW648" s="82" t="s">
        <v>12840</v>
      </c>
      <c r="AX648" s="82" t="s">
        <v>15281</v>
      </c>
      <c r="AY648" s="82" t="s">
        <v>15708</v>
      </c>
      <c r="AZ648" s="82" t="s">
        <v>15849</v>
      </c>
      <c r="BA648" s="82" t="s">
        <v>15804</v>
      </c>
      <c r="BB648" s="82" t="s">
        <v>15804</v>
      </c>
      <c r="BC648" s="82" t="s">
        <v>15849</v>
      </c>
      <c r="BD648" s="82" t="s">
        <v>15708</v>
      </c>
      <c r="BE648" s="77"/>
      <c r="BF648" s="77"/>
      <c r="BG648" s="77"/>
      <c r="BH648" s="77"/>
      <c r="BI648" s="77"/>
    </row>
    <row r="649" spans="1:61" x14ac:dyDescent="0.25">
      <c r="A649" s="62" t="s">
        <v>423</v>
      </c>
      <c r="B649" s="62" t="s">
        <v>423</v>
      </c>
      <c r="C649" s="63"/>
      <c r="D649" s="64"/>
      <c r="E649" s="65"/>
      <c r="F649" s="66"/>
      <c r="G649" s="63"/>
      <c r="H649" s="67"/>
      <c r="I649" s="68"/>
      <c r="J649" s="68"/>
      <c r="K649" s="32"/>
      <c r="L649" s="75">
        <v>649</v>
      </c>
      <c r="M649" s="75"/>
      <c r="N649" s="70"/>
      <c r="O649" s="77" t="s">
        <v>1132</v>
      </c>
      <c r="P649" s="79">
        <v>45124.667314814818</v>
      </c>
      <c r="Q649" s="77" t="s">
        <v>1754</v>
      </c>
      <c r="R649" s="77">
        <v>0</v>
      </c>
      <c r="S649" s="77">
        <v>0</v>
      </c>
      <c r="T649" s="77">
        <v>0</v>
      </c>
      <c r="U649" s="77">
        <v>0</v>
      </c>
      <c r="V649" s="77">
        <v>4</v>
      </c>
      <c r="W649" s="82" t="s">
        <v>4503</v>
      </c>
      <c r="X649" s="77"/>
      <c r="Y649" s="77"/>
      <c r="Z649" s="77"/>
      <c r="AA649" s="77"/>
      <c r="AB649" s="77"/>
      <c r="AC649" s="82" t="s">
        <v>7706</v>
      </c>
      <c r="AD649" s="77" t="s">
        <v>7745</v>
      </c>
      <c r="AE649" s="80" t="str">
        <f>HYPERLINK("https://twitter.com/danielg_s6/status/1680970851452084225")</f>
        <v>https://twitter.com/danielg_s6/status/1680970851452084225</v>
      </c>
      <c r="AF649" s="79">
        <v>45124.667314814818</v>
      </c>
      <c r="AG649" s="85">
        <v>45124</v>
      </c>
      <c r="AH649" s="82" t="s">
        <v>8333</v>
      </c>
      <c r="AI649" s="77"/>
      <c r="AJ649" s="77"/>
      <c r="AK649" s="77"/>
      <c r="AL649" s="77"/>
      <c r="AM649" s="77"/>
      <c r="AN649" s="77"/>
      <c r="AO649" s="77"/>
      <c r="AP649" s="77"/>
      <c r="AQ649" s="77"/>
      <c r="AR649" s="77"/>
      <c r="AS649" s="77"/>
      <c r="AT649" s="77"/>
      <c r="AU649" s="77"/>
      <c r="AV649" s="80" t="str">
        <f>HYPERLINK("https://pbs.twimg.com/profile_images/1598423978082705410/jU-vUeHf_normal.jpg")</f>
        <v>https://pbs.twimg.com/profile_images/1598423978082705410/jU-vUeHf_normal.jpg</v>
      </c>
      <c r="AW649" s="82" t="s">
        <v>12841</v>
      </c>
      <c r="AX649" s="82" t="s">
        <v>15282</v>
      </c>
      <c r="AY649" s="82" t="s">
        <v>15708</v>
      </c>
      <c r="AZ649" s="82" t="s">
        <v>15850</v>
      </c>
      <c r="BA649" s="82" t="s">
        <v>15804</v>
      </c>
      <c r="BB649" s="82" t="s">
        <v>15804</v>
      </c>
      <c r="BC649" s="82" t="s">
        <v>15850</v>
      </c>
      <c r="BD649" s="82" t="s">
        <v>15708</v>
      </c>
      <c r="BE649" s="77"/>
      <c r="BF649" s="77"/>
      <c r="BG649" s="77"/>
      <c r="BH649" s="77"/>
      <c r="BI649" s="77"/>
    </row>
    <row r="650" spans="1:61" x14ac:dyDescent="0.25">
      <c r="A650" s="62" t="s">
        <v>423</v>
      </c>
      <c r="B650" s="62" t="s">
        <v>423</v>
      </c>
      <c r="C650" s="63"/>
      <c r="D650" s="64"/>
      <c r="E650" s="65"/>
      <c r="F650" s="66"/>
      <c r="G650" s="63"/>
      <c r="H650" s="67"/>
      <c r="I650" s="68"/>
      <c r="J650" s="68"/>
      <c r="K650" s="32"/>
      <c r="L650" s="75">
        <v>650</v>
      </c>
      <c r="M650" s="75"/>
      <c r="N650" s="70"/>
      <c r="O650" s="77" t="s">
        <v>179</v>
      </c>
      <c r="P650" s="79">
        <v>45141.529907407406</v>
      </c>
      <c r="Q650" s="77" t="s">
        <v>1755</v>
      </c>
      <c r="R650" s="77">
        <v>0</v>
      </c>
      <c r="S650" s="77">
        <v>0</v>
      </c>
      <c r="T650" s="77">
        <v>1</v>
      </c>
      <c r="U650" s="77">
        <v>0</v>
      </c>
      <c r="V650" s="77">
        <v>6</v>
      </c>
      <c r="W650" s="82" t="s">
        <v>4097</v>
      </c>
      <c r="X650" s="77"/>
      <c r="Y650" s="77"/>
      <c r="Z650" s="77"/>
      <c r="AA650" s="77"/>
      <c r="AB650" s="77"/>
      <c r="AC650" s="82" t="s">
        <v>7706</v>
      </c>
      <c r="AD650" s="77" t="s">
        <v>7745</v>
      </c>
      <c r="AE650" s="80" t="str">
        <f>HYPERLINK("https://twitter.com/danielg_s6/status/1687081648230191104")</f>
        <v>https://twitter.com/danielg_s6/status/1687081648230191104</v>
      </c>
      <c r="AF650" s="79">
        <v>45141.529907407406</v>
      </c>
      <c r="AG650" s="85">
        <v>45141</v>
      </c>
      <c r="AH650" s="82" t="s">
        <v>8334</v>
      </c>
      <c r="AI650" s="77"/>
      <c r="AJ650" s="77"/>
      <c r="AK650" s="77"/>
      <c r="AL650" s="77"/>
      <c r="AM650" s="77"/>
      <c r="AN650" s="77"/>
      <c r="AO650" s="77"/>
      <c r="AP650" s="77"/>
      <c r="AQ650" s="77"/>
      <c r="AR650" s="77"/>
      <c r="AS650" s="77"/>
      <c r="AT650" s="77"/>
      <c r="AU650" s="77"/>
      <c r="AV650" s="80" t="str">
        <f>HYPERLINK("https://pbs.twimg.com/profile_images/1598423978082705410/jU-vUeHf_normal.jpg")</f>
        <v>https://pbs.twimg.com/profile_images/1598423978082705410/jU-vUeHf_normal.jpg</v>
      </c>
      <c r="AW650" s="82" t="s">
        <v>12842</v>
      </c>
      <c r="AX650" s="82" t="s">
        <v>12842</v>
      </c>
      <c r="AY650" s="77"/>
      <c r="AZ650" s="82" t="s">
        <v>15804</v>
      </c>
      <c r="BA650" s="82" t="s">
        <v>15804</v>
      </c>
      <c r="BB650" s="82" t="s">
        <v>15804</v>
      </c>
      <c r="BC650" s="82" t="s">
        <v>12842</v>
      </c>
      <c r="BD650" s="82" t="s">
        <v>15708</v>
      </c>
      <c r="BE650" s="77"/>
      <c r="BF650" s="77"/>
      <c r="BG650" s="77"/>
      <c r="BH650" s="77"/>
      <c r="BI650" s="77"/>
    </row>
    <row r="651" spans="1:61" x14ac:dyDescent="0.25">
      <c r="A651" s="62" t="s">
        <v>423</v>
      </c>
      <c r="B651" s="62" t="s">
        <v>423</v>
      </c>
      <c r="C651" s="63"/>
      <c r="D651" s="64"/>
      <c r="E651" s="65"/>
      <c r="F651" s="66"/>
      <c r="G651" s="63"/>
      <c r="H651" s="67"/>
      <c r="I651" s="68"/>
      <c r="J651" s="68"/>
      <c r="K651" s="32"/>
      <c r="L651" s="75">
        <v>651</v>
      </c>
      <c r="M651" s="75"/>
      <c r="N651" s="70"/>
      <c r="O651" s="77" t="s">
        <v>1132</v>
      </c>
      <c r="P651" s="79">
        <v>45127.55505787037</v>
      </c>
      <c r="Q651" s="77" t="s">
        <v>1756</v>
      </c>
      <c r="R651" s="77">
        <v>0</v>
      </c>
      <c r="S651" s="77">
        <v>0</v>
      </c>
      <c r="T651" s="77">
        <v>0</v>
      </c>
      <c r="U651" s="77">
        <v>0</v>
      </c>
      <c r="V651" s="77">
        <v>4</v>
      </c>
      <c r="W651" s="82" t="s">
        <v>4504</v>
      </c>
      <c r="X651" s="77"/>
      <c r="Y651" s="77"/>
      <c r="Z651" s="77"/>
      <c r="AA651" s="77"/>
      <c r="AB651" s="77"/>
      <c r="AC651" s="82" t="s">
        <v>7706</v>
      </c>
      <c r="AD651" s="77" t="s">
        <v>7745</v>
      </c>
      <c r="AE651" s="80" t="str">
        <f>HYPERLINK("https://twitter.com/danielg_s6/status/1682017333718515712")</f>
        <v>https://twitter.com/danielg_s6/status/1682017333718515712</v>
      </c>
      <c r="AF651" s="79">
        <v>45127.55505787037</v>
      </c>
      <c r="AG651" s="85">
        <v>45127</v>
      </c>
      <c r="AH651" s="82" t="s">
        <v>8335</v>
      </c>
      <c r="AI651" s="77"/>
      <c r="AJ651" s="77"/>
      <c r="AK651" s="77"/>
      <c r="AL651" s="77"/>
      <c r="AM651" s="77"/>
      <c r="AN651" s="77"/>
      <c r="AO651" s="77"/>
      <c r="AP651" s="77"/>
      <c r="AQ651" s="77"/>
      <c r="AR651" s="77"/>
      <c r="AS651" s="77"/>
      <c r="AT651" s="77"/>
      <c r="AU651" s="77"/>
      <c r="AV651" s="80" t="str">
        <f>HYPERLINK("https://pbs.twimg.com/profile_images/1598423978082705410/jU-vUeHf_normal.jpg")</f>
        <v>https://pbs.twimg.com/profile_images/1598423978082705410/jU-vUeHf_normal.jpg</v>
      </c>
      <c r="AW651" s="82" t="s">
        <v>12843</v>
      </c>
      <c r="AX651" s="82" t="s">
        <v>15283</v>
      </c>
      <c r="AY651" s="82" t="s">
        <v>15708</v>
      </c>
      <c r="AZ651" s="82" t="s">
        <v>15851</v>
      </c>
      <c r="BA651" s="82" t="s">
        <v>15804</v>
      </c>
      <c r="BB651" s="82" t="s">
        <v>15804</v>
      </c>
      <c r="BC651" s="82" t="s">
        <v>15851</v>
      </c>
      <c r="BD651" s="82" t="s">
        <v>15708</v>
      </c>
      <c r="BE651" s="77"/>
      <c r="BF651" s="77"/>
      <c r="BG651" s="77"/>
      <c r="BH651" s="77"/>
      <c r="BI651" s="77"/>
    </row>
    <row r="652" spans="1:61" x14ac:dyDescent="0.25">
      <c r="A652" s="62" t="s">
        <v>423</v>
      </c>
      <c r="B652" s="62" t="s">
        <v>423</v>
      </c>
      <c r="C652" s="63"/>
      <c r="D652" s="64"/>
      <c r="E652" s="65"/>
      <c r="F652" s="66"/>
      <c r="G652" s="63"/>
      <c r="H652" s="67"/>
      <c r="I652" s="68"/>
      <c r="J652" s="68"/>
      <c r="K652" s="32"/>
      <c r="L652" s="75">
        <v>652</v>
      </c>
      <c r="M652" s="75"/>
      <c r="N652" s="70"/>
      <c r="O652" s="77" t="s">
        <v>1132</v>
      </c>
      <c r="P652" s="79">
        <v>45139.61818287037</v>
      </c>
      <c r="Q652" s="77" t="s">
        <v>1757</v>
      </c>
      <c r="R652" s="77">
        <v>0</v>
      </c>
      <c r="S652" s="77">
        <v>0</v>
      </c>
      <c r="T652" s="77">
        <v>0</v>
      </c>
      <c r="U652" s="77">
        <v>0</v>
      </c>
      <c r="V652" s="77">
        <v>6</v>
      </c>
      <c r="W652" s="82" t="s">
        <v>4505</v>
      </c>
      <c r="X652" s="77"/>
      <c r="Y652" s="77"/>
      <c r="Z652" s="77"/>
      <c r="AA652" s="77"/>
      <c r="AB652" s="77"/>
      <c r="AC652" s="82" t="s">
        <v>7706</v>
      </c>
      <c r="AD652" s="77" t="s">
        <v>7745</v>
      </c>
      <c r="AE652" s="80" t="str">
        <f>HYPERLINK("https://twitter.com/danielg_s6/status/1686388862627766272")</f>
        <v>https://twitter.com/danielg_s6/status/1686388862627766272</v>
      </c>
      <c r="AF652" s="79">
        <v>45139.61818287037</v>
      </c>
      <c r="AG652" s="85">
        <v>45139</v>
      </c>
      <c r="AH652" s="82" t="s">
        <v>8336</v>
      </c>
      <c r="AI652" s="77"/>
      <c r="AJ652" s="77"/>
      <c r="AK652" s="77"/>
      <c r="AL652" s="77"/>
      <c r="AM652" s="77"/>
      <c r="AN652" s="77"/>
      <c r="AO652" s="77"/>
      <c r="AP652" s="77"/>
      <c r="AQ652" s="77"/>
      <c r="AR652" s="77"/>
      <c r="AS652" s="77"/>
      <c r="AT652" s="77"/>
      <c r="AU652" s="77"/>
      <c r="AV652" s="80" t="str">
        <f>HYPERLINK("https://pbs.twimg.com/profile_images/1598423978082705410/jU-vUeHf_normal.jpg")</f>
        <v>https://pbs.twimg.com/profile_images/1598423978082705410/jU-vUeHf_normal.jpg</v>
      </c>
      <c r="AW652" s="82" t="s">
        <v>12844</v>
      </c>
      <c r="AX652" s="82" t="s">
        <v>15284</v>
      </c>
      <c r="AY652" s="82" t="s">
        <v>15708</v>
      </c>
      <c r="AZ652" s="82" t="s">
        <v>15852</v>
      </c>
      <c r="BA652" s="82" t="s">
        <v>15804</v>
      </c>
      <c r="BB652" s="82" t="s">
        <v>15804</v>
      </c>
      <c r="BC652" s="82" t="s">
        <v>15852</v>
      </c>
      <c r="BD652" s="82" t="s">
        <v>15708</v>
      </c>
      <c r="BE652" s="77"/>
      <c r="BF652" s="77"/>
      <c r="BG652" s="77"/>
      <c r="BH652" s="77"/>
      <c r="BI652" s="77"/>
    </row>
    <row r="653" spans="1:61" x14ac:dyDescent="0.25">
      <c r="A653" s="62" t="s">
        <v>424</v>
      </c>
      <c r="B653" s="62" t="s">
        <v>424</v>
      </c>
      <c r="C653" s="63"/>
      <c r="D653" s="64"/>
      <c r="E653" s="65"/>
      <c r="F653" s="66"/>
      <c r="G653" s="63"/>
      <c r="H653" s="67"/>
      <c r="I653" s="68"/>
      <c r="J653" s="68"/>
      <c r="K653" s="32"/>
      <c r="L653" s="75">
        <v>653</v>
      </c>
      <c r="M653" s="75"/>
      <c r="N653" s="70"/>
      <c r="O653" s="77" t="s">
        <v>179</v>
      </c>
      <c r="P653" s="79">
        <v>45002.609097222223</v>
      </c>
      <c r="Q653" s="77" t="s">
        <v>1758</v>
      </c>
      <c r="R653" s="77">
        <v>0</v>
      </c>
      <c r="S653" s="77">
        <v>1</v>
      </c>
      <c r="T653" s="77">
        <v>0</v>
      </c>
      <c r="U653" s="77">
        <v>0</v>
      </c>
      <c r="V653" s="77">
        <v>44</v>
      </c>
      <c r="W653" s="82" t="s">
        <v>4506</v>
      </c>
      <c r="X653" s="77"/>
      <c r="Y653" s="77"/>
      <c r="Z653" s="77"/>
      <c r="AA653" s="77" t="s">
        <v>6514</v>
      </c>
      <c r="AB653" s="77" t="s">
        <v>7698</v>
      </c>
      <c r="AC653" s="82" t="s">
        <v>7707</v>
      </c>
      <c r="AD653" s="77" t="s">
        <v>7745</v>
      </c>
      <c r="AE653" s="80" t="str">
        <f>HYPERLINK("https://twitter.com/ammamagistrados/status/1636738434231328770")</f>
        <v>https://twitter.com/ammamagistrados/status/1636738434231328770</v>
      </c>
      <c r="AF653" s="79">
        <v>45002.609097222223</v>
      </c>
      <c r="AG653" s="85">
        <v>45002</v>
      </c>
      <c r="AH653" s="82" t="s">
        <v>8337</v>
      </c>
      <c r="AI653" s="77" t="b">
        <v>0</v>
      </c>
      <c r="AJ653" s="77"/>
      <c r="AK653" s="77"/>
      <c r="AL653" s="77"/>
      <c r="AM653" s="77"/>
      <c r="AN653" s="77"/>
      <c r="AO653" s="77"/>
      <c r="AP653" s="77"/>
      <c r="AQ653" s="77" t="s">
        <v>11021</v>
      </c>
      <c r="AR653" s="77"/>
      <c r="AS653" s="77"/>
      <c r="AT653" s="77"/>
      <c r="AU653" s="77"/>
      <c r="AV653" s="80" t="str">
        <f>HYPERLINK("https://pbs.twimg.com/media/Frbc7ToXwAAZumk.jpg")</f>
        <v>https://pbs.twimg.com/media/Frbc7ToXwAAZumk.jpg</v>
      </c>
      <c r="AW653" s="82" t="s">
        <v>12845</v>
      </c>
      <c r="AX653" s="82" t="s">
        <v>12845</v>
      </c>
      <c r="AY653" s="77"/>
      <c r="AZ653" s="82" t="s">
        <v>15804</v>
      </c>
      <c r="BA653" s="82" t="s">
        <v>15804</v>
      </c>
      <c r="BB653" s="82" t="s">
        <v>15804</v>
      </c>
      <c r="BC653" s="82" t="s">
        <v>12845</v>
      </c>
      <c r="BD653" s="77">
        <v>65623374</v>
      </c>
      <c r="BE653" s="77"/>
      <c r="BF653" s="77"/>
      <c r="BG653" s="77"/>
      <c r="BH653" s="77"/>
      <c r="BI653" s="77"/>
    </row>
    <row r="654" spans="1:61" x14ac:dyDescent="0.25">
      <c r="A654" s="62" t="s">
        <v>425</v>
      </c>
      <c r="B654" s="62" t="s">
        <v>425</v>
      </c>
      <c r="C654" s="63"/>
      <c r="D654" s="64"/>
      <c r="E654" s="65"/>
      <c r="F654" s="66"/>
      <c r="G654" s="63"/>
      <c r="H654" s="67"/>
      <c r="I654" s="68"/>
      <c r="J654" s="68"/>
      <c r="K654" s="32"/>
      <c r="L654" s="75">
        <v>654</v>
      </c>
      <c r="M654" s="75"/>
      <c r="N654" s="70"/>
      <c r="O654" s="77" t="s">
        <v>179</v>
      </c>
      <c r="P654" s="79">
        <v>45114.0625</v>
      </c>
      <c r="Q654" s="77" t="s">
        <v>1759</v>
      </c>
      <c r="R654" s="77">
        <v>0</v>
      </c>
      <c r="S654" s="77">
        <v>5</v>
      </c>
      <c r="T654" s="77">
        <v>0</v>
      </c>
      <c r="U654" s="77">
        <v>0</v>
      </c>
      <c r="V654" s="77">
        <v>2024</v>
      </c>
      <c r="W654" s="82" t="s">
        <v>4507</v>
      </c>
      <c r="X654" s="80" t="str">
        <f>HYPERLINK("https://cbn.globoradio.globo.com/media/audio/413276/dinheiro-extra-investir-em-aplicacoes-ou-adiantar-.htm")</f>
        <v>https://cbn.globoradio.globo.com/media/audio/413276/dinheiro-extra-investir-em-aplicacoes-ou-adiantar-.htm</v>
      </c>
      <c r="Y654" s="77" t="s">
        <v>6037</v>
      </c>
      <c r="Z654" s="77"/>
      <c r="AA654" s="77"/>
      <c r="AB654" s="77"/>
      <c r="AC654" s="82" t="s">
        <v>7713</v>
      </c>
      <c r="AD654" s="77" t="s">
        <v>7745</v>
      </c>
      <c r="AE654" s="80" t="str">
        <f>HYPERLINK("https://twitter.com/cbnoficial/status/1677127794638090241")</f>
        <v>https://twitter.com/cbnoficial/status/1677127794638090241</v>
      </c>
      <c r="AF654" s="79">
        <v>45114.0625</v>
      </c>
      <c r="AG654" s="85">
        <v>45114</v>
      </c>
      <c r="AH654" s="82" t="s">
        <v>8338</v>
      </c>
      <c r="AI654" s="77" t="b">
        <v>0</v>
      </c>
      <c r="AJ654" s="77"/>
      <c r="AK654" s="77"/>
      <c r="AL654" s="77"/>
      <c r="AM654" s="77"/>
      <c r="AN654" s="77"/>
      <c r="AO654" s="77"/>
      <c r="AP654" s="77"/>
      <c r="AQ654" s="77"/>
      <c r="AR654" s="77"/>
      <c r="AS654" s="77"/>
      <c r="AT654" s="77"/>
      <c r="AU654" s="77"/>
      <c r="AV654" s="80" t="str">
        <f>HYPERLINK("https://pbs.twimg.com/profile_images/1490726030239219715/NsSY2E9c_normal.jpg")</f>
        <v>https://pbs.twimg.com/profile_images/1490726030239219715/NsSY2E9c_normal.jpg</v>
      </c>
      <c r="AW654" s="82" t="s">
        <v>12846</v>
      </c>
      <c r="AX654" s="82" t="s">
        <v>12846</v>
      </c>
      <c r="AY654" s="77"/>
      <c r="AZ654" s="82" t="s">
        <v>15804</v>
      </c>
      <c r="BA654" s="82" t="s">
        <v>15804</v>
      </c>
      <c r="BB654" s="82" t="s">
        <v>15804</v>
      </c>
      <c r="BC654" s="82" t="s">
        <v>12846</v>
      </c>
      <c r="BD654" s="77">
        <v>785833176</v>
      </c>
      <c r="BE654" s="77"/>
      <c r="BF654" s="77"/>
      <c r="BG654" s="77"/>
      <c r="BH654" s="77"/>
      <c r="BI654" s="77"/>
    </row>
    <row r="655" spans="1:61" x14ac:dyDescent="0.25">
      <c r="A655" s="62" t="s">
        <v>426</v>
      </c>
      <c r="B655" s="62" t="s">
        <v>451</v>
      </c>
      <c r="C655" s="63"/>
      <c r="D655" s="64"/>
      <c r="E655" s="65"/>
      <c r="F655" s="66"/>
      <c r="G655" s="63"/>
      <c r="H655" s="67"/>
      <c r="I655" s="68"/>
      <c r="J655" s="68"/>
      <c r="K655" s="32"/>
      <c r="L655" s="75">
        <v>655</v>
      </c>
      <c r="M655" s="75"/>
      <c r="N655" s="70"/>
      <c r="O655" s="77" t="s">
        <v>1132</v>
      </c>
      <c r="P655" s="79">
        <v>45132.565555555557</v>
      </c>
      <c r="Q655" s="77" t="s">
        <v>1760</v>
      </c>
      <c r="R655" s="77">
        <v>0</v>
      </c>
      <c r="S655" s="77">
        <v>0</v>
      </c>
      <c r="T655" s="77">
        <v>0</v>
      </c>
      <c r="U655" s="77">
        <v>0</v>
      </c>
      <c r="V655" s="77">
        <v>8</v>
      </c>
      <c r="W655" s="82" t="s">
        <v>4508</v>
      </c>
      <c r="X655" s="77"/>
      <c r="Y655" s="77"/>
      <c r="Z655" s="77" t="s">
        <v>451</v>
      </c>
      <c r="AA655" s="77"/>
      <c r="AB655" s="77"/>
      <c r="AC655" s="82" t="s">
        <v>7705</v>
      </c>
      <c r="AD655" s="77" t="s">
        <v>7745</v>
      </c>
      <c r="AE655" s="80" t="str">
        <f>HYPERLINK("https://twitter.com/paulocbastos/status/1683833076655493120")</f>
        <v>https://twitter.com/paulocbastos/status/1683833076655493120</v>
      </c>
      <c r="AF655" s="79">
        <v>45132.565555555557</v>
      </c>
      <c r="AG655" s="85">
        <v>45132</v>
      </c>
      <c r="AH655" s="82" t="s">
        <v>8339</v>
      </c>
      <c r="AI655" s="77"/>
      <c r="AJ655" s="77"/>
      <c r="AK655" s="77"/>
      <c r="AL655" s="77"/>
      <c r="AM655" s="77"/>
      <c r="AN655" s="77"/>
      <c r="AO655" s="77"/>
      <c r="AP655" s="77"/>
      <c r="AQ655" s="77"/>
      <c r="AR655" s="77"/>
      <c r="AS655" s="77"/>
      <c r="AT655" s="77"/>
      <c r="AU655" s="77"/>
      <c r="AV655" s="80" t="str">
        <f>HYPERLINK("https://pbs.twimg.com/profile_images/2504791491/xy0dyksmhtrbeae5mb51_normal.jpeg")</f>
        <v>https://pbs.twimg.com/profile_images/2504791491/xy0dyksmhtrbeae5mb51_normal.jpeg</v>
      </c>
      <c r="AW655" s="82" t="s">
        <v>12847</v>
      </c>
      <c r="AX655" s="82" t="s">
        <v>12924</v>
      </c>
      <c r="AY655" s="82" t="s">
        <v>15709</v>
      </c>
      <c r="AZ655" s="82" t="s">
        <v>12924</v>
      </c>
      <c r="BA655" s="82" t="s">
        <v>15804</v>
      </c>
      <c r="BB655" s="82" t="s">
        <v>15804</v>
      </c>
      <c r="BC655" s="82" t="s">
        <v>12924</v>
      </c>
      <c r="BD655" s="77">
        <v>113128538</v>
      </c>
      <c r="BE655" s="77"/>
      <c r="BF655" s="77"/>
      <c r="BG655" s="77"/>
      <c r="BH655" s="77"/>
      <c r="BI655" s="77"/>
    </row>
    <row r="656" spans="1:61" x14ac:dyDescent="0.25">
      <c r="A656" s="62" t="s">
        <v>427</v>
      </c>
      <c r="B656" s="62" t="s">
        <v>427</v>
      </c>
      <c r="C656" s="63"/>
      <c r="D656" s="64"/>
      <c r="E656" s="65"/>
      <c r="F656" s="66"/>
      <c r="G656" s="63"/>
      <c r="H656" s="67"/>
      <c r="I656" s="68"/>
      <c r="J656" s="68"/>
      <c r="K656" s="32"/>
      <c r="L656" s="75">
        <v>656</v>
      </c>
      <c r="M656" s="75"/>
      <c r="N656" s="70"/>
      <c r="O656" s="77" t="s">
        <v>179</v>
      </c>
      <c r="P656" s="79">
        <v>45085.625023148146</v>
      </c>
      <c r="Q656" s="77" t="s">
        <v>1761</v>
      </c>
      <c r="R656" s="77">
        <v>0</v>
      </c>
      <c r="S656" s="77">
        <v>0</v>
      </c>
      <c r="T656" s="77">
        <v>0</v>
      </c>
      <c r="U656" s="77">
        <v>0</v>
      </c>
      <c r="V656" s="77">
        <v>140</v>
      </c>
      <c r="W656" s="82" t="s">
        <v>4509</v>
      </c>
      <c r="X656" s="80" t="str">
        <f>HYPERLINK("https://vocerh.abril.com.br/politicasepraticas/educacao-financeira-para-funcionarios/")</f>
        <v>https://vocerh.abril.com.br/politicasepraticas/educacao-financeira-para-funcionarios/</v>
      </c>
      <c r="Y656" s="77" t="s">
        <v>6002</v>
      </c>
      <c r="Z656" s="77"/>
      <c r="AA656" s="77"/>
      <c r="AB656" s="77"/>
      <c r="AC656" s="82" t="s">
        <v>7706</v>
      </c>
      <c r="AD656" s="77" t="s">
        <v>7745</v>
      </c>
      <c r="AE656" s="80" t="str">
        <f>HYPERLINK("https://twitter.com/revistavocerh/status/1666822399675777024")</f>
        <v>https://twitter.com/revistavocerh/status/1666822399675777024</v>
      </c>
      <c r="AF656" s="79">
        <v>45085.625023148146</v>
      </c>
      <c r="AG656" s="85">
        <v>45085</v>
      </c>
      <c r="AH656" s="82" t="s">
        <v>8340</v>
      </c>
      <c r="AI656" s="77" t="b">
        <v>0</v>
      </c>
      <c r="AJ656" s="77"/>
      <c r="AK656" s="77"/>
      <c r="AL656" s="77"/>
      <c r="AM656" s="77"/>
      <c r="AN656" s="77"/>
      <c r="AO656" s="77"/>
      <c r="AP656" s="77"/>
      <c r="AQ656" s="77"/>
      <c r="AR656" s="77"/>
      <c r="AS656" s="77"/>
      <c r="AT656" s="77"/>
      <c r="AU656" s="77"/>
      <c r="AV656" s="80" t="str">
        <f>HYPERLINK("https://pbs.twimg.com/profile_images/1687478376850755584/D2Wy7zZ-_normal.jpg")</f>
        <v>https://pbs.twimg.com/profile_images/1687478376850755584/D2Wy7zZ-_normal.jpg</v>
      </c>
      <c r="AW656" s="82" t="s">
        <v>12848</v>
      </c>
      <c r="AX656" s="82" t="s">
        <v>12848</v>
      </c>
      <c r="AY656" s="77"/>
      <c r="AZ656" s="82" t="s">
        <v>15804</v>
      </c>
      <c r="BA656" s="82" t="s">
        <v>15804</v>
      </c>
      <c r="BB656" s="82" t="s">
        <v>15804</v>
      </c>
      <c r="BC656" s="82" t="s">
        <v>12848</v>
      </c>
      <c r="BD656" s="77">
        <v>34969398</v>
      </c>
      <c r="BE656" s="77"/>
      <c r="BF656" s="77"/>
      <c r="BG656" s="77"/>
      <c r="BH656" s="77"/>
      <c r="BI656" s="77"/>
    </row>
    <row r="657" spans="1:61" x14ac:dyDescent="0.25">
      <c r="A657" s="62" t="s">
        <v>428</v>
      </c>
      <c r="B657" s="62" t="s">
        <v>1058</v>
      </c>
      <c r="C657" s="63"/>
      <c r="D657" s="64"/>
      <c r="E657" s="65"/>
      <c r="F657" s="66"/>
      <c r="G657" s="63"/>
      <c r="H657" s="67"/>
      <c r="I657" s="68"/>
      <c r="J657" s="68"/>
      <c r="K657" s="32"/>
      <c r="L657" s="75">
        <v>657</v>
      </c>
      <c r="M657" s="75"/>
      <c r="N657" s="70"/>
      <c r="O657" s="77" t="s">
        <v>1133</v>
      </c>
      <c r="P657" s="79">
        <v>45175.254664351851</v>
      </c>
      <c r="Q657" s="77" t="s">
        <v>1762</v>
      </c>
      <c r="R657" s="77">
        <v>0</v>
      </c>
      <c r="S657" s="77">
        <v>0</v>
      </c>
      <c r="T657" s="77">
        <v>0</v>
      </c>
      <c r="U657" s="77">
        <v>0</v>
      </c>
      <c r="V657" s="77">
        <v>20</v>
      </c>
      <c r="W657" s="82" t="s">
        <v>4510</v>
      </c>
      <c r="X657" s="80" t="str">
        <f>HYPERLINK("https://youtube.com/shorts/e9_M2X-hzaU?si=-7wxDc8ZUh6HOgdL")</f>
        <v>https://youtube.com/shorts/e9_M2X-hzaU?si=-7wxDc8ZUh6HOgdL</v>
      </c>
      <c r="Y657" s="77" t="s">
        <v>6006</v>
      </c>
      <c r="Z657" s="77" t="s">
        <v>1058</v>
      </c>
      <c r="AA657" s="77"/>
      <c r="AB657" s="77"/>
      <c r="AC657" s="82" t="s">
        <v>7706</v>
      </c>
      <c r="AD657" s="77" t="s">
        <v>7745</v>
      </c>
      <c r="AE657" s="80" t="str">
        <f>HYPERLINK("https://twitter.com/portomario/status/1699303092229980309")</f>
        <v>https://twitter.com/portomario/status/1699303092229980309</v>
      </c>
      <c r="AF657" s="79">
        <v>45175.254664351851</v>
      </c>
      <c r="AG657" s="85">
        <v>45175</v>
      </c>
      <c r="AH657" s="82" t="s">
        <v>8341</v>
      </c>
      <c r="AI657" s="77" t="b">
        <v>0</v>
      </c>
      <c r="AJ657" s="77"/>
      <c r="AK657" s="77"/>
      <c r="AL657" s="77"/>
      <c r="AM657" s="77"/>
      <c r="AN657" s="77"/>
      <c r="AO657" s="77"/>
      <c r="AP657" s="77"/>
      <c r="AQ657" s="77"/>
      <c r="AR657" s="77"/>
      <c r="AS657" s="77"/>
      <c r="AT657" s="77"/>
      <c r="AU657" s="77"/>
      <c r="AV657" s="80" t="str">
        <f>HYPERLINK("https://pbs.twimg.com/profile_images/1458949338219094021/PizcxHA__normal.jpg")</f>
        <v>https://pbs.twimg.com/profile_images/1458949338219094021/PizcxHA__normal.jpg</v>
      </c>
      <c r="AW657" s="82" t="s">
        <v>12849</v>
      </c>
      <c r="AX657" s="82" t="s">
        <v>12849</v>
      </c>
      <c r="AY657" s="77"/>
      <c r="AZ657" s="82" t="s">
        <v>15804</v>
      </c>
      <c r="BA657" s="82" t="s">
        <v>15804</v>
      </c>
      <c r="BB657" s="82" t="s">
        <v>15804</v>
      </c>
      <c r="BC657" s="82" t="s">
        <v>12849</v>
      </c>
      <c r="BD657" s="77">
        <v>218182072</v>
      </c>
      <c r="BE657" s="77"/>
      <c r="BF657" s="77"/>
      <c r="BG657" s="77"/>
      <c r="BH657" s="77"/>
      <c r="BI657" s="77"/>
    </row>
    <row r="658" spans="1:61" x14ac:dyDescent="0.25">
      <c r="A658" s="62" t="s">
        <v>429</v>
      </c>
      <c r="B658" s="62" t="s">
        <v>1058</v>
      </c>
      <c r="C658" s="63"/>
      <c r="D658" s="64"/>
      <c r="E658" s="65"/>
      <c r="F658" s="66"/>
      <c r="G658" s="63"/>
      <c r="H658" s="67"/>
      <c r="I658" s="68"/>
      <c r="J658" s="68"/>
      <c r="K658" s="32"/>
      <c r="L658" s="75">
        <v>658</v>
      </c>
      <c r="M658" s="75"/>
      <c r="N658" s="70"/>
      <c r="O658" s="77" t="s">
        <v>1133</v>
      </c>
      <c r="P658" s="79">
        <v>45172.55201388889</v>
      </c>
      <c r="Q658" s="77" t="s">
        <v>1763</v>
      </c>
      <c r="R658" s="77">
        <v>0</v>
      </c>
      <c r="S658" s="77">
        <v>0</v>
      </c>
      <c r="T658" s="77">
        <v>0</v>
      </c>
      <c r="U658" s="77">
        <v>0</v>
      </c>
      <c r="V658" s="77">
        <v>3</v>
      </c>
      <c r="W658" s="82" t="s">
        <v>4510</v>
      </c>
      <c r="X658" s="80" t="str">
        <f>HYPERLINK("https://youtube.com/shorts/e9_M2X-hzaU?si=kEmqviFp6RubRHon")</f>
        <v>https://youtube.com/shorts/e9_M2X-hzaU?si=kEmqviFp6RubRHon</v>
      </c>
      <c r="Y658" s="77" t="s">
        <v>6006</v>
      </c>
      <c r="Z658" s="77" t="s">
        <v>1058</v>
      </c>
      <c r="AA658" s="77"/>
      <c r="AB658" s="77"/>
      <c r="AC658" s="82" t="s">
        <v>7706</v>
      </c>
      <c r="AD658" s="77" t="s">
        <v>7745</v>
      </c>
      <c r="AE658" s="80" t="str">
        <f>HYPERLINK("https://twitter.com/marcosacyprest1/status/1698323685847793911")</f>
        <v>https://twitter.com/marcosacyprest1/status/1698323685847793911</v>
      </c>
      <c r="AF658" s="79">
        <v>45172.55201388889</v>
      </c>
      <c r="AG658" s="85">
        <v>45172</v>
      </c>
      <c r="AH658" s="82" t="s">
        <v>8342</v>
      </c>
      <c r="AI658" s="77" t="b">
        <v>0</v>
      </c>
      <c r="AJ658" s="77"/>
      <c r="AK658" s="77"/>
      <c r="AL658" s="77"/>
      <c r="AM658" s="77"/>
      <c r="AN658" s="77"/>
      <c r="AO658" s="77"/>
      <c r="AP658" s="77"/>
      <c r="AQ658" s="77"/>
      <c r="AR658" s="77"/>
      <c r="AS658" s="77"/>
      <c r="AT658" s="77"/>
      <c r="AU658" s="77"/>
      <c r="AV658" s="80" t="str">
        <f>HYPERLINK("https://pbs.twimg.com/profile_images/1700282693701746688/zdt6eJjZ_normal.jpg")</f>
        <v>https://pbs.twimg.com/profile_images/1700282693701746688/zdt6eJjZ_normal.jpg</v>
      </c>
      <c r="AW658" s="82" t="s">
        <v>12850</v>
      </c>
      <c r="AX658" s="82" t="s">
        <v>12850</v>
      </c>
      <c r="AY658" s="77"/>
      <c r="AZ658" s="82" t="s">
        <v>15804</v>
      </c>
      <c r="BA658" s="82" t="s">
        <v>15804</v>
      </c>
      <c r="BB658" s="82" t="s">
        <v>15804</v>
      </c>
      <c r="BC658" s="82" t="s">
        <v>12850</v>
      </c>
      <c r="BD658" s="77">
        <v>580199593</v>
      </c>
      <c r="BE658" s="77"/>
      <c r="BF658" s="77"/>
      <c r="BG658" s="77"/>
      <c r="BH658" s="77"/>
      <c r="BI658" s="77"/>
    </row>
    <row r="659" spans="1:61" x14ac:dyDescent="0.25">
      <c r="A659" s="62" t="s">
        <v>430</v>
      </c>
      <c r="B659" s="62" t="s">
        <v>430</v>
      </c>
      <c r="C659" s="63"/>
      <c r="D659" s="64"/>
      <c r="E659" s="65"/>
      <c r="F659" s="66"/>
      <c r="G659" s="63"/>
      <c r="H659" s="67"/>
      <c r="I659" s="68"/>
      <c r="J659" s="68"/>
      <c r="K659" s="32"/>
      <c r="L659" s="75">
        <v>659</v>
      </c>
      <c r="M659" s="75"/>
      <c r="N659" s="70"/>
      <c r="O659" s="77" t="s">
        <v>179</v>
      </c>
      <c r="P659" s="79">
        <v>45119.861458333333</v>
      </c>
      <c r="Q659" s="77" t="s">
        <v>1764</v>
      </c>
      <c r="R659" s="77">
        <v>1</v>
      </c>
      <c r="S659" s="77">
        <v>2</v>
      </c>
      <c r="T659" s="77">
        <v>0</v>
      </c>
      <c r="U659" s="77">
        <v>0</v>
      </c>
      <c r="V659" s="77">
        <v>13</v>
      </c>
      <c r="W659" s="82" t="s">
        <v>4511</v>
      </c>
      <c r="X659" s="80" t="str">
        <f>HYPERLINK("https://www.comlucro.com.br/comprar-ou-alugar-imovel-uma-analise-baseada-em-dados-e-a-perspectiva-de-independencia-financeira/")</f>
        <v>https://www.comlucro.com.br/comprar-ou-alugar-imovel-uma-analise-baseada-em-dados-e-a-perspectiva-de-independencia-financeira/</v>
      </c>
      <c r="Y659" s="77" t="s">
        <v>6002</v>
      </c>
      <c r="Z659" s="77"/>
      <c r="AA659" s="77" t="s">
        <v>6515</v>
      </c>
      <c r="AB659" s="77" t="s">
        <v>7696</v>
      </c>
      <c r="AC659" s="82" t="s">
        <v>7706</v>
      </c>
      <c r="AD659" s="77" t="s">
        <v>7746</v>
      </c>
      <c r="AE659" s="80" t="str">
        <f>HYPERLINK("https://twitter.com/canalcomlucro/status/1679229267622731779")</f>
        <v>https://twitter.com/canalcomlucro/status/1679229267622731779</v>
      </c>
      <c r="AF659" s="79">
        <v>45119.861458333333</v>
      </c>
      <c r="AG659" s="85">
        <v>45119</v>
      </c>
      <c r="AH659" s="82" t="s">
        <v>8343</v>
      </c>
      <c r="AI659" s="77" t="b">
        <v>0</v>
      </c>
      <c r="AJ659" s="77"/>
      <c r="AK659" s="77"/>
      <c r="AL659" s="77"/>
      <c r="AM659" s="77"/>
      <c r="AN659" s="77"/>
      <c r="AO659" s="77"/>
      <c r="AP659" s="77"/>
      <c r="AQ659" s="77" t="s">
        <v>11022</v>
      </c>
      <c r="AR659" s="77"/>
      <c r="AS659" s="77"/>
      <c r="AT659" s="77"/>
      <c r="AU659" s="77"/>
      <c r="AV659" s="80" t="str">
        <f>HYPERLINK("https://pbs.twimg.com/media/F03SGMHWwAEH7HK.jpg")</f>
        <v>https://pbs.twimg.com/media/F03SGMHWwAEH7HK.jpg</v>
      </c>
      <c r="AW659" s="82" t="s">
        <v>12851</v>
      </c>
      <c r="AX659" s="82" t="s">
        <v>12851</v>
      </c>
      <c r="AY659" s="77"/>
      <c r="AZ659" s="82" t="s">
        <v>15804</v>
      </c>
      <c r="BA659" s="82" t="s">
        <v>15804</v>
      </c>
      <c r="BB659" s="82" t="s">
        <v>15804</v>
      </c>
      <c r="BC659" s="82" t="s">
        <v>12851</v>
      </c>
      <c r="BD659" s="82" t="s">
        <v>16242</v>
      </c>
      <c r="BE659" s="77"/>
      <c r="BF659" s="77"/>
      <c r="BG659" s="77"/>
      <c r="BH659" s="77"/>
      <c r="BI659" s="77"/>
    </row>
    <row r="660" spans="1:61" x14ac:dyDescent="0.25">
      <c r="A660" s="62" t="s">
        <v>430</v>
      </c>
      <c r="B660" s="62" t="s">
        <v>430</v>
      </c>
      <c r="C660" s="63"/>
      <c r="D660" s="64"/>
      <c r="E660" s="65"/>
      <c r="F660" s="66"/>
      <c r="G660" s="63"/>
      <c r="H660" s="67"/>
      <c r="I660" s="68"/>
      <c r="J660" s="68"/>
      <c r="K660" s="32"/>
      <c r="L660" s="75">
        <v>660</v>
      </c>
      <c r="M660" s="75"/>
      <c r="N660" s="70"/>
      <c r="O660" s="77" t="s">
        <v>179</v>
      </c>
      <c r="P660" s="79">
        <v>45119.599374999998</v>
      </c>
      <c r="Q660" s="77" t="s">
        <v>1765</v>
      </c>
      <c r="R660" s="77">
        <v>1</v>
      </c>
      <c r="S660" s="77">
        <v>2</v>
      </c>
      <c r="T660" s="77">
        <v>0</v>
      </c>
      <c r="U660" s="77">
        <v>0</v>
      </c>
      <c r="V660" s="77">
        <v>14</v>
      </c>
      <c r="W660" s="82" t="s">
        <v>4512</v>
      </c>
      <c r="X660" s="80" t="str">
        <f>HYPERLINK("https://www.comlucro.com.br/ferramentas/profit-da-nelogica-uma-ferramenta-essencial-para-traders/")</f>
        <v>https://www.comlucro.com.br/ferramentas/profit-da-nelogica-uma-ferramenta-essencial-para-traders/</v>
      </c>
      <c r="Y660" s="77" t="s">
        <v>6002</v>
      </c>
      <c r="Z660" s="77"/>
      <c r="AA660" s="77" t="s">
        <v>6516</v>
      </c>
      <c r="AB660" s="77" t="s">
        <v>7696</v>
      </c>
      <c r="AC660" s="82" t="s">
        <v>7706</v>
      </c>
      <c r="AD660" s="77" t="s">
        <v>7746</v>
      </c>
      <c r="AE660" s="80" t="str">
        <f>HYPERLINK("https://twitter.com/canalcomlucro/status/1679134290972405760")</f>
        <v>https://twitter.com/canalcomlucro/status/1679134290972405760</v>
      </c>
      <c r="AF660" s="79">
        <v>45119.599374999998</v>
      </c>
      <c r="AG660" s="85">
        <v>45119</v>
      </c>
      <c r="AH660" s="82" t="s">
        <v>8344</v>
      </c>
      <c r="AI660" s="77" t="b">
        <v>0</v>
      </c>
      <c r="AJ660" s="77"/>
      <c r="AK660" s="77"/>
      <c r="AL660" s="77"/>
      <c r="AM660" s="77"/>
      <c r="AN660" s="77"/>
      <c r="AO660" s="77"/>
      <c r="AP660" s="77"/>
      <c r="AQ660" s="77" t="s">
        <v>11023</v>
      </c>
      <c r="AR660" s="77"/>
      <c r="AS660" s="77"/>
      <c r="AT660" s="77"/>
      <c r="AU660" s="77"/>
      <c r="AV660" s="80" t="str">
        <f>HYPERLINK("https://pbs.twimg.com/media/F017sJUXoAMI0Ty.jpg")</f>
        <v>https://pbs.twimg.com/media/F017sJUXoAMI0Ty.jpg</v>
      </c>
      <c r="AW660" s="82" t="s">
        <v>12852</v>
      </c>
      <c r="AX660" s="82" t="s">
        <v>12852</v>
      </c>
      <c r="AY660" s="77"/>
      <c r="AZ660" s="82" t="s">
        <v>15804</v>
      </c>
      <c r="BA660" s="82" t="s">
        <v>15804</v>
      </c>
      <c r="BB660" s="82" t="s">
        <v>15804</v>
      </c>
      <c r="BC660" s="82" t="s">
        <v>12852</v>
      </c>
      <c r="BD660" s="82" t="s">
        <v>16242</v>
      </c>
      <c r="BE660" s="77"/>
      <c r="BF660" s="77"/>
      <c r="BG660" s="77"/>
      <c r="BH660" s="77"/>
      <c r="BI660" s="77"/>
    </row>
    <row r="661" spans="1:61" x14ac:dyDescent="0.25">
      <c r="A661" s="62" t="s">
        <v>430</v>
      </c>
      <c r="B661" s="62" t="s">
        <v>430</v>
      </c>
      <c r="C661" s="63"/>
      <c r="D661" s="64"/>
      <c r="E661" s="65"/>
      <c r="F661" s="66"/>
      <c r="G661" s="63"/>
      <c r="H661" s="67"/>
      <c r="I661" s="68"/>
      <c r="J661" s="68"/>
      <c r="K661" s="32"/>
      <c r="L661" s="75">
        <v>661</v>
      </c>
      <c r="M661" s="75"/>
      <c r="N661" s="70"/>
      <c r="O661" s="77" t="s">
        <v>179</v>
      </c>
      <c r="P661" s="79">
        <v>45139.757511574076</v>
      </c>
      <c r="Q661" s="77" t="s">
        <v>1766</v>
      </c>
      <c r="R661" s="77">
        <v>1</v>
      </c>
      <c r="S661" s="77">
        <v>4</v>
      </c>
      <c r="T661" s="77">
        <v>0</v>
      </c>
      <c r="U661" s="77">
        <v>0</v>
      </c>
      <c r="V661" s="77">
        <v>26</v>
      </c>
      <c r="W661" s="82" t="s">
        <v>4513</v>
      </c>
      <c r="X661" s="80" t="str">
        <f>HYPERLINK("https://www.comlucro.com.br/peter-lynch-o-genio-dos-investimentos-estrategias-e-legado-no-mercado-financeiro/")</f>
        <v>https://www.comlucro.com.br/peter-lynch-o-genio-dos-investimentos-estrategias-e-legado-no-mercado-financeiro/</v>
      </c>
      <c r="Y661" s="77" t="s">
        <v>6002</v>
      </c>
      <c r="Z661" s="77"/>
      <c r="AA661" s="77" t="s">
        <v>6517</v>
      </c>
      <c r="AB661" s="77" t="s">
        <v>7696</v>
      </c>
      <c r="AC661" s="82" t="s">
        <v>7706</v>
      </c>
      <c r="AD661" s="77" t="s">
        <v>7746</v>
      </c>
      <c r="AE661" s="80" t="str">
        <f>HYPERLINK("https://twitter.com/canalcomlucro/status/1686439353998856211")</f>
        <v>https://twitter.com/canalcomlucro/status/1686439353998856211</v>
      </c>
      <c r="AF661" s="79">
        <v>45139.757511574076</v>
      </c>
      <c r="AG661" s="85">
        <v>45139</v>
      </c>
      <c r="AH661" s="82" t="s">
        <v>8345</v>
      </c>
      <c r="AI661" s="77" t="b">
        <v>0</v>
      </c>
      <c r="AJ661" s="77"/>
      <c r="AK661" s="77"/>
      <c r="AL661" s="77"/>
      <c r="AM661" s="77"/>
      <c r="AN661" s="77"/>
      <c r="AO661" s="77"/>
      <c r="AP661" s="77"/>
      <c r="AQ661" s="77" t="s">
        <v>11024</v>
      </c>
      <c r="AR661" s="77"/>
      <c r="AS661" s="77"/>
      <c r="AT661" s="77"/>
      <c r="AU661" s="77"/>
      <c r="AV661" s="80" t="str">
        <f>HYPERLINK("https://pbs.twimg.com/media/F2dvpmFWIAA-zCX.jpg")</f>
        <v>https://pbs.twimg.com/media/F2dvpmFWIAA-zCX.jpg</v>
      </c>
      <c r="AW661" s="82" t="s">
        <v>12853</v>
      </c>
      <c r="AX661" s="82" t="s">
        <v>12853</v>
      </c>
      <c r="AY661" s="77"/>
      <c r="AZ661" s="82" t="s">
        <v>15804</v>
      </c>
      <c r="BA661" s="82" t="s">
        <v>15804</v>
      </c>
      <c r="BB661" s="82" t="s">
        <v>15804</v>
      </c>
      <c r="BC661" s="82" t="s">
        <v>12853</v>
      </c>
      <c r="BD661" s="82" t="s">
        <v>16242</v>
      </c>
      <c r="BE661" s="77"/>
      <c r="BF661" s="77"/>
      <c r="BG661" s="77"/>
      <c r="BH661" s="77"/>
      <c r="BI661" s="77"/>
    </row>
    <row r="662" spans="1:61" x14ac:dyDescent="0.25">
      <c r="A662" s="62" t="s">
        <v>430</v>
      </c>
      <c r="B662" s="62" t="s">
        <v>430</v>
      </c>
      <c r="C662" s="63"/>
      <c r="D662" s="64"/>
      <c r="E662" s="65"/>
      <c r="F662" s="66"/>
      <c r="G662" s="63"/>
      <c r="H662" s="67"/>
      <c r="I662" s="68"/>
      <c r="J662" s="68"/>
      <c r="K662" s="32"/>
      <c r="L662" s="75">
        <v>662</v>
      </c>
      <c r="M662" s="75"/>
      <c r="N662" s="70"/>
      <c r="O662" s="77" t="s">
        <v>179</v>
      </c>
      <c r="P662" s="79">
        <v>45128.623425925929</v>
      </c>
      <c r="Q662" s="77" t="s">
        <v>1767</v>
      </c>
      <c r="R662" s="77">
        <v>1</v>
      </c>
      <c r="S662" s="77">
        <v>2</v>
      </c>
      <c r="T662" s="77">
        <v>0</v>
      </c>
      <c r="U662" s="77">
        <v>0</v>
      </c>
      <c r="V662" s="77">
        <v>9</v>
      </c>
      <c r="W662" s="82" t="s">
        <v>4514</v>
      </c>
      <c r="X662" s="80" t="str">
        <f>HYPERLINK("https://www.comlucro.com.br/estrategia-de-investimento-de-warren-buffett-compreendendo-a-abordagem-do-oraculo-de-omaha/")</f>
        <v>https://www.comlucro.com.br/estrategia-de-investimento-de-warren-buffett-compreendendo-a-abordagem-do-oraculo-de-omaha/</v>
      </c>
      <c r="Y662" s="77" t="s">
        <v>6002</v>
      </c>
      <c r="Z662" s="77"/>
      <c r="AA662" s="77" t="s">
        <v>6518</v>
      </c>
      <c r="AB662" s="77" t="s">
        <v>7696</v>
      </c>
      <c r="AC662" s="82" t="s">
        <v>7706</v>
      </c>
      <c r="AD662" s="77" t="s">
        <v>7746</v>
      </c>
      <c r="AE662" s="80" t="str">
        <f>HYPERLINK("https://twitter.com/canalcomlucro/status/1682404498763915265")</f>
        <v>https://twitter.com/canalcomlucro/status/1682404498763915265</v>
      </c>
      <c r="AF662" s="79">
        <v>45128.623425925929</v>
      </c>
      <c r="AG662" s="85">
        <v>45128</v>
      </c>
      <c r="AH662" s="82" t="s">
        <v>8346</v>
      </c>
      <c r="AI662" s="77" t="b">
        <v>0</v>
      </c>
      <c r="AJ662" s="77"/>
      <c r="AK662" s="77"/>
      <c r="AL662" s="77"/>
      <c r="AM662" s="77"/>
      <c r="AN662" s="77"/>
      <c r="AO662" s="77"/>
      <c r="AP662" s="77"/>
      <c r="AQ662" s="77" t="s">
        <v>11025</v>
      </c>
      <c r="AR662" s="77"/>
      <c r="AS662" s="77"/>
      <c r="AT662" s="77"/>
      <c r="AU662" s="77"/>
      <c r="AV662" s="80" t="str">
        <f>HYPERLINK("https://pbs.twimg.com/media/F1kZ-CqXgAQuH9a.jpg")</f>
        <v>https://pbs.twimg.com/media/F1kZ-CqXgAQuH9a.jpg</v>
      </c>
      <c r="AW662" s="82" t="s">
        <v>12854</v>
      </c>
      <c r="AX662" s="82" t="s">
        <v>12854</v>
      </c>
      <c r="AY662" s="77"/>
      <c r="AZ662" s="82" t="s">
        <v>15804</v>
      </c>
      <c r="BA662" s="82" t="s">
        <v>15804</v>
      </c>
      <c r="BB662" s="82" t="s">
        <v>15804</v>
      </c>
      <c r="BC662" s="82" t="s">
        <v>12854</v>
      </c>
      <c r="BD662" s="82" t="s">
        <v>16242</v>
      </c>
      <c r="BE662" s="77"/>
      <c r="BF662" s="77"/>
      <c r="BG662" s="77"/>
      <c r="BH662" s="77"/>
      <c r="BI662" s="77"/>
    </row>
    <row r="663" spans="1:61" x14ac:dyDescent="0.25">
      <c r="A663" s="62" t="s">
        <v>430</v>
      </c>
      <c r="B663" s="62" t="s">
        <v>430</v>
      </c>
      <c r="C663" s="63"/>
      <c r="D663" s="64"/>
      <c r="E663" s="65"/>
      <c r="F663" s="66"/>
      <c r="G663" s="63"/>
      <c r="H663" s="67"/>
      <c r="I663" s="68"/>
      <c r="J663" s="68"/>
      <c r="K663" s="32"/>
      <c r="L663" s="75">
        <v>663</v>
      </c>
      <c r="M663" s="75"/>
      <c r="N663" s="70"/>
      <c r="O663" s="77" t="s">
        <v>179</v>
      </c>
      <c r="P663" s="79">
        <v>45149.852361111109</v>
      </c>
      <c r="Q663" s="77" t="s">
        <v>1768</v>
      </c>
      <c r="R663" s="77">
        <v>1</v>
      </c>
      <c r="S663" s="77">
        <v>2</v>
      </c>
      <c r="T663" s="77">
        <v>0</v>
      </c>
      <c r="U663" s="77">
        <v>0</v>
      </c>
      <c r="V663" s="77">
        <v>74</v>
      </c>
      <c r="W663" s="82" t="s">
        <v>4515</v>
      </c>
      <c r="X663" s="80" t="str">
        <f>HYPERLINK("https://www.comlucro.com.br/analise-tecnica/volatilidade/volatilidade-implicita/")</f>
        <v>https://www.comlucro.com.br/analise-tecnica/volatilidade/volatilidade-implicita/</v>
      </c>
      <c r="Y663" s="77" t="s">
        <v>6002</v>
      </c>
      <c r="Z663" s="77"/>
      <c r="AA663" s="77" t="s">
        <v>6519</v>
      </c>
      <c r="AB663" s="77" t="s">
        <v>7696</v>
      </c>
      <c r="AC663" s="82" t="s">
        <v>7706</v>
      </c>
      <c r="AD663" s="77" t="s">
        <v>7746</v>
      </c>
      <c r="AE663" s="80" t="str">
        <f>HYPERLINK("https://twitter.com/canalcomlucro/status/1690097607656222720")</f>
        <v>https://twitter.com/canalcomlucro/status/1690097607656222720</v>
      </c>
      <c r="AF663" s="79">
        <v>45149.852361111109</v>
      </c>
      <c r="AG663" s="85">
        <v>45149</v>
      </c>
      <c r="AH663" s="82" t="s">
        <v>8347</v>
      </c>
      <c r="AI663" s="77" t="b">
        <v>0</v>
      </c>
      <c r="AJ663" s="77"/>
      <c r="AK663" s="77"/>
      <c r="AL663" s="77"/>
      <c r="AM663" s="77"/>
      <c r="AN663" s="77"/>
      <c r="AO663" s="77"/>
      <c r="AP663" s="77"/>
      <c r="AQ663" s="77" t="s">
        <v>11026</v>
      </c>
      <c r="AR663" s="77"/>
      <c r="AS663" s="77"/>
      <c r="AT663" s="77"/>
      <c r="AU663" s="77"/>
      <c r="AV663" s="80" t="str">
        <f>HYPERLINK("https://pbs.twimg.com/media/F3Ruzo_WkAAAkoE.jpg")</f>
        <v>https://pbs.twimg.com/media/F3Ruzo_WkAAAkoE.jpg</v>
      </c>
      <c r="AW663" s="82" t="s">
        <v>12855</v>
      </c>
      <c r="AX663" s="82" t="s">
        <v>12855</v>
      </c>
      <c r="AY663" s="77"/>
      <c r="AZ663" s="82" t="s">
        <v>15804</v>
      </c>
      <c r="BA663" s="82" t="s">
        <v>15804</v>
      </c>
      <c r="BB663" s="82" t="s">
        <v>15804</v>
      </c>
      <c r="BC663" s="82" t="s">
        <v>12855</v>
      </c>
      <c r="BD663" s="82" t="s">
        <v>16242</v>
      </c>
      <c r="BE663" s="77"/>
      <c r="BF663" s="77"/>
      <c r="BG663" s="77"/>
      <c r="BH663" s="77"/>
      <c r="BI663" s="77"/>
    </row>
    <row r="664" spans="1:61" x14ac:dyDescent="0.25">
      <c r="A664" s="62" t="s">
        <v>430</v>
      </c>
      <c r="B664" s="62" t="s">
        <v>430</v>
      </c>
      <c r="C664" s="63"/>
      <c r="D664" s="64"/>
      <c r="E664" s="65"/>
      <c r="F664" s="66"/>
      <c r="G664" s="63"/>
      <c r="H664" s="67"/>
      <c r="I664" s="68"/>
      <c r="J664" s="68"/>
      <c r="K664" s="32"/>
      <c r="L664" s="75">
        <v>664</v>
      </c>
      <c r="M664" s="75"/>
      <c r="N664" s="70"/>
      <c r="O664" s="77" t="s">
        <v>179</v>
      </c>
      <c r="P664" s="79">
        <v>45149.742986111109</v>
      </c>
      <c r="Q664" s="77" t="s">
        <v>1769</v>
      </c>
      <c r="R664" s="77">
        <v>1</v>
      </c>
      <c r="S664" s="77">
        <v>2</v>
      </c>
      <c r="T664" s="77">
        <v>0</v>
      </c>
      <c r="U664" s="77">
        <v>0</v>
      </c>
      <c r="V664" s="77">
        <v>11</v>
      </c>
      <c r="W664" s="82" t="s">
        <v>4516</v>
      </c>
      <c r="X664" s="80" t="str">
        <f>HYPERLINK("https://www.comlucro.com.br/analise-tecnica/volatilidade/")</f>
        <v>https://www.comlucro.com.br/analise-tecnica/volatilidade/</v>
      </c>
      <c r="Y664" s="77" t="s">
        <v>6002</v>
      </c>
      <c r="Z664" s="77"/>
      <c r="AA664" s="77" t="s">
        <v>6520</v>
      </c>
      <c r="AB664" s="77" t="s">
        <v>7696</v>
      </c>
      <c r="AC664" s="82" t="s">
        <v>7706</v>
      </c>
      <c r="AD664" s="77" t="s">
        <v>7746</v>
      </c>
      <c r="AE664" s="80" t="str">
        <f>HYPERLINK("https://twitter.com/canalcomlucro/status/1690057968656490505")</f>
        <v>https://twitter.com/canalcomlucro/status/1690057968656490505</v>
      </c>
      <c r="AF664" s="79">
        <v>45149.742986111109</v>
      </c>
      <c r="AG664" s="85">
        <v>45149</v>
      </c>
      <c r="AH664" s="82" t="s">
        <v>8348</v>
      </c>
      <c r="AI664" s="77" t="b">
        <v>0</v>
      </c>
      <c r="AJ664" s="77"/>
      <c r="AK664" s="77"/>
      <c r="AL664" s="77"/>
      <c r="AM664" s="77"/>
      <c r="AN664" s="77"/>
      <c r="AO664" s="77"/>
      <c r="AP664" s="77"/>
      <c r="AQ664" s="77" t="s">
        <v>11027</v>
      </c>
      <c r="AR664" s="77"/>
      <c r="AS664" s="77"/>
      <c r="AT664" s="77"/>
      <c r="AU664" s="77"/>
      <c r="AV664" s="80" t="str">
        <f>HYPERLINK("https://pbs.twimg.com/media/F3RKwdiWoBUxw6c.jpg")</f>
        <v>https://pbs.twimg.com/media/F3RKwdiWoBUxw6c.jpg</v>
      </c>
      <c r="AW664" s="82" t="s">
        <v>12856</v>
      </c>
      <c r="AX664" s="82" t="s">
        <v>12856</v>
      </c>
      <c r="AY664" s="77"/>
      <c r="AZ664" s="82" t="s">
        <v>15804</v>
      </c>
      <c r="BA664" s="82" t="s">
        <v>15804</v>
      </c>
      <c r="BB664" s="82" t="s">
        <v>15804</v>
      </c>
      <c r="BC664" s="82" t="s">
        <v>12856</v>
      </c>
      <c r="BD664" s="82" t="s">
        <v>16242</v>
      </c>
      <c r="BE664" s="77"/>
      <c r="BF664" s="77"/>
      <c r="BG664" s="77"/>
      <c r="BH664" s="77"/>
      <c r="BI664" s="77"/>
    </row>
    <row r="665" spans="1:61" x14ac:dyDescent="0.25">
      <c r="A665" s="62" t="s">
        <v>430</v>
      </c>
      <c r="B665" s="62" t="s">
        <v>430</v>
      </c>
      <c r="C665" s="63"/>
      <c r="D665" s="64"/>
      <c r="E665" s="65"/>
      <c r="F665" s="66"/>
      <c r="G665" s="63"/>
      <c r="H665" s="67"/>
      <c r="I665" s="68"/>
      <c r="J665" s="68"/>
      <c r="K665" s="32"/>
      <c r="L665" s="75">
        <v>665</v>
      </c>
      <c r="M665" s="75"/>
      <c r="N665" s="70"/>
      <c r="O665" s="77" t="s">
        <v>179</v>
      </c>
      <c r="P665" s="79">
        <v>45114.61109953704</v>
      </c>
      <c r="Q665" s="77" t="s">
        <v>1770</v>
      </c>
      <c r="R665" s="77">
        <v>1</v>
      </c>
      <c r="S665" s="77">
        <v>1</v>
      </c>
      <c r="T665" s="77">
        <v>0</v>
      </c>
      <c r="U665" s="77">
        <v>0</v>
      </c>
      <c r="V665" s="77">
        <v>12</v>
      </c>
      <c r="W665" s="82" t="s">
        <v>4517</v>
      </c>
      <c r="X665" s="80" t="str">
        <f>HYPERLINK("https://www.comlucro.com.br/psicologia-do-trading/vies-de-confirmacao-durante-o-trading/")</f>
        <v>https://www.comlucro.com.br/psicologia-do-trading/vies-de-confirmacao-durante-o-trading/</v>
      </c>
      <c r="Y665" s="77" t="s">
        <v>6002</v>
      </c>
      <c r="Z665" s="77"/>
      <c r="AA665" s="77" t="s">
        <v>6521</v>
      </c>
      <c r="AB665" s="77" t="s">
        <v>7696</v>
      </c>
      <c r="AC665" s="82" t="s">
        <v>7706</v>
      </c>
      <c r="AD665" s="77" t="s">
        <v>7746</v>
      </c>
      <c r="AE665" s="80" t="str">
        <f>HYPERLINK("https://twitter.com/canalcomlucro/status/1677326599002128385")</f>
        <v>https://twitter.com/canalcomlucro/status/1677326599002128385</v>
      </c>
      <c r="AF665" s="79">
        <v>45114.61109953704</v>
      </c>
      <c r="AG665" s="85">
        <v>45114</v>
      </c>
      <c r="AH665" s="82" t="s">
        <v>8349</v>
      </c>
      <c r="AI665" s="77" t="b">
        <v>0</v>
      </c>
      <c r="AJ665" s="77"/>
      <c r="AK665" s="77"/>
      <c r="AL665" s="77"/>
      <c r="AM665" s="77"/>
      <c r="AN665" s="77"/>
      <c r="AO665" s="77"/>
      <c r="AP665" s="77"/>
      <c r="AQ665" s="77" t="s">
        <v>11028</v>
      </c>
      <c r="AR665" s="77"/>
      <c r="AS665" s="77"/>
      <c r="AT665" s="77"/>
      <c r="AU665" s="77"/>
      <c r="AV665" s="80" t="str">
        <f>HYPERLINK("https://pbs.twimg.com/media/F0cPmSdXgAEKC91.jpg")</f>
        <v>https://pbs.twimg.com/media/F0cPmSdXgAEKC91.jpg</v>
      </c>
      <c r="AW665" s="82" t="s">
        <v>12857</v>
      </c>
      <c r="AX665" s="82" t="s">
        <v>12857</v>
      </c>
      <c r="AY665" s="77"/>
      <c r="AZ665" s="82" t="s">
        <v>15804</v>
      </c>
      <c r="BA665" s="82" t="s">
        <v>15804</v>
      </c>
      <c r="BB665" s="82" t="s">
        <v>15804</v>
      </c>
      <c r="BC665" s="82" t="s">
        <v>12857</v>
      </c>
      <c r="BD665" s="82" t="s">
        <v>16242</v>
      </c>
      <c r="BE665" s="77"/>
      <c r="BF665" s="77"/>
      <c r="BG665" s="77"/>
      <c r="BH665" s="77"/>
      <c r="BI665" s="77"/>
    </row>
    <row r="666" spans="1:61" x14ac:dyDescent="0.25">
      <c r="A666" s="62" t="s">
        <v>430</v>
      </c>
      <c r="B666" s="62" t="s">
        <v>430</v>
      </c>
      <c r="C666" s="63"/>
      <c r="D666" s="64"/>
      <c r="E666" s="65"/>
      <c r="F666" s="66"/>
      <c r="G666" s="63"/>
      <c r="H666" s="67"/>
      <c r="I666" s="68"/>
      <c r="J666" s="68"/>
      <c r="K666" s="32"/>
      <c r="L666" s="75">
        <v>666</v>
      </c>
      <c r="M666" s="75"/>
      <c r="N666" s="70"/>
      <c r="O666" s="77" t="s">
        <v>179</v>
      </c>
      <c r="P666" s="79">
        <v>45147.868923611109</v>
      </c>
      <c r="Q666" s="77" t="s">
        <v>1771</v>
      </c>
      <c r="R666" s="77">
        <v>1</v>
      </c>
      <c r="S666" s="77">
        <v>2</v>
      </c>
      <c r="T666" s="77">
        <v>1</v>
      </c>
      <c r="U666" s="77">
        <v>0</v>
      </c>
      <c r="V666" s="77">
        <v>15</v>
      </c>
      <c r="W666" s="82" t="s">
        <v>4518</v>
      </c>
      <c r="X666" s="80" t="str">
        <f>HYPERLINK("https://www.comlucro.com.br/analise-tecnica/barras-ou-velas-candlestick/in-neck-in-neck/")</f>
        <v>https://www.comlucro.com.br/analise-tecnica/barras-ou-velas-candlestick/in-neck-in-neck/</v>
      </c>
      <c r="Y666" s="77" t="s">
        <v>6002</v>
      </c>
      <c r="Z666" s="77"/>
      <c r="AA666" s="77" t="s">
        <v>6522</v>
      </c>
      <c r="AB666" s="77" t="s">
        <v>7696</v>
      </c>
      <c r="AC666" s="82" t="s">
        <v>7706</v>
      </c>
      <c r="AD666" s="77" t="s">
        <v>7746</v>
      </c>
      <c r="AE666" s="80" t="str">
        <f>HYPERLINK("https://twitter.com/canalcomlucro/status/1689378832640294912")</f>
        <v>https://twitter.com/canalcomlucro/status/1689378832640294912</v>
      </c>
      <c r="AF666" s="79">
        <v>45147.868923611109</v>
      </c>
      <c r="AG666" s="85">
        <v>45147</v>
      </c>
      <c r="AH666" s="82" t="s">
        <v>8350</v>
      </c>
      <c r="AI666" s="77" t="b">
        <v>0</v>
      </c>
      <c r="AJ666" s="77"/>
      <c r="AK666" s="77"/>
      <c r="AL666" s="77"/>
      <c r="AM666" s="77"/>
      <c r="AN666" s="77"/>
      <c r="AO666" s="77"/>
      <c r="AP666" s="77"/>
      <c r="AQ666" s="77" t="s">
        <v>11029</v>
      </c>
      <c r="AR666" s="77"/>
      <c r="AS666" s="77"/>
      <c r="AT666" s="77"/>
      <c r="AU666" s="77"/>
      <c r="AV666" s="80" t="str">
        <f>HYPERLINK("https://pbs.twimg.com/media/F3HhF0CWMAANVZ7.jpg")</f>
        <v>https://pbs.twimg.com/media/F3HhF0CWMAANVZ7.jpg</v>
      </c>
      <c r="AW666" s="82" t="s">
        <v>12858</v>
      </c>
      <c r="AX666" s="82" t="s">
        <v>12858</v>
      </c>
      <c r="AY666" s="77"/>
      <c r="AZ666" s="82" t="s">
        <v>15804</v>
      </c>
      <c r="BA666" s="82" t="s">
        <v>15804</v>
      </c>
      <c r="BB666" s="82" t="s">
        <v>15804</v>
      </c>
      <c r="BC666" s="82" t="s">
        <v>12858</v>
      </c>
      <c r="BD666" s="82" t="s">
        <v>16242</v>
      </c>
      <c r="BE666" s="77"/>
      <c r="BF666" s="77"/>
      <c r="BG666" s="77"/>
      <c r="BH666" s="77"/>
      <c r="BI666" s="77"/>
    </row>
    <row r="667" spans="1:61" x14ac:dyDescent="0.25">
      <c r="A667" s="62" t="s">
        <v>430</v>
      </c>
      <c r="B667" s="62" t="s">
        <v>430</v>
      </c>
      <c r="C667" s="63"/>
      <c r="D667" s="64"/>
      <c r="E667" s="65"/>
      <c r="F667" s="66"/>
      <c r="G667" s="63"/>
      <c r="H667" s="67"/>
      <c r="I667" s="68"/>
      <c r="J667" s="68"/>
      <c r="K667" s="32"/>
      <c r="L667" s="75">
        <v>667</v>
      </c>
      <c r="M667" s="75"/>
      <c r="N667" s="70"/>
      <c r="O667" s="77" t="s">
        <v>179</v>
      </c>
      <c r="P667" s="79">
        <v>45147.484837962962</v>
      </c>
      <c r="Q667" s="77" t="s">
        <v>1772</v>
      </c>
      <c r="R667" s="77">
        <v>1</v>
      </c>
      <c r="S667" s="77">
        <v>2</v>
      </c>
      <c r="T667" s="77">
        <v>0</v>
      </c>
      <c r="U667" s="77">
        <v>0</v>
      </c>
      <c r="V667" s="77">
        <v>62</v>
      </c>
      <c r="W667" s="82" t="s">
        <v>4519</v>
      </c>
      <c r="X667" s="80" t="str">
        <f>HYPERLINK("https://www.comlucro.com.br/analise-tecnica/barras-ou-velas-candlestick/janela-de-baixa-falling-window/")</f>
        <v>https://www.comlucro.com.br/analise-tecnica/barras-ou-velas-candlestick/janela-de-baixa-falling-window/</v>
      </c>
      <c r="Y667" s="77" t="s">
        <v>6002</v>
      </c>
      <c r="Z667" s="77"/>
      <c r="AA667" s="77" t="s">
        <v>6523</v>
      </c>
      <c r="AB667" s="77" t="s">
        <v>7696</v>
      </c>
      <c r="AC667" s="82" t="s">
        <v>7706</v>
      </c>
      <c r="AD667" s="77" t="s">
        <v>7746</v>
      </c>
      <c r="AE667" s="80" t="str">
        <f>HYPERLINK("https://twitter.com/canalcomlucro/status/1689239643517009921")</f>
        <v>https://twitter.com/canalcomlucro/status/1689239643517009921</v>
      </c>
      <c r="AF667" s="79">
        <v>45147.484837962962</v>
      </c>
      <c r="AG667" s="85">
        <v>45147</v>
      </c>
      <c r="AH667" s="82" t="s">
        <v>8351</v>
      </c>
      <c r="AI667" s="77" t="b">
        <v>0</v>
      </c>
      <c r="AJ667" s="77"/>
      <c r="AK667" s="77"/>
      <c r="AL667" s="77"/>
      <c r="AM667" s="77"/>
      <c r="AN667" s="77"/>
      <c r="AO667" s="77"/>
      <c r="AP667" s="77"/>
      <c r="AQ667" s="77" t="s">
        <v>11030</v>
      </c>
      <c r="AR667" s="77"/>
      <c r="AS667" s="77"/>
      <c r="AT667" s="77"/>
      <c r="AU667" s="77"/>
      <c r="AV667" s="80" t="str">
        <f>HYPERLINK("https://pbs.twimg.com/media/F3FigBKWoAE3jct.jpg")</f>
        <v>https://pbs.twimg.com/media/F3FigBKWoAE3jct.jpg</v>
      </c>
      <c r="AW667" s="82" t="s">
        <v>12859</v>
      </c>
      <c r="AX667" s="82" t="s">
        <v>12859</v>
      </c>
      <c r="AY667" s="77"/>
      <c r="AZ667" s="82" t="s">
        <v>15804</v>
      </c>
      <c r="BA667" s="82" t="s">
        <v>15804</v>
      </c>
      <c r="BB667" s="82" t="s">
        <v>15804</v>
      </c>
      <c r="BC667" s="82" t="s">
        <v>12859</v>
      </c>
      <c r="BD667" s="82" t="s">
        <v>16242</v>
      </c>
      <c r="BE667" s="77"/>
      <c r="BF667" s="77"/>
      <c r="BG667" s="77"/>
      <c r="BH667" s="77"/>
      <c r="BI667" s="77"/>
    </row>
    <row r="668" spans="1:61" x14ac:dyDescent="0.25">
      <c r="A668" s="62" t="s">
        <v>430</v>
      </c>
      <c r="B668" s="62" t="s">
        <v>430</v>
      </c>
      <c r="C668" s="63"/>
      <c r="D668" s="64"/>
      <c r="E668" s="65"/>
      <c r="F668" s="66"/>
      <c r="G668" s="63"/>
      <c r="H668" s="67"/>
      <c r="I668" s="68"/>
      <c r="J668" s="68"/>
      <c r="K668" s="32"/>
      <c r="L668" s="75">
        <v>668</v>
      </c>
      <c r="M668" s="75"/>
      <c r="N668" s="70"/>
      <c r="O668" s="77" t="s">
        <v>179</v>
      </c>
      <c r="P668" s="79">
        <v>45146.662870370368</v>
      </c>
      <c r="Q668" s="77" t="s">
        <v>1773</v>
      </c>
      <c r="R668" s="77">
        <v>1</v>
      </c>
      <c r="S668" s="77">
        <v>2</v>
      </c>
      <c r="T668" s="77">
        <v>1</v>
      </c>
      <c r="U668" s="77">
        <v>0</v>
      </c>
      <c r="V668" s="77">
        <v>78</v>
      </c>
      <c r="W668" s="82" t="s">
        <v>4520</v>
      </c>
      <c r="X668" s="80" t="str">
        <f>HYPERLINK("https://www.comlucro.com.br/analise-tecnica/barras-ou-velas-candlestick/gap-de-baixa-de-tasuki-downside-tasuki-gap/")</f>
        <v>https://www.comlucro.com.br/analise-tecnica/barras-ou-velas-candlestick/gap-de-baixa-de-tasuki-downside-tasuki-gap/</v>
      </c>
      <c r="Y668" s="77" t="s">
        <v>6002</v>
      </c>
      <c r="Z668" s="77"/>
      <c r="AA668" s="77" t="s">
        <v>6524</v>
      </c>
      <c r="AB668" s="77" t="s">
        <v>7696</v>
      </c>
      <c r="AC668" s="82" t="s">
        <v>7706</v>
      </c>
      <c r="AD668" s="77" t="s">
        <v>7746</v>
      </c>
      <c r="AE668" s="80" t="str">
        <f>HYPERLINK("https://twitter.com/canalcomlucro/status/1688941775149309952")</f>
        <v>https://twitter.com/canalcomlucro/status/1688941775149309952</v>
      </c>
      <c r="AF668" s="79">
        <v>45146.662870370368</v>
      </c>
      <c r="AG668" s="85">
        <v>45146</v>
      </c>
      <c r="AH668" s="82" t="s">
        <v>8352</v>
      </c>
      <c r="AI668" s="77" t="b">
        <v>0</v>
      </c>
      <c r="AJ668" s="77"/>
      <c r="AK668" s="77"/>
      <c r="AL668" s="77"/>
      <c r="AM668" s="77"/>
      <c r="AN668" s="77"/>
      <c r="AO668" s="77"/>
      <c r="AP668" s="77"/>
      <c r="AQ668" s="77" t="s">
        <v>11031</v>
      </c>
      <c r="AR668" s="77"/>
      <c r="AS668" s="77"/>
      <c r="AT668" s="77"/>
      <c r="AU668" s="77"/>
      <c r="AV668" s="80" t="str">
        <f>HYPERLINK("https://pbs.twimg.com/media/F3BTlZZXsAA0B1w.jpg")</f>
        <v>https://pbs.twimg.com/media/F3BTlZZXsAA0B1w.jpg</v>
      </c>
      <c r="AW668" s="82" t="s">
        <v>12860</v>
      </c>
      <c r="AX668" s="82" t="s">
        <v>12860</v>
      </c>
      <c r="AY668" s="77"/>
      <c r="AZ668" s="82" t="s">
        <v>15804</v>
      </c>
      <c r="BA668" s="82" t="s">
        <v>15804</v>
      </c>
      <c r="BB668" s="82" t="s">
        <v>15804</v>
      </c>
      <c r="BC668" s="82" t="s">
        <v>12860</v>
      </c>
      <c r="BD668" s="82" t="s">
        <v>16242</v>
      </c>
      <c r="BE668" s="77"/>
      <c r="BF668" s="77"/>
      <c r="BG668" s="77"/>
      <c r="BH668" s="77"/>
      <c r="BI668" s="77"/>
    </row>
    <row r="669" spans="1:61" x14ac:dyDescent="0.25">
      <c r="A669" s="62" t="s">
        <v>431</v>
      </c>
      <c r="B669" s="62" t="s">
        <v>431</v>
      </c>
      <c r="C669" s="63"/>
      <c r="D669" s="64"/>
      <c r="E669" s="65"/>
      <c r="F669" s="66"/>
      <c r="G669" s="63"/>
      <c r="H669" s="67"/>
      <c r="I669" s="68"/>
      <c r="J669" s="68"/>
      <c r="K669" s="32"/>
      <c r="L669" s="75">
        <v>669</v>
      </c>
      <c r="M669" s="75"/>
      <c r="N669" s="70"/>
      <c r="O669" s="77" t="s">
        <v>179</v>
      </c>
      <c r="P669" s="79">
        <v>45031.543240740742</v>
      </c>
      <c r="Q669" s="77" t="s">
        <v>1774</v>
      </c>
      <c r="R669" s="77">
        <v>19</v>
      </c>
      <c r="S669" s="77">
        <v>39</v>
      </c>
      <c r="T669" s="77">
        <v>3</v>
      </c>
      <c r="U669" s="77">
        <v>1</v>
      </c>
      <c r="V669" s="77">
        <v>672</v>
      </c>
      <c r="W669" s="82" t="s">
        <v>4521</v>
      </c>
      <c r="X669" s="77"/>
      <c r="Y669" s="77"/>
      <c r="Z669" s="77"/>
      <c r="AA669" s="77" t="s">
        <v>6525</v>
      </c>
      <c r="AB669" s="77" t="s">
        <v>7697</v>
      </c>
      <c r="AC669" s="82" t="s">
        <v>7707</v>
      </c>
      <c r="AD669" s="77" t="s">
        <v>7745</v>
      </c>
      <c r="AE669" s="80" t="str">
        <f>HYPERLINK("https://twitter.com/arrcanjjo/status/1647223816202907648")</f>
        <v>https://twitter.com/arrcanjjo/status/1647223816202907648</v>
      </c>
      <c r="AF669" s="79">
        <v>45031.543240740742</v>
      </c>
      <c r="AG669" s="85">
        <v>45031</v>
      </c>
      <c r="AH669" s="82" t="s">
        <v>8353</v>
      </c>
      <c r="AI669" s="77" t="b">
        <v>0</v>
      </c>
      <c r="AJ669" s="77"/>
      <c r="AK669" s="77"/>
      <c r="AL669" s="77"/>
      <c r="AM669" s="77"/>
      <c r="AN669" s="77"/>
      <c r="AO669" s="77"/>
      <c r="AP669" s="77"/>
      <c r="AQ669" s="77" t="s">
        <v>11032</v>
      </c>
      <c r="AR669" s="77">
        <v>48203</v>
      </c>
      <c r="AS669" s="77"/>
      <c r="AT669" s="77"/>
      <c r="AU669" s="77">
        <v>241</v>
      </c>
      <c r="AV669" s="80" t="str">
        <f>HYPERLINK("https://pbs.twimg.com/ext_tw_video_thumb/1647223726541291526/pu/img/pYN23xPZW2L3Whw7.jpg")</f>
        <v>https://pbs.twimg.com/ext_tw_video_thumb/1647223726541291526/pu/img/pYN23xPZW2L3Whw7.jpg</v>
      </c>
      <c r="AW669" s="82" t="s">
        <v>12861</v>
      </c>
      <c r="AX669" s="82" t="s">
        <v>12861</v>
      </c>
      <c r="AY669" s="77"/>
      <c r="AZ669" s="82" t="s">
        <v>15804</v>
      </c>
      <c r="BA669" s="82" t="s">
        <v>15804</v>
      </c>
      <c r="BB669" s="82" t="s">
        <v>15804</v>
      </c>
      <c r="BC669" s="82" t="s">
        <v>12861</v>
      </c>
      <c r="BD669" s="77">
        <v>86962550</v>
      </c>
      <c r="BE669" s="77"/>
      <c r="BF669" s="77"/>
      <c r="BG669" s="77"/>
      <c r="BH669" s="77"/>
      <c r="BI669" s="77"/>
    </row>
    <row r="670" spans="1:61" x14ac:dyDescent="0.25">
      <c r="A670" s="62" t="s">
        <v>432</v>
      </c>
      <c r="B670" s="62" t="s">
        <v>432</v>
      </c>
      <c r="C670" s="63"/>
      <c r="D670" s="64"/>
      <c r="E670" s="65"/>
      <c r="F670" s="66"/>
      <c r="G670" s="63"/>
      <c r="H670" s="67"/>
      <c r="I670" s="68"/>
      <c r="J670" s="68"/>
      <c r="K670" s="32"/>
      <c r="L670" s="75">
        <v>670</v>
      </c>
      <c r="M670" s="75"/>
      <c r="N670" s="70"/>
      <c r="O670" s="77" t="s">
        <v>179</v>
      </c>
      <c r="P670" s="79">
        <v>45109.896747685183</v>
      </c>
      <c r="Q670" s="77" t="s">
        <v>1775</v>
      </c>
      <c r="R670" s="77">
        <v>0</v>
      </c>
      <c r="S670" s="77">
        <v>0</v>
      </c>
      <c r="T670" s="77">
        <v>1</v>
      </c>
      <c r="U670" s="77">
        <v>0</v>
      </c>
      <c r="V670" s="77">
        <v>2531</v>
      </c>
      <c r="W670" s="82" t="s">
        <v>4522</v>
      </c>
      <c r="X670" s="77"/>
      <c r="Y670" s="77"/>
      <c r="Z670" s="77"/>
      <c r="AA670" s="77"/>
      <c r="AB670" s="77"/>
      <c r="AC670" s="82" t="s">
        <v>7707</v>
      </c>
      <c r="AD670" s="77" t="s">
        <v>7745</v>
      </c>
      <c r="AE670" s="80" t="str">
        <f>HYPERLINK("https://twitter.com/nilsonmarques22/status/1675618175352811520")</f>
        <v>https://twitter.com/nilsonmarques22/status/1675618175352811520</v>
      </c>
      <c r="AF670" s="79">
        <v>45109.896747685183</v>
      </c>
      <c r="AG670" s="85">
        <v>45109</v>
      </c>
      <c r="AH670" s="82" t="s">
        <v>8354</v>
      </c>
      <c r="AI670" s="77"/>
      <c r="AJ670" s="77"/>
      <c r="AK670" s="77"/>
      <c r="AL670" s="77"/>
      <c r="AM670" s="77"/>
      <c r="AN670" s="77"/>
      <c r="AO670" s="77"/>
      <c r="AP670" s="77"/>
      <c r="AQ670" s="77"/>
      <c r="AR670" s="77"/>
      <c r="AS670" s="77"/>
      <c r="AT670" s="77"/>
      <c r="AU670" s="77"/>
      <c r="AV670" s="80" t="str">
        <f>HYPERLINK("https://pbs.twimg.com/profile_images/1698515864734097408/rNNOfD3r_normal.jpg")</f>
        <v>https://pbs.twimg.com/profile_images/1698515864734097408/rNNOfD3r_normal.jpg</v>
      </c>
      <c r="AW670" s="82" t="s">
        <v>12862</v>
      </c>
      <c r="AX670" s="82" t="s">
        <v>12862</v>
      </c>
      <c r="AY670" s="77"/>
      <c r="AZ670" s="82" t="s">
        <v>15804</v>
      </c>
      <c r="BA670" s="82" t="s">
        <v>15804</v>
      </c>
      <c r="BB670" s="82" t="s">
        <v>15804</v>
      </c>
      <c r="BC670" s="82" t="s">
        <v>12862</v>
      </c>
      <c r="BD670" s="77">
        <v>2959370493</v>
      </c>
      <c r="BE670" s="77"/>
      <c r="BF670" s="77"/>
      <c r="BG670" s="77"/>
      <c r="BH670" s="77"/>
      <c r="BI670" s="77"/>
    </row>
    <row r="671" spans="1:61" x14ac:dyDescent="0.25">
      <c r="A671" s="62" t="s">
        <v>433</v>
      </c>
      <c r="B671" s="62" t="s">
        <v>433</v>
      </c>
      <c r="C671" s="63"/>
      <c r="D671" s="64"/>
      <c r="E671" s="65"/>
      <c r="F671" s="66"/>
      <c r="G671" s="63"/>
      <c r="H671" s="67"/>
      <c r="I671" s="68"/>
      <c r="J671" s="68"/>
      <c r="K671" s="32"/>
      <c r="L671" s="75">
        <v>671</v>
      </c>
      <c r="M671" s="75"/>
      <c r="N671" s="70"/>
      <c r="O671" s="77" t="s">
        <v>179</v>
      </c>
      <c r="P671" s="79">
        <v>45101.653298611112</v>
      </c>
      <c r="Q671" s="77" t="s">
        <v>1776</v>
      </c>
      <c r="R671" s="77">
        <v>0</v>
      </c>
      <c r="S671" s="77">
        <v>0</v>
      </c>
      <c r="T671" s="77">
        <v>0</v>
      </c>
      <c r="U671" s="77">
        <v>0</v>
      </c>
      <c r="V671" s="77">
        <v>9</v>
      </c>
      <c r="W671" s="82" t="s">
        <v>4523</v>
      </c>
      <c r="X671" s="80" t="str">
        <f>HYPERLINK("https://pay.kiwify.com.br/Uv0Rxov")</f>
        <v>https://pay.kiwify.com.br/Uv0Rxov</v>
      </c>
      <c r="Y671" s="77" t="s">
        <v>6002</v>
      </c>
      <c r="Z671" s="77"/>
      <c r="AA671" s="77"/>
      <c r="AB671" s="77"/>
      <c r="AC671" s="82" t="s">
        <v>7707</v>
      </c>
      <c r="AD671" s="77" t="s">
        <v>7745</v>
      </c>
      <c r="AE671" s="80" t="str">
        <f>HYPERLINK("https://twitter.com/psuvazamentos/status/1672630849576087553")</f>
        <v>https://twitter.com/psuvazamentos/status/1672630849576087553</v>
      </c>
      <c r="AF671" s="79">
        <v>45101.653298611112</v>
      </c>
      <c r="AG671" s="85">
        <v>45101</v>
      </c>
      <c r="AH671" s="82" t="s">
        <v>8355</v>
      </c>
      <c r="AI671" s="77" t="b">
        <v>0</v>
      </c>
      <c r="AJ671" s="77"/>
      <c r="AK671" s="77"/>
      <c r="AL671" s="77"/>
      <c r="AM671" s="77"/>
      <c r="AN671" s="77"/>
      <c r="AO671" s="77"/>
      <c r="AP671" s="77"/>
      <c r="AQ671" s="77"/>
      <c r="AR671" s="77"/>
      <c r="AS671" s="77"/>
      <c r="AT671" s="77"/>
      <c r="AU671" s="77"/>
      <c r="AV671" s="80" t="str">
        <f>HYPERLINK("https://pbs.twimg.com/profile_images/1672628649730637824/ArGHZiVX_normal.jpg")</f>
        <v>https://pbs.twimg.com/profile_images/1672628649730637824/ArGHZiVX_normal.jpg</v>
      </c>
      <c r="AW671" s="82" t="s">
        <v>12863</v>
      </c>
      <c r="AX671" s="82" t="s">
        <v>12863</v>
      </c>
      <c r="AY671" s="77"/>
      <c r="AZ671" s="82" t="s">
        <v>15804</v>
      </c>
      <c r="BA671" s="82" t="s">
        <v>15804</v>
      </c>
      <c r="BB671" s="82" t="s">
        <v>15804</v>
      </c>
      <c r="BC671" s="82" t="s">
        <v>12863</v>
      </c>
      <c r="BD671" s="82" t="s">
        <v>16243</v>
      </c>
      <c r="BE671" s="77"/>
      <c r="BF671" s="77"/>
      <c r="BG671" s="77"/>
      <c r="BH671" s="77"/>
      <c r="BI671" s="77"/>
    </row>
    <row r="672" spans="1:61" x14ac:dyDescent="0.25">
      <c r="A672" s="62" t="s">
        <v>434</v>
      </c>
      <c r="B672" s="62" t="s">
        <v>434</v>
      </c>
      <c r="C672" s="63"/>
      <c r="D672" s="64"/>
      <c r="E672" s="65"/>
      <c r="F672" s="66"/>
      <c r="G672" s="63"/>
      <c r="H672" s="67"/>
      <c r="I672" s="68"/>
      <c r="J672" s="68"/>
      <c r="K672" s="32"/>
      <c r="L672" s="75">
        <v>672</v>
      </c>
      <c r="M672" s="75"/>
      <c r="N672" s="70"/>
      <c r="O672" s="77" t="s">
        <v>179</v>
      </c>
      <c r="P672" s="79">
        <v>45057.4372337963</v>
      </c>
      <c r="Q672" s="77" t="s">
        <v>1777</v>
      </c>
      <c r="R672" s="77">
        <v>0</v>
      </c>
      <c r="S672" s="77">
        <v>0</v>
      </c>
      <c r="T672" s="77">
        <v>0</v>
      </c>
      <c r="U672" s="77">
        <v>0</v>
      </c>
      <c r="V672" s="77">
        <v>34</v>
      </c>
      <c r="W672" s="82" t="s">
        <v>4524</v>
      </c>
      <c r="X672" s="80" t="str">
        <f>HYPERLINK("https://mobills.page.link/ZfF6")</f>
        <v>https://mobills.page.link/ZfF6</v>
      </c>
      <c r="Y672" s="77" t="s">
        <v>6038</v>
      </c>
      <c r="Z672" s="77"/>
      <c r="AA672" s="77" t="s">
        <v>6526</v>
      </c>
      <c r="AB672" s="77" t="s">
        <v>7696</v>
      </c>
      <c r="AC672" s="82" t="s">
        <v>7705</v>
      </c>
      <c r="AD672" s="77" t="s">
        <v>7745</v>
      </c>
      <c r="AE672" s="80" t="str">
        <f>HYPERLINK("https://twitter.com/gutgot/status/1656607485539622912")</f>
        <v>https://twitter.com/gutgot/status/1656607485539622912</v>
      </c>
      <c r="AF672" s="79">
        <v>45057.4372337963</v>
      </c>
      <c r="AG672" s="85">
        <v>45057</v>
      </c>
      <c r="AH672" s="82" t="s">
        <v>8356</v>
      </c>
      <c r="AI672" s="77" t="b">
        <v>0</v>
      </c>
      <c r="AJ672" s="77"/>
      <c r="AK672" s="77"/>
      <c r="AL672" s="77"/>
      <c r="AM672" s="77"/>
      <c r="AN672" s="77"/>
      <c r="AO672" s="77"/>
      <c r="AP672" s="77"/>
      <c r="AQ672" s="77" t="s">
        <v>11033</v>
      </c>
      <c r="AR672" s="77"/>
      <c r="AS672" s="77"/>
      <c r="AT672" s="77"/>
      <c r="AU672" s="77"/>
      <c r="AV672" s="80" t="str">
        <f>HYPERLINK("https://pbs.twimg.com/media/Fv1zt8FXgAMkrlu.jpg")</f>
        <v>https://pbs.twimg.com/media/Fv1zt8FXgAMkrlu.jpg</v>
      </c>
      <c r="AW672" s="82" t="s">
        <v>12864</v>
      </c>
      <c r="AX672" s="82" t="s">
        <v>12864</v>
      </c>
      <c r="AY672" s="77"/>
      <c r="AZ672" s="82" t="s">
        <v>15804</v>
      </c>
      <c r="BA672" s="82" t="s">
        <v>15804</v>
      </c>
      <c r="BB672" s="82" t="s">
        <v>15804</v>
      </c>
      <c r="BC672" s="82" t="s">
        <v>12864</v>
      </c>
      <c r="BD672" s="77">
        <v>95419833</v>
      </c>
      <c r="BE672" s="77"/>
      <c r="BF672" s="77"/>
      <c r="BG672" s="77"/>
      <c r="BH672" s="77"/>
      <c r="BI672" s="77"/>
    </row>
    <row r="673" spans="1:61" x14ac:dyDescent="0.25">
      <c r="A673" s="62" t="s">
        <v>435</v>
      </c>
      <c r="B673" s="62" t="s">
        <v>435</v>
      </c>
      <c r="C673" s="63"/>
      <c r="D673" s="64"/>
      <c r="E673" s="65"/>
      <c r="F673" s="66"/>
      <c r="G673" s="63"/>
      <c r="H673" s="67"/>
      <c r="I673" s="68"/>
      <c r="J673" s="68"/>
      <c r="K673" s="32"/>
      <c r="L673" s="75">
        <v>673</v>
      </c>
      <c r="M673" s="75"/>
      <c r="N673" s="70"/>
      <c r="O673" s="77" t="s">
        <v>179</v>
      </c>
      <c r="P673" s="79">
        <v>44990.087071759262</v>
      </c>
      <c r="Q673" s="77" t="s">
        <v>1778</v>
      </c>
      <c r="R673" s="77">
        <v>0</v>
      </c>
      <c r="S673" s="77">
        <v>0</v>
      </c>
      <c r="T673" s="77">
        <v>1</v>
      </c>
      <c r="U673" s="77">
        <v>0</v>
      </c>
      <c r="V673" s="77">
        <v>66</v>
      </c>
      <c r="W673" s="82" t="s">
        <v>4525</v>
      </c>
      <c r="X673" s="77"/>
      <c r="Y673" s="77"/>
      <c r="Z673" s="77"/>
      <c r="AA673" s="77" t="s">
        <v>6527</v>
      </c>
      <c r="AB673" s="77" t="s">
        <v>7696</v>
      </c>
      <c r="AC673" s="82" t="s">
        <v>7705</v>
      </c>
      <c r="AD673" s="77" t="s">
        <v>7745</v>
      </c>
      <c r="AE673" s="80" t="str">
        <f>HYPERLINK("https://twitter.com/eduardomrfilho/status/1632200604251504641")</f>
        <v>https://twitter.com/eduardomrfilho/status/1632200604251504641</v>
      </c>
      <c r="AF673" s="79">
        <v>44990.087071759262</v>
      </c>
      <c r="AG673" s="85">
        <v>44990</v>
      </c>
      <c r="AH673" s="82" t="s">
        <v>8357</v>
      </c>
      <c r="AI673" s="77" t="b">
        <v>0</v>
      </c>
      <c r="AJ673" s="77" t="s">
        <v>10530</v>
      </c>
      <c r="AK673" s="77" t="s">
        <v>10552</v>
      </c>
      <c r="AL673" s="77" t="s">
        <v>10555</v>
      </c>
      <c r="AM673" s="77" t="s">
        <v>10567</v>
      </c>
      <c r="AN673" s="77" t="s">
        <v>10597</v>
      </c>
      <c r="AO673" s="77" t="s">
        <v>10628</v>
      </c>
      <c r="AP673" s="77" t="s">
        <v>10650</v>
      </c>
      <c r="AQ673" s="77" t="s">
        <v>11034</v>
      </c>
      <c r="AR673" s="77"/>
      <c r="AS673" s="77"/>
      <c r="AT673" s="77"/>
      <c r="AU673" s="77"/>
      <c r="AV673" s="80" t="str">
        <f>HYPERLINK("https://pbs.twimg.com/media/Fqa9zCcWIAAut0h.jpg")</f>
        <v>https://pbs.twimg.com/media/Fqa9zCcWIAAut0h.jpg</v>
      </c>
      <c r="AW673" s="82" t="s">
        <v>12865</v>
      </c>
      <c r="AX673" s="82" t="s">
        <v>12865</v>
      </c>
      <c r="AY673" s="77"/>
      <c r="AZ673" s="82" t="s">
        <v>15804</v>
      </c>
      <c r="BA673" s="82" t="s">
        <v>15804</v>
      </c>
      <c r="BB673" s="82" t="s">
        <v>15804</v>
      </c>
      <c r="BC673" s="82" t="s">
        <v>12865</v>
      </c>
      <c r="BD673" s="77">
        <v>38707582</v>
      </c>
      <c r="BE673" s="77"/>
      <c r="BF673" s="77"/>
      <c r="BG673" s="77"/>
      <c r="BH673" s="77"/>
      <c r="BI673" s="77"/>
    </row>
    <row r="674" spans="1:61" x14ac:dyDescent="0.25">
      <c r="A674" s="62" t="s">
        <v>435</v>
      </c>
      <c r="B674" s="62" t="s">
        <v>435</v>
      </c>
      <c r="C674" s="63"/>
      <c r="D674" s="64"/>
      <c r="E674" s="65"/>
      <c r="F674" s="66"/>
      <c r="G674" s="63"/>
      <c r="H674" s="67"/>
      <c r="I674" s="68"/>
      <c r="J674" s="68"/>
      <c r="K674" s="32"/>
      <c r="L674" s="75">
        <v>674</v>
      </c>
      <c r="M674" s="75"/>
      <c r="N674" s="70"/>
      <c r="O674" s="77" t="s">
        <v>179</v>
      </c>
      <c r="P674" s="79">
        <v>45015.476782407408</v>
      </c>
      <c r="Q674" s="77" t="s">
        <v>1779</v>
      </c>
      <c r="R674" s="77">
        <v>0</v>
      </c>
      <c r="S674" s="77">
        <v>0</v>
      </c>
      <c r="T674" s="77">
        <v>0</v>
      </c>
      <c r="U674" s="77">
        <v>0</v>
      </c>
      <c r="V674" s="77">
        <v>19</v>
      </c>
      <c r="W674" s="82" t="s">
        <v>4526</v>
      </c>
      <c r="X674" s="77"/>
      <c r="Y674" s="77"/>
      <c r="Z674" s="77"/>
      <c r="AA674" s="77" t="s">
        <v>6528</v>
      </c>
      <c r="AB674" s="77" t="s">
        <v>7696</v>
      </c>
      <c r="AC674" s="82" t="s">
        <v>7705</v>
      </c>
      <c r="AD674" s="77" t="s">
        <v>7745</v>
      </c>
      <c r="AE674" s="80" t="str">
        <f>HYPERLINK("https://twitter.com/eduardomrfilho/status/1641401526903087105")</f>
        <v>https://twitter.com/eduardomrfilho/status/1641401526903087105</v>
      </c>
      <c r="AF674" s="79">
        <v>45015.476782407408</v>
      </c>
      <c r="AG674" s="85">
        <v>45015</v>
      </c>
      <c r="AH674" s="82" t="s">
        <v>8358</v>
      </c>
      <c r="AI674" s="77" t="b">
        <v>0</v>
      </c>
      <c r="AJ674" s="77" t="s">
        <v>10524</v>
      </c>
      <c r="AK674" s="77" t="s">
        <v>10552</v>
      </c>
      <c r="AL674" s="77" t="s">
        <v>10555</v>
      </c>
      <c r="AM674" s="77" t="s">
        <v>10561</v>
      </c>
      <c r="AN674" s="77" t="s">
        <v>10591</v>
      </c>
      <c r="AO674" s="77" t="s">
        <v>10622</v>
      </c>
      <c r="AP674" s="77" t="s">
        <v>10649</v>
      </c>
      <c r="AQ674" s="77" t="s">
        <v>11035</v>
      </c>
      <c r="AR674" s="77"/>
      <c r="AS674" s="77"/>
      <c r="AT674" s="77"/>
      <c r="AU674" s="77"/>
      <c r="AV674" s="80" t="str">
        <f>HYPERLINK("https://pbs.twimg.com/media/Fsdt_LMWAAAAOAq.jpg")</f>
        <v>https://pbs.twimg.com/media/Fsdt_LMWAAAAOAq.jpg</v>
      </c>
      <c r="AW674" s="82" t="s">
        <v>12866</v>
      </c>
      <c r="AX674" s="82" t="s">
        <v>12866</v>
      </c>
      <c r="AY674" s="77"/>
      <c r="AZ674" s="82" t="s">
        <v>15804</v>
      </c>
      <c r="BA674" s="82" t="s">
        <v>15804</v>
      </c>
      <c r="BB674" s="82" t="s">
        <v>15804</v>
      </c>
      <c r="BC674" s="82" t="s">
        <v>12866</v>
      </c>
      <c r="BD674" s="77">
        <v>38707582</v>
      </c>
      <c r="BE674" s="77"/>
      <c r="BF674" s="77"/>
      <c r="BG674" s="77"/>
      <c r="BH674" s="77"/>
      <c r="BI674" s="77"/>
    </row>
    <row r="675" spans="1:61" x14ac:dyDescent="0.25">
      <c r="A675" s="62" t="s">
        <v>435</v>
      </c>
      <c r="B675" s="62" t="s">
        <v>435</v>
      </c>
      <c r="C675" s="63"/>
      <c r="D675" s="64"/>
      <c r="E675" s="65"/>
      <c r="F675" s="66"/>
      <c r="G675" s="63"/>
      <c r="H675" s="67"/>
      <c r="I675" s="68"/>
      <c r="J675" s="68"/>
      <c r="K675" s="32"/>
      <c r="L675" s="75">
        <v>675</v>
      </c>
      <c r="M675" s="75"/>
      <c r="N675" s="70"/>
      <c r="O675" s="77" t="s">
        <v>179</v>
      </c>
      <c r="P675" s="79">
        <v>44973.678229166668</v>
      </c>
      <c r="Q675" s="77" t="s">
        <v>1780</v>
      </c>
      <c r="R675" s="77">
        <v>0</v>
      </c>
      <c r="S675" s="77">
        <v>0</v>
      </c>
      <c r="T675" s="77">
        <v>0</v>
      </c>
      <c r="U675" s="77">
        <v>0</v>
      </c>
      <c r="V675" s="77">
        <v>47</v>
      </c>
      <c r="W675" s="82" t="s">
        <v>4527</v>
      </c>
      <c r="X675" s="77"/>
      <c r="Y675" s="77"/>
      <c r="Z675" s="77"/>
      <c r="AA675" s="77" t="s">
        <v>6529</v>
      </c>
      <c r="AB675" s="77" t="s">
        <v>7700</v>
      </c>
      <c r="AC675" s="82" t="s">
        <v>7705</v>
      </c>
      <c r="AD675" s="77" t="s">
        <v>7745</v>
      </c>
      <c r="AE675" s="80" t="str">
        <f>HYPERLINK("https://twitter.com/eduardomrfilho/status/1626254239243677696")</f>
        <v>https://twitter.com/eduardomrfilho/status/1626254239243677696</v>
      </c>
      <c r="AF675" s="79">
        <v>44973.678229166668</v>
      </c>
      <c r="AG675" s="85">
        <v>44973</v>
      </c>
      <c r="AH675" s="82" t="s">
        <v>8359</v>
      </c>
      <c r="AI675" s="77" t="b">
        <v>0</v>
      </c>
      <c r="AJ675" s="77"/>
      <c r="AK675" s="77"/>
      <c r="AL675" s="77"/>
      <c r="AM675" s="77"/>
      <c r="AN675" s="77"/>
      <c r="AO675" s="77"/>
      <c r="AP675" s="77"/>
      <c r="AQ675" s="77" t="s">
        <v>11036</v>
      </c>
      <c r="AR675" s="77"/>
      <c r="AS675" s="77"/>
      <c r="AT675" s="77"/>
      <c r="AU675" s="77"/>
      <c r="AV675" s="80" t="str">
        <f>HYPERLINK("https://pbs.twimg.com/media/FpGdmnWXEAcOYAT.jpg")</f>
        <v>https://pbs.twimg.com/media/FpGdmnWXEAcOYAT.jpg</v>
      </c>
      <c r="AW675" s="82" t="s">
        <v>12867</v>
      </c>
      <c r="AX675" s="82" t="s">
        <v>12867</v>
      </c>
      <c r="AY675" s="77"/>
      <c r="AZ675" s="82" t="s">
        <v>15804</v>
      </c>
      <c r="BA675" s="82" t="s">
        <v>15804</v>
      </c>
      <c r="BB675" s="82" t="s">
        <v>15804</v>
      </c>
      <c r="BC675" s="82" t="s">
        <v>12867</v>
      </c>
      <c r="BD675" s="77">
        <v>38707582</v>
      </c>
      <c r="BE675" s="77"/>
      <c r="BF675" s="77"/>
      <c r="BG675" s="77"/>
      <c r="BH675" s="77"/>
      <c r="BI675" s="77"/>
    </row>
    <row r="676" spans="1:61" x14ac:dyDescent="0.25">
      <c r="A676" s="62" t="s">
        <v>435</v>
      </c>
      <c r="B676" s="62" t="s">
        <v>435</v>
      </c>
      <c r="C676" s="63"/>
      <c r="D676" s="64"/>
      <c r="E676" s="65"/>
      <c r="F676" s="66"/>
      <c r="G676" s="63"/>
      <c r="H676" s="67"/>
      <c r="I676" s="68"/>
      <c r="J676" s="68"/>
      <c r="K676" s="32"/>
      <c r="L676" s="75">
        <v>676</v>
      </c>
      <c r="M676" s="75"/>
      <c r="N676" s="70"/>
      <c r="O676" s="77" t="s">
        <v>179</v>
      </c>
      <c r="P676" s="79">
        <v>44973.116064814814</v>
      </c>
      <c r="Q676" s="77" t="s">
        <v>1781</v>
      </c>
      <c r="R676" s="77">
        <v>1</v>
      </c>
      <c r="S676" s="77">
        <v>2</v>
      </c>
      <c r="T676" s="77">
        <v>0</v>
      </c>
      <c r="U676" s="77">
        <v>0</v>
      </c>
      <c r="V676" s="77">
        <v>200</v>
      </c>
      <c r="W676" s="82" t="s">
        <v>4528</v>
      </c>
      <c r="X676" s="77"/>
      <c r="Y676" s="77"/>
      <c r="Z676" s="77"/>
      <c r="AA676" s="77" t="s">
        <v>6530</v>
      </c>
      <c r="AB676" s="77" t="s">
        <v>7696</v>
      </c>
      <c r="AC676" s="82" t="s">
        <v>7705</v>
      </c>
      <c r="AD676" s="77" t="s">
        <v>7745</v>
      </c>
      <c r="AE676" s="80" t="str">
        <f>HYPERLINK("https://twitter.com/eduardomrfilho/status/1626050518882590720")</f>
        <v>https://twitter.com/eduardomrfilho/status/1626050518882590720</v>
      </c>
      <c r="AF676" s="79">
        <v>44973.116064814814</v>
      </c>
      <c r="AG676" s="85">
        <v>44973</v>
      </c>
      <c r="AH676" s="82" t="s">
        <v>8360</v>
      </c>
      <c r="AI676" s="77" t="b">
        <v>0</v>
      </c>
      <c r="AJ676" s="77"/>
      <c r="AK676" s="77"/>
      <c r="AL676" s="77"/>
      <c r="AM676" s="77"/>
      <c r="AN676" s="77"/>
      <c r="AO676" s="77"/>
      <c r="AP676" s="77"/>
      <c r="AQ676" s="77" t="s">
        <v>11037</v>
      </c>
      <c r="AR676" s="77"/>
      <c r="AS676" s="77"/>
      <c r="AT676" s="77"/>
      <c r="AU676" s="77"/>
      <c r="AV676" s="80" t="str">
        <f>HYPERLINK("https://pbs.twimg.com/media/FpDkU1AXsAA_KrL.jpg")</f>
        <v>https://pbs.twimg.com/media/FpDkU1AXsAA_KrL.jpg</v>
      </c>
      <c r="AW676" s="82" t="s">
        <v>12868</v>
      </c>
      <c r="AX676" s="82" t="s">
        <v>12868</v>
      </c>
      <c r="AY676" s="77"/>
      <c r="AZ676" s="82" t="s">
        <v>15804</v>
      </c>
      <c r="BA676" s="82" t="s">
        <v>15804</v>
      </c>
      <c r="BB676" s="82" t="s">
        <v>15804</v>
      </c>
      <c r="BC676" s="82" t="s">
        <v>12868</v>
      </c>
      <c r="BD676" s="77">
        <v>38707582</v>
      </c>
      <c r="BE676" s="77"/>
      <c r="BF676" s="77"/>
      <c r="BG676" s="77"/>
      <c r="BH676" s="77"/>
      <c r="BI676" s="77"/>
    </row>
    <row r="677" spans="1:61" x14ac:dyDescent="0.25">
      <c r="A677" s="62" t="s">
        <v>435</v>
      </c>
      <c r="B677" s="62" t="s">
        <v>435</v>
      </c>
      <c r="C677" s="63"/>
      <c r="D677" s="64"/>
      <c r="E677" s="65"/>
      <c r="F677" s="66"/>
      <c r="G677" s="63"/>
      <c r="H677" s="67"/>
      <c r="I677" s="68"/>
      <c r="J677" s="68"/>
      <c r="K677" s="32"/>
      <c r="L677" s="75">
        <v>677</v>
      </c>
      <c r="M677" s="75"/>
      <c r="N677" s="70"/>
      <c r="O677" s="77" t="s">
        <v>179</v>
      </c>
      <c r="P677" s="79">
        <v>45003.950023148151</v>
      </c>
      <c r="Q677" s="77" t="s">
        <v>1782</v>
      </c>
      <c r="R677" s="77">
        <v>0</v>
      </c>
      <c r="S677" s="77">
        <v>0</v>
      </c>
      <c r="T677" s="77">
        <v>0</v>
      </c>
      <c r="U677" s="77">
        <v>0</v>
      </c>
      <c r="V677" s="77">
        <v>27</v>
      </c>
      <c r="W677" s="82" t="s">
        <v>4529</v>
      </c>
      <c r="X677" s="80" t="str">
        <f>HYPERLINK("https://einvestidor.estadao.com.br/comportamento/debito-pix-melhor-opcao-para-quem-compra-vende/")</f>
        <v>https://einvestidor.estadao.com.br/comportamento/debito-pix-melhor-opcao-para-quem-compra-vende/</v>
      </c>
      <c r="Y677" s="77" t="s">
        <v>6002</v>
      </c>
      <c r="Z677" s="77"/>
      <c r="AA677" s="77" t="s">
        <v>6531</v>
      </c>
      <c r="AB677" s="77" t="s">
        <v>7700</v>
      </c>
      <c r="AC677" s="82" t="s">
        <v>7705</v>
      </c>
      <c r="AD677" s="77" t="s">
        <v>7745</v>
      </c>
      <c r="AE677" s="80" t="str">
        <f>HYPERLINK("https://twitter.com/eduardomrfilho/status/1637224368941015041")</f>
        <v>https://twitter.com/eduardomrfilho/status/1637224368941015041</v>
      </c>
      <c r="AF677" s="79">
        <v>45003.950023148151</v>
      </c>
      <c r="AG677" s="85">
        <v>45003</v>
      </c>
      <c r="AH677" s="82" t="s">
        <v>8361</v>
      </c>
      <c r="AI677" s="77" t="b">
        <v>0</v>
      </c>
      <c r="AJ677" s="77" t="s">
        <v>10524</v>
      </c>
      <c r="AK677" s="77" t="s">
        <v>10552</v>
      </c>
      <c r="AL677" s="77" t="s">
        <v>10555</v>
      </c>
      <c r="AM677" s="77" t="s">
        <v>10561</v>
      </c>
      <c r="AN677" s="77" t="s">
        <v>10591</v>
      </c>
      <c r="AO677" s="77" t="s">
        <v>10622</v>
      </c>
      <c r="AP677" s="77" t="s">
        <v>10649</v>
      </c>
      <c r="AQ677" s="77" t="s">
        <v>11038</v>
      </c>
      <c r="AR677" s="77"/>
      <c r="AS677" s="77"/>
      <c r="AT677" s="77"/>
      <c r="AU677" s="77"/>
      <c r="AV677" s="80" t="str">
        <f>HYPERLINK("https://pbs.twimg.com/media/FriW4YbWwAIDyPF.jpg")</f>
        <v>https://pbs.twimg.com/media/FriW4YbWwAIDyPF.jpg</v>
      </c>
      <c r="AW677" s="82" t="s">
        <v>12869</v>
      </c>
      <c r="AX677" s="82" t="s">
        <v>12869</v>
      </c>
      <c r="AY677" s="77"/>
      <c r="AZ677" s="82" t="s">
        <v>15804</v>
      </c>
      <c r="BA677" s="82" t="s">
        <v>15804</v>
      </c>
      <c r="BB677" s="82" t="s">
        <v>15804</v>
      </c>
      <c r="BC677" s="82" t="s">
        <v>12869</v>
      </c>
      <c r="BD677" s="77">
        <v>38707582</v>
      </c>
      <c r="BE677" s="77"/>
      <c r="BF677" s="77"/>
      <c r="BG677" s="77"/>
      <c r="BH677" s="77"/>
      <c r="BI677" s="77"/>
    </row>
    <row r="678" spans="1:61" x14ac:dyDescent="0.25">
      <c r="A678" s="62" t="s">
        <v>435</v>
      </c>
      <c r="B678" s="62" t="s">
        <v>435</v>
      </c>
      <c r="C678" s="63"/>
      <c r="D678" s="64"/>
      <c r="E678" s="65"/>
      <c r="F678" s="66"/>
      <c r="G678" s="63"/>
      <c r="H678" s="67"/>
      <c r="I678" s="68"/>
      <c r="J678" s="68"/>
      <c r="K678" s="32"/>
      <c r="L678" s="75">
        <v>678</v>
      </c>
      <c r="M678" s="75"/>
      <c r="N678" s="70"/>
      <c r="O678" s="77" t="s">
        <v>179</v>
      </c>
      <c r="P678" s="79">
        <v>45064.921331018515</v>
      </c>
      <c r="Q678" s="77" t="s">
        <v>1783</v>
      </c>
      <c r="R678" s="77">
        <v>0</v>
      </c>
      <c r="S678" s="77">
        <v>0</v>
      </c>
      <c r="T678" s="77">
        <v>0</v>
      </c>
      <c r="U678" s="77">
        <v>0</v>
      </c>
      <c r="V678" s="77">
        <v>67</v>
      </c>
      <c r="W678" s="82" t="s">
        <v>4530</v>
      </c>
      <c r="X678" s="77"/>
      <c r="Y678" s="77"/>
      <c r="Z678" s="77"/>
      <c r="AA678" s="77" t="s">
        <v>6532</v>
      </c>
      <c r="AB678" s="77" t="s">
        <v>7696</v>
      </c>
      <c r="AC678" s="82" t="s">
        <v>7705</v>
      </c>
      <c r="AD678" s="77" t="s">
        <v>7745</v>
      </c>
      <c r="AE678" s="80" t="str">
        <f>HYPERLINK("https://twitter.com/eduardomrfilho/status/1659319630257610752")</f>
        <v>https://twitter.com/eduardomrfilho/status/1659319630257610752</v>
      </c>
      <c r="AF678" s="79">
        <v>45064.921331018515</v>
      </c>
      <c r="AG678" s="85">
        <v>45064</v>
      </c>
      <c r="AH678" s="82" t="s">
        <v>8362</v>
      </c>
      <c r="AI678" s="77" t="b">
        <v>0</v>
      </c>
      <c r="AJ678" s="77" t="s">
        <v>10524</v>
      </c>
      <c r="AK678" s="77" t="s">
        <v>10552</v>
      </c>
      <c r="AL678" s="77" t="s">
        <v>10555</v>
      </c>
      <c r="AM678" s="77" t="s">
        <v>10561</v>
      </c>
      <c r="AN678" s="77" t="s">
        <v>10591</v>
      </c>
      <c r="AO678" s="77" t="s">
        <v>10622</v>
      </c>
      <c r="AP678" s="77" t="s">
        <v>10649</v>
      </c>
      <c r="AQ678" s="77" t="s">
        <v>11039</v>
      </c>
      <c r="AR678" s="77"/>
      <c r="AS678" s="77"/>
      <c r="AT678" s="77"/>
      <c r="AU678" s="77"/>
      <c r="AV678" s="80" t="str">
        <f>HYPERLINK("https://pbs.twimg.com/media/FwcWZ4XWAAA1Pff.jpg")</f>
        <v>https://pbs.twimg.com/media/FwcWZ4XWAAA1Pff.jpg</v>
      </c>
      <c r="AW678" s="82" t="s">
        <v>12870</v>
      </c>
      <c r="AX678" s="82" t="s">
        <v>12870</v>
      </c>
      <c r="AY678" s="77"/>
      <c r="AZ678" s="82" t="s">
        <v>15804</v>
      </c>
      <c r="BA678" s="82" t="s">
        <v>15804</v>
      </c>
      <c r="BB678" s="82" t="s">
        <v>15804</v>
      </c>
      <c r="BC678" s="82" t="s">
        <v>12870</v>
      </c>
      <c r="BD678" s="77">
        <v>38707582</v>
      </c>
      <c r="BE678" s="77"/>
      <c r="BF678" s="77"/>
      <c r="BG678" s="77"/>
      <c r="BH678" s="77"/>
      <c r="BI678" s="77"/>
    </row>
    <row r="679" spans="1:61" x14ac:dyDescent="0.25">
      <c r="A679" s="62" t="s">
        <v>435</v>
      </c>
      <c r="B679" s="62" t="s">
        <v>435</v>
      </c>
      <c r="C679" s="63"/>
      <c r="D679" s="64"/>
      <c r="E679" s="65"/>
      <c r="F679" s="66"/>
      <c r="G679" s="63"/>
      <c r="H679" s="67"/>
      <c r="I679" s="68"/>
      <c r="J679" s="68"/>
      <c r="K679" s="32"/>
      <c r="L679" s="75">
        <v>679</v>
      </c>
      <c r="M679" s="75"/>
      <c r="N679" s="70"/>
      <c r="O679" s="77" t="s">
        <v>179</v>
      </c>
      <c r="P679" s="79">
        <v>45064.161423611113</v>
      </c>
      <c r="Q679" s="77" t="s">
        <v>1784</v>
      </c>
      <c r="R679" s="77">
        <v>0</v>
      </c>
      <c r="S679" s="77">
        <v>0</v>
      </c>
      <c r="T679" s="77">
        <v>0</v>
      </c>
      <c r="U679" s="77">
        <v>0</v>
      </c>
      <c r="V679" s="77">
        <v>11</v>
      </c>
      <c r="W679" s="82" t="s">
        <v>4531</v>
      </c>
      <c r="X679" s="77"/>
      <c r="Y679" s="77"/>
      <c r="Z679" s="77"/>
      <c r="AA679" s="77" t="s">
        <v>6533</v>
      </c>
      <c r="AB679" s="77" t="s">
        <v>7700</v>
      </c>
      <c r="AC679" s="82" t="s">
        <v>7705</v>
      </c>
      <c r="AD679" s="77" t="s">
        <v>7745</v>
      </c>
      <c r="AE679" s="80" t="str">
        <f>HYPERLINK("https://twitter.com/eduardomrfilho/status/1659044249839566848")</f>
        <v>https://twitter.com/eduardomrfilho/status/1659044249839566848</v>
      </c>
      <c r="AF679" s="79">
        <v>45064.161423611113</v>
      </c>
      <c r="AG679" s="85">
        <v>45064</v>
      </c>
      <c r="AH679" s="82" t="s">
        <v>8363</v>
      </c>
      <c r="AI679" s="77" t="b">
        <v>0</v>
      </c>
      <c r="AJ679" s="77" t="s">
        <v>10524</v>
      </c>
      <c r="AK679" s="77" t="s">
        <v>10552</v>
      </c>
      <c r="AL679" s="77" t="s">
        <v>10555</v>
      </c>
      <c r="AM679" s="77" t="s">
        <v>10561</v>
      </c>
      <c r="AN679" s="77" t="s">
        <v>10591</v>
      </c>
      <c r="AO679" s="77" t="s">
        <v>10622</v>
      </c>
      <c r="AP679" s="77" t="s">
        <v>10649</v>
      </c>
      <c r="AQ679" s="77" t="s">
        <v>11040</v>
      </c>
      <c r="AR679" s="77"/>
      <c r="AS679" s="77"/>
      <c r="AT679" s="77"/>
      <c r="AU679" s="77"/>
      <c r="AV679" s="80" t="str">
        <f>HYPERLINK("https://pbs.twimg.com/media/FwYb8fMWwAAd_rZ.jpg")</f>
        <v>https://pbs.twimg.com/media/FwYb8fMWwAAd_rZ.jpg</v>
      </c>
      <c r="AW679" s="82" t="s">
        <v>12871</v>
      </c>
      <c r="AX679" s="82" t="s">
        <v>12871</v>
      </c>
      <c r="AY679" s="77"/>
      <c r="AZ679" s="82" t="s">
        <v>15804</v>
      </c>
      <c r="BA679" s="82" t="s">
        <v>15804</v>
      </c>
      <c r="BB679" s="82" t="s">
        <v>15804</v>
      </c>
      <c r="BC679" s="82" t="s">
        <v>12871</v>
      </c>
      <c r="BD679" s="77">
        <v>38707582</v>
      </c>
      <c r="BE679" s="77"/>
      <c r="BF679" s="77"/>
      <c r="BG679" s="77"/>
      <c r="BH679" s="77"/>
      <c r="BI679" s="77"/>
    </row>
    <row r="680" spans="1:61" x14ac:dyDescent="0.25">
      <c r="A680" s="62" t="s">
        <v>435</v>
      </c>
      <c r="B680" s="62" t="s">
        <v>435</v>
      </c>
      <c r="C680" s="63"/>
      <c r="D680" s="64"/>
      <c r="E680" s="65"/>
      <c r="F680" s="66"/>
      <c r="G680" s="63"/>
      <c r="H680" s="67"/>
      <c r="I680" s="68"/>
      <c r="J680" s="68"/>
      <c r="K680" s="32"/>
      <c r="L680" s="75">
        <v>680</v>
      </c>
      <c r="M680" s="75"/>
      <c r="N680" s="70"/>
      <c r="O680" s="77" t="s">
        <v>179</v>
      </c>
      <c r="P680" s="79">
        <v>45087.720601851855</v>
      </c>
      <c r="Q680" s="77" t="s">
        <v>1785</v>
      </c>
      <c r="R680" s="77">
        <v>0</v>
      </c>
      <c r="S680" s="77">
        <v>0</v>
      </c>
      <c r="T680" s="77">
        <v>0</v>
      </c>
      <c r="U680" s="77">
        <v>0</v>
      </c>
      <c r="V680" s="77">
        <v>23</v>
      </c>
      <c r="W680" s="82" t="s">
        <v>4532</v>
      </c>
      <c r="X680" s="77"/>
      <c r="Y680" s="77"/>
      <c r="Z680" s="77"/>
      <c r="AA680" s="77" t="s">
        <v>6534</v>
      </c>
      <c r="AB680" s="77" t="s">
        <v>7696</v>
      </c>
      <c r="AC680" s="82" t="s">
        <v>7705</v>
      </c>
      <c r="AD680" s="77" t="s">
        <v>7745</v>
      </c>
      <c r="AE680" s="80" t="str">
        <f>HYPERLINK("https://twitter.com/eduardomrfilho/status/1667581811453489154")</f>
        <v>https://twitter.com/eduardomrfilho/status/1667581811453489154</v>
      </c>
      <c r="AF680" s="79">
        <v>45087.720601851855</v>
      </c>
      <c r="AG680" s="85">
        <v>45087</v>
      </c>
      <c r="AH680" s="82" t="s">
        <v>8364</v>
      </c>
      <c r="AI680" s="77" t="b">
        <v>0</v>
      </c>
      <c r="AJ680" s="77"/>
      <c r="AK680" s="77"/>
      <c r="AL680" s="77"/>
      <c r="AM680" s="77"/>
      <c r="AN680" s="77"/>
      <c r="AO680" s="77"/>
      <c r="AP680" s="77"/>
      <c r="AQ680" s="77" t="s">
        <v>11041</v>
      </c>
      <c r="AR680" s="77"/>
      <c r="AS680" s="77"/>
      <c r="AT680" s="77"/>
      <c r="AU680" s="77"/>
      <c r="AV680" s="80" t="str">
        <f>HYPERLINK("https://pbs.twimg.com/media/FyRw0PZXsAITL5N.jpg")</f>
        <v>https://pbs.twimg.com/media/FyRw0PZXsAITL5N.jpg</v>
      </c>
      <c r="AW680" s="82" t="s">
        <v>12872</v>
      </c>
      <c r="AX680" s="82" t="s">
        <v>12872</v>
      </c>
      <c r="AY680" s="77"/>
      <c r="AZ680" s="82" t="s">
        <v>15804</v>
      </c>
      <c r="BA680" s="82" t="s">
        <v>15804</v>
      </c>
      <c r="BB680" s="82" t="s">
        <v>15804</v>
      </c>
      <c r="BC680" s="82" t="s">
        <v>12872</v>
      </c>
      <c r="BD680" s="77">
        <v>38707582</v>
      </c>
      <c r="BE680" s="77"/>
      <c r="BF680" s="77"/>
      <c r="BG680" s="77"/>
      <c r="BH680" s="77"/>
      <c r="BI680" s="77"/>
    </row>
    <row r="681" spans="1:61" x14ac:dyDescent="0.25">
      <c r="A681" s="62" t="s">
        <v>435</v>
      </c>
      <c r="B681" s="62" t="s">
        <v>435</v>
      </c>
      <c r="C681" s="63"/>
      <c r="D681" s="64"/>
      <c r="E681" s="65"/>
      <c r="F681" s="66"/>
      <c r="G681" s="63"/>
      <c r="H681" s="67"/>
      <c r="I681" s="68"/>
      <c r="J681" s="68"/>
      <c r="K681" s="32"/>
      <c r="L681" s="75">
        <v>681</v>
      </c>
      <c r="M681" s="75"/>
      <c r="N681" s="70"/>
      <c r="O681" s="77" t="s">
        <v>179</v>
      </c>
      <c r="P681" s="79">
        <v>45100.952974537038</v>
      </c>
      <c r="Q681" s="77" t="s">
        <v>1786</v>
      </c>
      <c r="R681" s="77">
        <v>0</v>
      </c>
      <c r="S681" s="77">
        <v>0</v>
      </c>
      <c r="T681" s="77">
        <v>0</v>
      </c>
      <c r="U681" s="77">
        <v>0</v>
      </c>
      <c r="V681" s="77">
        <v>55</v>
      </c>
      <c r="W681" s="82" t="s">
        <v>4533</v>
      </c>
      <c r="X681" s="80" t="str">
        <f>HYPERLINK("https://lnkd.in/d24DupNh")</f>
        <v>https://lnkd.in/d24DupNh</v>
      </c>
      <c r="Y681" s="77" t="s">
        <v>6014</v>
      </c>
      <c r="Z681" s="77"/>
      <c r="AA681" s="77" t="s">
        <v>6535</v>
      </c>
      <c r="AB681" s="77" t="s">
        <v>7697</v>
      </c>
      <c r="AC681" s="82" t="s">
        <v>7705</v>
      </c>
      <c r="AD681" s="77" t="s">
        <v>7745</v>
      </c>
      <c r="AE681" s="80" t="str">
        <f>HYPERLINK("https://twitter.com/eduardomrfilho/status/1672377060444995585")</f>
        <v>https://twitter.com/eduardomrfilho/status/1672377060444995585</v>
      </c>
      <c r="AF681" s="79">
        <v>45100.952974537038</v>
      </c>
      <c r="AG681" s="85">
        <v>45100</v>
      </c>
      <c r="AH681" s="82" t="s">
        <v>8365</v>
      </c>
      <c r="AI681" s="77" t="b">
        <v>0</v>
      </c>
      <c r="AJ681" s="77"/>
      <c r="AK681" s="77"/>
      <c r="AL681" s="77"/>
      <c r="AM681" s="77"/>
      <c r="AN681" s="77"/>
      <c r="AO681" s="77"/>
      <c r="AP681" s="77"/>
      <c r="AQ681" s="77" t="s">
        <v>11042</v>
      </c>
      <c r="AR681" s="77">
        <v>22106</v>
      </c>
      <c r="AS681" s="77"/>
      <c r="AT681" s="77"/>
      <c r="AU681" s="77">
        <v>11</v>
      </c>
      <c r="AV681" s="80" t="str">
        <f>HYPERLINK("https://pbs.twimg.com/ext_tw_video_thumb/1672376991293620225/pu/img/hjzxHlzJXrDjPr9T.jpg")</f>
        <v>https://pbs.twimg.com/ext_tw_video_thumb/1672376991293620225/pu/img/hjzxHlzJXrDjPr9T.jpg</v>
      </c>
      <c r="AW681" s="82" t="s">
        <v>12873</v>
      </c>
      <c r="AX681" s="82" t="s">
        <v>12873</v>
      </c>
      <c r="AY681" s="77"/>
      <c r="AZ681" s="82" t="s">
        <v>15804</v>
      </c>
      <c r="BA681" s="82" t="s">
        <v>15804</v>
      </c>
      <c r="BB681" s="82" t="s">
        <v>15804</v>
      </c>
      <c r="BC681" s="82" t="s">
        <v>12873</v>
      </c>
      <c r="BD681" s="77">
        <v>38707582</v>
      </c>
      <c r="BE681" s="77"/>
      <c r="BF681" s="77"/>
      <c r="BG681" s="77"/>
      <c r="BH681" s="77"/>
      <c r="BI681" s="77"/>
    </row>
    <row r="682" spans="1:61" x14ac:dyDescent="0.25">
      <c r="A682" s="62" t="s">
        <v>435</v>
      </c>
      <c r="B682" s="62" t="s">
        <v>435</v>
      </c>
      <c r="C682" s="63"/>
      <c r="D682" s="64"/>
      <c r="E682" s="65"/>
      <c r="F682" s="66"/>
      <c r="G682" s="63"/>
      <c r="H682" s="67"/>
      <c r="I682" s="68"/>
      <c r="J682" s="68"/>
      <c r="K682" s="32"/>
      <c r="L682" s="75">
        <v>682</v>
      </c>
      <c r="M682" s="75"/>
      <c r="N682" s="70"/>
      <c r="O682" s="77" t="s">
        <v>179</v>
      </c>
      <c r="P682" s="79">
        <v>45006.775138888886</v>
      </c>
      <c r="Q682" s="77" t="s">
        <v>1787</v>
      </c>
      <c r="R682" s="77">
        <v>0</v>
      </c>
      <c r="S682" s="77">
        <v>0</v>
      </c>
      <c r="T682" s="77">
        <v>0</v>
      </c>
      <c r="U682" s="77">
        <v>0</v>
      </c>
      <c r="V682" s="77">
        <v>26</v>
      </c>
      <c r="W682" s="82" t="s">
        <v>4534</v>
      </c>
      <c r="X682" s="80" t="str">
        <f>HYPERLINK("https://www.youtube.com/live/aknlNi31jxI?feature=share")</f>
        <v>https://www.youtube.com/live/aknlNi31jxI?feature=share</v>
      </c>
      <c r="Y682" s="77" t="s">
        <v>6006</v>
      </c>
      <c r="Z682" s="77"/>
      <c r="AA682" s="77" t="s">
        <v>6536</v>
      </c>
      <c r="AB682" s="77" t="s">
        <v>7696</v>
      </c>
      <c r="AC682" s="82" t="s">
        <v>7705</v>
      </c>
      <c r="AD682" s="77" t="s">
        <v>7745</v>
      </c>
      <c r="AE682" s="80" t="str">
        <f>HYPERLINK("https://twitter.com/eduardomrfilho/status/1638248157501878298")</f>
        <v>https://twitter.com/eduardomrfilho/status/1638248157501878298</v>
      </c>
      <c r="AF682" s="79">
        <v>45006.775138888886</v>
      </c>
      <c r="AG682" s="85">
        <v>45006</v>
      </c>
      <c r="AH682" s="82" t="s">
        <v>8366</v>
      </c>
      <c r="AI682" s="77" t="b">
        <v>0</v>
      </c>
      <c r="AJ682" s="77"/>
      <c r="AK682" s="77"/>
      <c r="AL682" s="77"/>
      <c r="AM682" s="77"/>
      <c r="AN682" s="77"/>
      <c r="AO682" s="77"/>
      <c r="AP682" s="77"/>
      <c r="AQ682" s="77" t="s">
        <v>11043</v>
      </c>
      <c r="AR682" s="77"/>
      <c r="AS682" s="77"/>
      <c r="AT682" s="77"/>
      <c r="AU682" s="77"/>
      <c r="AV682" s="80" t="str">
        <f>HYPERLINK("https://pbs.twimg.com/media/Frw6AdQWcA0FU1O.jpg")</f>
        <v>https://pbs.twimg.com/media/Frw6AdQWcA0FU1O.jpg</v>
      </c>
      <c r="AW682" s="82" t="s">
        <v>12874</v>
      </c>
      <c r="AX682" s="82" t="s">
        <v>12874</v>
      </c>
      <c r="AY682" s="77"/>
      <c r="AZ682" s="82" t="s">
        <v>15804</v>
      </c>
      <c r="BA682" s="82" t="s">
        <v>15804</v>
      </c>
      <c r="BB682" s="82" t="s">
        <v>15804</v>
      </c>
      <c r="BC682" s="82" t="s">
        <v>12874</v>
      </c>
      <c r="BD682" s="77">
        <v>38707582</v>
      </c>
      <c r="BE682" s="77"/>
      <c r="BF682" s="77"/>
      <c r="BG682" s="77"/>
      <c r="BH682" s="77"/>
      <c r="BI682" s="77"/>
    </row>
    <row r="683" spans="1:61" x14ac:dyDescent="0.25">
      <c r="A683" s="62" t="s">
        <v>435</v>
      </c>
      <c r="B683" s="62" t="s">
        <v>435</v>
      </c>
      <c r="C683" s="63"/>
      <c r="D683" s="64"/>
      <c r="E683" s="65"/>
      <c r="F683" s="66"/>
      <c r="G683" s="63"/>
      <c r="H683" s="67"/>
      <c r="I683" s="68"/>
      <c r="J683" s="68"/>
      <c r="K683" s="32"/>
      <c r="L683" s="75">
        <v>683</v>
      </c>
      <c r="M683" s="75"/>
      <c r="N683" s="70"/>
      <c r="O683" s="77" t="s">
        <v>179</v>
      </c>
      <c r="P683" s="79">
        <v>45108.540451388886</v>
      </c>
      <c r="Q683" s="77" t="s">
        <v>1788</v>
      </c>
      <c r="R683" s="77">
        <v>0</v>
      </c>
      <c r="S683" s="77">
        <v>0</v>
      </c>
      <c r="T683" s="77">
        <v>0</v>
      </c>
      <c r="U683" s="77">
        <v>0</v>
      </c>
      <c r="V683" s="77">
        <v>62</v>
      </c>
      <c r="W683" s="82" t="s">
        <v>4535</v>
      </c>
      <c r="X683" s="80" t="str">
        <f>HYPERLINK("https://academy.agorainvestimentos.com.br/play/audio/79295240/detalhe?institution=agoraacademy&amp;school=cast")</f>
        <v>https://academy.agorainvestimentos.com.br/play/audio/79295240/detalhe?institution=agoraacademy&amp;school=cast</v>
      </c>
      <c r="Y683" s="77" t="s">
        <v>6002</v>
      </c>
      <c r="Z683" s="77"/>
      <c r="AA683" s="77" t="s">
        <v>6537</v>
      </c>
      <c r="AB683" s="77" t="s">
        <v>7697</v>
      </c>
      <c r="AC683" s="82" t="s">
        <v>7705</v>
      </c>
      <c r="AD683" s="77" t="s">
        <v>7745</v>
      </c>
      <c r="AE683" s="80" t="str">
        <f>HYPERLINK("https://twitter.com/eduardomrfilho/status/1675126670095728641")</f>
        <v>https://twitter.com/eduardomrfilho/status/1675126670095728641</v>
      </c>
      <c r="AF683" s="79">
        <v>45108.540451388886</v>
      </c>
      <c r="AG683" s="85">
        <v>45108</v>
      </c>
      <c r="AH683" s="82" t="s">
        <v>8367</v>
      </c>
      <c r="AI683" s="77" t="b">
        <v>0</v>
      </c>
      <c r="AJ683" s="77" t="s">
        <v>10524</v>
      </c>
      <c r="AK683" s="77" t="s">
        <v>10552</v>
      </c>
      <c r="AL683" s="77" t="s">
        <v>10555</v>
      </c>
      <c r="AM683" s="77" t="s">
        <v>10561</v>
      </c>
      <c r="AN683" s="77" t="s">
        <v>10591</v>
      </c>
      <c r="AO683" s="77" t="s">
        <v>10622</v>
      </c>
      <c r="AP683" s="77" t="s">
        <v>10649</v>
      </c>
      <c r="AQ683" s="77" t="s">
        <v>11044</v>
      </c>
      <c r="AR683" s="77">
        <v>84533</v>
      </c>
      <c r="AS683" s="77"/>
      <c r="AT683" s="77"/>
      <c r="AU683" s="77">
        <v>7</v>
      </c>
      <c r="AV683" s="80" t="str">
        <f>HYPERLINK("https://pbs.twimg.com/ext_tw_video_thumb/1675126595663667206/pu/img/JFqoTfPmfKOVgET_.jpg")</f>
        <v>https://pbs.twimg.com/ext_tw_video_thumb/1675126595663667206/pu/img/JFqoTfPmfKOVgET_.jpg</v>
      </c>
      <c r="AW683" s="82" t="s">
        <v>12875</v>
      </c>
      <c r="AX683" s="82" t="s">
        <v>12875</v>
      </c>
      <c r="AY683" s="77"/>
      <c r="AZ683" s="82" t="s">
        <v>15804</v>
      </c>
      <c r="BA683" s="82" t="s">
        <v>15804</v>
      </c>
      <c r="BB683" s="82" t="s">
        <v>15804</v>
      </c>
      <c r="BC683" s="82" t="s">
        <v>12875</v>
      </c>
      <c r="BD683" s="77">
        <v>38707582</v>
      </c>
      <c r="BE683" s="77"/>
      <c r="BF683" s="77"/>
      <c r="BG683" s="77"/>
      <c r="BH683" s="77"/>
      <c r="BI683" s="77"/>
    </row>
    <row r="684" spans="1:61" x14ac:dyDescent="0.25">
      <c r="A684" s="62" t="s">
        <v>435</v>
      </c>
      <c r="B684" s="62" t="s">
        <v>435</v>
      </c>
      <c r="C684" s="63"/>
      <c r="D684" s="64"/>
      <c r="E684" s="65"/>
      <c r="F684" s="66"/>
      <c r="G684" s="63"/>
      <c r="H684" s="67"/>
      <c r="I684" s="68"/>
      <c r="J684" s="68"/>
      <c r="K684" s="32"/>
      <c r="L684" s="75">
        <v>684</v>
      </c>
      <c r="M684" s="75"/>
      <c r="N684" s="70"/>
      <c r="O684" s="77" t="s">
        <v>179</v>
      </c>
      <c r="P684" s="79">
        <v>45044.993425925924</v>
      </c>
      <c r="Q684" s="77" t="s">
        <v>1789</v>
      </c>
      <c r="R684" s="77">
        <v>0</v>
      </c>
      <c r="S684" s="77">
        <v>2</v>
      </c>
      <c r="T684" s="77">
        <v>0</v>
      </c>
      <c r="U684" s="77">
        <v>0</v>
      </c>
      <c r="V684" s="77">
        <v>136</v>
      </c>
      <c r="W684" s="82" t="s">
        <v>4536</v>
      </c>
      <c r="X684" s="77"/>
      <c r="Y684" s="77"/>
      <c r="Z684" s="77"/>
      <c r="AA684" s="77" t="s">
        <v>6538</v>
      </c>
      <c r="AB684" s="77" t="s">
        <v>7696</v>
      </c>
      <c r="AC684" s="82" t="s">
        <v>7705</v>
      </c>
      <c r="AD684" s="77" t="s">
        <v>7745</v>
      </c>
      <c r="AE684" s="80" t="str">
        <f>HYPERLINK("https://twitter.com/eduardomrfilho/status/1652098000863240193")</f>
        <v>https://twitter.com/eduardomrfilho/status/1652098000863240193</v>
      </c>
      <c r="AF684" s="79">
        <v>45044.993425925924</v>
      </c>
      <c r="AG684" s="85">
        <v>45044</v>
      </c>
      <c r="AH684" s="82" t="s">
        <v>8368</v>
      </c>
      <c r="AI684" s="77" t="b">
        <v>0</v>
      </c>
      <c r="AJ684" s="77" t="s">
        <v>10524</v>
      </c>
      <c r="AK684" s="77" t="s">
        <v>10552</v>
      </c>
      <c r="AL684" s="77" t="s">
        <v>10555</v>
      </c>
      <c r="AM684" s="77" t="s">
        <v>10561</v>
      </c>
      <c r="AN684" s="77" t="s">
        <v>10591</v>
      </c>
      <c r="AO684" s="77" t="s">
        <v>10622</v>
      </c>
      <c r="AP684" s="77" t="s">
        <v>10649</v>
      </c>
      <c r="AQ684" s="77" t="s">
        <v>11045</v>
      </c>
      <c r="AR684" s="77"/>
      <c r="AS684" s="77"/>
      <c r="AT684" s="77"/>
      <c r="AU684" s="77"/>
      <c r="AV684" s="80" t="str">
        <f>HYPERLINK("https://pbs.twimg.com/media/Fu1uX8jWAAEqO7Q.jpg")</f>
        <v>https://pbs.twimg.com/media/Fu1uX8jWAAEqO7Q.jpg</v>
      </c>
      <c r="AW684" s="82" t="s">
        <v>12876</v>
      </c>
      <c r="AX684" s="82" t="s">
        <v>12876</v>
      </c>
      <c r="AY684" s="77"/>
      <c r="AZ684" s="82" t="s">
        <v>15804</v>
      </c>
      <c r="BA684" s="82" t="s">
        <v>15804</v>
      </c>
      <c r="BB684" s="82" t="s">
        <v>15804</v>
      </c>
      <c r="BC684" s="82" t="s">
        <v>12876</v>
      </c>
      <c r="BD684" s="77">
        <v>38707582</v>
      </c>
      <c r="BE684" s="77"/>
      <c r="BF684" s="77"/>
      <c r="BG684" s="77"/>
      <c r="BH684" s="77"/>
      <c r="BI684" s="77"/>
    </row>
    <row r="685" spans="1:61" x14ac:dyDescent="0.25">
      <c r="A685" s="62" t="s">
        <v>435</v>
      </c>
      <c r="B685" s="62" t="s">
        <v>435</v>
      </c>
      <c r="C685" s="63"/>
      <c r="D685" s="64"/>
      <c r="E685" s="65"/>
      <c r="F685" s="66"/>
      <c r="G685" s="63"/>
      <c r="H685" s="67"/>
      <c r="I685" s="68"/>
      <c r="J685" s="68"/>
      <c r="K685" s="32"/>
      <c r="L685" s="75">
        <v>685</v>
      </c>
      <c r="M685" s="75"/>
      <c r="N685" s="70"/>
      <c r="O685" s="77" t="s">
        <v>179</v>
      </c>
      <c r="P685" s="79">
        <v>44997.391817129632</v>
      </c>
      <c r="Q685" s="77" t="s">
        <v>1790</v>
      </c>
      <c r="R685" s="77">
        <v>0</v>
      </c>
      <c r="S685" s="77">
        <v>0</v>
      </c>
      <c r="T685" s="77">
        <v>0</v>
      </c>
      <c r="U685" s="77">
        <v>0</v>
      </c>
      <c r="V685" s="77">
        <v>24</v>
      </c>
      <c r="W685" s="82" t="s">
        <v>4537</v>
      </c>
      <c r="X685" s="80" t="str">
        <f>HYPERLINK("https://www.youtube.com/live/iWVeCihr2y8?feature=share")</f>
        <v>https://www.youtube.com/live/iWVeCihr2y8?feature=share</v>
      </c>
      <c r="Y685" s="77" t="s">
        <v>6006</v>
      </c>
      <c r="Z685" s="77"/>
      <c r="AA685" s="77" t="s">
        <v>6539</v>
      </c>
      <c r="AB685" s="77" t="s">
        <v>7696</v>
      </c>
      <c r="AC685" s="82" t="s">
        <v>7705</v>
      </c>
      <c r="AD685" s="77" t="s">
        <v>7745</v>
      </c>
      <c r="AE685" s="80" t="str">
        <f>HYPERLINK("https://twitter.com/eduardomrfilho/status/1634847755280715776")</f>
        <v>https://twitter.com/eduardomrfilho/status/1634847755280715776</v>
      </c>
      <c r="AF685" s="79">
        <v>44997.391817129632</v>
      </c>
      <c r="AG685" s="85">
        <v>44997</v>
      </c>
      <c r="AH685" s="82" t="s">
        <v>8369</v>
      </c>
      <c r="AI685" s="77" t="b">
        <v>0</v>
      </c>
      <c r="AJ685" s="77" t="s">
        <v>10524</v>
      </c>
      <c r="AK685" s="77" t="s">
        <v>10552</v>
      </c>
      <c r="AL685" s="77" t="s">
        <v>10555</v>
      </c>
      <c r="AM685" s="77" t="s">
        <v>10561</v>
      </c>
      <c r="AN685" s="77" t="s">
        <v>10591</v>
      </c>
      <c r="AO685" s="77" t="s">
        <v>10622</v>
      </c>
      <c r="AP685" s="77" t="s">
        <v>10649</v>
      </c>
      <c r="AQ685" s="77" t="s">
        <v>11046</v>
      </c>
      <c r="AR685" s="77"/>
      <c r="AS685" s="77"/>
      <c r="AT685" s="77"/>
      <c r="AU685" s="77"/>
      <c r="AV685" s="80" t="str">
        <f>HYPERLINK("https://pbs.twimg.com/media/FrAlXdCWAAAEgYw.jpg")</f>
        <v>https://pbs.twimg.com/media/FrAlXdCWAAAEgYw.jpg</v>
      </c>
      <c r="AW685" s="82" t="s">
        <v>12877</v>
      </c>
      <c r="AX685" s="82" t="s">
        <v>12877</v>
      </c>
      <c r="AY685" s="77"/>
      <c r="AZ685" s="82" t="s">
        <v>15804</v>
      </c>
      <c r="BA685" s="82" t="s">
        <v>15804</v>
      </c>
      <c r="BB685" s="82" t="s">
        <v>15804</v>
      </c>
      <c r="BC685" s="82" t="s">
        <v>12877</v>
      </c>
      <c r="BD685" s="77">
        <v>38707582</v>
      </c>
      <c r="BE685" s="77"/>
      <c r="BF685" s="77"/>
      <c r="BG685" s="77"/>
      <c r="BH685" s="77"/>
      <c r="BI685" s="77"/>
    </row>
    <row r="686" spans="1:61" x14ac:dyDescent="0.25">
      <c r="A686" s="62" t="s">
        <v>435</v>
      </c>
      <c r="B686" s="62" t="s">
        <v>435</v>
      </c>
      <c r="C686" s="63"/>
      <c r="D686" s="64"/>
      <c r="E686" s="65"/>
      <c r="F686" s="66"/>
      <c r="G686" s="63"/>
      <c r="H686" s="67"/>
      <c r="I686" s="68"/>
      <c r="J686" s="68"/>
      <c r="K686" s="32"/>
      <c r="L686" s="75">
        <v>686</v>
      </c>
      <c r="M686" s="75"/>
      <c r="N686" s="70"/>
      <c r="O686" s="77" t="s">
        <v>179</v>
      </c>
      <c r="P686" s="79">
        <v>44979.887511574074</v>
      </c>
      <c r="Q686" s="77" t="s">
        <v>1791</v>
      </c>
      <c r="R686" s="77">
        <v>0</v>
      </c>
      <c r="S686" s="77">
        <v>2</v>
      </c>
      <c r="T686" s="77">
        <v>0</v>
      </c>
      <c r="U686" s="77">
        <v>0</v>
      </c>
      <c r="V686" s="77">
        <v>145</v>
      </c>
      <c r="W686" s="82" t="s">
        <v>4538</v>
      </c>
      <c r="X686" s="77"/>
      <c r="Y686" s="77"/>
      <c r="Z686" s="77"/>
      <c r="AA686" s="77" t="s">
        <v>6540</v>
      </c>
      <c r="AB686" s="77" t="s">
        <v>7696</v>
      </c>
      <c r="AC686" s="82" t="s">
        <v>7705</v>
      </c>
      <c r="AD686" s="77" t="s">
        <v>7745</v>
      </c>
      <c r="AE686" s="80" t="str">
        <f>HYPERLINK("https://twitter.com/eduardomrfilho/status/1628504406957195266")</f>
        <v>https://twitter.com/eduardomrfilho/status/1628504406957195266</v>
      </c>
      <c r="AF686" s="79">
        <v>44979.887511574074</v>
      </c>
      <c r="AG686" s="85">
        <v>44979</v>
      </c>
      <c r="AH686" s="82" t="s">
        <v>8370</v>
      </c>
      <c r="AI686" s="77" t="b">
        <v>0</v>
      </c>
      <c r="AJ686" s="77"/>
      <c r="AK686" s="77"/>
      <c r="AL686" s="77"/>
      <c r="AM686" s="77"/>
      <c r="AN686" s="77"/>
      <c r="AO686" s="77"/>
      <c r="AP686" s="77"/>
      <c r="AQ686" s="77" t="s">
        <v>11047</v>
      </c>
      <c r="AR686" s="77"/>
      <c r="AS686" s="77"/>
      <c r="AT686" s="77"/>
      <c r="AU686" s="77"/>
      <c r="AV686" s="80" t="str">
        <f>HYPERLINK("https://pbs.twimg.com/media/FpmcH8fWcAEYxAO.jpg")</f>
        <v>https://pbs.twimg.com/media/FpmcH8fWcAEYxAO.jpg</v>
      </c>
      <c r="AW686" s="82" t="s">
        <v>12878</v>
      </c>
      <c r="AX686" s="82" t="s">
        <v>12878</v>
      </c>
      <c r="AY686" s="77"/>
      <c r="AZ686" s="82" t="s">
        <v>15804</v>
      </c>
      <c r="BA686" s="82" t="s">
        <v>15804</v>
      </c>
      <c r="BB686" s="82" t="s">
        <v>15804</v>
      </c>
      <c r="BC686" s="82" t="s">
        <v>12878</v>
      </c>
      <c r="BD686" s="77">
        <v>38707582</v>
      </c>
      <c r="BE686" s="77"/>
      <c r="BF686" s="77"/>
      <c r="BG686" s="77"/>
      <c r="BH686" s="77"/>
      <c r="BI686" s="77"/>
    </row>
    <row r="687" spans="1:61" x14ac:dyDescent="0.25">
      <c r="A687" s="62" t="s">
        <v>436</v>
      </c>
      <c r="B687" s="62" t="s">
        <v>436</v>
      </c>
      <c r="C687" s="63"/>
      <c r="D687" s="64"/>
      <c r="E687" s="65"/>
      <c r="F687" s="66"/>
      <c r="G687" s="63"/>
      <c r="H687" s="67"/>
      <c r="I687" s="68"/>
      <c r="J687" s="68"/>
      <c r="K687" s="32"/>
      <c r="L687" s="75">
        <v>687</v>
      </c>
      <c r="M687" s="75"/>
      <c r="N687" s="70"/>
      <c r="O687" s="77" t="s">
        <v>179</v>
      </c>
      <c r="P687" s="79">
        <v>44945.577893518515</v>
      </c>
      <c r="Q687" s="77" t="s">
        <v>1792</v>
      </c>
      <c r="R687" s="77">
        <v>0</v>
      </c>
      <c r="S687" s="77">
        <v>0</v>
      </c>
      <c r="T687" s="77">
        <v>0</v>
      </c>
      <c r="U687" s="77">
        <v>0</v>
      </c>
      <c r="V687" s="77">
        <v>53</v>
      </c>
      <c r="W687" s="82" t="s">
        <v>4539</v>
      </c>
      <c r="X687" s="80" t="str">
        <f>HYPERLINK("https://go.hotmart.com/L78388156D")</f>
        <v>https://go.hotmart.com/L78388156D</v>
      </c>
      <c r="Y687" s="77" t="s">
        <v>6023</v>
      </c>
      <c r="Z687" s="77"/>
      <c r="AA687" s="77" t="s">
        <v>6541</v>
      </c>
      <c r="AB687" s="77" t="s">
        <v>7696</v>
      </c>
      <c r="AC687" s="82" t="s">
        <v>7706</v>
      </c>
      <c r="AD687" s="77" t="s">
        <v>7745</v>
      </c>
      <c r="AE687" s="80" t="str">
        <f>HYPERLINK("https://twitter.com/mktdigital2023/status/1616071019479044096")</f>
        <v>https://twitter.com/mktdigital2023/status/1616071019479044096</v>
      </c>
      <c r="AF687" s="79">
        <v>44945.577893518515</v>
      </c>
      <c r="AG687" s="85">
        <v>44945</v>
      </c>
      <c r="AH687" s="82" t="s">
        <v>8371</v>
      </c>
      <c r="AI687" s="77" t="b">
        <v>0</v>
      </c>
      <c r="AJ687" s="77"/>
      <c r="AK687" s="77"/>
      <c r="AL687" s="77"/>
      <c r="AM687" s="77"/>
      <c r="AN687" s="77"/>
      <c r="AO687" s="77"/>
      <c r="AP687" s="77"/>
      <c r="AQ687" s="77" t="s">
        <v>11048</v>
      </c>
      <c r="AR687" s="77"/>
      <c r="AS687" s="77"/>
      <c r="AT687" s="77"/>
      <c r="AU687" s="77"/>
      <c r="AV687" s="80" t="str">
        <f>HYPERLINK("https://pbs.twimg.com/media/Fm1vM-BaYAYG4kx.jpg")</f>
        <v>https://pbs.twimg.com/media/Fm1vM-BaYAYG4kx.jpg</v>
      </c>
      <c r="AW687" s="82" t="s">
        <v>12879</v>
      </c>
      <c r="AX687" s="82" t="s">
        <v>12879</v>
      </c>
      <c r="AY687" s="77"/>
      <c r="AZ687" s="82" t="s">
        <v>15804</v>
      </c>
      <c r="BA687" s="82" t="s">
        <v>15804</v>
      </c>
      <c r="BB687" s="82" t="s">
        <v>15804</v>
      </c>
      <c r="BC687" s="82" t="s">
        <v>12879</v>
      </c>
      <c r="BD687" s="82" t="s">
        <v>16244</v>
      </c>
      <c r="BE687" s="77"/>
      <c r="BF687" s="77"/>
      <c r="BG687" s="77"/>
      <c r="BH687" s="77"/>
      <c r="BI687" s="77"/>
    </row>
    <row r="688" spans="1:61" x14ac:dyDescent="0.25">
      <c r="A688" s="62" t="s">
        <v>437</v>
      </c>
      <c r="B688" s="62" t="s">
        <v>437</v>
      </c>
      <c r="C688" s="63"/>
      <c r="D688" s="64"/>
      <c r="E688" s="65"/>
      <c r="F688" s="66"/>
      <c r="G688" s="63"/>
      <c r="H688" s="67"/>
      <c r="I688" s="68"/>
      <c r="J688" s="68"/>
      <c r="K688" s="32"/>
      <c r="L688" s="75">
        <v>688</v>
      </c>
      <c r="M688" s="75"/>
      <c r="N688" s="70"/>
      <c r="O688" s="77" t="s">
        <v>179</v>
      </c>
      <c r="P688" s="79">
        <v>44990.544641203705</v>
      </c>
      <c r="Q688" s="77" t="s">
        <v>1793</v>
      </c>
      <c r="R688" s="77">
        <v>0</v>
      </c>
      <c r="S688" s="77">
        <v>0</v>
      </c>
      <c r="T688" s="77">
        <v>0</v>
      </c>
      <c r="U688" s="77">
        <v>0</v>
      </c>
      <c r="V688" s="77">
        <v>21</v>
      </c>
      <c r="W688" s="82" t="s">
        <v>4540</v>
      </c>
      <c r="X688" s="80" t="str">
        <f>HYPERLINK("https://lnkd.in/dUHjg3YD")</f>
        <v>https://lnkd.in/dUHjg3YD</v>
      </c>
      <c r="Y688" s="77" t="s">
        <v>6014</v>
      </c>
      <c r="Z688" s="77"/>
      <c r="AA688" s="77"/>
      <c r="AB688" s="77"/>
      <c r="AC688" s="82" t="s">
        <v>7720</v>
      </c>
      <c r="AD688" s="77" t="s">
        <v>7745</v>
      </c>
      <c r="AE688" s="80" t="str">
        <f>HYPERLINK("https://twitter.com/gilsonanselmo/status/1632366422494965761")</f>
        <v>https://twitter.com/gilsonanselmo/status/1632366422494965761</v>
      </c>
      <c r="AF688" s="79">
        <v>44990.544641203705</v>
      </c>
      <c r="AG688" s="85">
        <v>44990</v>
      </c>
      <c r="AH688" s="82" t="s">
        <v>8372</v>
      </c>
      <c r="AI688" s="77" t="b">
        <v>0</v>
      </c>
      <c r="AJ688" s="77"/>
      <c r="AK688" s="77"/>
      <c r="AL688" s="77"/>
      <c r="AM688" s="77"/>
      <c r="AN688" s="77"/>
      <c r="AO688" s="77"/>
      <c r="AP688" s="77"/>
      <c r="AQ688" s="77"/>
      <c r="AR688" s="77"/>
      <c r="AS688" s="77"/>
      <c r="AT688" s="77"/>
      <c r="AU688" s="77"/>
      <c r="AV688" s="80" t="str">
        <f>HYPERLINK("https://pbs.twimg.com/profile_images/1300873349225209858/mzX4tGGi_normal.jpg")</f>
        <v>https://pbs.twimg.com/profile_images/1300873349225209858/mzX4tGGi_normal.jpg</v>
      </c>
      <c r="AW688" s="82" t="s">
        <v>12880</v>
      </c>
      <c r="AX688" s="82" t="s">
        <v>12880</v>
      </c>
      <c r="AY688" s="77"/>
      <c r="AZ688" s="82" t="s">
        <v>15804</v>
      </c>
      <c r="BA688" s="82" t="s">
        <v>15804</v>
      </c>
      <c r="BB688" s="82" t="s">
        <v>15804</v>
      </c>
      <c r="BC688" s="82" t="s">
        <v>12880</v>
      </c>
      <c r="BD688" s="77">
        <v>2746280079</v>
      </c>
      <c r="BE688" s="77"/>
      <c r="BF688" s="77"/>
      <c r="BG688" s="77"/>
      <c r="BH688" s="77"/>
      <c r="BI688" s="77"/>
    </row>
    <row r="689" spans="1:61" x14ac:dyDescent="0.25">
      <c r="A689" s="62" t="s">
        <v>438</v>
      </c>
      <c r="B689" s="62" t="s">
        <v>438</v>
      </c>
      <c r="C689" s="63"/>
      <c r="D689" s="64"/>
      <c r="E689" s="65"/>
      <c r="F689" s="66"/>
      <c r="G689" s="63"/>
      <c r="H689" s="67"/>
      <c r="I689" s="68"/>
      <c r="J689" s="68"/>
      <c r="K689" s="32"/>
      <c r="L689" s="75">
        <v>689</v>
      </c>
      <c r="M689" s="75"/>
      <c r="N689" s="70"/>
      <c r="O689" s="77" t="s">
        <v>179</v>
      </c>
      <c r="P689" s="79">
        <v>45159.780601851853</v>
      </c>
      <c r="Q689" s="77" t="s">
        <v>1794</v>
      </c>
      <c r="R689" s="77">
        <v>0</v>
      </c>
      <c r="S689" s="77">
        <v>1</v>
      </c>
      <c r="T689" s="77">
        <v>0</v>
      </c>
      <c r="U689" s="77">
        <v>0</v>
      </c>
      <c r="V689" s="77">
        <v>21</v>
      </c>
      <c r="W689" s="82" t="s">
        <v>4541</v>
      </c>
      <c r="X689" s="77"/>
      <c r="Y689" s="77"/>
      <c r="Z689" s="77"/>
      <c r="AA689" s="77"/>
      <c r="AB689" s="77"/>
      <c r="AC689" s="82" t="s">
        <v>7707</v>
      </c>
      <c r="AD689" s="77" t="s">
        <v>7745</v>
      </c>
      <c r="AE689" s="80" t="str">
        <f>HYPERLINK("https://twitter.com/sousadavi/status/1693695479119220776")</f>
        <v>https://twitter.com/sousadavi/status/1693695479119220776</v>
      </c>
      <c r="AF689" s="79">
        <v>45159.780601851853</v>
      </c>
      <c r="AG689" s="85">
        <v>45159</v>
      </c>
      <c r="AH689" s="82" t="s">
        <v>8373</v>
      </c>
      <c r="AI689" s="77"/>
      <c r="AJ689" s="77"/>
      <c r="AK689" s="77"/>
      <c r="AL689" s="77"/>
      <c r="AM689" s="77"/>
      <c r="AN689" s="77"/>
      <c r="AO689" s="77"/>
      <c r="AP689" s="77"/>
      <c r="AQ689" s="77"/>
      <c r="AR689" s="77"/>
      <c r="AS689" s="77"/>
      <c r="AT689" s="77"/>
      <c r="AU689" s="77"/>
      <c r="AV689" s="80" t="str">
        <f>HYPERLINK("https://pbs.twimg.com/profile_images/1630048707226763265/beny6FI2_normal.jpg")</f>
        <v>https://pbs.twimg.com/profile_images/1630048707226763265/beny6FI2_normal.jpg</v>
      </c>
      <c r="AW689" s="82" t="s">
        <v>12881</v>
      </c>
      <c r="AX689" s="82" t="s">
        <v>12881</v>
      </c>
      <c r="AY689" s="77"/>
      <c r="AZ689" s="82" t="s">
        <v>15804</v>
      </c>
      <c r="BA689" s="82" t="s">
        <v>15804</v>
      </c>
      <c r="BB689" s="82" t="s">
        <v>15804</v>
      </c>
      <c r="BC689" s="82" t="s">
        <v>12881</v>
      </c>
      <c r="BD689" s="77">
        <v>59811558</v>
      </c>
      <c r="BE689" s="77"/>
      <c r="BF689" s="77"/>
      <c r="BG689" s="77"/>
      <c r="BH689" s="77"/>
      <c r="BI689" s="77"/>
    </row>
    <row r="690" spans="1:61" x14ac:dyDescent="0.25">
      <c r="A690" s="62" t="s">
        <v>438</v>
      </c>
      <c r="B690" s="62" t="s">
        <v>438</v>
      </c>
      <c r="C690" s="63"/>
      <c r="D690" s="64"/>
      <c r="E690" s="65"/>
      <c r="F690" s="66"/>
      <c r="G690" s="63"/>
      <c r="H690" s="67"/>
      <c r="I690" s="68"/>
      <c r="J690" s="68"/>
      <c r="K690" s="32"/>
      <c r="L690" s="75">
        <v>690</v>
      </c>
      <c r="M690" s="75"/>
      <c r="N690" s="70"/>
      <c r="O690" s="77" t="s">
        <v>179</v>
      </c>
      <c r="P690" s="79">
        <v>45159.099166666667</v>
      </c>
      <c r="Q690" s="77" t="s">
        <v>1795</v>
      </c>
      <c r="R690" s="77">
        <v>0</v>
      </c>
      <c r="S690" s="77">
        <v>0</v>
      </c>
      <c r="T690" s="77">
        <v>0</v>
      </c>
      <c r="U690" s="77">
        <v>0</v>
      </c>
      <c r="V690" s="77">
        <v>12</v>
      </c>
      <c r="W690" s="82" t="s">
        <v>4542</v>
      </c>
      <c r="X690" s="77"/>
      <c r="Y690" s="77"/>
      <c r="Z690" s="77"/>
      <c r="AA690" s="77"/>
      <c r="AB690" s="77"/>
      <c r="AC690" s="82" t="s">
        <v>7707</v>
      </c>
      <c r="AD690" s="77" t="s">
        <v>7745</v>
      </c>
      <c r="AE690" s="80" t="str">
        <f>HYPERLINK("https://twitter.com/sousadavi/status/1693448537206304809")</f>
        <v>https://twitter.com/sousadavi/status/1693448537206304809</v>
      </c>
      <c r="AF690" s="79">
        <v>45159.099166666667</v>
      </c>
      <c r="AG690" s="85">
        <v>45159</v>
      </c>
      <c r="AH690" s="82" t="s">
        <v>8374</v>
      </c>
      <c r="AI690" s="77"/>
      <c r="AJ690" s="77"/>
      <c r="AK690" s="77"/>
      <c r="AL690" s="77"/>
      <c r="AM690" s="77"/>
      <c r="AN690" s="77"/>
      <c r="AO690" s="77"/>
      <c r="AP690" s="77"/>
      <c r="AQ690" s="77"/>
      <c r="AR690" s="77"/>
      <c r="AS690" s="77"/>
      <c r="AT690" s="77"/>
      <c r="AU690" s="77"/>
      <c r="AV690" s="80" t="str">
        <f>HYPERLINK("https://pbs.twimg.com/profile_images/1630048707226763265/beny6FI2_normal.jpg")</f>
        <v>https://pbs.twimg.com/profile_images/1630048707226763265/beny6FI2_normal.jpg</v>
      </c>
      <c r="AW690" s="82" t="s">
        <v>12882</v>
      </c>
      <c r="AX690" s="82" t="s">
        <v>12882</v>
      </c>
      <c r="AY690" s="77"/>
      <c r="AZ690" s="82" t="s">
        <v>15804</v>
      </c>
      <c r="BA690" s="82" t="s">
        <v>15804</v>
      </c>
      <c r="BB690" s="82" t="s">
        <v>15804</v>
      </c>
      <c r="BC690" s="82" t="s">
        <v>12882</v>
      </c>
      <c r="BD690" s="77">
        <v>59811558</v>
      </c>
      <c r="BE690" s="77"/>
      <c r="BF690" s="77"/>
      <c r="BG690" s="77"/>
      <c r="BH690" s="77"/>
      <c r="BI690" s="77"/>
    </row>
    <row r="691" spans="1:61" x14ac:dyDescent="0.25">
      <c r="A691" s="62" t="s">
        <v>439</v>
      </c>
      <c r="B691" s="62" t="s">
        <v>439</v>
      </c>
      <c r="C691" s="63"/>
      <c r="D691" s="64"/>
      <c r="E691" s="65"/>
      <c r="F691" s="66"/>
      <c r="G691" s="63"/>
      <c r="H691" s="67"/>
      <c r="I691" s="68"/>
      <c r="J691" s="68"/>
      <c r="K691" s="32"/>
      <c r="L691" s="75">
        <v>691</v>
      </c>
      <c r="M691" s="75"/>
      <c r="N691" s="70"/>
      <c r="O691" s="77" t="s">
        <v>1132</v>
      </c>
      <c r="P691" s="79">
        <v>45081.737905092596</v>
      </c>
      <c r="Q691" s="77" t="s">
        <v>1796</v>
      </c>
      <c r="R691" s="77">
        <v>0</v>
      </c>
      <c r="S691" s="77">
        <v>0</v>
      </c>
      <c r="T691" s="77">
        <v>0</v>
      </c>
      <c r="U691" s="77">
        <v>0</v>
      </c>
      <c r="V691" s="77">
        <v>9</v>
      </c>
      <c r="W691" s="82" t="s">
        <v>4543</v>
      </c>
      <c r="X691" s="77"/>
      <c r="Y691" s="77"/>
      <c r="Z691" s="77"/>
      <c r="AA691" s="77"/>
      <c r="AB691" s="77"/>
      <c r="AC691" s="82" t="s">
        <v>7707</v>
      </c>
      <c r="AD691" s="77" t="s">
        <v>7745</v>
      </c>
      <c r="AE691" s="80" t="str">
        <f>HYPERLINK("https://twitter.com/indigoinstituto/status/1665413755369398274")</f>
        <v>https://twitter.com/indigoinstituto/status/1665413755369398274</v>
      </c>
      <c r="AF691" s="79">
        <v>45081.737905092596</v>
      </c>
      <c r="AG691" s="85">
        <v>45081</v>
      </c>
      <c r="AH691" s="82" t="s">
        <v>8375</v>
      </c>
      <c r="AI691" s="77"/>
      <c r="AJ691" s="77"/>
      <c r="AK691" s="77"/>
      <c r="AL691" s="77"/>
      <c r="AM691" s="77"/>
      <c r="AN691" s="77"/>
      <c r="AO691" s="77"/>
      <c r="AP691" s="77"/>
      <c r="AQ691" s="77"/>
      <c r="AR691" s="77"/>
      <c r="AS691" s="77"/>
      <c r="AT691" s="77"/>
      <c r="AU691" s="77"/>
      <c r="AV691" s="80" t="str">
        <f>HYPERLINK("https://pbs.twimg.com/profile_images/1373994226221002757/htrtJXUJ_normal.jpg")</f>
        <v>https://pbs.twimg.com/profile_images/1373994226221002757/htrtJXUJ_normal.jpg</v>
      </c>
      <c r="AW691" s="82" t="s">
        <v>12883</v>
      </c>
      <c r="AX691" s="82" t="s">
        <v>15285</v>
      </c>
      <c r="AY691" s="82" t="s">
        <v>15710</v>
      </c>
      <c r="AZ691" s="82" t="s">
        <v>15285</v>
      </c>
      <c r="BA691" s="82" t="s">
        <v>15804</v>
      </c>
      <c r="BB691" s="82" t="s">
        <v>15804</v>
      </c>
      <c r="BC691" s="82" t="s">
        <v>15285</v>
      </c>
      <c r="BD691" s="82" t="s">
        <v>15710</v>
      </c>
      <c r="BE691" s="77"/>
      <c r="BF691" s="77"/>
      <c r="BG691" s="77"/>
      <c r="BH691" s="77"/>
      <c r="BI691" s="77"/>
    </row>
    <row r="692" spans="1:61" x14ac:dyDescent="0.25">
      <c r="A692" s="62" t="s">
        <v>440</v>
      </c>
      <c r="B692" s="62" t="s">
        <v>440</v>
      </c>
      <c r="C692" s="63"/>
      <c r="D692" s="64"/>
      <c r="E692" s="65"/>
      <c r="F692" s="66"/>
      <c r="G692" s="63"/>
      <c r="H692" s="67"/>
      <c r="I692" s="68"/>
      <c r="J692" s="68"/>
      <c r="K692" s="32"/>
      <c r="L692" s="75">
        <v>692</v>
      </c>
      <c r="M692" s="75"/>
      <c r="N692" s="70"/>
      <c r="O692" s="77" t="s">
        <v>179</v>
      </c>
      <c r="P692" s="79">
        <v>45000.813726851855</v>
      </c>
      <c r="Q692" s="77" t="s">
        <v>1797</v>
      </c>
      <c r="R692" s="77">
        <v>0</v>
      </c>
      <c r="S692" s="77">
        <v>0</v>
      </c>
      <c r="T692" s="77">
        <v>0</v>
      </c>
      <c r="U692" s="77">
        <v>0</v>
      </c>
      <c r="V692" s="77">
        <v>5</v>
      </c>
      <c r="W692" s="82" t="s">
        <v>4544</v>
      </c>
      <c r="X692" s="77"/>
      <c r="Y692" s="77"/>
      <c r="Z692" s="77"/>
      <c r="AA692" s="77"/>
      <c r="AB692" s="77"/>
      <c r="AC692" s="82" t="s">
        <v>7705</v>
      </c>
      <c r="AD692" s="77" t="s">
        <v>7745</v>
      </c>
      <c r="AE692" s="80" t="str">
        <f>HYPERLINK("https://twitter.com/igorhonorioo/status/1636087814226935811")</f>
        <v>https://twitter.com/igorhonorioo/status/1636087814226935811</v>
      </c>
      <c r="AF692" s="79">
        <v>45000.813726851855</v>
      </c>
      <c r="AG692" s="85">
        <v>45000</v>
      </c>
      <c r="AH692" s="82" t="s">
        <v>8376</v>
      </c>
      <c r="AI692" s="77"/>
      <c r="AJ692" s="77"/>
      <c r="AK692" s="77"/>
      <c r="AL692" s="77"/>
      <c r="AM692" s="77"/>
      <c r="AN692" s="77"/>
      <c r="AO692" s="77"/>
      <c r="AP692" s="77"/>
      <c r="AQ692" s="77"/>
      <c r="AR692" s="77"/>
      <c r="AS692" s="77"/>
      <c r="AT692" s="77"/>
      <c r="AU692" s="77"/>
      <c r="AV692" s="80" t="str">
        <f>HYPERLINK("https://pbs.twimg.com/profile_images/1610055675681411072/me6AgDRd_normal.jpg")</f>
        <v>https://pbs.twimg.com/profile_images/1610055675681411072/me6AgDRd_normal.jpg</v>
      </c>
      <c r="AW692" s="82" t="s">
        <v>12884</v>
      </c>
      <c r="AX692" s="82" t="s">
        <v>12884</v>
      </c>
      <c r="AY692" s="77"/>
      <c r="AZ692" s="82" t="s">
        <v>15804</v>
      </c>
      <c r="BA692" s="82" t="s">
        <v>15804</v>
      </c>
      <c r="BB692" s="82" t="s">
        <v>15804</v>
      </c>
      <c r="BC692" s="82" t="s">
        <v>12884</v>
      </c>
      <c r="BD692" s="82" t="s">
        <v>16245</v>
      </c>
      <c r="BE692" s="77"/>
      <c r="BF692" s="77"/>
      <c r="BG692" s="77"/>
      <c r="BH692" s="77"/>
      <c r="BI692" s="77"/>
    </row>
    <row r="693" spans="1:61" x14ac:dyDescent="0.25">
      <c r="A693" s="62" t="s">
        <v>441</v>
      </c>
      <c r="B693" s="62" t="s">
        <v>441</v>
      </c>
      <c r="C693" s="63"/>
      <c r="D693" s="64"/>
      <c r="E693" s="65"/>
      <c r="F693" s="66"/>
      <c r="G693" s="63"/>
      <c r="H693" s="67"/>
      <c r="I693" s="68"/>
      <c r="J693" s="68"/>
      <c r="K693" s="32"/>
      <c r="L693" s="75">
        <v>693</v>
      </c>
      <c r="M693" s="75"/>
      <c r="N693" s="70"/>
      <c r="O693" s="77" t="s">
        <v>179</v>
      </c>
      <c r="P693" s="79">
        <v>44949.956388888888</v>
      </c>
      <c r="Q693" s="77" t="s">
        <v>1798</v>
      </c>
      <c r="R693" s="77">
        <v>838</v>
      </c>
      <c r="S693" s="77">
        <v>4220</v>
      </c>
      <c r="T693" s="77">
        <v>864</v>
      </c>
      <c r="U693" s="77">
        <v>198</v>
      </c>
      <c r="V693" s="77">
        <v>107707</v>
      </c>
      <c r="W693" s="77"/>
      <c r="X693" s="77"/>
      <c r="Y693" s="77"/>
      <c r="Z693" s="77"/>
      <c r="AA693" s="77" t="s">
        <v>6542</v>
      </c>
      <c r="AB693" s="77" t="s">
        <v>7696</v>
      </c>
      <c r="AC693" s="82" t="s">
        <v>7706</v>
      </c>
      <c r="AD693" s="77" t="s">
        <v>7745</v>
      </c>
      <c r="AE693" s="80" t="str">
        <f>HYPERLINK("https://twitter.com/terra__brasilis/status/1617657731120508930")</f>
        <v>https://twitter.com/terra__brasilis/status/1617657731120508930</v>
      </c>
      <c r="AF693" s="79">
        <v>44949.956388888888</v>
      </c>
      <c r="AG693" s="85">
        <v>44949</v>
      </c>
      <c r="AH693" s="82" t="s">
        <v>8377</v>
      </c>
      <c r="AI693" s="77" t="b">
        <v>0</v>
      </c>
      <c r="AJ693" s="77"/>
      <c r="AK693" s="77"/>
      <c r="AL693" s="77"/>
      <c r="AM693" s="77"/>
      <c r="AN693" s="77"/>
      <c r="AO693" s="77"/>
      <c r="AP693" s="77"/>
      <c r="AQ693" s="77" t="s">
        <v>11049</v>
      </c>
      <c r="AR693" s="77"/>
      <c r="AS693" s="77"/>
      <c r="AT693" s="77"/>
      <c r="AU693" s="77"/>
      <c r="AV693" s="80" t="str">
        <f>HYPERLINK("https://pbs.twimg.com/media/FnMTIBzaUAAahzH.png")</f>
        <v>https://pbs.twimg.com/media/FnMTIBzaUAAahzH.png</v>
      </c>
      <c r="AW693" s="82" t="s">
        <v>12885</v>
      </c>
      <c r="AX693" s="82" t="s">
        <v>12885</v>
      </c>
      <c r="AY693" s="77"/>
      <c r="AZ693" s="82" t="s">
        <v>15804</v>
      </c>
      <c r="BA693" s="82" t="s">
        <v>15804</v>
      </c>
      <c r="BB693" s="82" t="s">
        <v>15804</v>
      </c>
      <c r="BC693" s="82" t="s">
        <v>12885</v>
      </c>
      <c r="BD693" s="77">
        <v>540276838</v>
      </c>
      <c r="BE693" s="77"/>
      <c r="BF693" s="77"/>
      <c r="BG693" s="77"/>
      <c r="BH693" s="77"/>
      <c r="BI693" s="77"/>
    </row>
    <row r="694" spans="1:61" x14ac:dyDescent="0.25">
      <c r="A694" s="62" t="s">
        <v>442</v>
      </c>
      <c r="B694" s="62" t="s">
        <v>442</v>
      </c>
      <c r="C694" s="63"/>
      <c r="D694" s="64"/>
      <c r="E694" s="65"/>
      <c r="F694" s="66"/>
      <c r="G694" s="63"/>
      <c r="H694" s="67"/>
      <c r="I694" s="68"/>
      <c r="J694" s="68"/>
      <c r="K694" s="32"/>
      <c r="L694" s="75">
        <v>694</v>
      </c>
      <c r="M694" s="75"/>
      <c r="N694" s="70"/>
      <c r="O694" s="77" t="s">
        <v>179</v>
      </c>
      <c r="P694" s="79">
        <v>45101.375</v>
      </c>
      <c r="Q694" s="77" t="s">
        <v>1799</v>
      </c>
      <c r="R694" s="77">
        <v>0</v>
      </c>
      <c r="S694" s="77">
        <v>0</v>
      </c>
      <c r="T694" s="77">
        <v>0</v>
      </c>
      <c r="U694" s="77">
        <v>0</v>
      </c>
      <c r="V694" s="77">
        <v>5</v>
      </c>
      <c r="W694" s="82" t="s">
        <v>4545</v>
      </c>
      <c r="X694" s="80" t="str">
        <f>HYPERLINK("https://eln.one/ycyZr")</f>
        <v>https://eln.one/ycyZr</v>
      </c>
      <c r="Y694" s="77" t="s">
        <v>6039</v>
      </c>
      <c r="Z694" s="77"/>
      <c r="AA694" s="77" t="s">
        <v>6543</v>
      </c>
      <c r="AB694" s="77" t="s">
        <v>7696</v>
      </c>
      <c r="AC694" s="82" t="s">
        <v>7706</v>
      </c>
      <c r="AD694" s="77" t="s">
        <v>7745</v>
      </c>
      <c r="AE694" s="80" t="str">
        <f>HYPERLINK("https://twitter.com/eloanportugal/status/1672529998639669248")</f>
        <v>https://twitter.com/eloanportugal/status/1672529998639669248</v>
      </c>
      <c r="AF694" s="79">
        <v>45101.375</v>
      </c>
      <c r="AG694" s="85">
        <v>45101</v>
      </c>
      <c r="AH694" s="82" t="s">
        <v>8378</v>
      </c>
      <c r="AI694" s="77" t="b">
        <v>0</v>
      </c>
      <c r="AJ694" s="77"/>
      <c r="AK694" s="77"/>
      <c r="AL694" s="77"/>
      <c r="AM694" s="77"/>
      <c r="AN694" s="77"/>
      <c r="AO694" s="77"/>
      <c r="AP694" s="77"/>
      <c r="AQ694" s="77" t="s">
        <v>11050</v>
      </c>
      <c r="AR694" s="77"/>
      <c r="AS694" s="77"/>
      <c r="AT694" s="77"/>
      <c r="AU694" s="77"/>
      <c r="AV694" s="80" t="str">
        <f>HYPERLINK("https://pbs.twimg.com/media/FzEncuXacAQv-U3.jpg")</f>
        <v>https://pbs.twimg.com/media/FzEncuXacAQv-U3.jpg</v>
      </c>
      <c r="AW694" s="82" t="s">
        <v>12886</v>
      </c>
      <c r="AX694" s="82" t="s">
        <v>12886</v>
      </c>
      <c r="AY694" s="77"/>
      <c r="AZ694" s="82" t="s">
        <v>15804</v>
      </c>
      <c r="BA694" s="82" t="s">
        <v>15804</v>
      </c>
      <c r="BB694" s="82" t="s">
        <v>15804</v>
      </c>
      <c r="BC694" s="82" t="s">
        <v>12886</v>
      </c>
      <c r="BD694" s="82" t="s">
        <v>16246</v>
      </c>
      <c r="BE694" s="77"/>
      <c r="BF694" s="77"/>
      <c r="BG694" s="77"/>
      <c r="BH694" s="77"/>
      <c r="BI694" s="77"/>
    </row>
    <row r="695" spans="1:61" x14ac:dyDescent="0.25">
      <c r="A695" s="62" t="s">
        <v>442</v>
      </c>
      <c r="B695" s="62" t="s">
        <v>442</v>
      </c>
      <c r="C695" s="63"/>
      <c r="D695" s="64"/>
      <c r="E695" s="65"/>
      <c r="F695" s="66"/>
      <c r="G695" s="63"/>
      <c r="H695" s="67"/>
      <c r="I695" s="68"/>
      <c r="J695" s="68"/>
      <c r="K695" s="32"/>
      <c r="L695" s="75">
        <v>695</v>
      </c>
      <c r="M695" s="75"/>
      <c r="N695" s="70"/>
      <c r="O695" s="77" t="s">
        <v>179</v>
      </c>
      <c r="P695" s="79">
        <v>45124.560034722221</v>
      </c>
      <c r="Q695" s="77" t="s">
        <v>1800</v>
      </c>
      <c r="R695" s="77">
        <v>0</v>
      </c>
      <c r="S695" s="77">
        <v>1</v>
      </c>
      <c r="T695" s="77">
        <v>0</v>
      </c>
      <c r="U695" s="77">
        <v>0</v>
      </c>
      <c r="V695" s="77">
        <v>7</v>
      </c>
      <c r="W695" s="82" t="s">
        <v>4545</v>
      </c>
      <c r="X695" s="80" t="str">
        <f>HYPERLINK("https://eln.one/BExsd")</f>
        <v>https://eln.one/BExsd</v>
      </c>
      <c r="Y695" s="77" t="s">
        <v>6039</v>
      </c>
      <c r="Z695" s="77"/>
      <c r="AA695" s="77" t="s">
        <v>6544</v>
      </c>
      <c r="AB695" s="77" t="s">
        <v>7696</v>
      </c>
      <c r="AC695" s="82" t="s">
        <v>7706</v>
      </c>
      <c r="AD695" s="77" t="s">
        <v>7745</v>
      </c>
      <c r="AE695" s="80" t="str">
        <f>HYPERLINK("https://twitter.com/eloanportugal/status/1680931976222584832")</f>
        <v>https://twitter.com/eloanportugal/status/1680931976222584832</v>
      </c>
      <c r="AF695" s="79">
        <v>45124.560034722221</v>
      </c>
      <c r="AG695" s="85">
        <v>45124</v>
      </c>
      <c r="AH695" s="82" t="s">
        <v>8379</v>
      </c>
      <c r="AI695" s="77" t="b">
        <v>0</v>
      </c>
      <c r="AJ695" s="77"/>
      <c r="AK695" s="77"/>
      <c r="AL695" s="77"/>
      <c r="AM695" s="77"/>
      <c r="AN695" s="77"/>
      <c r="AO695" s="77"/>
      <c r="AP695" s="77"/>
      <c r="AQ695" s="77" t="s">
        <v>11051</v>
      </c>
      <c r="AR695" s="77"/>
      <c r="AS695" s="77"/>
      <c r="AT695" s="77"/>
      <c r="AU695" s="77"/>
      <c r="AV695" s="80" t="str">
        <f>HYPERLINK("https://pbs.twimg.com/media/F1Peo1bX0AALrkO.jpg")</f>
        <v>https://pbs.twimg.com/media/F1Peo1bX0AALrkO.jpg</v>
      </c>
      <c r="AW695" s="82" t="s">
        <v>12887</v>
      </c>
      <c r="AX695" s="82" t="s">
        <v>12887</v>
      </c>
      <c r="AY695" s="77"/>
      <c r="AZ695" s="82" t="s">
        <v>15804</v>
      </c>
      <c r="BA695" s="82" t="s">
        <v>15804</v>
      </c>
      <c r="BB695" s="82" t="s">
        <v>15804</v>
      </c>
      <c r="BC695" s="82" t="s">
        <v>12887</v>
      </c>
      <c r="BD695" s="82" t="s">
        <v>16246</v>
      </c>
      <c r="BE695" s="77"/>
      <c r="BF695" s="77"/>
      <c r="BG695" s="77"/>
      <c r="BH695" s="77"/>
      <c r="BI695" s="77"/>
    </row>
    <row r="696" spans="1:61" x14ac:dyDescent="0.25">
      <c r="A696" s="62" t="s">
        <v>442</v>
      </c>
      <c r="B696" s="62" t="s">
        <v>442</v>
      </c>
      <c r="C696" s="63"/>
      <c r="D696" s="64"/>
      <c r="E696" s="65"/>
      <c r="F696" s="66"/>
      <c r="G696" s="63"/>
      <c r="H696" s="67"/>
      <c r="I696" s="68"/>
      <c r="J696" s="68"/>
      <c r="K696" s="32"/>
      <c r="L696" s="75">
        <v>696</v>
      </c>
      <c r="M696" s="75"/>
      <c r="N696" s="70"/>
      <c r="O696" s="77" t="s">
        <v>179</v>
      </c>
      <c r="P696" s="79">
        <v>45115.375023148146</v>
      </c>
      <c r="Q696" s="77" t="s">
        <v>1801</v>
      </c>
      <c r="R696" s="77">
        <v>0</v>
      </c>
      <c r="S696" s="77">
        <v>0</v>
      </c>
      <c r="T696" s="77">
        <v>0</v>
      </c>
      <c r="U696" s="77">
        <v>0</v>
      </c>
      <c r="V696" s="77">
        <v>3</v>
      </c>
      <c r="W696" s="82" t="s">
        <v>4545</v>
      </c>
      <c r="X696" s="80" t="str">
        <f>HYPERLINK("https://eln.one/stWdk")</f>
        <v>https://eln.one/stWdk</v>
      </c>
      <c r="Y696" s="77" t="s">
        <v>6039</v>
      </c>
      <c r="Z696" s="77"/>
      <c r="AA696" s="77" t="s">
        <v>6545</v>
      </c>
      <c r="AB696" s="77" t="s">
        <v>7696</v>
      </c>
      <c r="AC696" s="82" t="s">
        <v>7706</v>
      </c>
      <c r="AD696" s="77" t="s">
        <v>7745</v>
      </c>
      <c r="AE696" s="80" t="str">
        <f>HYPERLINK("https://twitter.com/eloanportugal/status/1677603437155069954")</f>
        <v>https://twitter.com/eloanportugal/status/1677603437155069954</v>
      </c>
      <c r="AF696" s="79">
        <v>45115.375023148146</v>
      </c>
      <c r="AG696" s="85">
        <v>45115</v>
      </c>
      <c r="AH696" s="82" t="s">
        <v>8380</v>
      </c>
      <c r="AI696" s="77" t="b">
        <v>0</v>
      </c>
      <c r="AJ696" s="77"/>
      <c r="AK696" s="77"/>
      <c r="AL696" s="77"/>
      <c r="AM696" s="77"/>
      <c r="AN696" s="77"/>
      <c r="AO696" s="77"/>
      <c r="AP696" s="77"/>
      <c r="AQ696" s="77" t="s">
        <v>11052</v>
      </c>
      <c r="AR696" s="77"/>
      <c r="AS696" s="77"/>
      <c r="AT696" s="77"/>
      <c r="AU696" s="77"/>
      <c r="AV696" s="80" t="str">
        <f>HYPERLINK("https://pbs.twimg.com/media/FzpJmaFWIAMBA7C.jpg")</f>
        <v>https://pbs.twimg.com/media/FzpJmaFWIAMBA7C.jpg</v>
      </c>
      <c r="AW696" s="82" t="s">
        <v>12888</v>
      </c>
      <c r="AX696" s="82" t="s">
        <v>12888</v>
      </c>
      <c r="AY696" s="77"/>
      <c r="AZ696" s="82" t="s">
        <v>15804</v>
      </c>
      <c r="BA696" s="82" t="s">
        <v>15804</v>
      </c>
      <c r="BB696" s="82" t="s">
        <v>15804</v>
      </c>
      <c r="BC696" s="82" t="s">
        <v>12888</v>
      </c>
      <c r="BD696" s="82" t="s">
        <v>16246</v>
      </c>
      <c r="BE696" s="77"/>
      <c r="BF696" s="77"/>
      <c r="BG696" s="77"/>
      <c r="BH696" s="77"/>
      <c r="BI696" s="77"/>
    </row>
    <row r="697" spans="1:61" x14ac:dyDescent="0.25">
      <c r="A697" s="62" t="s">
        <v>442</v>
      </c>
      <c r="B697" s="62" t="s">
        <v>442</v>
      </c>
      <c r="C697" s="63"/>
      <c r="D697" s="64"/>
      <c r="E697" s="65"/>
      <c r="F697" s="66"/>
      <c r="G697" s="63"/>
      <c r="H697" s="67"/>
      <c r="I697" s="68"/>
      <c r="J697" s="68"/>
      <c r="K697" s="32"/>
      <c r="L697" s="75">
        <v>697</v>
      </c>
      <c r="M697" s="75"/>
      <c r="N697" s="70"/>
      <c r="O697" s="77" t="s">
        <v>179</v>
      </c>
      <c r="P697" s="79">
        <v>45117.63008101852</v>
      </c>
      <c r="Q697" s="77" t="s">
        <v>1802</v>
      </c>
      <c r="R697" s="77">
        <v>0</v>
      </c>
      <c r="S697" s="77">
        <v>1</v>
      </c>
      <c r="T697" s="77">
        <v>0</v>
      </c>
      <c r="U697" s="77">
        <v>0</v>
      </c>
      <c r="V697" s="77">
        <v>10</v>
      </c>
      <c r="W697" s="82" t="s">
        <v>4545</v>
      </c>
      <c r="X697" s="80" t="str">
        <f>HYPERLINK("https://eln.one/ep0SQ")</f>
        <v>https://eln.one/ep0SQ</v>
      </c>
      <c r="Y697" s="77" t="s">
        <v>6039</v>
      </c>
      <c r="Z697" s="77"/>
      <c r="AA697" s="77" t="s">
        <v>6546</v>
      </c>
      <c r="AB697" s="77" t="s">
        <v>7696</v>
      </c>
      <c r="AC697" s="82" t="s">
        <v>7706</v>
      </c>
      <c r="AD697" s="77" t="s">
        <v>7745</v>
      </c>
      <c r="AE697" s="80" t="str">
        <f>HYPERLINK("https://twitter.com/eloanportugal/status/1678420644499714050")</f>
        <v>https://twitter.com/eloanportugal/status/1678420644499714050</v>
      </c>
      <c r="AF697" s="79">
        <v>45117.63008101852</v>
      </c>
      <c r="AG697" s="85">
        <v>45117</v>
      </c>
      <c r="AH697" s="82" t="s">
        <v>8381</v>
      </c>
      <c r="AI697" s="77" t="b">
        <v>0</v>
      </c>
      <c r="AJ697" s="77"/>
      <c r="AK697" s="77"/>
      <c r="AL697" s="77"/>
      <c r="AM697" s="77"/>
      <c r="AN697" s="77"/>
      <c r="AO697" s="77"/>
      <c r="AP697" s="77"/>
      <c r="AQ697" s="77" t="s">
        <v>11053</v>
      </c>
      <c r="AR697" s="77"/>
      <c r="AS697" s="77"/>
      <c r="AT697" s="77"/>
      <c r="AU697" s="77"/>
      <c r="AV697" s="80" t="str">
        <f>HYPERLINK("https://pbs.twimg.com/media/F0ryo3OX0AQuBaB.jpg")</f>
        <v>https://pbs.twimg.com/media/F0ryo3OX0AQuBaB.jpg</v>
      </c>
      <c r="AW697" s="82" t="s">
        <v>12889</v>
      </c>
      <c r="AX697" s="82" t="s">
        <v>12889</v>
      </c>
      <c r="AY697" s="77"/>
      <c r="AZ697" s="82" t="s">
        <v>15804</v>
      </c>
      <c r="BA697" s="82" t="s">
        <v>15804</v>
      </c>
      <c r="BB697" s="82" t="s">
        <v>15804</v>
      </c>
      <c r="BC697" s="82" t="s">
        <v>12889</v>
      </c>
      <c r="BD697" s="82" t="s">
        <v>16246</v>
      </c>
      <c r="BE697" s="77"/>
      <c r="BF697" s="77"/>
      <c r="BG697" s="77"/>
      <c r="BH697" s="77"/>
      <c r="BI697" s="77"/>
    </row>
    <row r="698" spans="1:61" x14ac:dyDescent="0.25">
      <c r="A698" s="62" t="s">
        <v>443</v>
      </c>
      <c r="B698" s="62" t="s">
        <v>443</v>
      </c>
      <c r="C698" s="63"/>
      <c r="D698" s="64"/>
      <c r="E698" s="65"/>
      <c r="F698" s="66"/>
      <c r="G698" s="63"/>
      <c r="H698" s="67"/>
      <c r="I698" s="68"/>
      <c r="J698" s="68"/>
      <c r="K698" s="32"/>
      <c r="L698" s="75">
        <v>698</v>
      </c>
      <c r="M698" s="75"/>
      <c r="N698" s="70"/>
      <c r="O698" s="77" t="s">
        <v>179</v>
      </c>
      <c r="P698" s="79">
        <v>45171.958333333336</v>
      </c>
      <c r="Q698" s="77" t="s">
        <v>1803</v>
      </c>
      <c r="R698" s="77">
        <v>0</v>
      </c>
      <c r="S698" s="77">
        <v>2</v>
      </c>
      <c r="T698" s="77">
        <v>0</v>
      </c>
      <c r="U698" s="77">
        <v>0</v>
      </c>
      <c r="V698" s="77">
        <v>43</v>
      </c>
      <c r="W698" s="82" t="s">
        <v>4546</v>
      </c>
      <c r="X698" s="77"/>
      <c r="Y698" s="77"/>
      <c r="Z698" s="77"/>
      <c r="AA698" s="77" t="s">
        <v>6547</v>
      </c>
      <c r="AB698" s="77" t="s">
        <v>7696</v>
      </c>
      <c r="AC698" s="82" t="s">
        <v>7706</v>
      </c>
      <c r="AD698" s="77" t="s">
        <v>7745</v>
      </c>
      <c r="AE698" s="80" t="str">
        <f>HYPERLINK("https://twitter.com/grupoayonel/status/1698108543264604407")</f>
        <v>https://twitter.com/grupoayonel/status/1698108543264604407</v>
      </c>
      <c r="AF698" s="79">
        <v>45171.958333333336</v>
      </c>
      <c r="AG698" s="85">
        <v>45171</v>
      </c>
      <c r="AH698" s="82" t="s">
        <v>8382</v>
      </c>
      <c r="AI698" s="77" t="b">
        <v>0</v>
      </c>
      <c r="AJ698" s="77"/>
      <c r="AK698" s="77"/>
      <c r="AL698" s="77"/>
      <c r="AM698" s="77"/>
      <c r="AN698" s="77"/>
      <c r="AO698" s="77"/>
      <c r="AP698" s="77"/>
      <c r="AQ698" s="77" t="s">
        <v>11054</v>
      </c>
      <c r="AR698" s="77"/>
      <c r="AS698" s="77"/>
      <c r="AT698" s="77"/>
      <c r="AU698" s="77"/>
      <c r="AV698" s="80" t="str">
        <f>HYPERLINK("https://pbs.twimg.com/media/F48VmnLXwAARAak.jpg")</f>
        <v>https://pbs.twimg.com/media/F48VmnLXwAARAak.jpg</v>
      </c>
      <c r="AW698" s="82" t="s">
        <v>12890</v>
      </c>
      <c r="AX698" s="82" t="s">
        <v>12890</v>
      </c>
      <c r="AY698" s="77"/>
      <c r="AZ698" s="82" t="s">
        <v>15804</v>
      </c>
      <c r="BA698" s="82" t="s">
        <v>15804</v>
      </c>
      <c r="BB698" s="82" t="s">
        <v>15804</v>
      </c>
      <c r="BC698" s="82" t="s">
        <v>12890</v>
      </c>
      <c r="BD698" s="82" t="s">
        <v>16247</v>
      </c>
      <c r="BE698" s="77"/>
      <c r="BF698" s="77"/>
      <c r="BG698" s="77"/>
      <c r="BH698" s="77"/>
      <c r="BI698" s="77"/>
    </row>
    <row r="699" spans="1:61" x14ac:dyDescent="0.25">
      <c r="A699" s="62" t="s">
        <v>443</v>
      </c>
      <c r="B699" s="62" t="s">
        <v>443</v>
      </c>
      <c r="C699" s="63"/>
      <c r="D699" s="64"/>
      <c r="E699" s="65"/>
      <c r="F699" s="66"/>
      <c r="G699" s="63"/>
      <c r="H699" s="67"/>
      <c r="I699" s="68"/>
      <c r="J699" s="68"/>
      <c r="K699" s="32"/>
      <c r="L699" s="75">
        <v>699</v>
      </c>
      <c r="M699" s="75"/>
      <c r="N699" s="70"/>
      <c r="O699" s="77" t="s">
        <v>179</v>
      </c>
      <c r="P699" s="79">
        <v>45170.09443287037</v>
      </c>
      <c r="Q699" s="77" t="s">
        <v>1804</v>
      </c>
      <c r="R699" s="77">
        <v>1</v>
      </c>
      <c r="S699" s="77">
        <v>2</v>
      </c>
      <c r="T699" s="77">
        <v>1</v>
      </c>
      <c r="U699" s="77">
        <v>0</v>
      </c>
      <c r="V699" s="77">
        <v>91</v>
      </c>
      <c r="W699" s="82" t="s">
        <v>4547</v>
      </c>
      <c r="X699" s="77"/>
      <c r="Y699" s="77"/>
      <c r="Z699" s="77"/>
      <c r="AA699" s="77" t="s">
        <v>6548</v>
      </c>
      <c r="AB699" s="77" t="s">
        <v>7700</v>
      </c>
      <c r="AC699" s="82" t="s">
        <v>7706</v>
      </c>
      <c r="AD699" s="77" t="s">
        <v>7745</v>
      </c>
      <c r="AE699" s="80" t="str">
        <f>HYPERLINK("https://twitter.com/grupoayonel/status/1697433087041303018")</f>
        <v>https://twitter.com/grupoayonel/status/1697433087041303018</v>
      </c>
      <c r="AF699" s="79">
        <v>45170.09443287037</v>
      </c>
      <c r="AG699" s="85">
        <v>45170</v>
      </c>
      <c r="AH699" s="82" t="s">
        <v>8383</v>
      </c>
      <c r="AI699" s="77" t="b">
        <v>0</v>
      </c>
      <c r="AJ699" s="77"/>
      <c r="AK699" s="77"/>
      <c r="AL699" s="77"/>
      <c r="AM699" s="77"/>
      <c r="AN699" s="77"/>
      <c r="AO699" s="77"/>
      <c r="AP699" s="77"/>
      <c r="AQ699" s="77" t="s">
        <v>11055</v>
      </c>
      <c r="AR699" s="77"/>
      <c r="AS699" s="77"/>
      <c r="AT699" s="77"/>
      <c r="AU699" s="77"/>
      <c r="AV699" s="80" t="str">
        <f>HYPERLINK("https://pbs.twimg.com/media/F458kx_WkAEyjAq.png")</f>
        <v>https://pbs.twimg.com/media/F458kx_WkAEyjAq.png</v>
      </c>
      <c r="AW699" s="82" t="s">
        <v>12891</v>
      </c>
      <c r="AX699" s="82" t="s">
        <v>12891</v>
      </c>
      <c r="AY699" s="77"/>
      <c r="AZ699" s="82" t="s">
        <v>15804</v>
      </c>
      <c r="BA699" s="82" t="s">
        <v>15804</v>
      </c>
      <c r="BB699" s="82" t="s">
        <v>15804</v>
      </c>
      <c r="BC699" s="82" t="s">
        <v>12891</v>
      </c>
      <c r="BD699" s="82" t="s">
        <v>16247</v>
      </c>
      <c r="BE699" s="77"/>
      <c r="BF699" s="77"/>
      <c r="BG699" s="77"/>
      <c r="BH699" s="77"/>
      <c r="BI699" s="77"/>
    </row>
    <row r="700" spans="1:61" x14ac:dyDescent="0.25">
      <c r="A700" s="62" t="s">
        <v>443</v>
      </c>
      <c r="B700" s="62" t="s">
        <v>443</v>
      </c>
      <c r="C700" s="63"/>
      <c r="D700" s="64"/>
      <c r="E700" s="65"/>
      <c r="F700" s="66"/>
      <c r="G700" s="63"/>
      <c r="H700" s="67"/>
      <c r="I700" s="68"/>
      <c r="J700" s="68"/>
      <c r="K700" s="32"/>
      <c r="L700" s="75">
        <v>700</v>
      </c>
      <c r="M700" s="75"/>
      <c r="N700" s="70"/>
      <c r="O700" s="77" t="s">
        <v>179</v>
      </c>
      <c r="P700" s="79">
        <v>45171.388888888891</v>
      </c>
      <c r="Q700" s="77" t="s">
        <v>1805</v>
      </c>
      <c r="R700" s="77">
        <v>0</v>
      </c>
      <c r="S700" s="77">
        <v>1</v>
      </c>
      <c r="T700" s="77">
        <v>0</v>
      </c>
      <c r="U700" s="77">
        <v>0</v>
      </c>
      <c r="V700" s="77">
        <v>40</v>
      </c>
      <c r="W700" s="82" t="s">
        <v>4548</v>
      </c>
      <c r="X700" s="77"/>
      <c r="Y700" s="77"/>
      <c r="Z700" s="77"/>
      <c r="AA700" s="77" t="s">
        <v>6549</v>
      </c>
      <c r="AB700" s="77" t="s">
        <v>7696</v>
      </c>
      <c r="AC700" s="82" t="s">
        <v>7706</v>
      </c>
      <c r="AD700" s="77" t="s">
        <v>7745</v>
      </c>
      <c r="AE700" s="80" t="str">
        <f>HYPERLINK("https://twitter.com/grupoayonel/status/1697902181415047484")</f>
        <v>https://twitter.com/grupoayonel/status/1697902181415047484</v>
      </c>
      <c r="AF700" s="79">
        <v>45171.388888888891</v>
      </c>
      <c r="AG700" s="85">
        <v>45171</v>
      </c>
      <c r="AH700" s="82" t="s">
        <v>8384</v>
      </c>
      <c r="AI700" s="77" t="b">
        <v>0</v>
      </c>
      <c r="AJ700" s="77"/>
      <c r="AK700" s="77"/>
      <c r="AL700" s="77"/>
      <c r="AM700" s="77"/>
      <c r="AN700" s="77"/>
      <c r="AO700" s="77"/>
      <c r="AP700" s="77"/>
      <c r="AQ700" s="77" t="s">
        <v>11056</v>
      </c>
      <c r="AR700" s="77"/>
      <c r="AS700" s="77"/>
      <c r="AT700" s="77"/>
      <c r="AU700" s="77"/>
      <c r="AV700" s="80" t="str">
        <f>HYPERLINK("https://pbs.twimg.com/media/F48S0AFW8AALKQM.jpg")</f>
        <v>https://pbs.twimg.com/media/F48S0AFW8AALKQM.jpg</v>
      </c>
      <c r="AW700" s="82" t="s">
        <v>12892</v>
      </c>
      <c r="AX700" s="82" t="s">
        <v>12892</v>
      </c>
      <c r="AY700" s="77"/>
      <c r="AZ700" s="82" t="s">
        <v>15804</v>
      </c>
      <c r="BA700" s="82" t="s">
        <v>15804</v>
      </c>
      <c r="BB700" s="82" t="s">
        <v>15804</v>
      </c>
      <c r="BC700" s="82" t="s">
        <v>12892</v>
      </c>
      <c r="BD700" s="82" t="s">
        <v>16247</v>
      </c>
      <c r="BE700" s="77"/>
      <c r="BF700" s="77"/>
      <c r="BG700" s="77"/>
      <c r="BH700" s="77"/>
      <c r="BI700" s="77"/>
    </row>
    <row r="701" spans="1:61" x14ac:dyDescent="0.25">
      <c r="A701" s="62" t="s">
        <v>444</v>
      </c>
      <c r="B701" s="62" t="s">
        <v>444</v>
      </c>
      <c r="C701" s="63"/>
      <c r="D701" s="64"/>
      <c r="E701" s="65"/>
      <c r="F701" s="66"/>
      <c r="G701" s="63"/>
      <c r="H701" s="67"/>
      <c r="I701" s="68"/>
      <c r="J701" s="68"/>
      <c r="K701" s="32"/>
      <c r="L701" s="75">
        <v>701</v>
      </c>
      <c r="M701" s="75"/>
      <c r="N701" s="70"/>
      <c r="O701" s="77" t="s">
        <v>179</v>
      </c>
      <c r="P701" s="79">
        <v>45086.653761574074</v>
      </c>
      <c r="Q701" s="77" t="s">
        <v>1806</v>
      </c>
      <c r="R701" s="77">
        <v>0</v>
      </c>
      <c r="S701" s="77">
        <v>0</v>
      </c>
      <c r="T701" s="77">
        <v>0</v>
      </c>
      <c r="U701" s="77">
        <v>0</v>
      </c>
      <c r="V701" s="77">
        <v>12</v>
      </c>
      <c r="W701" s="82" t="s">
        <v>4549</v>
      </c>
      <c r="X701" s="80" t="str">
        <f>HYPERLINK("https://vm.tiktok.com/ZM2h8djtx/")</f>
        <v>https://vm.tiktok.com/ZM2h8djtx/</v>
      </c>
      <c r="Y701" s="77" t="s">
        <v>6040</v>
      </c>
      <c r="Z701" s="77"/>
      <c r="AA701" s="77"/>
      <c r="AB701" s="77"/>
      <c r="AC701" s="82" t="s">
        <v>7705</v>
      </c>
      <c r="AD701" s="77" t="s">
        <v>7745</v>
      </c>
      <c r="AE701" s="80" t="str">
        <f>HYPERLINK("https://twitter.com/mallonsoigcombr/status/1667195201180270592")</f>
        <v>https://twitter.com/mallonsoigcombr/status/1667195201180270592</v>
      </c>
      <c r="AF701" s="79">
        <v>45086.653761574074</v>
      </c>
      <c r="AG701" s="85">
        <v>45086</v>
      </c>
      <c r="AH701" s="82" t="s">
        <v>8385</v>
      </c>
      <c r="AI701" s="77" t="b">
        <v>0</v>
      </c>
      <c r="AJ701" s="77"/>
      <c r="AK701" s="77"/>
      <c r="AL701" s="77"/>
      <c r="AM701" s="77"/>
      <c r="AN701" s="77"/>
      <c r="AO701" s="77"/>
      <c r="AP701" s="77"/>
      <c r="AQ701" s="77"/>
      <c r="AR701" s="77"/>
      <c r="AS701" s="77"/>
      <c r="AT701" s="77"/>
      <c r="AU701" s="77"/>
      <c r="AV701" s="80" t="str">
        <f>HYPERLINK("https://pbs.twimg.com/profile_images/423096899550609409/qrtxlhk3_normal.jpeg")</f>
        <v>https://pbs.twimg.com/profile_images/423096899550609409/qrtxlhk3_normal.jpeg</v>
      </c>
      <c r="AW701" s="82" t="s">
        <v>12893</v>
      </c>
      <c r="AX701" s="82" t="s">
        <v>12893</v>
      </c>
      <c r="AY701" s="77"/>
      <c r="AZ701" s="82" t="s">
        <v>15804</v>
      </c>
      <c r="BA701" s="82" t="s">
        <v>15804</v>
      </c>
      <c r="BB701" s="82" t="s">
        <v>15804</v>
      </c>
      <c r="BC701" s="82" t="s">
        <v>12893</v>
      </c>
      <c r="BD701" s="77">
        <v>102463274</v>
      </c>
      <c r="BE701" s="77"/>
      <c r="BF701" s="77"/>
      <c r="BG701" s="77"/>
      <c r="BH701" s="77"/>
      <c r="BI701" s="77"/>
    </row>
    <row r="702" spans="1:61" x14ac:dyDescent="0.25">
      <c r="A702" s="62" t="s">
        <v>445</v>
      </c>
      <c r="B702" s="62" t="s">
        <v>445</v>
      </c>
      <c r="C702" s="63"/>
      <c r="D702" s="64"/>
      <c r="E702" s="65"/>
      <c r="F702" s="66"/>
      <c r="G702" s="63"/>
      <c r="H702" s="67"/>
      <c r="I702" s="68"/>
      <c r="J702" s="68"/>
      <c r="K702" s="32"/>
      <c r="L702" s="75">
        <v>702</v>
      </c>
      <c r="M702" s="75"/>
      <c r="N702" s="70"/>
      <c r="O702" s="77" t="s">
        <v>179</v>
      </c>
      <c r="P702" s="79">
        <v>45172.395324074074</v>
      </c>
      <c r="Q702" s="77" t="s">
        <v>1807</v>
      </c>
      <c r="R702" s="77">
        <v>0</v>
      </c>
      <c r="S702" s="77">
        <v>0</v>
      </c>
      <c r="T702" s="77">
        <v>0</v>
      </c>
      <c r="U702" s="77">
        <v>0</v>
      </c>
      <c r="V702" s="77">
        <v>51</v>
      </c>
      <c r="W702" s="82" t="s">
        <v>4550</v>
      </c>
      <c r="X702" s="77"/>
      <c r="Y702" s="77"/>
      <c r="Z702" s="77"/>
      <c r="AA702" s="77" t="s">
        <v>6550</v>
      </c>
      <c r="AB702" s="77" t="s">
        <v>7696</v>
      </c>
      <c r="AC702" s="82" t="s">
        <v>7707</v>
      </c>
      <c r="AD702" s="77" t="s">
        <v>7745</v>
      </c>
      <c r="AE702" s="80" t="str">
        <f>HYPERLINK("https://twitter.com/settitiago/status/1698266904542982334")</f>
        <v>https://twitter.com/settitiago/status/1698266904542982334</v>
      </c>
      <c r="AF702" s="79">
        <v>45172.395324074074</v>
      </c>
      <c r="AG702" s="85">
        <v>45172</v>
      </c>
      <c r="AH702" s="82" t="s">
        <v>8386</v>
      </c>
      <c r="AI702" s="77" t="b">
        <v>0</v>
      </c>
      <c r="AJ702" s="77" t="s">
        <v>10531</v>
      </c>
      <c r="AK702" s="77" t="s">
        <v>10552</v>
      </c>
      <c r="AL702" s="77" t="s">
        <v>10555</v>
      </c>
      <c r="AM702" s="77" t="s">
        <v>10568</v>
      </c>
      <c r="AN702" s="77" t="s">
        <v>10598</v>
      </c>
      <c r="AO702" s="77" t="s">
        <v>10629</v>
      </c>
      <c r="AP702" s="77" t="s">
        <v>10649</v>
      </c>
      <c r="AQ702" s="77" t="s">
        <v>11057</v>
      </c>
      <c r="AR702" s="77"/>
      <c r="AS702" s="77"/>
      <c r="AT702" s="77"/>
      <c r="AU702" s="77"/>
      <c r="AV702" s="80" t="str">
        <f>HYPERLINK("https://pbs.twimg.com/media/F5F0v-xW4AAUtvQ.jpg")</f>
        <v>https://pbs.twimg.com/media/F5F0v-xW4AAUtvQ.jpg</v>
      </c>
      <c r="AW702" s="82" t="s">
        <v>12894</v>
      </c>
      <c r="AX702" s="82" t="s">
        <v>12894</v>
      </c>
      <c r="AY702" s="77"/>
      <c r="AZ702" s="82" t="s">
        <v>15804</v>
      </c>
      <c r="BA702" s="82" t="s">
        <v>15804</v>
      </c>
      <c r="BB702" s="82" t="s">
        <v>15804</v>
      </c>
      <c r="BC702" s="82" t="s">
        <v>12894</v>
      </c>
      <c r="BD702" s="82" t="s">
        <v>16248</v>
      </c>
      <c r="BE702" s="77"/>
      <c r="BF702" s="77"/>
      <c r="BG702" s="77"/>
      <c r="BH702" s="77"/>
      <c r="BI702" s="77"/>
    </row>
    <row r="703" spans="1:61" x14ac:dyDescent="0.25">
      <c r="A703" s="62" t="s">
        <v>445</v>
      </c>
      <c r="B703" s="62" t="s">
        <v>445</v>
      </c>
      <c r="C703" s="63"/>
      <c r="D703" s="64"/>
      <c r="E703" s="65"/>
      <c r="F703" s="66"/>
      <c r="G703" s="63"/>
      <c r="H703" s="67"/>
      <c r="I703" s="68"/>
      <c r="J703" s="68"/>
      <c r="K703" s="32"/>
      <c r="L703" s="75">
        <v>703</v>
      </c>
      <c r="M703" s="75"/>
      <c r="N703" s="70"/>
      <c r="O703" s="77" t="s">
        <v>179</v>
      </c>
      <c r="P703" s="79">
        <v>45178.689942129633</v>
      </c>
      <c r="Q703" s="77" t="s">
        <v>1808</v>
      </c>
      <c r="R703" s="77">
        <v>0</v>
      </c>
      <c r="S703" s="77">
        <v>0</v>
      </c>
      <c r="T703" s="77">
        <v>1</v>
      </c>
      <c r="U703" s="77">
        <v>0</v>
      </c>
      <c r="V703" s="77">
        <v>32</v>
      </c>
      <c r="W703" s="82" t="s">
        <v>4551</v>
      </c>
      <c r="X703" s="77"/>
      <c r="Y703" s="77"/>
      <c r="Z703" s="77"/>
      <c r="AA703" s="77" t="s">
        <v>6551</v>
      </c>
      <c r="AB703" s="77" t="s">
        <v>7696</v>
      </c>
      <c r="AC703" s="82" t="s">
        <v>7707</v>
      </c>
      <c r="AD703" s="77" t="s">
        <v>7745</v>
      </c>
      <c r="AE703" s="80" t="str">
        <f>HYPERLINK("https://twitter.com/settitiago/status/1700547996977443321")</f>
        <v>https://twitter.com/settitiago/status/1700547996977443321</v>
      </c>
      <c r="AF703" s="79">
        <v>45178.689942129633</v>
      </c>
      <c r="AG703" s="85">
        <v>45178</v>
      </c>
      <c r="AH703" s="82" t="s">
        <v>8387</v>
      </c>
      <c r="AI703" s="77" t="b">
        <v>0</v>
      </c>
      <c r="AJ703" s="77" t="s">
        <v>10532</v>
      </c>
      <c r="AK703" s="77" t="s">
        <v>10552</v>
      </c>
      <c r="AL703" s="77" t="s">
        <v>10555</v>
      </c>
      <c r="AM703" s="77" t="s">
        <v>10569</v>
      </c>
      <c r="AN703" s="77" t="s">
        <v>10599</v>
      </c>
      <c r="AO703" s="77" t="s">
        <v>10630</v>
      </c>
      <c r="AP703" s="77" t="s">
        <v>10649</v>
      </c>
      <c r="AQ703" s="77" t="s">
        <v>11058</v>
      </c>
      <c r="AR703" s="77"/>
      <c r="AS703" s="77"/>
      <c r="AT703" s="77"/>
      <c r="AU703" s="77"/>
      <c r="AV703" s="80" t="str">
        <f>HYPERLINK("https://pbs.twimg.com/media/F5mPZBFXEAAdOn8.jpg")</f>
        <v>https://pbs.twimg.com/media/F5mPZBFXEAAdOn8.jpg</v>
      </c>
      <c r="AW703" s="82" t="s">
        <v>12895</v>
      </c>
      <c r="AX703" s="82" t="s">
        <v>12895</v>
      </c>
      <c r="AY703" s="77"/>
      <c r="AZ703" s="82" t="s">
        <v>15804</v>
      </c>
      <c r="BA703" s="82" t="s">
        <v>15804</v>
      </c>
      <c r="BB703" s="82" t="s">
        <v>15804</v>
      </c>
      <c r="BC703" s="82" t="s">
        <v>12895</v>
      </c>
      <c r="BD703" s="82" t="s">
        <v>16248</v>
      </c>
      <c r="BE703" s="77"/>
      <c r="BF703" s="77"/>
      <c r="BG703" s="77"/>
      <c r="BH703" s="77"/>
      <c r="BI703" s="77"/>
    </row>
    <row r="704" spans="1:61" x14ac:dyDescent="0.25">
      <c r="A704" s="62" t="s">
        <v>445</v>
      </c>
      <c r="B704" s="62" t="s">
        <v>445</v>
      </c>
      <c r="C704" s="63"/>
      <c r="D704" s="64"/>
      <c r="E704" s="65"/>
      <c r="F704" s="66"/>
      <c r="G704" s="63"/>
      <c r="H704" s="67"/>
      <c r="I704" s="68"/>
      <c r="J704" s="68"/>
      <c r="K704" s="32"/>
      <c r="L704" s="75">
        <v>704</v>
      </c>
      <c r="M704" s="75"/>
      <c r="N704" s="70"/>
      <c r="O704" s="77" t="s">
        <v>179</v>
      </c>
      <c r="P704" s="79">
        <v>45173.696458333332</v>
      </c>
      <c r="Q704" s="77" t="s">
        <v>1809</v>
      </c>
      <c r="R704" s="77">
        <v>0</v>
      </c>
      <c r="S704" s="77">
        <v>0</v>
      </c>
      <c r="T704" s="77">
        <v>0</v>
      </c>
      <c r="U704" s="77">
        <v>0</v>
      </c>
      <c r="V704" s="77">
        <v>18</v>
      </c>
      <c r="W704" s="82" t="s">
        <v>4552</v>
      </c>
      <c r="X704" s="77"/>
      <c r="Y704" s="77"/>
      <c r="Z704" s="77"/>
      <c r="AA704" s="77" t="s">
        <v>6552</v>
      </c>
      <c r="AB704" s="77" t="s">
        <v>7696</v>
      </c>
      <c r="AC704" s="82" t="s">
        <v>7706</v>
      </c>
      <c r="AD704" s="77" t="s">
        <v>7745</v>
      </c>
      <c r="AE704" s="80" t="str">
        <f>HYPERLINK("https://twitter.com/settitiago/status/1698738419747131692")</f>
        <v>https://twitter.com/settitiago/status/1698738419747131692</v>
      </c>
      <c r="AF704" s="79">
        <v>45173.696458333332</v>
      </c>
      <c r="AG704" s="85">
        <v>45173</v>
      </c>
      <c r="AH704" s="82" t="s">
        <v>8388</v>
      </c>
      <c r="AI704" s="77" t="b">
        <v>0</v>
      </c>
      <c r="AJ704" s="77"/>
      <c r="AK704" s="77"/>
      <c r="AL704" s="77"/>
      <c r="AM704" s="77"/>
      <c r="AN704" s="77"/>
      <c r="AO704" s="77"/>
      <c r="AP704" s="77"/>
      <c r="AQ704" s="77" t="s">
        <v>11059</v>
      </c>
      <c r="AR704" s="77"/>
      <c r="AS704" s="77"/>
      <c r="AT704" s="77"/>
      <c r="AU704" s="77"/>
      <c r="AV704" s="80" t="str">
        <f>HYPERLINK("https://pbs.twimg.com/media/F5MhPDXXMAAZVCO.jpg")</f>
        <v>https://pbs.twimg.com/media/F5MhPDXXMAAZVCO.jpg</v>
      </c>
      <c r="AW704" s="82" t="s">
        <v>12896</v>
      </c>
      <c r="AX704" s="82" t="s">
        <v>12896</v>
      </c>
      <c r="AY704" s="77"/>
      <c r="AZ704" s="82" t="s">
        <v>15804</v>
      </c>
      <c r="BA704" s="82" t="s">
        <v>15804</v>
      </c>
      <c r="BB704" s="82" t="s">
        <v>15804</v>
      </c>
      <c r="BC704" s="82" t="s">
        <v>12896</v>
      </c>
      <c r="BD704" s="82" t="s">
        <v>16248</v>
      </c>
      <c r="BE704" s="77"/>
      <c r="BF704" s="77"/>
      <c r="BG704" s="77"/>
      <c r="BH704" s="77"/>
      <c r="BI704" s="77"/>
    </row>
    <row r="705" spans="1:61" x14ac:dyDescent="0.25">
      <c r="A705" s="62" t="s">
        <v>446</v>
      </c>
      <c r="B705" s="62" t="s">
        <v>446</v>
      </c>
      <c r="C705" s="63"/>
      <c r="D705" s="64"/>
      <c r="E705" s="65"/>
      <c r="F705" s="66"/>
      <c r="G705" s="63"/>
      <c r="H705" s="67"/>
      <c r="I705" s="68"/>
      <c r="J705" s="68"/>
      <c r="K705" s="32"/>
      <c r="L705" s="75">
        <v>705</v>
      </c>
      <c r="M705" s="75"/>
      <c r="N705" s="70"/>
      <c r="O705" s="77" t="s">
        <v>179</v>
      </c>
      <c r="P705" s="79">
        <v>45100.928287037037</v>
      </c>
      <c r="Q705" s="77" t="s">
        <v>1810</v>
      </c>
      <c r="R705" s="77">
        <v>0</v>
      </c>
      <c r="S705" s="77">
        <v>0</v>
      </c>
      <c r="T705" s="77">
        <v>0</v>
      </c>
      <c r="U705" s="77">
        <v>0</v>
      </c>
      <c r="V705" s="77">
        <v>11</v>
      </c>
      <c r="W705" s="82" t="s">
        <v>4097</v>
      </c>
      <c r="X705" s="77"/>
      <c r="Y705" s="77"/>
      <c r="Z705" s="77"/>
      <c r="AA705" s="77"/>
      <c r="AB705" s="77"/>
      <c r="AC705" s="82" t="s">
        <v>7705</v>
      </c>
      <c r="AD705" s="77" t="s">
        <v>7745</v>
      </c>
      <c r="AE705" s="80" t="str">
        <f>HYPERLINK("https://twitter.com/guiademicon/status/1672368114103734272")</f>
        <v>https://twitter.com/guiademicon/status/1672368114103734272</v>
      </c>
      <c r="AF705" s="79">
        <v>45100.928287037037</v>
      </c>
      <c r="AG705" s="85">
        <v>45100</v>
      </c>
      <c r="AH705" s="82" t="s">
        <v>8389</v>
      </c>
      <c r="AI705" s="77"/>
      <c r="AJ705" s="77"/>
      <c r="AK705" s="77"/>
      <c r="AL705" s="77"/>
      <c r="AM705" s="77"/>
      <c r="AN705" s="77"/>
      <c r="AO705" s="77"/>
      <c r="AP705" s="77"/>
      <c r="AQ705" s="77"/>
      <c r="AR705" s="77"/>
      <c r="AS705" s="77"/>
      <c r="AT705" s="77"/>
      <c r="AU705" s="77"/>
      <c r="AV705" s="80" t="str">
        <f>HYPERLINK("https://pbs.twimg.com/profile_images/1671561305168175139/pLvT-Z21_normal.jpg")</f>
        <v>https://pbs.twimg.com/profile_images/1671561305168175139/pLvT-Z21_normal.jpg</v>
      </c>
      <c r="AW705" s="82" t="s">
        <v>12897</v>
      </c>
      <c r="AX705" s="82" t="s">
        <v>12897</v>
      </c>
      <c r="AY705" s="77"/>
      <c r="AZ705" s="82" t="s">
        <v>15804</v>
      </c>
      <c r="BA705" s="82" t="s">
        <v>15804</v>
      </c>
      <c r="BB705" s="82" t="s">
        <v>15804</v>
      </c>
      <c r="BC705" s="82" t="s">
        <v>12897</v>
      </c>
      <c r="BD705" s="82" t="s">
        <v>16249</v>
      </c>
      <c r="BE705" s="77"/>
      <c r="BF705" s="77"/>
      <c r="BG705" s="77"/>
      <c r="BH705" s="77"/>
      <c r="BI705" s="77"/>
    </row>
    <row r="706" spans="1:61" x14ac:dyDescent="0.25">
      <c r="A706" s="62" t="s">
        <v>446</v>
      </c>
      <c r="B706" s="62" t="s">
        <v>446</v>
      </c>
      <c r="C706" s="63"/>
      <c r="D706" s="64"/>
      <c r="E706" s="65"/>
      <c r="F706" s="66"/>
      <c r="G706" s="63"/>
      <c r="H706" s="67"/>
      <c r="I706" s="68"/>
      <c r="J706" s="68"/>
      <c r="K706" s="32"/>
      <c r="L706" s="75">
        <v>706</v>
      </c>
      <c r="M706" s="75"/>
      <c r="N706" s="70"/>
      <c r="O706" s="77" t="s">
        <v>179</v>
      </c>
      <c r="P706" s="79">
        <v>45099.673622685186</v>
      </c>
      <c r="Q706" s="77" t="s">
        <v>1811</v>
      </c>
      <c r="R706" s="77">
        <v>0</v>
      </c>
      <c r="S706" s="77">
        <v>0</v>
      </c>
      <c r="T706" s="77">
        <v>0</v>
      </c>
      <c r="U706" s="77">
        <v>0</v>
      </c>
      <c r="V706" s="77">
        <v>15</v>
      </c>
      <c r="W706" s="82" t="s">
        <v>4080</v>
      </c>
      <c r="X706" s="77"/>
      <c r="Y706" s="77"/>
      <c r="Z706" s="77"/>
      <c r="AA706" s="77"/>
      <c r="AB706" s="77"/>
      <c r="AC706" s="82" t="s">
        <v>7705</v>
      </c>
      <c r="AD706" s="77" t="s">
        <v>7745</v>
      </c>
      <c r="AE706" s="80" t="str">
        <f>HYPERLINK("https://twitter.com/guiademicon/status/1671913441580253187")</f>
        <v>https://twitter.com/guiademicon/status/1671913441580253187</v>
      </c>
      <c r="AF706" s="79">
        <v>45099.673622685186</v>
      </c>
      <c r="AG706" s="85">
        <v>45099</v>
      </c>
      <c r="AH706" s="82" t="s">
        <v>8390</v>
      </c>
      <c r="AI706" s="77"/>
      <c r="AJ706" s="77"/>
      <c r="AK706" s="77"/>
      <c r="AL706" s="77"/>
      <c r="AM706" s="77"/>
      <c r="AN706" s="77"/>
      <c r="AO706" s="77"/>
      <c r="AP706" s="77"/>
      <c r="AQ706" s="77"/>
      <c r="AR706" s="77"/>
      <c r="AS706" s="77"/>
      <c r="AT706" s="77"/>
      <c r="AU706" s="77"/>
      <c r="AV706" s="80" t="str">
        <f>HYPERLINK("https://pbs.twimg.com/profile_images/1671561305168175139/pLvT-Z21_normal.jpg")</f>
        <v>https://pbs.twimg.com/profile_images/1671561305168175139/pLvT-Z21_normal.jpg</v>
      </c>
      <c r="AW706" s="82" t="s">
        <v>12898</v>
      </c>
      <c r="AX706" s="82" t="s">
        <v>12898</v>
      </c>
      <c r="AY706" s="77"/>
      <c r="AZ706" s="82" t="s">
        <v>15804</v>
      </c>
      <c r="BA706" s="82" t="s">
        <v>15804</v>
      </c>
      <c r="BB706" s="82" t="s">
        <v>15804</v>
      </c>
      <c r="BC706" s="82" t="s">
        <v>12898</v>
      </c>
      <c r="BD706" s="82" t="s">
        <v>16249</v>
      </c>
      <c r="BE706" s="77"/>
      <c r="BF706" s="77"/>
      <c r="BG706" s="77"/>
      <c r="BH706" s="77"/>
      <c r="BI706" s="77"/>
    </row>
    <row r="707" spans="1:61" x14ac:dyDescent="0.25">
      <c r="A707" s="62" t="s">
        <v>447</v>
      </c>
      <c r="B707" s="62" t="s">
        <v>447</v>
      </c>
      <c r="C707" s="63"/>
      <c r="D707" s="64"/>
      <c r="E707" s="65"/>
      <c r="F707" s="66"/>
      <c r="G707" s="63"/>
      <c r="H707" s="67"/>
      <c r="I707" s="68"/>
      <c r="J707" s="68"/>
      <c r="K707" s="32"/>
      <c r="L707" s="75">
        <v>707</v>
      </c>
      <c r="M707" s="75"/>
      <c r="N707" s="70"/>
      <c r="O707" s="77" t="s">
        <v>179</v>
      </c>
      <c r="P707" s="79">
        <v>45145.929143518515</v>
      </c>
      <c r="Q707" s="77" t="s">
        <v>1812</v>
      </c>
      <c r="R707" s="77">
        <v>0</v>
      </c>
      <c r="S707" s="77">
        <v>0</v>
      </c>
      <c r="T707" s="77">
        <v>0</v>
      </c>
      <c r="U707" s="77">
        <v>0</v>
      </c>
      <c r="V707" s="77">
        <v>37</v>
      </c>
      <c r="W707" s="82" t="s">
        <v>4553</v>
      </c>
      <c r="X707" s="80" t="str">
        <f>HYPERLINK("https://www.facebook.com/photo/?fbid=250516957828235&amp;set=a.104403662439566")</f>
        <v>https://www.facebook.com/photo/?fbid=250516957828235&amp;set=a.104403662439566</v>
      </c>
      <c r="Y707" s="77" t="s">
        <v>6041</v>
      </c>
      <c r="Z707" s="77"/>
      <c r="AA707" s="77" t="s">
        <v>6553</v>
      </c>
      <c r="AB707" s="77" t="s">
        <v>7696</v>
      </c>
      <c r="AC707" s="82" t="s">
        <v>7706</v>
      </c>
      <c r="AD707" s="77" t="s">
        <v>7745</v>
      </c>
      <c r="AE707" s="80" t="str">
        <f>HYPERLINK("https://twitter.com/admgestpublica/status/1688675879596314627")</f>
        <v>https://twitter.com/admgestpublica/status/1688675879596314627</v>
      </c>
      <c r="AF707" s="79">
        <v>45145.929143518515</v>
      </c>
      <c r="AG707" s="85">
        <v>45145</v>
      </c>
      <c r="AH707" s="82" t="s">
        <v>8391</v>
      </c>
      <c r="AI707" s="77" t="b">
        <v>0</v>
      </c>
      <c r="AJ707" s="77"/>
      <c r="AK707" s="77"/>
      <c r="AL707" s="77"/>
      <c r="AM707" s="77"/>
      <c r="AN707" s="77"/>
      <c r="AO707" s="77"/>
      <c r="AP707" s="77"/>
      <c r="AQ707" s="77" t="s">
        <v>11060</v>
      </c>
      <c r="AR707" s="77"/>
      <c r="AS707" s="77"/>
      <c r="AT707" s="77"/>
      <c r="AU707" s="77"/>
      <c r="AV707" s="80" t="str">
        <f>HYPERLINK("https://pbs.twimg.com/media/F29fMMoXQAEvhdz.jpg")</f>
        <v>https://pbs.twimg.com/media/F29fMMoXQAEvhdz.jpg</v>
      </c>
      <c r="AW707" s="82" t="s">
        <v>12899</v>
      </c>
      <c r="AX707" s="82" t="s">
        <v>12899</v>
      </c>
      <c r="AY707" s="77"/>
      <c r="AZ707" s="82" t="s">
        <v>15804</v>
      </c>
      <c r="BA707" s="82" t="s">
        <v>15804</v>
      </c>
      <c r="BB707" s="82" t="s">
        <v>15804</v>
      </c>
      <c r="BC707" s="82" t="s">
        <v>12899</v>
      </c>
      <c r="BD707" s="82" t="s">
        <v>16250</v>
      </c>
      <c r="BE707" s="77"/>
      <c r="BF707" s="77"/>
      <c r="BG707" s="77"/>
      <c r="BH707" s="77"/>
      <c r="BI707" s="77"/>
    </row>
    <row r="708" spans="1:61" x14ac:dyDescent="0.25">
      <c r="A708" s="62" t="s">
        <v>448</v>
      </c>
      <c r="B708" s="62" t="s">
        <v>448</v>
      </c>
      <c r="C708" s="63"/>
      <c r="D708" s="64"/>
      <c r="E708" s="65"/>
      <c r="F708" s="66"/>
      <c r="G708" s="63"/>
      <c r="H708" s="67"/>
      <c r="I708" s="68"/>
      <c r="J708" s="68"/>
      <c r="K708" s="32"/>
      <c r="L708" s="75">
        <v>708</v>
      </c>
      <c r="M708" s="75"/>
      <c r="N708" s="70"/>
      <c r="O708" s="77" t="s">
        <v>179</v>
      </c>
      <c r="P708" s="79">
        <v>45115.808333333334</v>
      </c>
      <c r="Q708" s="77" t="s">
        <v>1813</v>
      </c>
      <c r="R708" s="77">
        <v>0</v>
      </c>
      <c r="S708" s="77">
        <v>5</v>
      </c>
      <c r="T708" s="77">
        <v>0</v>
      </c>
      <c r="U708" s="77">
        <v>0</v>
      </c>
      <c r="V708" s="77">
        <v>67</v>
      </c>
      <c r="W708" s="82" t="s">
        <v>4554</v>
      </c>
      <c r="X708" s="80" t="str">
        <f>HYPERLINK("https://paraopovo.com.br/como-administrar-seu-dinheiro-construa-seu-sucesso")</f>
        <v>https://paraopovo.com.br/como-administrar-seu-dinheiro-construa-seu-sucesso</v>
      </c>
      <c r="Y708" s="77" t="s">
        <v>6002</v>
      </c>
      <c r="Z708" s="77"/>
      <c r="AA708" s="77"/>
      <c r="AB708" s="77"/>
      <c r="AC708" s="82" t="s">
        <v>7706</v>
      </c>
      <c r="AD708" s="77" t="s">
        <v>7745</v>
      </c>
      <c r="AE708" s="80" t="str">
        <f>HYPERLINK("https://twitter.com/blogparaopovo/status/1677760462392291328")</f>
        <v>https://twitter.com/blogparaopovo/status/1677760462392291328</v>
      </c>
      <c r="AF708" s="79">
        <v>45115.808333333334</v>
      </c>
      <c r="AG708" s="85">
        <v>45115</v>
      </c>
      <c r="AH708" s="82" t="s">
        <v>8392</v>
      </c>
      <c r="AI708" s="77" t="b">
        <v>0</v>
      </c>
      <c r="AJ708" s="77"/>
      <c r="AK708" s="77"/>
      <c r="AL708" s="77"/>
      <c r="AM708" s="77"/>
      <c r="AN708" s="77"/>
      <c r="AO708" s="77"/>
      <c r="AP708" s="77"/>
      <c r="AQ708" s="77"/>
      <c r="AR708" s="77"/>
      <c r="AS708" s="77"/>
      <c r="AT708" s="77"/>
      <c r="AU708" s="77"/>
      <c r="AV708" s="80" t="str">
        <f>HYPERLINK("https://pbs.twimg.com/profile_images/1676635080142323724/YGJbSA-O_normal.jpg")</f>
        <v>https://pbs.twimg.com/profile_images/1676635080142323724/YGJbSA-O_normal.jpg</v>
      </c>
      <c r="AW708" s="82" t="s">
        <v>12900</v>
      </c>
      <c r="AX708" s="82" t="s">
        <v>12900</v>
      </c>
      <c r="AY708" s="77"/>
      <c r="AZ708" s="82" t="s">
        <v>15804</v>
      </c>
      <c r="BA708" s="82" t="s">
        <v>15804</v>
      </c>
      <c r="BB708" s="82" t="s">
        <v>15804</v>
      </c>
      <c r="BC708" s="82" t="s">
        <v>12900</v>
      </c>
      <c r="BD708" s="82" t="s">
        <v>16251</v>
      </c>
      <c r="BE708" s="77"/>
      <c r="BF708" s="77"/>
      <c r="BG708" s="77"/>
      <c r="BH708" s="77"/>
      <c r="BI708" s="77"/>
    </row>
    <row r="709" spans="1:61" x14ac:dyDescent="0.25">
      <c r="A709" s="62" t="s">
        <v>449</v>
      </c>
      <c r="B709" s="62" t="s">
        <v>449</v>
      </c>
      <c r="C709" s="63"/>
      <c r="D709" s="64"/>
      <c r="E709" s="65"/>
      <c r="F709" s="66"/>
      <c r="G709" s="63"/>
      <c r="H709" s="67"/>
      <c r="I709" s="68"/>
      <c r="J709" s="68"/>
      <c r="K709" s="32"/>
      <c r="L709" s="75">
        <v>709</v>
      </c>
      <c r="M709" s="75"/>
      <c r="N709" s="70"/>
      <c r="O709" s="77" t="s">
        <v>1133</v>
      </c>
      <c r="P709" s="79">
        <v>44986.726377314815</v>
      </c>
      <c r="Q709" s="77" t="s">
        <v>1814</v>
      </c>
      <c r="R709" s="77">
        <v>1</v>
      </c>
      <c r="S709" s="77">
        <v>1</v>
      </c>
      <c r="T709" s="77">
        <v>0</v>
      </c>
      <c r="U709" s="77">
        <v>0</v>
      </c>
      <c r="V709" s="77">
        <v>6</v>
      </c>
      <c r="W709" s="82" t="s">
        <v>4555</v>
      </c>
      <c r="X709" s="77"/>
      <c r="Y709" s="77"/>
      <c r="Z709" s="77" t="s">
        <v>449</v>
      </c>
      <c r="AA709" s="77" t="s">
        <v>6554</v>
      </c>
      <c r="AB709" s="77" t="s">
        <v>7696</v>
      </c>
      <c r="AC709" s="82" t="s">
        <v>7706</v>
      </c>
      <c r="AD709" s="77" t="s">
        <v>7745</v>
      </c>
      <c r="AE709" s="80" t="str">
        <f>HYPERLINK("https://twitter.com/minteredu/status/1630982730455318553")</f>
        <v>https://twitter.com/minteredu/status/1630982730455318553</v>
      </c>
      <c r="AF709" s="79">
        <v>44986.726377314815</v>
      </c>
      <c r="AG709" s="85">
        <v>44986</v>
      </c>
      <c r="AH709" s="82" t="s">
        <v>8393</v>
      </c>
      <c r="AI709" s="77" t="b">
        <v>0</v>
      </c>
      <c r="AJ709" s="77"/>
      <c r="AK709" s="77"/>
      <c r="AL709" s="77"/>
      <c r="AM709" s="77"/>
      <c r="AN709" s="77"/>
      <c r="AO709" s="77"/>
      <c r="AP709" s="77"/>
      <c r="AQ709" s="77" t="s">
        <v>11061</v>
      </c>
      <c r="AR709" s="77"/>
      <c r="AS709" s="77"/>
      <c r="AT709" s="77"/>
      <c r="AU709" s="77"/>
      <c r="AV709" s="80" t="str">
        <f>HYPERLINK("https://pbs.twimg.com/media/FqJqIE0WABgVdxH.jpg")</f>
        <v>https://pbs.twimg.com/media/FqJqIE0WABgVdxH.jpg</v>
      </c>
      <c r="AW709" s="82" t="s">
        <v>12901</v>
      </c>
      <c r="AX709" s="82" t="s">
        <v>12901</v>
      </c>
      <c r="AY709" s="77"/>
      <c r="AZ709" s="82" t="s">
        <v>15804</v>
      </c>
      <c r="BA709" s="82" t="s">
        <v>15804</v>
      </c>
      <c r="BB709" s="82" t="s">
        <v>15804</v>
      </c>
      <c r="BC709" s="82" t="s">
        <v>12901</v>
      </c>
      <c r="BD709" s="82" t="s">
        <v>15711</v>
      </c>
      <c r="BE709" s="77"/>
      <c r="BF709" s="77"/>
      <c r="BG709" s="77"/>
      <c r="BH709" s="77"/>
      <c r="BI709" s="77"/>
    </row>
    <row r="710" spans="1:61" x14ac:dyDescent="0.25">
      <c r="A710" s="62" t="s">
        <v>449</v>
      </c>
      <c r="B710" s="62" t="s">
        <v>449</v>
      </c>
      <c r="C710" s="63"/>
      <c r="D710" s="64"/>
      <c r="E710" s="65"/>
      <c r="F710" s="66"/>
      <c r="G710" s="63"/>
      <c r="H710" s="67"/>
      <c r="I710" s="68"/>
      <c r="J710" s="68"/>
      <c r="K710" s="32"/>
      <c r="L710" s="75">
        <v>710</v>
      </c>
      <c r="M710" s="75"/>
      <c r="N710" s="70"/>
      <c r="O710" s="77" t="s">
        <v>1133</v>
      </c>
      <c r="P710" s="79">
        <v>45005.758391203701</v>
      </c>
      <c r="Q710" s="77" t="s">
        <v>1815</v>
      </c>
      <c r="R710" s="77">
        <v>1</v>
      </c>
      <c r="S710" s="77">
        <v>1</v>
      </c>
      <c r="T710" s="77">
        <v>0</v>
      </c>
      <c r="U710" s="77">
        <v>0</v>
      </c>
      <c r="V710" s="77">
        <v>9</v>
      </c>
      <c r="W710" s="82" t="s">
        <v>4556</v>
      </c>
      <c r="X710" s="77"/>
      <c r="Y710" s="77"/>
      <c r="Z710" s="77" t="s">
        <v>449</v>
      </c>
      <c r="AA710" s="77" t="s">
        <v>6555</v>
      </c>
      <c r="AB710" s="77" t="s">
        <v>7696</v>
      </c>
      <c r="AC710" s="82" t="s">
        <v>7706</v>
      </c>
      <c r="AD710" s="77" t="s">
        <v>7745</v>
      </c>
      <c r="AE710" s="80" t="str">
        <f>HYPERLINK("https://twitter.com/minteredu/status/1637879698876145689")</f>
        <v>https://twitter.com/minteredu/status/1637879698876145689</v>
      </c>
      <c r="AF710" s="79">
        <v>45005.758391203701</v>
      </c>
      <c r="AG710" s="85">
        <v>45005</v>
      </c>
      <c r="AH710" s="82" t="s">
        <v>8394</v>
      </c>
      <c r="AI710" s="77" t="b">
        <v>0</v>
      </c>
      <c r="AJ710" s="77"/>
      <c r="AK710" s="77"/>
      <c r="AL710" s="77"/>
      <c r="AM710" s="77"/>
      <c r="AN710" s="77"/>
      <c r="AO710" s="77"/>
      <c r="AP710" s="77"/>
      <c r="AQ710" s="77" t="s">
        <v>11062</v>
      </c>
      <c r="AR710" s="77"/>
      <c r="AS710" s="77"/>
      <c r="AT710" s="77"/>
      <c r="AU710" s="77"/>
      <c r="AV710" s="80" t="str">
        <f>HYPERLINK("https://pbs.twimg.com/media/Frrq5GHXwAESUvU.jpg")</f>
        <v>https://pbs.twimg.com/media/Frrq5GHXwAESUvU.jpg</v>
      </c>
      <c r="AW710" s="82" t="s">
        <v>12902</v>
      </c>
      <c r="AX710" s="82" t="s">
        <v>12902</v>
      </c>
      <c r="AY710" s="77"/>
      <c r="AZ710" s="82" t="s">
        <v>15804</v>
      </c>
      <c r="BA710" s="82" t="s">
        <v>15804</v>
      </c>
      <c r="BB710" s="82" t="s">
        <v>15804</v>
      </c>
      <c r="BC710" s="82" t="s">
        <v>12902</v>
      </c>
      <c r="BD710" s="82" t="s">
        <v>15711</v>
      </c>
      <c r="BE710" s="77"/>
      <c r="BF710" s="77"/>
      <c r="BG710" s="77"/>
      <c r="BH710" s="77"/>
      <c r="BI710" s="77"/>
    </row>
    <row r="711" spans="1:61" x14ac:dyDescent="0.25">
      <c r="A711" s="62" t="s">
        <v>449</v>
      </c>
      <c r="B711" s="62" t="s">
        <v>449</v>
      </c>
      <c r="C711" s="63"/>
      <c r="D711" s="64"/>
      <c r="E711" s="65"/>
      <c r="F711" s="66"/>
      <c r="G711" s="63"/>
      <c r="H711" s="67"/>
      <c r="I711" s="68"/>
      <c r="J711" s="68"/>
      <c r="K711" s="32"/>
      <c r="L711" s="75">
        <v>711</v>
      </c>
      <c r="M711" s="75"/>
      <c r="N711" s="70"/>
      <c r="O711" s="77" t="s">
        <v>1133</v>
      </c>
      <c r="P711" s="79">
        <v>44996.71056712963</v>
      </c>
      <c r="Q711" s="77" t="s">
        <v>1816</v>
      </c>
      <c r="R711" s="77">
        <v>1</v>
      </c>
      <c r="S711" s="77">
        <v>1</v>
      </c>
      <c r="T711" s="77">
        <v>1</v>
      </c>
      <c r="U711" s="77">
        <v>0</v>
      </c>
      <c r="V711" s="77">
        <v>40</v>
      </c>
      <c r="W711" s="82" t="s">
        <v>4557</v>
      </c>
      <c r="X711" s="77"/>
      <c r="Y711" s="77"/>
      <c r="Z711" s="77" t="s">
        <v>449</v>
      </c>
      <c r="AA711" s="77" t="s">
        <v>6556</v>
      </c>
      <c r="AB711" s="77" t="s">
        <v>7700</v>
      </c>
      <c r="AC711" s="82" t="s">
        <v>7706</v>
      </c>
      <c r="AD711" s="77" t="s">
        <v>7745</v>
      </c>
      <c r="AE711" s="80" t="str">
        <f>HYPERLINK("https://twitter.com/minteredu/status/1634600879130066945")</f>
        <v>https://twitter.com/minteredu/status/1634600879130066945</v>
      </c>
      <c r="AF711" s="79">
        <v>44996.71056712963</v>
      </c>
      <c r="AG711" s="85">
        <v>44996</v>
      </c>
      <c r="AH711" s="82" t="s">
        <v>8395</v>
      </c>
      <c r="AI711" s="77" t="b">
        <v>0</v>
      </c>
      <c r="AJ711" s="77"/>
      <c r="AK711" s="77"/>
      <c r="AL711" s="77"/>
      <c r="AM711" s="77"/>
      <c r="AN711" s="77"/>
      <c r="AO711" s="77"/>
      <c r="AP711" s="77"/>
      <c r="AQ711" s="77" t="s">
        <v>11063</v>
      </c>
      <c r="AR711" s="77"/>
      <c r="AS711" s="77"/>
      <c r="AT711" s="77"/>
      <c r="AU711" s="77"/>
      <c r="AV711" s="80" t="str">
        <f>HYPERLINK("https://pbs.twimg.com/media/Fq9EtEGWAAkdjKW.jpg")</f>
        <v>https://pbs.twimg.com/media/Fq9EtEGWAAkdjKW.jpg</v>
      </c>
      <c r="AW711" s="82" t="s">
        <v>12903</v>
      </c>
      <c r="AX711" s="82" t="s">
        <v>12903</v>
      </c>
      <c r="AY711" s="77"/>
      <c r="AZ711" s="82" t="s">
        <v>15804</v>
      </c>
      <c r="BA711" s="82" t="s">
        <v>15804</v>
      </c>
      <c r="BB711" s="82" t="s">
        <v>15804</v>
      </c>
      <c r="BC711" s="82" t="s">
        <v>12903</v>
      </c>
      <c r="BD711" s="82" t="s">
        <v>15711</v>
      </c>
      <c r="BE711" s="77"/>
      <c r="BF711" s="77"/>
      <c r="BG711" s="77"/>
      <c r="BH711" s="77"/>
      <c r="BI711" s="77"/>
    </row>
    <row r="712" spans="1:61" x14ac:dyDescent="0.25">
      <c r="A712" s="62" t="s">
        <v>449</v>
      </c>
      <c r="B712" s="62" t="s">
        <v>449</v>
      </c>
      <c r="C712" s="63"/>
      <c r="D712" s="64"/>
      <c r="E712" s="65"/>
      <c r="F712" s="66"/>
      <c r="G712" s="63"/>
      <c r="H712" s="67"/>
      <c r="I712" s="68"/>
      <c r="J712" s="68"/>
      <c r="K712" s="32"/>
      <c r="L712" s="75">
        <v>712</v>
      </c>
      <c r="M712" s="75"/>
      <c r="N712" s="70"/>
      <c r="O712" s="77" t="s">
        <v>179</v>
      </c>
      <c r="P712" s="79">
        <v>44982.992986111109</v>
      </c>
      <c r="Q712" s="77" t="s">
        <v>1817</v>
      </c>
      <c r="R712" s="77">
        <v>1</v>
      </c>
      <c r="S712" s="77">
        <v>1</v>
      </c>
      <c r="T712" s="77">
        <v>0</v>
      </c>
      <c r="U712" s="77">
        <v>0</v>
      </c>
      <c r="V712" s="77">
        <v>15</v>
      </c>
      <c r="W712" s="82" t="s">
        <v>4258</v>
      </c>
      <c r="X712" s="77"/>
      <c r="Y712" s="77"/>
      <c r="Z712" s="77"/>
      <c r="AA712" s="77" t="s">
        <v>6557</v>
      </c>
      <c r="AB712" s="77" t="s">
        <v>7696</v>
      </c>
      <c r="AC712" s="82" t="s">
        <v>7706</v>
      </c>
      <c r="AD712" s="77" t="s">
        <v>7745</v>
      </c>
      <c r="AE712" s="80" t="str">
        <f>HYPERLINK("https://twitter.com/minteredu/status/1629629791912468480")</f>
        <v>https://twitter.com/minteredu/status/1629629791912468480</v>
      </c>
      <c r="AF712" s="79">
        <v>44982.992986111109</v>
      </c>
      <c r="AG712" s="85">
        <v>44982</v>
      </c>
      <c r="AH712" s="82" t="s">
        <v>8396</v>
      </c>
      <c r="AI712" s="77" t="b">
        <v>0</v>
      </c>
      <c r="AJ712" s="77"/>
      <c r="AK712" s="77"/>
      <c r="AL712" s="77"/>
      <c r="AM712" s="77"/>
      <c r="AN712" s="77"/>
      <c r="AO712" s="77"/>
      <c r="AP712" s="77"/>
      <c r="AQ712" s="77" t="s">
        <v>11064</v>
      </c>
      <c r="AR712" s="77"/>
      <c r="AS712" s="77"/>
      <c r="AT712" s="77"/>
      <c r="AU712" s="77"/>
      <c r="AV712" s="80" t="str">
        <f>HYPERLINK("https://pbs.twimg.com/media/Fp2bp2KXwAEpu3P.jpg")</f>
        <v>https://pbs.twimg.com/media/Fp2bp2KXwAEpu3P.jpg</v>
      </c>
      <c r="AW712" s="82" t="s">
        <v>12904</v>
      </c>
      <c r="AX712" s="82" t="s">
        <v>12904</v>
      </c>
      <c r="AY712" s="77"/>
      <c r="AZ712" s="82" t="s">
        <v>15804</v>
      </c>
      <c r="BA712" s="82" t="s">
        <v>15804</v>
      </c>
      <c r="BB712" s="82" t="s">
        <v>15804</v>
      </c>
      <c r="BC712" s="82" t="s">
        <v>12904</v>
      </c>
      <c r="BD712" s="82" t="s">
        <v>15711</v>
      </c>
      <c r="BE712" s="77"/>
      <c r="BF712" s="77"/>
      <c r="BG712" s="77"/>
      <c r="BH712" s="77"/>
      <c r="BI712" s="77"/>
    </row>
    <row r="713" spans="1:61" x14ac:dyDescent="0.25">
      <c r="A713" s="62" t="s">
        <v>449</v>
      </c>
      <c r="B713" s="62" t="s">
        <v>449</v>
      </c>
      <c r="C713" s="63"/>
      <c r="D713" s="64"/>
      <c r="E713" s="65"/>
      <c r="F713" s="66"/>
      <c r="G713" s="63"/>
      <c r="H713" s="67"/>
      <c r="I713" s="68"/>
      <c r="J713" s="68"/>
      <c r="K713" s="32"/>
      <c r="L713" s="75">
        <v>713</v>
      </c>
      <c r="M713" s="75"/>
      <c r="N713" s="70"/>
      <c r="O713" s="77" t="s">
        <v>1133</v>
      </c>
      <c r="P713" s="79">
        <v>44995.712210648147</v>
      </c>
      <c r="Q713" s="77" t="s">
        <v>1818</v>
      </c>
      <c r="R713" s="77">
        <v>1</v>
      </c>
      <c r="S713" s="77">
        <v>1</v>
      </c>
      <c r="T713" s="77">
        <v>0</v>
      </c>
      <c r="U713" s="77">
        <v>0</v>
      </c>
      <c r="V713" s="77">
        <v>19</v>
      </c>
      <c r="W713" s="82" t="s">
        <v>4558</v>
      </c>
      <c r="X713" s="77"/>
      <c r="Y713" s="77"/>
      <c r="Z713" s="77" t="s">
        <v>449</v>
      </c>
      <c r="AA713" s="77" t="s">
        <v>6558</v>
      </c>
      <c r="AB713" s="77" t="s">
        <v>7700</v>
      </c>
      <c r="AC713" s="82" t="s">
        <v>7706</v>
      </c>
      <c r="AD713" s="77" t="s">
        <v>7745</v>
      </c>
      <c r="AE713" s="80" t="str">
        <f>HYPERLINK("https://twitter.com/minteredu/status/1634239084670402582")</f>
        <v>https://twitter.com/minteredu/status/1634239084670402582</v>
      </c>
      <c r="AF713" s="79">
        <v>44995.712210648147</v>
      </c>
      <c r="AG713" s="85">
        <v>44995</v>
      </c>
      <c r="AH713" s="82" t="s">
        <v>8397</v>
      </c>
      <c r="AI713" s="77" t="b">
        <v>0</v>
      </c>
      <c r="AJ713" s="77"/>
      <c r="AK713" s="77"/>
      <c r="AL713" s="77"/>
      <c r="AM713" s="77"/>
      <c r="AN713" s="77"/>
      <c r="AO713" s="77"/>
      <c r="AP713" s="77"/>
      <c r="AQ713" s="77" t="s">
        <v>11065</v>
      </c>
      <c r="AR713" s="77"/>
      <c r="AS713" s="77"/>
      <c r="AT713" s="77"/>
      <c r="AU713" s="77"/>
      <c r="AV713" s="80" t="str">
        <f>HYPERLINK("https://pbs.twimg.com/media/Fq37xiSWwBUUD1d.jpg")</f>
        <v>https://pbs.twimg.com/media/Fq37xiSWwBUUD1d.jpg</v>
      </c>
      <c r="AW713" s="82" t="s">
        <v>12905</v>
      </c>
      <c r="AX713" s="82" t="s">
        <v>12905</v>
      </c>
      <c r="AY713" s="77"/>
      <c r="AZ713" s="82" t="s">
        <v>15804</v>
      </c>
      <c r="BA713" s="82" t="s">
        <v>15804</v>
      </c>
      <c r="BB713" s="82" t="s">
        <v>15804</v>
      </c>
      <c r="BC713" s="82" t="s">
        <v>12905</v>
      </c>
      <c r="BD713" s="82" t="s">
        <v>15711</v>
      </c>
      <c r="BE713" s="77"/>
      <c r="BF713" s="77"/>
      <c r="BG713" s="77"/>
      <c r="BH713" s="77"/>
      <c r="BI713" s="77"/>
    </row>
    <row r="714" spans="1:61" x14ac:dyDescent="0.25">
      <c r="A714" s="62" t="s">
        <v>449</v>
      </c>
      <c r="B714" s="62" t="s">
        <v>449</v>
      </c>
      <c r="C714" s="63"/>
      <c r="D714" s="64"/>
      <c r="E714" s="65"/>
      <c r="F714" s="66"/>
      <c r="G714" s="63"/>
      <c r="H714" s="67"/>
      <c r="I714" s="68"/>
      <c r="J714" s="68"/>
      <c r="K714" s="32"/>
      <c r="L714" s="75">
        <v>714</v>
      </c>
      <c r="M714" s="75"/>
      <c r="N714" s="70"/>
      <c r="O714" s="77" t="s">
        <v>1132</v>
      </c>
      <c r="P714" s="79">
        <v>45016.620775462965</v>
      </c>
      <c r="Q714" s="77" t="s">
        <v>1819</v>
      </c>
      <c r="R714" s="77">
        <v>1</v>
      </c>
      <c r="S714" s="77">
        <v>1</v>
      </c>
      <c r="T714" s="77">
        <v>0</v>
      </c>
      <c r="U714" s="77">
        <v>0</v>
      </c>
      <c r="V714" s="77">
        <v>6</v>
      </c>
      <c r="W714" s="82" t="s">
        <v>4559</v>
      </c>
      <c r="X714" s="77"/>
      <c r="Y714" s="77"/>
      <c r="Z714" s="77" t="s">
        <v>449</v>
      </c>
      <c r="AA714" s="77" t="s">
        <v>6559</v>
      </c>
      <c r="AB714" s="77" t="s">
        <v>7696</v>
      </c>
      <c r="AC714" s="82" t="s">
        <v>7706</v>
      </c>
      <c r="AD714" s="77" t="s">
        <v>7745</v>
      </c>
      <c r="AE714" s="80" t="str">
        <f>HYPERLINK("https://twitter.com/minteredu/status/1641816097534902274")</f>
        <v>https://twitter.com/minteredu/status/1641816097534902274</v>
      </c>
      <c r="AF714" s="79">
        <v>45016.620775462965</v>
      </c>
      <c r="AG714" s="85">
        <v>45016</v>
      </c>
      <c r="AH714" s="82" t="s">
        <v>8398</v>
      </c>
      <c r="AI714" s="77" t="b">
        <v>0</v>
      </c>
      <c r="AJ714" s="77"/>
      <c r="AK714" s="77"/>
      <c r="AL714" s="77"/>
      <c r="AM714" s="77"/>
      <c r="AN714" s="77"/>
      <c r="AO714" s="77"/>
      <c r="AP714" s="77"/>
      <c r="AQ714" s="77" t="s">
        <v>11066</v>
      </c>
      <c r="AR714" s="77"/>
      <c r="AS714" s="77"/>
      <c r="AT714" s="77"/>
      <c r="AU714" s="77"/>
      <c r="AV714" s="80" t="str">
        <f>HYPERLINK("https://pbs.twimg.com/media/FsjnCJ_WcAECcoy.jpg")</f>
        <v>https://pbs.twimg.com/media/FsjnCJ_WcAECcoy.jpg</v>
      </c>
      <c r="AW714" s="82" t="s">
        <v>12906</v>
      </c>
      <c r="AX714" s="82" t="s">
        <v>15286</v>
      </c>
      <c r="AY714" s="82" t="s">
        <v>15711</v>
      </c>
      <c r="AZ714" s="82" t="s">
        <v>15853</v>
      </c>
      <c r="BA714" s="82" t="s">
        <v>15804</v>
      </c>
      <c r="BB714" s="82" t="s">
        <v>15804</v>
      </c>
      <c r="BC714" s="82" t="s">
        <v>15853</v>
      </c>
      <c r="BD714" s="82" t="s">
        <v>15711</v>
      </c>
      <c r="BE714" s="77"/>
      <c r="BF714" s="77"/>
      <c r="BG714" s="77"/>
      <c r="BH714" s="77"/>
      <c r="BI714" s="77"/>
    </row>
    <row r="715" spans="1:61" x14ac:dyDescent="0.25">
      <c r="A715" s="62" t="s">
        <v>449</v>
      </c>
      <c r="B715" s="62" t="s">
        <v>449</v>
      </c>
      <c r="C715" s="63"/>
      <c r="D715" s="64"/>
      <c r="E715" s="65"/>
      <c r="F715" s="66"/>
      <c r="G715" s="63"/>
      <c r="H715" s="67"/>
      <c r="I715" s="68"/>
      <c r="J715" s="68"/>
      <c r="K715" s="32"/>
      <c r="L715" s="75">
        <v>715</v>
      </c>
      <c r="M715" s="75"/>
      <c r="N715" s="70"/>
      <c r="O715" s="77" t="s">
        <v>1133</v>
      </c>
      <c r="P715" s="79">
        <v>45000.715891203705</v>
      </c>
      <c r="Q715" s="77" t="s">
        <v>1820</v>
      </c>
      <c r="R715" s="77">
        <v>0</v>
      </c>
      <c r="S715" s="77">
        <v>0</v>
      </c>
      <c r="T715" s="77">
        <v>1</v>
      </c>
      <c r="U715" s="77">
        <v>0</v>
      </c>
      <c r="V715" s="77">
        <v>16</v>
      </c>
      <c r="W715" s="82" t="s">
        <v>4560</v>
      </c>
      <c r="X715" s="77"/>
      <c r="Y715" s="77"/>
      <c r="Z715" s="77" t="s">
        <v>449</v>
      </c>
      <c r="AA715" s="77" t="s">
        <v>6560</v>
      </c>
      <c r="AB715" s="77" t="s">
        <v>7700</v>
      </c>
      <c r="AC715" s="82" t="s">
        <v>7706</v>
      </c>
      <c r="AD715" s="77" t="s">
        <v>7745</v>
      </c>
      <c r="AE715" s="80" t="str">
        <f>HYPERLINK("https://twitter.com/minteredu/status/1636052358886047744")</f>
        <v>https://twitter.com/minteredu/status/1636052358886047744</v>
      </c>
      <c r="AF715" s="79">
        <v>45000.715891203705</v>
      </c>
      <c r="AG715" s="85">
        <v>45000</v>
      </c>
      <c r="AH715" s="82" t="s">
        <v>8399</v>
      </c>
      <c r="AI715" s="77" t="b">
        <v>0</v>
      </c>
      <c r="AJ715" s="77"/>
      <c r="AK715" s="77"/>
      <c r="AL715" s="77"/>
      <c r="AM715" s="77"/>
      <c r="AN715" s="77"/>
      <c r="AO715" s="77"/>
      <c r="AP715" s="77"/>
      <c r="AQ715" s="77" t="s">
        <v>11067</v>
      </c>
      <c r="AR715" s="77"/>
      <c r="AS715" s="77"/>
      <c r="AT715" s="77"/>
      <c r="AU715" s="77"/>
      <c r="AV715" s="80" t="str">
        <f>HYPERLINK("https://pbs.twimg.com/media/FrRs8hRXoAEnIrS.jpg")</f>
        <v>https://pbs.twimg.com/media/FrRs8hRXoAEnIrS.jpg</v>
      </c>
      <c r="AW715" s="82" t="s">
        <v>12907</v>
      </c>
      <c r="AX715" s="82" t="s">
        <v>12907</v>
      </c>
      <c r="AY715" s="77"/>
      <c r="AZ715" s="82" t="s">
        <v>15804</v>
      </c>
      <c r="BA715" s="82" t="s">
        <v>15804</v>
      </c>
      <c r="BB715" s="82" t="s">
        <v>15804</v>
      </c>
      <c r="BC715" s="82" t="s">
        <v>12907</v>
      </c>
      <c r="BD715" s="82" t="s">
        <v>15711</v>
      </c>
      <c r="BE715" s="77"/>
      <c r="BF715" s="77"/>
      <c r="BG715" s="77"/>
      <c r="BH715" s="77"/>
      <c r="BI715" s="77"/>
    </row>
    <row r="716" spans="1:61" x14ac:dyDescent="0.25">
      <c r="A716" s="62" t="s">
        <v>449</v>
      </c>
      <c r="B716" s="62" t="s">
        <v>449</v>
      </c>
      <c r="C716" s="63"/>
      <c r="D716" s="64"/>
      <c r="E716" s="65"/>
      <c r="F716" s="66"/>
      <c r="G716" s="63"/>
      <c r="H716" s="67"/>
      <c r="I716" s="68"/>
      <c r="J716" s="68"/>
      <c r="K716" s="32"/>
      <c r="L716" s="75">
        <v>716</v>
      </c>
      <c r="M716" s="75"/>
      <c r="N716" s="70"/>
      <c r="O716" s="77" t="s">
        <v>1132</v>
      </c>
      <c r="P716" s="79">
        <v>45026.711215277777</v>
      </c>
      <c r="Q716" s="77" t="s">
        <v>1821</v>
      </c>
      <c r="R716" s="77">
        <v>0</v>
      </c>
      <c r="S716" s="77">
        <v>2</v>
      </c>
      <c r="T716" s="77">
        <v>1</v>
      </c>
      <c r="U716" s="77">
        <v>0</v>
      </c>
      <c r="V716" s="77">
        <v>9</v>
      </c>
      <c r="W716" s="82" t="s">
        <v>4561</v>
      </c>
      <c r="X716" s="77"/>
      <c r="Y716" s="77"/>
      <c r="Z716" s="77" t="s">
        <v>449</v>
      </c>
      <c r="AA716" s="77" t="s">
        <v>6561</v>
      </c>
      <c r="AB716" s="77" t="s">
        <v>7701</v>
      </c>
      <c r="AC716" s="82" t="s">
        <v>7706</v>
      </c>
      <c r="AD716" s="77" t="s">
        <v>7745</v>
      </c>
      <c r="AE716" s="80" t="str">
        <f>HYPERLINK("https://twitter.com/minteredu/status/1645472750692073481")</f>
        <v>https://twitter.com/minteredu/status/1645472750692073481</v>
      </c>
      <c r="AF716" s="79">
        <v>45026.711215277777</v>
      </c>
      <c r="AG716" s="85">
        <v>45026</v>
      </c>
      <c r="AH716" s="82" t="s">
        <v>8400</v>
      </c>
      <c r="AI716" s="77" t="b">
        <v>0</v>
      </c>
      <c r="AJ716" s="77"/>
      <c r="AK716" s="77"/>
      <c r="AL716" s="77"/>
      <c r="AM716" s="77"/>
      <c r="AN716" s="77"/>
      <c r="AO716" s="77"/>
      <c r="AP716" s="77"/>
      <c r="AQ716" s="77" t="s">
        <v>11068</v>
      </c>
      <c r="AR716" s="77"/>
      <c r="AS716" s="77"/>
      <c r="AT716" s="77"/>
      <c r="AU716" s="77"/>
      <c r="AV716" s="80" t="str">
        <f>HYPERLINK("https://pbs.twimg.com/media/FtXkvJnWAAY5eNA.jpg")</f>
        <v>https://pbs.twimg.com/media/FtXkvJnWAAY5eNA.jpg</v>
      </c>
      <c r="AW716" s="82" t="s">
        <v>12908</v>
      </c>
      <c r="AX716" s="82" t="s">
        <v>15287</v>
      </c>
      <c r="AY716" s="82" t="s">
        <v>15711</v>
      </c>
      <c r="AZ716" s="82" t="s">
        <v>15287</v>
      </c>
      <c r="BA716" s="82" t="s">
        <v>15804</v>
      </c>
      <c r="BB716" s="82" t="s">
        <v>15804</v>
      </c>
      <c r="BC716" s="82" t="s">
        <v>15287</v>
      </c>
      <c r="BD716" s="82" t="s">
        <v>15711</v>
      </c>
      <c r="BE716" s="77"/>
      <c r="BF716" s="77"/>
      <c r="BG716" s="77"/>
      <c r="BH716" s="77"/>
      <c r="BI716" s="77"/>
    </row>
    <row r="717" spans="1:61" x14ac:dyDescent="0.25">
      <c r="A717" s="62" t="s">
        <v>449</v>
      </c>
      <c r="B717" s="62" t="s">
        <v>449</v>
      </c>
      <c r="C717" s="63"/>
      <c r="D717" s="64"/>
      <c r="E717" s="65"/>
      <c r="F717" s="66"/>
      <c r="G717" s="63"/>
      <c r="H717" s="67"/>
      <c r="I717" s="68"/>
      <c r="J717" s="68"/>
      <c r="K717" s="32"/>
      <c r="L717" s="75">
        <v>717</v>
      </c>
      <c r="M717" s="75"/>
      <c r="N717" s="70"/>
      <c r="O717" s="77" t="s">
        <v>1132</v>
      </c>
      <c r="P717" s="79">
        <v>45024.655995370369</v>
      </c>
      <c r="Q717" s="77" t="s">
        <v>1822</v>
      </c>
      <c r="R717" s="77">
        <v>0</v>
      </c>
      <c r="S717" s="77">
        <v>1</v>
      </c>
      <c r="T717" s="77">
        <v>0</v>
      </c>
      <c r="U717" s="77">
        <v>0</v>
      </c>
      <c r="V717" s="77">
        <v>8</v>
      </c>
      <c r="W717" s="82" t="s">
        <v>4562</v>
      </c>
      <c r="X717" s="77"/>
      <c r="Y717" s="77"/>
      <c r="Z717" s="77" t="s">
        <v>449</v>
      </c>
      <c r="AA717" s="77" t="s">
        <v>6562</v>
      </c>
      <c r="AB717" s="77" t="s">
        <v>7696</v>
      </c>
      <c r="AC717" s="82" t="s">
        <v>7706</v>
      </c>
      <c r="AD717" s="77" t="s">
        <v>7745</v>
      </c>
      <c r="AE717" s="80" t="str">
        <f>HYPERLINK("https://twitter.com/minteredu/status/1644727961201913856")</f>
        <v>https://twitter.com/minteredu/status/1644727961201913856</v>
      </c>
      <c r="AF717" s="79">
        <v>45024.655995370369</v>
      </c>
      <c r="AG717" s="85">
        <v>45024</v>
      </c>
      <c r="AH717" s="82" t="s">
        <v>8401</v>
      </c>
      <c r="AI717" s="77" t="b">
        <v>0</v>
      </c>
      <c r="AJ717" s="77"/>
      <c r="AK717" s="77"/>
      <c r="AL717" s="77"/>
      <c r="AM717" s="77"/>
      <c r="AN717" s="77"/>
      <c r="AO717" s="77"/>
      <c r="AP717" s="77"/>
      <c r="AQ717" s="77" t="s">
        <v>11069</v>
      </c>
      <c r="AR717" s="77"/>
      <c r="AS717" s="77"/>
      <c r="AT717" s="77"/>
      <c r="AU717" s="77"/>
      <c r="AV717" s="80" t="str">
        <f>HYPERLINK("https://pbs.twimg.com/media/FtM_WpxX0AYiFOl.jpg")</f>
        <v>https://pbs.twimg.com/media/FtM_WpxX0AYiFOl.jpg</v>
      </c>
      <c r="AW717" s="82" t="s">
        <v>12909</v>
      </c>
      <c r="AX717" s="82" t="s">
        <v>15288</v>
      </c>
      <c r="AY717" s="82" t="s">
        <v>15711</v>
      </c>
      <c r="AZ717" s="82" t="s">
        <v>15854</v>
      </c>
      <c r="BA717" s="82" t="s">
        <v>15804</v>
      </c>
      <c r="BB717" s="82" t="s">
        <v>15804</v>
      </c>
      <c r="BC717" s="82" t="s">
        <v>15854</v>
      </c>
      <c r="BD717" s="82" t="s">
        <v>15711</v>
      </c>
      <c r="BE717" s="77"/>
      <c r="BF717" s="77"/>
      <c r="BG717" s="77"/>
      <c r="BH717" s="77"/>
      <c r="BI717" s="77"/>
    </row>
    <row r="718" spans="1:61" x14ac:dyDescent="0.25">
      <c r="A718" s="62" t="s">
        <v>449</v>
      </c>
      <c r="B718" s="62" t="s">
        <v>449</v>
      </c>
      <c r="C718" s="63"/>
      <c r="D718" s="64"/>
      <c r="E718" s="65"/>
      <c r="F718" s="66"/>
      <c r="G718" s="63"/>
      <c r="H718" s="67"/>
      <c r="I718" s="68"/>
      <c r="J718" s="68"/>
      <c r="K718" s="32"/>
      <c r="L718" s="75">
        <v>718</v>
      </c>
      <c r="M718" s="75"/>
      <c r="N718" s="70"/>
      <c r="O718" s="77" t="s">
        <v>1133</v>
      </c>
      <c r="P718" s="79">
        <v>44970.923877314817</v>
      </c>
      <c r="Q718" s="77" t="s">
        <v>1823</v>
      </c>
      <c r="R718" s="77">
        <v>1</v>
      </c>
      <c r="S718" s="77">
        <v>1</v>
      </c>
      <c r="T718" s="77">
        <v>0</v>
      </c>
      <c r="U718" s="77">
        <v>0</v>
      </c>
      <c r="V718" s="77">
        <v>21</v>
      </c>
      <c r="W718" s="82" t="s">
        <v>4563</v>
      </c>
      <c r="X718" s="77"/>
      <c r="Y718" s="77"/>
      <c r="Z718" s="77" t="s">
        <v>449</v>
      </c>
      <c r="AA718" s="77" t="s">
        <v>6563</v>
      </c>
      <c r="AB718" s="77" t="s">
        <v>7697</v>
      </c>
      <c r="AC718" s="82" t="s">
        <v>7706</v>
      </c>
      <c r="AD718" s="77" t="s">
        <v>7745</v>
      </c>
      <c r="AE718" s="80" t="str">
        <f>HYPERLINK("https://twitter.com/minteredu/status/1625256095433338883")</f>
        <v>https://twitter.com/minteredu/status/1625256095433338883</v>
      </c>
      <c r="AF718" s="79">
        <v>44970.923877314817</v>
      </c>
      <c r="AG718" s="85">
        <v>44970</v>
      </c>
      <c r="AH718" s="82" t="s">
        <v>8402</v>
      </c>
      <c r="AI718" s="77" t="b">
        <v>0</v>
      </c>
      <c r="AJ718" s="77"/>
      <c r="AK718" s="77"/>
      <c r="AL718" s="77"/>
      <c r="AM718" s="77"/>
      <c r="AN718" s="77"/>
      <c r="AO718" s="77"/>
      <c r="AP718" s="77"/>
      <c r="AQ718" s="77" t="s">
        <v>11070</v>
      </c>
      <c r="AR718" s="77">
        <v>56000</v>
      </c>
      <c r="AS718" s="77"/>
      <c r="AT718" s="77"/>
      <c r="AU718" s="77">
        <v>4</v>
      </c>
      <c r="AV718" s="80" t="str">
        <f>HYPERLINK("https://pbs.twimg.com/ext_tw_video_thumb/1625255946304860161/pu/img/1QmLkub6elB2lRCt.jpg")</f>
        <v>https://pbs.twimg.com/ext_tw_video_thumb/1625255946304860161/pu/img/1QmLkub6elB2lRCt.jpg</v>
      </c>
      <c r="AW718" s="82" t="s">
        <v>12910</v>
      </c>
      <c r="AX718" s="82" t="s">
        <v>12910</v>
      </c>
      <c r="AY718" s="77"/>
      <c r="AZ718" s="82" t="s">
        <v>15804</v>
      </c>
      <c r="BA718" s="82" t="s">
        <v>15804</v>
      </c>
      <c r="BB718" s="82" t="s">
        <v>15804</v>
      </c>
      <c r="BC718" s="82" t="s">
        <v>12910</v>
      </c>
      <c r="BD718" s="82" t="s">
        <v>15711</v>
      </c>
      <c r="BE718" s="77"/>
      <c r="BF718" s="77"/>
      <c r="BG718" s="77"/>
      <c r="BH718" s="77"/>
      <c r="BI718" s="77"/>
    </row>
    <row r="719" spans="1:61" x14ac:dyDescent="0.25">
      <c r="A719" s="62" t="s">
        <v>449</v>
      </c>
      <c r="B719" s="62" t="s">
        <v>449</v>
      </c>
      <c r="C719" s="63"/>
      <c r="D719" s="64"/>
      <c r="E719" s="65"/>
      <c r="F719" s="66"/>
      <c r="G719" s="63"/>
      <c r="H719" s="67"/>
      <c r="I719" s="68"/>
      <c r="J719" s="68"/>
      <c r="K719" s="32"/>
      <c r="L719" s="75">
        <v>719</v>
      </c>
      <c r="M719" s="75"/>
      <c r="N719" s="70"/>
      <c r="O719" s="77" t="s">
        <v>1133</v>
      </c>
      <c r="P719" s="79">
        <v>44968.72246527778</v>
      </c>
      <c r="Q719" s="77" t="s">
        <v>1824</v>
      </c>
      <c r="R719" s="77">
        <v>0</v>
      </c>
      <c r="S719" s="77">
        <v>0</v>
      </c>
      <c r="T719" s="77">
        <v>0</v>
      </c>
      <c r="U719" s="77">
        <v>0</v>
      </c>
      <c r="V719" s="77">
        <v>24</v>
      </c>
      <c r="W719" s="82" t="s">
        <v>4564</v>
      </c>
      <c r="X719" s="77"/>
      <c r="Y719" s="77"/>
      <c r="Z719" s="77" t="s">
        <v>449</v>
      </c>
      <c r="AA719" s="77" t="s">
        <v>6564</v>
      </c>
      <c r="AB719" s="77" t="s">
        <v>7697</v>
      </c>
      <c r="AC719" s="82" t="s">
        <v>7706</v>
      </c>
      <c r="AD719" s="77" t="s">
        <v>7745</v>
      </c>
      <c r="AE719" s="80" t="str">
        <f>HYPERLINK("https://twitter.com/minteredu/status/1624458330625261572")</f>
        <v>https://twitter.com/minteredu/status/1624458330625261572</v>
      </c>
      <c r="AF719" s="79">
        <v>44968.72246527778</v>
      </c>
      <c r="AG719" s="85">
        <v>44968</v>
      </c>
      <c r="AH719" s="82" t="s">
        <v>8403</v>
      </c>
      <c r="AI719" s="77" t="b">
        <v>0</v>
      </c>
      <c r="AJ719" s="77"/>
      <c r="AK719" s="77"/>
      <c r="AL719" s="77"/>
      <c r="AM719" s="77"/>
      <c r="AN719" s="77"/>
      <c r="AO719" s="77"/>
      <c r="AP719" s="77"/>
      <c r="AQ719" s="77" t="s">
        <v>11071</v>
      </c>
      <c r="AR719" s="77">
        <v>60493</v>
      </c>
      <c r="AS719" s="77"/>
      <c r="AT719" s="77"/>
      <c r="AU719" s="77">
        <v>5</v>
      </c>
      <c r="AV719" s="80" t="str">
        <f>HYPERLINK("https://pbs.twimg.com/ext_tw_video_thumb/1624458257686306818/pu/img/tszYIBqTPsIx1fcm.jpg")</f>
        <v>https://pbs.twimg.com/ext_tw_video_thumb/1624458257686306818/pu/img/tszYIBqTPsIx1fcm.jpg</v>
      </c>
      <c r="AW719" s="82" t="s">
        <v>12911</v>
      </c>
      <c r="AX719" s="82" t="s">
        <v>12911</v>
      </c>
      <c r="AY719" s="77"/>
      <c r="AZ719" s="82" t="s">
        <v>15804</v>
      </c>
      <c r="BA719" s="82" t="s">
        <v>15804</v>
      </c>
      <c r="BB719" s="82" t="s">
        <v>15804</v>
      </c>
      <c r="BC719" s="82" t="s">
        <v>12911</v>
      </c>
      <c r="BD719" s="82" t="s">
        <v>15711</v>
      </c>
      <c r="BE719" s="77"/>
      <c r="BF719" s="77"/>
      <c r="BG719" s="77"/>
      <c r="BH719" s="77"/>
      <c r="BI719" s="77"/>
    </row>
    <row r="720" spans="1:61" x14ac:dyDescent="0.25">
      <c r="A720" s="62" t="s">
        <v>449</v>
      </c>
      <c r="B720" s="62" t="s">
        <v>449</v>
      </c>
      <c r="C720" s="63"/>
      <c r="D720" s="64"/>
      <c r="E720" s="65"/>
      <c r="F720" s="66"/>
      <c r="G720" s="63"/>
      <c r="H720" s="67"/>
      <c r="I720" s="68"/>
      <c r="J720" s="68"/>
      <c r="K720" s="32"/>
      <c r="L720" s="75">
        <v>720</v>
      </c>
      <c r="M720" s="75"/>
      <c r="N720" s="70"/>
      <c r="O720" s="77" t="s">
        <v>1133</v>
      </c>
      <c r="P720" s="79">
        <v>45014.657141203701</v>
      </c>
      <c r="Q720" s="77" t="s">
        <v>1825</v>
      </c>
      <c r="R720" s="77">
        <v>1</v>
      </c>
      <c r="S720" s="77">
        <v>1</v>
      </c>
      <c r="T720" s="77">
        <v>0</v>
      </c>
      <c r="U720" s="77">
        <v>0</v>
      </c>
      <c r="V720" s="77">
        <v>11</v>
      </c>
      <c r="W720" s="82" t="s">
        <v>4565</v>
      </c>
      <c r="X720" s="77"/>
      <c r="Y720" s="77"/>
      <c r="Z720" s="77" t="s">
        <v>449</v>
      </c>
      <c r="AA720" s="77" t="s">
        <v>6565</v>
      </c>
      <c r="AB720" s="77" t="s">
        <v>7696</v>
      </c>
      <c r="AC720" s="82" t="s">
        <v>7706</v>
      </c>
      <c r="AD720" s="77" t="s">
        <v>7745</v>
      </c>
      <c r="AE720" s="80" t="str">
        <f>HYPERLINK("https://twitter.com/minteredu/status/1641104499824635904")</f>
        <v>https://twitter.com/minteredu/status/1641104499824635904</v>
      </c>
      <c r="AF720" s="79">
        <v>45014.657141203701</v>
      </c>
      <c r="AG720" s="85">
        <v>45014</v>
      </c>
      <c r="AH720" s="82" t="s">
        <v>8404</v>
      </c>
      <c r="AI720" s="77" t="b">
        <v>0</v>
      </c>
      <c r="AJ720" s="77"/>
      <c r="AK720" s="77"/>
      <c r="AL720" s="77"/>
      <c r="AM720" s="77"/>
      <c r="AN720" s="77"/>
      <c r="AO720" s="77"/>
      <c r="AP720" s="77"/>
      <c r="AQ720" s="77" t="s">
        <v>11072</v>
      </c>
      <c r="AR720" s="77"/>
      <c r="AS720" s="77"/>
      <c r="AT720" s="77"/>
      <c r="AU720" s="77"/>
      <c r="AV720" s="80" t="str">
        <f>HYPERLINK("https://pbs.twimg.com/media/FsZf1z1WAAM3W4s.jpg")</f>
        <v>https://pbs.twimg.com/media/FsZf1z1WAAM3W4s.jpg</v>
      </c>
      <c r="AW720" s="82" t="s">
        <v>12912</v>
      </c>
      <c r="AX720" s="82" t="s">
        <v>12912</v>
      </c>
      <c r="AY720" s="77"/>
      <c r="AZ720" s="82" t="s">
        <v>15804</v>
      </c>
      <c r="BA720" s="82" t="s">
        <v>15804</v>
      </c>
      <c r="BB720" s="82" t="s">
        <v>15804</v>
      </c>
      <c r="BC720" s="82" t="s">
        <v>12912</v>
      </c>
      <c r="BD720" s="82" t="s">
        <v>15711</v>
      </c>
      <c r="BE720" s="77"/>
      <c r="BF720" s="77"/>
      <c r="BG720" s="77"/>
      <c r="BH720" s="77"/>
      <c r="BI720" s="77"/>
    </row>
    <row r="721" spans="1:61" x14ac:dyDescent="0.25">
      <c r="A721" s="62" t="s">
        <v>449</v>
      </c>
      <c r="B721" s="62" t="s">
        <v>449</v>
      </c>
      <c r="C721" s="63"/>
      <c r="D721" s="64"/>
      <c r="E721" s="65"/>
      <c r="F721" s="66"/>
      <c r="G721" s="63"/>
      <c r="H721" s="67"/>
      <c r="I721" s="68"/>
      <c r="J721" s="68"/>
      <c r="K721" s="32"/>
      <c r="L721" s="75">
        <v>721</v>
      </c>
      <c r="M721" s="75"/>
      <c r="N721" s="70"/>
      <c r="O721" s="77" t="s">
        <v>179</v>
      </c>
      <c r="P721" s="79">
        <v>44966.862812500003</v>
      </c>
      <c r="Q721" s="77" t="s">
        <v>1826</v>
      </c>
      <c r="R721" s="77">
        <v>0</v>
      </c>
      <c r="S721" s="77">
        <v>0</v>
      </c>
      <c r="T721" s="77">
        <v>0</v>
      </c>
      <c r="U721" s="77">
        <v>0</v>
      </c>
      <c r="V721" s="77">
        <v>14</v>
      </c>
      <c r="W721" s="82" t="s">
        <v>4566</v>
      </c>
      <c r="X721" s="77"/>
      <c r="Y721" s="77"/>
      <c r="Z721" s="77"/>
      <c r="AA721" s="77" t="s">
        <v>6566</v>
      </c>
      <c r="AB721" s="77" t="s">
        <v>7697</v>
      </c>
      <c r="AC721" s="82" t="s">
        <v>7706</v>
      </c>
      <c r="AD721" s="77" t="s">
        <v>7745</v>
      </c>
      <c r="AE721" s="80" t="str">
        <f>HYPERLINK("https://twitter.com/minteredu/status/1623784414969794561")</f>
        <v>https://twitter.com/minteredu/status/1623784414969794561</v>
      </c>
      <c r="AF721" s="79">
        <v>44966.862812500003</v>
      </c>
      <c r="AG721" s="85">
        <v>44966</v>
      </c>
      <c r="AH721" s="82" t="s">
        <v>8405</v>
      </c>
      <c r="AI721" s="77" t="b">
        <v>0</v>
      </c>
      <c r="AJ721" s="77"/>
      <c r="AK721" s="77"/>
      <c r="AL721" s="77"/>
      <c r="AM721" s="77"/>
      <c r="AN721" s="77"/>
      <c r="AO721" s="77"/>
      <c r="AP721" s="77"/>
      <c r="AQ721" s="77" t="s">
        <v>11073</v>
      </c>
      <c r="AR721" s="77">
        <v>42300</v>
      </c>
      <c r="AS721" s="77"/>
      <c r="AT721" s="77"/>
      <c r="AU721" s="77">
        <v>2</v>
      </c>
      <c r="AV721" s="80" t="str">
        <f>HYPERLINK("https://pbs.twimg.com/ext_tw_video_thumb/1623783921363083264/pu/img/UPXgoTO1bygdMkNW.jpg")</f>
        <v>https://pbs.twimg.com/ext_tw_video_thumb/1623783921363083264/pu/img/UPXgoTO1bygdMkNW.jpg</v>
      </c>
      <c r="AW721" s="82" t="s">
        <v>12913</v>
      </c>
      <c r="AX721" s="82" t="s">
        <v>12913</v>
      </c>
      <c r="AY721" s="77"/>
      <c r="AZ721" s="82" t="s">
        <v>15804</v>
      </c>
      <c r="BA721" s="82" t="s">
        <v>15804</v>
      </c>
      <c r="BB721" s="82" t="s">
        <v>15804</v>
      </c>
      <c r="BC721" s="82" t="s">
        <v>12913</v>
      </c>
      <c r="BD721" s="82" t="s">
        <v>15711</v>
      </c>
      <c r="BE721" s="77"/>
      <c r="BF721" s="77"/>
      <c r="BG721" s="77"/>
      <c r="BH721" s="77"/>
      <c r="BI721" s="77"/>
    </row>
    <row r="722" spans="1:61" x14ac:dyDescent="0.25">
      <c r="A722" s="62" t="s">
        <v>450</v>
      </c>
      <c r="B722" s="62" t="s">
        <v>450</v>
      </c>
      <c r="C722" s="63"/>
      <c r="D722" s="64"/>
      <c r="E722" s="65"/>
      <c r="F722" s="66"/>
      <c r="G722" s="63"/>
      <c r="H722" s="67"/>
      <c r="I722" s="68"/>
      <c r="J722" s="68"/>
      <c r="K722" s="32"/>
      <c r="L722" s="75">
        <v>722</v>
      </c>
      <c r="M722" s="75"/>
      <c r="N722" s="70"/>
      <c r="O722" s="77" t="s">
        <v>179</v>
      </c>
      <c r="P722" s="79">
        <v>45074.980763888889</v>
      </c>
      <c r="Q722" s="77" t="s">
        <v>1827</v>
      </c>
      <c r="R722" s="77">
        <v>0</v>
      </c>
      <c r="S722" s="77">
        <v>1</v>
      </c>
      <c r="T722" s="77">
        <v>0</v>
      </c>
      <c r="U722" s="77">
        <v>0</v>
      </c>
      <c r="V722" s="77">
        <v>267</v>
      </c>
      <c r="W722" s="82" t="s">
        <v>4097</v>
      </c>
      <c r="X722" s="80" t="str">
        <f>HYPERLINK("http://www.credbommfinanceira.com.br")</f>
        <v>http://www.credbommfinanceira.com.br</v>
      </c>
      <c r="Y722" s="77" t="s">
        <v>6002</v>
      </c>
      <c r="Z722" s="77"/>
      <c r="AA722" s="77" t="s">
        <v>6567</v>
      </c>
      <c r="AB722" s="77" t="s">
        <v>7697</v>
      </c>
      <c r="AC722" s="82" t="s">
        <v>7707</v>
      </c>
      <c r="AD722" s="77" t="s">
        <v>7745</v>
      </c>
      <c r="AE722" s="80" t="str">
        <f>HYPERLINK("https://twitter.com/emprestimopravc/status/1662965048266874881")</f>
        <v>https://twitter.com/emprestimopravc/status/1662965048266874881</v>
      </c>
      <c r="AF722" s="79">
        <v>45074.980763888889</v>
      </c>
      <c r="AG722" s="85">
        <v>45074</v>
      </c>
      <c r="AH722" s="82" t="s">
        <v>8406</v>
      </c>
      <c r="AI722" s="77" t="b">
        <v>0</v>
      </c>
      <c r="AJ722" s="77"/>
      <c r="AK722" s="77"/>
      <c r="AL722" s="77"/>
      <c r="AM722" s="77"/>
      <c r="AN722" s="77"/>
      <c r="AO722" s="77"/>
      <c r="AP722" s="77"/>
      <c r="AQ722" s="77" t="s">
        <v>11074</v>
      </c>
      <c r="AR722" s="77">
        <v>5033</v>
      </c>
      <c r="AS722" s="77"/>
      <c r="AT722" s="77"/>
      <c r="AU722" s="77">
        <v>87</v>
      </c>
      <c r="AV722" s="80" t="str">
        <f>HYPERLINK("https://pbs.twimg.com/ext_tw_video_thumb/1662965022228721664/pu/img/Y8gI_JT7_8V5z_VO.jpg")</f>
        <v>https://pbs.twimg.com/ext_tw_video_thumb/1662965022228721664/pu/img/Y8gI_JT7_8V5z_VO.jpg</v>
      </c>
      <c r="AW722" s="82" t="s">
        <v>12914</v>
      </c>
      <c r="AX722" s="82" t="s">
        <v>12914</v>
      </c>
      <c r="AY722" s="77"/>
      <c r="AZ722" s="82" t="s">
        <v>15804</v>
      </c>
      <c r="BA722" s="82" t="s">
        <v>15804</v>
      </c>
      <c r="BB722" s="82" t="s">
        <v>15804</v>
      </c>
      <c r="BC722" s="82" t="s">
        <v>12914</v>
      </c>
      <c r="BD722" s="82" t="s">
        <v>16252</v>
      </c>
      <c r="BE722" s="77"/>
      <c r="BF722" s="77"/>
      <c r="BG722" s="77"/>
      <c r="BH722" s="77"/>
      <c r="BI722" s="77"/>
    </row>
    <row r="723" spans="1:61" x14ac:dyDescent="0.25">
      <c r="A723" s="62" t="s">
        <v>450</v>
      </c>
      <c r="B723" s="62" t="s">
        <v>450</v>
      </c>
      <c r="C723" s="63"/>
      <c r="D723" s="64"/>
      <c r="E723" s="65"/>
      <c r="F723" s="66"/>
      <c r="G723" s="63"/>
      <c r="H723" s="67"/>
      <c r="I723" s="68"/>
      <c r="J723" s="68"/>
      <c r="K723" s="32"/>
      <c r="L723" s="75">
        <v>723</v>
      </c>
      <c r="M723" s="75"/>
      <c r="N723" s="70"/>
      <c r="O723" s="77" t="s">
        <v>179</v>
      </c>
      <c r="P723" s="79">
        <v>45061.365312499998</v>
      </c>
      <c r="Q723" s="77" t="s">
        <v>1828</v>
      </c>
      <c r="R723" s="77">
        <v>0</v>
      </c>
      <c r="S723" s="77">
        <v>1</v>
      </c>
      <c r="T723" s="77">
        <v>0</v>
      </c>
      <c r="U723" s="77">
        <v>0</v>
      </c>
      <c r="V723" s="77">
        <v>66</v>
      </c>
      <c r="W723" s="82" t="s">
        <v>4567</v>
      </c>
      <c r="X723" s="77"/>
      <c r="Y723" s="77"/>
      <c r="Z723" s="77"/>
      <c r="AA723" s="77" t="s">
        <v>6568</v>
      </c>
      <c r="AB723" s="77" t="s">
        <v>7697</v>
      </c>
      <c r="AC723" s="82" t="s">
        <v>7723</v>
      </c>
      <c r="AD723" s="77" t="s">
        <v>7745</v>
      </c>
      <c r="AE723" s="80" t="str">
        <f>HYPERLINK("https://twitter.com/emprestimopravc/status/1658030974242902018")</f>
        <v>https://twitter.com/emprestimopravc/status/1658030974242902018</v>
      </c>
      <c r="AF723" s="79">
        <v>45061.365312499998</v>
      </c>
      <c r="AG723" s="85">
        <v>45061</v>
      </c>
      <c r="AH723" s="82" t="s">
        <v>8407</v>
      </c>
      <c r="AI723" s="77" t="b">
        <v>0</v>
      </c>
      <c r="AJ723" s="77"/>
      <c r="AK723" s="77"/>
      <c r="AL723" s="77"/>
      <c r="AM723" s="77"/>
      <c r="AN723" s="77"/>
      <c r="AO723" s="77"/>
      <c r="AP723" s="77"/>
      <c r="AQ723" s="77" t="s">
        <v>11075</v>
      </c>
      <c r="AR723" s="77">
        <v>5000</v>
      </c>
      <c r="AS723" s="77"/>
      <c r="AT723" s="77"/>
      <c r="AU723" s="77">
        <v>14</v>
      </c>
      <c r="AV723" s="80" t="str">
        <f>HYPERLINK("https://pbs.twimg.com/ext_tw_video_thumb/1658030958606516225/pu/img/XZpxDUZv6ulxGiRT.jpg")</f>
        <v>https://pbs.twimg.com/ext_tw_video_thumb/1658030958606516225/pu/img/XZpxDUZv6ulxGiRT.jpg</v>
      </c>
      <c r="AW723" s="82" t="s">
        <v>12915</v>
      </c>
      <c r="AX723" s="82" t="s">
        <v>12915</v>
      </c>
      <c r="AY723" s="77"/>
      <c r="AZ723" s="82" t="s">
        <v>15804</v>
      </c>
      <c r="BA723" s="82" t="s">
        <v>15804</v>
      </c>
      <c r="BB723" s="82" t="s">
        <v>15804</v>
      </c>
      <c r="BC723" s="82" t="s">
        <v>12915</v>
      </c>
      <c r="BD723" s="82" t="s">
        <v>16252</v>
      </c>
      <c r="BE723" s="77"/>
      <c r="BF723" s="77"/>
      <c r="BG723" s="77"/>
      <c r="BH723" s="77"/>
      <c r="BI723" s="77"/>
    </row>
    <row r="724" spans="1:61" x14ac:dyDescent="0.25">
      <c r="A724" s="62" t="s">
        <v>450</v>
      </c>
      <c r="B724" s="62" t="s">
        <v>450</v>
      </c>
      <c r="C724" s="63"/>
      <c r="D724" s="64"/>
      <c r="E724" s="65"/>
      <c r="F724" s="66"/>
      <c r="G724" s="63"/>
      <c r="H724" s="67"/>
      <c r="I724" s="68"/>
      <c r="J724" s="68"/>
      <c r="K724" s="32"/>
      <c r="L724" s="75">
        <v>724</v>
      </c>
      <c r="M724" s="75"/>
      <c r="N724" s="70"/>
      <c r="O724" s="77" t="s">
        <v>179</v>
      </c>
      <c r="P724" s="79">
        <v>45057.472280092596</v>
      </c>
      <c r="Q724" s="77" t="s">
        <v>1829</v>
      </c>
      <c r="R724" s="77">
        <v>0</v>
      </c>
      <c r="S724" s="77">
        <v>0</v>
      </c>
      <c r="T724" s="77">
        <v>0</v>
      </c>
      <c r="U724" s="77">
        <v>0</v>
      </c>
      <c r="V724" s="77">
        <v>138</v>
      </c>
      <c r="W724" s="82" t="s">
        <v>4568</v>
      </c>
      <c r="X724" s="77"/>
      <c r="Y724" s="77"/>
      <c r="Z724" s="77"/>
      <c r="AA724" s="77" t="s">
        <v>6569</v>
      </c>
      <c r="AB724" s="77" t="s">
        <v>7697</v>
      </c>
      <c r="AC724" s="82" t="s">
        <v>7723</v>
      </c>
      <c r="AD724" s="77" t="s">
        <v>7745</v>
      </c>
      <c r="AE724" s="80" t="str">
        <f>HYPERLINK("https://twitter.com/emprestimopravc/status/1656620184038154241")</f>
        <v>https://twitter.com/emprestimopravc/status/1656620184038154241</v>
      </c>
      <c r="AF724" s="79">
        <v>45057.472280092596</v>
      </c>
      <c r="AG724" s="85">
        <v>45057</v>
      </c>
      <c r="AH724" s="82" t="s">
        <v>8408</v>
      </c>
      <c r="AI724" s="77" t="b">
        <v>0</v>
      </c>
      <c r="AJ724" s="77"/>
      <c r="AK724" s="77"/>
      <c r="AL724" s="77"/>
      <c r="AM724" s="77"/>
      <c r="AN724" s="77"/>
      <c r="AO724" s="77"/>
      <c r="AP724" s="77"/>
      <c r="AQ724" s="77" t="s">
        <v>11076</v>
      </c>
      <c r="AR724" s="77">
        <v>9600</v>
      </c>
      <c r="AS724" s="77"/>
      <c r="AT724" s="77"/>
      <c r="AU724" s="77">
        <v>40</v>
      </c>
      <c r="AV724" s="80" t="str">
        <f>HYPERLINK("https://pbs.twimg.com/ext_tw_video_thumb/1656620162697633794/pu/img/xSsY-tpvyiVUOBod.jpg")</f>
        <v>https://pbs.twimg.com/ext_tw_video_thumb/1656620162697633794/pu/img/xSsY-tpvyiVUOBod.jpg</v>
      </c>
      <c r="AW724" s="82" t="s">
        <v>12916</v>
      </c>
      <c r="AX724" s="82" t="s">
        <v>12916</v>
      </c>
      <c r="AY724" s="77"/>
      <c r="AZ724" s="82" t="s">
        <v>15804</v>
      </c>
      <c r="BA724" s="82" t="s">
        <v>15804</v>
      </c>
      <c r="BB724" s="82" t="s">
        <v>15804</v>
      </c>
      <c r="BC724" s="82" t="s">
        <v>12916</v>
      </c>
      <c r="BD724" s="82" t="s">
        <v>16252</v>
      </c>
      <c r="BE724" s="77"/>
      <c r="BF724" s="77"/>
      <c r="BG724" s="77"/>
      <c r="BH724" s="77"/>
      <c r="BI724" s="77"/>
    </row>
    <row r="725" spans="1:61" x14ac:dyDescent="0.25">
      <c r="A725" s="62" t="s">
        <v>450</v>
      </c>
      <c r="B725" s="62" t="s">
        <v>450</v>
      </c>
      <c r="C725" s="63"/>
      <c r="D725" s="64"/>
      <c r="E725" s="65"/>
      <c r="F725" s="66"/>
      <c r="G725" s="63"/>
      <c r="H725" s="67"/>
      <c r="I725" s="68"/>
      <c r="J725" s="68"/>
      <c r="K725" s="32"/>
      <c r="L725" s="75">
        <v>725</v>
      </c>
      <c r="M725" s="75"/>
      <c r="N725" s="70"/>
      <c r="O725" s="77" t="s">
        <v>179</v>
      </c>
      <c r="P725" s="79">
        <v>45069.530590277776</v>
      </c>
      <c r="Q725" s="77" t="s">
        <v>1830</v>
      </c>
      <c r="R725" s="77">
        <v>0</v>
      </c>
      <c r="S725" s="77">
        <v>1</v>
      </c>
      <c r="T725" s="77">
        <v>0</v>
      </c>
      <c r="U725" s="77">
        <v>0</v>
      </c>
      <c r="V725" s="77">
        <v>188</v>
      </c>
      <c r="W725" s="82" t="s">
        <v>4569</v>
      </c>
      <c r="X725" s="77"/>
      <c r="Y725" s="77"/>
      <c r="Z725" s="77"/>
      <c r="AA725" s="77" t="s">
        <v>6570</v>
      </c>
      <c r="AB725" s="77" t="s">
        <v>7697</v>
      </c>
      <c r="AC725" s="82" t="s">
        <v>7723</v>
      </c>
      <c r="AD725" s="77" t="s">
        <v>7745</v>
      </c>
      <c r="AE725" s="80" t="str">
        <f>HYPERLINK("https://twitter.com/emprestimopravc/status/1660989973191970816")</f>
        <v>https://twitter.com/emprestimopravc/status/1660989973191970816</v>
      </c>
      <c r="AF725" s="79">
        <v>45069.530590277776</v>
      </c>
      <c r="AG725" s="85">
        <v>45069</v>
      </c>
      <c r="AH725" s="82" t="s">
        <v>8409</v>
      </c>
      <c r="AI725" s="77" t="b">
        <v>0</v>
      </c>
      <c r="AJ725" s="77"/>
      <c r="AK725" s="77"/>
      <c r="AL725" s="77"/>
      <c r="AM725" s="77"/>
      <c r="AN725" s="77"/>
      <c r="AO725" s="77"/>
      <c r="AP725" s="77"/>
      <c r="AQ725" s="77" t="s">
        <v>11077</v>
      </c>
      <c r="AR725" s="77">
        <v>5000</v>
      </c>
      <c r="AS725" s="77"/>
      <c r="AT725" s="77"/>
      <c r="AU725" s="77">
        <v>40</v>
      </c>
      <c r="AV725" s="80" t="str">
        <f>HYPERLINK("https://pbs.twimg.com/ext_tw_video_thumb/1660989953654882309/pu/img/IaUqWKdgB9_OSNF2.jpg")</f>
        <v>https://pbs.twimg.com/ext_tw_video_thumb/1660989953654882309/pu/img/IaUqWKdgB9_OSNF2.jpg</v>
      </c>
      <c r="AW725" s="82" t="s">
        <v>12917</v>
      </c>
      <c r="AX725" s="82" t="s">
        <v>12917</v>
      </c>
      <c r="AY725" s="77"/>
      <c r="AZ725" s="82" t="s">
        <v>15804</v>
      </c>
      <c r="BA725" s="82" t="s">
        <v>15804</v>
      </c>
      <c r="BB725" s="82" t="s">
        <v>15804</v>
      </c>
      <c r="BC725" s="82" t="s">
        <v>12917</v>
      </c>
      <c r="BD725" s="82" t="s">
        <v>16252</v>
      </c>
      <c r="BE725" s="77"/>
      <c r="BF725" s="77"/>
      <c r="BG725" s="77"/>
      <c r="BH725" s="77"/>
      <c r="BI725" s="77"/>
    </row>
    <row r="726" spans="1:61" x14ac:dyDescent="0.25">
      <c r="A726" s="62" t="s">
        <v>450</v>
      </c>
      <c r="B726" s="62" t="s">
        <v>450</v>
      </c>
      <c r="C726" s="63"/>
      <c r="D726" s="64"/>
      <c r="E726" s="65"/>
      <c r="F726" s="66"/>
      <c r="G726" s="63"/>
      <c r="H726" s="67"/>
      <c r="I726" s="68"/>
      <c r="J726" s="68"/>
      <c r="K726" s="32"/>
      <c r="L726" s="75">
        <v>726</v>
      </c>
      <c r="M726" s="75"/>
      <c r="N726" s="70"/>
      <c r="O726" s="77" t="s">
        <v>179</v>
      </c>
      <c r="P726" s="79">
        <v>45021.688425925924</v>
      </c>
      <c r="Q726" s="77" t="s">
        <v>1831</v>
      </c>
      <c r="R726" s="77">
        <v>0</v>
      </c>
      <c r="S726" s="77">
        <v>1</v>
      </c>
      <c r="T726" s="77">
        <v>0</v>
      </c>
      <c r="U726" s="77">
        <v>0</v>
      </c>
      <c r="V726" s="77">
        <v>85</v>
      </c>
      <c r="W726" s="82" t="s">
        <v>4570</v>
      </c>
      <c r="X726" s="77"/>
      <c r="Y726" s="77"/>
      <c r="Z726" s="77"/>
      <c r="AA726" s="77" t="s">
        <v>6571</v>
      </c>
      <c r="AB726" s="77" t="s">
        <v>7697</v>
      </c>
      <c r="AC726" s="82" t="s">
        <v>7723</v>
      </c>
      <c r="AD726" s="77" t="s">
        <v>7745</v>
      </c>
      <c r="AE726" s="80" t="str">
        <f>HYPERLINK("https://twitter.com/emprestimopravc/status/1643652552267792386")</f>
        <v>https://twitter.com/emprestimopravc/status/1643652552267792386</v>
      </c>
      <c r="AF726" s="79">
        <v>45021.688425925924</v>
      </c>
      <c r="AG726" s="85">
        <v>45021</v>
      </c>
      <c r="AH726" s="82" t="s">
        <v>8410</v>
      </c>
      <c r="AI726" s="77" t="b">
        <v>0</v>
      </c>
      <c r="AJ726" s="77"/>
      <c r="AK726" s="77"/>
      <c r="AL726" s="77"/>
      <c r="AM726" s="77"/>
      <c r="AN726" s="77"/>
      <c r="AO726" s="77"/>
      <c r="AP726" s="77"/>
      <c r="AQ726" s="77" t="s">
        <v>11078</v>
      </c>
      <c r="AR726" s="77">
        <v>5000</v>
      </c>
      <c r="AS726" s="77"/>
      <c r="AT726" s="77"/>
      <c r="AU726" s="77">
        <v>13</v>
      </c>
      <c r="AV726" s="80" t="str">
        <f>HYPERLINK("https://pbs.twimg.com/ext_tw_video_thumb/1643652465428930560/pu/img/ZT_BXGP9bzV5xHv_.jpg")</f>
        <v>https://pbs.twimg.com/ext_tw_video_thumb/1643652465428930560/pu/img/ZT_BXGP9bzV5xHv_.jpg</v>
      </c>
      <c r="AW726" s="82" t="s">
        <v>12918</v>
      </c>
      <c r="AX726" s="82" t="s">
        <v>12918</v>
      </c>
      <c r="AY726" s="77"/>
      <c r="AZ726" s="82" t="s">
        <v>15804</v>
      </c>
      <c r="BA726" s="82" t="s">
        <v>15804</v>
      </c>
      <c r="BB726" s="82" t="s">
        <v>15804</v>
      </c>
      <c r="BC726" s="82" t="s">
        <v>12918</v>
      </c>
      <c r="BD726" s="82" t="s">
        <v>16252</v>
      </c>
      <c r="BE726" s="77"/>
      <c r="BF726" s="77"/>
      <c r="BG726" s="77"/>
      <c r="BH726" s="77"/>
      <c r="BI726" s="77"/>
    </row>
    <row r="727" spans="1:61" x14ac:dyDescent="0.25">
      <c r="A727" s="62" t="s">
        <v>450</v>
      </c>
      <c r="B727" s="62" t="s">
        <v>450</v>
      </c>
      <c r="C727" s="63"/>
      <c r="D727" s="64"/>
      <c r="E727" s="65"/>
      <c r="F727" s="66"/>
      <c r="G727" s="63"/>
      <c r="H727" s="67"/>
      <c r="I727" s="68"/>
      <c r="J727" s="68"/>
      <c r="K727" s="32"/>
      <c r="L727" s="75">
        <v>727</v>
      </c>
      <c r="M727" s="75"/>
      <c r="N727" s="70"/>
      <c r="O727" s="77" t="s">
        <v>179</v>
      </c>
      <c r="P727" s="79">
        <v>45136.946840277778</v>
      </c>
      <c r="Q727" s="77" t="s">
        <v>1832</v>
      </c>
      <c r="R727" s="77">
        <v>0</v>
      </c>
      <c r="S727" s="77">
        <v>0</v>
      </c>
      <c r="T727" s="77">
        <v>0</v>
      </c>
      <c r="U727" s="77">
        <v>0</v>
      </c>
      <c r="V727" s="77">
        <v>104</v>
      </c>
      <c r="W727" s="82" t="s">
        <v>4571</v>
      </c>
      <c r="X727" s="80" t="str">
        <f>HYPERLINK("http://www.credbommfinanceira.com.br")</f>
        <v>http://www.credbommfinanceira.com.br</v>
      </c>
      <c r="Y727" s="77" t="s">
        <v>6002</v>
      </c>
      <c r="Z727" s="77"/>
      <c r="AA727" s="77" t="s">
        <v>6572</v>
      </c>
      <c r="AB727" s="77" t="s">
        <v>7696</v>
      </c>
      <c r="AC727" s="82" t="s">
        <v>7707</v>
      </c>
      <c r="AD727" s="77" t="s">
        <v>7745</v>
      </c>
      <c r="AE727" s="80" t="str">
        <f>HYPERLINK("https://twitter.com/emprestimopravc/status/1685420803767058432")</f>
        <v>https://twitter.com/emprestimopravc/status/1685420803767058432</v>
      </c>
      <c r="AF727" s="79">
        <v>45136.946840277778</v>
      </c>
      <c r="AG727" s="85">
        <v>45136</v>
      </c>
      <c r="AH727" s="82" t="s">
        <v>8411</v>
      </c>
      <c r="AI727" s="77" t="b">
        <v>0</v>
      </c>
      <c r="AJ727" s="77"/>
      <c r="AK727" s="77"/>
      <c r="AL727" s="77"/>
      <c r="AM727" s="77"/>
      <c r="AN727" s="77"/>
      <c r="AO727" s="77"/>
      <c r="AP727" s="77"/>
      <c r="AQ727" s="77" t="s">
        <v>11079</v>
      </c>
      <c r="AR727" s="77"/>
      <c r="AS727" s="77"/>
      <c r="AT727" s="77"/>
      <c r="AU727" s="77"/>
      <c r="AV727" s="80" t="str">
        <f>HYPERLINK("https://pbs.twimg.com/media/F2PRSfWWwAAmPpb.jpg")</f>
        <v>https://pbs.twimg.com/media/F2PRSfWWwAAmPpb.jpg</v>
      </c>
      <c r="AW727" s="82" t="s">
        <v>12919</v>
      </c>
      <c r="AX727" s="82" t="s">
        <v>12919</v>
      </c>
      <c r="AY727" s="77"/>
      <c r="AZ727" s="82" t="s">
        <v>15804</v>
      </c>
      <c r="BA727" s="82" t="s">
        <v>15804</v>
      </c>
      <c r="BB727" s="82" t="s">
        <v>15804</v>
      </c>
      <c r="BC727" s="82" t="s">
        <v>12919</v>
      </c>
      <c r="BD727" s="82" t="s">
        <v>16252</v>
      </c>
      <c r="BE727" s="77"/>
      <c r="BF727" s="77"/>
      <c r="BG727" s="77"/>
      <c r="BH727" s="77"/>
      <c r="BI727" s="77"/>
    </row>
    <row r="728" spans="1:61" x14ac:dyDescent="0.25">
      <c r="A728" s="62" t="s">
        <v>450</v>
      </c>
      <c r="B728" s="62" t="s">
        <v>450</v>
      </c>
      <c r="C728" s="63"/>
      <c r="D728" s="64"/>
      <c r="E728" s="65"/>
      <c r="F728" s="66"/>
      <c r="G728" s="63"/>
      <c r="H728" s="67"/>
      <c r="I728" s="68"/>
      <c r="J728" s="68"/>
      <c r="K728" s="32"/>
      <c r="L728" s="75">
        <v>728</v>
      </c>
      <c r="M728" s="75"/>
      <c r="N728" s="70"/>
      <c r="O728" s="77" t="s">
        <v>179</v>
      </c>
      <c r="P728" s="79">
        <v>45049.752384259256</v>
      </c>
      <c r="Q728" s="77" t="s">
        <v>1833</v>
      </c>
      <c r="R728" s="77">
        <v>0</v>
      </c>
      <c r="S728" s="77">
        <v>1</v>
      </c>
      <c r="T728" s="77">
        <v>0</v>
      </c>
      <c r="U728" s="77">
        <v>0</v>
      </c>
      <c r="V728" s="77">
        <v>198</v>
      </c>
      <c r="W728" s="82" t="s">
        <v>4572</v>
      </c>
      <c r="X728" s="77"/>
      <c r="Y728" s="77"/>
      <c r="Z728" s="77"/>
      <c r="AA728" s="77" t="s">
        <v>6573</v>
      </c>
      <c r="AB728" s="77" t="s">
        <v>7697</v>
      </c>
      <c r="AC728" s="82" t="s">
        <v>7723</v>
      </c>
      <c r="AD728" s="77" t="s">
        <v>7745</v>
      </c>
      <c r="AE728" s="80" t="str">
        <f>HYPERLINK("https://twitter.com/emprestimopravc/status/1653822589423214596")</f>
        <v>https://twitter.com/emprestimopravc/status/1653822589423214596</v>
      </c>
      <c r="AF728" s="79">
        <v>45049.752384259256</v>
      </c>
      <c r="AG728" s="85">
        <v>45049</v>
      </c>
      <c r="AH728" s="82" t="s">
        <v>8412</v>
      </c>
      <c r="AI728" s="77" t="b">
        <v>0</v>
      </c>
      <c r="AJ728" s="77"/>
      <c r="AK728" s="77"/>
      <c r="AL728" s="77"/>
      <c r="AM728" s="77"/>
      <c r="AN728" s="77"/>
      <c r="AO728" s="77"/>
      <c r="AP728" s="77"/>
      <c r="AQ728" s="77" t="s">
        <v>11080</v>
      </c>
      <c r="AR728" s="77">
        <v>5000</v>
      </c>
      <c r="AS728" s="77"/>
      <c r="AT728" s="77"/>
      <c r="AU728" s="77">
        <v>54</v>
      </c>
      <c r="AV728" s="80" t="str">
        <f>HYPERLINK("https://pbs.twimg.com/ext_tw_video_thumb/1653822575443681283/pu/img/1BfkzgsgfMzrPLDF.jpg")</f>
        <v>https://pbs.twimg.com/ext_tw_video_thumb/1653822575443681283/pu/img/1BfkzgsgfMzrPLDF.jpg</v>
      </c>
      <c r="AW728" s="82" t="s">
        <v>12920</v>
      </c>
      <c r="AX728" s="82" t="s">
        <v>12920</v>
      </c>
      <c r="AY728" s="77"/>
      <c r="AZ728" s="82" t="s">
        <v>15804</v>
      </c>
      <c r="BA728" s="82" t="s">
        <v>15804</v>
      </c>
      <c r="BB728" s="82" t="s">
        <v>15804</v>
      </c>
      <c r="BC728" s="82" t="s">
        <v>12920</v>
      </c>
      <c r="BD728" s="82" t="s">
        <v>16252</v>
      </c>
      <c r="BE728" s="77"/>
      <c r="BF728" s="77"/>
      <c r="BG728" s="77"/>
      <c r="BH728" s="77"/>
      <c r="BI728" s="77"/>
    </row>
    <row r="729" spans="1:61" x14ac:dyDescent="0.25">
      <c r="A729" s="62" t="s">
        <v>450</v>
      </c>
      <c r="B729" s="62" t="s">
        <v>450</v>
      </c>
      <c r="C729" s="63"/>
      <c r="D729" s="64"/>
      <c r="E729" s="65"/>
      <c r="F729" s="66"/>
      <c r="G729" s="63"/>
      <c r="H729" s="67"/>
      <c r="I729" s="68"/>
      <c r="J729" s="68"/>
      <c r="K729" s="32"/>
      <c r="L729" s="75">
        <v>729</v>
      </c>
      <c r="M729" s="75"/>
      <c r="N729" s="70"/>
      <c r="O729" s="77" t="s">
        <v>179</v>
      </c>
      <c r="P729" s="79">
        <v>45154.973437499997</v>
      </c>
      <c r="Q729" s="77" t="s">
        <v>1834</v>
      </c>
      <c r="R729" s="77">
        <v>0</v>
      </c>
      <c r="S729" s="77">
        <v>0</v>
      </c>
      <c r="T729" s="77">
        <v>0</v>
      </c>
      <c r="U729" s="77">
        <v>0</v>
      </c>
      <c r="V729" s="77">
        <v>75</v>
      </c>
      <c r="W729" s="82" t="s">
        <v>4573</v>
      </c>
      <c r="X729" s="80" t="str">
        <f>HYPERLINK("http://www.credbommfinanceira.com.br")</f>
        <v>http://www.credbommfinanceira.com.br</v>
      </c>
      <c r="Y729" s="77" t="s">
        <v>6002</v>
      </c>
      <c r="Z729" s="77"/>
      <c r="AA729" s="77"/>
      <c r="AB729" s="77"/>
      <c r="AC729" s="82" t="s">
        <v>7706</v>
      </c>
      <c r="AD729" s="77" t="s">
        <v>7745</v>
      </c>
      <c r="AE729" s="80" t="str">
        <f>HYPERLINK("https://twitter.com/emprestimopravc/status/1691953421782249603")</f>
        <v>https://twitter.com/emprestimopravc/status/1691953421782249603</v>
      </c>
      <c r="AF729" s="79">
        <v>45154.973437499997</v>
      </c>
      <c r="AG729" s="85">
        <v>45154</v>
      </c>
      <c r="AH729" s="82" t="s">
        <v>8413</v>
      </c>
      <c r="AI729" s="77" t="b">
        <v>0</v>
      </c>
      <c r="AJ729" s="77"/>
      <c r="AK729" s="77"/>
      <c r="AL729" s="77"/>
      <c r="AM729" s="77"/>
      <c r="AN729" s="77"/>
      <c r="AO729" s="77"/>
      <c r="AP729" s="77"/>
      <c r="AQ729" s="77"/>
      <c r="AR729" s="77"/>
      <c r="AS729" s="77"/>
      <c r="AT729" s="77"/>
      <c r="AU729" s="77"/>
      <c r="AV729" s="80" t="str">
        <f>HYPERLINK("https://pbs.twimg.com/profile_images/1645221347969101826/WziLHhfO_normal.jpg")</f>
        <v>https://pbs.twimg.com/profile_images/1645221347969101826/WziLHhfO_normal.jpg</v>
      </c>
      <c r="AW729" s="82" t="s">
        <v>12921</v>
      </c>
      <c r="AX729" s="82" t="s">
        <v>12921</v>
      </c>
      <c r="AY729" s="77"/>
      <c r="AZ729" s="82" t="s">
        <v>15804</v>
      </c>
      <c r="BA729" s="82" t="s">
        <v>15804</v>
      </c>
      <c r="BB729" s="82" t="s">
        <v>15804</v>
      </c>
      <c r="BC729" s="82" t="s">
        <v>12921</v>
      </c>
      <c r="BD729" s="82" t="s">
        <v>16252</v>
      </c>
      <c r="BE729" s="77"/>
      <c r="BF729" s="77"/>
      <c r="BG729" s="77"/>
      <c r="BH729" s="77"/>
      <c r="BI729" s="77"/>
    </row>
    <row r="730" spans="1:61" x14ac:dyDescent="0.25">
      <c r="A730" s="62" t="s">
        <v>450</v>
      </c>
      <c r="B730" s="62" t="s">
        <v>450</v>
      </c>
      <c r="C730" s="63"/>
      <c r="D730" s="64"/>
      <c r="E730" s="65"/>
      <c r="F730" s="66"/>
      <c r="G730" s="63"/>
      <c r="H730" s="67"/>
      <c r="I730" s="68"/>
      <c r="J730" s="68"/>
      <c r="K730" s="32"/>
      <c r="L730" s="75">
        <v>730</v>
      </c>
      <c r="M730" s="75"/>
      <c r="N730" s="70"/>
      <c r="O730" s="77" t="s">
        <v>179</v>
      </c>
      <c r="P730" s="79">
        <v>45052.793738425928</v>
      </c>
      <c r="Q730" s="77" t="s">
        <v>1835</v>
      </c>
      <c r="R730" s="77">
        <v>0</v>
      </c>
      <c r="S730" s="77">
        <v>0</v>
      </c>
      <c r="T730" s="77">
        <v>0</v>
      </c>
      <c r="U730" s="77">
        <v>0</v>
      </c>
      <c r="V730" s="77">
        <v>30</v>
      </c>
      <c r="W730" s="82" t="s">
        <v>4574</v>
      </c>
      <c r="X730" s="80" t="str">
        <f>HYPERLINK("http://www.credbommfinanceira.com.br")</f>
        <v>http://www.credbommfinanceira.com.br</v>
      </c>
      <c r="Y730" s="77" t="s">
        <v>6002</v>
      </c>
      <c r="Z730" s="77"/>
      <c r="AA730" s="77"/>
      <c r="AB730" s="77"/>
      <c r="AC730" s="82" t="s">
        <v>7723</v>
      </c>
      <c r="AD730" s="77" t="s">
        <v>7745</v>
      </c>
      <c r="AE730" s="80" t="str">
        <f>HYPERLINK("https://twitter.com/emprestimopravc/status/1654924739549249537")</f>
        <v>https://twitter.com/emprestimopravc/status/1654924739549249537</v>
      </c>
      <c r="AF730" s="79">
        <v>45052.793738425928</v>
      </c>
      <c r="AG730" s="85">
        <v>45052</v>
      </c>
      <c r="AH730" s="82" t="s">
        <v>8414</v>
      </c>
      <c r="AI730" s="77" t="b">
        <v>0</v>
      </c>
      <c r="AJ730" s="77"/>
      <c r="AK730" s="77"/>
      <c r="AL730" s="77"/>
      <c r="AM730" s="77"/>
      <c r="AN730" s="77"/>
      <c r="AO730" s="77"/>
      <c r="AP730" s="77"/>
      <c r="AQ730" s="77"/>
      <c r="AR730" s="77"/>
      <c r="AS730" s="77"/>
      <c r="AT730" s="77"/>
      <c r="AU730" s="77"/>
      <c r="AV730" s="80" t="str">
        <f>HYPERLINK("https://pbs.twimg.com/profile_images/1645221347969101826/WziLHhfO_normal.jpg")</f>
        <v>https://pbs.twimg.com/profile_images/1645221347969101826/WziLHhfO_normal.jpg</v>
      </c>
      <c r="AW730" s="82" t="s">
        <v>12922</v>
      </c>
      <c r="AX730" s="82" t="s">
        <v>12922</v>
      </c>
      <c r="AY730" s="77"/>
      <c r="AZ730" s="82" t="s">
        <v>15804</v>
      </c>
      <c r="BA730" s="82" t="s">
        <v>15804</v>
      </c>
      <c r="BB730" s="82" t="s">
        <v>15804</v>
      </c>
      <c r="BC730" s="82" t="s">
        <v>12922</v>
      </c>
      <c r="BD730" s="82" t="s">
        <v>16252</v>
      </c>
      <c r="BE730" s="77"/>
      <c r="BF730" s="77"/>
      <c r="BG730" s="77"/>
      <c r="BH730" s="77"/>
      <c r="BI730" s="77"/>
    </row>
    <row r="731" spans="1:61" x14ac:dyDescent="0.25">
      <c r="A731" s="62" t="s">
        <v>451</v>
      </c>
      <c r="B731" s="62" t="s">
        <v>1074</v>
      </c>
      <c r="C731" s="63"/>
      <c r="D731" s="64"/>
      <c r="E731" s="65"/>
      <c r="F731" s="66"/>
      <c r="G731" s="63"/>
      <c r="H731" s="67"/>
      <c r="I731" s="68"/>
      <c r="J731" s="68"/>
      <c r="K731" s="32"/>
      <c r="L731" s="75">
        <v>731</v>
      </c>
      <c r="M731" s="75"/>
      <c r="N731" s="70"/>
      <c r="O731" s="77" t="s">
        <v>1133</v>
      </c>
      <c r="P731" s="79">
        <v>45162.564062500001</v>
      </c>
      <c r="Q731" s="77" t="s">
        <v>1836</v>
      </c>
      <c r="R731" s="77">
        <v>7</v>
      </c>
      <c r="S731" s="77">
        <v>74</v>
      </c>
      <c r="T731" s="77">
        <v>24</v>
      </c>
      <c r="U731" s="77">
        <v>3</v>
      </c>
      <c r="V731" s="77">
        <v>17224</v>
      </c>
      <c r="W731" s="82" t="s">
        <v>4575</v>
      </c>
      <c r="X731" s="77"/>
      <c r="Y731" s="77"/>
      <c r="Z731" s="77" t="s">
        <v>1074</v>
      </c>
      <c r="AA731" s="77" t="s">
        <v>6574</v>
      </c>
      <c r="AB731" s="77" t="s">
        <v>7697</v>
      </c>
      <c r="AC731" s="82" t="s">
        <v>7707</v>
      </c>
      <c r="AD731" s="77" t="s">
        <v>7745</v>
      </c>
      <c r="AE731" s="80" t="str">
        <f>HYPERLINK("https://twitter.com/ricamconsult/status/1694704170664628439")</f>
        <v>https://twitter.com/ricamconsult/status/1694704170664628439</v>
      </c>
      <c r="AF731" s="79">
        <v>45162.564062500001</v>
      </c>
      <c r="AG731" s="85">
        <v>45162</v>
      </c>
      <c r="AH731" s="82" t="s">
        <v>8415</v>
      </c>
      <c r="AI731" s="77" t="b">
        <v>0</v>
      </c>
      <c r="AJ731" s="77"/>
      <c r="AK731" s="77"/>
      <c r="AL731" s="77"/>
      <c r="AM731" s="77"/>
      <c r="AN731" s="77"/>
      <c r="AO731" s="77"/>
      <c r="AP731" s="77"/>
      <c r="AQ731" s="77" t="s">
        <v>11081</v>
      </c>
      <c r="AR731" s="77">
        <v>66200</v>
      </c>
      <c r="AS731" s="77"/>
      <c r="AT731" s="77"/>
      <c r="AU731" s="77">
        <v>6441</v>
      </c>
      <c r="AV731" s="80" t="str">
        <f>HYPERLINK("https://pbs.twimg.com/ext_tw_video_thumb/1694704019741286400/pu/img/CxnGfAoln7XNZ9Lm.jpg")</f>
        <v>https://pbs.twimg.com/ext_tw_video_thumb/1694704019741286400/pu/img/CxnGfAoln7XNZ9Lm.jpg</v>
      </c>
      <c r="AW731" s="82" t="s">
        <v>12923</v>
      </c>
      <c r="AX731" s="82" t="s">
        <v>12923</v>
      </c>
      <c r="AY731" s="77"/>
      <c r="AZ731" s="82" t="s">
        <v>15804</v>
      </c>
      <c r="BA731" s="82" t="s">
        <v>15804</v>
      </c>
      <c r="BB731" s="82" t="s">
        <v>15804</v>
      </c>
      <c r="BC731" s="82" t="s">
        <v>12923</v>
      </c>
      <c r="BD731" s="77">
        <v>160910872</v>
      </c>
      <c r="BE731" s="77"/>
      <c r="BF731" s="77"/>
      <c r="BG731" s="77"/>
      <c r="BH731" s="77"/>
      <c r="BI731" s="77"/>
    </row>
    <row r="732" spans="1:61" x14ac:dyDescent="0.25">
      <c r="A732" s="62" t="s">
        <v>451</v>
      </c>
      <c r="B732" s="62" t="s">
        <v>451</v>
      </c>
      <c r="C732" s="63"/>
      <c r="D732" s="64"/>
      <c r="E732" s="65"/>
      <c r="F732" s="66"/>
      <c r="G732" s="63"/>
      <c r="H732" s="67"/>
      <c r="I732" s="68"/>
      <c r="J732" s="68"/>
      <c r="K732" s="32"/>
      <c r="L732" s="75">
        <v>732</v>
      </c>
      <c r="M732" s="75"/>
      <c r="N732" s="70"/>
      <c r="O732" s="77" t="s">
        <v>179</v>
      </c>
      <c r="P732" s="79">
        <v>45132.550127314818</v>
      </c>
      <c r="Q732" s="77" t="s">
        <v>1837</v>
      </c>
      <c r="R732" s="77">
        <v>14</v>
      </c>
      <c r="S732" s="77">
        <v>69</v>
      </c>
      <c r="T732" s="77">
        <v>5</v>
      </c>
      <c r="U732" s="77">
        <v>0</v>
      </c>
      <c r="V732" s="77">
        <v>7000</v>
      </c>
      <c r="W732" s="82" t="s">
        <v>4097</v>
      </c>
      <c r="X732" s="80" t="str">
        <f>HYPERLINK("https://bit.ly/analfabetos-financeiros")</f>
        <v>https://bit.ly/analfabetos-financeiros</v>
      </c>
      <c r="Y732" s="77" t="s">
        <v>6004</v>
      </c>
      <c r="Z732" s="77"/>
      <c r="AA732" s="77"/>
      <c r="AB732" s="77"/>
      <c r="AC732" s="82" t="s">
        <v>7706</v>
      </c>
      <c r="AD732" s="77" t="s">
        <v>7745</v>
      </c>
      <c r="AE732" s="80" t="str">
        <f>HYPERLINK("https://twitter.com/ricamconsult/status/1683827484922355712")</f>
        <v>https://twitter.com/ricamconsult/status/1683827484922355712</v>
      </c>
      <c r="AF732" s="79">
        <v>45132.550127314818</v>
      </c>
      <c r="AG732" s="85">
        <v>45132</v>
      </c>
      <c r="AH732" s="82" t="s">
        <v>8416</v>
      </c>
      <c r="AI732" s="77" t="b">
        <v>0</v>
      </c>
      <c r="AJ732" s="77"/>
      <c r="AK732" s="77"/>
      <c r="AL732" s="77"/>
      <c r="AM732" s="77"/>
      <c r="AN732" s="77"/>
      <c r="AO732" s="77"/>
      <c r="AP732" s="77"/>
      <c r="AQ732" s="77"/>
      <c r="AR732" s="77"/>
      <c r="AS732" s="77"/>
      <c r="AT732" s="77"/>
      <c r="AU732" s="77"/>
      <c r="AV732" s="80" t="str">
        <f>HYPERLINK("https://pbs.twimg.com/profile_images/1327606670453854211/QxCVNmHW_normal.jpg")</f>
        <v>https://pbs.twimg.com/profile_images/1327606670453854211/QxCVNmHW_normal.jpg</v>
      </c>
      <c r="AW732" s="82" t="s">
        <v>12924</v>
      </c>
      <c r="AX732" s="82" t="s">
        <v>12924</v>
      </c>
      <c r="AY732" s="77"/>
      <c r="AZ732" s="82" t="s">
        <v>15804</v>
      </c>
      <c r="BA732" s="82" t="s">
        <v>15804</v>
      </c>
      <c r="BB732" s="82" t="s">
        <v>15804</v>
      </c>
      <c r="BC732" s="82" t="s">
        <v>12924</v>
      </c>
      <c r="BD732" s="77">
        <v>160910872</v>
      </c>
      <c r="BE732" s="77"/>
      <c r="BF732" s="77"/>
      <c r="BG732" s="77"/>
      <c r="BH732" s="77"/>
      <c r="BI732" s="77"/>
    </row>
    <row r="733" spans="1:61" x14ac:dyDescent="0.25">
      <c r="A733" s="62" t="s">
        <v>452</v>
      </c>
      <c r="B733" s="62" t="s">
        <v>452</v>
      </c>
      <c r="C733" s="63"/>
      <c r="D733" s="64"/>
      <c r="E733" s="65"/>
      <c r="F733" s="66"/>
      <c r="G733" s="63"/>
      <c r="H733" s="67"/>
      <c r="I733" s="68"/>
      <c r="J733" s="68"/>
      <c r="K733" s="32"/>
      <c r="L733" s="75">
        <v>733</v>
      </c>
      <c r="M733" s="75"/>
      <c r="N733" s="70"/>
      <c r="O733" s="77" t="s">
        <v>1132</v>
      </c>
      <c r="P733" s="79">
        <v>45110.88857638889</v>
      </c>
      <c r="Q733" s="77" t="s">
        <v>1838</v>
      </c>
      <c r="R733" s="77">
        <v>0</v>
      </c>
      <c r="S733" s="77">
        <v>0</v>
      </c>
      <c r="T733" s="77">
        <v>0</v>
      </c>
      <c r="U733" s="77">
        <v>0</v>
      </c>
      <c r="V733" s="77">
        <v>42</v>
      </c>
      <c r="W733" s="82" t="s">
        <v>4097</v>
      </c>
      <c r="X733" s="77"/>
      <c r="Y733" s="77"/>
      <c r="Z733" s="77"/>
      <c r="AA733" s="77"/>
      <c r="AB733" s="77"/>
      <c r="AC733" s="82" t="s">
        <v>7706</v>
      </c>
      <c r="AD733" s="77" t="s">
        <v>7745</v>
      </c>
      <c r="AE733" s="80" t="str">
        <f>HYPERLINK("https://twitter.com/pedrofagundes/status/1675977603092455426")</f>
        <v>https://twitter.com/pedrofagundes/status/1675977603092455426</v>
      </c>
      <c r="AF733" s="79">
        <v>45110.88857638889</v>
      </c>
      <c r="AG733" s="85">
        <v>45110</v>
      </c>
      <c r="AH733" s="82" t="s">
        <v>8417</v>
      </c>
      <c r="AI733" s="77"/>
      <c r="AJ733" s="77"/>
      <c r="AK733" s="77"/>
      <c r="AL733" s="77"/>
      <c r="AM733" s="77"/>
      <c r="AN733" s="77"/>
      <c r="AO733" s="77"/>
      <c r="AP733" s="77"/>
      <c r="AQ733" s="77"/>
      <c r="AR733" s="77"/>
      <c r="AS733" s="77"/>
      <c r="AT733" s="77"/>
      <c r="AU733" s="77"/>
      <c r="AV733" s="80" t="str">
        <f>HYPERLINK("https://pbs.twimg.com/profile_images/1556723619639746567/mqx4afLb_normal.jpg")</f>
        <v>https://pbs.twimg.com/profile_images/1556723619639746567/mqx4afLb_normal.jpg</v>
      </c>
      <c r="AW733" s="82" t="s">
        <v>12925</v>
      </c>
      <c r="AX733" s="82" t="s">
        <v>15289</v>
      </c>
      <c r="AY733" s="82" t="s">
        <v>15712</v>
      </c>
      <c r="AZ733" s="82" t="s">
        <v>15855</v>
      </c>
      <c r="BA733" s="82" t="s">
        <v>15804</v>
      </c>
      <c r="BB733" s="82" t="s">
        <v>15804</v>
      </c>
      <c r="BC733" s="82" t="s">
        <v>15855</v>
      </c>
      <c r="BD733" s="77">
        <v>53912925</v>
      </c>
      <c r="BE733" s="77"/>
      <c r="BF733" s="77"/>
      <c r="BG733" s="77"/>
      <c r="BH733" s="77"/>
      <c r="BI733" s="77"/>
    </row>
    <row r="734" spans="1:61" x14ac:dyDescent="0.25">
      <c r="A734" s="62" t="s">
        <v>453</v>
      </c>
      <c r="B734" s="62" t="s">
        <v>453</v>
      </c>
      <c r="C734" s="63"/>
      <c r="D734" s="64"/>
      <c r="E734" s="65"/>
      <c r="F734" s="66"/>
      <c r="G734" s="63"/>
      <c r="H734" s="67"/>
      <c r="I734" s="68"/>
      <c r="J734" s="68"/>
      <c r="K734" s="32"/>
      <c r="L734" s="75">
        <v>734</v>
      </c>
      <c r="M734" s="75"/>
      <c r="N734" s="70"/>
      <c r="O734" s="77" t="s">
        <v>179</v>
      </c>
      <c r="P734" s="79">
        <v>45023.500578703701</v>
      </c>
      <c r="Q734" s="77" t="s">
        <v>1839</v>
      </c>
      <c r="R734" s="77">
        <v>0</v>
      </c>
      <c r="S734" s="77">
        <v>0</v>
      </c>
      <c r="T734" s="77">
        <v>0</v>
      </c>
      <c r="U734" s="77">
        <v>0</v>
      </c>
      <c r="V734" s="77">
        <v>70</v>
      </c>
      <c r="W734" s="82" t="s">
        <v>4097</v>
      </c>
      <c r="X734" s="80" t="str">
        <f>HYPERLINK("http://ens.vc/financas_pessoais")</f>
        <v>http://ens.vc/financas_pessoais</v>
      </c>
      <c r="Y734" s="77" t="s">
        <v>6042</v>
      </c>
      <c r="Z734" s="77"/>
      <c r="AA734" s="77" t="s">
        <v>6575</v>
      </c>
      <c r="AB734" s="77" t="s">
        <v>7696</v>
      </c>
      <c r="AC734" s="82" t="s">
        <v>7708</v>
      </c>
      <c r="AD734" s="77" t="s">
        <v>7745</v>
      </c>
      <c r="AE734" s="80" t="str">
        <f>HYPERLINK("https://twitter.com/oficial_ens/status/1644309253363052546")</f>
        <v>https://twitter.com/oficial_ens/status/1644309253363052546</v>
      </c>
      <c r="AF734" s="79">
        <v>45023.500578703701</v>
      </c>
      <c r="AG734" s="85">
        <v>45023</v>
      </c>
      <c r="AH734" s="82" t="s">
        <v>8418</v>
      </c>
      <c r="AI734" s="77" t="b">
        <v>0</v>
      </c>
      <c r="AJ734" s="77"/>
      <c r="AK734" s="77"/>
      <c r="AL734" s="77"/>
      <c r="AM734" s="77"/>
      <c r="AN734" s="77"/>
      <c r="AO734" s="77"/>
      <c r="AP734" s="77"/>
      <c r="AQ734" s="77" t="s">
        <v>11082</v>
      </c>
      <c r="AR734" s="77"/>
      <c r="AS734" s="77"/>
      <c r="AT734" s="77"/>
      <c r="AU734" s="77"/>
      <c r="AV734" s="80" t="str">
        <f>HYPERLINK("https://pbs.twimg.com/media/FtHCjRFXoAId4mX.jpg")</f>
        <v>https://pbs.twimg.com/media/FtHCjRFXoAId4mX.jpg</v>
      </c>
      <c r="AW734" s="82" t="s">
        <v>12926</v>
      </c>
      <c r="AX734" s="82" t="s">
        <v>12926</v>
      </c>
      <c r="AY734" s="77"/>
      <c r="AZ734" s="82" t="s">
        <v>15804</v>
      </c>
      <c r="BA734" s="82" t="s">
        <v>15804</v>
      </c>
      <c r="BB734" s="82" t="s">
        <v>15804</v>
      </c>
      <c r="BC734" s="82" t="s">
        <v>12926</v>
      </c>
      <c r="BD734" s="77">
        <v>40325288</v>
      </c>
      <c r="BE734" s="77"/>
      <c r="BF734" s="77"/>
      <c r="BG734" s="77"/>
      <c r="BH734" s="77"/>
      <c r="BI734" s="77"/>
    </row>
    <row r="735" spans="1:61" x14ac:dyDescent="0.25">
      <c r="A735" s="62" t="s">
        <v>453</v>
      </c>
      <c r="B735" s="62" t="s">
        <v>453</v>
      </c>
      <c r="C735" s="63"/>
      <c r="D735" s="64"/>
      <c r="E735" s="65"/>
      <c r="F735" s="66"/>
      <c r="G735" s="63"/>
      <c r="H735" s="67"/>
      <c r="I735" s="68"/>
      <c r="J735" s="68"/>
      <c r="K735" s="32"/>
      <c r="L735" s="75">
        <v>735</v>
      </c>
      <c r="M735" s="75"/>
      <c r="N735" s="70"/>
      <c r="O735" s="77" t="s">
        <v>179</v>
      </c>
      <c r="P735" s="79">
        <v>45034.616805555554</v>
      </c>
      <c r="Q735" s="77" t="s">
        <v>1840</v>
      </c>
      <c r="R735" s="77">
        <v>0</v>
      </c>
      <c r="S735" s="77">
        <v>0</v>
      </c>
      <c r="T735" s="77">
        <v>0</v>
      </c>
      <c r="U735" s="77">
        <v>0</v>
      </c>
      <c r="V735" s="77">
        <v>44</v>
      </c>
      <c r="W735" s="82" t="s">
        <v>4576</v>
      </c>
      <c r="X735" s="80" t="str">
        <f>HYPERLINK("https://ens.vc/41zzvVl")</f>
        <v>https://ens.vc/41zzvVl</v>
      </c>
      <c r="Y735" s="77" t="s">
        <v>6042</v>
      </c>
      <c r="Z735" s="77"/>
      <c r="AA735" s="77"/>
      <c r="AB735" s="77"/>
      <c r="AC735" s="82" t="s">
        <v>7706</v>
      </c>
      <c r="AD735" s="77" t="s">
        <v>7745</v>
      </c>
      <c r="AE735" s="80" t="str">
        <f>HYPERLINK("https://twitter.com/oficial_ens/status/1648337638254837768")</f>
        <v>https://twitter.com/oficial_ens/status/1648337638254837768</v>
      </c>
      <c r="AF735" s="79">
        <v>45034.616805555554</v>
      </c>
      <c r="AG735" s="85">
        <v>45034</v>
      </c>
      <c r="AH735" s="82" t="s">
        <v>8419</v>
      </c>
      <c r="AI735" s="77" t="b">
        <v>0</v>
      </c>
      <c r="AJ735" s="77"/>
      <c r="AK735" s="77"/>
      <c r="AL735" s="77"/>
      <c r="AM735" s="77"/>
      <c r="AN735" s="77"/>
      <c r="AO735" s="77"/>
      <c r="AP735" s="77"/>
      <c r="AQ735" s="77"/>
      <c r="AR735" s="77"/>
      <c r="AS735" s="77"/>
      <c r="AT735" s="77"/>
      <c r="AU735" s="77"/>
      <c r="AV735" s="80" t="str">
        <f>HYPERLINK("https://pbs.twimg.com/profile_images/1668643537892564992/k8CrI-Ic_normal.jpg")</f>
        <v>https://pbs.twimg.com/profile_images/1668643537892564992/k8CrI-Ic_normal.jpg</v>
      </c>
      <c r="AW735" s="82" t="s">
        <v>12927</v>
      </c>
      <c r="AX735" s="82" t="s">
        <v>12927</v>
      </c>
      <c r="AY735" s="77"/>
      <c r="AZ735" s="82" t="s">
        <v>15804</v>
      </c>
      <c r="BA735" s="82" t="s">
        <v>15804</v>
      </c>
      <c r="BB735" s="82" t="s">
        <v>15804</v>
      </c>
      <c r="BC735" s="82" t="s">
        <v>12927</v>
      </c>
      <c r="BD735" s="77">
        <v>40325288</v>
      </c>
      <c r="BE735" s="77"/>
      <c r="BF735" s="77"/>
      <c r="BG735" s="77"/>
      <c r="BH735" s="77"/>
      <c r="BI735" s="77"/>
    </row>
    <row r="736" spans="1:61" x14ac:dyDescent="0.25">
      <c r="A736" s="62" t="s">
        <v>454</v>
      </c>
      <c r="B736" s="62" t="s">
        <v>454</v>
      </c>
      <c r="C736" s="63"/>
      <c r="D736" s="64"/>
      <c r="E736" s="65"/>
      <c r="F736" s="66"/>
      <c r="G736" s="63"/>
      <c r="H736" s="67"/>
      <c r="I736" s="68"/>
      <c r="J736" s="68"/>
      <c r="K736" s="32"/>
      <c r="L736" s="75">
        <v>736</v>
      </c>
      <c r="M736" s="75"/>
      <c r="N736" s="70"/>
      <c r="O736" s="77" t="s">
        <v>179</v>
      </c>
      <c r="P736" s="79">
        <v>44945.646574074075</v>
      </c>
      <c r="Q736" s="77" t="s">
        <v>1841</v>
      </c>
      <c r="R736" s="77">
        <v>0</v>
      </c>
      <c r="S736" s="77">
        <v>1</v>
      </c>
      <c r="T736" s="77">
        <v>0</v>
      </c>
      <c r="U736" s="77">
        <v>0</v>
      </c>
      <c r="V736" s="77">
        <v>19</v>
      </c>
      <c r="W736" s="82" t="s">
        <v>4577</v>
      </c>
      <c r="X736" s="77"/>
      <c r="Y736" s="77"/>
      <c r="Z736" s="77"/>
      <c r="AA736" s="77"/>
      <c r="AB736" s="77"/>
      <c r="AC736" s="82" t="s">
        <v>7705</v>
      </c>
      <c r="AD736" s="77" t="s">
        <v>7745</v>
      </c>
      <c r="AE736" s="80" t="str">
        <f>HYPERLINK("https://twitter.com/andreamenezesi/status/1616095907635728385")</f>
        <v>https://twitter.com/andreamenezesi/status/1616095907635728385</v>
      </c>
      <c r="AF736" s="79">
        <v>44945.646574074075</v>
      </c>
      <c r="AG736" s="85">
        <v>44945</v>
      </c>
      <c r="AH736" s="82" t="s">
        <v>8420</v>
      </c>
      <c r="AI736" s="77"/>
      <c r="AJ736" s="77"/>
      <c r="AK736" s="77"/>
      <c r="AL736" s="77"/>
      <c r="AM736" s="77"/>
      <c r="AN736" s="77"/>
      <c r="AO736" s="77"/>
      <c r="AP736" s="77"/>
      <c r="AQ736" s="77"/>
      <c r="AR736" s="77"/>
      <c r="AS736" s="77"/>
      <c r="AT736" s="77"/>
      <c r="AU736" s="77"/>
      <c r="AV736" s="80" t="str">
        <f>HYPERLINK("https://pbs.twimg.com/profile_images/1572721519293304832/4h2XKvkF_normal.jpg")</f>
        <v>https://pbs.twimg.com/profile_images/1572721519293304832/4h2XKvkF_normal.jpg</v>
      </c>
      <c r="AW736" s="82" t="s">
        <v>12928</v>
      </c>
      <c r="AX736" s="82" t="s">
        <v>12928</v>
      </c>
      <c r="AY736" s="77"/>
      <c r="AZ736" s="82" t="s">
        <v>15804</v>
      </c>
      <c r="BA736" s="82" t="s">
        <v>15804</v>
      </c>
      <c r="BB736" s="82" t="s">
        <v>15804</v>
      </c>
      <c r="BC736" s="82" t="s">
        <v>12928</v>
      </c>
      <c r="BD736" s="82" t="s">
        <v>16253</v>
      </c>
      <c r="BE736" s="77"/>
      <c r="BF736" s="77"/>
      <c r="BG736" s="77"/>
      <c r="BH736" s="77"/>
      <c r="BI736" s="77"/>
    </row>
    <row r="737" spans="1:61" x14ac:dyDescent="0.25">
      <c r="A737" s="62" t="s">
        <v>455</v>
      </c>
      <c r="B737" s="62" t="s">
        <v>455</v>
      </c>
      <c r="C737" s="63"/>
      <c r="D737" s="64"/>
      <c r="E737" s="65"/>
      <c r="F737" s="66"/>
      <c r="G737" s="63"/>
      <c r="H737" s="67"/>
      <c r="I737" s="68"/>
      <c r="J737" s="68"/>
      <c r="K737" s="32"/>
      <c r="L737" s="75">
        <v>737</v>
      </c>
      <c r="M737" s="75"/>
      <c r="N737" s="70"/>
      <c r="O737" s="77" t="s">
        <v>179</v>
      </c>
      <c r="P737" s="79">
        <v>45039.536805555559</v>
      </c>
      <c r="Q737" s="77" t="s">
        <v>1842</v>
      </c>
      <c r="R737" s="77">
        <v>0</v>
      </c>
      <c r="S737" s="77">
        <v>0</v>
      </c>
      <c r="T737" s="77">
        <v>0</v>
      </c>
      <c r="U737" s="77">
        <v>0</v>
      </c>
      <c r="V737" s="77">
        <v>56</v>
      </c>
      <c r="W737" s="82" t="s">
        <v>4578</v>
      </c>
      <c r="X737" s="77"/>
      <c r="Y737" s="77"/>
      <c r="Z737" s="77"/>
      <c r="AA737" s="77" t="s">
        <v>6576</v>
      </c>
      <c r="AB737" s="77" t="s">
        <v>7700</v>
      </c>
      <c r="AC737" s="82" t="s">
        <v>7706</v>
      </c>
      <c r="AD737" s="77" t="s">
        <v>7745</v>
      </c>
      <c r="AE737" s="80" t="str">
        <f>HYPERLINK("https://twitter.com/unicredbrasil/status/1650120586549506049")</f>
        <v>https://twitter.com/unicredbrasil/status/1650120586549506049</v>
      </c>
      <c r="AF737" s="79">
        <v>45039.536805555559</v>
      </c>
      <c r="AG737" s="85">
        <v>45039</v>
      </c>
      <c r="AH737" s="82" t="s">
        <v>8421</v>
      </c>
      <c r="AI737" s="77" t="b">
        <v>0</v>
      </c>
      <c r="AJ737" s="77"/>
      <c r="AK737" s="77"/>
      <c r="AL737" s="77"/>
      <c r="AM737" s="77"/>
      <c r="AN737" s="77"/>
      <c r="AO737" s="77"/>
      <c r="AP737" s="77"/>
      <c r="AQ737" s="77" t="s">
        <v>11083</v>
      </c>
      <c r="AR737" s="77"/>
      <c r="AS737" s="77"/>
      <c r="AT737" s="77"/>
      <c r="AU737" s="77"/>
      <c r="AV737" s="80" t="str">
        <f>HYPERLINK("https://pbs.twimg.com/media/FuA8giCWIAkFYrI.jpg")</f>
        <v>https://pbs.twimg.com/media/FuA8giCWIAkFYrI.jpg</v>
      </c>
      <c r="AW737" s="82" t="s">
        <v>12929</v>
      </c>
      <c r="AX737" s="82" t="s">
        <v>12929</v>
      </c>
      <c r="AY737" s="77"/>
      <c r="AZ737" s="82" t="s">
        <v>15804</v>
      </c>
      <c r="BA737" s="82" t="s">
        <v>15804</v>
      </c>
      <c r="BB737" s="82" t="s">
        <v>15804</v>
      </c>
      <c r="BC737" s="82" t="s">
        <v>12929</v>
      </c>
      <c r="BD737" s="82" t="s">
        <v>16254</v>
      </c>
      <c r="BE737" s="77"/>
      <c r="BF737" s="77"/>
      <c r="BG737" s="77"/>
      <c r="BH737" s="77"/>
      <c r="BI737" s="77"/>
    </row>
    <row r="738" spans="1:61" x14ac:dyDescent="0.25">
      <c r="A738" s="62" t="s">
        <v>455</v>
      </c>
      <c r="B738" s="62" t="s">
        <v>455</v>
      </c>
      <c r="C738" s="63"/>
      <c r="D738" s="64"/>
      <c r="E738" s="65"/>
      <c r="F738" s="66"/>
      <c r="G738" s="63"/>
      <c r="H738" s="67"/>
      <c r="I738" s="68"/>
      <c r="J738" s="68"/>
      <c r="K738" s="32"/>
      <c r="L738" s="75">
        <v>738</v>
      </c>
      <c r="M738" s="75"/>
      <c r="N738" s="70"/>
      <c r="O738" s="77" t="s">
        <v>179</v>
      </c>
      <c r="P738" s="79">
        <v>45182.535405092596</v>
      </c>
      <c r="Q738" s="77" t="s">
        <v>1843</v>
      </c>
      <c r="R738" s="77">
        <v>0</v>
      </c>
      <c r="S738" s="77">
        <v>0</v>
      </c>
      <c r="T738" s="77">
        <v>0</v>
      </c>
      <c r="U738" s="77">
        <v>0</v>
      </c>
      <c r="V738" s="77">
        <v>5</v>
      </c>
      <c r="W738" s="82" t="s">
        <v>4579</v>
      </c>
      <c r="X738" s="77"/>
      <c r="Y738" s="77"/>
      <c r="Z738" s="77"/>
      <c r="AA738" s="77" t="s">
        <v>6577</v>
      </c>
      <c r="AB738" s="77" t="s">
        <v>7700</v>
      </c>
      <c r="AC738" s="82" t="s">
        <v>7706</v>
      </c>
      <c r="AD738" s="77" t="s">
        <v>7745</v>
      </c>
      <c r="AE738" s="80" t="str">
        <f>HYPERLINK("https://twitter.com/unicredbrasil/status/1701941545774026864")</f>
        <v>https://twitter.com/unicredbrasil/status/1701941545774026864</v>
      </c>
      <c r="AF738" s="79">
        <v>45182.535405092596</v>
      </c>
      <c r="AG738" s="85">
        <v>45182</v>
      </c>
      <c r="AH738" s="82" t="s">
        <v>8422</v>
      </c>
      <c r="AI738" s="77" t="b">
        <v>0</v>
      </c>
      <c r="AJ738" s="77"/>
      <c r="AK738" s="77"/>
      <c r="AL738" s="77"/>
      <c r="AM738" s="77"/>
      <c r="AN738" s="77"/>
      <c r="AO738" s="77"/>
      <c r="AP738" s="77"/>
      <c r="AQ738" s="77" t="s">
        <v>11084</v>
      </c>
      <c r="AR738" s="77"/>
      <c r="AS738" s="77"/>
      <c r="AT738" s="77"/>
      <c r="AU738" s="77"/>
      <c r="AV738" s="80" t="str">
        <f>HYPERLINK("https://pbs.twimg.com/media/F56COyGWsAE_uel.jpg")</f>
        <v>https://pbs.twimg.com/media/F56COyGWsAE_uel.jpg</v>
      </c>
      <c r="AW738" s="82" t="s">
        <v>12930</v>
      </c>
      <c r="AX738" s="82" t="s">
        <v>12930</v>
      </c>
      <c r="AY738" s="77"/>
      <c r="AZ738" s="82" t="s">
        <v>15804</v>
      </c>
      <c r="BA738" s="82" t="s">
        <v>15804</v>
      </c>
      <c r="BB738" s="82" t="s">
        <v>15804</v>
      </c>
      <c r="BC738" s="82" t="s">
        <v>12930</v>
      </c>
      <c r="BD738" s="82" t="s">
        <v>16254</v>
      </c>
      <c r="BE738" s="77"/>
      <c r="BF738" s="77"/>
      <c r="BG738" s="77"/>
      <c r="BH738" s="77"/>
      <c r="BI738" s="77"/>
    </row>
    <row r="739" spans="1:61" x14ac:dyDescent="0.25">
      <c r="A739" s="62" t="s">
        <v>456</v>
      </c>
      <c r="B739" s="62" t="s">
        <v>456</v>
      </c>
      <c r="C739" s="63"/>
      <c r="D739" s="64"/>
      <c r="E739" s="65"/>
      <c r="F739" s="66"/>
      <c r="G739" s="63"/>
      <c r="H739" s="67"/>
      <c r="I739" s="68"/>
      <c r="J739" s="68"/>
      <c r="K739" s="32"/>
      <c r="L739" s="75">
        <v>739</v>
      </c>
      <c r="M739" s="75"/>
      <c r="N739" s="70"/>
      <c r="O739" s="77" t="s">
        <v>179</v>
      </c>
      <c r="P739" s="79">
        <v>45180.225671296299</v>
      </c>
      <c r="Q739" s="77" t="s">
        <v>1844</v>
      </c>
      <c r="R739" s="77">
        <v>0</v>
      </c>
      <c r="S739" s="77">
        <v>1</v>
      </c>
      <c r="T739" s="77">
        <v>0</v>
      </c>
      <c r="U739" s="77">
        <v>0</v>
      </c>
      <c r="V739" s="77">
        <v>15</v>
      </c>
      <c r="W739" s="82" t="s">
        <v>4580</v>
      </c>
      <c r="X739" s="77"/>
      <c r="Y739" s="77"/>
      <c r="Z739" s="77"/>
      <c r="AA739" s="77" t="s">
        <v>6578</v>
      </c>
      <c r="AB739" s="77" t="s">
        <v>7696</v>
      </c>
      <c r="AC739" s="82" t="s">
        <v>7706</v>
      </c>
      <c r="AD739" s="77" t="s">
        <v>7747</v>
      </c>
      <c r="AE739" s="80" t="str">
        <f>HYPERLINK("https://twitter.com/opengrowth_/status/1701104526919651584")</f>
        <v>https://twitter.com/opengrowth_/status/1701104526919651584</v>
      </c>
      <c r="AF739" s="79">
        <v>45180.225671296299</v>
      </c>
      <c r="AG739" s="85">
        <v>45180</v>
      </c>
      <c r="AH739" s="82" t="s">
        <v>8423</v>
      </c>
      <c r="AI739" s="77" t="b">
        <v>0</v>
      </c>
      <c r="AJ739" s="77"/>
      <c r="AK739" s="77"/>
      <c r="AL739" s="77"/>
      <c r="AM739" s="77"/>
      <c r="AN739" s="77"/>
      <c r="AO739" s="77"/>
      <c r="AP739" s="77"/>
      <c r="AQ739" s="77" t="s">
        <v>11085</v>
      </c>
      <c r="AR739" s="77"/>
      <c r="AS739" s="77"/>
      <c r="AT739" s="77"/>
      <c r="AU739" s="77"/>
      <c r="AV739" s="80" t="str">
        <f>HYPERLINK("https://pbs.twimg.com/media/F5uJdHMawAALVRC.jpg")</f>
        <v>https://pbs.twimg.com/media/F5uJdHMawAALVRC.jpg</v>
      </c>
      <c r="AW739" s="82" t="s">
        <v>12931</v>
      </c>
      <c r="AX739" s="82" t="s">
        <v>12931</v>
      </c>
      <c r="AY739" s="77"/>
      <c r="AZ739" s="82" t="s">
        <v>15804</v>
      </c>
      <c r="BA739" s="82" t="s">
        <v>15804</v>
      </c>
      <c r="BB739" s="82" t="s">
        <v>15804</v>
      </c>
      <c r="BC739" s="82" t="s">
        <v>12931</v>
      </c>
      <c r="BD739" s="82" t="s">
        <v>16255</v>
      </c>
      <c r="BE739" s="77"/>
      <c r="BF739" s="77"/>
      <c r="BG739" s="77"/>
      <c r="BH739" s="77"/>
      <c r="BI739" s="77"/>
    </row>
    <row r="740" spans="1:61" x14ac:dyDescent="0.25">
      <c r="A740" s="62" t="s">
        <v>457</v>
      </c>
      <c r="B740" s="62" t="s">
        <v>457</v>
      </c>
      <c r="C740" s="63"/>
      <c r="D740" s="64"/>
      <c r="E740" s="65"/>
      <c r="F740" s="66"/>
      <c r="G740" s="63"/>
      <c r="H740" s="67"/>
      <c r="I740" s="68"/>
      <c r="J740" s="68"/>
      <c r="K740" s="32"/>
      <c r="L740" s="75">
        <v>740</v>
      </c>
      <c r="M740" s="75"/>
      <c r="N740" s="70"/>
      <c r="O740" s="77" t="s">
        <v>179</v>
      </c>
      <c r="P740" s="79">
        <v>44988.948761574073</v>
      </c>
      <c r="Q740" s="77" t="s">
        <v>1845</v>
      </c>
      <c r="R740" s="77">
        <v>0</v>
      </c>
      <c r="S740" s="77">
        <v>0</v>
      </c>
      <c r="T740" s="77">
        <v>0</v>
      </c>
      <c r="U740" s="77">
        <v>0</v>
      </c>
      <c r="V740" s="77">
        <v>8</v>
      </c>
      <c r="W740" s="82" t="s">
        <v>4581</v>
      </c>
      <c r="X740" s="77"/>
      <c r="Y740" s="77"/>
      <c r="Z740" s="77"/>
      <c r="AA740" s="77" t="s">
        <v>6579</v>
      </c>
      <c r="AB740" s="77" t="s">
        <v>7698</v>
      </c>
      <c r="AC740" s="82" t="s">
        <v>7707</v>
      </c>
      <c r="AD740" s="77" t="s">
        <v>7746</v>
      </c>
      <c r="AE740" s="80" t="str">
        <f>HYPERLINK("https://twitter.com/flavioluis_fing/status/1631788093484281856")</f>
        <v>https://twitter.com/flavioluis_fing/status/1631788093484281856</v>
      </c>
      <c r="AF740" s="79">
        <v>44988.948761574073</v>
      </c>
      <c r="AG740" s="85">
        <v>44988</v>
      </c>
      <c r="AH740" s="82" t="s">
        <v>8424</v>
      </c>
      <c r="AI740" s="77" t="b">
        <v>0</v>
      </c>
      <c r="AJ740" s="77"/>
      <c r="AK740" s="77"/>
      <c r="AL740" s="77"/>
      <c r="AM740" s="77"/>
      <c r="AN740" s="77"/>
      <c r="AO740" s="77"/>
      <c r="AP740" s="77"/>
      <c r="AQ740" s="77" t="s">
        <v>11086</v>
      </c>
      <c r="AR740" s="77"/>
      <c r="AS740" s="77"/>
      <c r="AT740" s="77"/>
      <c r="AU740" s="77"/>
      <c r="AV740" s="80" t="str">
        <f>HYPERLINK("https://pbs.twimg.com/media/FqVGnfSXgAE8CKl.jpg")</f>
        <v>https://pbs.twimg.com/media/FqVGnfSXgAE8CKl.jpg</v>
      </c>
      <c r="AW740" s="82" t="s">
        <v>12932</v>
      </c>
      <c r="AX740" s="82" t="s">
        <v>12932</v>
      </c>
      <c r="AY740" s="77"/>
      <c r="AZ740" s="82" t="s">
        <v>15804</v>
      </c>
      <c r="BA740" s="82" t="s">
        <v>15804</v>
      </c>
      <c r="BB740" s="82" t="s">
        <v>15804</v>
      </c>
      <c r="BC740" s="82" t="s">
        <v>12932</v>
      </c>
      <c r="BD740" s="82" t="s">
        <v>16256</v>
      </c>
      <c r="BE740" s="77"/>
      <c r="BF740" s="77"/>
      <c r="BG740" s="77"/>
      <c r="BH740" s="77"/>
      <c r="BI740" s="77"/>
    </row>
    <row r="741" spans="1:61" x14ac:dyDescent="0.25">
      <c r="A741" s="62" t="s">
        <v>458</v>
      </c>
      <c r="B741" s="62" t="s">
        <v>458</v>
      </c>
      <c r="C741" s="63"/>
      <c r="D741" s="64"/>
      <c r="E741" s="65"/>
      <c r="F741" s="66"/>
      <c r="G741" s="63"/>
      <c r="H741" s="67"/>
      <c r="I741" s="68"/>
      <c r="J741" s="68"/>
      <c r="K741" s="32"/>
      <c r="L741" s="75">
        <v>741</v>
      </c>
      <c r="M741" s="75"/>
      <c r="N741" s="70"/>
      <c r="O741" s="77" t="s">
        <v>179</v>
      </c>
      <c r="P741" s="79">
        <v>45166.552916666667</v>
      </c>
      <c r="Q741" s="77" t="s">
        <v>1846</v>
      </c>
      <c r="R741" s="77">
        <v>0</v>
      </c>
      <c r="S741" s="77">
        <v>0</v>
      </c>
      <c r="T741" s="77">
        <v>0</v>
      </c>
      <c r="U741" s="77">
        <v>0</v>
      </c>
      <c r="V741" s="77">
        <v>17</v>
      </c>
      <c r="W741" s="82" t="s">
        <v>4582</v>
      </c>
      <c r="X741" s="77"/>
      <c r="Y741" s="77"/>
      <c r="Z741" s="77"/>
      <c r="AA741" s="77" t="s">
        <v>6580</v>
      </c>
      <c r="AB741" s="77" t="s">
        <v>7697</v>
      </c>
      <c r="AC741" s="82" t="s">
        <v>7716</v>
      </c>
      <c r="AD741" s="77" t="s">
        <v>7745</v>
      </c>
      <c r="AE741" s="80" t="str">
        <f>HYPERLINK("https://twitter.com/appirflash/status/1696149685902152036")</f>
        <v>https://twitter.com/appirflash/status/1696149685902152036</v>
      </c>
      <c r="AF741" s="79">
        <v>45166.552916666667</v>
      </c>
      <c r="AG741" s="85">
        <v>45166</v>
      </c>
      <c r="AH741" s="82" t="s">
        <v>8425</v>
      </c>
      <c r="AI741" s="77" t="b">
        <v>0</v>
      </c>
      <c r="AJ741" s="77"/>
      <c r="AK741" s="77"/>
      <c r="AL741" s="77"/>
      <c r="AM741" s="77"/>
      <c r="AN741" s="77"/>
      <c r="AO741" s="77"/>
      <c r="AP741" s="77"/>
      <c r="AQ741" s="77" t="s">
        <v>11087</v>
      </c>
      <c r="AR741" s="77">
        <v>48366</v>
      </c>
      <c r="AS741" s="77"/>
      <c r="AT741" s="77"/>
      <c r="AU741" s="77">
        <v>6</v>
      </c>
      <c r="AV741" s="80" t="str">
        <f>HYPERLINK("https://pbs.twimg.com/ext_tw_video_thumb/1696149636543655936/pu/img/vV-NxWBWicqD0q3m.jpg")</f>
        <v>https://pbs.twimg.com/ext_tw_video_thumb/1696149636543655936/pu/img/vV-NxWBWicqD0q3m.jpg</v>
      </c>
      <c r="AW741" s="82" t="s">
        <v>12933</v>
      </c>
      <c r="AX741" s="82" t="s">
        <v>12933</v>
      </c>
      <c r="AY741" s="77"/>
      <c r="AZ741" s="82" t="s">
        <v>15804</v>
      </c>
      <c r="BA741" s="82" t="s">
        <v>15804</v>
      </c>
      <c r="BB741" s="82" t="s">
        <v>15804</v>
      </c>
      <c r="BC741" s="82" t="s">
        <v>12933</v>
      </c>
      <c r="BD741" s="82" t="s">
        <v>16257</v>
      </c>
      <c r="BE741" s="77"/>
      <c r="BF741" s="77"/>
      <c r="BG741" s="77"/>
      <c r="BH741" s="77"/>
      <c r="BI741" s="77"/>
    </row>
    <row r="742" spans="1:61" x14ac:dyDescent="0.25">
      <c r="A742" s="62" t="s">
        <v>459</v>
      </c>
      <c r="B742" s="62" t="s">
        <v>459</v>
      </c>
      <c r="C742" s="63"/>
      <c r="D742" s="64"/>
      <c r="E742" s="65"/>
      <c r="F742" s="66"/>
      <c r="G742" s="63"/>
      <c r="H742" s="67"/>
      <c r="I742" s="68"/>
      <c r="J742" s="68"/>
      <c r="K742" s="32"/>
      <c r="L742" s="75">
        <v>742</v>
      </c>
      <c r="M742" s="75"/>
      <c r="N742" s="70"/>
      <c r="O742" s="77" t="s">
        <v>1132</v>
      </c>
      <c r="P742" s="79">
        <v>45163.444872685184</v>
      </c>
      <c r="Q742" s="77" t="s">
        <v>1847</v>
      </c>
      <c r="R742" s="77">
        <v>0</v>
      </c>
      <c r="S742" s="77">
        <v>0</v>
      </c>
      <c r="T742" s="77">
        <v>0</v>
      </c>
      <c r="U742" s="77">
        <v>0</v>
      </c>
      <c r="V742" s="77">
        <v>9</v>
      </c>
      <c r="W742" s="82" t="s">
        <v>4583</v>
      </c>
      <c r="X742" s="77"/>
      <c r="Y742" s="77"/>
      <c r="Z742" s="77"/>
      <c r="AA742" s="77"/>
      <c r="AB742" s="77"/>
      <c r="AC742" s="82" t="s">
        <v>7706</v>
      </c>
      <c r="AD742" s="77" t="s">
        <v>7748</v>
      </c>
      <c r="AE742" s="80" t="str">
        <f>HYPERLINK("https://twitter.com/bynessantos/status/1695023367022055887")</f>
        <v>https://twitter.com/bynessantos/status/1695023367022055887</v>
      </c>
      <c r="AF742" s="79">
        <v>45163.444872685184</v>
      </c>
      <c r="AG742" s="85">
        <v>45163</v>
      </c>
      <c r="AH742" s="82" t="s">
        <v>8426</v>
      </c>
      <c r="AI742" s="77"/>
      <c r="AJ742" s="77"/>
      <c r="AK742" s="77"/>
      <c r="AL742" s="77"/>
      <c r="AM742" s="77"/>
      <c r="AN742" s="77"/>
      <c r="AO742" s="77"/>
      <c r="AP742" s="77"/>
      <c r="AQ742" s="77"/>
      <c r="AR742" s="77"/>
      <c r="AS742" s="77"/>
      <c r="AT742" s="77"/>
      <c r="AU742" s="77"/>
      <c r="AV742" s="80" t="str">
        <f>HYPERLINK("https://pbs.twimg.com/profile_images/1686339808979795968/X4qgjWHf_normal.jpg")</f>
        <v>https://pbs.twimg.com/profile_images/1686339808979795968/X4qgjWHf_normal.jpg</v>
      </c>
      <c r="AW742" s="82" t="s">
        <v>12934</v>
      </c>
      <c r="AX742" s="82" t="s">
        <v>15290</v>
      </c>
      <c r="AY742" s="82" t="s">
        <v>15713</v>
      </c>
      <c r="AZ742" s="82" t="s">
        <v>15290</v>
      </c>
      <c r="BA742" s="82" t="s">
        <v>15804</v>
      </c>
      <c r="BB742" s="82" t="s">
        <v>15804</v>
      </c>
      <c r="BC742" s="82" t="s">
        <v>15290</v>
      </c>
      <c r="BD742" s="82" t="s">
        <v>15713</v>
      </c>
      <c r="BE742" s="77"/>
      <c r="BF742" s="77"/>
      <c r="BG742" s="77"/>
      <c r="BH742" s="77"/>
      <c r="BI742" s="77"/>
    </row>
    <row r="743" spans="1:61" x14ac:dyDescent="0.25">
      <c r="A743" s="62" t="s">
        <v>460</v>
      </c>
      <c r="B743" s="62" t="s">
        <v>460</v>
      </c>
      <c r="C743" s="63"/>
      <c r="D743" s="64"/>
      <c r="E743" s="65"/>
      <c r="F743" s="66"/>
      <c r="G743" s="63"/>
      <c r="H743" s="67"/>
      <c r="I743" s="68"/>
      <c r="J743" s="68"/>
      <c r="K743" s="32"/>
      <c r="L743" s="75">
        <v>743</v>
      </c>
      <c r="M743" s="75"/>
      <c r="N743" s="70"/>
      <c r="O743" s="77" t="s">
        <v>179</v>
      </c>
      <c r="P743" s="79">
        <v>45141.077766203707</v>
      </c>
      <c r="Q743" s="77" t="s">
        <v>1848</v>
      </c>
      <c r="R743" s="77">
        <v>0</v>
      </c>
      <c r="S743" s="77">
        <v>0</v>
      </c>
      <c r="T743" s="77">
        <v>0</v>
      </c>
      <c r="U743" s="77">
        <v>0</v>
      </c>
      <c r="V743" s="77">
        <v>34</v>
      </c>
      <c r="W743" s="82" t="s">
        <v>4584</v>
      </c>
      <c r="X743" s="80" t="str">
        <f>HYPERLINK("https://amzn.to/3Krzn4e")</f>
        <v>https://amzn.to/3Krzn4e</v>
      </c>
      <c r="Y743" s="77" t="s">
        <v>6043</v>
      </c>
      <c r="Z743" s="77"/>
      <c r="AA743" s="77"/>
      <c r="AB743" s="77"/>
      <c r="AC743" s="82" t="s">
        <v>7706</v>
      </c>
      <c r="AD743" s="77" t="s">
        <v>7745</v>
      </c>
      <c r="AE743" s="80" t="str">
        <f>HYPERLINK("https://twitter.com/fernandaportov/status/1686917799333998593")</f>
        <v>https://twitter.com/fernandaportov/status/1686917799333998593</v>
      </c>
      <c r="AF743" s="79">
        <v>45141.077766203707</v>
      </c>
      <c r="AG743" s="85">
        <v>45141</v>
      </c>
      <c r="AH743" s="82" t="s">
        <v>8427</v>
      </c>
      <c r="AI743" s="77" t="b">
        <v>0</v>
      </c>
      <c r="AJ743" s="77"/>
      <c r="AK743" s="77"/>
      <c r="AL743" s="77"/>
      <c r="AM743" s="77"/>
      <c r="AN743" s="77"/>
      <c r="AO743" s="77"/>
      <c r="AP743" s="77"/>
      <c r="AQ743" s="77"/>
      <c r="AR743" s="77"/>
      <c r="AS743" s="77"/>
      <c r="AT743" s="77"/>
      <c r="AU743" s="77"/>
      <c r="AV743" s="80" t="str">
        <f>HYPERLINK("https://pbs.twimg.com/profile_images/1658958464373096451/fmvKPxjt_normal.jpg")</f>
        <v>https://pbs.twimg.com/profile_images/1658958464373096451/fmvKPxjt_normal.jpg</v>
      </c>
      <c r="AW743" s="82" t="s">
        <v>12935</v>
      </c>
      <c r="AX743" s="82" t="s">
        <v>12935</v>
      </c>
      <c r="AY743" s="77"/>
      <c r="AZ743" s="82" t="s">
        <v>15804</v>
      </c>
      <c r="BA743" s="82" t="s">
        <v>15804</v>
      </c>
      <c r="BB743" s="82" t="s">
        <v>15804</v>
      </c>
      <c r="BC743" s="82" t="s">
        <v>12935</v>
      </c>
      <c r="BD743" s="82" t="s">
        <v>16258</v>
      </c>
      <c r="BE743" s="77"/>
      <c r="BF743" s="77"/>
      <c r="BG743" s="77"/>
      <c r="BH743" s="77"/>
      <c r="BI743" s="77"/>
    </row>
    <row r="744" spans="1:61" x14ac:dyDescent="0.25">
      <c r="A744" s="62" t="s">
        <v>460</v>
      </c>
      <c r="B744" s="62" t="s">
        <v>460</v>
      </c>
      <c r="C744" s="63"/>
      <c r="D744" s="64"/>
      <c r="E744" s="65"/>
      <c r="F744" s="66"/>
      <c r="G744" s="63"/>
      <c r="H744" s="67"/>
      <c r="I744" s="68"/>
      <c r="J744" s="68"/>
      <c r="K744" s="32"/>
      <c r="L744" s="75">
        <v>744</v>
      </c>
      <c r="M744" s="75"/>
      <c r="N744" s="70"/>
      <c r="O744" s="77" t="s">
        <v>179</v>
      </c>
      <c r="P744" s="79">
        <v>45141.07671296296</v>
      </c>
      <c r="Q744" s="77" t="s">
        <v>1849</v>
      </c>
      <c r="R744" s="77">
        <v>0</v>
      </c>
      <c r="S744" s="77">
        <v>0</v>
      </c>
      <c r="T744" s="77">
        <v>0</v>
      </c>
      <c r="U744" s="77">
        <v>0</v>
      </c>
      <c r="V744" s="77">
        <v>26</v>
      </c>
      <c r="W744" s="82" t="s">
        <v>4585</v>
      </c>
      <c r="X744" s="80" t="str">
        <f>HYPERLINK("https://amzn.to/3rSO8Xo")</f>
        <v>https://amzn.to/3rSO8Xo</v>
      </c>
      <c r="Y744" s="77" t="s">
        <v>6043</v>
      </c>
      <c r="Z744" s="77"/>
      <c r="AA744" s="77"/>
      <c r="AB744" s="77"/>
      <c r="AC744" s="82" t="s">
        <v>7706</v>
      </c>
      <c r="AD744" s="77" t="s">
        <v>7745</v>
      </c>
      <c r="AE744" s="80" t="str">
        <f>HYPERLINK("https://twitter.com/fernandaportov/status/1686917419669893120")</f>
        <v>https://twitter.com/fernandaportov/status/1686917419669893120</v>
      </c>
      <c r="AF744" s="79">
        <v>45141.07671296296</v>
      </c>
      <c r="AG744" s="85">
        <v>45141</v>
      </c>
      <c r="AH744" s="82" t="s">
        <v>8428</v>
      </c>
      <c r="AI744" s="77" t="b">
        <v>0</v>
      </c>
      <c r="AJ744" s="77"/>
      <c r="AK744" s="77"/>
      <c r="AL744" s="77"/>
      <c r="AM744" s="77"/>
      <c r="AN744" s="77"/>
      <c r="AO744" s="77"/>
      <c r="AP744" s="77"/>
      <c r="AQ744" s="77"/>
      <c r="AR744" s="77"/>
      <c r="AS744" s="77"/>
      <c r="AT744" s="77"/>
      <c r="AU744" s="77"/>
      <c r="AV744" s="80" t="str">
        <f>HYPERLINK("https://pbs.twimg.com/profile_images/1658958464373096451/fmvKPxjt_normal.jpg")</f>
        <v>https://pbs.twimg.com/profile_images/1658958464373096451/fmvKPxjt_normal.jpg</v>
      </c>
      <c r="AW744" s="82" t="s">
        <v>12936</v>
      </c>
      <c r="AX744" s="82" t="s">
        <v>12936</v>
      </c>
      <c r="AY744" s="77"/>
      <c r="AZ744" s="82" t="s">
        <v>15804</v>
      </c>
      <c r="BA744" s="82" t="s">
        <v>15804</v>
      </c>
      <c r="BB744" s="82" t="s">
        <v>15804</v>
      </c>
      <c r="BC744" s="82" t="s">
        <v>12936</v>
      </c>
      <c r="BD744" s="82" t="s">
        <v>16258</v>
      </c>
      <c r="BE744" s="77"/>
      <c r="BF744" s="77"/>
      <c r="BG744" s="77"/>
      <c r="BH744" s="77"/>
      <c r="BI744" s="77"/>
    </row>
    <row r="745" spans="1:61" x14ac:dyDescent="0.25">
      <c r="A745" s="62" t="s">
        <v>461</v>
      </c>
      <c r="B745" s="62" t="s">
        <v>461</v>
      </c>
      <c r="C745" s="63"/>
      <c r="D745" s="64"/>
      <c r="E745" s="65"/>
      <c r="F745" s="66"/>
      <c r="G745" s="63"/>
      <c r="H745" s="67"/>
      <c r="I745" s="68"/>
      <c r="J745" s="68"/>
      <c r="K745" s="32"/>
      <c r="L745" s="75">
        <v>745</v>
      </c>
      <c r="M745" s="75"/>
      <c r="N745" s="70"/>
      <c r="O745" s="77" t="s">
        <v>179</v>
      </c>
      <c r="P745" s="79">
        <v>45089.007418981484</v>
      </c>
      <c r="Q745" s="77" t="s">
        <v>1850</v>
      </c>
      <c r="R745" s="77">
        <v>0</v>
      </c>
      <c r="S745" s="77">
        <v>0</v>
      </c>
      <c r="T745" s="77">
        <v>0</v>
      </c>
      <c r="U745" s="77">
        <v>0</v>
      </c>
      <c r="V745" s="77">
        <v>24</v>
      </c>
      <c r="W745" s="82" t="s">
        <v>4586</v>
      </c>
      <c r="X745" s="80" t="str">
        <f>HYPERLINK("https://agenciabrasil.ebc.com.br/economia/noticia/2023-06/desenrola-sera-acompanhado-de-programa-de-educacao-financeira")</f>
        <v>https://agenciabrasil.ebc.com.br/economia/noticia/2023-06/desenrola-sera-acompanhado-de-programa-de-educacao-financeira</v>
      </c>
      <c r="Y745" s="77" t="s">
        <v>6002</v>
      </c>
      <c r="Z745" s="77"/>
      <c r="AA745" s="77"/>
      <c r="AB745" s="77"/>
      <c r="AC745" s="82" t="s">
        <v>7706</v>
      </c>
      <c r="AD745" s="77" t="s">
        <v>7745</v>
      </c>
      <c r="AE745" s="80" t="str">
        <f>HYPERLINK("https://twitter.com/bidubike/status/1668048138978877441")</f>
        <v>https://twitter.com/bidubike/status/1668048138978877441</v>
      </c>
      <c r="AF745" s="79">
        <v>45089.007418981484</v>
      </c>
      <c r="AG745" s="85">
        <v>45089</v>
      </c>
      <c r="AH745" s="82" t="s">
        <v>8429</v>
      </c>
      <c r="AI745" s="77" t="b">
        <v>0</v>
      </c>
      <c r="AJ745" s="77"/>
      <c r="AK745" s="77"/>
      <c r="AL745" s="77"/>
      <c r="AM745" s="77"/>
      <c r="AN745" s="77"/>
      <c r="AO745" s="77"/>
      <c r="AP745" s="77"/>
      <c r="AQ745" s="77"/>
      <c r="AR745" s="77"/>
      <c r="AS745" s="77"/>
      <c r="AT745" s="77"/>
      <c r="AU745" s="77"/>
      <c r="AV745" s="80" t="str">
        <f>HYPERLINK("https://pbs.twimg.com/profile_images/1653021720289132547/7j83iU0d_normal.jpg")</f>
        <v>https://pbs.twimg.com/profile_images/1653021720289132547/7j83iU0d_normal.jpg</v>
      </c>
      <c r="AW745" s="82" t="s">
        <v>12937</v>
      </c>
      <c r="AX745" s="82" t="s">
        <v>12937</v>
      </c>
      <c r="AY745" s="77"/>
      <c r="AZ745" s="82" t="s">
        <v>15804</v>
      </c>
      <c r="BA745" s="82" t="s">
        <v>15804</v>
      </c>
      <c r="BB745" s="82" t="s">
        <v>15804</v>
      </c>
      <c r="BC745" s="82" t="s">
        <v>12937</v>
      </c>
      <c r="BD745" s="82" t="s">
        <v>16259</v>
      </c>
      <c r="BE745" s="77"/>
      <c r="BF745" s="77"/>
      <c r="BG745" s="77"/>
      <c r="BH745" s="77"/>
      <c r="BI745" s="77"/>
    </row>
    <row r="746" spans="1:61" x14ac:dyDescent="0.25">
      <c r="A746" s="62" t="s">
        <v>462</v>
      </c>
      <c r="B746" s="62" t="s">
        <v>462</v>
      </c>
      <c r="C746" s="63"/>
      <c r="D746" s="64"/>
      <c r="E746" s="65"/>
      <c r="F746" s="66"/>
      <c r="G746" s="63"/>
      <c r="H746" s="67"/>
      <c r="I746" s="68"/>
      <c r="J746" s="68"/>
      <c r="K746" s="32"/>
      <c r="L746" s="75">
        <v>746</v>
      </c>
      <c r="M746" s="75"/>
      <c r="N746" s="70"/>
      <c r="O746" s="77" t="s">
        <v>179</v>
      </c>
      <c r="P746" s="79">
        <v>45132.488078703704</v>
      </c>
      <c r="Q746" s="77" t="s">
        <v>1851</v>
      </c>
      <c r="R746" s="77">
        <v>0</v>
      </c>
      <c r="S746" s="77">
        <v>4</v>
      </c>
      <c r="T746" s="77">
        <v>0</v>
      </c>
      <c r="U746" s="77">
        <v>0</v>
      </c>
      <c r="V746" s="77">
        <v>1294</v>
      </c>
      <c r="W746" s="82" t="s">
        <v>4587</v>
      </c>
      <c r="X746" s="80" t="str">
        <f>HYPERLINK("https://odia.ig.com.br/economia/2023/07/6677998-educacao-financeira-qual-a-hora-de-falar-sobre-dinheiro-com-criancas.html")</f>
        <v>https://odia.ig.com.br/economia/2023/07/6677998-educacao-financeira-qual-a-hora-de-falar-sobre-dinheiro-com-criancas.html</v>
      </c>
      <c r="Y746" s="77" t="s">
        <v>6002</v>
      </c>
      <c r="Z746" s="77"/>
      <c r="AA746" s="77"/>
      <c r="AB746" s="77"/>
      <c r="AC746" s="82" t="s">
        <v>7713</v>
      </c>
      <c r="AD746" s="77" t="s">
        <v>7745</v>
      </c>
      <c r="AE746" s="80" t="str">
        <f>HYPERLINK("https://twitter.com/jornalodia/status/1683805000001093632")</f>
        <v>https://twitter.com/jornalodia/status/1683805000001093632</v>
      </c>
      <c r="AF746" s="79">
        <v>45132.488078703704</v>
      </c>
      <c r="AG746" s="85">
        <v>45132</v>
      </c>
      <c r="AH746" s="82" t="s">
        <v>8430</v>
      </c>
      <c r="AI746" s="77" t="b">
        <v>0</v>
      </c>
      <c r="AJ746" s="77"/>
      <c r="AK746" s="77"/>
      <c r="AL746" s="77"/>
      <c r="AM746" s="77"/>
      <c r="AN746" s="77"/>
      <c r="AO746" s="77"/>
      <c r="AP746" s="77"/>
      <c r="AQ746" s="77"/>
      <c r="AR746" s="77"/>
      <c r="AS746" s="77"/>
      <c r="AT746" s="77"/>
      <c r="AU746" s="77"/>
      <c r="AV746" s="80" t="str">
        <f>HYPERLINK("https://pbs.twimg.com/profile_images/1603570520410185731/SdEVxpE9_normal.jpg")</f>
        <v>https://pbs.twimg.com/profile_images/1603570520410185731/SdEVxpE9_normal.jpg</v>
      </c>
      <c r="AW746" s="82" t="s">
        <v>12938</v>
      </c>
      <c r="AX746" s="82" t="s">
        <v>12938</v>
      </c>
      <c r="AY746" s="77"/>
      <c r="AZ746" s="82" t="s">
        <v>15804</v>
      </c>
      <c r="BA746" s="82" t="s">
        <v>15804</v>
      </c>
      <c r="BB746" s="82" t="s">
        <v>15804</v>
      </c>
      <c r="BC746" s="82" t="s">
        <v>12938</v>
      </c>
      <c r="BD746" s="77">
        <v>17675497</v>
      </c>
      <c r="BE746" s="77"/>
      <c r="BF746" s="77"/>
      <c r="BG746" s="77"/>
      <c r="BH746" s="77"/>
      <c r="BI746" s="77"/>
    </row>
    <row r="747" spans="1:61" x14ac:dyDescent="0.25">
      <c r="A747" s="62" t="s">
        <v>463</v>
      </c>
      <c r="B747" s="62" t="s">
        <v>463</v>
      </c>
      <c r="C747" s="63"/>
      <c r="D747" s="64"/>
      <c r="E747" s="65"/>
      <c r="F747" s="66"/>
      <c r="G747" s="63"/>
      <c r="H747" s="67"/>
      <c r="I747" s="68"/>
      <c r="J747" s="68"/>
      <c r="K747" s="32"/>
      <c r="L747" s="75">
        <v>747</v>
      </c>
      <c r="M747" s="75"/>
      <c r="N747" s="70"/>
      <c r="O747" s="77" t="s">
        <v>179</v>
      </c>
      <c r="P747" s="79">
        <v>44952.121446759258</v>
      </c>
      <c r="Q747" s="77" t="s">
        <v>1852</v>
      </c>
      <c r="R747" s="77">
        <v>0</v>
      </c>
      <c r="S747" s="77">
        <v>1</v>
      </c>
      <c r="T747" s="77">
        <v>0</v>
      </c>
      <c r="U747" s="77">
        <v>0</v>
      </c>
      <c r="V747" s="77">
        <v>7</v>
      </c>
      <c r="W747" s="82" t="s">
        <v>4588</v>
      </c>
      <c r="X747" s="80" t="str">
        <f>HYPERLINK("https://www.instagram.com/p/Cn3L0aStYRf/?igshid=MDJmNzVkMjY=")</f>
        <v>https://www.instagram.com/p/Cn3L0aStYRf/?igshid=MDJmNzVkMjY=</v>
      </c>
      <c r="Y747" s="77" t="s">
        <v>6000</v>
      </c>
      <c r="Z747" s="77"/>
      <c r="AA747" s="77"/>
      <c r="AB747" s="77"/>
      <c r="AC747" s="82" t="s">
        <v>7707</v>
      </c>
      <c r="AD747" s="77" t="s">
        <v>7750</v>
      </c>
      <c r="AE747" s="80" t="str">
        <f>HYPERLINK("https://twitter.com/modelodevida_/status/1618442323192598533")</f>
        <v>https://twitter.com/modelodevida_/status/1618442323192598533</v>
      </c>
      <c r="AF747" s="79">
        <v>44952.121446759258</v>
      </c>
      <c r="AG747" s="85">
        <v>44952</v>
      </c>
      <c r="AH747" s="82" t="s">
        <v>8431</v>
      </c>
      <c r="AI747" s="77" t="b">
        <v>0</v>
      </c>
      <c r="AJ747" s="77"/>
      <c r="AK747" s="77"/>
      <c r="AL747" s="77"/>
      <c r="AM747" s="77"/>
      <c r="AN747" s="77"/>
      <c r="AO747" s="77"/>
      <c r="AP747" s="77"/>
      <c r="AQ747" s="77"/>
      <c r="AR747" s="77"/>
      <c r="AS747" s="77"/>
      <c r="AT747" s="77"/>
      <c r="AU747" s="77"/>
      <c r="AV747" s="80" t="str">
        <f>HYPERLINK("https://pbs.twimg.com/profile_images/1618357365631229952/XowZbCmN_normal.jpg")</f>
        <v>https://pbs.twimg.com/profile_images/1618357365631229952/XowZbCmN_normal.jpg</v>
      </c>
      <c r="AW747" s="82" t="s">
        <v>12939</v>
      </c>
      <c r="AX747" s="82" t="s">
        <v>12939</v>
      </c>
      <c r="AY747" s="77"/>
      <c r="AZ747" s="82" t="s">
        <v>15804</v>
      </c>
      <c r="BA747" s="82" t="s">
        <v>15804</v>
      </c>
      <c r="BB747" s="82" t="s">
        <v>15804</v>
      </c>
      <c r="BC747" s="82" t="s">
        <v>12939</v>
      </c>
      <c r="BD747" s="82" t="s">
        <v>16260</v>
      </c>
      <c r="BE747" s="77"/>
      <c r="BF747" s="77"/>
      <c r="BG747" s="77"/>
      <c r="BH747" s="77"/>
      <c r="BI747" s="77"/>
    </row>
    <row r="748" spans="1:61" x14ac:dyDescent="0.25">
      <c r="A748" s="62" t="s">
        <v>463</v>
      </c>
      <c r="B748" s="62" t="s">
        <v>463</v>
      </c>
      <c r="C748" s="63"/>
      <c r="D748" s="64"/>
      <c r="E748" s="65"/>
      <c r="F748" s="66"/>
      <c r="G748" s="63"/>
      <c r="H748" s="67"/>
      <c r="I748" s="68"/>
      <c r="J748" s="68"/>
      <c r="K748" s="32"/>
      <c r="L748" s="75">
        <v>748</v>
      </c>
      <c r="M748" s="75"/>
      <c r="N748" s="70"/>
      <c r="O748" s="77" t="s">
        <v>179</v>
      </c>
      <c r="P748" s="79">
        <v>44972.872731481482</v>
      </c>
      <c r="Q748" s="77" t="s">
        <v>1853</v>
      </c>
      <c r="R748" s="77">
        <v>1</v>
      </c>
      <c r="S748" s="77">
        <v>1</v>
      </c>
      <c r="T748" s="77">
        <v>0</v>
      </c>
      <c r="U748" s="77">
        <v>0</v>
      </c>
      <c r="V748" s="77">
        <v>13</v>
      </c>
      <c r="W748" s="82" t="s">
        <v>4589</v>
      </c>
      <c r="X748" s="80" t="str">
        <f>HYPERLINK("https://modelodevida.com/mindfulness/")</f>
        <v>https://modelodevida.com/mindfulness/</v>
      </c>
      <c r="Y748" s="77" t="s">
        <v>6044</v>
      </c>
      <c r="Z748" s="77"/>
      <c r="AA748" s="77" t="s">
        <v>6581</v>
      </c>
      <c r="AB748" s="77" t="s">
        <v>7696</v>
      </c>
      <c r="AC748" s="82" t="s">
        <v>7706</v>
      </c>
      <c r="AD748" s="77" t="s">
        <v>7745</v>
      </c>
      <c r="AE748" s="80" t="str">
        <f>HYPERLINK("https://twitter.com/modelodevida_/status/1625962337839579163")</f>
        <v>https://twitter.com/modelodevida_/status/1625962337839579163</v>
      </c>
      <c r="AF748" s="79">
        <v>44972.872731481482</v>
      </c>
      <c r="AG748" s="85">
        <v>44972</v>
      </c>
      <c r="AH748" s="82" t="s">
        <v>8432</v>
      </c>
      <c r="AI748" s="77" t="b">
        <v>0</v>
      </c>
      <c r="AJ748" s="77"/>
      <c r="AK748" s="77"/>
      <c r="AL748" s="77"/>
      <c r="AM748" s="77"/>
      <c r="AN748" s="77"/>
      <c r="AO748" s="77"/>
      <c r="AP748" s="77"/>
      <c r="AQ748" s="77" t="s">
        <v>11088</v>
      </c>
      <c r="AR748" s="77"/>
      <c r="AS748" s="77"/>
      <c r="AT748" s="77"/>
      <c r="AU748" s="77"/>
      <c r="AV748" s="80" t="str">
        <f>HYPERLINK("https://pbs.twimg.com/media/FpCTUu0WcAA9kaY.jpg")</f>
        <v>https://pbs.twimg.com/media/FpCTUu0WcAA9kaY.jpg</v>
      </c>
      <c r="AW748" s="82" t="s">
        <v>12940</v>
      </c>
      <c r="AX748" s="82" t="s">
        <v>12940</v>
      </c>
      <c r="AY748" s="77"/>
      <c r="AZ748" s="82" t="s">
        <v>15804</v>
      </c>
      <c r="BA748" s="82" t="s">
        <v>15804</v>
      </c>
      <c r="BB748" s="82" t="s">
        <v>15804</v>
      </c>
      <c r="BC748" s="82" t="s">
        <v>12940</v>
      </c>
      <c r="BD748" s="82" t="s">
        <v>16260</v>
      </c>
      <c r="BE748" s="77"/>
      <c r="BF748" s="77"/>
      <c r="BG748" s="77"/>
      <c r="BH748" s="77"/>
      <c r="BI748" s="77"/>
    </row>
    <row r="749" spans="1:61" x14ac:dyDescent="0.25">
      <c r="A749" s="62" t="s">
        <v>464</v>
      </c>
      <c r="B749" s="62" t="s">
        <v>464</v>
      </c>
      <c r="C749" s="63"/>
      <c r="D749" s="64"/>
      <c r="E749" s="65"/>
      <c r="F749" s="66"/>
      <c r="G749" s="63"/>
      <c r="H749" s="67"/>
      <c r="I749" s="68"/>
      <c r="J749" s="68"/>
      <c r="K749" s="32"/>
      <c r="L749" s="75">
        <v>749</v>
      </c>
      <c r="M749" s="75"/>
      <c r="N749" s="70"/>
      <c r="O749" s="77" t="s">
        <v>179</v>
      </c>
      <c r="P749" s="79">
        <v>44930.560925925929</v>
      </c>
      <c r="Q749" s="77" t="s">
        <v>1854</v>
      </c>
      <c r="R749" s="77">
        <v>0</v>
      </c>
      <c r="S749" s="77">
        <v>0</v>
      </c>
      <c r="T749" s="77">
        <v>0</v>
      </c>
      <c r="U749" s="77">
        <v>0</v>
      </c>
      <c r="V749" s="77">
        <v>13</v>
      </c>
      <c r="W749" s="82" t="s">
        <v>4590</v>
      </c>
      <c r="X749" s="77"/>
      <c r="Y749" s="77"/>
      <c r="Z749" s="77"/>
      <c r="AA749" s="77" t="s">
        <v>6582</v>
      </c>
      <c r="AB749" s="77" t="s">
        <v>7698</v>
      </c>
      <c r="AC749" s="82" t="s">
        <v>7706</v>
      </c>
      <c r="AD749" s="77" t="s">
        <v>7745</v>
      </c>
      <c r="AE749" s="80" t="str">
        <f>HYPERLINK("https://twitter.com/sabidinis/status/1610629050501939200")</f>
        <v>https://twitter.com/sabidinis/status/1610629050501939200</v>
      </c>
      <c r="AF749" s="79">
        <v>44930.560925925929</v>
      </c>
      <c r="AG749" s="85">
        <v>44930</v>
      </c>
      <c r="AH749" s="82" t="s">
        <v>8433</v>
      </c>
      <c r="AI749" s="77" t="b">
        <v>0</v>
      </c>
      <c r="AJ749" s="77"/>
      <c r="AK749" s="77"/>
      <c r="AL749" s="77"/>
      <c r="AM749" s="77"/>
      <c r="AN749" s="77"/>
      <c r="AO749" s="77"/>
      <c r="AP749" s="77"/>
      <c r="AQ749" s="77" t="s">
        <v>11089</v>
      </c>
      <c r="AR749" s="77"/>
      <c r="AS749" s="77"/>
      <c r="AT749" s="77"/>
      <c r="AU749" s="77"/>
      <c r="AV749" s="80" t="str">
        <f>HYPERLINK("https://pbs.twimg.com/media/Floah1EWAAEtZbh.jpg")</f>
        <v>https://pbs.twimg.com/media/Floah1EWAAEtZbh.jpg</v>
      </c>
      <c r="AW749" s="82" t="s">
        <v>12941</v>
      </c>
      <c r="AX749" s="82" t="s">
        <v>12941</v>
      </c>
      <c r="AY749" s="77"/>
      <c r="AZ749" s="82" t="s">
        <v>15804</v>
      </c>
      <c r="BA749" s="82" t="s">
        <v>15804</v>
      </c>
      <c r="BB749" s="82" t="s">
        <v>15804</v>
      </c>
      <c r="BC749" s="82" t="s">
        <v>12941</v>
      </c>
      <c r="BD749" s="82" t="s">
        <v>16261</v>
      </c>
      <c r="BE749" s="77"/>
      <c r="BF749" s="77"/>
      <c r="BG749" s="77"/>
      <c r="BH749" s="77"/>
      <c r="BI749" s="77"/>
    </row>
    <row r="750" spans="1:61" x14ac:dyDescent="0.25">
      <c r="A750" s="62" t="s">
        <v>465</v>
      </c>
      <c r="B750" s="62" t="s">
        <v>465</v>
      </c>
      <c r="C750" s="63"/>
      <c r="D750" s="64"/>
      <c r="E750" s="65"/>
      <c r="F750" s="66"/>
      <c r="G750" s="63"/>
      <c r="H750" s="67"/>
      <c r="I750" s="68"/>
      <c r="J750" s="68"/>
      <c r="K750" s="32"/>
      <c r="L750" s="75">
        <v>750</v>
      </c>
      <c r="M750" s="75"/>
      <c r="N750" s="70"/>
      <c r="O750" s="77" t="s">
        <v>1132</v>
      </c>
      <c r="P750" s="79">
        <v>45072.574502314812</v>
      </c>
      <c r="Q750" s="77" t="s">
        <v>1855</v>
      </c>
      <c r="R750" s="77">
        <v>0</v>
      </c>
      <c r="S750" s="77">
        <v>2</v>
      </c>
      <c r="T750" s="77">
        <v>0</v>
      </c>
      <c r="U750" s="77">
        <v>0</v>
      </c>
      <c r="V750" s="77">
        <v>109</v>
      </c>
      <c r="W750" s="82" t="s">
        <v>4134</v>
      </c>
      <c r="X750" s="80" t="str">
        <f>HYPERLINK("http://meubolsoemdia.com.br")</f>
        <v>http://meubolsoemdia.com.br</v>
      </c>
      <c r="Y750" s="77" t="s">
        <v>6002</v>
      </c>
      <c r="Z750" s="77"/>
      <c r="AA750" s="77"/>
      <c r="AB750" s="77"/>
      <c r="AC750" s="82" t="s">
        <v>7706</v>
      </c>
      <c r="AD750" s="77" t="s">
        <v>7745</v>
      </c>
      <c r="AE750" s="80" t="str">
        <f>HYPERLINK("https://twitter.com/meubolsoemdia/status/1662093047977394177")</f>
        <v>https://twitter.com/meubolsoemdia/status/1662093047977394177</v>
      </c>
      <c r="AF750" s="79">
        <v>45072.574502314812</v>
      </c>
      <c r="AG750" s="85">
        <v>45072</v>
      </c>
      <c r="AH750" s="82" t="s">
        <v>8434</v>
      </c>
      <c r="AI750" s="77" t="b">
        <v>0</v>
      </c>
      <c r="AJ750" s="77"/>
      <c r="AK750" s="77"/>
      <c r="AL750" s="77"/>
      <c r="AM750" s="77"/>
      <c r="AN750" s="77"/>
      <c r="AO750" s="77"/>
      <c r="AP750" s="77"/>
      <c r="AQ750" s="77"/>
      <c r="AR750" s="77"/>
      <c r="AS750" s="77"/>
      <c r="AT750" s="77"/>
      <c r="AU750" s="77"/>
      <c r="AV750" s="80" t="str">
        <f>HYPERLINK("https://pbs.twimg.com/profile_images/1459337857164877827/kfxGtn6Y_normal.jpg")</f>
        <v>https://pbs.twimg.com/profile_images/1459337857164877827/kfxGtn6Y_normal.jpg</v>
      </c>
      <c r="AW750" s="82" t="s">
        <v>12942</v>
      </c>
      <c r="AX750" s="82" t="s">
        <v>15291</v>
      </c>
      <c r="AY750" s="82" t="s">
        <v>15714</v>
      </c>
      <c r="AZ750" s="82" t="s">
        <v>15291</v>
      </c>
      <c r="BA750" s="82" t="s">
        <v>15804</v>
      </c>
      <c r="BB750" s="82" t="s">
        <v>15804</v>
      </c>
      <c r="BC750" s="82" t="s">
        <v>15291</v>
      </c>
      <c r="BD750" s="77">
        <v>134777384</v>
      </c>
      <c r="BE750" s="77"/>
      <c r="BF750" s="77"/>
      <c r="BG750" s="77"/>
      <c r="BH750" s="77"/>
      <c r="BI750" s="77"/>
    </row>
    <row r="751" spans="1:61" x14ac:dyDescent="0.25">
      <c r="A751" s="62" t="s">
        <v>466</v>
      </c>
      <c r="B751" s="62" t="s">
        <v>466</v>
      </c>
      <c r="C751" s="63"/>
      <c r="D751" s="64"/>
      <c r="E751" s="65"/>
      <c r="F751" s="66"/>
      <c r="G751" s="63"/>
      <c r="H751" s="67"/>
      <c r="I751" s="68"/>
      <c r="J751" s="68"/>
      <c r="K751" s="32"/>
      <c r="L751" s="75">
        <v>751</v>
      </c>
      <c r="M751" s="75"/>
      <c r="N751" s="70"/>
      <c r="O751" s="77" t="s">
        <v>179</v>
      </c>
      <c r="P751" s="79">
        <v>44960.76489583333</v>
      </c>
      <c r="Q751" s="77" t="s">
        <v>1856</v>
      </c>
      <c r="R751" s="77">
        <v>1</v>
      </c>
      <c r="S751" s="77">
        <v>1</v>
      </c>
      <c r="T751" s="77">
        <v>0</v>
      </c>
      <c r="U751" s="77">
        <v>0</v>
      </c>
      <c r="V751" s="77">
        <v>56</v>
      </c>
      <c r="W751" s="82" t="s">
        <v>4591</v>
      </c>
      <c r="X751" s="77"/>
      <c r="Y751" s="77"/>
      <c r="Z751" s="77"/>
      <c r="AA751" s="77" t="s">
        <v>6583</v>
      </c>
      <c r="AB751" s="77" t="s">
        <v>7696</v>
      </c>
      <c r="AC751" s="82" t="s">
        <v>7706</v>
      </c>
      <c r="AD751" s="77" t="s">
        <v>7745</v>
      </c>
      <c r="AE751" s="80" t="str">
        <f>HYPERLINK("https://twitter.com/cryptonita_ta/status/1621574604870279168")</f>
        <v>https://twitter.com/cryptonita_ta/status/1621574604870279168</v>
      </c>
      <c r="AF751" s="79">
        <v>44960.76489583333</v>
      </c>
      <c r="AG751" s="85">
        <v>44960</v>
      </c>
      <c r="AH751" s="82" t="s">
        <v>8435</v>
      </c>
      <c r="AI751" s="77" t="b">
        <v>0</v>
      </c>
      <c r="AJ751" s="77"/>
      <c r="AK751" s="77"/>
      <c r="AL751" s="77"/>
      <c r="AM751" s="77"/>
      <c r="AN751" s="77"/>
      <c r="AO751" s="77"/>
      <c r="AP751" s="77"/>
      <c r="AQ751" s="77" t="s">
        <v>11090</v>
      </c>
      <c r="AR751" s="77"/>
      <c r="AS751" s="77"/>
      <c r="AT751" s="77"/>
      <c r="AU751" s="77"/>
      <c r="AV751" s="80" t="str">
        <f>HYPERLINK("https://pbs.twimg.com/media/FoD9exAWYAMCqoj.jpg")</f>
        <v>https://pbs.twimg.com/media/FoD9exAWYAMCqoj.jpg</v>
      </c>
      <c r="AW751" s="82" t="s">
        <v>12943</v>
      </c>
      <c r="AX751" s="82" t="s">
        <v>12943</v>
      </c>
      <c r="AY751" s="77"/>
      <c r="AZ751" s="82" t="s">
        <v>15804</v>
      </c>
      <c r="BA751" s="82" t="s">
        <v>15804</v>
      </c>
      <c r="BB751" s="82" t="s">
        <v>15804</v>
      </c>
      <c r="BC751" s="82" t="s">
        <v>12943</v>
      </c>
      <c r="BD751" s="77">
        <v>52359184</v>
      </c>
      <c r="BE751" s="77"/>
      <c r="BF751" s="77"/>
      <c r="BG751" s="77"/>
      <c r="BH751" s="77"/>
      <c r="BI751" s="77"/>
    </row>
    <row r="752" spans="1:61" x14ac:dyDescent="0.25">
      <c r="A752" s="62" t="s">
        <v>467</v>
      </c>
      <c r="B752" s="62" t="s">
        <v>1058</v>
      </c>
      <c r="C752" s="63"/>
      <c r="D752" s="64"/>
      <c r="E752" s="65"/>
      <c r="F752" s="66"/>
      <c r="G752" s="63"/>
      <c r="H752" s="67"/>
      <c r="I752" s="68"/>
      <c r="J752" s="68"/>
      <c r="K752" s="32"/>
      <c r="L752" s="75">
        <v>752</v>
      </c>
      <c r="M752" s="75"/>
      <c r="N752" s="70"/>
      <c r="O752" s="77" t="s">
        <v>1133</v>
      </c>
      <c r="P752" s="79">
        <v>44994.814189814817</v>
      </c>
      <c r="Q752" s="77" t="s">
        <v>1857</v>
      </c>
      <c r="R752" s="77">
        <v>0</v>
      </c>
      <c r="S752" s="77">
        <v>2</v>
      </c>
      <c r="T752" s="77">
        <v>0</v>
      </c>
      <c r="U752" s="77">
        <v>0</v>
      </c>
      <c r="V752" s="77">
        <v>81</v>
      </c>
      <c r="W752" s="82" t="s">
        <v>4592</v>
      </c>
      <c r="X752" s="80" t="str">
        <f>HYPERLINK("https://youtu.be/GAux6OBDVnE")</f>
        <v>https://youtu.be/GAux6OBDVnE</v>
      </c>
      <c r="Y752" s="77" t="s">
        <v>6003</v>
      </c>
      <c r="Z752" s="77" t="s">
        <v>1058</v>
      </c>
      <c r="AA752" s="77"/>
      <c r="AB752" s="77"/>
      <c r="AC752" s="82" t="s">
        <v>7706</v>
      </c>
      <c r="AD752" s="77" t="s">
        <v>7745</v>
      </c>
      <c r="AE752" s="80" t="str">
        <f>HYPERLINK("https://twitter.com/flyvagner/status/1633913653366779904")</f>
        <v>https://twitter.com/flyvagner/status/1633913653366779904</v>
      </c>
      <c r="AF752" s="79">
        <v>44994.814189814817</v>
      </c>
      <c r="AG752" s="85">
        <v>44994</v>
      </c>
      <c r="AH752" s="82" t="s">
        <v>8436</v>
      </c>
      <c r="AI752" s="77" t="b">
        <v>0</v>
      </c>
      <c r="AJ752" s="77"/>
      <c r="AK752" s="77"/>
      <c r="AL752" s="77"/>
      <c r="AM752" s="77"/>
      <c r="AN752" s="77"/>
      <c r="AO752" s="77"/>
      <c r="AP752" s="77"/>
      <c r="AQ752" s="77"/>
      <c r="AR752" s="77"/>
      <c r="AS752" s="77"/>
      <c r="AT752" s="77"/>
      <c r="AU752" s="77"/>
      <c r="AV752" s="80" t="str">
        <f>HYPERLINK("https://pbs.twimg.com/profile_images/1263476236581507073/GQusJtvX_normal.jpg")</f>
        <v>https://pbs.twimg.com/profile_images/1263476236581507073/GQusJtvX_normal.jpg</v>
      </c>
      <c r="AW752" s="82" t="s">
        <v>12944</v>
      </c>
      <c r="AX752" s="82" t="s">
        <v>12944</v>
      </c>
      <c r="AY752" s="77"/>
      <c r="AZ752" s="82" t="s">
        <v>15804</v>
      </c>
      <c r="BA752" s="82" t="s">
        <v>15804</v>
      </c>
      <c r="BB752" s="82" t="s">
        <v>15804</v>
      </c>
      <c r="BC752" s="82" t="s">
        <v>12944</v>
      </c>
      <c r="BD752" s="77">
        <v>3077289071</v>
      </c>
      <c r="BE752" s="77"/>
      <c r="BF752" s="77"/>
      <c r="BG752" s="77"/>
      <c r="BH752" s="77"/>
      <c r="BI752" s="77"/>
    </row>
    <row r="753" spans="1:61" x14ac:dyDescent="0.25">
      <c r="A753" s="62" t="s">
        <v>468</v>
      </c>
      <c r="B753" s="62" t="s">
        <v>1075</v>
      </c>
      <c r="C753" s="63"/>
      <c r="D753" s="64"/>
      <c r="E753" s="65"/>
      <c r="F753" s="66"/>
      <c r="G753" s="63"/>
      <c r="H753" s="67"/>
      <c r="I753" s="68"/>
      <c r="J753" s="68"/>
      <c r="K753" s="32"/>
      <c r="L753" s="75">
        <v>753</v>
      </c>
      <c r="M753" s="75"/>
      <c r="N753" s="70"/>
      <c r="O753" s="77" t="s">
        <v>1133</v>
      </c>
      <c r="P753" s="79">
        <v>44989.456030092595</v>
      </c>
      <c r="Q753" s="77" t="s">
        <v>1858</v>
      </c>
      <c r="R753" s="77">
        <v>2</v>
      </c>
      <c r="S753" s="77">
        <v>9</v>
      </c>
      <c r="T753" s="77">
        <v>1</v>
      </c>
      <c r="U753" s="77">
        <v>0</v>
      </c>
      <c r="V753" s="77">
        <v>4842</v>
      </c>
      <c r="W753" s="82" t="s">
        <v>4080</v>
      </c>
      <c r="X753" s="77"/>
      <c r="Y753" s="77"/>
      <c r="Z753" s="77" t="s">
        <v>1075</v>
      </c>
      <c r="AA753" s="77" t="s">
        <v>6584</v>
      </c>
      <c r="AB753" s="77" t="s">
        <v>7696</v>
      </c>
      <c r="AC753" s="82" t="s">
        <v>7706</v>
      </c>
      <c r="AD753" s="77" t="s">
        <v>7745</v>
      </c>
      <c r="AE753" s="80" t="str">
        <f>HYPERLINK("https://twitter.com/tdmaoinvisivel/status/1631971922991874048")</f>
        <v>https://twitter.com/tdmaoinvisivel/status/1631971922991874048</v>
      </c>
      <c r="AF753" s="79">
        <v>44989.456030092595</v>
      </c>
      <c r="AG753" s="85">
        <v>44989</v>
      </c>
      <c r="AH753" s="82" t="s">
        <v>8437</v>
      </c>
      <c r="AI753" s="77" t="b">
        <v>0</v>
      </c>
      <c r="AJ753" s="77"/>
      <c r="AK753" s="77"/>
      <c r="AL753" s="77"/>
      <c r="AM753" s="77"/>
      <c r="AN753" s="77"/>
      <c r="AO753" s="77"/>
      <c r="AP753" s="77"/>
      <c r="AQ753" s="77" t="s">
        <v>11091</v>
      </c>
      <c r="AR753" s="77"/>
      <c r="AS753" s="77"/>
      <c r="AT753" s="77"/>
      <c r="AU753" s="77"/>
      <c r="AV753" s="80" t="str">
        <f>HYPERLINK("https://pbs.twimg.com/media/FqXtqLNXoAIPAdi.jpg")</f>
        <v>https://pbs.twimg.com/media/FqXtqLNXoAIPAdi.jpg</v>
      </c>
      <c r="AW753" s="82" t="s">
        <v>12945</v>
      </c>
      <c r="AX753" s="82" t="s">
        <v>12945</v>
      </c>
      <c r="AY753" s="77"/>
      <c r="AZ753" s="82" t="s">
        <v>15804</v>
      </c>
      <c r="BA753" s="82" t="s">
        <v>15804</v>
      </c>
      <c r="BB753" s="82" t="s">
        <v>15804</v>
      </c>
      <c r="BC753" s="82" t="s">
        <v>12945</v>
      </c>
      <c r="BD753" s="82" t="s">
        <v>15715</v>
      </c>
      <c r="BE753" s="77"/>
      <c r="BF753" s="77"/>
      <c r="BG753" s="77"/>
      <c r="BH753" s="77"/>
      <c r="BI753" s="77"/>
    </row>
    <row r="754" spans="1:61" x14ac:dyDescent="0.25">
      <c r="A754" s="62" t="s">
        <v>468</v>
      </c>
      <c r="B754" s="62" t="s">
        <v>1076</v>
      </c>
      <c r="C754" s="63"/>
      <c r="D754" s="64"/>
      <c r="E754" s="65"/>
      <c r="F754" s="66"/>
      <c r="G754" s="63"/>
      <c r="H754" s="67"/>
      <c r="I754" s="68"/>
      <c r="J754" s="68"/>
      <c r="K754" s="32"/>
      <c r="L754" s="75">
        <v>754</v>
      </c>
      <c r="M754" s="75"/>
      <c r="N754" s="70"/>
      <c r="O754" s="77" t="s">
        <v>1133</v>
      </c>
      <c r="P754" s="79">
        <v>45014.583344907405</v>
      </c>
      <c r="Q754" s="77" t="s">
        <v>1859</v>
      </c>
      <c r="R754" s="77">
        <v>3</v>
      </c>
      <c r="S754" s="77">
        <v>11</v>
      </c>
      <c r="T754" s="77">
        <v>1</v>
      </c>
      <c r="U754" s="77">
        <v>0</v>
      </c>
      <c r="V754" s="77">
        <v>9310</v>
      </c>
      <c r="W754" s="82" t="s">
        <v>4593</v>
      </c>
      <c r="X754" s="77"/>
      <c r="Y754" s="77"/>
      <c r="Z754" s="77" t="s">
        <v>6123</v>
      </c>
      <c r="AA754" s="77" t="s">
        <v>6585</v>
      </c>
      <c r="AB754" s="77" t="s">
        <v>7697</v>
      </c>
      <c r="AC754" s="82" t="s">
        <v>7706</v>
      </c>
      <c r="AD754" s="77" t="s">
        <v>7745</v>
      </c>
      <c r="AE754" s="80" t="str">
        <f>HYPERLINK("https://twitter.com/tdmaoinvisivel/status/1641077758154641408")</f>
        <v>https://twitter.com/tdmaoinvisivel/status/1641077758154641408</v>
      </c>
      <c r="AF754" s="79">
        <v>45014.583344907405</v>
      </c>
      <c r="AG754" s="85">
        <v>45014</v>
      </c>
      <c r="AH754" s="82" t="s">
        <v>8438</v>
      </c>
      <c r="AI754" s="77" t="b">
        <v>0</v>
      </c>
      <c r="AJ754" s="77"/>
      <c r="AK754" s="77"/>
      <c r="AL754" s="77"/>
      <c r="AM754" s="77"/>
      <c r="AN754" s="77"/>
      <c r="AO754" s="77"/>
      <c r="AP754" s="77"/>
      <c r="AQ754" s="77" t="s">
        <v>11092</v>
      </c>
      <c r="AR754" s="77">
        <v>51477</v>
      </c>
      <c r="AS754" s="77"/>
      <c r="AT754" s="77"/>
      <c r="AU754" s="77">
        <v>1372</v>
      </c>
      <c r="AV754" s="80" t="str">
        <f>HYPERLINK("https://pbs.twimg.com/ext_tw_video_thumb/1639300450171207680/pu/img/V5_INLAgsZdDRJpC.jpg")</f>
        <v>https://pbs.twimg.com/ext_tw_video_thumb/1639300450171207680/pu/img/V5_INLAgsZdDRJpC.jpg</v>
      </c>
      <c r="AW754" s="82" t="s">
        <v>12946</v>
      </c>
      <c r="AX754" s="82" t="s">
        <v>12946</v>
      </c>
      <c r="AY754" s="77"/>
      <c r="AZ754" s="82" t="s">
        <v>15804</v>
      </c>
      <c r="BA754" s="82" t="s">
        <v>15804</v>
      </c>
      <c r="BB754" s="82" t="s">
        <v>15804</v>
      </c>
      <c r="BC754" s="82" t="s">
        <v>12946</v>
      </c>
      <c r="BD754" s="82" t="s">
        <v>15715</v>
      </c>
      <c r="BE754" s="77"/>
      <c r="BF754" s="77"/>
      <c r="BG754" s="77"/>
      <c r="BH754" s="77"/>
      <c r="BI754" s="77"/>
    </row>
    <row r="755" spans="1:61" x14ac:dyDescent="0.25">
      <c r="A755" s="62" t="s">
        <v>468</v>
      </c>
      <c r="B755" s="62" t="s">
        <v>1076</v>
      </c>
      <c r="C755" s="63"/>
      <c r="D755" s="64"/>
      <c r="E755" s="65"/>
      <c r="F755" s="66"/>
      <c r="G755" s="63"/>
      <c r="H755" s="67"/>
      <c r="I755" s="68"/>
      <c r="J755" s="68"/>
      <c r="K755" s="32"/>
      <c r="L755" s="75">
        <v>755</v>
      </c>
      <c r="M755" s="75"/>
      <c r="N755" s="70"/>
      <c r="O755" s="77" t="s">
        <v>1133</v>
      </c>
      <c r="P755" s="79">
        <v>45013.583356481482</v>
      </c>
      <c r="Q755" s="77" t="s">
        <v>1860</v>
      </c>
      <c r="R755" s="77">
        <v>4</v>
      </c>
      <c r="S755" s="77">
        <v>19</v>
      </c>
      <c r="T755" s="77">
        <v>2</v>
      </c>
      <c r="U755" s="77">
        <v>0</v>
      </c>
      <c r="V755" s="77">
        <v>10485</v>
      </c>
      <c r="W755" s="82" t="s">
        <v>4593</v>
      </c>
      <c r="X755" s="77"/>
      <c r="Y755" s="77"/>
      <c r="Z755" s="77" t="s">
        <v>6123</v>
      </c>
      <c r="AA755" s="77" t="s">
        <v>6586</v>
      </c>
      <c r="AB755" s="77" t="s">
        <v>7697</v>
      </c>
      <c r="AC755" s="82" t="s">
        <v>7706</v>
      </c>
      <c r="AD755" s="77" t="s">
        <v>7745</v>
      </c>
      <c r="AE755" s="80" t="str">
        <f>HYPERLINK("https://twitter.com/tdmaoinvisivel/status/1640715373485121536")</f>
        <v>https://twitter.com/tdmaoinvisivel/status/1640715373485121536</v>
      </c>
      <c r="AF755" s="79">
        <v>45013.583356481482</v>
      </c>
      <c r="AG755" s="85">
        <v>45013</v>
      </c>
      <c r="AH755" s="82" t="s">
        <v>8439</v>
      </c>
      <c r="AI755" s="77" t="b">
        <v>0</v>
      </c>
      <c r="AJ755" s="77"/>
      <c r="AK755" s="77"/>
      <c r="AL755" s="77"/>
      <c r="AM755" s="77"/>
      <c r="AN755" s="77"/>
      <c r="AO755" s="77"/>
      <c r="AP755" s="77"/>
      <c r="AQ755" s="77" t="s">
        <v>11093</v>
      </c>
      <c r="AR755" s="77">
        <v>60010</v>
      </c>
      <c r="AS755" s="77"/>
      <c r="AT755" s="77"/>
      <c r="AU755" s="77">
        <v>1712</v>
      </c>
      <c r="AV755" s="80" t="str">
        <f>HYPERLINK("https://pbs.twimg.com/ext_tw_video_thumb/1639300440859746306/pu/img/Fa99Hf4HxpBtiMa6.jpg")</f>
        <v>https://pbs.twimg.com/ext_tw_video_thumb/1639300440859746306/pu/img/Fa99Hf4HxpBtiMa6.jpg</v>
      </c>
      <c r="AW755" s="82" t="s">
        <v>12947</v>
      </c>
      <c r="AX755" s="82" t="s">
        <v>12947</v>
      </c>
      <c r="AY755" s="77"/>
      <c r="AZ755" s="82" t="s">
        <v>15804</v>
      </c>
      <c r="BA755" s="82" t="s">
        <v>15804</v>
      </c>
      <c r="BB755" s="82" t="s">
        <v>15804</v>
      </c>
      <c r="BC755" s="82" t="s">
        <v>12947</v>
      </c>
      <c r="BD755" s="82" t="s">
        <v>15715</v>
      </c>
      <c r="BE755" s="77"/>
      <c r="BF755" s="77"/>
      <c r="BG755" s="77"/>
      <c r="BH755" s="77"/>
      <c r="BI755" s="77"/>
    </row>
    <row r="756" spans="1:61" x14ac:dyDescent="0.25">
      <c r="A756" s="62" t="s">
        <v>468</v>
      </c>
      <c r="B756" s="62" t="s">
        <v>1076</v>
      </c>
      <c r="C756" s="63"/>
      <c r="D756" s="64"/>
      <c r="E756" s="65"/>
      <c r="F756" s="66"/>
      <c r="G756" s="63"/>
      <c r="H756" s="67"/>
      <c r="I756" s="68"/>
      <c r="J756" s="68"/>
      <c r="K756" s="32"/>
      <c r="L756" s="75">
        <v>756</v>
      </c>
      <c r="M756" s="75"/>
      <c r="N756" s="70"/>
      <c r="O756" s="77" t="s">
        <v>1133</v>
      </c>
      <c r="P756" s="79">
        <v>45012.583368055559</v>
      </c>
      <c r="Q756" s="77" t="s">
        <v>1861</v>
      </c>
      <c r="R756" s="77">
        <v>0</v>
      </c>
      <c r="S756" s="77">
        <v>4</v>
      </c>
      <c r="T756" s="77">
        <v>6</v>
      </c>
      <c r="U756" s="77">
        <v>0</v>
      </c>
      <c r="V756" s="77">
        <v>287</v>
      </c>
      <c r="W756" s="82" t="s">
        <v>4593</v>
      </c>
      <c r="X756" s="77"/>
      <c r="Y756" s="77"/>
      <c r="Z756" s="77" t="s">
        <v>6123</v>
      </c>
      <c r="AA756" s="77" t="s">
        <v>6587</v>
      </c>
      <c r="AB756" s="77" t="s">
        <v>7697</v>
      </c>
      <c r="AC756" s="82" t="s">
        <v>7706</v>
      </c>
      <c r="AD756" s="77" t="s">
        <v>7745</v>
      </c>
      <c r="AE756" s="80" t="str">
        <f>HYPERLINK("https://twitter.com/tdmaoinvisivel/status/1640352986990882820")</f>
        <v>https://twitter.com/tdmaoinvisivel/status/1640352986990882820</v>
      </c>
      <c r="AF756" s="79">
        <v>45012.583368055559</v>
      </c>
      <c r="AG756" s="85">
        <v>45012</v>
      </c>
      <c r="AH756" s="82" t="s">
        <v>8440</v>
      </c>
      <c r="AI756" s="77" t="b">
        <v>0</v>
      </c>
      <c r="AJ756" s="77"/>
      <c r="AK756" s="77"/>
      <c r="AL756" s="77"/>
      <c r="AM756" s="77"/>
      <c r="AN756" s="77"/>
      <c r="AO756" s="77"/>
      <c r="AP756" s="77"/>
      <c r="AQ756" s="77" t="s">
        <v>11094</v>
      </c>
      <c r="AR756" s="77">
        <v>53525</v>
      </c>
      <c r="AS756" s="77"/>
      <c r="AT756" s="77"/>
      <c r="AU756" s="77">
        <v>49</v>
      </c>
      <c r="AV756" s="80" t="str">
        <f>HYPERLINK("https://pbs.twimg.com/ext_tw_video_thumb/1639300432143998976/pu/img/-LEiJ8s0QvcJlvAj.jpg")</f>
        <v>https://pbs.twimg.com/ext_tw_video_thumb/1639300432143998976/pu/img/-LEiJ8s0QvcJlvAj.jpg</v>
      </c>
      <c r="AW756" s="82" t="s">
        <v>12948</v>
      </c>
      <c r="AX756" s="82" t="s">
        <v>12948</v>
      </c>
      <c r="AY756" s="77"/>
      <c r="AZ756" s="82" t="s">
        <v>15804</v>
      </c>
      <c r="BA756" s="82" t="s">
        <v>15804</v>
      </c>
      <c r="BB756" s="82" t="s">
        <v>15804</v>
      </c>
      <c r="BC756" s="82" t="s">
        <v>12948</v>
      </c>
      <c r="BD756" s="82" t="s">
        <v>15715</v>
      </c>
      <c r="BE756" s="77"/>
      <c r="BF756" s="77"/>
      <c r="BG756" s="77"/>
      <c r="BH756" s="77"/>
      <c r="BI756" s="77"/>
    </row>
    <row r="757" spans="1:61" x14ac:dyDescent="0.25">
      <c r="A757" s="62" t="s">
        <v>468</v>
      </c>
      <c r="B757" s="62" t="s">
        <v>1076</v>
      </c>
      <c r="C757" s="63"/>
      <c r="D757" s="64"/>
      <c r="E757" s="65"/>
      <c r="F757" s="66"/>
      <c r="G757" s="63"/>
      <c r="H757" s="67"/>
      <c r="I757" s="68"/>
      <c r="J757" s="68"/>
      <c r="K757" s="32"/>
      <c r="L757" s="75">
        <v>757</v>
      </c>
      <c r="M757" s="75"/>
      <c r="N757" s="70"/>
      <c r="O757" s="77" t="s">
        <v>1133</v>
      </c>
      <c r="P757" s="79">
        <v>45011.583344907405</v>
      </c>
      <c r="Q757" s="77" t="s">
        <v>1862</v>
      </c>
      <c r="R757" s="77">
        <v>2</v>
      </c>
      <c r="S757" s="77">
        <v>17</v>
      </c>
      <c r="T757" s="77">
        <v>1</v>
      </c>
      <c r="U757" s="77">
        <v>0</v>
      </c>
      <c r="V757" s="77">
        <v>11898</v>
      </c>
      <c r="W757" s="82" t="s">
        <v>4594</v>
      </c>
      <c r="X757" s="77"/>
      <c r="Y757" s="77"/>
      <c r="Z757" s="77" t="s">
        <v>6123</v>
      </c>
      <c r="AA757" s="77" t="s">
        <v>6588</v>
      </c>
      <c r="AB757" s="77" t="s">
        <v>7697</v>
      </c>
      <c r="AC757" s="82" t="s">
        <v>7706</v>
      </c>
      <c r="AD757" s="77" t="s">
        <v>7745</v>
      </c>
      <c r="AE757" s="80" t="str">
        <f>HYPERLINK("https://twitter.com/tdmaoinvisivel/status/1639990591630237696")</f>
        <v>https://twitter.com/tdmaoinvisivel/status/1639990591630237696</v>
      </c>
      <c r="AF757" s="79">
        <v>45011.583344907405</v>
      </c>
      <c r="AG757" s="85">
        <v>45011</v>
      </c>
      <c r="AH757" s="82" t="s">
        <v>8438</v>
      </c>
      <c r="AI757" s="77" t="b">
        <v>0</v>
      </c>
      <c r="AJ757" s="77"/>
      <c r="AK757" s="77"/>
      <c r="AL757" s="77"/>
      <c r="AM757" s="77"/>
      <c r="AN757" s="77"/>
      <c r="AO757" s="77"/>
      <c r="AP757" s="77"/>
      <c r="AQ757" s="77" t="s">
        <v>11095</v>
      </c>
      <c r="AR757" s="77">
        <v>24405</v>
      </c>
      <c r="AS757" s="77"/>
      <c r="AT757" s="77"/>
      <c r="AU757" s="77">
        <v>2319</v>
      </c>
      <c r="AV757" s="80" t="str">
        <f>HYPERLINK("https://pbs.twimg.com/ext_tw_video_thumb/1639300424208449537/pu/img/Dh4iy0Zqn9z7H9lx.jpg")</f>
        <v>https://pbs.twimg.com/ext_tw_video_thumb/1639300424208449537/pu/img/Dh4iy0Zqn9z7H9lx.jpg</v>
      </c>
      <c r="AW757" s="82" t="s">
        <v>12949</v>
      </c>
      <c r="AX757" s="82" t="s">
        <v>12949</v>
      </c>
      <c r="AY757" s="77"/>
      <c r="AZ757" s="82" t="s">
        <v>15804</v>
      </c>
      <c r="BA757" s="82" t="s">
        <v>15804</v>
      </c>
      <c r="BB757" s="82" t="s">
        <v>15804</v>
      </c>
      <c r="BC757" s="82" t="s">
        <v>12949</v>
      </c>
      <c r="BD757" s="82" t="s">
        <v>15715</v>
      </c>
      <c r="BE757" s="77"/>
      <c r="BF757" s="77"/>
      <c r="BG757" s="77"/>
      <c r="BH757" s="77"/>
      <c r="BI757" s="77"/>
    </row>
    <row r="758" spans="1:61" x14ac:dyDescent="0.25">
      <c r="A758" s="62" t="s">
        <v>468</v>
      </c>
      <c r="B758" s="62" t="s">
        <v>1076</v>
      </c>
      <c r="C758" s="63"/>
      <c r="D758" s="64"/>
      <c r="E758" s="65"/>
      <c r="F758" s="66"/>
      <c r="G758" s="63"/>
      <c r="H758" s="67"/>
      <c r="I758" s="68"/>
      <c r="J758" s="68"/>
      <c r="K758" s="32"/>
      <c r="L758" s="75">
        <v>758</v>
      </c>
      <c r="M758" s="75"/>
      <c r="N758" s="70"/>
      <c r="O758" s="77" t="s">
        <v>1133</v>
      </c>
      <c r="P758" s="79">
        <v>45010.583333333336</v>
      </c>
      <c r="Q758" s="77" t="s">
        <v>1863</v>
      </c>
      <c r="R758" s="77">
        <v>5</v>
      </c>
      <c r="S758" s="77">
        <v>22</v>
      </c>
      <c r="T758" s="77">
        <v>2</v>
      </c>
      <c r="U758" s="77">
        <v>0</v>
      </c>
      <c r="V758" s="77">
        <v>13906</v>
      </c>
      <c r="W758" s="82" t="s">
        <v>4593</v>
      </c>
      <c r="X758" s="77"/>
      <c r="Y758" s="77"/>
      <c r="Z758" s="77" t="s">
        <v>6123</v>
      </c>
      <c r="AA758" s="77" t="s">
        <v>6589</v>
      </c>
      <c r="AB758" s="77" t="s">
        <v>7697</v>
      </c>
      <c r="AC758" s="82" t="s">
        <v>7706</v>
      </c>
      <c r="AD758" s="77" t="s">
        <v>7745</v>
      </c>
      <c r="AE758" s="80" t="str">
        <f>HYPERLINK("https://twitter.com/tdmaoinvisivel/status/1639628201755328512")</f>
        <v>https://twitter.com/tdmaoinvisivel/status/1639628201755328512</v>
      </c>
      <c r="AF758" s="79">
        <v>45010.583333333336</v>
      </c>
      <c r="AG758" s="85">
        <v>45010</v>
      </c>
      <c r="AH758" s="82" t="s">
        <v>8441</v>
      </c>
      <c r="AI758" s="77" t="b">
        <v>0</v>
      </c>
      <c r="AJ758" s="77"/>
      <c r="AK758" s="77"/>
      <c r="AL758" s="77"/>
      <c r="AM758" s="77"/>
      <c r="AN758" s="77"/>
      <c r="AO758" s="77"/>
      <c r="AP758" s="77"/>
      <c r="AQ758" s="77" t="s">
        <v>11096</v>
      </c>
      <c r="AR758" s="77">
        <v>60032</v>
      </c>
      <c r="AS758" s="77"/>
      <c r="AT758" s="77"/>
      <c r="AU758" s="77">
        <v>2641</v>
      </c>
      <c r="AV758" s="80" t="str">
        <f>HYPERLINK("https://pbs.twimg.com/ext_tw_video_thumb/1639300411617079296/pu/img/I8F8diWgR6FZUn23.jpg")</f>
        <v>https://pbs.twimg.com/ext_tw_video_thumb/1639300411617079296/pu/img/I8F8diWgR6FZUn23.jpg</v>
      </c>
      <c r="AW758" s="82" t="s">
        <v>12950</v>
      </c>
      <c r="AX758" s="82" t="s">
        <v>12950</v>
      </c>
      <c r="AY758" s="77"/>
      <c r="AZ758" s="82" t="s">
        <v>15804</v>
      </c>
      <c r="BA758" s="82" t="s">
        <v>15804</v>
      </c>
      <c r="BB758" s="82" t="s">
        <v>15804</v>
      </c>
      <c r="BC758" s="82" t="s">
        <v>12950</v>
      </c>
      <c r="BD758" s="82" t="s">
        <v>15715</v>
      </c>
      <c r="BE758" s="77"/>
      <c r="BF758" s="77"/>
      <c r="BG758" s="77"/>
      <c r="BH758" s="77"/>
      <c r="BI758" s="77"/>
    </row>
    <row r="759" spans="1:61" x14ac:dyDescent="0.25">
      <c r="A759" s="62" t="s">
        <v>468</v>
      </c>
      <c r="B759" s="62" t="s">
        <v>1076</v>
      </c>
      <c r="C759" s="63"/>
      <c r="D759" s="64"/>
      <c r="E759" s="65"/>
      <c r="F759" s="66"/>
      <c r="G759" s="63"/>
      <c r="H759" s="67"/>
      <c r="I759" s="68"/>
      <c r="J759" s="68"/>
      <c r="K759" s="32"/>
      <c r="L759" s="75">
        <v>759</v>
      </c>
      <c r="M759" s="75"/>
      <c r="N759" s="70"/>
      <c r="O759" s="77" t="s">
        <v>1133</v>
      </c>
      <c r="P759" s="79">
        <v>45009.678969907407</v>
      </c>
      <c r="Q759" s="77" t="s">
        <v>1864</v>
      </c>
      <c r="R759" s="77">
        <v>0</v>
      </c>
      <c r="S759" s="77">
        <v>2</v>
      </c>
      <c r="T759" s="77">
        <v>0</v>
      </c>
      <c r="U759" s="77">
        <v>0</v>
      </c>
      <c r="V759" s="77">
        <v>313</v>
      </c>
      <c r="W759" s="82" t="s">
        <v>4593</v>
      </c>
      <c r="X759" s="77"/>
      <c r="Y759" s="77"/>
      <c r="Z759" s="77" t="s">
        <v>6123</v>
      </c>
      <c r="AA759" s="77" t="s">
        <v>6590</v>
      </c>
      <c r="AB759" s="77" t="s">
        <v>7697</v>
      </c>
      <c r="AC759" s="82" t="s">
        <v>7706</v>
      </c>
      <c r="AD759" s="77" t="s">
        <v>7745</v>
      </c>
      <c r="AE759" s="80" t="str">
        <f>HYPERLINK("https://twitter.com/tdmaoinvisivel/status/1639300472195432450")</f>
        <v>https://twitter.com/tdmaoinvisivel/status/1639300472195432450</v>
      </c>
      <c r="AF759" s="79">
        <v>45009.678969907407</v>
      </c>
      <c r="AG759" s="85">
        <v>45009</v>
      </c>
      <c r="AH759" s="82" t="s">
        <v>8442</v>
      </c>
      <c r="AI759" s="77" t="b">
        <v>0</v>
      </c>
      <c r="AJ759" s="77"/>
      <c r="AK759" s="77"/>
      <c r="AL759" s="77"/>
      <c r="AM759" s="77"/>
      <c r="AN759" s="77"/>
      <c r="AO759" s="77"/>
      <c r="AP759" s="77"/>
      <c r="AQ759" s="77" t="s">
        <v>11097</v>
      </c>
      <c r="AR759" s="77">
        <v>76693</v>
      </c>
      <c r="AS759" s="77"/>
      <c r="AT759" s="77"/>
      <c r="AU759" s="77">
        <v>77</v>
      </c>
      <c r="AV759" s="80" t="str">
        <f>HYPERLINK("https://pbs.twimg.com/ext_tw_video_thumb/1639299945952862208/pu/img/eFw07DWyGrsypJP9.jpg")</f>
        <v>https://pbs.twimg.com/ext_tw_video_thumb/1639299945952862208/pu/img/eFw07DWyGrsypJP9.jpg</v>
      </c>
      <c r="AW759" s="82" t="s">
        <v>12951</v>
      </c>
      <c r="AX759" s="82" t="s">
        <v>12951</v>
      </c>
      <c r="AY759" s="77"/>
      <c r="AZ759" s="82" t="s">
        <v>15804</v>
      </c>
      <c r="BA759" s="82" t="s">
        <v>15804</v>
      </c>
      <c r="BB759" s="82" t="s">
        <v>15804</v>
      </c>
      <c r="BC759" s="82" t="s">
        <v>12951</v>
      </c>
      <c r="BD759" s="82" t="s">
        <v>15715</v>
      </c>
      <c r="BE759" s="77"/>
      <c r="BF759" s="77"/>
      <c r="BG759" s="77"/>
      <c r="BH759" s="77"/>
      <c r="BI759" s="77"/>
    </row>
    <row r="760" spans="1:61" x14ac:dyDescent="0.25">
      <c r="A760" s="62" t="s">
        <v>468</v>
      </c>
      <c r="B760" s="62" t="s">
        <v>1077</v>
      </c>
      <c r="C760" s="63"/>
      <c r="D760" s="64"/>
      <c r="E760" s="65"/>
      <c r="F760" s="66"/>
      <c r="G760" s="63"/>
      <c r="H760" s="67"/>
      <c r="I760" s="68"/>
      <c r="J760" s="68"/>
      <c r="K760" s="32"/>
      <c r="L760" s="75">
        <v>760</v>
      </c>
      <c r="M760" s="75"/>
      <c r="N760" s="70"/>
      <c r="O760" s="77" t="s">
        <v>1133</v>
      </c>
      <c r="P760" s="79">
        <v>45014.583344907405</v>
      </c>
      <c r="Q760" s="77" t="s">
        <v>1859</v>
      </c>
      <c r="R760" s="77">
        <v>3</v>
      </c>
      <c r="S760" s="77">
        <v>11</v>
      </c>
      <c r="T760" s="77">
        <v>1</v>
      </c>
      <c r="U760" s="77">
        <v>0</v>
      </c>
      <c r="V760" s="77">
        <v>9310</v>
      </c>
      <c r="W760" s="82" t="s">
        <v>4593</v>
      </c>
      <c r="X760" s="77"/>
      <c r="Y760" s="77"/>
      <c r="Z760" s="77" t="s">
        <v>6123</v>
      </c>
      <c r="AA760" s="77" t="s">
        <v>6585</v>
      </c>
      <c r="AB760" s="77" t="s">
        <v>7697</v>
      </c>
      <c r="AC760" s="82" t="s">
        <v>7706</v>
      </c>
      <c r="AD760" s="77" t="s">
        <v>7745</v>
      </c>
      <c r="AE760" s="80" t="str">
        <f>HYPERLINK("https://twitter.com/tdmaoinvisivel/status/1641077758154641408")</f>
        <v>https://twitter.com/tdmaoinvisivel/status/1641077758154641408</v>
      </c>
      <c r="AF760" s="79">
        <v>45014.583344907405</v>
      </c>
      <c r="AG760" s="85">
        <v>45014</v>
      </c>
      <c r="AH760" s="82" t="s">
        <v>8438</v>
      </c>
      <c r="AI760" s="77" t="b">
        <v>0</v>
      </c>
      <c r="AJ760" s="77"/>
      <c r="AK760" s="77"/>
      <c r="AL760" s="77"/>
      <c r="AM760" s="77"/>
      <c r="AN760" s="77"/>
      <c r="AO760" s="77"/>
      <c r="AP760" s="77"/>
      <c r="AQ760" s="77" t="s">
        <v>11092</v>
      </c>
      <c r="AR760" s="77">
        <v>51477</v>
      </c>
      <c r="AS760" s="77"/>
      <c r="AT760" s="77"/>
      <c r="AU760" s="77">
        <v>1372</v>
      </c>
      <c r="AV760" s="80" t="str">
        <f>HYPERLINK("https://pbs.twimg.com/ext_tw_video_thumb/1639300450171207680/pu/img/V5_INLAgsZdDRJpC.jpg")</f>
        <v>https://pbs.twimg.com/ext_tw_video_thumb/1639300450171207680/pu/img/V5_INLAgsZdDRJpC.jpg</v>
      </c>
      <c r="AW760" s="82" t="s">
        <v>12946</v>
      </c>
      <c r="AX760" s="82" t="s">
        <v>12946</v>
      </c>
      <c r="AY760" s="77"/>
      <c r="AZ760" s="82" t="s">
        <v>15804</v>
      </c>
      <c r="BA760" s="82" t="s">
        <v>15804</v>
      </c>
      <c r="BB760" s="82" t="s">
        <v>15804</v>
      </c>
      <c r="BC760" s="82" t="s">
        <v>12946</v>
      </c>
      <c r="BD760" s="82" t="s">
        <v>15715</v>
      </c>
      <c r="BE760" s="77"/>
      <c r="BF760" s="77"/>
      <c r="BG760" s="77"/>
      <c r="BH760" s="77"/>
      <c r="BI760" s="77"/>
    </row>
    <row r="761" spans="1:61" x14ac:dyDescent="0.25">
      <c r="A761" s="62" t="s">
        <v>468</v>
      </c>
      <c r="B761" s="62" t="s">
        <v>1077</v>
      </c>
      <c r="C761" s="63"/>
      <c r="D761" s="64"/>
      <c r="E761" s="65"/>
      <c r="F761" s="66"/>
      <c r="G761" s="63"/>
      <c r="H761" s="67"/>
      <c r="I761" s="68"/>
      <c r="J761" s="68"/>
      <c r="K761" s="32"/>
      <c r="L761" s="75">
        <v>761</v>
      </c>
      <c r="M761" s="75"/>
      <c r="N761" s="70"/>
      <c r="O761" s="77" t="s">
        <v>1133</v>
      </c>
      <c r="P761" s="79">
        <v>45013.583356481482</v>
      </c>
      <c r="Q761" s="77" t="s">
        <v>1860</v>
      </c>
      <c r="R761" s="77">
        <v>4</v>
      </c>
      <c r="S761" s="77">
        <v>19</v>
      </c>
      <c r="T761" s="77">
        <v>2</v>
      </c>
      <c r="U761" s="77">
        <v>0</v>
      </c>
      <c r="V761" s="77">
        <v>10485</v>
      </c>
      <c r="W761" s="82" t="s">
        <v>4593</v>
      </c>
      <c r="X761" s="77"/>
      <c r="Y761" s="77"/>
      <c r="Z761" s="77" t="s">
        <v>6123</v>
      </c>
      <c r="AA761" s="77" t="s">
        <v>6586</v>
      </c>
      <c r="AB761" s="77" t="s">
        <v>7697</v>
      </c>
      <c r="AC761" s="82" t="s">
        <v>7706</v>
      </c>
      <c r="AD761" s="77" t="s">
        <v>7745</v>
      </c>
      <c r="AE761" s="80" t="str">
        <f>HYPERLINK("https://twitter.com/tdmaoinvisivel/status/1640715373485121536")</f>
        <v>https://twitter.com/tdmaoinvisivel/status/1640715373485121536</v>
      </c>
      <c r="AF761" s="79">
        <v>45013.583356481482</v>
      </c>
      <c r="AG761" s="85">
        <v>45013</v>
      </c>
      <c r="AH761" s="82" t="s">
        <v>8439</v>
      </c>
      <c r="AI761" s="77" t="b">
        <v>0</v>
      </c>
      <c r="AJ761" s="77"/>
      <c r="AK761" s="77"/>
      <c r="AL761" s="77"/>
      <c r="AM761" s="77"/>
      <c r="AN761" s="77"/>
      <c r="AO761" s="77"/>
      <c r="AP761" s="77"/>
      <c r="AQ761" s="77" t="s">
        <v>11093</v>
      </c>
      <c r="AR761" s="77">
        <v>60010</v>
      </c>
      <c r="AS761" s="77"/>
      <c r="AT761" s="77"/>
      <c r="AU761" s="77">
        <v>1712</v>
      </c>
      <c r="AV761" s="80" t="str">
        <f>HYPERLINK("https://pbs.twimg.com/ext_tw_video_thumb/1639300440859746306/pu/img/Fa99Hf4HxpBtiMa6.jpg")</f>
        <v>https://pbs.twimg.com/ext_tw_video_thumb/1639300440859746306/pu/img/Fa99Hf4HxpBtiMa6.jpg</v>
      </c>
      <c r="AW761" s="82" t="s">
        <v>12947</v>
      </c>
      <c r="AX761" s="82" t="s">
        <v>12947</v>
      </c>
      <c r="AY761" s="77"/>
      <c r="AZ761" s="82" t="s">
        <v>15804</v>
      </c>
      <c r="BA761" s="82" t="s">
        <v>15804</v>
      </c>
      <c r="BB761" s="82" t="s">
        <v>15804</v>
      </c>
      <c r="BC761" s="82" t="s">
        <v>12947</v>
      </c>
      <c r="BD761" s="82" t="s">
        <v>15715</v>
      </c>
      <c r="BE761" s="77"/>
      <c r="BF761" s="77"/>
      <c r="BG761" s="77"/>
      <c r="BH761" s="77"/>
      <c r="BI761" s="77"/>
    </row>
    <row r="762" spans="1:61" x14ac:dyDescent="0.25">
      <c r="A762" s="62" t="s">
        <v>468</v>
      </c>
      <c r="B762" s="62" t="s">
        <v>1077</v>
      </c>
      <c r="C762" s="63"/>
      <c r="D762" s="64"/>
      <c r="E762" s="65"/>
      <c r="F762" s="66"/>
      <c r="G762" s="63"/>
      <c r="H762" s="67"/>
      <c r="I762" s="68"/>
      <c r="J762" s="68"/>
      <c r="K762" s="32"/>
      <c r="L762" s="75">
        <v>762</v>
      </c>
      <c r="M762" s="75"/>
      <c r="N762" s="70"/>
      <c r="O762" s="77" t="s">
        <v>1133</v>
      </c>
      <c r="P762" s="79">
        <v>45012.583368055559</v>
      </c>
      <c r="Q762" s="77" t="s">
        <v>1861</v>
      </c>
      <c r="R762" s="77">
        <v>0</v>
      </c>
      <c r="S762" s="77">
        <v>4</v>
      </c>
      <c r="T762" s="77">
        <v>6</v>
      </c>
      <c r="U762" s="77">
        <v>0</v>
      </c>
      <c r="V762" s="77">
        <v>287</v>
      </c>
      <c r="W762" s="82" t="s">
        <v>4593</v>
      </c>
      <c r="X762" s="77"/>
      <c r="Y762" s="77"/>
      <c r="Z762" s="77" t="s">
        <v>6123</v>
      </c>
      <c r="AA762" s="77" t="s">
        <v>6587</v>
      </c>
      <c r="AB762" s="77" t="s">
        <v>7697</v>
      </c>
      <c r="AC762" s="82" t="s">
        <v>7706</v>
      </c>
      <c r="AD762" s="77" t="s">
        <v>7745</v>
      </c>
      <c r="AE762" s="80" t="str">
        <f>HYPERLINK("https://twitter.com/tdmaoinvisivel/status/1640352986990882820")</f>
        <v>https://twitter.com/tdmaoinvisivel/status/1640352986990882820</v>
      </c>
      <c r="AF762" s="79">
        <v>45012.583368055559</v>
      </c>
      <c r="AG762" s="85">
        <v>45012</v>
      </c>
      <c r="AH762" s="82" t="s">
        <v>8440</v>
      </c>
      <c r="AI762" s="77" t="b">
        <v>0</v>
      </c>
      <c r="AJ762" s="77"/>
      <c r="AK762" s="77"/>
      <c r="AL762" s="77"/>
      <c r="AM762" s="77"/>
      <c r="AN762" s="77"/>
      <c r="AO762" s="77"/>
      <c r="AP762" s="77"/>
      <c r="AQ762" s="77" t="s">
        <v>11094</v>
      </c>
      <c r="AR762" s="77">
        <v>53525</v>
      </c>
      <c r="AS762" s="77"/>
      <c r="AT762" s="77"/>
      <c r="AU762" s="77">
        <v>49</v>
      </c>
      <c r="AV762" s="80" t="str">
        <f>HYPERLINK("https://pbs.twimg.com/ext_tw_video_thumb/1639300432143998976/pu/img/-LEiJ8s0QvcJlvAj.jpg")</f>
        <v>https://pbs.twimg.com/ext_tw_video_thumb/1639300432143998976/pu/img/-LEiJ8s0QvcJlvAj.jpg</v>
      </c>
      <c r="AW762" s="82" t="s">
        <v>12948</v>
      </c>
      <c r="AX762" s="82" t="s">
        <v>12948</v>
      </c>
      <c r="AY762" s="77"/>
      <c r="AZ762" s="82" t="s">
        <v>15804</v>
      </c>
      <c r="BA762" s="82" t="s">
        <v>15804</v>
      </c>
      <c r="BB762" s="82" t="s">
        <v>15804</v>
      </c>
      <c r="BC762" s="82" t="s">
        <v>12948</v>
      </c>
      <c r="BD762" s="82" t="s">
        <v>15715</v>
      </c>
      <c r="BE762" s="77"/>
      <c r="BF762" s="77"/>
      <c r="BG762" s="77"/>
      <c r="BH762" s="77"/>
      <c r="BI762" s="77"/>
    </row>
    <row r="763" spans="1:61" x14ac:dyDescent="0.25">
      <c r="A763" s="62" t="s">
        <v>468</v>
      </c>
      <c r="B763" s="62" t="s">
        <v>1077</v>
      </c>
      <c r="C763" s="63"/>
      <c r="D763" s="64"/>
      <c r="E763" s="65"/>
      <c r="F763" s="66"/>
      <c r="G763" s="63"/>
      <c r="H763" s="67"/>
      <c r="I763" s="68"/>
      <c r="J763" s="68"/>
      <c r="K763" s="32"/>
      <c r="L763" s="75">
        <v>763</v>
      </c>
      <c r="M763" s="75"/>
      <c r="N763" s="70"/>
      <c r="O763" s="77" t="s">
        <v>1133</v>
      </c>
      <c r="P763" s="79">
        <v>45011.583344907405</v>
      </c>
      <c r="Q763" s="77" t="s">
        <v>1862</v>
      </c>
      <c r="R763" s="77">
        <v>2</v>
      </c>
      <c r="S763" s="77">
        <v>17</v>
      </c>
      <c r="T763" s="77">
        <v>1</v>
      </c>
      <c r="U763" s="77">
        <v>0</v>
      </c>
      <c r="V763" s="77">
        <v>11898</v>
      </c>
      <c r="W763" s="82" t="s">
        <v>4594</v>
      </c>
      <c r="X763" s="77"/>
      <c r="Y763" s="77"/>
      <c r="Z763" s="77" t="s">
        <v>6123</v>
      </c>
      <c r="AA763" s="77" t="s">
        <v>6588</v>
      </c>
      <c r="AB763" s="77" t="s">
        <v>7697</v>
      </c>
      <c r="AC763" s="82" t="s">
        <v>7706</v>
      </c>
      <c r="AD763" s="77" t="s">
        <v>7745</v>
      </c>
      <c r="AE763" s="80" t="str">
        <f>HYPERLINK("https://twitter.com/tdmaoinvisivel/status/1639990591630237696")</f>
        <v>https://twitter.com/tdmaoinvisivel/status/1639990591630237696</v>
      </c>
      <c r="AF763" s="79">
        <v>45011.583344907405</v>
      </c>
      <c r="AG763" s="85">
        <v>45011</v>
      </c>
      <c r="AH763" s="82" t="s">
        <v>8438</v>
      </c>
      <c r="AI763" s="77" t="b">
        <v>0</v>
      </c>
      <c r="AJ763" s="77"/>
      <c r="AK763" s="77"/>
      <c r="AL763" s="77"/>
      <c r="AM763" s="77"/>
      <c r="AN763" s="77"/>
      <c r="AO763" s="77"/>
      <c r="AP763" s="77"/>
      <c r="AQ763" s="77" t="s">
        <v>11095</v>
      </c>
      <c r="AR763" s="77">
        <v>24405</v>
      </c>
      <c r="AS763" s="77"/>
      <c r="AT763" s="77"/>
      <c r="AU763" s="77">
        <v>2319</v>
      </c>
      <c r="AV763" s="80" t="str">
        <f>HYPERLINK("https://pbs.twimg.com/ext_tw_video_thumb/1639300424208449537/pu/img/Dh4iy0Zqn9z7H9lx.jpg")</f>
        <v>https://pbs.twimg.com/ext_tw_video_thumb/1639300424208449537/pu/img/Dh4iy0Zqn9z7H9lx.jpg</v>
      </c>
      <c r="AW763" s="82" t="s">
        <v>12949</v>
      </c>
      <c r="AX763" s="82" t="s">
        <v>12949</v>
      </c>
      <c r="AY763" s="77"/>
      <c r="AZ763" s="82" t="s">
        <v>15804</v>
      </c>
      <c r="BA763" s="82" t="s">
        <v>15804</v>
      </c>
      <c r="BB763" s="82" t="s">
        <v>15804</v>
      </c>
      <c r="BC763" s="82" t="s">
        <v>12949</v>
      </c>
      <c r="BD763" s="82" t="s">
        <v>15715</v>
      </c>
      <c r="BE763" s="77"/>
      <c r="BF763" s="77"/>
      <c r="BG763" s="77"/>
      <c r="BH763" s="77"/>
      <c r="BI763" s="77"/>
    </row>
    <row r="764" spans="1:61" x14ac:dyDescent="0.25">
      <c r="A764" s="62" t="s">
        <v>468</v>
      </c>
      <c r="B764" s="62" t="s">
        <v>1077</v>
      </c>
      <c r="C764" s="63"/>
      <c r="D764" s="64"/>
      <c r="E764" s="65"/>
      <c r="F764" s="66"/>
      <c r="G764" s="63"/>
      <c r="H764" s="67"/>
      <c r="I764" s="68"/>
      <c r="J764" s="68"/>
      <c r="K764" s="32"/>
      <c r="L764" s="75">
        <v>764</v>
      </c>
      <c r="M764" s="75"/>
      <c r="N764" s="70"/>
      <c r="O764" s="77" t="s">
        <v>1133</v>
      </c>
      <c r="P764" s="79">
        <v>45010.583333333336</v>
      </c>
      <c r="Q764" s="77" t="s">
        <v>1863</v>
      </c>
      <c r="R764" s="77">
        <v>5</v>
      </c>
      <c r="S764" s="77">
        <v>22</v>
      </c>
      <c r="T764" s="77">
        <v>2</v>
      </c>
      <c r="U764" s="77">
        <v>0</v>
      </c>
      <c r="V764" s="77">
        <v>13906</v>
      </c>
      <c r="W764" s="82" t="s">
        <v>4593</v>
      </c>
      <c r="X764" s="77"/>
      <c r="Y764" s="77"/>
      <c r="Z764" s="77" t="s">
        <v>6123</v>
      </c>
      <c r="AA764" s="77" t="s">
        <v>6589</v>
      </c>
      <c r="AB764" s="77" t="s">
        <v>7697</v>
      </c>
      <c r="AC764" s="82" t="s">
        <v>7706</v>
      </c>
      <c r="AD764" s="77" t="s">
        <v>7745</v>
      </c>
      <c r="AE764" s="80" t="str">
        <f>HYPERLINK("https://twitter.com/tdmaoinvisivel/status/1639628201755328512")</f>
        <v>https://twitter.com/tdmaoinvisivel/status/1639628201755328512</v>
      </c>
      <c r="AF764" s="79">
        <v>45010.583333333336</v>
      </c>
      <c r="AG764" s="85">
        <v>45010</v>
      </c>
      <c r="AH764" s="82" t="s">
        <v>8441</v>
      </c>
      <c r="AI764" s="77" t="b">
        <v>0</v>
      </c>
      <c r="AJ764" s="77"/>
      <c r="AK764" s="77"/>
      <c r="AL764" s="77"/>
      <c r="AM764" s="77"/>
      <c r="AN764" s="77"/>
      <c r="AO764" s="77"/>
      <c r="AP764" s="77"/>
      <c r="AQ764" s="77" t="s">
        <v>11096</v>
      </c>
      <c r="AR764" s="77">
        <v>60032</v>
      </c>
      <c r="AS764" s="77"/>
      <c r="AT764" s="77"/>
      <c r="AU764" s="77">
        <v>2641</v>
      </c>
      <c r="AV764" s="80" t="str">
        <f>HYPERLINK("https://pbs.twimg.com/ext_tw_video_thumb/1639300411617079296/pu/img/I8F8diWgR6FZUn23.jpg")</f>
        <v>https://pbs.twimg.com/ext_tw_video_thumb/1639300411617079296/pu/img/I8F8diWgR6FZUn23.jpg</v>
      </c>
      <c r="AW764" s="82" t="s">
        <v>12950</v>
      </c>
      <c r="AX764" s="82" t="s">
        <v>12950</v>
      </c>
      <c r="AY764" s="77"/>
      <c r="AZ764" s="82" t="s">
        <v>15804</v>
      </c>
      <c r="BA764" s="82" t="s">
        <v>15804</v>
      </c>
      <c r="BB764" s="82" t="s">
        <v>15804</v>
      </c>
      <c r="BC764" s="82" t="s">
        <v>12950</v>
      </c>
      <c r="BD764" s="82" t="s">
        <v>15715</v>
      </c>
      <c r="BE764" s="77"/>
      <c r="BF764" s="77"/>
      <c r="BG764" s="77"/>
      <c r="BH764" s="77"/>
      <c r="BI764" s="77"/>
    </row>
    <row r="765" spans="1:61" x14ac:dyDescent="0.25">
      <c r="A765" s="62" t="s">
        <v>468</v>
      </c>
      <c r="B765" s="62" t="s">
        <v>1077</v>
      </c>
      <c r="C765" s="63"/>
      <c r="D765" s="64"/>
      <c r="E765" s="65"/>
      <c r="F765" s="66"/>
      <c r="G765" s="63"/>
      <c r="H765" s="67"/>
      <c r="I765" s="68"/>
      <c r="J765" s="68"/>
      <c r="K765" s="32"/>
      <c r="L765" s="75">
        <v>765</v>
      </c>
      <c r="M765" s="75"/>
      <c r="N765" s="70"/>
      <c r="O765" s="77" t="s">
        <v>1133</v>
      </c>
      <c r="P765" s="79">
        <v>45009.678969907407</v>
      </c>
      <c r="Q765" s="77" t="s">
        <v>1864</v>
      </c>
      <c r="R765" s="77">
        <v>0</v>
      </c>
      <c r="S765" s="77">
        <v>2</v>
      </c>
      <c r="T765" s="77">
        <v>0</v>
      </c>
      <c r="U765" s="77">
        <v>0</v>
      </c>
      <c r="V765" s="77">
        <v>313</v>
      </c>
      <c r="W765" s="82" t="s">
        <v>4593</v>
      </c>
      <c r="X765" s="77"/>
      <c r="Y765" s="77"/>
      <c r="Z765" s="77" t="s">
        <v>6123</v>
      </c>
      <c r="AA765" s="77" t="s">
        <v>6590</v>
      </c>
      <c r="AB765" s="77" t="s">
        <v>7697</v>
      </c>
      <c r="AC765" s="82" t="s">
        <v>7706</v>
      </c>
      <c r="AD765" s="77" t="s">
        <v>7745</v>
      </c>
      <c r="AE765" s="80" t="str">
        <f>HYPERLINK("https://twitter.com/tdmaoinvisivel/status/1639300472195432450")</f>
        <v>https://twitter.com/tdmaoinvisivel/status/1639300472195432450</v>
      </c>
      <c r="AF765" s="79">
        <v>45009.678969907407</v>
      </c>
      <c r="AG765" s="85">
        <v>45009</v>
      </c>
      <c r="AH765" s="82" t="s">
        <v>8442</v>
      </c>
      <c r="AI765" s="77" t="b">
        <v>0</v>
      </c>
      <c r="AJ765" s="77"/>
      <c r="AK765" s="77"/>
      <c r="AL765" s="77"/>
      <c r="AM765" s="77"/>
      <c r="AN765" s="77"/>
      <c r="AO765" s="77"/>
      <c r="AP765" s="77"/>
      <c r="AQ765" s="77" t="s">
        <v>11097</v>
      </c>
      <c r="AR765" s="77">
        <v>76693</v>
      </c>
      <c r="AS765" s="77"/>
      <c r="AT765" s="77"/>
      <c r="AU765" s="77">
        <v>77</v>
      </c>
      <c r="AV765" s="80" t="str">
        <f>HYPERLINK("https://pbs.twimg.com/ext_tw_video_thumb/1639299945952862208/pu/img/eFw07DWyGrsypJP9.jpg")</f>
        <v>https://pbs.twimg.com/ext_tw_video_thumb/1639299945952862208/pu/img/eFw07DWyGrsypJP9.jpg</v>
      </c>
      <c r="AW765" s="82" t="s">
        <v>12951</v>
      </c>
      <c r="AX765" s="82" t="s">
        <v>12951</v>
      </c>
      <c r="AY765" s="77"/>
      <c r="AZ765" s="82" t="s">
        <v>15804</v>
      </c>
      <c r="BA765" s="82" t="s">
        <v>15804</v>
      </c>
      <c r="BB765" s="82" t="s">
        <v>15804</v>
      </c>
      <c r="BC765" s="82" t="s">
        <v>12951</v>
      </c>
      <c r="BD765" s="82" t="s">
        <v>15715</v>
      </c>
      <c r="BE765" s="77"/>
      <c r="BF765" s="77"/>
      <c r="BG765" s="77"/>
      <c r="BH765" s="77"/>
      <c r="BI765" s="77"/>
    </row>
    <row r="766" spans="1:61" x14ac:dyDescent="0.25">
      <c r="A766" s="62" t="s">
        <v>468</v>
      </c>
      <c r="B766" s="62" t="s">
        <v>468</v>
      </c>
      <c r="C766" s="63"/>
      <c r="D766" s="64"/>
      <c r="E766" s="65"/>
      <c r="F766" s="66"/>
      <c r="G766" s="63"/>
      <c r="H766" s="67"/>
      <c r="I766" s="68"/>
      <c r="J766" s="68"/>
      <c r="K766" s="32"/>
      <c r="L766" s="75">
        <v>766</v>
      </c>
      <c r="M766" s="75"/>
      <c r="N766" s="70"/>
      <c r="O766" s="77" t="s">
        <v>1132</v>
      </c>
      <c r="P766" s="79">
        <v>44986.858958333331</v>
      </c>
      <c r="Q766" s="77" t="s">
        <v>1865</v>
      </c>
      <c r="R766" s="77">
        <v>0</v>
      </c>
      <c r="S766" s="77">
        <v>4</v>
      </c>
      <c r="T766" s="77">
        <v>0</v>
      </c>
      <c r="U766" s="77">
        <v>0</v>
      </c>
      <c r="V766" s="77">
        <v>373</v>
      </c>
      <c r="W766" s="82" t="s">
        <v>4595</v>
      </c>
      <c r="X766" s="77"/>
      <c r="Y766" s="77"/>
      <c r="Z766" s="77"/>
      <c r="AA766" s="77"/>
      <c r="AB766" s="77"/>
      <c r="AC766" s="82" t="s">
        <v>7706</v>
      </c>
      <c r="AD766" s="77" t="s">
        <v>7745</v>
      </c>
      <c r="AE766" s="80" t="str">
        <f>HYPERLINK("https://twitter.com/tdmaoinvisivel/status/1631030776283250688")</f>
        <v>https://twitter.com/tdmaoinvisivel/status/1631030776283250688</v>
      </c>
      <c r="AF766" s="79">
        <v>44986.858958333331</v>
      </c>
      <c r="AG766" s="85">
        <v>44986</v>
      </c>
      <c r="AH766" s="82" t="s">
        <v>8443</v>
      </c>
      <c r="AI766" s="77"/>
      <c r="AJ766" s="77"/>
      <c r="AK766" s="77"/>
      <c r="AL766" s="77"/>
      <c r="AM766" s="77"/>
      <c r="AN766" s="77"/>
      <c r="AO766" s="77"/>
      <c r="AP766" s="77"/>
      <c r="AQ766" s="77"/>
      <c r="AR766" s="77"/>
      <c r="AS766" s="77"/>
      <c r="AT766" s="77"/>
      <c r="AU766" s="77"/>
      <c r="AV766" s="80" t="str">
        <f>HYPERLINK("https://pbs.twimg.com/profile_images/1619219334534172672/TGKfK3S-_normal.jpg")</f>
        <v>https://pbs.twimg.com/profile_images/1619219334534172672/TGKfK3S-_normal.jpg</v>
      </c>
      <c r="AW766" s="82" t="s">
        <v>12952</v>
      </c>
      <c r="AX766" s="82" t="s">
        <v>15292</v>
      </c>
      <c r="AY766" s="82" t="s">
        <v>15715</v>
      </c>
      <c r="AZ766" s="82" t="s">
        <v>15292</v>
      </c>
      <c r="BA766" s="82" t="s">
        <v>15804</v>
      </c>
      <c r="BB766" s="82" t="s">
        <v>15804</v>
      </c>
      <c r="BC766" s="82" t="s">
        <v>15292</v>
      </c>
      <c r="BD766" s="82" t="s">
        <v>15715</v>
      </c>
      <c r="BE766" s="77"/>
      <c r="BF766" s="77"/>
      <c r="BG766" s="77"/>
      <c r="BH766" s="77"/>
      <c r="BI766" s="77"/>
    </row>
    <row r="767" spans="1:61" x14ac:dyDescent="0.25">
      <c r="A767" s="62" t="s">
        <v>469</v>
      </c>
      <c r="B767" s="62" t="s">
        <v>469</v>
      </c>
      <c r="C767" s="63"/>
      <c r="D767" s="64"/>
      <c r="E767" s="65"/>
      <c r="F767" s="66"/>
      <c r="G767" s="63"/>
      <c r="H767" s="67"/>
      <c r="I767" s="68"/>
      <c r="J767" s="68"/>
      <c r="K767" s="32"/>
      <c r="L767" s="75">
        <v>767</v>
      </c>
      <c r="M767" s="75"/>
      <c r="N767" s="70"/>
      <c r="O767" s="77" t="s">
        <v>179</v>
      </c>
      <c r="P767" s="79">
        <v>45038.735081018516</v>
      </c>
      <c r="Q767" s="77" t="s">
        <v>1866</v>
      </c>
      <c r="R767" s="77">
        <v>0</v>
      </c>
      <c r="S767" s="77">
        <v>0</v>
      </c>
      <c r="T767" s="77">
        <v>0</v>
      </c>
      <c r="U767" s="77">
        <v>0</v>
      </c>
      <c r="V767" s="77">
        <v>7</v>
      </c>
      <c r="W767" s="82" t="s">
        <v>4596</v>
      </c>
      <c r="X767" s="80" t="str">
        <f>HYPERLINK("https://jornaldigital360.com.br/a-importancia-da-educacao-financeira-para-a-vida-adulta/")</f>
        <v>https://jornaldigital360.com.br/a-importancia-da-educacao-financeira-para-a-vida-adulta/</v>
      </c>
      <c r="Y767" s="77" t="s">
        <v>6002</v>
      </c>
      <c r="Z767" s="77"/>
      <c r="AA767" s="77" t="s">
        <v>6591</v>
      </c>
      <c r="AB767" s="77" t="s">
        <v>7696</v>
      </c>
      <c r="AC767" s="82" t="s">
        <v>7706</v>
      </c>
      <c r="AD767" s="77" t="s">
        <v>7745</v>
      </c>
      <c r="AE767" s="80" t="str">
        <f>HYPERLINK("https://twitter.com/newsdigital360/status/1649830050282307586")</f>
        <v>https://twitter.com/newsdigital360/status/1649830050282307586</v>
      </c>
      <c r="AF767" s="79">
        <v>45038.735081018516</v>
      </c>
      <c r="AG767" s="85">
        <v>45038</v>
      </c>
      <c r="AH767" s="82" t="s">
        <v>8444</v>
      </c>
      <c r="AI767" s="77" t="b">
        <v>0</v>
      </c>
      <c r="AJ767" s="77"/>
      <c r="AK767" s="77"/>
      <c r="AL767" s="77"/>
      <c r="AM767" s="77"/>
      <c r="AN767" s="77"/>
      <c r="AO767" s="77"/>
      <c r="AP767" s="77"/>
      <c r="AQ767" s="77" t="s">
        <v>11098</v>
      </c>
      <c r="AR767" s="77"/>
      <c r="AS767" s="77"/>
      <c r="AT767" s="77"/>
      <c r="AU767" s="77"/>
      <c r="AV767" s="80" t="str">
        <f>HYPERLINK("https://pbs.twimg.com/media/FuVfrbcXsAEj4Gc.jpg")</f>
        <v>https://pbs.twimg.com/media/FuVfrbcXsAEj4Gc.jpg</v>
      </c>
      <c r="AW767" s="82" t="s">
        <v>12953</v>
      </c>
      <c r="AX767" s="82" t="s">
        <v>12953</v>
      </c>
      <c r="AY767" s="77"/>
      <c r="AZ767" s="82" t="s">
        <v>15804</v>
      </c>
      <c r="BA767" s="82" t="s">
        <v>15804</v>
      </c>
      <c r="BB767" s="82" t="s">
        <v>15804</v>
      </c>
      <c r="BC767" s="82" t="s">
        <v>12953</v>
      </c>
      <c r="BD767" s="82" t="s">
        <v>16262</v>
      </c>
      <c r="BE767" s="77"/>
      <c r="BF767" s="77"/>
      <c r="BG767" s="77"/>
      <c r="BH767" s="77"/>
      <c r="BI767" s="77"/>
    </row>
    <row r="768" spans="1:61" x14ac:dyDescent="0.25">
      <c r="A768" s="62" t="s">
        <v>469</v>
      </c>
      <c r="B768" s="62" t="s">
        <v>469</v>
      </c>
      <c r="C768" s="63"/>
      <c r="D768" s="64"/>
      <c r="E768" s="65"/>
      <c r="F768" s="66"/>
      <c r="G768" s="63"/>
      <c r="H768" s="67"/>
      <c r="I768" s="68"/>
      <c r="J768" s="68"/>
      <c r="K768" s="32"/>
      <c r="L768" s="75">
        <v>768</v>
      </c>
      <c r="M768" s="75"/>
      <c r="N768" s="70"/>
      <c r="O768" s="77" t="s">
        <v>179</v>
      </c>
      <c r="P768" s="79">
        <v>45037.837858796294</v>
      </c>
      <c r="Q768" s="77" t="s">
        <v>1867</v>
      </c>
      <c r="R768" s="77">
        <v>0</v>
      </c>
      <c r="S768" s="77">
        <v>0</v>
      </c>
      <c r="T768" s="77">
        <v>0</v>
      </c>
      <c r="U768" s="77">
        <v>0</v>
      </c>
      <c r="V768" s="77">
        <v>8</v>
      </c>
      <c r="W768" s="82" t="s">
        <v>4597</v>
      </c>
      <c r="X768" s="80" t="str">
        <f>HYPERLINK("https://jornaldigital360.com.br/como-economizar-dinheiro-dicas-praticas-para-alcancar-seus-objetivos-financeiros/")</f>
        <v>https://jornaldigital360.com.br/como-economizar-dinheiro-dicas-praticas-para-alcancar-seus-objetivos-financeiros/</v>
      </c>
      <c r="Y768" s="77" t="s">
        <v>6002</v>
      </c>
      <c r="Z768" s="77"/>
      <c r="AA768" s="77" t="s">
        <v>6592</v>
      </c>
      <c r="AB768" s="77" t="s">
        <v>7696</v>
      </c>
      <c r="AC768" s="82" t="s">
        <v>7706</v>
      </c>
      <c r="AD768" s="77" t="s">
        <v>7745</v>
      </c>
      <c r="AE768" s="80" t="str">
        <f>HYPERLINK("https://twitter.com/newsdigital360/status/1649504908691881986")</f>
        <v>https://twitter.com/newsdigital360/status/1649504908691881986</v>
      </c>
      <c r="AF768" s="79">
        <v>45037.837858796294</v>
      </c>
      <c r="AG768" s="85">
        <v>45037</v>
      </c>
      <c r="AH768" s="82" t="s">
        <v>8445</v>
      </c>
      <c r="AI768" s="77" t="b">
        <v>0</v>
      </c>
      <c r="AJ768" s="77"/>
      <c r="AK768" s="77"/>
      <c r="AL768" s="77"/>
      <c r="AM768" s="77"/>
      <c r="AN768" s="77"/>
      <c r="AO768" s="77"/>
      <c r="AP768" s="77"/>
      <c r="AQ768" s="77" t="s">
        <v>11099</v>
      </c>
      <c r="AR768" s="77"/>
      <c r="AS768" s="77"/>
      <c r="AT768" s="77"/>
      <c r="AU768" s="77"/>
      <c r="AV768" s="80" t="str">
        <f>HYPERLINK("https://pbs.twimg.com/media/FuQ374MWwAEBdxx.jpg")</f>
        <v>https://pbs.twimg.com/media/FuQ374MWwAEBdxx.jpg</v>
      </c>
      <c r="AW768" s="82" t="s">
        <v>12954</v>
      </c>
      <c r="AX768" s="82" t="s">
        <v>12954</v>
      </c>
      <c r="AY768" s="77"/>
      <c r="AZ768" s="82" t="s">
        <v>15804</v>
      </c>
      <c r="BA768" s="82" t="s">
        <v>15804</v>
      </c>
      <c r="BB768" s="82" t="s">
        <v>15804</v>
      </c>
      <c r="BC768" s="82" t="s">
        <v>12954</v>
      </c>
      <c r="BD768" s="82" t="s">
        <v>16262</v>
      </c>
      <c r="BE768" s="77"/>
      <c r="BF768" s="77"/>
      <c r="BG768" s="77"/>
      <c r="BH768" s="77"/>
      <c r="BI768" s="77"/>
    </row>
    <row r="769" spans="1:61" x14ac:dyDescent="0.25">
      <c r="A769" s="62" t="s">
        <v>469</v>
      </c>
      <c r="B769" s="62" t="s">
        <v>469</v>
      </c>
      <c r="C769" s="63"/>
      <c r="D769" s="64"/>
      <c r="E769" s="65"/>
      <c r="F769" s="66"/>
      <c r="G769" s="63"/>
      <c r="H769" s="67"/>
      <c r="I769" s="68"/>
      <c r="J769" s="68"/>
      <c r="K769" s="32"/>
      <c r="L769" s="75">
        <v>769</v>
      </c>
      <c r="M769" s="75"/>
      <c r="N769" s="70"/>
      <c r="O769" s="77" t="s">
        <v>179</v>
      </c>
      <c r="P769" s="79">
        <v>45036.778032407405</v>
      </c>
      <c r="Q769" s="77" t="s">
        <v>1868</v>
      </c>
      <c r="R769" s="77">
        <v>0</v>
      </c>
      <c r="S769" s="77">
        <v>0</v>
      </c>
      <c r="T769" s="77">
        <v>0</v>
      </c>
      <c r="U769" s="77">
        <v>0</v>
      </c>
      <c r="V769" s="77">
        <v>10</v>
      </c>
      <c r="W769" s="82" t="s">
        <v>4598</v>
      </c>
      <c r="X769" s="80" t="str">
        <f>HYPERLINK("https://jornaldigital360.com.br/10-estrategias-para-alcancar-a-independencia-financeira/")</f>
        <v>https://jornaldigital360.com.br/10-estrategias-para-alcancar-a-independencia-financeira/</v>
      </c>
      <c r="Y769" s="77" t="s">
        <v>6002</v>
      </c>
      <c r="Z769" s="77"/>
      <c r="AA769" s="77" t="s">
        <v>6593</v>
      </c>
      <c r="AB769" s="77" t="s">
        <v>7696</v>
      </c>
      <c r="AC769" s="82" t="s">
        <v>7706</v>
      </c>
      <c r="AD769" s="77" t="s">
        <v>7745</v>
      </c>
      <c r="AE769" s="80" t="str">
        <f>HYPERLINK("https://twitter.com/newsdigital360/status/1649120842247176193")</f>
        <v>https://twitter.com/newsdigital360/status/1649120842247176193</v>
      </c>
      <c r="AF769" s="79">
        <v>45036.778032407405</v>
      </c>
      <c r="AG769" s="85">
        <v>45036</v>
      </c>
      <c r="AH769" s="82" t="s">
        <v>8446</v>
      </c>
      <c r="AI769" s="77" t="b">
        <v>0</v>
      </c>
      <c r="AJ769" s="77"/>
      <c r="AK769" s="77"/>
      <c r="AL769" s="77"/>
      <c r="AM769" s="77"/>
      <c r="AN769" s="77"/>
      <c r="AO769" s="77"/>
      <c r="AP769" s="77"/>
      <c r="AQ769" s="77" t="s">
        <v>11100</v>
      </c>
      <c r="AR769" s="77"/>
      <c r="AS769" s="77"/>
      <c r="AT769" s="77"/>
      <c r="AU769" s="77"/>
      <c r="AV769" s="80" t="str">
        <f>HYPERLINK("https://pbs.twimg.com/media/FuLaqEPWAAkE3ot.jpg")</f>
        <v>https://pbs.twimg.com/media/FuLaqEPWAAkE3ot.jpg</v>
      </c>
      <c r="AW769" s="82" t="s">
        <v>12955</v>
      </c>
      <c r="AX769" s="82" t="s">
        <v>12955</v>
      </c>
      <c r="AY769" s="77"/>
      <c r="AZ769" s="82" t="s">
        <v>15804</v>
      </c>
      <c r="BA769" s="82" t="s">
        <v>15804</v>
      </c>
      <c r="BB769" s="82" t="s">
        <v>15804</v>
      </c>
      <c r="BC769" s="82" t="s">
        <v>12955</v>
      </c>
      <c r="BD769" s="82" t="s">
        <v>16262</v>
      </c>
      <c r="BE769" s="77"/>
      <c r="BF769" s="77"/>
      <c r="BG769" s="77"/>
      <c r="BH769" s="77"/>
      <c r="BI769" s="77"/>
    </row>
    <row r="770" spans="1:61" x14ac:dyDescent="0.25">
      <c r="A770" s="62" t="s">
        <v>470</v>
      </c>
      <c r="B770" s="62" t="s">
        <v>470</v>
      </c>
      <c r="C770" s="63"/>
      <c r="D770" s="64"/>
      <c r="E770" s="65"/>
      <c r="F770" s="66"/>
      <c r="G770" s="63"/>
      <c r="H770" s="67"/>
      <c r="I770" s="68"/>
      <c r="J770" s="68"/>
      <c r="K770" s="32"/>
      <c r="L770" s="75">
        <v>770</v>
      </c>
      <c r="M770" s="75"/>
      <c r="N770" s="70"/>
      <c r="O770" s="77" t="s">
        <v>1132</v>
      </c>
      <c r="P770" s="79">
        <v>45098.081377314818</v>
      </c>
      <c r="Q770" s="77" t="s">
        <v>1869</v>
      </c>
      <c r="R770" s="77">
        <v>0</v>
      </c>
      <c r="S770" s="77">
        <v>0</v>
      </c>
      <c r="T770" s="77">
        <v>0</v>
      </c>
      <c r="U770" s="77">
        <v>0</v>
      </c>
      <c r="V770" s="77">
        <v>15</v>
      </c>
      <c r="W770" s="82" t="s">
        <v>4599</v>
      </c>
      <c r="X770" s="77"/>
      <c r="Y770" s="77"/>
      <c r="Z770" s="77"/>
      <c r="AA770" s="77"/>
      <c r="AB770" s="77"/>
      <c r="AC770" s="82" t="s">
        <v>7705</v>
      </c>
      <c r="AD770" s="77" t="s">
        <v>7748</v>
      </c>
      <c r="AE770" s="80" t="str">
        <f>HYPERLINK("https://twitter.com/simonramosbr/status/1671336428784033792")</f>
        <v>https://twitter.com/simonramosbr/status/1671336428784033792</v>
      </c>
      <c r="AF770" s="79">
        <v>45098.081377314818</v>
      </c>
      <c r="AG770" s="85">
        <v>45098</v>
      </c>
      <c r="AH770" s="82" t="s">
        <v>8447</v>
      </c>
      <c r="AI770" s="77"/>
      <c r="AJ770" s="77"/>
      <c r="AK770" s="77"/>
      <c r="AL770" s="77"/>
      <c r="AM770" s="77"/>
      <c r="AN770" s="77"/>
      <c r="AO770" s="77"/>
      <c r="AP770" s="77"/>
      <c r="AQ770" s="77"/>
      <c r="AR770" s="77"/>
      <c r="AS770" s="77"/>
      <c r="AT770" s="77"/>
      <c r="AU770" s="77"/>
      <c r="AV770" s="80" t="str">
        <f>HYPERLINK("https://pbs.twimg.com/profile_images/1688214920825868288/4w6oKlod_normal.jpg")</f>
        <v>https://pbs.twimg.com/profile_images/1688214920825868288/4w6oKlod_normal.jpg</v>
      </c>
      <c r="AW770" s="82" t="s">
        <v>12956</v>
      </c>
      <c r="AX770" s="82" t="s">
        <v>15293</v>
      </c>
      <c r="AY770" s="82" t="s">
        <v>15716</v>
      </c>
      <c r="AZ770" s="82" t="s">
        <v>15293</v>
      </c>
      <c r="BA770" s="82" t="s">
        <v>15804</v>
      </c>
      <c r="BB770" s="82" t="s">
        <v>15804</v>
      </c>
      <c r="BC770" s="82" t="s">
        <v>15293</v>
      </c>
      <c r="BD770" s="82" t="s">
        <v>15716</v>
      </c>
      <c r="BE770" s="77"/>
      <c r="BF770" s="77"/>
      <c r="BG770" s="77"/>
      <c r="BH770" s="77"/>
      <c r="BI770" s="77"/>
    </row>
    <row r="771" spans="1:61" x14ac:dyDescent="0.25">
      <c r="A771" s="62" t="s">
        <v>471</v>
      </c>
      <c r="B771" s="62" t="s">
        <v>471</v>
      </c>
      <c r="C771" s="63"/>
      <c r="D771" s="64"/>
      <c r="E771" s="65"/>
      <c r="F771" s="66"/>
      <c r="G771" s="63"/>
      <c r="H771" s="67"/>
      <c r="I771" s="68"/>
      <c r="J771" s="68"/>
      <c r="K771" s="32"/>
      <c r="L771" s="75">
        <v>771</v>
      </c>
      <c r="M771" s="75"/>
      <c r="N771" s="70"/>
      <c r="O771" s="77" t="s">
        <v>179</v>
      </c>
      <c r="P771" s="79">
        <v>44930.922025462962</v>
      </c>
      <c r="Q771" s="77" t="s">
        <v>1870</v>
      </c>
      <c r="R771" s="77">
        <v>0</v>
      </c>
      <c r="S771" s="77">
        <v>0</v>
      </c>
      <c r="T771" s="77">
        <v>0</v>
      </c>
      <c r="U771" s="77">
        <v>0</v>
      </c>
      <c r="V771" s="77">
        <v>13</v>
      </c>
      <c r="W771" s="82" t="s">
        <v>4600</v>
      </c>
      <c r="X771" s="77"/>
      <c r="Y771" s="77"/>
      <c r="Z771" s="77"/>
      <c r="AA771" s="77" t="s">
        <v>6594</v>
      </c>
      <c r="AB771" s="77" t="s">
        <v>7698</v>
      </c>
      <c r="AC771" s="82" t="s">
        <v>7705</v>
      </c>
      <c r="AD771" s="77" t="s">
        <v>7745</v>
      </c>
      <c r="AE771" s="80" t="str">
        <f>HYPERLINK("https://twitter.com/mpaulaorganizer/status/1610759910513606656")</f>
        <v>https://twitter.com/mpaulaorganizer/status/1610759910513606656</v>
      </c>
      <c r="AF771" s="79">
        <v>44930.922025462962</v>
      </c>
      <c r="AG771" s="85">
        <v>44930</v>
      </c>
      <c r="AH771" s="82" t="s">
        <v>8448</v>
      </c>
      <c r="AI771" s="77" t="b">
        <v>0</v>
      </c>
      <c r="AJ771" s="77"/>
      <c r="AK771" s="77"/>
      <c r="AL771" s="77"/>
      <c r="AM771" s="77"/>
      <c r="AN771" s="77"/>
      <c r="AO771" s="77"/>
      <c r="AP771" s="77"/>
      <c r="AQ771" s="77" t="s">
        <v>11101</v>
      </c>
      <c r="AR771" s="77"/>
      <c r="AS771" s="77"/>
      <c r="AT771" s="77"/>
      <c r="AU771" s="77"/>
      <c r="AV771" s="80" t="str">
        <f>HYPERLINK("https://pbs.twimg.com/media/FlqRmWBXEAcfMN8.jpg")</f>
        <v>https://pbs.twimg.com/media/FlqRmWBXEAcfMN8.jpg</v>
      </c>
      <c r="AW771" s="82" t="s">
        <v>12957</v>
      </c>
      <c r="AX771" s="82" t="s">
        <v>12957</v>
      </c>
      <c r="AY771" s="77"/>
      <c r="AZ771" s="82" t="s">
        <v>15804</v>
      </c>
      <c r="BA771" s="82" t="s">
        <v>15804</v>
      </c>
      <c r="BB771" s="82" t="s">
        <v>15804</v>
      </c>
      <c r="BC771" s="82" t="s">
        <v>12957</v>
      </c>
      <c r="BD771" s="77">
        <v>1332582158</v>
      </c>
      <c r="BE771" s="77"/>
      <c r="BF771" s="77"/>
      <c r="BG771" s="77"/>
      <c r="BH771" s="77"/>
      <c r="BI771" s="77"/>
    </row>
    <row r="772" spans="1:61" x14ac:dyDescent="0.25">
      <c r="A772" s="62" t="s">
        <v>472</v>
      </c>
      <c r="B772" s="62" t="s">
        <v>472</v>
      </c>
      <c r="C772" s="63"/>
      <c r="D772" s="64"/>
      <c r="E772" s="65"/>
      <c r="F772" s="66"/>
      <c r="G772" s="63"/>
      <c r="H772" s="67"/>
      <c r="I772" s="68"/>
      <c r="J772" s="68"/>
      <c r="K772" s="32"/>
      <c r="L772" s="75">
        <v>772</v>
      </c>
      <c r="M772" s="75"/>
      <c r="N772" s="70"/>
      <c r="O772" s="77" t="s">
        <v>179</v>
      </c>
      <c r="P772" s="79">
        <v>45149.636759259258</v>
      </c>
      <c r="Q772" s="77" t="s">
        <v>1871</v>
      </c>
      <c r="R772" s="77">
        <v>0</v>
      </c>
      <c r="S772" s="77">
        <v>0</v>
      </c>
      <c r="T772" s="77">
        <v>0</v>
      </c>
      <c r="U772" s="77">
        <v>0</v>
      </c>
      <c r="V772" s="77">
        <v>20</v>
      </c>
      <c r="W772" s="82" t="s">
        <v>4601</v>
      </c>
      <c r="X772" s="80" t="str">
        <f>HYPERLINK("https://blogpdanoticia.blogspot.com/p/ultimas-noticias.html")</f>
        <v>https://blogpdanoticia.blogspot.com/p/ultimas-noticias.html</v>
      </c>
      <c r="Y772" s="77" t="s">
        <v>6001</v>
      </c>
      <c r="Z772" s="77"/>
      <c r="AA772" s="77" t="s">
        <v>6595</v>
      </c>
      <c r="AB772" s="77" t="s">
        <v>7696</v>
      </c>
      <c r="AC772" s="82" t="s">
        <v>7706</v>
      </c>
      <c r="AD772" s="77" t="s">
        <v>7745</v>
      </c>
      <c r="AE772" s="80" t="str">
        <f>HYPERLINK("https://twitter.com/blogpdnoticia/status/1690019472784953344")</f>
        <v>https://twitter.com/blogpdnoticia/status/1690019472784953344</v>
      </c>
      <c r="AF772" s="79">
        <v>45149.636759259258</v>
      </c>
      <c r="AG772" s="85">
        <v>45149</v>
      </c>
      <c r="AH772" s="82" t="s">
        <v>8449</v>
      </c>
      <c r="AI772" s="77" t="b">
        <v>0</v>
      </c>
      <c r="AJ772" s="77"/>
      <c r="AK772" s="77"/>
      <c r="AL772" s="77"/>
      <c r="AM772" s="77"/>
      <c r="AN772" s="77"/>
      <c r="AO772" s="77"/>
      <c r="AP772" s="77"/>
      <c r="AQ772" s="77" t="s">
        <v>11102</v>
      </c>
      <c r="AR772" s="77"/>
      <c r="AS772" s="77"/>
      <c r="AT772" s="77"/>
      <c r="AU772" s="77"/>
      <c r="AV772" s="80" t="str">
        <f>HYPERLINK("https://pbs.twimg.com/media/F3Qnvb7XgAAWuHt.jpg")</f>
        <v>https://pbs.twimg.com/media/F3Qnvb7XgAAWuHt.jpg</v>
      </c>
      <c r="AW772" s="82" t="s">
        <v>12958</v>
      </c>
      <c r="AX772" s="82" t="s">
        <v>12958</v>
      </c>
      <c r="AY772" s="77"/>
      <c r="AZ772" s="82" t="s">
        <v>15804</v>
      </c>
      <c r="BA772" s="82" t="s">
        <v>15804</v>
      </c>
      <c r="BB772" s="82" t="s">
        <v>15804</v>
      </c>
      <c r="BC772" s="82" t="s">
        <v>12958</v>
      </c>
      <c r="BD772" s="82" t="s">
        <v>16263</v>
      </c>
      <c r="BE772" s="77"/>
      <c r="BF772" s="77"/>
      <c r="BG772" s="77"/>
      <c r="BH772" s="77"/>
      <c r="BI772" s="77"/>
    </row>
    <row r="773" spans="1:61" x14ac:dyDescent="0.25">
      <c r="A773" s="62" t="s">
        <v>473</v>
      </c>
      <c r="B773" s="62" t="s">
        <v>473</v>
      </c>
      <c r="C773" s="63"/>
      <c r="D773" s="64"/>
      <c r="E773" s="65"/>
      <c r="F773" s="66"/>
      <c r="G773" s="63"/>
      <c r="H773" s="67"/>
      <c r="I773" s="68"/>
      <c r="J773" s="68"/>
      <c r="K773" s="32"/>
      <c r="L773" s="75">
        <v>773</v>
      </c>
      <c r="M773" s="75"/>
      <c r="N773" s="70"/>
      <c r="O773" s="77" t="s">
        <v>179</v>
      </c>
      <c r="P773" s="79">
        <v>45114.704444444447</v>
      </c>
      <c r="Q773" s="77" t="s">
        <v>1872</v>
      </c>
      <c r="R773" s="77">
        <v>0</v>
      </c>
      <c r="S773" s="77">
        <v>0</v>
      </c>
      <c r="T773" s="77">
        <v>0</v>
      </c>
      <c r="U773" s="77">
        <v>0</v>
      </c>
      <c r="V773" s="77">
        <v>26</v>
      </c>
      <c r="W773" s="82" t="s">
        <v>4602</v>
      </c>
      <c r="X773" s="77"/>
      <c r="Y773" s="77"/>
      <c r="Z773" s="77"/>
      <c r="AA773" s="77" t="s">
        <v>6596</v>
      </c>
      <c r="AB773" s="77" t="s">
        <v>7700</v>
      </c>
      <c r="AC773" s="82" t="s">
        <v>7707</v>
      </c>
      <c r="AD773" s="77" t="s">
        <v>7745</v>
      </c>
      <c r="AE773" s="80" t="str">
        <f>HYPERLINK("https://twitter.com/twivitoriaregia/status/1677360426672168980")</f>
        <v>https://twitter.com/twivitoriaregia/status/1677360426672168980</v>
      </c>
      <c r="AF773" s="79">
        <v>45114.704444444447</v>
      </c>
      <c r="AG773" s="85">
        <v>45114</v>
      </c>
      <c r="AH773" s="82" t="s">
        <v>8450</v>
      </c>
      <c r="AI773" s="77" t="b">
        <v>0</v>
      </c>
      <c r="AJ773" s="77"/>
      <c r="AK773" s="77"/>
      <c r="AL773" s="77"/>
      <c r="AM773" s="77"/>
      <c r="AN773" s="77"/>
      <c r="AO773" s="77"/>
      <c r="AP773" s="77"/>
      <c r="AQ773" s="77" t="s">
        <v>11103</v>
      </c>
      <c r="AR773" s="77"/>
      <c r="AS773" s="77"/>
      <c r="AT773" s="77"/>
      <c r="AU773" s="77"/>
      <c r="AV773" s="80" t="str">
        <f>HYPERLINK("https://pbs.twimg.com/media/F0cuZXWXoBo7eJf.jpg")</f>
        <v>https://pbs.twimg.com/media/F0cuZXWXoBo7eJf.jpg</v>
      </c>
      <c r="AW773" s="82" t="s">
        <v>12959</v>
      </c>
      <c r="AX773" s="82" t="s">
        <v>12959</v>
      </c>
      <c r="AY773" s="77"/>
      <c r="AZ773" s="82" t="s">
        <v>15804</v>
      </c>
      <c r="BA773" s="82" t="s">
        <v>15804</v>
      </c>
      <c r="BB773" s="82" t="s">
        <v>15804</v>
      </c>
      <c r="BC773" s="82" t="s">
        <v>12959</v>
      </c>
      <c r="BD773" s="77">
        <v>88908961</v>
      </c>
      <c r="BE773" s="77"/>
      <c r="BF773" s="77"/>
      <c r="BG773" s="77"/>
      <c r="BH773" s="77"/>
      <c r="BI773" s="77"/>
    </row>
    <row r="774" spans="1:61" x14ac:dyDescent="0.25">
      <c r="A774" s="62" t="s">
        <v>474</v>
      </c>
      <c r="B774" s="62" t="s">
        <v>474</v>
      </c>
      <c r="C774" s="63"/>
      <c r="D774" s="64"/>
      <c r="E774" s="65"/>
      <c r="F774" s="66"/>
      <c r="G774" s="63"/>
      <c r="H774" s="67"/>
      <c r="I774" s="68"/>
      <c r="J774" s="68"/>
      <c r="K774" s="32"/>
      <c r="L774" s="75">
        <v>774</v>
      </c>
      <c r="M774" s="75"/>
      <c r="N774" s="70"/>
      <c r="O774" s="77" t="s">
        <v>1132</v>
      </c>
      <c r="P774" s="79">
        <v>45021.626863425925</v>
      </c>
      <c r="Q774" s="77" t="s">
        <v>1873</v>
      </c>
      <c r="R774" s="77">
        <v>0</v>
      </c>
      <c r="S774" s="77">
        <v>0</v>
      </c>
      <c r="T774" s="77">
        <v>0</v>
      </c>
      <c r="U774" s="77">
        <v>0</v>
      </c>
      <c r="V774" s="77">
        <v>15</v>
      </c>
      <c r="W774" s="82" t="s">
        <v>4603</v>
      </c>
      <c r="X774" s="77"/>
      <c r="Y774" s="77"/>
      <c r="Z774" s="77"/>
      <c r="AA774" s="77"/>
      <c r="AB774" s="77"/>
      <c r="AC774" s="82" t="s">
        <v>7706</v>
      </c>
      <c r="AD774" s="77" t="s">
        <v>7745</v>
      </c>
      <c r="AE774" s="80" t="str">
        <f>HYPERLINK("https://twitter.com/theholderinvest/status/1643630243700154368")</f>
        <v>https://twitter.com/theholderinvest/status/1643630243700154368</v>
      </c>
      <c r="AF774" s="79">
        <v>45021.626863425925</v>
      </c>
      <c r="AG774" s="85">
        <v>45021</v>
      </c>
      <c r="AH774" s="82" t="s">
        <v>8451</v>
      </c>
      <c r="AI774" s="77"/>
      <c r="AJ774" s="77"/>
      <c r="AK774" s="77"/>
      <c r="AL774" s="77"/>
      <c r="AM774" s="77"/>
      <c r="AN774" s="77"/>
      <c r="AO774" s="77"/>
      <c r="AP774" s="77"/>
      <c r="AQ774" s="77"/>
      <c r="AR774" s="77"/>
      <c r="AS774" s="77"/>
      <c r="AT774" s="77"/>
      <c r="AU774" s="77"/>
      <c r="AV774" s="80" t="str">
        <f>HYPERLINK("https://pbs.twimg.com/profile_images/1631826325387214849/5E1Z2Ozj_normal.jpg")</f>
        <v>https://pbs.twimg.com/profile_images/1631826325387214849/5E1Z2Ozj_normal.jpg</v>
      </c>
      <c r="AW774" s="82" t="s">
        <v>12960</v>
      </c>
      <c r="AX774" s="82" t="s">
        <v>15294</v>
      </c>
      <c r="AY774" s="82" t="s">
        <v>15717</v>
      </c>
      <c r="AZ774" s="82" t="s">
        <v>15856</v>
      </c>
      <c r="BA774" s="82" t="s">
        <v>15804</v>
      </c>
      <c r="BB774" s="82" t="s">
        <v>15804</v>
      </c>
      <c r="BC774" s="82" t="s">
        <v>15856</v>
      </c>
      <c r="BD774" s="77">
        <v>4848184300</v>
      </c>
      <c r="BE774" s="77"/>
      <c r="BF774" s="77"/>
      <c r="BG774" s="77"/>
      <c r="BH774" s="77"/>
      <c r="BI774" s="77"/>
    </row>
    <row r="775" spans="1:61" x14ac:dyDescent="0.25">
      <c r="A775" s="62" t="s">
        <v>475</v>
      </c>
      <c r="B775" s="62" t="s">
        <v>475</v>
      </c>
      <c r="C775" s="63"/>
      <c r="D775" s="64"/>
      <c r="E775" s="65"/>
      <c r="F775" s="66"/>
      <c r="G775" s="63"/>
      <c r="H775" s="67"/>
      <c r="I775" s="68"/>
      <c r="J775" s="68"/>
      <c r="K775" s="32"/>
      <c r="L775" s="75">
        <v>775</v>
      </c>
      <c r="M775" s="75"/>
      <c r="N775" s="70"/>
      <c r="O775" s="77" t="s">
        <v>1132</v>
      </c>
      <c r="P775" s="79">
        <v>44946.660624999997</v>
      </c>
      <c r="Q775" s="77" t="s">
        <v>1874</v>
      </c>
      <c r="R775" s="77">
        <v>0</v>
      </c>
      <c r="S775" s="77">
        <v>1</v>
      </c>
      <c r="T775" s="77">
        <v>0</v>
      </c>
      <c r="U775" s="77">
        <v>0</v>
      </c>
      <c r="V775" s="77">
        <v>37</v>
      </c>
      <c r="W775" s="82" t="s">
        <v>4080</v>
      </c>
      <c r="X775" s="77"/>
      <c r="Y775" s="77"/>
      <c r="Z775" s="77"/>
      <c r="AA775" s="77"/>
      <c r="AB775" s="77"/>
      <c r="AC775" s="82" t="s">
        <v>7705</v>
      </c>
      <c r="AD775" s="77" t="s">
        <v>7745</v>
      </c>
      <c r="AE775" s="80" t="str">
        <f>HYPERLINK("https://twitter.com/gutemberggjaa/status/1616463388284002309")</f>
        <v>https://twitter.com/gutemberggjaa/status/1616463388284002309</v>
      </c>
      <c r="AF775" s="79">
        <v>44946.660624999997</v>
      </c>
      <c r="AG775" s="85">
        <v>44946</v>
      </c>
      <c r="AH775" s="82" t="s">
        <v>8452</v>
      </c>
      <c r="AI775" s="77"/>
      <c r="AJ775" s="77" t="s">
        <v>10533</v>
      </c>
      <c r="AK775" s="77" t="s">
        <v>10552</v>
      </c>
      <c r="AL775" s="77" t="s">
        <v>10555</v>
      </c>
      <c r="AM775" s="77" t="s">
        <v>10570</v>
      </c>
      <c r="AN775" s="77" t="s">
        <v>10600</v>
      </c>
      <c r="AO775" s="77" t="s">
        <v>10631</v>
      </c>
      <c r="AP775" s="77" t="s">
        <v>10649</v>
      </c>
      <c r="AQ775" s="77"/>
      <c r="AR775" s="77"/>
      <c r="AS775" s="77"/>
      <c r="AT775" s="77"/>
      <c r="AU775" s="77"/>
      <c r="AV775" s="80" t="str">
        <f>HYPERLINK("https://pbs.twimg.com/profile_images/1614341017527779328/My8o5g31_normal.jpg")</f>
        <v>https://pbs.twimg.com/profile_images/1614341017527779328/My8o5g31_normal.jpg</v>
      </c>
      <c r="AW775" s="82" t="s">
        <v>12961</v>
      </c>
      <c r="AX775" s="82" t="s">
        <v>15295</v>
      </c>
      <c r="AY775" s="82" t="s">
        <v>15718</v>
      </c>
      <c r="AZ775" s="82" t="s">
        <v>15295</v>
      </c>
      <c r="BA775" s="82" t="s">
        <v>15804</v>
      </c>
      <c r="BB775" s="82" t="s">
        <v>15804</v>
      </c>
      <c r="BC775" s="82" t="s">
        <v>15295</v>
      </c>
      <c r="BD775" s="82" t="s">
        <v>15718</v>
      </c>
      <c r="BE775" s="77"/>
      <c r="BF775" s="77"/>
      <c r="BG775" s="77"/>
      <c r="BH775" s="77"/>
      <c r="BI775" s="77"/>
    </row>
    <row r="776" spans="1:61" x14ac:dyDescent="0.25">
      <c r="A776" s="62" t="s">
        <v>475</v>
      </c>
      <c r="B776" s="62" t="s">
        <v>475</v>
      </c>
      <c r="C776" s="63"/>
      <c r="D776" s="64"/>
      <c r="E776" s="65"/>
      <c r="F776" s="66"/>
      <c r="G776" s="63"/>
      <c r="H776" s="67"/>
      <c r="I776" s="68"/>
      <c r="J776" s="68"/>
      <c r="K776" s="32"/>
      <c r="L776" s="75">
        <v>776</v>
      </c>
      <c r="M776" s="75"/>
      <c r="N776" s="70"/>
      <c r="O776" s="77" t="s">
        <v>1132</v>
      </c>
      <c r="P776" s="79">
        <v>44945.834826388891</v>
      </c>
      <c r="Q776" s="77" t="s">
        <v>1875</v>
      </c>
      <c r="R776" s="77">
        <v>0</v>
      </c>
      <c r="S776" s="77">
        <v>1</v>
      </c>
      <c r="T776" s="77">
        <v>0</v>
      </c>
      <c r="U776" s="77">
        <v>0</v>
      </c>
      <c r="V776" s="77">
        <v>31</v>
      </c>
      <c r="W776" s="82" t="s">
        <v>4258</v>
      </c>
      <c r="X776" s="77"/>
      <c r="Y776" s="77"/>
      <c r="Z776" s="77"/>
      <c r="AA776" s="77"/>
      <c r="AB776" s="77"/>
      <c r="AC776" s="82" t="s">
        <v>7705</v>
      </c>
      <c r="AD776" s="77" t="s">
        <v>7745</v>
      </c>
      <c r="AE776" s="80" t="str">
        <f>HYPERLINK("https://twitter.com/gutemberggjaa/status/1616164127264718848")</f>
        <v>https://twitter.com/gutemberggjaa/status/1616164127264718848</v>
      </c>
      <c r="AF776" s="79">
        <v>44945.834826388891</v>
      </c>
      <c r="AG776" s="85">
        <v>44945</v>
      </c>
      <c r="AH776" s="82" t="s">
        <v>8453</v>
      </c>
      <c r="AI776" s="77"/>
      <c r="AJ776" s="77" t="s">
        <v>10533</v>
      </c>
      <c r="AK776" s="77" t="s">
        <v>10552</v>
      </c>
      <c r="AL776" s="77" t="s">
        <v>10555</v>
      </c>
      <c r="AM776" s="77" t="s">
        <v>10570</v>
      </c>
      <c r="AN776" s="77" t="s">
        <v>10600</v>
      </c>
      <c r="AO776" s="77" t="s">
        <v>10631</v>
      </c>
      <c r="AP776" s="77" t="s">
        <v>10649</v>
      </c>
      <c r="AQ776" s="77"/>
      <c r="AR776" s="77"/>
      <c r="AS776" s="77"/>
      <c r="AT776" s="77"/>
      <c r="AU776" s="77"/>
      <c r="AV776" s="80" t="str">
        <f>HYPERLINK("https://pbs.twimg.com/profile_images/1614341017527779328/My8o5g31_normal.jpg")</f>
        <v>https://pbs.twimg.com/profile_images/1614341017527779328/My8o5g31_normal.jpg</v>
      </c>
      <c r="AW776" s="82" t="s">
        <v>12962</v>
      </c>
      <c r="AX776" s="82" t="s">
        <v>15296</v>
      </c>
      <c r="AY776" s="82" t="s">
        <v>15718</v>
      </c>
      <c r="AZ776" s="82" t="s">
        <v>15857</v>
      </c>
      <c r="BA776" s="82" t="s">
        <v>15804</v>
      </c>
      <c r="BB776" s="82" t="s">
        <v>15804</v>
      </c>
      <c r="BC776" s="82" t="s">
        <v>15857</v>
      </c>
      <c r="BD776" s="82" t="s">
        <v>15718</v>
      </c>
      <c r="BE776" s="77"/>
      <c r="BF776" s="77"/>
      <c r="BG776" s="77"/>
      <c r="BH776" s="77"/>
      <c r="BI776" s="77"/>
    </row>
    <row r="777" spans="1:61" x14ac:dyDescent="0.25">
      <c r="A777" s="62" t="s">
        <v>476</v>
      </c>
      <c r="B777" s="62" t="s">
        <v>891</v>
      </c>
      <c r="C777" s="63"/>
      <c r="D777" s="64"/>
      <c r="E777" s="65"/>
      <c r="F777" s="66"/>
      <c r="G777" s="63"/>
      <c r="H777" s="67"/>
      <c r="I777" s="68"/>
      <c r="J777" s="68"/>
      <c r="K777" s="32"/>
      <c r="L777" s="75">
        <v>777</v>
      </c>
      <c r="M777" s="75"/>
      <c r="N777" s="70"/>
      <c r="O777" s="77" t="s">
        <v>1134</v>
      </c>
      <c r="P777" s="79">
        <v>45181.599780092591</v>
      </c>
      <c r="Q777" s="77" t="s">
        <v>1585</v>
      </c>
      <c r="R777" s="77">
        <v>4</v>
      </c>
      <c r="S777" s="77">
        <v>0</v>
      </c>
      <c r="T777" s="77">
        <v>0</v>
      </c>
      <c r="U777" s="77">
        <v>0</v>
      </c>
      <c r="V777" s="77"/>
      <c r="W777" s="77"/>
      <c r="X777" s="77"/>
      <c r="Y777" s="77"/>
      <c r="Z777" s="77" t="s">
        <v>891</v>
      </c>
      <c r="AA777" s="77"/>
      <c r="AB777" s="77"/>
      <c r="AC777" s="82" t="s">
        <v>7707</v>
      </c>
      <c r="AD777" s="77" t="s">
        <v>7745</v>
      </c>
      <c r="AE777" s="80" t="str">
        <f>HYPERLINK("https://twitter.com/andredesofia/status/1701602485151072579")</f>
        <v>https://twitter.com/andredesofia/status/1701602485151072579</v>
      </c>
      <c r="AF777" s="79">
        <v>45181.599780092591</v>
      </c>
      <c r="AG777" s="85">
        <v>45181</v>
      </c>
      <c r="AH777" s="82" t="s">
        <v>8454</v>
      </c>
      <c r="AI777" s="77"/>
      <c r="AJ777" s="77"/>
      <c r="AK777" s="77"/>
      <c r="AL777" s="77"/>
      <c r="AM777" s="77"/>
      <c r="AN777" s="77"/>
      <c r="AO777" s="77"/>
      <c r="AP777" s="77"/>
      <c r="AQ777" s="77"/>
      <c r="AR777" s="77"/>
      <c r="AS777" s="77"/>
      <c r="AT777" s="77"/>
      <c r="AU777" s="77"/>
      <c r="AV777" s="80" t="str">
        <f>HYPERLINK("https://pbs.twimg.com/profile_images/1695727163054415872/VKrYq2vj_normal.jpg")</f>
        <v>https://pbs.twimg.com/profile_images/1695727163054415872/VKrYq2vj_normal.jpg</v>
      </c>
      <c r="AW777" s="82" t="s">
        <v>12963</v>
      </c>
      <c r="AX777" s="82" t="s">
        <v>12963</v>
      </c>
      <c r="AY777" s="77"/>
      <c r="AZ777" s="82" t="s">
        <v>15804</v>
      </c>
      <c r="BA777" s="82" t="s">
        <v>15804</v>
      </c>
      <c r="BB777" s="82" t="s">
        <v>14428</v>
      </c>
      <c r="BC777" s="82" t="s">
        <v>14428</v>
      </c>
      <c r="BD777" s="82" t="s">
        <v>16264</v>
      </c>
      <c r="BE777" s="77"/>
      <c r="BF777" s="77"/>
      <c r="BG777" s="77"/>
      <c r="BH777" s="77"/>
      <c r="BI777" s="77"/>
    </row>
    <row r="778" spans="1:61" x14ac:dyDescent="0.25">
      <c r="A778" s="62" t="s">
        <v>477</v>
      </c>
      <c r="B778" s="62" t="s">
        <v>477</v>
      </c>
      <c r="C778" s="63"/>
      <c r="D778" s="64"/>
      <c r="E778" s="65"/>
      <c r="F778" s="66"/>
      <c r="G778" s="63"/>
      <c r="H778" s="67"/>
      <c r="I778" s="68"/>
      <c r="J778" s="68"/>
      <c r="K778" s="32"/>
      <c r="L778" s="75">
        <v>778</v>
      </c>
      <c r="M778" s="75"/>
      <c r="N778" s="70"/>
      <c r="O778" s="77" t="s">
        <v>179</v>
      </c>
      <c r="P778" s="79">
        <v>45175.616076388891</v>
      </c>
      <c r="Q778" s="77" t="s">
        <v>1876</v>
      </c>
      <c r="R778" s="77">
        <v>0</v>
      </c>
      <c r="S778" s="77">
        <v>0</v>
      </c>
      <c r="T778" s="77">
        <v>0</v>
      </c>
      <c r="U778" s="77">
        <v>1</v>
      </c>
      <c r="V778" s="77">
        <v>91</v>
      </c>
      <c r="W778" s="82" t="s">
        <v>4604</v>
      </c>
      <c r="X778" s="77"/>
      <c r="Y778" s="77"/>
      <c r="Z778" s="77"/>
      <c r="AA778" s="77"/>
      <c r="AB778" s="77"/>
      <c r="AC778" s="82" t="s">
        <v>7707</v>
      </c>
      <c r="AD778" s="77" t="s">
        <v>7745</v>
      </c>
      <c r="AE778" s="80" t="str">
        <f>HYPERLINK("https://twitter.com/originalsantt/status/1699434064007074201")</f>
        <v>https://twitter.com/originalsantt/status/1699434064007074201</v>
      </c>
      <c r="AF778" s="79">
        <v>45175.616076388891</v>
      </c>
      <c r="AG778" s="85">
        <v>45175</v>
      </c>
      <c r="AH778" s="82" t="s">
        <v>8455</v>
      </c>
      <c r="AI778" s="77"/>
      <c r="AJ778" s="77"/>
      <c r="AK778" s="77"/>
      <c r="AL778" s="77"/>
      <c r="AM778" s="77"/>
      <c r="AN778" s="77"/>
      <c r="AO778" s="77"/>
      <c r="AP778" s="77"/>
      <c r="AQ778" s="77"/>
      <c r="AR778" s="77"/>
      <c r="AS778" s="77"/>
      <c r="AT778" s="77"/>
      <c r="AU778" s="77"/>
      <c r="AV778" s="80" t="str">
        <f>HYPERLINK("https://pbs.twimg.com/profile_images/1693297786379182080/lKpDQcyo_normal.jpg")</f>
        <v>https://pbs.twimg.com/profile_images/1693297786379182080/lKpDQcyo_normal.jpg</v>
      </c>
      <c r="AW778" s="82" t="s">
        <v>12964</v>
      </c>
      <c r="AX778" s="82" t="s">
        <v>12964</v>
      </c>
      <c r="AY778" s="77"/>
      <c r="AZ778" s="82" t="s">
        <v>15804</v>
      </c>
      <c r="BA778" s="82" t="s">
        <v>15804</v>
      </c>
      <c r="BB778" s="82" t="s">
        <v>15804</v>
      </c>
      <c r="BC778" s="82" t="s">
        <v>12964</v>
      </c>
      <c r="BD778" s="82" t="s">
        <v>16265</v>
      </c>
      <c r="BE778" s="77"/>
      <c r="BF778" s="77"/>
      <c r="BG778" s="77"/>
      <c r="BH778" s="77"/>
      <c r="BI778" s="77"/>
    </row>
    <row r="779" spans="1:61" x14ac:dyDescent="0.25">
      <c r="A779" s="62" t="s">
        <v>478</v>
      </c>
      <c r="B779" s="62" t="s">
        <v>478</v>
      </c>
      <c r="C779" s="63"/>
      <c r="D779" s="64"/>
      <c r="E779" s="65"/>
      <c r="F779" s="66"/>
      <c r="G779" s="63"/>
      <c r="H779" s="67"/>
      <c r="I779" s="68"/>
      <c r="J779" s="68"/>
      <c r="K779" s="32"/>
      <c r="L779" s="75">
        <v>779</v>
      </c>
      <c r="M779" s="75"/>
      <c r="N779" s="70"/>
      <c r="O779" s="77" t="s">
        <v>179</v>
      </c>
      <c r="P779" s="79">
        <v>45017.51253472222</v>
      </c>
      <c r="Q779" s="77" t="s">
        <v>1877</v>
      </c>
      <c r="R779" s="77">
        <v>1</v>
      </c>
      <c r="S779" s="77">
        <v>1</v>
      </c>
      <c r="T779" s="77">
        <v>0</v>
      </c>
      <c r="U779" s="77">
        <v>0</v>
      </c>
      <c r="V779" s="77">
        <v>47</v>
      </c>
      <c r="W779" s="82" t="s">
        <v>4605</v>
      </c>
      <c r="X779" s="80" t="str">
        <f>HYPERLINK("https://optiondigital.webnode.page/")</f>
        <v>https://optiondigital.webnode.page/</v>
      </c>
      <c r="Y779" s="77" t="s">
        <v>6045</v>
      </c>
      <c r="Z779" s="77"/>
      <c r="AA779" s="77"/>
      <c r="AB779" s="77"/>
      <c r="AC779" s="82" t="s">
        <v>7707</v>
      </c>
      <c r="AD779" s="77" t="s">
        <v>7745</v>
      </c>
      <c r="AE779" s="80" t="str">
        <f>HYPERLINK("https://twitter.com/edsonderiv/status/1642139260684840961")</f>
        <v>https://twitter.com/edsonderiv/status/1642139260684840961</v>
      </c>
      <c r="AF779" s="79">
        <v>45017.51253472222</v>
      </c>
      <c r="AG779" s="85">
        <v>45017</v>
      </c>
      <c r="AH779" s="82" t="s">
        <v>8456</v>
      </c>
      <c r="AI779" s="77" t="b">
        <v>0</v>
      </c>
      <c r="AJ779" s="77"/>
      <c r="AK779" s="77"/>
      <c r="AL779" s="77"/>
      <c r="AM779" s="77"/>
      <c r="AN779" s="77"/>
      <c r="AO779" s="77"/>
      <c r="AP779" s="77"/>
      <c r="AQ779" s="77"/>
      <c r="AR779" s="77"/>
      <c r="AS779" s="77"/>
      <c r="AT779" s="77"/>
      <c r="AU779" s="77"/>
      <c r="AV779" s="80" t="str">
        <f>HYPERLINK("https://pbs.twimg.com/profile_images/1641559324974563330/WhHAId3b_normal.png")</f>
        <v>https://pbs.twimg.com/profile_images/1641559324974563330/WhHAId3b_normal.png</v>
      </c>
      <c r="AW779" s="82" t="s">
        <v>12965</v>
      </c>
      <c r="AX779" s="82" t="s">
        <v>12965</v>
      </c>
      <c r="AY779" s="77"/>
      <c r="AZ779" s="82" t="s">
        <v>15804</v>
      </c>
      <c r="BA779" s="82" t="s">
        <v>15804</v>
      </c>
      <c r="BB779" s="82" t="s">
        <v>15804</v>
      </c>
      <c r="BC779" s="82" t="s">
        <v>12965</v>
      </c>
      <c r="BD779" s="82" t="s">
        <v>16266</v>
      </c>
      <c r="BE779" s="77"/>
      <c r="BF779" s="77"/>
      <c r="BG779" s="77"/>
      <c r="BH779" s="77"/>
      <c r="BI779" s="77"/>
    </row>
    <row r="780" spans="1:61" x14ac:dyDescent="0.25">
      <c r="A780" s="62" t="s">
        <v>478</v>
      </c>
      <c r="B780" s="62" t="s">
        <v>478</v>
      </c>
      <c r="C780" s="63"/>
      <c r="D780" s="64"/>
      <c r="E780" s="65"/>
      <c r="F780" s="66"/>
      <c r="G780" s="63"/>
      <c r="H780" s="67"/>
      <c r="I780" s="68"/>
      <c r="J780" s="68"/>
      <c r="K780" s="32"/>
      <c r="L780" s="75">
        <v>780</v>
      </c>
      <c r="M780" s="75"/>
      <c r="N780" s="70"/>
      <c r="O780" s="77" t="s">
        <v>179</v>
      </c>
      <c r="P780" s="79">
        <v>45041.774756944447</v>
      </c>
      <c r="Q780" s="77" t="s">
        <v>1878</v>
      </c>
      <c r="R780" s="77">
        <v>0</v>
      </c>
      <c r="S780" s="77">
        <v>0</v>
      </c>
      <c r="T780" s="77">
        <v>0</v>
      </c>
      <c r="U780" s="77">
        <v>0</v>
      </c>
      <c r="V780" s="77">
        <v>60</v>
      </c>
      <c r="W780" s="82" t="s">
        <v>4605</v>
      </c>
      <c r="X780" s="80" t="str">
        <f>HYPERLINK("http://optiondigital.webnode.page")</f>
        <v>http://optiondigital.webnode.page</v>
      </c>
      <c r="Y780" s="77" t="s">
        <v>6045</v>
      </c>
      <c r="Z780" s="77"/>
      <c r="AA780" s="77" t="s">
        <v>6597</v>
      </c>
      <c r="AB780" s="77" t="s">
        <v>7696</v>
      </c>
      <c r="AC780" s="82" t="s">
        <v>7707</v>
      </c>
      <c r="AD780" s="77" t="s">
        <v>7745</v>
      </c>
      <c r="AE780" s="80" t="str">
        <f>HYPERLINK("https://twitter.com/edsonderiv/status/1650931595014971394")</f>
        <v>https://twitter.com/edsonderiv/status/1650931595014971394</v>
      </c>
      <c r="AF780" s="79">
        <v>45041.774756944447</v>
      </c>
      <c r="AG780" s="85">
        <v>45041</v>
      </c>
      <c r="AH780" s="82" t="s">
        <v>8457</v>
      </c>
      <c r="AI780" s="77" t="b">
        <v>0</v>
      </c>
      <c r="AJ780" s="77"/>
      <c r="AK780" s="77"/>
      <c r="AL780" s="77"/>
      <c r="AM780" s="77"/>
      <c r="AN780" s="77"/>
      <c r="AO780" s="77"/>
      <c r="AP780" s="77"/>
      <c r="AQ780" s="77" t="s">
        <v>11104</v>
      </c>
      <c r="AR780" s="77"/>
      <c r="AS780" s="77"/>
      <c r="AT780" s="77"/>
      <c r="AU780" s="77"/>
      <c r="AV780" s="80" t="str">
        <f>HYPERLINK("https://pbs.twimg.com/media/FulJiPoWIBIg-tH.jpg")</f>
        <v>https://pbs.twimg.com/media/FulJiPoWIBIg-tH.jpg</v>
      </c>
      <c r="AW780" s="82" t="s">
        <v>12966</v>
      </c>
      <c r="AX780" s="82" t="s">
        <v>12966</v>
      </c>
      <c r="AY780" s="77"/>
      <c r="AZ780" s="82" t="s">
        <v>15804</v>
      </c>
      <c r="BA780" s="82" t="s">
        <v>15804</v>
      </c>
      <c r="BB780" s="82" t="s">
        <v>15804</v>
      </c>
      <c r="BC780" s="82" t="s">
        <v>12966</v>
      </c>
      <c r="BD780" s="82" t="s">
        <v>16266</v>
      </c>
      <c r="BE780" s="77"/>
      <c r="BF780" s="77"/>
      <c r="BG780" s="77"/>
      <c r="BH780" s="77"/>
      <c r="BI780" s="77"/>
    </row>
    <row r="781" spans="1:61" x14ac:dyDescent="0.25">
      <c r="A781" s="62" t="s">
        <v>478</v>
      </c>
      <c r="B781" s="62" t="s">
        <v>478</v>
      </c>
      <c r="C781" s="63"/>
      <c r="D781" s="64"/>
      <c r="E781" s="65"/>
      <c r="F781" s="66"/>
      <c r="G781" s="63"/>
      <c r="H781" s="67"/>
      <c r="I781" s="68"/>
      <c r="J781" s="68"/>
      <c r="K781" s="32"/>
      <c r="L781" s="75">
        <v>781</v>
      </c>
      <c r="M781" s="75"/>
      <c r="N781" s="70"/>
      <c r="O781" s="77" t="s">
        <v>179</v>
      </c>
      <c r="P781" s="79">
        <v>45100.953750000001</v>
      </c>
      <c r="Q781" s="77" t="s">
        <v>1879</v>
      </c>
      <c r="R781" s="77">
        <v>0</v>
      </c>
      <c r="S781" s="77">
        <v>0</v>
      </c>
      <c r="T781" s="77">
        <v>0</v>
      </c>
      <c r="U781" s="77">
        <v>0</v>
      </c>
      <c r="V781" s="77">
        <v>100</v>
      </c>
      <c r="W781" s="82" t="s">
        <v>4606</v>
      </c>
      <c r="X781" s="80" t="str">
        <f>HYPERLINK("https://afiliados72.webnode.page")</f>
        <v>https://afiliados72.webnode.page</v>
      </c>
      <c r="Y781" s="77" t="s">
        <v>6045</v>
      </c>
      <c r="Z781" s="77"/>
      <c r="AA781" s="77" t="s">
        <v>6598</v>
      </c>
      <c r="AB781" s="77" t="s">
        <v>7697</v>
      </c>
      <c r="AC781" s="82" t="s">
        <v>7707</v>
      </c>
      <c r="AD781" s="77" t="s">
        <v>7745</v>
      </c>
      <c r="AE781" s="80" t="str">
        <f>HYPERLINK("https://twitter.com/edsonderiv/status/1672377342256197632")</f>
        <v>https://twitter.com/edsonderiv/status/1672377342256197632</v>
      </c>
      <c r="AF781" s="79">
        <v>45100.953750000001</v>
      </c>
      <c r="AG781" s="85">
        <v>45100</v>
      </c>
      <c r="AH781" s="82" t="s">
        <v>8458</v>
      </c>
      <c r="AI781" s="77" t="b">
        <v>0</v>
      </c>
      <c r="AJ781" s="77"/>
      <c r="AK781" s="77"/>
      <c r="AL781" s="77"/>
      <c r="AM781" s="77"/>
      <c r="AN781" s="77"/>
      <c r="AO781" s="77"/>
      <c r="AP781" s="77"/>
      <c r="AQ781" s="77" t="s">
        <v>11105</v>
      </c>
      <c r="AR781" s="77">
        <v>44978</v>
      </c>
      <c r="AS781" s="77"/>
      <c r="AT781" s="77"/>
      <c r="AU781" s="77">
        <v>28</v>
      </c>
      <c r="AV781" s="80" t="str">
        <f>HYPERLINK("https://pbs.twimg.com/ext_tw_video_thumb/1672377150672969729/pu/img/B3FJRdeco3RQ7beW.jpg")</f>
        <v>https://pbs.twimg.com/ext_tw_video_thumb/1672377150672969729/pu/img/B3FJRdeco3RQ7beW.jpg</v>
      </c>
      <c r="AW781" s="82" t="s">
        <v>12967</v>
      </c>
      <c r="AX781" s="82" t="s">
        <v>12967</v>
      </c>
      <c r="AY781" s="77"/>
      <c r="AZ781" s="82" t="s">
        <v>15804</v>
      </c>
      <c r="BA781" s="82" t="s">
        <v>15804</v>
      </c>
      <c r="BB781" s="82" t="s">
        <v>15804</v>
      </c>
      <c r="BC781" s="82" t="s">
        <v>12967</v>
      </c>
      <c r="BD781" s="82" t="s">
        <v>16266</v>
      </c>
      <c r="BE781" s="77"/>
      <c r="BF781" s="77"/>
      <c r="BG781" s="77"/>
      <c r="BH781" s="77"/>
      <c r="BI781" s="77"/>
    </row>
    <row r="782" spans="1:61" x14ac:dyDescent="0.25">
      <c r="A782" s="62" t="s">
        <v>479</v>
      </c>
      <c r="B782" s="62" t="s">
        <v>479</v>
      </c>
      <c r="C782" s="63"/>
      <c r="D782" s="64"/>
      <c r="E782" s="65"/>
      <c r="F782" s="66"/>
      <c r="G782" s="63"/>
      <c r="H782" s="67"/>
      <c r="I782" s="68"/>
      <c r="J782" s="68"/>
      <c r="K782" s="32"/>
      <c r="L782" s="75">
        <v>782</v>
      </c>
      <c r="M782" s="75"/>
      <c r="N782" s="70"/>
      <c r="O782" s="77" t="s">
        <v>179</v>
      </c>
      <c r="P782" s="79">
        <v>45140.792604166665</v>
      </c>
      <c r="Q782" s="77" t="s">
        <v>1880</v>
      </c>
      <c r="R782" s="77">
        <v>0</v>
      </c>
      <c r="S782" s="77">
        <v>0</v>
      </c>
      <c r="T782" s="77">
        <v>0</v>
      </c>
      <c r="U782" s="77">
        <v>0</v>
      </c>
      <c r="V782" s="77">
        <v>19</v>
      </c>
      <c r="W782" s="82" t="s">
        <v>4607</v>
      </c>
      <c r="X782" s="80" t="str">
        <f>HYPERLINK("https://acesse.one/Bem-vindo")</f>
        <v>https://acesse.one/Bem-vindo</v>
      </c>
      <c r="Y782" s="77" t="s">
        <v>6046</v>
      </c>
      <c r="Z782" s="77"/>
      <c r="AA782" s="77" t="s">
        <v>6599</v>
      </c>
      <c r="AB782" s="77" t="s">
        <v>7696</v>
      </c>
      <c r="AC782" s="82" t="s">
        <v>7705</v>
      </c>
      <c r="AD782" s="77" t="s">
        <v>7745</v>
      </c>
      <c r="AE782" s="80" t="str">
        <f>HYPERLINK("https://twitter.com/jornadacapital/status/1686814461812686854")</f>
        <v>https://twitter.com/jornadacapital/status/1686814461812686854</v>
      </c>
      <c r="AF782" s="79">
        <v>45140.792604166665</v>
      </c>
      <c r="AG782" s="85">
        <v>45140</v>
      </c>
      <c r="AH782" s="82" t="s">
        <v>8459</v>
      </c>
      <c r="AI782" s="77" t="b">
        <v>0</v>
      </c>
      <c r="AJ782" s="77"/>
      <c r="AK782" s="77"/>
      <c r="AL782" s="77"/>
      <c r="AM782" s="77"/>
      <c r="AN782" s="77"/>
      <c r="AO782" s="77"/>
      <c r="AP782" s="77"/>
      <c r="AQ782" s="77" t="s">
        <v>11106</v>
      </c>
      <c r="AR782" s="77"/>
      <c r="AS782" s="77"/>
      <c r="AT782" s="77"/>
      <c r="AU782" s="77"/>
      <c r="AV782" s="80" t="str">
        <f>HYPERLINK("https://pbs.twimg.com/media/F2jE0A-XoAAumKX.jpg")</f>
        <v>https://pbs.twimg.com/media/F2jE0A-XoAAumKX.jpg</v>
      </c>
      <c r="AW782" s="82" t="s">
        <v>12968</v>
      </c>
      <c r="AX782" s="82" t="s">
        <v>12968</v>
      </c>
      <c r="AY782" s="77"/>
      <c r="AZ782" s="82" t="s">
        <v>15804</v>
      </c>
      <c r="BA782" s="82" t="s">
        <v>15804</v>
      </c>
      <c r="BB782" s="82" t="s">
        <v>15804</v>
      </c>
      <c r="BC782" s="82" t="s">
        <v>12968</v>
      </c>
      <c r="BD782" s="82" t="s">
        <v>16267</v>
      </c>
      <c r="BE782" s="77"/>
      <c r="BF782" s="77"/>
      <c r="BG782" s="77"/>
      <c r="BH782" s="77"/>
      <c r="BI782" s="77"/>
    </row>
    <row r="783" spans="1:61" x14ac:dyDescent="0.25">
      <c r="A783" s="62" t="s">
        <v>480</v>
      </c>
      <c r="B783" s="62" t="s">
        <v>480</v>
      </c>
      <c r="C783" s="63"/>
      <c r="D783" s="64"/>
      <c r="E783" s="65"/>
      <c r="F783" s="66"/>
      <c r="G783" s="63"/>
      <c r="H783" s="67"/>
      <c r="I783" s="68"/>
      <c r="J783" s="68"/>
      <c r="K783" s="32"/>
      <c r="L783" s="75">
        <v>783</v>
      </c>
      <c r="M783" s="75"/>
      <c r="N783" s="70"/>
      <c r="O783" s="77" t="s">
        <v>179</v>
      </c>
      <c r="P783" s="79">
        <v>45108.437824074077</v>
      </c>
      <c r="Q783" s="77" t="s">
        <v>1881</v>
      </c>
      <c r="R783" s="77">
        <v>0</v>
      </c>
      <c r="S783" s="77">
        <v>2</v>
      </c>
      <c r="T783" s="77">
        <v>0</v>
      </c>
      <c r="U783" s="77">
        <v>0</v>
      </c>
      <c r="V783" s="77">
        <v>32</v>
      </c>
      <c r="W783" s="82" t="s">
        <v>4608</v>
      </c>
      <c r="X783" s="80" t="str">
        <f>HYPERLINK("https://amzn.to/3JF3Efp")</f>
        <v>https://amzn.to/3JF3Efp</v>
      </c>
      <c r="Y783" s="77" t="s">
        <v>6043</v>
      </c>
      <c r="Z783" s="77"/>
      <c r="AA783" s="77"/>
      <c r="AB783" s="77"/>
      <c r="AC783" s="82" t="s">
        <v>7706</v>
      </c>
      <c r="AD783" s="77" t="s">
        <v>7745</v>
      </c>
      <c r="AE783" s="80" t="str">
        <f>HYPERLINK("https://twitter.com/tocadoslivrosbr/status/1675089479260942338")</f>
        <v>https://twitter.com/tocadoslivrosbr/status/1675089479260942338</v>
      </c>
      <c r="AF783" s="79">
        <v>45108.437824074077</v>
      </c>
      <c r="AG783" s="85">
        <v>45108</v>
      </c>
      <c r="AH783" s="82" t="s">
        <v>8460</v>
      </c>
      <c r="AI783" s="77" t="b">
        <v>0</v>
      </c>
      <c r="AJ783" s="77"/>
      <c r="AK783" s="77"/>
      <c r="AL783" s="77"/>
      <c r="AM783" s="77"/>
      <c r="AN783" s="77"/>
      <c r="AO783" s="77"/>
      <c r="AP783" s="77"/>
      <c r="AQ783" s="77"/>
      <c r="AR783" s="77"/>
      <c r="AS783" s="77"/>
      <c r="AT783" s="77"/>
      <c r="AU783" s="77"/>
      <c r="AV783" s="80" t="str">
        <f>HYPERLINK("https://pbs.twimg.com/profile_images/1567810440901558276/qcb3sIym_normal.jpg")</f>
        <v>https://pbs.twimg.com/profile_images/1567810440901558276/qcb3sIym_normal.jpg</v>
      </c>
      <c r="AW783" s="82" t="s">
        <v>12969</v>
      </c>
      <c r="AX783" s="82" t="s">
        <v>12969</v>
      </c>
      <c r="AY783" s="77"/>
      <c r="AZ783" s="82" t="s">
        <v>15804</v>
      </c>
      <c r="BA783" s="82" t="s">
        <v>15804</v>
      </c>
      <c r="BB783" s="82" t="s">
        <v>15804</v>
      </c>
      <c r="BC783" s="82" t="s">
        <v>12969</v>
      </c>
      <c r="BD783" s="82" t="s">
        <v>16268</v>
      </c>
      <c r="BE783" s="77"/>
      <c r="BF783" s="77"/>
      <c r="BG783" s="77"/>
      <c r="BH783" s="77"/>
      <c r="BI783" s="77"/>
    </row>
    <row r="784" spans="1:61" x14ac:dyDescent="0.25">
      <c r="A784" s="62" t="s">
        <v>481</v>
      </c>
      <c r="B784" s="62" t="s">
        <v>481</v>
      </c>
      <c r="C784" s="63"/>
      <c r="D784" s="64"/>
      <c r="E784" s="65"/>
      <c r="F784" s="66"/>
      <c r="G784" s="63"/>
      <c r="H784" s="67"/>
      <c r="I784" s="68"/>
      <c r="J784" s="68"/>
      <c r="K784" s="32"/>
      <c r="L784" s="75">
        <v>784</v>
      </c>
      <c r="M784" s="75"/>
      <c r="N784" s="70"/>
      <c r="O784" s="77" t="s">
        <v>179</v>
      </c>
      <c r="P784" s="79">
        <v>45144.891712962963</v>
      </c>
      <c r="Q784" s="77" t="s">
        <v>1882</v>
      </c>
      <c r="R784" s="77">
        <v>0</v>
      </c>
      <c r="S784" s="77">
        <v>0</v>
      </c>
      <c r="T784" s="77">
        <v>0</v>
      </c>
      <c r="U784" s="77">
        <v>0</v>
      </c>
      <c r="V784" s="77">
        <v>11</v>
      </c>
      <c r="W784" s="82" t="s">
        <v>4609</v>
      </c>
      <c r="X784" s="77"/>
      <c r="Y784" s="77"/>
      <c r="Z784" s="77"/>
      <c r="AA784" s="77" t="s">
        <v>6600</v>
      </c>
      <c r="AB784" s="77" t="s">
        <v>7696</v>
      </c>
      <c r="AC784" s="82" t="s">
        <v>7706</v>
      </c>
      <c r="AD784" s="77" t="s">
        <v>7745</v>
      </c>
      <c r="AE784" s="80" t="str">
        <f>HYPERLINK("https://twitter.com/editmaisamigos/status/1688299926520762368")</f>
        <v>https://twitter.com/editmaisamigos/status/1688299926520762368</v>
      </c>
      <c r="AF784" s="79">
        <v>45144.891712962963</v>
      </c>
      <c r="AG784" s="85">
        <v>45144</v>
      </c>
      <c r="AH784" s="82" t="s">
        <v>8461</v>
      </c>
      <c r="AI784" s="77" t="b">
        <v>0</v>
      </c>
      <c r="AJ784" s="77"/>
      <c r="AK784" s="77"/>
      <c r="AL784" s="77"/>
      <c r="AM784" s="77"/>
      <c r="AN784" s="77"/>
      <c r="AO784" s="77"/>
      <c r="AP784" s="77"/>
      <c r="AQ784" s="77" t="s">
        <v>11107</v>
      </c>
      <c r="AR784" s="77"/>
      <c r="AS784" s="77"/>
      <c r="AT784" s="77"/>
      <c r="AU784" s="77"/>
      <c r="AV784" s="80" t="str">
        <f>HYPERLINK("https://pbs.twimg.com/media/F24LrHaX0AELI6-.jpg")</f>
        <v>https://pbs.twimg.com/media/F24LrHaX0AELI6-.jpg</v>
      </c>
      <c r="AW784" s="82" t="s">
        <v>12970</v>
      </c>
      <c r="AX784" s="82" t="s">
        <v>12970</v>
      </c>
      <c r="AY784" s="77"/>
      <c r="AZ784" s="82" t="s">
        <v>15804</v>
      </c>
      <c r="BA784" s="82" t="s">
        <v>15804</v>
      </c>
      <c r="BB784" s="82" t="s">
        <v>15804</v>
      </c>
      <c r="BC784" s="82" t="s">
        <v>12970</v>
      </c>
      <c r="BD784" s="82" t="s">
        <v>16269</v>
      </c>
      <c r="BE784" s="77"/>
      <c r="BF784" s="77"/>
      <c r="BG784" s="77"/>
      <c r="BH784" s="77"/>
      <c r="BI784" s="77"/>
    </row>
    <row r="785" spans="1:61" x14ac:dyDescent="0.25">
      <c r="A785" s="62" t="s">
        <v>482</v>
      </c>
      <c r="B785" s="62" t="s">
        <v>482</v>
      </c>
      <c r="C785" s="63"/>
      <c r="D785" s="64"/>
      <c r="E785" s="65"/>
      <c r="F785" s="66"/>
      <c r="G785" s="63"/>
      <c r="H785" s="67"/>
      <c r="I785" s="68"/>
      <c r="J785" s="68"/>
      <c r="K785" s="32"/>
      <c r="L785" s="75">
        <v>785</v>
      </c>
      <c r="M785" s="75"/>
      <c r="N785" s="70"/>
      <c r="O785" s="77" t="s">
        <v>179</v>
      </c>
      <c r="P785" s="79">
        <v>45080.764768518522</v>
      </c>
      <c r="Q785" s="77" t="s">
        <v>1883</v>
      </c>
      <c r="R785" s="77">
        <v>0</v>
      </c>
      <c r="S785" s="77">
        <v>0</v>
      </c>
      <c r="T785" s="77">
        <v>0</v>
      </c>
      <c r="U785" s="77">
        <v>0</v>
      </c>
      <c r="V785" s="77">
        <v>4</v>
      </c>
      <c r="W785" s="82" t="s">
        <v>4610</v>
      </c>
      <c r="X785" s="80" t="str">
        <f>HYPERLINK("https://lnkd.in/dii_x9ux")</f>
        <v>https://lnkd.in/dii_x9ux</v>
      </c>
      <c r="Y785" s="77" t="s">
        <v>6014</v>
      </c>
      <c r="Z785" s="77"/>
      <c r="AA785" s="77"/>
      <c r="AB785" s="77"/>
      <c r="AC785" s="82" t="s">
        <v>7720</v>
      </c>
      <c r="AD785" s="77" t="s">
        <v>7745</v>
      </c>
      <c r="AE785" s="80" t="str">
        <f>HYPERLINK("https://twitter.com/devairrocha/status/1665061100910510081")</f>
        <v>https://twitter.com/devairrocha/status/1665061100910510081</v>
      </c>
      <c r="AF785" s="79">
        <v>45080.764768518522</v>
      </c>
      <c r="AG785" s="85">
        <v>45080</v>
      </c>
      <c r="AH785" s="82" t="s">
        <v>8462</v>
      </c>
      <c r="AI785" s="77" t="b">
        <v>0</v>
      </c>
      <c r="AJ785" s="77"/>
      <c r="AK785" s="77"/>
      <c r="AL785" s="77"/>
      <c r="AM785" s="77"/>
      <c r="AN785" s="77"/>
      <c r="AO785" s="77"/>
      <c r="AP785" s="77"/>
      <c r="AQ785" s="77"/>
      <c r="AR785" s="77"/>
      <c r="AS785" s="77"/>
      <c r="AT785" s="77"/>
      <c r="AU785" s="77"/>
      <c r="AV785" s="80" t="str">
        <f>HYPERLINK("https://pbs.twimg.com/profile_images/1611006034818236418/Rh-VKoKG_normal.jpg")</f>
        <v>https://pbs.twimg.com/profile_images/1611006034818236418/Rh-VKoKG_normal.jpg</v>
      </c>
      <c r="AW785" s="82" t="s">
        <v>12971</v>
      </c>
      <c r="AX785" s="82" t="s">
        <v>12971</v>
      </c>
      <c r="AY785" s="77"/>
      <c r="AZ785" s="82" t="s">
        <v>15804</v>
      </c>
      <c r="BA785" s="82" t="s">
        <v>15804</v>
      </c>
      <c r="BB785" s="82" t="s">
        <v>15804</v>
      </c>
      <c r="BC785" s="82" t="s">
        <v>12971</v>
      </c>
      <c r="BD785" s="82" t="s">
        <v>16270</v>
      </c>
      <c r="BE785" s="77"/>
      <c r="BF785" s="77"/>
      <c r="BG785" s="77"/>
      <c r="BH785" s="77"/>
      <c r="BI785" s="77"/>
    </row>
    <row r="786" spans="1:61" x14ac:dyDescent="0.25">
      <c r="A786" s="62" t="s">
        <v>482</v>
      </c>
      <c r="B786" s="62" t="s">
        <v>482</v>
      </c>
      <c r="C786" s="63"/>
      <c r="D786" s="64"/>
      <c r="E786" s="65"/>
      <c r="F786" s="66"/>
      <c r="G786" s="63"/>
      <c r="H786" s="67"/>
      <c r="I786" s="68"/>
      <c r="J786" s="68"/>
      <c r="K786" s="32"/>
      <c r="L786" s="75">
        <v>786</v>
      </c>
      <c r="M786" s="75"/>
      <c r="N786" s="70"/>
      <c r="O786" s="77" t="s">
        <v>179</v>
      </c>
      <c r="P786" s="79">
        <v>45079.483981481484</v>
      </c>
      <c r="Q786" s="77" t="s">
        <v>1884</v>
      </c>
      <c r="R786" s="77">
        <v>0</v>
      </c>
      <c r="S786" s="77">
        <v>0</v>
      </c>
      <c r="T786" s="77">
        <v>0</v>
      </c>
      <c r="U786" s="77">
        <v>0</v>
      </c>
      <c r="V786" s="77">
        <v>4</v>
      </c>
      <c r="W786" s="82" t="s">
        <v>4611</v>
      </c>
      <c r="X786" s="80" t="str">
        <f>HYPERLINK("https://lnkd.in/d3uSkrxN")</f>
        <v>https://lnkd.in/d3uSkrxN</v>
      </c>
      <c r="Y786" s="77" t="s">
        <v>6014</v>
      </c>
      <c r="Z786" s="77"/>
      <c r="AA786" s="77"/>
      <c r="AB786" s="77"/>
      <c r="AC786" s="82" t="s">
        <v>7720</v>
      </c>
      <c r="AD786" s="77" t="s">
        <v>7745</v>
      </c>
      <c r="AE786" s="80" t="str">
        <f>HYPERLINK("https://twitter.com/devairrocha/status/1664596957543669761")</f>
        <v>https://twitter.com/devairrocha/status/1664596957543669761</v>
      </c>
      <c r="AF786" s="79">
        <v>45079.483981481484</v>
      </c>
      <c r="AG786" s="85">
        <v>45079</v>
      </c>
      <c r="AH786" s="82" t="s">
        <v>8463</v>
      </c>
      <c r="AI786" s="77" t="b">
        <v>0</v>
      </c>
      <c r="AJ786" s="77"/>
      <c r="AK786" s="77"/>
      <c r="AL786" s="77"/>
      <c r="AM786" s="77"/>
      <c r="AN786" s="77"/>
      <c r="AO786" s="77"/>
      <c r="AP786" s="77"/>
      <c r="AQ786" s="77"/>
      <c r="AR786" s="77"/>
      <c r="AS786" s="77"/>
      <c r="AT786" s="77"/>
      <c r="AU786" s="77"/>
      <c r="AV786" s="80" t="str">
        <f>HYPERLINK("https://pbs.twimg.com/profile_images/1611006034818236418/Rh-VKoKG_normal.jpg")</f>
        <v>https://pbs.twimg.com/profile_images/1611006034818236418/Rh-VKoKG_normal.jpg</v>
      </c>
      <c r="AW786" s="82" t="s">
        <v>12972</v>
      </c>
      <c r="AX786" s="82" t="s">
        <v>12972</v>
      </c>
      <c r="AY786" s="77"/>
      <c r="AZ786" s="82" t="s">
        <v>15804</v>
      </c>
      <c r="BA786" s="82" t="s">
        <v>15804</v>
      </c>
      <c r="BB786" s="82" t="s">
        <v>15804</v>
      </c>
      <c r="BC786" s="82" t="s">
        <v>12972</v>
      </c>
      <c r="BD786" s="82" t="s">
        <v>16270</v>
      </c>
      <c r="BE786" s="77"/>
      <c r="BF786" s="77"/>
      <c r="BG786" s="77"/>
      <c r="BH786" s="77"/>
      <c r="BI786" s="77"/>
    </row>
    <row r="787" spans="1:61" x14ac:dyDescent="0.25">
      <c r="A787" s="62" t="s">
        <v>483</v>
      </c>
      <c r="B787" s="62" t="s">
        <v>483</v>
      </c>
      <c r="C787" s="63"/>
      <c r="D787" s="64"/>
      <c r="E787" s="65"/>
      <c r="F787" s="66"/>
      <c r="G787" s="63"/>
      <c r="H787" s="67"/>
      <c r="I787" s="68"/>
      <c r="J787" s="68"/>
      <c r="K787" s="32"/>
      <c r="L787" s="75">
        <v>787</v>
      </c>
      <c r="M787" s="75"/>
      <c r="N787" s="70"/>
      <c r="O787" s="77" t="s">
        <v>179</v>
      </c>
      <c r="P787" s="79">
        <v>45028.757222222222</v>
      </c>
      <c r="Q787" s="77" t="s">
        <v>1885</v>
      </c>
      <c r="R787" s="77">
        <v>0</v>
      </c>
      <c r="S787" s="77">
        <v>0</v>
      </c>
      <c r="T787" s="77">
        <v>0</v>
      </c>
      <c r="U787" s="77">
        <v>0</v>
      </c>
      <c r="V787" s="77">
        <v>8</v>
      </c>
      <c r="W787" s="82" t="s">
        <v>4612</v>
      </c>
      <c r="X787" s="77"/>
      <c r="Y787" s="77"/>
      <c r="Z787" s="77"/>
      <c r="AA787" s="77" t="s">
        <v>6601</v>
      </c>
      <c r="AB787" s="77" t="s">
        <v>7696</v>
      </c>
      <c r="AC787" s="82" t="s">
        <v>7724</v>
      </c>
      <c r="AD787" s="77" t="s">
        <v>7745</v>
      </c>
      <c r="AE787" s="80" t="str">
        <f>HYPERLINK("https://twitter.com/ttorres_oficial/status/1646214198534209563")</f>
        <v>https://twitter.com/ttorres_oficial/status/1646214198534209563</v>
      </c>
      <c r="AF787" s="79">
        <v>45028.757222222222</v>
      </c>
      <c r="AG787" s="85">
        <v>45028</v>
      </c>
      <c r="AH787" s="82" t="s">
        <v>8464</v>
      </c>
      <c r="AI787" s="77" t="b">
        <v>0</v>
      </c>
      <c r="AJ787" s="77"/>
      <c r="AK787" s="77"/>
      <c r="AL787" s="77"/>
      <c r="AM787" s="77"/>
      <c r="AN787" s="77"/>
      <c r="AO787" s="77"/>
      <c r="AP787" s="77"/>
      <c r="AQ787" s="77" t="s">
        <v>11108</v>
      </c>
      <c r="AR787" s="77"/>
      <c r="AS787" s="77"/>
      <c r="AT787" s="77"/>
      <c r="AU787" s="77"/>
      <c r="AV787" s="80" t="str">
        <f>HYPERLINK("https://pbs.twimg.com/media/FtiHFtNWABAHZmG.jpg")</f>
        <v>https://pbs.twimg.com/media/FtiHFtNWABAHZmG.jpg</v>
      </c>
      <c r="AW787" s="82" t="s">
        <v>12973</v>
      </c>
      <c r="AX787" s="82" t="s">
        <v>12973</v>
      </c>
      <c r="AY787" s="77"/>
      <c r="AZ787" s="82" t="s">
        <v>15804</v>
      </c>
      <c r="BA787" s="82" t="s">
        <v>15804</v>
      </c>
      <c r="BB787" s="82" t="s">
        <v>15804</v>
      </c>
      <c r="BC787" s="82" t="s">
        <v>12973</v>
      </c>
      <c r="BD787" s="82" t="s">
        <v>16271</v>
      </c>
      <c r="BE787" s="77"/>
      <c r="BF787" s="77"/>
      <c r="BG787" s="77"/>
      <c r="BH787" s="77"/>
      <c r="BI787" s="77"/>
    </row>
    <row r="788" spans="1:61" x14ac:dyDescent="0.25">
      <c r="A788" s="62" t="s">
        <v>484</v>
      </c>
      <c r="B788" s="62" t="s">
        <v>484</v>
      </c>
      <c r="C788" s="63"/>
      <c r="D788" s="64"/>
      <c r="E788" s="65"/>
      <c r="F788" s="66"/>
      <c r="G788" s="63"/>
      <c r="H788" s="67"/>
      <c r="I788" s="68"/>
      <c r="J788" s="68"/>
      <c r="K788" s="32"/>
      <c r="L788" s="75">
        <v>788</v>
      </c>
      <c r="M788" s="75"/>
      <c r="N788" s="70"/>
      <c r="O788" s="77" t="s">
        <v>179</v>
      </c>
      <c r="P788" s="79">
        <v>44962.505173611113</v>
      </c>
      <c r="Q788" s="77" t="s">
        <v>1886</v>
      </c>
      <c r="R788" s="77">
        <v>0</v>
      </c>
      <c r="S788" s="77">
        <v>0</v>
      </c>
      <c r="T788" s="77">
        <v>0</v>
      </c>
      <c r="U788" s="77">
        <v>0</v>
      </c>
      <c r="V788" s="77">
        <v>11</v>
      </c>
      <c r="W788" s="82" t="s">
        <v>4613</v>
      </c>
      <c r="X788" s="77"/>
      <c r="Y788" s="77"/>
      <c r="Z788" s="77"/>
      <c r="AA788" s="77"/>
      <c r="AB788" s="77"/>
      <c r="AC788" s="82" t="s">
        <v>7706</v>
      </c>
      <c r="AD788" s="77" t="s">
        <v>7745</v>
      </c>
      <c r="AE788" s="80" t="str">
        <f>HYPERLINK("https://twitter.com/maikonweber1/status/1622205257571778561")</f>
        <v>https://twitter.com/maikonweber1/status/1622205257571778561</v>
      </c>
      <c r="AF788" s="79">
        <v>44962.505173611113</v>
      </c>
      <c r="AG788" s="85">
        <v>44962</v>
      </c>
      <c r="AH788" s="82" t="s">
        <v>8465</v>
      </c>
      <c r="AI788" s="77"/>
      <c r="AJ788" s="77"/>
      <c r="AK788" s="77"/>
      <c r="AL788" s="77"/>
      <c r="AM788" s="77"/>
      <c r="AN788" s="77"/>
      <c r="AO788" s="77"/>
      <c r="AP788" s="77"/>
      <c r="AQ788" s="77"/>
      <c r="AR788" s="77"/>
      <c r="AS788" s="77"/>
      <c r="AT788" s="77"/>
      <c r="AU788" s="77"/>
      <c r="AV788" s="80" t="str">
        <f>HYPERLINK("https://pbs.twimg.com/profile_images/1698562168063483904/satrc1PI_normal.jpg")</f>
        <v>https://pbs.twimg.com/profile_images/1698562168063483904/satrc1PI_normal.jpg</v>
      </c>
      <c r="AW788" s="82" t="s">
        <v>12974</v>
      </c>
      <c r="AX788" s="82" t="s">
        <v>12974</v>
      </c>
      <c r="AY788" s="77"/>
      <c r="AZ788" s="82" t="s">
        <v>15804</v>
      </c>
      <c r="BA788" s="82" t="s">
        <v>15804</v>
      </c>
      <c r="BB788" s="82" t="s">
        <v>15804</v>
      </c>
      <c r="BC788" s="82" t="s">
        <v>12974</v>
      </c>
      <c r="BD788" s="82" t="s">
        <v>16272</v>
      </c>
      <c r="BE788" s="77"/>
      <c r="BF788" s="77"/>
      <c r="BG788" s="77"/>
      <c r="BH788" s="77"/>
      <c r="BI788" s="77"/>
    </row>
    <row r="789" spans="1:61" x14ac:dyDescent="0.25">
      <c r="A789" s="62" t="s">
        <v>485</v>
      </c>
      <c r="B789" s="62" t="s">
        <v>485</v>
      </c>
      <c r="C789" s="63"/>
      <c r="D789" s="64"/>
      <c r="E789" s="65"/>
      <c r="F789" s="66"/>
      <c r="G789" s="63"/>
      <c r="H789" s="67"/>
      <c r="I789" s="68"/>
      <c r="J789" s="68"/>
      <c r="K789" s="32"/>
      <c r="L789" s="75">
        <v>789</v>
      </c>
      <c r="M789" s="75"/>
      <c r="N789" s="70"/>
      <c r="O789" s="77" t="s">
        <v>179</v>
      </c>
      <c r="P789" s="79">
        <v>45019.894756944443</v>
      </c>
      <c r="Q789" s="77" t="s">
        <v>1887</v>
      </c>
      <c r="R789" s="77">
        <v>0</v>
      </c>
      <c r="S789" s="77">
        <v>0</v>
      </c>
      <c r="T789" s="77">
        <v>1</v>
      </c>
      <c r="U789" s="77">
        <v>0</v>
      </c>
      <c r="V789" s="77">
        <v>38</v>
      </c>
      <c r="W789" s="82" t="s">
        <v>4614</v>
      </c>
      <c r="X789" s="77"/>
      <c r="Y789" s="77"/>
      <c r="Z789" s="77"/>
      <c r="AA789" s="77" t="s">
        <v>6602</v>
      </c>
      <c r="AB789" s="77" t="s">
        <v>7696</v>
      </c>
      <c r="AC789" s="82" t="s">
        <v>7706</v>
      </c>
      <c r="AD789" s="77" t="s">
        <v>7745</v>
      </c>
      <c r="AE789" s="80" t="str">
        <f>HYPERLINK("https://twitter.com/admucdb2k23/status/1643002549551734785")</f>
        <v>https://twitter.com/admucdb2k23/status/1643002549551734785</v>
      </c>
      <c r="AF789" s="79">
        <v>45019.894756944443</v>
      </c>
      <c r="AG789" s="85">
        <v>45019</v>
      </c>
      <c r="AH789" s="82" t="s">
        <v>8466</v>
      </c>
      <c r="AI789" s="77" t="b">
        <v>0</v>
      </c>
      <c r="AJ789" s="77"/>
      <c r="AK789" s="77"/>
      <c r="AL789" s="77"/>
      <c r="AM789" s="77"/>
      <c r="AN789" s="77"/>
      <c r="AO789" s="77"/>
      <c r="AP789" s="77"/>
      <c r="AQ789" s="77" t="s">
        <v>11109</v>
      </c>
      <c r="AR789" s="77"/>
      <c r="AS789" s="77"/>
      <c r="AT789" s="77"/>
      <c r="AU789" s="77"/>
      <c r="AV789" s="80" t="str">
        <f>HYPERLINK("https://pbs.twimg.com/media/Fs0eE8NX0AQX2fe.jpg")</f>
        <v>https://pbs.twimg.com/media/Fs0eE8NX0AQX2fe.jpg</v>
      </c>
      <c r="AW789" s="82" t="s">
        <v>12975</v>
      </c>
      <c r="AX789" s="82" t="s">
        <v>12975</v>
      </c>
      <c r="AY789" s="77"/>
      <c r="AZ789" s="82" t="s">
        <v>15804</v>
      </c>
      <c r="BA789" s="82" t="s">
        <v>15804</v>
      </c>
      <c r="BB789" s="82" t="s">
        <v>15804</v>
      </c>
      <c r="BC789" s="82" t="s">
        <v>12975</v>
      </c>
      <c r="BD789" s="82" t="s">
        <v>16273</v>
      </c>
      <c r="BE789" s="77"/>
      <c r="BF789" s="77"/>
      <c r="BG789" s="77"/>
      <c r="BH789" s="77"/>
      <c r="BI789" s="77"/>
    </row>
    <row r="790" spans="1:61" x14ac:dyDescent="0.25">
      <c r="A790" s="62" t="s">
        <v>486</v>
      </c>
      <c r="B790" s="62" t="s">
        <v>486</v>
      </c>
      <c r="C790" s="63"/>
      <c r="D790" s="64"/>
      <c r="E790" s="65"/>
      <c r="F790" s="66"/>
      <c r="G790" s="63"/>
      <c r="H790" s="67"/>
      <c r="I790" s="68"/>
      <c r="J790" s="68"/>
      <c r="K790" s="32"/>
      <c r="L790" s="75">
        <v>790</v>
      </c>
      <c r="M790" s="75"/>
      <c r="N790" s="70"/>
      <c r="O790" s="77" t="s">
        <v>1132</v>
      </c>
      <c r="P790" s="79">
        <v>45159.725613425922</v>
      </c>
      <c r="Q790" s="77" t="s">
        <v>1888</v>
      </c>
      <c r="R790" s="77">
        <v>1</v>
      </c>
      <c r="S790" s="77">
        <v>2</v>
      </c>
      <c r="T790" s="77">
        <v>0</v>
      </c>
      <c r="U790" s="77">
        <v>0</v>
      </c>
      <c r="V790" s="77">
        <v>81</v>
      </c>
      <c r="W790" s="82" t="s">
        <v>4097</v>
      </c>
      <c r="X790" s="80" t="str">
        <f>HYPERLINK("https://amzn.to/3KLnvtZ")</f>
        <v>https://amzn.to/3KLnvtZ</v>
      </c>
      <c r="Y790" s="77" t="s">
        <v>6043</v>
      </c>
      <c r="Z790" s="77"/>
      <c r="AA790" s="77"/>
      <c r="AB790" s="77"/>
      <c r="AC790" s="82" t="s">
        <v>7706</v>
      </c>
      <c r="AD790" s="77" t="s">
        <v>7745</v>
      </c>
      <c r="AE790" s="80" t="str">
        <f>HYPERLINK("https://twitter.com/realpauloborba/status/1693675551968604481")</f>
        <v>https://twitter.com/realpauloborba/status/1693675551968604481</v>
      </c>
      <c r="AF790" s="79">
        <v>45159.725613425922</v>
      </c>
      <c r="AG790" s="85">
        <v>45159</v>
      </c>
      <c r="AH790" s="82" t="s">
        <v>8467</v>
      </c>
      <c r="AI790" s="77" t="b">
        <v>0</v>
      </c>
      <c r="AJ790" s="77"/>
      <c r="AK790" s="77"/>
      <c r="AL790" s="77"/>
      <c r="AM790" s="77"/>
      <c r="AN790" s="77"/>
      <c r="AO790" s="77"/>
      <c r="AP790" s="77"/>
      <c r="AQ790" s="77"/>
      <c r="AR790" s="77"/>
      <c r="AS790" s="77"/>
      <c r="AT790" s="77"/>
      <c r="AU790" s="77"/>
      <c r="AV790" s="80" t="str">
        <f>HYPERLINK("https://pbs.twimg.com/profile_images/1677000136701124608/bkma_mNv_normal.jpg")</f>
        <v>https://pbs.twimg.com/profile_images/1677000136701124608/bkma_mNv_normal.jpg</v>
      </c>
      <c r="AW790" s="82" t="s">
        <v>12976</v>
      </c>
      <c r="AX790" s="82" t="s">
        <v>15297</v>
      </c>
      <c r="AY790" s="82" t="s">
        <v>15719</v>
      </c>
      <c r="AZ790" s="82" t="s">
        <v>15858</v>
      </c>
      <c r="BA790" s="82" t="s">
        <v>15804</v>
      </c>
      <c r="BB790" s="82" t="s">
        <v>15804</v>
      </c>
      <c r="BC790" s="82" t="s">
        <v>15858</v>
      </c>
      <c r="BD790" s="82" t="s">
        <v>15719</v>
      </c>
      <c r="BE790" s="77"/>
      <c r="BF790" s="77"/>
      <c r="BG790" s="77"/>
      <c r="BH790" s="77"/>
      <c r="BI790" s="77"/>
    </row>
    <row r="791" spans="1:61" x14ac:dyDescent="0.25">
      <c r="A791" s="62" t="s">
        <v>486</v>
      </c>
      <c r="B791" s="62" t="s">
        <v>486</v>
      </c>
      <c r="C791" s="63"/>
      <c r="D791" s="64"/>
      <c r="E791" s="65"/>
      <c r="F791" s="66"/>
      <c r="G791" s="63"/>
      <c r="H791" s="67"/>
      <c r="I791" s="68"/>
      <c r="J791" s="68"/>
      <c r="K791" s="32"/>
      <c r="L791" s="75">
        <v>791</v>
      </c>
      <c r="M791" s="75"/>
      <c r="N791" s="70"/>
      <c r="O791" s="77" t="s">
        <v>1132</v>
      </c>
      <c r="P791" s="79">
        <v>45152.738379629627</v>
      </c>
      <c r="Q791" s="77" t="s">
        <v>1889</v>
      </c>
      <c r="R791" s="77">
        <v>0</v>
      </c>
      <c r="S791" s="77">
        <v>0</v>
      </c>
      <c r="T791" s="77">
        <v>1</v>
      </c>
      <c r="U791" s="77">
        <v>0</v>
      </c>
      <c r="V791" s="77">
        <v>45</v>
      </c>
      <c r="W791" s="82" t="s">
        <v>4615</v>
      </c>
      <c r="X791" s="77"/>
      <c r="Y791" s="77"/>
      <c r="Z791" s="77"/>
      <c r="AA791" s="77"/>
      <c r="AB791" s="77"/>
      <c r="AC791" s="82" t="s">
        <v>7706</v>
      </c>
      <c r="AD791" s="77" t="s">
        <v>7745</v>
      </c>
      <c r="AE791" s="80" t="str">
        <f>HYPERLINK("https://twitter.com/realpauloborba/status/1691143466041151488")</f>
        <v>https://twitter.com/realpauloborba/status/1691143466041151488</v>
      </c>
      <c r="AF791" s="79">
        <v>45152.738379629627</v>
      </c>
      <c r="AG791" s="85">
        <v>45152</v>
      </c>
      <c r="AH791" s="82" t="s">
        <v>8468</v>
      </c>
      <c r="AI791" s="77"/>
      <c r="AJ791" s="77"/>
      <c r="AK791" s="77"/>
      <c r="AL791" s="77"/>
      <c r="AM791" s="77"/>
      <c r="AN791" s="77"/>
      <c r="AO791" s="77"/>
      <c r="AP791" s="77"/>
      <c r="AQ791" s="77"/>
      <c r="AR791" s="77"/>
      <c r="AS791" s="77"/>
      <c r="AT791" s="77"/>
      <c r="AU791" s="77"/>
      <c r="AV791" s="80" t="str">
        <f>HYPERLINK("https://pbs.twimg.com/profile_images/1677000136701124608/bkma_mNv_normal.jpg")</f>
        <v>https://pbs.twimg.com/profile_images/1677000136701124608/bkma_mNv_normal.jpg</v>
      </c>
      <c r="AW791" s="82" t="s">
        <v>12977</v>
      </c>
      <c r="AX791" s="82" t="s">
        <v>15298</v>
      </c>
      <c r="AY791" s="82" t="s">
        <v>15719</v>
      </c>
      <c r="AZ791" s="82" t="s">
        <v>15859</v>
      </c>
      <c r="BA791" s="82" t="s">
        <v>15804</v>
      </c>
      <c r="BB791" s="82" t="s">
        <v>15804</v>
      </c>
      <c r="BC791" s="82" t="s">
        <v>15859</v>
      </c>
      <c r="BD791" s="82" t="s">
        <v>15719</v>
      </c>
      <c r="BE791" s="77"/>
      <c r="BF791" s="77"/>
      <c r="BG791" s="77"/>
      <c r="BH791" s="77"/>
      <c r="BI791" s="77"/>
    </row>
    <row r="792" spans="1:61" x14ac:dyDescent="0.25">
      <c r="A792" s="62" t="s">
        <v>486</v>
      </c>
      <c r="B792" s="62" t="s">
        <v>486</v>
      </c>
      <c r="C792" s="63"/>
      <c r="D792" s="64"/>
      <c r="E792" s="65"/>
      <c r="F792" s="66"/>
      <c r="G792" s="63"/>
      <c r="H792" s="67"/>
      <c r="I792" s="68"/>
      <c r="J792" s="68"/>
      <c r="K792" s="32"/>
      <c r="L792" s="75">
        <v>792</v>
      </c>
      <c r="M792" s="75"/>
      <c r="N792" s="70"/>
      <c r="O792" s="77" t="s">
        <v>1132</v>
      </c>
      <c r="P792" s="79">
        <v>45159.953564814816</v>
      </c>
      <c r="Q792" s="77" t="s">
        <v>1890</v>
      </c>
      <c r="R792" s="77">
        <v>0</v>
      </c>
      <c r="S792" s="77">
        <v>0</v>
      </c>
      <c r="T792" s="77">
        <v>0</v>
      </c>
      <c r="U792" s="77">
        <v>0</v>
      </c>
      <c r="V792" s="77">
        <v>61</v>
      </c>
      <c r="W792" s="82" t="s">
        <v>4616</v>
      </c>
      <c r="X792" s="77"/>
      <c r="Y792" s="77"/>
      <c r="Z792" s="77"/>
      <c r="AA792" s="77"/>
      <c r="AB792" s="77"/>
      <c r="AC792" s="82" t="s">
        <v>7707</v>
      </c>
      <c r="AD792" s="77" t="s">
        <v>7745</v>
      </c>
      <c r="AE792" s="80" t="str">
        <f>HYPERLINK("https://twitter.com/realpauloborba/status/1693758158651757039")</f>
        <v>https://twitter.com/realpauloborba/status/1693758158651757039</v>
      </c>
      <c r="AF792" s="79">
        <v>45159.953564814816</v>
      </c>
      <c r="AG792" s="85">
        <v>45159</v>
      </c>
      <c r="AH792" s="82" t="s">
        <v>8469</v>
      </c>
      <c r="AI792" s="77"/>
      <c r="AJ792" s="77"/>
      <c r="AK792" s="77"/>
      <c r="AL792" s="77"/>
      <c r="AM792" s="77"/>
      <c r="AN792" s="77"/>
      <c r="AO792" s="77"/>
      <c r="AP792" s="77"/>
      <c r="AQ792" s="77"/>
      <c r="AR792" s="77"/>
      <c r="AS792" s="77"/>
      <c r="AT792" s="77"/>
      <c r="AU792" s="77"/>
      <c r="AV792" s="80" t="str">
        <f>HYPERLINK("https://pbs.twimg.com/profile_images/1677000136701124608/bkma_mNv_normal.jpg")</f>
        <v>https://pbs.twimg.com/profile_images/1677000136701124608/bkma_mNv_normal.jpg</v>
      </c>
      <c r="AW792" s="82" t="s">
        <v>12978</v>
      </c>
      <c r="AX792" s="82" t="s">
        <v>15299</v>
      </c>
      <c r="AY792" s="82" t="s">
        <v>15719</v>
      </c>
      <c r="AZ792" s="82" t="s">
        <v>15860</v>
      </c>
      <c r="BA792" s="82" t="s">
        <v>15804</v>
      </c>
      <c r="BB792" s="82" t="s">
        <v>15804</v>
      </c>
      <c r="BC792" s="82" t="s">
        <v>15860</v>
      </c>
      <c r="BD792" s="82" t="s">
        <v>15719</v>
      </c>
      <c r="BE792" s="77"/>
      <c r="BF792" s="77"/>
      <c r="BG792" s="77"/>
      <c r="BH792" s="77"/>
      <c r="BI792" s="77"/>
    </row>
    <row r="793" spans="1:61" x14ac:dyDescent="0.25">
      <c r="A793" s="62" t="s">
        <v>487</v>
      </c>
      <c r="B793" s="62" t="s">
        <v>487</v>
      </c>
      <c r="C793" s="63"/>
      <c r="D793" s="64"/>
      <c r="E793" s="65"/>
      <c r="F793" s="66"/>
      <c r="G793" s="63"/>
      <c r="H793" s="67"/>
      <c r="I793" s="68"/>
      <c r="J793" s="68"/>
      <c r="K793" s="32"/>
      <c r="L793" s="75">
        <v>793</v>
      </c>
      <c r="M793" s="75"/>
      <c r="N793" s="70"/>
      <c r="O793" s="77" t="s">
        <v>179</v>
      </c>
      <c r="P793" s="79">
        <v>45146.061944444446</v>
      </c>
      <c r="Q793" s="77" t="s">
        <v>1891</v>
      </c>
      <c r="R793" s="77">
        <v>0</v>
      </c>
      <c r="S793" s="77">
        <v>0</v>
      </c>
      <c r="T793" s="77">
        <v>0</v>
      </c>
      <c r="U793" s="77">
        <v>0</v>
      </c>
      <c r="V793" s="77">
        <v>27</v>
      </c>
      <c r="W793" s="82" t="s">
        <v>4617</v>
      </c>
      <c r="X793" s="80" t="str">
        <f>HYPERLINK("https://portaldogarrett.com.br/creditas-beneficios-participa-do-conarh-2023-e-reforca-a-importancia-da-educacao-financeira-nas-empresas/")</f>
        <v>https://portaldogarrett.com.br/creditas-beneficios-participa-do-conarh-2023-e-reforca-a-importancia-da-educacao-financeira-nas-empresas/</v>
      </c>
      <c r="Y793" s="77" t="s">
        <v>6002</v>
      </c>
      <c r="Z793" s="77"/>
      <c r="AA793" s="77"/>
      <c r="AB793" s="77"/>
      <c r="AC793" s="82" t="s">
        <v>7706</v>
      </c>
      <c r="AD793" s="77" t="s">
        <v>7746</v>
      </c>
      <c r="AE793" s="80" t="str">
        <f>HYPERLINK("https://twitter.com/rh_garrett/status/1688724005409128448")</f>
        <v>https://twitter.com/rh_garrett/status/1688724005409128448</v>
      </c>
      <c r="AF793" s="79">
        <v>45146.061944444446</v>
      </c>
      <c r="AG793" s="85">
        <v>45146</v>
      </c>
      <c r="AH793" s="82" t="s">
        <v>8470</v>
      </c>
      <c r="AI793" s="77" t="b">
        <v>0</v>
      </c>
      <c r="AJ793" s="77"/>
      <c r="AK793" s="77"/>
      <c r="AL793" s="77"/>
      <c r="AM793" s="77"/>
      <c r="AN793" s="77"/>
      <c r="AO793" s="77"/>
      <c r="AP793" s="77"/>
      <c r="AQ793" s="77"/>
      <c r="AR793" s="77"/>
      <c r="AS793" s="77"/>
      <c r="AT793" s="77"/>
      <c r="AU793" s="77"/>
      <c r="AV793" s="80" t="str">
        <f>HYPERLINK("https://pbs.twimg.com/profile_images/1373362231493201924/BoaCJBCD_normal.jpg")</f>
        <v>https://pbs.twimg.com/profile_images/1373362231493201924/BoaCJBCD_normal.jpg</v>
      </c>
      <c r="AW793" s="82" t="s">
        <v>12979</v>
      </c>
      <c r="AX793" s="82" t="s">
        <v>12979</v>
      </c>
      <c r="AY793" s="77"/>
      <c r="AZ793" s="82" t="s">
        <v>15804</v>
      </c>
      <c r="BA793" s="82" t="s">
        <v>15804</v>
      </c>
      <c r="BB793" s="82" t="s">
        <v>15804</v>
      </c>
      <c r="BC793" s="82" t="s">
        <v>12979</v>
      </c>
      <c r="BD793" s="82" t="s">
        <v>16274</v>
      </c>
      <c r="BE793" s="77"/>
      <c r="BF793" s="77"/>
      <c r="BG793" s="77"/>
      <c r="BH793" s="77"/>
      <c r="BI793" s="77"/>
    </row>
    <row r="794" spans="1:61" x14ac:dyDescent="0.25">
      <c r="A794" s="62" t="s">
        <v>488</v>
      </c>
      <c r="B794" s="62" t="s">
        <v>488</v>
      </c>
      <c r="C794" s="63"/>
      <c r="D794" s="64"/>
      <c r="E794" s="65"/>
      <c r="F794" s="66"/>
      <c r="G794" s="63"/>
      <c r="H794" s="67"/>
      <c r="I794" s="68"/>
      <c r="J794" s="68"/>
      <c r="K794" s="32"/>
      <c r="L794" s="75">
        <v>794</v>
      </c>
      <c r="M794" s="75"/>
      <c r="N794" s="70"/>
      <c r="O794" s="77" t="s">
        <v>179</v>
      </c>
      <c r="P794" s="79">
        <v>45011.730671296296</v>
      </c>
      <c r="Q794" s="77" t="s">
        <v>1892</v>
      </c>
      <c r="R794" s="77">
        <v>0</v>
      </c>
      <c r="S794" s="77">
        <v>1</v>
      </c>
      <c r="T794" s="77">
        <v>0</v>
      </c>
      <c r="U794" s="77">
        <v>0</v>
      </c>
      <c r="V794" s="77">
        <v>23</v>
      </c>
      <c r="W794" s="82" t="s">
        <v>4618</v>
      </c>
      <c r="X794" s="80" t="str">
        <f>HYPERLINK("https://www.portalviva.com.br/post/cotia-fecha-o-m%C3%AAs-da-mulher-com-palestra-sobre-educa%C3%A7%C3%A3o-financeira")</f>
        <v>https://www.portalviva.com.br/post/cotia-fecha-o-m%C3%AAs-da-mulher-com-palestra-sobre-educa%C3%A7%C3%A3o-financeira</v>
      </c>
      <c r="Y794" s="77" t="s">
        <v>6002</v>
      </c>
      <c r="Z794" s="77"/>
      <c r="AA794" s="77" t="s">
        <v>6603</v>
      </c>
      <c r="AB794" s="77" t="s">
        <v>7696</v>
      </c>
      <c r="AC794" s="82" t="s">
        <v>7706</v>
      </c>
      <c r="AD794" s="77" t="s">
        <v>7745</v>
      </c>
      <c r="AE794" s="80" t="str">
        <f>HYPERLINK("https://twitter.com/portal_viva/status/1640043981022146561")</f>
        <v>https://twitter.com/portal_viva/status/1640043981022146561</v>
      </c>
      <c r="AF794" s="79">
        <v>45011.730671296296</v>
      </c>
      <c r="AG794" s="85">
        <v>45011</v>
      </c>
      <c r="AH794" s="82" t="s">
        <v>8057</v>
      </c>
      <c r="AI794" s="77" t="b">
        <v>0</v>
      </c>
      <c r="AJ794" s="77"/>
      <c r="AK794" s="77"/>
      <c r="AL794" s="77"/>
      <c r="AM794" s="77"/>
      <c r="AN794" s="77"/>
      <c r="AO794" s="77"/>
      <c r="AP794" s="77"/>
      <c r="AQ794" s="77" t="s">
        <v>11110</v>
      </c>
      <c r="AR794" s="77"/>
      <c r="AS794" s="77"/>
      <c r="AT794" s="77"/>
      <c r="AU794" s="77"/>
      <c r="AV794" s="80" t="str">
        <f>HYPERLINK("https://pbs.twimg.com/media/FsKbRpXXgAEhhp8.jpg")</f>
        <v>https://pbs.twimg.com/media/FsKbRpXXgAEhhp8.jpg</v>
      </c>
      <c r="AW794" s="82" t="s">
        <v>12980</v>
      </c>
      <c r="AX794" s="82" t="s">
        <v>12980</v>
      </c>
      <c r="AY794" s="77"/>
      <c r="AZ794" s="82" t="s">
        <v>15804</v>
      </c>
      <c r="BA794" s="82" t="s">
        <v>15804</v>
      </c>
      <c r="BB794" s="82" t="s">
        <v>15804</v>
      </c>
      <c r="BC794" s="82" t="s">
        <v>12980</v>
      </c>
      <c r="BD794" s="77">
        <v>35049549</v>
      </c>
      <c r="BE794" s="77"/>
      <c r="BF794" s="77"/>
      <c r="BG794" s="77"/>
      <c r="BH794" s="77"/>
      <c r="BI794" s="77"/>
    </row>
    <row r="795" spans="1:61" x14ac:dyDescent="0.25">
      <c r="A795" s="62" t="s">
        <v>489</v>
      </c>
      <c r="B795" s="62" t="s">
        <v>489</v>
      </c>
      <c r="C795" s="63"/>
      <c r="D795" s="64"/>
      <c r="E795" s="65"/>
      <c r="F795" s="66"/>
      <c r="G795" s="63"/>
      <c r="H795" s="67"/>
      <c r="I795" s="68"/>
      <c r="J795" s="68"/>
      <c r="K795" s="32"/>
      <c r="L795" s="75">
        <v>795</v>
      </c>
      <c r="M795" s="75"/>
      <c r="N795" s="70"/>
      <c r="O795" s="77" t="s">
        <v>179</v>
      </c>
      <c r="P795" s="79">
        <v>45135.501921296294</v>
      </c>
      <c r="Q795" s="77" t="s">
        <v>1893</v>
      </c>
      <c r="R795" s="77">
        <v>0</v>
      </c>
      <c r="S795" s="77">
        <v>0</v>
      </c>
      <c r="T795" s="77">
        <v>0</v>
      </c>
      <c r="U795" s="77">
        <v>0</v>
      </c>
      <c r="V795" s="77">
        <v>7</v>
      </c>
      <c r="W795" s="82" t="s">
        <v>4619</v>
      </c>
      <c r="X795" s="80" t="str">
        <f>HYPERLINK("https://crowd.urbanitae.com/3rScfVS")</f>
        <v>https://crowd.urbanitae.com/3rScfVS</v>
      </c>
      <c r="Y795" s="77" t="s">
        <v>6047</v>
      </c>
      <c r="Z795" s="77"/>
      <c r="AA795" s="77"/>
      <c r="AB795" s="77"/>
      <c r="AC795" s="82" t="s">
        <v>7725</v>
      </c>
      <c r="AD795" s="77" t="s">
        <v>7745</v>
      </c>
      <c r="AE795" s="80" t="str">
        <f>HYPERLINK("https://twitter.com/urbanitae_pt/status/1684897180190900224")</f>
        <v>https://twitter.com/urbanitae_pt/status/1684897180190900224</v>
      </c>
      <c r="AF795" s="79">
        <v>45135.501921296294</v>
      </c>
      <c r="AG795" s="85">
        <v>45135</v>
      </c>
      <c r="AH795" s="82" t="s">
        <v>8471</v>
      </c>
      <c r="AI795" s="77" t="b">
        <v>0</v>
      </c>
      <c r="AJ795" s="77"/>
      <c r="AK795" s="77"/>
      <c r="AL795" s="77"/>
      <c r="AM795" s="77"/>
      <c r="AN795" s="77"/>
      <c r="AO795" s="77"/>
      <c r="AP795" s="77"/>
      <c r="AQ795" s="77"/>
      <c r="AR795" s="77"/>
      <c r="AS795" s="77"/>
      <c r="AT795" s="77"/>
      <c r="AU795" s="77"/>
      <c r="AV795" s="80" t="str">
        <f>HYPERLINK("https://pbs.twimg.com/profile_images/1659220633710895105/Zzk-6x-l_normal.jpg")</f>
        <v>https://pbs.twimg.com/profile_images/1659220633710895105/Zzk-6x-l_normal.jpg</v>
      </c>
      <c r="AW795" s="82" t="s">
        <v>12981</v>
      </c>
      <c r="AX795" s="82" t="s">
        <v>12981</v>
      </c>
      <c r="AY795" s="77"/>
      <c r="AZ795" s="82" t="s">
        <v>15804</v>
      </c>
      <c r="BA795" s="82" t="s">
        <v>15804</v>
      </c>
      <c r="BB795" s="82" t="s">
        <v>15804</v>
      </c>
      <c r="BC795" s="82" t="s">
        <v>12981</v>
      </c>
      <c r="BD795" s="82" t="s">
        <v>16275</v>
      </c>
      <c r="BE795" s="77"/>
      <c r="BF795" s="77"/>
      <c r="BG795" s="77"/>
      <c r="BH795" s="77"/>
      <c r="BI795" s="77"/>
    </row>
    <row r="796" spans="1:61" x14ac:dyDescent="0.25">
      <c r="A796" s="62" t="s">
        <v>489</v>
      </c>
      <c r="B796" s="62" t="s">
        <v>489</v>
      </c>
      <c r="C796" s="63"/>
      <c r="D796" s="64"/>
      <c r="E796" s="65"/>
      <c r="F796" s="66"/>
      <c r="G796" s="63"/>
      <c r="H796" s="67"/>
      <c r="I796" s="68"/>
      <c r="J796" s="68"/>
      <c r="K796" s="32"/>
      <c r="L796" s="75">
        <v>796</v>
      </c>
      <c r="M796" s="75"/>
      <c r="N796" s="70"/>
      <c r="O796" s="77" t="s">
        <v>179</v>
      </c>
      <c r="P796" s="79">
        <v>45155.395324074074</v>
      </c>
      <c r="Q796" s="77" t="s">
        <v>1894</v>
      </c>
      <c r="R796" s="77">
        <v>0</v>
      </c>
      <c r="S796" s="77">
        <v>0</v>
      </c>
      <c r="T796" s="77">
        <v>0</v>
      </c>
      <c r="U796" s="77">
        <v>0</v>
      </c>
      <c r="V796" s="77">
        <v>4</v>
      </c>
      <c r="W796" s="82" t="s">
        <v>4620</v>
      </c>
      <c r="X796" s="80" t="str">
        <f>HYPERLINK("https://crowd.urbanitae.com/3s6nE4z")</f>
        <v>https://crowd.urbanitae.com/3s6nE4z</v>
      </c>
      <c r="Y796" s="77" t="s">
        <v>6047</v>
      </c>
      <c r="Z796" s="77"/>
      <c r="AA796" s="77" t="s">
        <v>6604</v>
      </c>
      <c r="AB796" s="77" t="s">
        <v>7696</v>
      </c>
      <c r="AC796" s="82" t="s">
        <v>7725</v>
      </c>
      <c r="AD796" s="77" t="s">
        <v>7745</v>
      </c>
      <c r="AE796" s="80" t="str">
        <f>HYPERLINK("https://twitter.com/urbanitae_pt/status/1692106310068687316")</f>
        <v>https://twitter.com/urbanitae_pt/status/1692106310068687316</v>
      </c>
      <c r="AF796" s="79">
        <v>45155.395324074074</v>
      </c>
      <c r="AG796" s="85">
        <v>45155</v>
      </c>
      <c r="AH796" s="82" t="s">
        <v>8386</v>
      </c>
      <c r="AI796" s="77" t="b">
        <v>0</v>
      </c>
      <c r="AJ796" s="77"/>
      <c r="AK796" s="77"/>
      <c r="AL796" s="77"/>
      <c r="AM796" s="77"/>
      <c r="AN796" s="77"/>
      <c r="AO796" s="77"/>
      <c r="AP796" s="77"/>
      <c r="AQ796" s="77" t="s">
        <v>11111</v>
      </c>
      <c r="AR796" s="77"/>
      <c r="AS796" s="77"/>
      <c r="AT796" s="77"/>
      <c r="AU796" s="77"/>
      <c r="AV796" s="80" t="str">
        <f>HYPERLINK("https://pbs.twimg.com/media/F3uRuF7WsAAMBYI.jpg")</f>
        <v>https://pbs.twimg.com/media/F3uRuF7WsAAMBYI.jpg</v>
      </c>
      <c r="AW796" s="82" t="s">
        <v>12982</v>
      </c>
      <c r="AX796" s="82" t="s">
        <v>12982</v>
      </c>
      <c r="AY796" s="77"/>
      <c r="AZ796" s="82" t="s">
        <v>15804</v>
      </c>
      <c r="BA796" s="82" t="s">
        <v>15804</v>
      </c>
      <c r="BB796" s="82" t="s">
        <v>15804</v>
      </c>
      <c r="BC796" s="82" t="s">
        <v>12982</v>
      </c>
      <c r="BD796" s="82" t="s">
        <v>16275</v>
      </c>
      <c r="BE796" s="77"/>
      <c r="BF796" s="77"/>
      <c r="BG796" s="77"/>
      <c r="BH796" s="77"/>
      <c r="BI796" s="77"/>
    </row>
    <row r="797" spans="1:61" x14ac:dyDescent="0.25">
      <c r="A797" s="62" t="s">
        <v>489</v>
      </c>
      <c r="B797" s="62" t="s">
        <v>489</v>
      </c>
      <c r="C797" s="63"/>
      <c r="D797" s="64"/>
      <c r="E797" s="65"/>
      <c r="F797" s="66"/>
      <c r="G797" s="63"/>
      <c r="H797" s="67"/>
      <c r="I797" s="68"/>
      <c r="J797" s="68"/>
      <c r="K797" s="32"/>
      <c r="L797" s="75">
        <v>797</v>
      </c>
      <c r="M797" s="75"/>
      <c r="N797" s="70"/>
      <c r="O797" s="77" t="s">
        <v>179</v>
      </c>
      <c r="P797" s="79">
        <v>45144.396157407406</v>
      </c>
      <c r="Q797" s="77" t="s">
        <v>1895</v>
      </c>
      <c r="R797" s="77">
        <v>0</v>
      </c>
      <c r="S797" s="77">
        <v>0</v>
      </c>
      <c r="T797" s="77">
        <v>0</v>
      </c>
      <c r="U797" s="77">
        <v>0</v>
      </c>
      <c r="V797" s="77">
        <v>4</v>
      </c>
      <c r="W797" s="82" t="s">
        <v>4621</v>
      </c>
      <c r="X797" s="80" t="str">
        <f>HYPERLINK("https://crowd.urbanitae.com/3Yo4IdK")</f>
        <v>https://crowd.urbanitae.com/3Yo4IdK</v>
      </c>
      <c r="Y797" s="77" t="s">
        <v>6047</v>
      </c>
      <c r="Z797" s="77"/>
      <c r="AA797" s="77"/>
      <c r="AB797" s="77"/>
      <c r="AC797" s="82" t="s">
        <v>7725</v>
      </c>
      <c r="AD797" s="77" t="s">
        <v>7745</v>
      </c>
      <c r="AE797" s="80" t="str">
        <f>HYPERLINK("https://twitter.com/urbanitae_pt/status/1688120344685481984")</f>
        <v>https://twitter.com/urbanitae_pt/status/1688120344685481984</v>
      </c>
      <c r="AF797" s="79">
        <v>45144.396157407406</v>
      </c>
      <c r="AG797" s="85">
        <v>45144</v>
      </c>
      <c r="AH797" s="82" t="s">
        <v>8472</v>
      </c>
      <c r="AI797" s="77" t="b">
        <v>0</v>
      </c>
      <c r="AJ797" s="77"/>
      <c r="AK797" s="77"/>
      <c r="AL797" s="77"/>
      <c r="AM797" s="77"/>
      <c r="AN797" s="77"/>
      <c r="AO797" s="77"/>
      <c r="AP797" s="77"/>
      <c r="AQ797" s="77"/>
      <c r="AR797" s="77"/>
      <c r="AS797" s="77"/>
      <c r="AT797" s="77"/>
      <c r="AU797" s="77"/>
      <c r="AV797" s="80" t="str">
        <f>HYPERLINK("https://pbs.twimg.com/profile_images/1659220633710895105/Zzk-6x-l_normal.jpg")</f>
        <v>https://pbs.twimg.com/profile_images/1659220633710895105/Zzk-6x-l_normal.jpg</v>
      </c>
      <c r="AW797" s="82" t="s">
        <v>12983</v>
      </c>
      <c r="AX797" s="82" t="s">
        <v>12983</v>
      </c>
      <c r="AY797" s="77"/>
      <c r="AZ797" s="82" t="s">
        <v>15804</v>
      </c>
      <c r="BA797" s="82" t="s">
        <v>15804</v>
      </c>
      <c r="BB797" s="82" t="s">
        <v>15804</v>
      </c>
      <c r="BC797" s="82" t="s">
        <v>12983</v>
      </c>
      <c r="BD797" s="82" t="s">
        <v>16275</v>
      </c>
      <c r="BE797" s="77"/>
      <c r="BF797" s="77"/>
      <c r="BG797" s="77"/>
      <c r="BH797" s="77"/>
      <c r="BI797" s="77"/>
    </row>
    <row r="798" spans="1:61" x14ac:dyDescent="0.25">
      <c r="A798" s="62" t="s">
        <v>490</v>
      </c>
      <c r="B798" s="62" t="s">
        <v>490</v>
      </c>
      <c r="C798" s="63"/>
      <c r="D798" s="64"/>
      <c r="E798" s="65"/>
      <c r="F798" s="66"/>
      <c r="G798" s="63"/>
      <c r="H798" s="67"/>
      <c r="I798" s="68"/>
      <c r="J798" s="68"/>
      <c r="K798" s="32"/>
      <c r="L798" s="75">
        <v>798</v>
      </c>
      <c r="M798" s="75"/>
      <c r="N798" s="70"/>
      <c r="O798" s="77" t="s">
        <v>179</v>
      </c>
      <c r="P798" s="79">
        <v>44995.592280092591</v>
      </c>
      <c r="Q798" s="77" t="s">
        <v>1896</v>
      </c>
      <c r="R798" s="77">
        <v>0</v>
      </c>
      <c r="S798" s="77">
        <v>0</v>
      </c>
      <c r="T798" s="77">
        <v>0</v>
      </c>
      <c r="U798" s="77">
        <v>0</v>
      </c>
      <c r="V798" s="77">
        <v>10</v>
      </c>
      <c r="W798" s="82" t="s">
        <v>4622</v>
      </c>
      <c r="X798" s="77"/>
      <c r="Y798" s="77"/>
      <c r="Z798" s="77"/>
      <c r="AA798" s="77"/>
      <c r="AB798" s="77"/>
      <c r="AC798" s="82" t="s">
        <v>7707</v>
      </c>
      <c r="AD798" s="77" t="s">
        <v>7745</v>
      </c>
      <c r="AE798" s="80" t="str">
        <f>HYPERLINK("https://twitter.com/contabeisvida/status/1634195622730379267")</f>
        <v>https://twitter.com/contabeisvida/status/1634195622730379267</v>
      </c>
      <c r="AF798" s="79">
        <v>44995.592280092591</v>
      </c>
      <c r="AG798" s="85">
        <v>44995</v>
      </c>
      <c r="AH798" s="82" t="s">
        <v>8473</v>
      </c>
      <c r="AI798" s="77"/>
      <c r="AJ798" s="77"/>
      <c r="AK798" s="77"/>
      <c r="AL798" s="77"/>
      <c r="AM798" s="77"/>
      <c r="AN798" s="77"/>
      <c r="AO798" s="77"/>
      <c r="AP798" s="77"/>
      <c r="AQ798" s="77"/>
      <c r="AR798" s="77"/>
      <c r="AS798" s="77"/>
      <c r="AT798" s="77"/>
      <c r="AU798" s="77"/>
      <c r="AV798" s="80" t="str">
        <f>HYPERLINK("https://pbs.twimg.com/profile_images/1199450693163200512/VQe99Nj4_normal.jpg")</f>
        <v>https://pbs.twimg.com/profile_images/1199450693163200512/VQe99Nj4_normal.jpg</v>
      </c>
      <c r="AW798" s="82" t="s">
        <v>12984</v>
      </c>
      <c r="AX798" s="82" t="s">
        <v>12984</v>
      </c>
      <c r="AY798" s="77"/>
      <c r="AZ798" s="82" t="s">
        <v>15804</v>
      </c>
      <c r="BA798" s="82" t="s">
        <v>15804</v>
      </c>
      <c r="BB798" s="82" t="s">
        <v>15804</v>
      </c>
      <c r="BC798" s="82" t="s">
        <v>12984</v>
      </c>
      <c r="BD798" s="82" t="s">
        <v>16276</v>
      </c>
      <c r="BE798" s="77"/>
      <c r="BF798" s="77"/>
      <c r="BG798" s="77"/>
      <c r="BH798" s="77"/>
      <c r="BI798" s="77"/>
    </row>
    <row r="799" spans="1:61" x14ac:dyDescent="0.25">
      <c r="A799" s="62" t="s">
        <v>491</v>
      </c>
      <c r="B799" s="62" t="s">
        <v>491</v>
      </c>
      <c r="C799" s="63"/>
      <c r="D799" s="64"/>
      <c r="E799" s="65"/>
      <c r="F799" s="66"/>
      <c r="G799" s="63"/>
      <c r="H799" s="67"/>
      <c r="I799" s="68"/>
      <c r="J799" s="68"/>
      <c r="K799" s="32"/>
      <c r="L799" s="75">
        <v>799</v>
      </c>
      <c r="M799" s="75"/>
      <c r="N799" s="70"/>
      <c r="O799" s="77" t="s">
        <v>179</v>
      </c>
      <c r="P799" s="79">
        <v>44976.844664351855</v>
      </c>
      <c r="Q799" s="77" t="s">
        <v>1897</v>
      </c>
      <c r="R799" s="77">
        <v>0</v>
      </c>
      <c r="S799" s="77">
        <v>1</v>
      </c>
      <c r="T799" s="77">
        <v>0</v>
      </c>
      <c r="U799" s="77">
        <v>0</v>
      </c>
      <c r="V799" s="77">
        <v>14</v>
      </c>
      <c r="W799" s="82" t="s">
        <v>4623</v>
      </c>
      <c r="X799" s="77"/>
      <c r="Y799" s="77"/>
      <c r="Z799" s="77"/>
      <c r="AA799" s="77" t="s">
        <v>6605</v>
      </c>
      <c r="AB799" s="77" t="s">
        <v>7700</v>
      </c>
      <c r="AC799" s="82" t="s">
        <v>7705</v>
      </c>
      <c r="AD799" s="77" t="s">
        <v>7745</v>
      </c>
      <c r="AE799" s="80" t="str">
        <f>HYPERLINK("https://twitter.com/ebitdaf/status/1627401717179379712")</f>
        <v>https://twitter.com/ebitdaf/status/1627401717179379712</v>
      </c>
      <c r="AF799" s="79">
        <v>44976.844664351855</v>
      </c>
      <c r="AG799" s="85">
        <v>44976</v>
      </c>
      <c r="AH799" s="82" t="s">
        <v>8474</v>
      </c>
      <c r="AI799" s="77" t="b">
        <v>0</v>
      </c>
      <c r="AJ799" s="77"/>
      <c r="AK799" s="77"/>
      <c r="AL799" s="77"/>
      <c r="AM799" s="77"/>
      <c r="AN799" s="77"/>
      <c r="AO799" s="77"/>
      <c r="AP799" s="77"/>
      <c r="AQ799" s="77" t="s">
        <v>11112</v>
      </c>
      <c r="AR799" s="77"/>
      <c r="AS799" s="77"/>
      <c r="AT799" s="77"/>
      <c r="AU799" s="77"/>
      <c r="AV799" s="80" t="str">
        <f>HYPERLINK("https://pbs.twimg.com/media/FpWxOW2XwAAEneF.jpg")</f>
        <v>https://pbs.twimg.com/media/FpWxOW2XwAAEneF.jpg</v>
      </c>
      <c r="AW799" s="82" t="s">
        <v>12985</v>
      </c>
      <c r="AX799" s="82" t="s">
        <v>12985</v>
      </c>
      <c r="AY799" s="77"/>
      <c r="AZ799" s="82" t="s">
        <v>15804</v>
      </c>
      <c r="BA799" s="82" t="s">
        <v>15804</v>
      </c>
      <c r="BB799" s="82" t="s">
        <v>15804</v>
      </c>
      <c r="BC799" s="82" t="s">
        <v>12985</v>
      </c>
      <c r="BD799" s="82" t="s">
        <v>16277</v>
      </c>
      <c r="BE799" s="77"/>
      <c r="BF799" s="77"/>
      <c r="BG799" s="77"/>
      <c r="BH799" s="77"/>
      <c r="BI799" s="77"/>
    </row>
    <row r="800" spans="1:61" x14ac:dyDescent="0.25">
      <c r="A800" s="62" t="s">
        <v>491</v>
      </c>
      <c r="B800" s="62" t="s">
        <v>491</v>
      </c>
      <c r="C800" s="63"/>
      <c r="D800" s="64"/>
      <c r="E800" s="65"/>
      <c r="F800" s="66"/>
      <c r="G800" s="63"/>
      <c r="H800" s="67"/>
      <c r="I800" s="68"/>
      <c r="J800" s="68"/>
      <c r="K800" s="32"/>
      <c r="L800" s="75">
        <v>800</v>
      </c>
      <c r="M800" s="75"/>
      <c r="N800" s="70"/>
      <c r="O800" s="77" t="s">
        <v>179</v>
      </c>
      <c r="P800" s="79">
        <v>45013.771203703705</v>
      </c>
      <c r="Q800" s="77" t="s">
        <v>1898</v>
      </c>
      <c r="R800" s="77">
        <v>0</v>
      </c>
      <c r="S800" s="77">
        <v>1</v>
      </c>
      <c r="T800" s="77">
        <v>0</v>
      </c>
      <c r="U800" s="77">
        <v>0</v>
      </c>
      <c r="V800" s="77">
        <v>18</v>
      </c>
      <c r="W800" s="82" t="s">
        <v>4624</v>
      </c>
      <c r="X800" s="77"/>
      <c r="Y800" s="77"/>
      <c r="Z800" s="77"/>
      <c r="AA800" s="77" t="s">
        <v>6606</v>
      </c>
      <c r="AB800" s="77" t="s">
        <v>7696</v>
      </c>
      <c r="AC800" s="82" t="s">
        <v>7705</v>
      </c>
      <c r="AD800" s="77" t="s">
        <v>7745</v>
      </c>
      <c r="AE800" s="80" t="str">
        <f>HYPERLINK("https://twitter.com/ebitdaf/status/1640783447449804812")</f>
        <v>https://twitter.com/ebitdaf/status/1640783447449804812</v>
      </c>
      <c r="AF800" s="79">
        <v>45013.771203703705</v>
      </c>
      <c r="AG800" s="85">
        <v>45013</v>
      </c>
      <c r="AH800" s="82" t="s">
        <v>8475</v>
      </c>
      <c r="AI800" s="77" t="b">
        <v>0</v>
      </c>
      <c r="AJ800" s="77"/>
      <c r="AK800" s="77"/>
      <c r="AL800" s="77"/>
      <c r="AM800" s="77"/>
      <c r="AN800" s="77"/>
      <c r="AO800" s="77"/>
      <c r="AP800" s="77"/>
      <c r="AQ800" s="77" t="s">
        <v>11113</v>
      </c>
      <c r="AR800" s="77"/>
      <c r="AS800" s="77"/>
      <c r="AT800" s="77"/>
      <c r="AU800" s="77"/>
      <c r="AV800" s="80" t="str">
        <f>HYPERLINK("https://pbs.twimg.com/media/FsU72AJWIBkkLnB.jpg")</f>
        <v>https://pbs.twimg.com/media/FsU72AJWIBkkLnB.jpg</v>
      </c>
      <c r="AW800" s="82" t="s">
        <v>12986</v>
      </c>
      <c r="AX800" s="82" t="s">
        <v>12986</v>
      </c>
      <c r="AY800" s="77"/>
      <c r="AZ800" s="82" t="s">
        <v>15804</v>
      </c>
      <c r="BA800" s="82" t="s">
        <v>15804</v>
      </c>
      <c r="BB800" s="82" t="s">
        <v>15804</v>
      </c>
      <c r="BC800" s="82" t="s">
        <v>12986</v>
      </c>
      <c r="BD800" s="82" t="s">
        <v>16277</v>
      </c>
      <c r="BE800" s="77"/>
      <c r="BF800" s="77"/>
      <c r="BG800" s="77"/>
      <c r="BH800" s="77"/>
      <c r="BI800" s="77"/>
    </row>
    <row r="801" spans="1:61" x14ac:dyDescent="0.25">
      <c r="A801" s="62" t="s">
        <v>491</v>
      </c>
      <c r="B801" s="62" t="s">
        <v>491</v>
      </c>
      <c r="C801" s="63"/>
      <c r="D801" s="64"/>
      <c r="E801" s="65"/>
      <c r="F801" s="66"/>
      <c r="G801" s="63"/>
      <c r="H801" s="67"/>
      <c r="I801" s="68"/>
      <c r="J801" s="68"/>
      <c r="K801" s="32"/>
      <c r="L801" s="75">
        <v>801</v>
      </c>
      <c r="M801" s="75"/>
      <c r="N801" s="70"/>
      <c r="O801" s="77" t="s">
        <v>179</v>
      </c>
      <c r="P801" s="79">
        <v>45040.506585648145</v>
      </c>
      <c r="Q801" s="77" t="s">
        <v>1899</v>
      </c>
      <c r="R801" s="77">
        <v>0</v>
      </c>
      <c r="S801" s="77">
        <v>1</v>
      </c>
      <c r="T801" s="77">
        <v>0</v>
      </c>
      <c r="U801" s="77">
        <v>0</v>
      </c>
      <c r="V801" s="77">
        <v>26</v>
      </c>
      <c r="W801" s="82" t="s">
        <v>4625</v>
      </c>
      <c r="X801" s="77"/>
      <c r="Y801" s="77"/>
      <c r="Z801" s="77"/>
      <c r="AA801" s="77" t="s">
        <v>6607</v>
      </c>
      <c r="AB801" s="77" t="s">
        <v>7696</v>
      </c>
      <c r="AC801" s="82" t="s">
        <v>7705</v>
      </c>
      <c r="AD801" s="77" t="s">
        <v>7745</v>
      </c>
      <c r="AE801" s="80" t="str">
        <f>HYPERLINK("https://twitter.com/ebitdaf/status/1650472026178568198")</f>
        <v>https://twitter.com/ebitdaf/status/1650472026178568198</v>
      </c>
      <c r="AF801" s="79">
        <v>45040.506585648145</v>
      </c>
      <c r="AG801" s="85">
        <v>45040</v>
      </c>
      <c r="AH801" s="82" t="s">
        <v>8476</v>
      </c>
      <c r="AI801" s="77" t="b">
        <v>0</v>
      </c>
      <c r="AJ801" s="77"/>
      <c r="AK801" s="77"/>
      <c r="AL801" s="77"/>
      <c r="AM801" s="77"/>
      <c r="AN801" s="77"/>
      <c r="AO801" s="77"/>
      <c r="AP801" s="77"/>
      <c r="AQ801" s="77" t="s">
        <v>11114</v>
      </c>
      <c r="AR801" s="77"/>
      <c r="AS801" s="77"/>
      <c r="AT801" s="77"/>
      <c r="AU801" s="77"/>
      <c r="AV801" s="80" t="str">
        <f>HYPERLINK("https://pbs.twimg.com/media/FuenjwpX0AAXSxl.jpg")</f>
        <v>https://pbs.twimg.com/media/FuenjwpX0AAXSxl.jpg</v>
      </c>
      <c r="AW801" s="82" t="s">
        <v>12987</v>
      </c>
      <c r="AX801" s="82" t="s">
        <v>12987</v>
      </c>
      <c r="AY801" s="77"/>
      <c r="AZ801" s="82" t="s">
        <v>15804</v>
      </c>
      <c r="BA801" s="82" t="s">
        <v>15804</v>
      </c>
      <c r="BB801" s="82" t="s">
        <v>15804</v>
      </c>
      <c r="BC801" s="82" t="s">
        <v>12987</v>
      </c>
      <c r="BD801" s="82" t="s">
        <v>16277</v>
      </c>
      <c r="BE801" s="77"/>
      <c r="BF801" s="77"/>
      <c r="BG801" s="77"/>
      <c r="BH801" s="77"/>
      <c r="BI801" s="77"/>
    </row>
    <row r="802" spans="1:61" x14ac:dyDescent="0.25">
      <c r="A802" s="62" t="s">
        <v>491</v>
      </c>
      <c r="B802" s="62" t="s">
        <v>491</v>
      </c>
      <c r="C802" s="63"/>
      <c r="D802" s="64"/>
      <c r="E802" s="65"/>
      <c r="F802" s="66"/>
      <c r="G802" s="63"/>
      <c r="H802" s="67"/>
      <c r="I802" s="68"/>
      <c r="J802" s="68"/>
      <c r="K802" s="32"/>
      <c r="L802" s="75">
        <v>802</v>
      </c>
      <c r="M802" s="75"/>
      <c r="N802" s="70"/>
      <c r="O802" s="77" t="s">
        <v>179</v>
      </c>
      <c r="P802" s="79">
        <v>45104.946446759262</v>
      </c>
      <c r="Q802" s="77" t="s">
        <v>1900</v>
      </c>
      <c r="R802" s="77">
        <v>0</v>
      </c>
      <c r="S802" s="77">
        <v>1</v>
      </c>
      <c r="T802" s="77">
        <v>0</v>
      </c>
      <c r="U802" s="77">
        <v>0</v>
      </c>
      <c r="V802" s="77">
        <v>18</v>
      </c>
      <c r="W802" s="82" t="s">
        <v>4626</v>
      </c>
      <c r="X802" s="77"/>
      <c r="Y802" s="77"/>
      <c r="Z802" s="77"/>
      <c r="AA802" s="77" t="s">
        <v>6608</v>
      </c>
      <c r="AB802" s="77" t="s">
        <v>7696</v>
      </c>
      <c r="AC802" s="82" t="s">
        <v>7705</v>
      </c>
      <c r="AD802" s="77" t="s">
        <v>7745</v>
      </c>
      <c r="AE802" s="80" t="str">
        <f>HYPERLINK("https://twitter.com/ebitdaf/status/1673824249021177856")</f>
        <v>https://twitter.com/ebitdaf/status/1673824249021177856</v>
      </c>
      <c r="AF802" s="79">
        <v>45104.946446759262</v>
      </c>
      <c r="AG802" s="85">
        <v>45104</v>
      </c>
      <c r="AH802" s="82" t="s">
        <v>8477</v>
      </c>
      <c r="AI802" s="77" t="b">
        <v>0</v>
      </c>
      <c r="AJ802" s="77"/>
      <c r="AK802" s="77"/>
      <c r="AL802" s="77"/>
      <c r="AM802" s="77"/>
      <c r="AN802" s="77"/>
      <c r="AO802" s="77"/>
      <c r="AP802" s="77"/>
      <c r="AQ802" s="77" t="s">
        <v>11115</v>
      </c>
      <c r="AR802" s="77"/>
      <c r="AS802" s="77"/>
      <c r="AT802" s="77"/>
      <c r="AU802" s="77"/>
      <c r="AV802" s="80" t="str">
        <f>HYPERLINK("https://pbs.twimg.com/media/FzqeSB9XwAMipE4.jpg")</f>
        <v>https://pbs.twimg.com/media/FzqeSB9XwAMipE4.jpg</v>
      </c>
      <c r="AW802" s="82" t="s">
        <v>12988</v>
      </c>
      <c r="AX802" s="82" t="s">
        <v>12988</v>
      </c>
      <c r="AY802" s="77"/>
      <c r="AZ802" s="82" t="s">
        <v>15804</v>
      </c>
      <c r="BA802" s="82" t="s">
        <v>15804</v>
      </c>
      <c r="BB802" s="82" t="s">
        <v>15804</v>
      </c>
      <c r="BC802" s="82" t="s">
        <v>12988</v>
      </c>
      <c r="BD802" s="82" t="s">
        <v>16277</v>
      </c>
      <c r="BE802" s="77"/>
      <c r="BF802" s="77"/>
      <c r="BG802" s="77"/>
      <c r="BH802" s="77"/>
      <c r="BI802" s="77"/>
    </row>
    <row r="803" spans="1:61" x14ac:dyDescent="0.25">
      <c r="A803" s="62" t="s">
        <v>492</v>
      </c>
      <c r="B803" s="62" t="s">
        <v>492</v>
      </c>
      <c r="C803" s="63"/>
      <c r="D803" s="64"/>
      <c r="E803" s="65"/>
      <c r="F803" s="66"/>
      <c r="G803" s="63"/>
      <c r="H803" s="67"/>
      <c r="I803" s="68"/>
      <c r="J803" s="68"/>
      <c r="K803" s="32"/>
      <c r="L803" s="75">
        <v>803</v>
      </c>
      <c r="M803" s="75"/>
      <c r="N803" s="70"/>
      <c r="O803" s="77" t="s">
        <v>179</v>
      </c>
      <c r="P803" s="79">
        <v>45098.811712962961</v>
      </c>
      <c r="Q803" s="77" t="s">
        <v>1901</v>
      </c>
      <c r="R803" s="77">
        <v>0</v>
      </c>
      <c r="S803" s="77">
        <v>0</v>
      </c>
      <c r="T803" s="77">
        <v>0</v>
      </c>
      <c r="U803" s="77">
        <v>0</v>
      </c>
      <c r="V803" s="77">
        <v>25</v>
      </c>
      <c r="W803" s="82" t="s">
        <v>4627</v>
      </c>
      <c r="X803" s="77"/>
      <c r="Y803" s="77"/>
      <c r="Z803" s="77"/>
      <c r="AA803" s="77" t="s">
        <v>6609</v>
      </c>
      <c r="AB803" s="77" t="s">
        <v>7697</v>
      </c>
      <c r="AC803" s="82" t="s">
        <v>7707</v>
      </c>
      <c r="AD803" s="77" t="s">
        <v>7745</v>
      </c>
      <c r="AE803" s="80" t="str">
        <f>HYPERLINK("https://twitter.com/mvcosta22/status/1671601096425390081")</f>
        <v>https://twitter.com/mvcosta22/status/1671601096425390081</v>
      </c>
      <c r="AF803" s="79">
        <v>45098.811712962961</v>
      </c>
      <c r="AG803" s="85">
        <v>45098</v>
      </c>
      <c r="AH803" s="82" t="s">
        <v>8478</v>
      </c>
      <c r="AI803" s="77" t="b">
        <v>0</v>
      </c>
      <c r="AJ803" s="77" t="s">
        <v>10534</v>
      </c>
      <c r="AK803" s="77" t="s">
        <v>10552</v>
      </c>
      <c r="AL803" s="77" t="s">
        <v>10555</v>
      </c>
      <c r="AM803" s="77" t="s">
        <v>10571</v>
      </c>
      <c r="AN803" s="77" t="s">
        <v>10601</v>
      </c>
      <c r="AO803" s="77" t="s">
        <v>10632</v>
      </c>
      <c r="AP803" s="77" t="s">
        <v>10649</v>
      </c>
      <c r="AQ803" s="77" t="s">
        <v>11116</v>
      </c>
      <c r="AR803" s="77">
        <v>41132</v>
      </c>
      <c r="AS803" s="77"/>
      <c r="AT803" s="77"/>
      <c r="AU803" s="77">
        <v>6</v>
      </c>
      <c r="AV803" s="80" t="str">
        <f>HYPERLINK("https://pbs.twimg.com/ext_tw_video_thumb/1671601030507708422/pu/img/zIhVQ5MeekixO4Fd.jpg")</f>
        <v>https://pbs.twimg.com/ext_tw_video_thumb/1671601030507708422/pu/img/zIhVQ5MeekixO4Fd.jpg</v>
      </c>
      <c r="AW803" s="82" t="s">
        <v>12989</v>
      </c>
      <c r="AX803" s="82" t="s">
        <v>12989</v>
      </c>
      <c r="AY803" s="77"/>
      <c r="AZ803" s="82" t="s">
        <v>15804</v>
      </c>
      <c r="BA803" s="82" t="s">
        <v>15804</v>
      </c>
      <c r="BB803" s="82" t="s">
        <v>15804</v>
      </c>
      <c r="BC803" s="82" t="s">
        <v>12989</v>
      </c>
      <c r="BD803" s="82" t="s">
        <v>16278</v>
      </c>
      <c r="BE803" s="77"/>
      <c r="BF803" s="77"/>
      <c r="BG803" s="77"/>
      <c r="BH803" s="77"/>
      <c r="BI803" s="77"/>
    </row>
    <row r="804" spans="1:61" x14ac:dyDescent="0.25">
      <c r="A804" s="62" t="s">
        <v>492</v>
      </c>
      <c r="B804" s="62" t="s">
        <v>492</v>
      </c>
      <c r="C804" s="63"/>
      <c r="D804" s="64"/>
      <c r="E804" s="65"/>
      <c r="F804" s="66"/>
      <c r="G804" s="63"/>
      <c r="H804" s="67"/>
      <c r="I804" s="68"/>
      <c r="J804" s="68"/>
      <c r="K804" s="32"/>
      <c r="L804" s="75">
        <v>804</v>
      </c>
      <c r="M804" s="75"/>
      <c r="N804" s="70"/>
      <c r="O804" s="77" t="s">
        <v>179</v>
      </c>
      <c r="P804" s="79">
        <v>45127.632673611108</v>
      </c>
      <c r="Q804" s="77" t="s">
        <v>1902</v>
      </c>
      <c r="R804" s="77">
        <v>0</v>
      </c>
      <c r="S804" s="77">
        <v>1</v>
      </c>
      <c r="T804" s="77">
        <v>0</v>
      </c>
      <c r="U804" s="77">
        <v>0</v>
      </c>
      <c r="V804" s="77">
        <v>24</v>
      </c>
      <c r="W804" s="82" t="s">
        <v>4628</v>
      </c>
      <c r="X804" s="77"/>
      <c r="Y804" s="77"/>
      <c r="Z804" s="77"/>
      <c r="AA804" s="77" t="s">
        <v>6610</v>
      </c>
      <c r="AB804" s="77" t="s">
        <v>7696</v>
      </c>
      <c r="AC804" s="82" t="s">
        <v>7707</v>
      </c>
      <c r="AD804" s="77" t="s">
        <v>7745</v>
      </c>
      <c r="AE804" s="80" t="str">
        <f>HYPERLINK("https://twitter.com/mvcosta22/status/1682045460469411840")</f>
        <v>https://twitter.com/mvcosta22/status/1682045460469411840</v>
      </c>
      <c r="AF804" s="79">
        <v>45127.632673611108</v>
      </c>
      <c r="AG804" s="85">
        <v>45127</v>
      </c>
      <c r="AH804" s="82" t="s">
        <v>8479</v>
      </c>
      <c r="AI804" s="77" t="b">
        <v>0</v>
      </c>
      <c r="AJ804" s="77" t="s">
        <v>10534</v>
      </c>
      <c r="AK804" s="77" t="s">
        <v>10552</v>
      </c>
      <c r="AL804" s="77" t="s">
        <v>10555</v>
      </c>
      <c r="AM804" s="77" t="s">
        <v>10571</v>
      </c>
      <c r="AN804" s="77" t="s">
        <v>10601</v>
      </c>
      <c r="AO804" s="77" t="s">
        <v>10632</v>
      </c>
      <c r="AP804" s="77" t="s">
        <v>10649</v>
      </c>
      <c r="AQ804" s="77" t="s">
        <v>11117</v>
      </c>
      <c r="AR804" s="77"/>
      <c r="AS804" s="77"/>
      <c r="AT804" s="77"/>
      <c r="AU804" s="77"/>
      <c r="AV804" s="80" t="str">
        <f>HYPERLINK("https://pbs.twimg.com/media/F1fTboOacAAjUIH.jpg")</f>
        <v>https://pbs.twimg.com/media/F1fTboOacAAjUIH.jpg</v>
      </c>
      <c r="AW804" s="82" t="s">
        <v>12990</v>
      </c>
      <c r="AX804" s="82" t="s">
        <v>12990</v>
      </c>
      <c r="AY804" s="77"/>
      <c r="AZ804" s="82" t="s">
        <v>15804</v>
      </c>
      <c r="BA804" s="82" t="s">
        <v>15804</v>
      </c>
      <c r="BB804" s="82" t="s">
        <v>15804</v>
      </c>
      <c r="BC804" s="82" t="s">
        <v>12990</v>
      </c>
      <c r="BD804" s="82" t="s">
        <v>16278</v>
      </c>
      <c r="BE804" s="77"/>
      <c r="BF804" s="77"/>
      <c r="BG804" s="77"/>
      <c r="BH804" s="77"/>
      <c r="BI804" s="77"/>
    </row>
    <row r="805" spans="1:61" x14ac:dyDescent="0.25">
      <c r="A805" s="62" t="s">
        <v>493</v>
      </c>
      <c r="B805" s="62" t="s">
        <v>493</v>
      </c>
      <c r="C805" s="63"/>
      <c r="D805" s="64"/>
      <c r="E805" s="65"/>
      <c r="F805" s="66"/>
      <c r="G805" s="63"/>
      <c r="H805" s="67"/>
      <c r="I805" s="68"/>
      <c r="J805" s="68"/>
      <c r="K805" s="32"/>
      <c r="L805" s="75">
        <v>805</v>
      </c>
      <c r="M805" s="75"/>
      <c r="N805" s="70"/>
      <c r="O805" s="77" t="s">
        <v>179</v>
      </c>
      <c r="P805" s="79">
        <v>45015.947928240741</v>
      </c>
      <c r="Q805" s="77" t="s">
        <v>1903</v>
      </c>
      <c r="R805" s="77">
        <v>0</v>
      </c>
      <c r="S805" s="77">
        <v>0</v>
      </c>
      <c r="T805" s="77">
        <v>0</v>
      </c>
      <c r="U805" s="77">
        <v>0</v>
      </c>
      <c r="V805" s="77">
        <v>38</v>
      </c>
      <c r="W805" s="82" t="s">
        <v>4629</v>
      </c>
      <c r="X805" s="77"/>
      <c r="Y805" s="77"/>
      <c r="Z805" s="77"/>
      <c r="AA805" s="77" t="s">
        <v>6611</v>
      </c>
      <c r="AB805" s="77" t="s">
        <v>7697</v>
      </c>
      <c r="AC805" s="82" t="s">
        <v>7716</v>
      </c>
      <c r="AD805" s="77" t="s">
        <v>7745</v>
      </c>
      <c r="AE805" s="80" t="str">
        <f>HYPERLINK("https://twitter.com/finscool_br/status/1641572264985362434")</f>
        <v>https://twitter.com/finscool_br/status/1641572264985362434</v>
      </c>
      <c r="AF805" s="79">
        <v>45015.947928240741</v>
      </c>
      <c r="AG805" s="85">
        <v>45015</v>
      </c>
      <c r="AH805" s="82" t="s">
        <v>8480</v>
      </c>
      <c r="AI805" s="77" t="b">
        <v>0</v>
      </c>
      <c r="AJ805" s="77"/>
      <c r="AK805" s="77"/>
      <c r="AL805" s="77"/>
      <c r="AM805" s="77"/>
      <c r="AN805" s="77"/>
      <c r="AO805" s="77"/>
      <c r="AP805" s="77"/>
      <c r="AQ805" s="77" t="s">
        <v>11118</v>
      </c>
      <c r="AR805" s="77">
        <v>9066</v>
      </c>
      <c r="AS805" s="77"/>
      <c r="AT805" s="77"/>
      <c r="AU805" s="77">
        <v>4</v>
      </c>
      <c r="AV805" s="80" t="str">
        <f>HYPERLINK("https://pbs.twimg.com/ext_tw_video_thumb/1641572220727181313/pu/img/ULtDrrhpQF1kGpoi.jpg")</f>
        <v>https://pbs.twimg.com/ext_tw_video_thumb/1641572220727181313/pu/img/ULtDrrhpQF1kGpoi.jpg</v>
      </c>
      <c r="AW805" s="82" t="s">
        <v>12991</v>
      </c>
      <c r="AX805" s="82" t="s">
        <v>12991</v>
      </c>
      <c r="AY805" s="77"/>
      <c r="AZ805" s="82" t="s">
        <v>15804</v>
      </c>
      <c r="BA805" s="82" t="s">
        <v>15804</v>
      </c>
      <c r="BB805" s="82" t="s">
        <v>15804</v>
      </c>
      <c r="BC805" s="82" t="s">
        <v>12991</v>
      </c>
      <c r="BD805" s="82" t="s">
        <v>16279</v>
      </c>
      <c r="BE805" s="77"/>
      <c r="BF805" s="77"/>
      <c r="BG805" s="77"/>
      <c r="BH805" s="77"/>
      <c r="BI805" s="77"/>
    </row>
    <row r="806" spans="1:61" x14ac:dyDescent="0.25">
      <c r="A806" s="62" t="s">
        <v>494</v>
      </c>
      <c r="B806" s="62" t="s">
        <v>494</v>
      </c>
      <c r="C806" s="63"/>
      <c r="D806" s="64"/>
      <c r="E806" s="65"/>
      <c r="F806" s="66"/>
      <c r="G806" s="63"/>
      <c r="H806" s="67"/>
      <c r="I806" s="68"/>
      <c r="J806" s="68"/>
      <c r="K806" s="32"/>
      <c r="L806" s="75">
        <v>806</v>
      </c>
      <c r="M806" s="75"/>
      <c r="N806" s="70"/>
      <c r="O806" s="77" t="s">
        <v>1132</v>
      </c>
      <c r="P806" s="79">
        <v>45173.873969907407</v>
      </c>
      <c r="Q806" s="77" t="s">
        <v>1904</v>
      </c>
      <c r="R806" s="77">
        <v>0</v>
      </c>
      <c r="S806" s="77">
        <v>0</v>
      </c>
      <c r="T806" s="77">
        <v>0</v>
      </c>
      <c r="U806" s="77">
        <v>0</v>
      </c>
      <c r="V806" s="77">
        <v>62</v>
      </c>
      <c r="W806" s="82" t="s">
        <v>4630</v>
      </c>
      <c r="X806" s="77"/>
      <c r="Y806" s="77"/>
      <c r="Z806" s="77"/>
      <c r="AA806" s="77"/>
      <c r="AB806" s="77"/>
      <c r="AC806" s="82" t="s">
        <v>7706</v>
      </c>
      <c r="AD806" s="77" t="s">
        <v>7745</v>
      </c>
      <c r="AE806" s="80" t="str">
        <f>HYPERLINK("https://twitter.com/_abrates/status/1698802745984033278")</f>
        <v>https://twitter.com/_abrates/status/1698802745984033278</v>
      </c>
      <c r="AF806" s="79">
        <v>45173.873969907407</v>
      </c>
      <c r="AG806" s="85">
        <v>45173</v>
      </c>
      <c r="AH806" s="82" t="s">
        <v>8481</v>
      </c>
      <c r="AI806" s="77"/>
      <c r="AJ806" s="77"/>
      <c r="AK806" s="77"/>
      <c r="AL806" s="77"/>
      <c r="AM806" s="77"/>
      <c r="AN806" s="77"/>
      <c r="AO806" s="77"/>
      <c r="AP806" s="77"/>
      <c r="AQ806" s="77"/>
      <c r="AR806" s="77"/>
      <c r="AS806" s="77"/>
      <c r="AT806" s="77"/>
      <c r="AU806" s="77"/>
      <c r="AV806" s="80" t="str">
        <f>HYPERLINK("https://pbs.twimg.com/profile_images/758387876333756418/tz3Ii4iQ_normal.jpg")</f>
        <v>https://pbs.twimg.com/profile_images/758387876333756418/tz3Ii4iQ_normal.jpg</v>
      </c>
      <c r="AW806" s="82" t="s">
        <v>12992</v>
      </c>
      <c r="AX806" s="82" t="s">
        <v>15300</v>
      </c>
      <c r="AY806" s="82" t="s">
        <v>15720</v>
      </c>
      <c r="AZ806" s="82" t="s">
        <v>15861</v>
      </c>
      <c r="BA806" s="82" t="s">
        <v>15804</v>
      </c>
      <c r="BB806" s="82" t="s">
        <v>15804</v>
      </c>
      <c r="BC806" s="82" t="s">
        <v>15861</v>
      </c>
      <c r="BD806" s="77">
        <v>78018497</v>
      </c>
      <c r="BE806" s="77"/>
      <c r="BF806" s="77"/>
      <c r="BG806" s="77"/>
      <c r="BH806" s="77"/>
      <c r="BI806" s="77"/>
    </row>
    <row r="807" spans="1:61" x14ac:dyDescent="0.25">
      <c r="A807" s="62" t="s">
        <v>495</v>
      </c>
      <c r="B807" s="62" t="s">
        <v>1027</v>
      </c>
      <c r="C807" s="63"/>
      <c r="D807" s="64"/>
      <c r="E807" s="65"/>
      <c r="F807" s="66"/>
      <c r="G807" s="63"/>
      <c r="H807" s="67"/>
      <c r="I807" s="68"/>
      <c r="J807" s="68"/>
      <c r="K807" s="32"/>
      <c r="L807" s="75">
        <v>807</v>
      </c>
      <c r="M807" s="75"/>
      <c r="N807" s="70"/>
      <c r="O807" s="77" t="s">
        <v>1134</v>
      </c>
      <c r="P807" s="79">
        <v>45179.459363425929</v>
      </c>
      <c r="Q807" s="77" t="s">
        <v>1905</v>
      </c>
      <c r="R807" s="77">
        <v>1</v>
      </c>
      <c r="S807" s="77">
        <v>0</v>
      </c>
      <c r="T807" s="77">
        <v>0</v>
      </c>
      <c r="U807" s="77">
        <v>0</v>
      </c>
      <c r="V807" s="77"/>
      <c r="W807" s="82" t="s">
        <v>4631</v>
      </c>
      <c r="X807" s="77"/>
      <c r="Y807" s="77"/>
      <c r="Z807" s="77" t="s">
        <v>1027</v>
      </c>
      <c r="AA807" s="77"/>
      <c r="AB807" s="77"/>
      <c r="AC807" s="82" t="s">
        <v>7706</v>
      </c>
      <c r="AD807" s="77" t="s">
        <v>7745</v>
      </c>
      <c r="AE807" s="80" t="str">
        <f>HYPERLINK("https://twitter.com/abnerluciano/status/1700826825205621091")</f>
        <v>https://twitter.com/abnerluciano/status/1700826825205621091</v>
      </c>
      <c r="AF807" s="79">
        <v>45179.459363425929</v>
      </c>
      <c r="AG807" s="85">
        <v>45179</v>
      </c>
      <c r="AH807" s="82" t="s">
        <v>8482</v>
      </c>
      <c r="AI807" s="77" t="b">
        <v>0</v>
      </c>
      <c r="AJ807" s="77"/>
      <c r="AK807" s="77"/>
      <c r="AL807" s="77"/>
      <c r="AM807" s="77"/>
      <c r="AN807" s="77"/>
      <c r="AO807" s="77"/>
      <c r="AP807" s="77"/>
      <c r="AQ807" s="77"/>
      <c r="AR807" s="77"/>
      <c r="AS807" s="77"/>
      <c r="AT807" s="77"/>
      <c r="AU807" s="77"/>
      <c r="AV807" s="80" t="str">
        <f>HYPERLINK("https://pbs.twimg.com/profile_images/1672080776022704129/tXCTDbKj_normal.jpg")</f>
        <v>https://pbs.twimg.com/profile_images/1672080776022704129/tXCTDbKj_normal.jpg</v>
      </c>
      <c r="AW807" s="82" t="s">
        <v>12993</v>
      </c>
      <c r="AX807" s="82" t="s">
        <v>12993</v>
      </c>
      <c r="AY807" s="77"/>
      <c r="AZ807" s="82" t="s">
        <v>15804</v>
      </c>
      <c r="BA807" s="82" t="s">
        <v>15804</v>
      </c>
      <c r="BB807" s="82" t="s">
        <v>15107</v>
      </c>
      <c r="BC807" s="82" t="s">
        <v>15107</v>
      </c>
      <c r="BD807" s="82" t="s">
        <v>16280</v>
      </c>
      <c r="BE807" s="77"/>
      <c r="BF807" s="77"/>
      <c r="BG807" s="77"/>
      <c r="BH807" s="77"/>
      <c r="BI807" s="77"/>
    </row>
    <row r="808" spans="1:61" x14ac:dyDescent="0.25">
      <c r="A808" s="62" t="s">
        <v>496</v>
      </c>
      <c r="B808" s="62" t="s">
        <v>496</v>
      </c>
      <c r="C808" s="63"/>
      <c r="D808" s="64"/>
      <c r="E808" s="65"/>
      <c r="F808" s="66"/>
      <c r="G808" s="63"/>
      <c r="H808" s="67"/>
      <c r="I808" s="68"/>
      <c r="J808" s="68"/>
      <c r="K808" s="32"/>
      <c r="L808" s="75">
        <v>808</v>
      </c>
      <c r="M808" s="75"/>
      <c r="N808" s="70"/>
      <c r="O808" s="77" t="s">
        <v>179</v>
      </c>
      <c r="P808" s="79">
        <v>44931.666458333333</v>
      </c>
      <c r="Q808" s="77" t="s">
        <v>1906</v>
      </c>
      <c r="R808" s="77">
        <v>0</v>
      </c>
      <c r="S808" s="77">
        <v>0</v>
      </c>
      <c r="T808" s="77">
        <v>0</v>
      </c>
      <c r="U808" s="77">
        <v>0</v>
      </c>
      <c r="V808" s="77">
        <v>8</v>
      </c>
      <c r="W808" s="82" t="s">
        <v>4632</v>
      </c>
      <c r="X808" s="80" t="str">
        <f>HYPERLINK("https://www.instagram.com/reel/CnCgNZLhiCn/?igshid=MDJmNzVkMjY=")</f>
        <v>https://www.instagram.com/reel/CnCgNZLhiCn/?igshid=MDJmNzVkMjY=</v>
      </c>
      <c r="Y808" s="77" t="s">
        <v>6000</v>
      </c>
      <c r="Z808" s="77"/>
      <c r="AA808" s="77"/>
      <c r="AB808" s="77"/>
      <c r="AC808" s="82" t="s">
        <v>7707</v>
      </c>
      <c r="AD808" s="77" t="s">
        <v>7745</v>
      </c>
      <c r="AE808" s="80" t="str">
        <f>HYPERLINK("https://twitter.com/dawisonbarbosa/status/1611029680940847108")</f>
        <v>https://twitter.com/dawisonbarbosa/status/1611029680940847108</v>
      </c>
      <c r="AF808" s="79">
        <v>44931.666458333333</v>
      </c>
      <c r="AG808" s="85">
        <v>44931</v>
      </c>
      <c r="AH808" s="82" t="s">
        <v>8483</v>
      </c>
      <c r="AI808" s="77" t="b">
        <v>0</v>
      </c>
      <c r="AJ808" s="77"/>
      <c r="AK808" s="77"/>
      <c r="AL808" s="77"/>
      <c r="AM808" s="77"/>
      <c r="AN808" s="77"/>
      <c r="AO808" s="77"/>
      <c r="AP808" s="77"/>
      <c r="AQ808" s="77"/>
      <c r="AR808" s="77"/>
      <c r="AS808" s="77"/>
      <c r="AT808" s="77"/>
      <c r="AU808" s="77"/>
      <c r="AV808" s="80" t="str">
        <f>HYPERLINK("https://pbs.twimg.com/profile_images/1642523994317373442/nvqycXA5_normal.jpg")</f>
        <v>https://pbs.twimg.com/profile_images/1642523994317373442/nvqycXA5_normal.jpg</v>
      </c>
      <c r="AW808" s="82" t="s">
        <v>12994</v>
      </c>
      <c r="AX808" s="82" t="s">
        <v>12994</v>
      </c>
      <c r="AY808" s="77"/>
      <c r="AZ808" s="82" t="s">
        <v>15804</v>
      </c>
      <c r="BA808" s="82" t="s">
        <v>15804</v>
      </c>
      <c r="BB808" s="82" t="s">
        <v>15804</v>
      </c>
      <c r="BC808" s="82" t="s">
        <v>12994</v>
      </c>
      <c r="BD808" s="77">
        <v>338097482</v>
      </c>
      <c r="BE808" s="77"/>
      <c r="BF808" s="77"/>
      <c r="BG808" s="77"/>
      <c r="BH808" s="77"/>
      <c r="BI808" s="77"/>
    </row>
    <row r="809" spans="1:61" x14ac:dyDescent="0.25">
      <c r="A809" s="62" t="s">
        <v>496</v>
      </c>
      <c r="B809" s="62" t="s">
        <v>496</v>
      </c>
      <c r="C809" s="63"/>
      <c r="D809" s="64"/>
      <c r="E809" s="65"/>
      <c r="F809" s="66"/>
      <c r="G809" s="63"/>
      <c r="H809" s="67"/>
      <c r="I809" s="68"/>
      <c r="J809" s="68"/>
      <c r="K809" s="32"/>
      <c r="L809" s="75">
        <v>809</v>
      </c>
      <c r="M809" s="75"/>
      <c r="N809" s="70"/>
      <c r="O809" s="77" t="s">
        <v>179</v>
      </c>
      <c r="P809" s="79">
        <v>44953.909780092596</v>
      </c>
      <c r="Q809" s="77" t="s">
        <v>1907</v>
      </c>
      <c r="R809" s="77">
        <v>0</v>
      </c>
      <c r="S809" s="77">
        <v>0</v>
      </c>
      <c r="T809" s="77">
        <v>0</v>
      </c>
      <c r="U809" s="77">
        <v>0</v>
      </c>
      <c r="V809" s="77">
        <v>36</v>
      </c>
      <c r="W809" s="82" t="s">
        <v>4633</v>
      </c>
      <c r="X809" s="80" t="str">
        <f>HYPERLINK("https://www.instagram.com/reel/Cn7yJt4j4FH/?igshid=MDJmNzVkMjY=")</f>
        <v>https://www.instagram.com/reel/Cn7yJt4j4FH/?igshid=MDJmNzVkMjY=</v>
      </c>
      <c r="Y809" s="77" t="s">
        <v>6000</v>
      </c>
      <c r="Z809" s="77"/>
      <c r="AA809" s="77"/>
      <c r="AB809" s="77"/>
      <c r="AC809" s="82" t="s">
        <v>7707</v>
      </c>
      <c r="AD809" s="77" t="s">
        <v>7745</v>
      </c>
      <c r="AE809" s="80" t="str">
        <f>HYPERLINK("https://twitter.com/dawisonbarbosa/status/1619090391961321472")</f>
        <v>https://twitter.com/dawisonbarbosa/status/1619090391961321472</v>
      </c>
      <c r="AF809" s="79">
        <v>44953.909780092596</v>
      </c>
      <c r="AG809" s="85">
        <v>44953</v>
      </c>
      <c r="AH809" s="82" t="s">
        <v>8484</v>
      </c>
      <c r="AI809" s="77" t="b">
        <v>0</v>
      </c>
      <c r="AJ809" s="77"/>
      <c r="AK809" s="77"/>
      <c r="AL809" s="77"/>
      <c r="AM809" s="77"/>
      <c r="AN809" s="77"/>
      <c r="AO809" s="77"/>
      <c r="AP809" s="77"/>
      <c r="AQ809" s="77"/>
      <c r="AR809" s="77"/>
      <c r="AS809" s="77"/>
      <c r="AT809" s="77"/>
      <c r="AU809" s="77"/>
      <c r="AV809" s="80" t="str">
        <f>HYPERLINK("https://pbs.twimg.com/profile_images/1642523994317373442/nvqycXA5_normal.jpg")</f>
        <v>https://pbs.twimg.com/profile_images/1642523994317373442/nvqycXA5_normal.jpg</v>
      </c>
      <c r="AW809" s="82" t="s">
        <v>12995</v>
      </c>
      <c r="AX809" s="82" t="s">
        <v>12995</v>
      </c>
      <c r="AY809" s="77"/>
      <c r="AZ809" s="82" t="s">
        <v>15804</v>
      </c>
      <c r="BA809" s="82" t="s">
        <v>15804</v>
      </c>
      <c r="BB809" s="82" t="s">
        <v>15804</v>
      </c>
      <c r="BC809" s="82" t="s">
        <v>12995</v>
      </c>
      <c r="BD809" s="77">
        <v>338097482</v>
      </c>
      <c r="BE809" s="77"/>
      <c r="BF809" s="77"/>
      <c r="BG809" s="77"/>
      <c r="BH809" s="77"/>
      <c r="BI809" s="77"/>
    </row>
    <row r="810" spans="1:61" x14ac:dyDescent="0.25">
      <c r="A810" s="62" t="s">
        <v>496</v>
      </c>
      <c r="B810" s="62" t="s">
        <v>496</v>
      </c>
      <c r="C810" s="63"/>
      <c r="D810" s="64"/>
      <c r="E810" s="65"/>
      <c r="F810" s="66"/>
      <c r="G810" s="63"/>
      <c r="H810" s="67"/>
      <c r="I810" s="68"/>
      <c r="J810" s="68"/>
      <c r="K810" s="32"/>
      <c r="L810" s="75">
        <v>810</v>
      </c>
      <c r="M810" s="75"/>
      <c r="N810" s="70"/>
      <c r="O810" s="77" t="s">
        <v>179</v>
      </c>
      <c r="P810" s="79">
        <v>44951.947430555556</v>
      </c>
      <c r="Q810" s="77" t="s">
        <v>1908</v>
      </c>
      <c r="R810" s="77">
        <v>0</v>
      </c>
      <c r="S810" s="77">
        <v>0</v>
      </c>
      <c r="T810" s="77">
        <v>0</v>
      </c>
      <c r="U810" s="77">
        <v>0</v>
      </c>
      <c r="V810" s="77">
        <v>3</v>
      </c>
      <c r="W810" s="82" t="s">
        <v>4634</v>
      </c>
      <c r="X810" s="80" t="str">
        <f>HYPERLINK("https://www.instagram.com/reel/Cn2vEgyDMzD/?igshid=MDJmNzVkMjY=")</f>
        <v>https://www.instagram.com/reel/Cn2vEgyDMzD/?igshid=MDJmNzVkMjY=</v>
      </c>
      <c r="Y810" s="77" t="s">
        <v>6000</v>
      </c>
      <c r="Z810" s="77"/>
      <c r="AA810" s="77"/>
      <c r="AB810" s="77"/>
      <c r="AC810" s="82" t="s">
        <v>7707</v>
      </c>
      <c r="AD810" s="77" t="s">
        <v>7745</v>
      </c>
      <c r="AE810" s="80" t="str">
        <f>HYPERLINK("https://twitter.com/dawisonbarbosa/status/1618379258958852096")</f>
        <v>https://twitter.com/dawisonbarbosa/status/1618379258958852096</v>
      </c>
      <c r="AF810" s="79">
        <v>44951.947430555556</v>
      </c>
      <c r="AG810" s="85">
        <v>44951</v>
      </c>
      <c r="AH810" s="82" t="s">
        <v>8485</v>
      </c>
      <c r="AI810" s="77" t="b">
        <v>0</v>
      </c>
      <c r="AJ810" s="77"/>
      <c r="AK810" s="77"/>
      <c r="AL810" s="77"/>
      <c r="AM810" s="77"/>
      <c r="AN810" s="77"/>
      <c r="AO810" s="77"/>
      <c r="AP810" s="77"/>
      <c r="AQ810" s="77"/>
      <c r="AR810" s="77"/>
      <c r="AS810" s="77"/>
      <c r="AT810" s="77"/>
      <c r="AU810" s="77"/>
      <c r="AV810" s="80" t="str">
        <f>HYPERLINK("https://pbs.twimg.com/profile_images/1642523994317373442/nvqycXA5_normal.jpg")</f>
        <v>https://pbs.twimg.com/profile_images/1642523994317373442/nvqycXA5_normal.jpg</v>
      </c>
      <c r="AW810" s="82" t="s">
        <v>12996</v>
      </c>
      <c r="AX810" s="82" t="s">
        <v>12996</v>
      </c>
      <c r="AY810" s="77"/>
      <c r="AZ810" s="82" t="s">
        <v>15804</v>
      </c>
      <c r="BA810" s="82" t="s">
        <v>15804</v>
      </c>
      <c r="BB810" s="82" t="s">
        <v>15804</v>
      </c>
      <c r="BC810" s="82" t="s">
        <v>12996</v>
      </c>
      <c r="BD810" s="77">
        <v>338097482</v>
      </c>
      <c r="BE810" s="77"/>
      <c r="BF810" s="77"/>
      <c r="BG810" s="77"/>
      <c r="BH810" s="77"/>
      <c r="BI810" s="77"/>
    </row>
    <row r="811" spans="1:61" x14ac:dyDescent="0.25">
      <c r="A811" s="62" t="s">
        <v>496</v>
      </c>
      <c r="B811" s="62" t="s">
        <v>496</v>
      </c>
      <c r="C811" s="63"/>
      <c r="D811" s="64"/>
      <c r="E811" s="65"/>
      <c r="F811" s="66"/>
      <c r="G811" s="63"/>
      <c r="H811" s="67"/>
      <c r="I811" s="68"/>
      <c r="J811" s="68"/>
      <c r="K811" s="32"/>
      <c r="L811" s="75">
        <v>811</v>
      </c>
      <c r="M811" s="75"/>
      <c r="N811" s="70"/>
      <c r="O811" s="77" t="s">
        <v>179</v>
      </c>
      <c r="P811" s="79">
        <v>44944.424560185187</v>
      </c>
      <c r="Q811" s="77" t="s">
        <v>1909</v>
      </c>
      <c r="R811" s="77">
        <v>0</v>
      </c>
      <c r="S811" s="77">
        <v>1</v>
      </c>
      <c r="T811" s="77">
        <v>0</v>
      </c>
      <c r="U811" s="77">
        <v>0</v>
      </c>
      <c r="V811" s="77">
        <v>11</v>
      </c>
      <c r="W811" s="82" t="s">
        <v>4635</v>
      </c>
      <c r="X811" s="80" t="str">
        <f>HYPERLINK("https://www.instagram.com/reel/CniVYRrBIeu/?igshid=MDJmNzVkMjY=")</f>
        <v>https://www.instagram.com/reel/CniVYRrBIeu/?igshid=MDJmNzVkMjY=</v>
      </c>
      <c r="Y811" s="77" t="s">
        <v>6000</v>
      </c>
      <c r="Z811" s="77"/>
      <c r="AA811" s="77"/>
      <c r="AB811" s="77"/>
      <c r="AC811" s="82" t="s">
        <v>7707</v>
      </c>
      <c r="AD811" s="77" t="s">
        <v>7745</v>
      </c>
      <c r="AE811" s="80" t="str">
        <f>HYPERLINK("https://twitter.com/dawisonbarbosa/status/1615653063251091460")</f>
        <v>https://twitter.com/dawisonbarbosa/status/1615653063251091460</v>
      </c>
      <c r="AF811" s="79">
        <v>44944.424560185187</v>
      </c>
      <c r="AG811" s="85">
        <v>44944</v>
      </c>
      <c r="AH811" s="82" t="s">
        <v>8486</v>
      </c>
      <c r="AI811" s="77" t="b">
        <v>0</v>
      </c>
      <c r="AJ811" s="77"/>
      <c r="AK811" s="77"/>
      <c r="AL811" s="77"/>
      <c r="AM811" s="77"/>
      <c r="AN811" s="77"/>
      <c r="AO811" s="77"/>
      <c r="AP811" s="77"/>
      <c r="AQ811" s="77"/>
      <c r="AR811" s="77"/>
      <c r="AS811" s="77"/>
      <c r="AT811" s="77"/>
      <c r="AU811" s="77"/>
      <c r="AV811" s="80" t="str">
        <f>HYPERLINK("https://pbs.twimg.com/profile_images/1642523994317373442/nvqycXA5_normal.jpg")</f>
        <v>https://pbs.twimg.com/profile_images/1642523994317373442/nvqycXA5_normal.jpg</v>
      </c>
      <c r="AW811" s="82" t="s">
        <v>12997</v>
      </c>
      <c r="AX811" s="82" t="s">
        <v>12997</v>
      </c>
      <c r="AY811" s="77"/>
      <c r="AZ811" s="82" t="s">
        <v>15804</v>
      </c>
      <c r="BA811" s="82" t="s">
        <v>15804</v>
      </c>
      <c r="BB811" s="82" t="s">
        <v>15804</v>
      </c>
      <c r="BC811" s="82" t="s">
        <v>12997</v>
      </c>
      <c r="BD811" s="77">
        <v>338097482</v>
      </c>
      <c r="BE811" s="77"/>
      <c r="BF811" s="77"/>
      <c r="BG811" s="77"/>
      <c r="BH811" s="77"/>
      <c r="BI811" s="77"/>
    </row>
    <row r="812" spans="1:61" x14ac:dyDescent="0.25">
      <c r="A812" s="62" t="s">
        <v>496</v>
      </c>
      <c r="B812" s="62" t="s">
        <v>496</v>
      </c>
      <c r="C812" s="63"/>
      <c r="D812" s="64"/>
      <c r="E812" s="65"/>
      <c r="F812" s="66"/>
      <c r="G812" s="63"/>
      <c r="H812" s="67"/>
      <c r="I812" s="68"/>
      <c r="J812" s="68"/>
      <c r="K812" s="32"/>
      <c r="L812" s="75">
        <v>812</v>
      </c>
      <c r="M812" s="75"/>
      <c r="N812" s="70"/>
      <c r="O812" s="77" t="s">
        <v>179</v>
      </c>
      <c r="P812" s="79">
        <v>44938.958923611113</v>
      </c>
      <c r="Q812" s="77" t="s">
        <v>1910</v>
      </c>
      <c r="R812" s="77">
        <v>0</v>
      </c>
      <c r="S812" s="77">
        <v>0</v>
      </c>
      <c r="T812" s="77">
        <v>0</v>
      </c>
      <c r="U812" s="77">
        <v>0</v>
      </c>
      <c r="V812" s="77">
        <v>3</v>
      </c>
      <c r="W812" s="82" t="s">
        <v>4636</v>
      </c>
      <c r="X812" s="80" t="str">
        <f>HYPERLINK("https://www.instagram.com/reel/CnVSr2ZBT7n/?igshid=MDJmNzVkMjY=")</f>
        <v>https://www.instagram.com/reel/CnVSr2ZBT7n/?igshid=MDJmNzVkMjY=</v>
      </c>
      <c r="Y812" s="77" t="s">
        <v>6000</v>
      </c>
      <c r="Z812" s="77"/>
      <c r="AA812" s="77"/>
      <c r="AB812" s="77"/>
      <c r="AC812" s="82" t="s">
        <v>7707</v>
      </c>
      <c r="AD812" s="77" t="s">
        <v>7745</v>
      </c>
      <c r="AE812" s="80" t="str">
        <f>HYPERLINK("https://twitter.com/dawisonbarbosa/status/1613672382325198848")</f>
        <v>https://twitter.com/dawisonbarbosa/status/1613672382325198848</v>
      </c>
      <c r="AF812" s="79">
        <v>44938.958923611113</v>
      </c>
      <c r="AG812" s="85">
        <v>44938</v>
      </c>
      <c r="AH812" s="82" t="s">
        <v>8487</v>
      </c>
      <c r="AI812" s="77" t="b">
        <v>0</v>
      </c>
      <c r="AJ812" s="77"/>
      <c r="AK812" s="77"/>
      <c r="AL812" s="77"/>
      <c r="AM812" s="77"/>
      <c r="AN812" s="77"/>
      <c r="AO812" s="77"/>
      <c r="AP812" s="77"/>
      <c r="AQ812" s="77"/>
      <c r="AR812" s="77"/>
      <c r="AS812" s="77"/>
      <c r="AT812" s="77"/>
      <c r="AU812" s="77"/>
      <c r="AV812" s="80" t="str">
        <f>HYPERLINK("https://pbs.twimg.com/profile_images/1642523994317373442/nvqycXA5_normal.jpg")</f>
        <v>https://pbs.twimg.com/profile_images/1642523994317373442/nvqycXA5_normal.jpg</v>
      </c>
      <c r="AW812" s="82" t="s">
        <v>12998</v>
      </c>
      <c r="AX812" s="82" t="s">
        <v>12998</v>
      </c>
      <c r="AY812" s="77"/>
      <c r="AZ812" s="82" t="s">
        <v>15804</v>
      </c>
      <c r="BA812" s="82" t="s">
        <v>15804</v>
      </c>
      <c r="BB812" s="82" t="s">
        <v>15804</v>
      </c>
      <c r="BC812" s="82" t="s">
        <v>12998</v>
      </c>
      <c r="BD812" s="77">
        <v>338097482</v>
      </c>
      <c r="BE812" s="77"/>
      <c r="BF812" s="77"/>
      <c r="BG812" s="77"/>
      <c r="BH812" s="77"/>
      <c r="BI812" s="77"/>
    </row>
    <row r="813" spans="1:61" x14ac:dyDescent="0.25">
      <c r="A813" s="62" t="s">
        <v>497</v>
      </c>
      <c r="B813" s="62" t="s">
        <v>1078</v>
      </c>
      <c r="C813" s="63"/>
      <c r="D813" s="64"/>
      <c r="E813" s="65"/>
      <c r="F813" s="66"/>
      <c r="G813" s="63"/>
      <c r="H813" s="67"/>
      <c r="I813" s="68"/>
      <c r="J813" s="68"/>
      <c r="K813" s="32"/>
      <c r="L813" s="75">
        <v>813</v>
      </c>
      <c r="M813" s="75"/>
      <c r="N813" s="70"/>
      <c r="O813" s="77" t="s">
        <v>1136</v>
      </c>
      <c r="P813" s="79">
        <v>44971.961574074077</v>
      </c>
      <c r="Q813" s="77" t="s">
        <v>1911</v>
      </c>
      <c r="R813" s="77">
        <v>0</v>
      </c>
      <c r="S813" s="77">
        <v>9</v>
      </c>
      <c r="T813" s="77">
        <v>0</v>
      </c>
      <c r="U813" s="77">
        <v>0</v>
      </c>
      <c r="V813" s="77">
        <v>131</v>
      </c>
      <c r="W813" s="82" t="s">
        <v>4097</v>
      </c>
      <c r="X813" s="77"/>
      <c r="Y813" s="77"/>
      <c r="Z813" s="77" t="s">
        <v>6124</v>
      </c>
      <c r="AA813" s="77"/>
      <c r="AB813" s="77"/>
      <c r="AC813" s="82" t="s">
        <v>7707</v>
      </c>
      <c r="AD813" s="77" t="s">
        <v>7745</v>
      </c>
      <c r="AE813" s="80" t="str">
        <f>HYPERLINK("https://twitter.com/ricardoschramm/status/1625632145015177219")</f>
        <v>https://twitter.com/ricardoschramm/status/1625632145015177219</v>
      </c>
      <c r="AF813" s="79">
        <v>44971.961574074077</v>
      </c>
      <c r="AG813" s="85">
        <v>44971</v>
      </c>
      <c r="AH813" s="82" t="s">
        <v>8488</v>
      </c>
      <c r="AI813" s="77"/>
      <c r="AJ813" s="77"/>
      <c r="AK813" s="77"/>
      <c r="AL813" s="77"/>
      <c r="AM813" s="77"/>
      <c r="AN813" s="77"/>
      <c r="AO813" s="77"/>
      <c r="AP813" s="77"/>
      <c r="AQ813" s="77"/>
      <c r="AR813" s="77"/>
      <c r="AS813" s="77"/>
      <c r="AT813" s="77"/>
      <c r="AU813" s="77"/>
      <c r="AV813" s="80" t="str">
        <f>HYPERLINK("https://pbs.twimg.com/profile_images/1566961209919823872/iTDxooap_normal.jpg")</f>
        <v>https://pbs.twimg.com/profile_images/1566961209919823872/iTDxooap_normal.jpg</v>
      </c>
      <c r="AW813" s="82" t="s">
        <v>12999</v>
      </c>
      <c r="AX813" s="82" t="s">
        <v>15301</v>
      </c>
      <c r="AY813" s="82" t="s">
        <v>15721</v>
      </c>
      <c r="AZ813" s="82" t="s">
        <v>15301</v>
      </c>
      <c r="BA813" s="82" t="s">
        <v>15804</v>
      </c>
      <c r="BB813" s="82" t="s">
        <v>15804</v>
      </c>
      <c r="BC813" s="82" t="s">
        <v>15301</v>
      </c>
      <c r="BD813" s="77">
        <v>90856101</v>
      </c>
      <c r="BE813" s="77"/>
      <c r="BF813" s="77"/>
      <c r="BG813" s="77"/>
      <c r="BH813" s="77"/>
      <c r="BI813" s="77"/>
    </row>
    <row r="814" spans="1:61" x14ac:dyDescent="0.25">
      <c r="A814" s="62" t="s">
        <v>497</v>
      </c>
      <c r="B814" s="62" t="s">
        <v>1079</v>
      </c>
      <c r="C814" s="63"/>
      <c r="D814" s="64"/>
      <c r="E814" s="65"/>
      <c r="F814" s="66"/>
      <c r="G814" s="63"/>
      <c r="H814" s="67"/>
      <c r="I814" s="68"/>
      <c r="J814" s="68"/>
      <c r="K814" s="32"/>
      <c r="L814" s="75">
        <v>814</v>
      </c>
      <c r="M814" s="75"/>
      <c r="N814" s="70"/>
      <c r="O814" s="77" t="s">
        <v>1132</v>
      </c>
      <c r="P814" s="79">
        <v>44971.961574074077</v>
      </c>
      <c r="Q814" s="77" t="s">
        <v>1911</v>
      </c>
      <c r="R814" s="77">
        <v>0</v>
      </c>
      <c r="S814" s="77">
        <v>9</v>
      </c>
      <c r="T814" s="77">
        <v>0</v>
      </c>
      <c r="U814" s="77">
        <v>0</v>
      </c>
      <c r="V814" s="77">
        <v>131</v>
      </c>
      <c r="W814" s="82" t="s">
        <v>4097</v>
      </c>
      <c r="X814" s="77"/>
      <c r="Y814" s="77"/>
      <c r="Z814" s="77" t="s">
        <v>6124</v>
      </c>
      <c r="AA814" s="77"/>
      <c r="AB814" s="77"/>
      <c r="AC814" s="82" t="s">
        <v>7707</v>
      </c>
      <c r="AD814" s="77" t="s">
        <v>7745</v>
      </c>
      <c r="AE814" s="80" t="str">
        <f>HYPERLINK("https://twitter.com/ricardoschramm/status/1625632145015177219")</f>
        <v>https://twitter.com/ricardoschramm/status/1625632145015177219</v>
      </c>
      <c r="AF814" s="79">
        <v>44971.961574074077</v>
      </c>
      <c r="AG814" s="85">
        <v>44971</v>
      </c>
      <c r="AH814" s="82" t="s">
        <v>8488</v>
      </c>
      <c r="AI814" s="77"/>
      <c r="AJ814" s="77"/>
      <c r="AK814" s="77"/>
      <c r="AL814" s="77"/>
      <c r="AM814" s="77"/>
      <c r="AN814" s="77"/>
      <c r="AO814" s="77"/>
      <c r="AP814" s="77"/>
      <c r="AQ814" s="77"/>
      <c r="AR814" s="77"/>
      <c r="AS814" s="77"/>
      <c r="AT814" s="77"/>
      <c r="AU814" s="77"/>
      <c r="AV814" s="80" t="str">
        <f>HYPERLINK("https://pbs.twimg.com/profile_images/1566961209919823872/iTDxooap_normal.jpg")</f>
        <v>https://pbs.twimg.com/profile_images/1566961209919823872/iTDxooap_normal.jpg</v>
      </c>
      <c r="AW814" s="82" t="s">
        <v>12999</v>
      </c>
      <c r="AX814" s="82" t="s">
        <v>15301</v>
      </c>
      <c r="AY814" s="82" t="s">
        <v>15721</v>
      </c>
      <c r="AZ814" s="82" t="s">
        <v>15301</v>
      </c>
      <c r="BA814" s="82" t="s">
        <v>15804</v>
      </c>
      <c r="BB814" s="82" t="s">
        <v>15804</v>
      </c>
      <c r="BC814" s="82" t="s">
        <v>15301</v>
      </c>
      <c r="BD814" s="77">
        <v>90856101</v>
      </c>
      <c r="BE814" s="77"/>
      <c r="BF814" s="77"/>
      <c r="BG814" s="77"/>
      <c r="BH814" s="77"/>
      <c r="BI814" s="77"/>
    </row>
    <row r="815" spans="1:61" x14ac:dyDescent="0.25">
      <c r="A815" s="62" t="s">
        <v>498</v>
      </c>
      <c r="B815" s="62" t="s">
        <v>498</v>
      </c>
      <c r="C815" s="63"/>
      <c r="D815" s="64"/>
      <c r="E815" s="65"/>
      <c r="F815" s="66"/>
      <c r="G815" s="63"/>
      <c r="H815" s="67"/>
      <c r="I815" s="68"/>
      <c r="J815" s="68"/>
      <c r="K815" s="32"/>
      <c r="L815" s="75">
        <v>815</v>
      </c>
      <c r="M815" s="75"/>
      <c r="N815" s="70"/>
      <c r="O815" s="77" t="s">
        <v>179</v>
      </c>
      <c r="P815" s="79">
        <v>44987.586481481485</v>
      </c>
      <c r="Q815" s="77" t="s">
        <v>1912</v>
      </c>
      <c r="R815" s="77">
        <v>0</v>
      </c>
      <c r="S815" s="77">
        <v>0</v>
      </c>
      <c r="T815" s="77">
        <v>0</v>
      </c>
      <c r="U815" s="77">
        <v>0</v>
      </c>
      <c r="V815" s="77">
        <v>3</v>
      </c>
      <c r="W815" s="82" t="s">
        <v>4637</v>
      </c>
      <c r="X815" s="80" t="str">
        <f>HYPERLINK("http://ellosun.com.br")</f>
        <v>http://ellosun.com.br</v>
      </c>
      <c r="Y815" s="77" t="s">
        <v>6002</v>
      </c>
      <c r="Z815" s="77"/>
      <c r="AA815" s="77" t="s">
        <v>6612</v>
      </c>
      <c r="AB815" s="77" t="s">
        <v>7696</v>
      </c>
      <c r="AC815" s="82" t="s">
        <v>7706</v>
      </c>
      <c r="AD815" s="77" t="s">
        <v>7745</v>
      </c>
      <c r="AE815" s="80" t="str">
        <f>HYPERLINK("https://twitter.com/ellosuneng/status/1631294421198143488")</f>
        <v>https://twitter.com/ellosuneng/status/1631294421198143488</v>
      </c>
      <c r="AF815" s="79">
        <v>44987.586481481485</v>
      </c>
      <c r="AG815" s="85">
        <v>44987</v>
      </c>
      <c r="AH815" s="82" t="s">
        <v>8489</v>
      </c>
      <c r="AI815" s="77" t="b">
        <v>0</v>
      </c>
      <c r="AJ815" s="77"/>
      <c r="AK815" s="77"/>
      <c r="AL815" s="77"/>
      <c r="AM815" s="77"/>
      <c r="AN815" s="77"/>
      <c r="AO815" s="77"/>
      <c r="AP815" s="77"/>
      <c r="AQ815" s="77" t="s">
        <v>11119</v>
      </c>
      <c r="AR815" s="77"/>
      <c r="AS815" s="77"/>
      <c r="AT815" s="77"/>
      <c r="AU815" s="77"/>
      <c r="AV815" s="80" t="str">
        <f>HYPERLINK("https://pbs.twimg.com/media/FqOFn5FXsAADjgc.jpg")</f>
        <v>https://pbs.twimg.com/media/FqOFn5FXsAADjgc.jpg</v>
      </c>
      <c r="AW815" s="82" t="s">
        <v>13000</v>
      </c>
      <c r="AX815" s="82" t="s">
        <v>13000</v>
      </c>
      <c r="AY815" s="77"/>
      <c r="AZ815" s="82" t="s">
        <v>15804</v>
      </c>
      <c r="BA815" s="82" t="s">
        <v>15804</v>
      </c>
      <c r="BB815" s="82" t="s">
        <v>15804</v>
      </c>
      <c r="BC815" s="82" t="s">
        <v>13000</v>
      </c>
      <c r="BD815" s="82" t="s">
        <v>16281</v>
      </c>
      <c r="BE815" s="77"/>
      <c r="BF815" s="77"/>
      <c r="BG815" s="77"/>
      <c r="BH815" s="77"/>
      <c r="BI815" s="77"/>
    </row>
    <row r="816" spans="1:61" x14ac:dyDescent="0.25">
      <c r="A816" s="62" t="s">
        <v>499</v>
      </c>
      <c r="B816" s="62" t="s">
        <v>499</v>
      </c>
      <c r="C816" s="63"/>
      <c r="D816" s="64"/>
      <c r="E816" s="65"/>
      <c r="F816" s="66"/>
      <c r="G816" s="63"/>
      <c r="H816" s="67"/>
      <c r="I816" s="68"/>
      <c r="J816" s="68"/>
      <c r="K816" s="32"/>
      <c r="L816" s="75">
        <v>816</v>
      </c>
      <c r="M816" s="75"/>
      <c r="N816" s="70"/>
      <c r="O816" s="77" t="s">
        <v>179</v>
      </c>
      <c r="P816" s="79">
        <v>44978.390115740738</v>
      </c>
      <c r="Q816" s="77" t="s">
        <v>1913</v>
      </c>
      <c r="R816" s="77">
        <v>0</v>
      </c>
      <c r="S816" s="77">
        <v>0</v>
      </c>
      <c r="T816" s="77">
        <v>0</v>
      </c>
      <c r="U816" s="77">
        <v>0</v>
      </c>
      <c r="V816" s="77">
        <v>13</v>
      </c>
      <c r="W816" s="82" t="s">
        <v>4638</v>
      </c>
      <c r="X816" s="80" t="str">
        <f>HYPERLINK("https://ift.tt/5QdIvfn")</f>
        <v>https://ift.tt/5QdIvfn</v>
      </c>
      <c r="Y816" s="77" t="s">
        <v>6048</v>
      </c>
      <c r="Z816" s="77"/>
      <c r="AA816" s="77"/>
      <c r="AB816" s="77"/>
      <c r="AC816" s="82" t="s">
        <v>7719</v>
      </c>
      <c r="AD816" s="77" t="s">
        <v>7751</v>
      </c>
      <c r="AE816" s="80" t="str">
        <f>HYPERLINK("https://twitter.com/bytresloucado/status/1627961767665053696")</f>
        <v>https://twitter.com/bytresloucado/status/1627961767665053696</v>
      </c>
      <c r="AF816" s="79">
        <v>44978.390115740738</v>
      </c>
      <c r="AG816" s="85">
        <v>44978</v>
      </c>
      <c r="AH816" s="82" t="s">
        <v>8490</v>
      </c>
      <c r="AI816" s="77" t="b">
        <v>0</v>
      </c>
      <c r="AJ816" s="77"/>
      <c r="AK816" s="77"/>
      <c r="AL816" s="77"/>
      <c r="AM816" s="77"/>
      <c r="AN816" s="77"/>
      <c r="AO816" s="77"/>
      <c r="AP816" s="77"/>
      <c r="AQ816" s="77"/>
      <c r="AR816" s="77"/>
      <c r="AS816" s="77"/>
      <c r="AT816" s="77"/>
      <c r="AU816" s="77"/>
      <c r="AV816" s="80" t="str">
        <f>HYPERLINK("https://pbs.twimg.com/profile_images/1479504305015205892/z9LtNU8X_normal.jpg")</f>
        <v>https://pbs.twimg.com/profile_images/1479504305015205892/z9LtNU8X_normal.jpg</v>
      </c>
      <c r="AW816" s="82" t="s">
        <v>13001</v>
      </c>
      <c r="AX816" s="82" t="s">
        <v>13001</v>
      </c>
      <c r="AY816" s="77"/>
      <c r="AZ816" s="82" t="s">
        <v>15804</v>
      </c>
      <c r="BA816" s="82" t="s">
        <v>15804</v>
      </c>
      <c r="BB816" s="82" t="s">
        <v>15804</v>
      </c>
      <c r="BC816" s="82" t="s">
        <v>13001</v>
      </c>
      <c r="BD816" s="82" t="s">
        <v>16282</v>
      </c>
      <c r="BE816" s="77"/>
      <c r="BF816" s="77"/>
      <c r="BG816" s="77"/>
      <c r="BH816" s="77"/>
      <c r="BI816" s="77"/>
    </row>
    <row r="817" spans="1:61" x14ac:dyDescent="0.25">
      <c r="A817" s="62" t="s">
        <v>499</v>
      </c>
      <c r="B817" s="62" t="s">
        <v>499</v>
      </c>
      <c r="C817" s="63"/>
      <c r="D817" s="64"/>
      <c r="E817" s="65"/>
      <c r="F817" s="66"/>
      <c r="G817" s="63"/>
      <c r="H817" s="67"/>
      <c r="I817" s="68"/>
      <c r="J817" s="68"/>
      <c r="K817" s="32"/>
      <c r="L817" s="75">
        <v>817</v>
      </c>
      <c r="M817" s="75"/>
      <c r="N817" s="70"/>
      <c r="O817" s="77" t="s">
        <v>179</v>
      </c>
      <c r="P817" s="79">
        <v>45008.30678240741</v>
      </c>
      <c r="Q817" s="77" t="s">
        <v>1914</v>
      </c>
      <c r="R817" s="77">
        <v>0</v>
      </c>
      <c r="S817" s="77">
        <v>0</v>
      </c>
      <c r="T817" s="77">
        <v>0</v>
      </c>
      <c r="U817" s="77">
        <v>0</v>
      </c>
      <c r="V817" s="77">
        <v>17</v>
      </c>
      <c r="W817" s="82" t="s">
        <v>4639</v>
      </c>
      <c r="X817" s="80" t="str">
        <f>HYPERLINK("https://ift.tt/Fm0dvlY")</f>
        <v>https://ift.tt/Fm0dvlY</v>
      </c>
      <c r="Y817" s="77" t="s">
        <v>6048</v>
      </c>
      <c r="Z817" s="77"/>
      <c r="AA817" s="77"/>
      <c r="AB817" s="77"/>
      <c r="AC817" s="82" t="s">
        <v>7719</v>
      </c>
      <c r="AD817" s="77" t="s">
        <v>7745</v>
      </c>
      <c r="AE817" s="80" t="str">
        <f>HYPERLINK("https://twitter.com/bytresloucado/status/1638803206720598016")</f>
        <v>https://twitter.com/bytresloucado/status/1638803206720598016</v>
      </c>
      <c r="AF817" s="79">
        <v>45008.30678240741</v>
      </c>
      <c r="AG817" s="85">
        <v>45008</v>
      </c>
      <c r="AH817" s="82" t="s">
        <v>8491</v>
      </c>
      <c r="AI817" s="77" t="b">
        <v>0</v>
      </c>
      <c r="AJ817" s="77"/>
      <c r="AK817" s="77"/>
      <c r="AL817" s="77"/>
      <c r="AM817" s="77"/>
      <c r="AN817" s="77"/>
      <c r="AO817" s="77"/>
      <c r="AP817" s="77"/>
      <c r="AQ817" s="77"/>
      <c r="AR817" s="77"/>
      <c r="AS817" s="77"/>
      <c r="AT817" s="77"/>
      <c r="AU817" s="77"/>
      <c r="AV817" s="80" t="str">
        <f>HYPERLINK("https://pbs.twimg.com/profile_images/1479504305015205892/z9LtNU8X_normal.jpg")</f>
        <v>https://pbs.twimg.com/profile_images/1479504305015205892/z9LtNU8X_normal.jpg</v>
      </c>
      <c r="AW817" s="82" t="s">
        <v>13002</v>
      </c>
      <c r="AX817" s="82" t="s">
        <v>13002</v>
      </c>
      <c r="AY817" s="77"/>
      <c r="AZ817" s="82" t="s">
        <v>15804</v>
      </c>
      <c r="BA817" s="82" t="s">
        <v>15804</v>
      </c>
      <c r="BB817" s="82" t="s">
        <v>15804</v>
      </c>
      <c r="BC817" s="82" t="s">
        <v>13002</v>
      </c>
      <c r="BD817" s="82" t="s">
        <v>16282</v>
      </c>
      <c r="BE817" s="77"/>
      <c r="BF817" s="77"/>
      <c r="BG817" s="77"/>
      <c r="BH817" s="77"/>
      <c r="BI817" s="77"/>
    </row>
    <row r="818" spans="1:61" x14ac:dyDescent="0.25">
      <c r="A818" s="62" t="s">
        <v>500</v>
      </c>
      <c r="B818" s="62" t="s">
        <v>500</v>
      </c>
      <c r="C818" s="63"/>
      <c r="D818" s="64"/>
      <c r="E818" s="65"/>
      <c r="F818" s="66"/>
      <c r="G818" s="63"/>
      <c r="H818" s="67"/>
      <c r="I818" s="68"/>
      <c r="J818" s="68"/>
      <c r="K818" s="32"/>
      <c r="L818" s="75">
        <v>818</v>
      </c>
      <c r="M818" s="75"/>
      <c r="N818" s="70"/>
      <c r="O818" s="77" t="s">
        <v>179</v>
      </c>
      <c r="P818" s="79">
        <v>45127.753854166665</v>
      </c>
      <c r="Q818" s="77" t="s">
        <v>1915</v>
      </c>
      <c r="R818" s="77">
        <v>0</v>
      </c>
      <c r="S818" s="77">
        <v>0</v>
      </c>
      <c r="T818" s="77">
        <v>0</v>
      </c>
      <c r="U818" s="77">
        <v>0</v>
      </c>
      <c r="V818" s="77">
        <v>60</v>
      </c>
      <c r="W818" s="82" t="s">
        <v>4640</v>
      </c>
      <c r="X818" s="77"/>
      <c r="Y818" s="77"/>
      <c r="Z818" s="77"/>
      <c r="AA818" s="77" t="s">
        <v>6613</v>
      </c>
      <c r="AB818" s="77" t="s">
        <v>7697</v>
      </c>
      <c r="AC818" s="82" t="s">
        <v>7705</v>
      </c>
      <c r="AD818" s="77" t="s">
        <v>7745</v>
      </c>
      <c r="AE818" s="80" t="str">
        <f>HYPERLINK("https://twitter.com/mano_investidor/status/1682089377135054848")</f>
        <v>https://twitter.com/mano_investidor/status/1682089377135054848</v>
      </c>
      <c r="AF818" s="79">
        <v>45127.753854166665</v>
      </c>
      <c r="AG818" s="85">
        <v>45127</v>
      </c>
      <c r="AH818" s="82" t="s">
        <v>8492</v>
      </c>
      <c r="AI818" s="77" t="b">
        <v>0</v>
      </c>
      <c r="AJ818" s="77"/>
      <c r="AK818" s="77"/>
      <c r="AL818" s="77"/>
      <c r="AM818" s="77"/>
      <c r="AN818" s="77"/>
      <c r="AO818" s="77"/>
      <c r="AP818" s="77"/>
      <c r="AQ818" s="77" t="s">
        <v>11120</v>
      </c>
      <c r="AR818" s="77">
        <v>70666</v>
      </c>
      <c r="AS818" s="77"/>
      <c r="AT818" s="77"/>
      <c r="AU818" s="77">
        <v>13</v>
      </c>
      <c r="AV818" s="80" t="str">
        <f>HYPERLINK("https://pbs.twimg.com/ext_tw_video_thumb/1682089242883661834/pu/img/dBUuLfkKvgJii2fQ.jpg")</f>
        <v>https://pbs.twimg.com/ext_tw_video_thumb/1682089242883661834/pu/img/dBUuLfkKvgJii2fQ.jpg</v>
      </c>
      <c r="AW818" s="82" t="s">
        <v>13003</v>
      </c>
      <c r="AX818" s="82" t="s">
        <v>13003</v>
      </c>
      <c r="AY818" s="77"/>
      <c r="AZ818" s="82" t="s">
        <v>15804</v>
      </c>
      <c r="BA818" s="82" t="s">
        <v>15804</v>
      </c>
      <c r="BB818" s="82" t="s">
        <v>15804</v>
      </c>
      <c r="BC818" s="82" t="s">
        <v>13003</v>
      </c>
      <c r="BD818" s="82" t="s">
        <v>16283</v>
      </c>
      <c r="BE818" s="77"/>
      <c r="BF818" s="77"/>
      <c r="BG818" s="77"/>
      <c r="BH818" s="77"/>
      <c r="BI818" s="77"/>
    </row>
    <row r="819" spans="1:61" x14ac:dyDescent="0.25">
      <c r="A819" s="62" t="s">
        <v>501</v>
      </c>
      <c r="B819" s="62" t="s">
        <v>501</v>
      </c>
      <c r="C819" s="63"/>
      <c r="D819" s="64"/>
      <c r="E819" s="65"/>
      <c r="F819" s="66"/>
      <c r="G819" s="63"/>
      <c r="H819" s="67"/>
      <c r="I819" s="68"/>
      <c r="J819" s="68"/>
      <c r="K819" s="32"/>
      <c r="L819" s="75">
        <v>819</v>
      </c>
      <c r="M819" s="75"/>
      <c r="N819" s="70"/>
      <c r="O819" s="77" t="s">
        <v>179</v>
      </c>
      <c r="P819" s="79">
        <v>44988.39267361111</v>
      </c>
      <c r="Q819" s="77" t="s">
        <v>1916</v>
      </c>
      <c r="R819" s="77">
        <v>0</v>
      </c>
      <c r="S819" s="77">
        <v>1</v>
      </c>
      <c r="T819" s="77">
        <v>0</v>
      </c>
      <c r="U819" s="77">
        <v>0</v>
      </c>
      <c r="V819" s="77">
        <v>11</v>
      </c>
      <c r="W819" s="82" t="s">
        <v>4641</v>
      </c>
      <c r="X819" s="80" t="str">
        <f>HYPERLINK("http://www.academiabolsa.pt")</f>
        <v>http://www.academiabolsa.pt</v>
      </c>
      <c r="Y819" s="77" t="s">
        <v>6049</v>
      </c>
      <c r="Z819" s="77"/>
      <c r="AA819" s="77" t="s">
        <v>6614</v>
      </c>
      <c r="AB819" s="77" t="s">
        <v>7696</v>
      </c>
      <c r="AC819" s="82" t="s">
        <v>7706</v>
      </c>
      <c r="AD819" s="77" t="s">
        <v>7745</v>
      </c>
      <c r="AE819" s="80" t="str">
        <f>HYPERLINK("https://twitter.com/academiadebolsa/status/1631586574977622016")</f>
        <v>https://twitter.com/academiadebolsa/status/1631586574977622016</v>
      </c>
      <c r="AF819" s="79">
        <v>44988.39267361111</v>
      </c>
      <c r="AG819" s="85">
        <v>44988</v>
      </c>
      <c r="AH819" s="82" t="s">
        <v>8493</v>
      </c>
      <c r="AI819" s="77" t="b">
        <v>0</v>
      </c>
      <c r="AJ819" s="77"/>
      <c r="AK819" s="77"/>
      <c r="AL819" s="77"/>
      <c r="AM819" s="77"/>
      <c r="AN819" s="77"/>
      <c r="AO819" s="77"/>
      <c r="AP819" s="77"/>
      <c r="AQ819" s="77" t="s">
        <v>11121</v>
      </c>
      <c r="AR819" s="77"/>
      <c r="AS819" s="77"/>
      <c r="AT819" s="77"/>
      <c r="AU819" s="77"/>
      <c r="AV819" s="80" t="str">
        <f>HYPERLINK("https://pbs.twimg.com/media/FqSPRfzXoAEtTrt.jpg")</f>
        <v>https://pbs.twimg.com/media/FqSPRfzXoAEtTrt.jpg</v>
      </c>
      <c r="AW819" s="82" t="s">
        <v>13004</v>
      </c>
      <c r="AX819" s="82" t="s">
        <v>13004</v>
      </c>
      <c r="AY819" s="77"/>
      <c r="AZ819" s="82" t="s">
        <v>15804</v>
      </c>
      <c r="BA819" s="82" t="s">
        <v>15804</v>
      </c>
      <c r="BB819" s="82" t="s">
        <v>15804</v>
      </c>
      <c r="BC819" s="82" t="s">
        <v>13004</v>
      </c>
      <c r="BD819" s="82" t="s">
        <v>16284</v>
      </c>
      <c r="BE819" s="77"/>
      <c r="BF819" s="77"/>
      <c r="BG819" s="77"/>
      <c r="BH819" s="77"/>
      <c r="BI819" s="77"/>
    </row>
    <row r="820" spans="1:61" x14ac:dyDescent="0.25">
      <c r="A820" s="62" t="s">
        <v>502</v>
      </c>
      <c r="B820" s="62" t="s">
        <v>502</v>
      </c>
      <c r="C820" s="63"/>
      <c r="D820" s="64"/>
      <c r="E820" s="65"/>
      <c r="F820" s="66"/>
      <c r="G820" s="63"/>
      <c r="H820" s="67"/>
      <c r="I820" s="68"/>
      <c r="J820" s="68"/>
      <c r="K820" s="32"/>
      <c r="L820" s="75">
        <v>820</v>
      </c>
      <c r="M820" s="75"/>
      <c r="N820" s="70"/>
      <c r="O820" s="77" t="s">
        <v>1132</v>
      </c>
      <c r="P820" s="79">
        <v>45006.689629629633</v>
      </c>
      <c r="Q820" s="77" t="s">
        <v>1917</v>
      </c>
      <c r="R820" s="77">
        <v>0</v>
      </c>
      <c r="S820" s="77">
        <v>0</v>
      </c>
      <c r="T820" s="77">
        <v>1</v>
      </c>
      <c r="U820" s="77">
        <v>0</v>
      </c>
      <c r="V820" s="77">
        <v>4</v>
      </c>
      <c r="W820" s="82" t="s">
        <v>4097</v>
      </c>
      <c r="X820" s="77"/>
      <c r="Y820" s="77"/>
      <c r="Z820" s="77"/>
      <c r="AA820" s="77"/>
      <c r="AB820" s="77"/>
      <c r="AC820" s="82" t="s">
        <v>7706</v>
      </c>
      <c r="AD820" s="77" t="s">
        <v>7745</v>
      </c>
      <c r="AE820" s="80" t="str">
        <f>HYPERLINK("https://twitter.com/grm88765974grm/status/1638217167626698752")</f>
        <v>https://twitter.com/grm88765974grm/status/1638217167626698752</v>
      </c>
      <c r="AF820" s="79">
        <v>45006.689629629633</v>
      </c>
      <c r="AG820" s="85">
        <v>45006</v>
      </c>
      <c r="AH820" s="82" t="s">
        <v>8494</v>
      </c>
      <c r="AI820" s="77"/>
      <c r="AJ820" s="77"/>
      <c r="AK820" s="77"/>
      <c r="AL820" s="77"/>
      <c r="AM820" s="77"/>
      <c r="AN820" s="77"/>
      <c r="AO820" s="77"/>
      <c r="AP820" s="77"/>
      <c r="AQ820" s="77"/>
      <c r="AR820" s="77"/>
      <c r="AS820" s="77"/>
      <c r="AT820" s="77"/>
      <c r="AU820" s="77"/>
      <c r="AV820" s="80" t="str">
        <f>HYPERLINK("https://pbs.twimg.com/profile_images/1620876828524089352/eUOKMokw_normal.jpg")</f>
        <v>https://pbs.twimg.com/profile_images/1620876828524089352/eUOKMokw_normal.jpg</v>
      </c>
      <c r="AW820" s="82" t="s">
        <v>13005</v>
      </c>
      <c r="AX820" s="82" t="s">
        <v>15302</v>
      </c>
      <c r="AY820" s="82" t="s">
        <v>15722</v>
      </c>
      <c r="AZ820" s="82" t="s">
        <v>15862</v>
      </c>
      <c r="BA820" s="82" t="s">
        <v>15804</v>
      </c>
      <c r="BB820" s="82" t="s">
        <v>15804</v>
      </c>
      <c r="BC820" s="82" t="s">
        <v>15862</v>
      </c>
      <c r="BD820" s="82" t="s">
        <v>15722</v>
      </c>
      <c r="BE820" s="77"/>
      <c r="BF820" s="77"/>
      <c r="BG820" s="77"/>
      <c r="BH820" s="77"/>
      <c r="BI820" s="77"/>
    </row>
    <row r="821" spans="1:61" x14ac:dyDescent="0.25">
      <c r="A821" s="62" t="s">
        <v>502</v>
      </c>
      <c r="B821" s="62" t="s">
        <v>502</v>
      </c>
      <c r="C821" s="63"/>
      <c r="D821" s="64"/>
      <c r="E821" s="65"/>
      <c r="F821" s="66"/>
      <c r="G821" s="63"/>
      <c r="H821" s="67"/>
      <c r="I821" s="68"/>
      <c r="J821" s="68"/>
      <c r="K821" s="32"/>
      <c r="L821" s="75">
        <v>821</v>
      </c>
      <c r="M821" s="75"/>
      <c r="N821" s="70"/>
      <c r="O821" s="77" t="s">
        <v>179</v>
      </c>
      <c r="P821" s="79">
        <v>45002.324374999997</v>
      </c>
      <c r="Q821" s="77" t="s">
        <v>1918</v>
      </c>
      <c r="R821" s="77">
        <v>0</v>
      </c>
      <c r="S821" s="77">
        <v>0</v>
      </c>
      <c r="T821" s="77">
        <v>0</v>
      </c>
      <c r="U821" s="77">
        <v>0</v>
      </c>
      <c r="V821" s="77">
        <v>6</v>
      </c>
      <c r="W821" s="82" t="s">
        <v>4642</v>
      </c>
      <c r="X821" s="77"/>
      <c r="Y821" s="77"/>
      <c r="Z821" s="77"/>
      <c r="AA821" s="77"/>
      <c r="AB821" s="77"/>
      <c r="AC821" s="82" t="s">
        <v>7706</v>
      </c>
      <c r="AD821" s="77" t="s">
        <v>7748</v>
      </c>
      <c r="AE821" s="80" t="str">
        <f>HYPERLINK("https://twitter.com/grm88765974grm/status/1636635252708843524")</f>
        <v>https://twitter.com/grm88765974grm/status/1636635252708843524</v>
      </c>
      <c r="AF821" s="79">
        <v>45002.324374999997</v>
      </c>
      <c r="AG821" s="85">
        <v>45002</v>
      </c>
      <c r="AH821" s="82" t="s">
        <v>8495</v>
      </c>
      <c r="AI821" s="77"/>
      <c r="AJ821" s="77"/>
      <c r="AK821" s="77"/>
      <c r="AL821" s="77"/>
      <c r="AM821" s="77"/>
      <c r="AN821" s="77"/>
      <c r="AO821" s="77"/>
      <c r="AP821" s="77"/>
      <c r="AQ821" s="77"/>
      <c r="AR821" s="77"/>
      <c r="AS821" s="77"/>
      <c r="AT821" s="77"/>
      <c r="AU821" s="77"/>
      <c r="AV821" s="80" t="str">
        <f>HYPERLINK("https://pbs.twimg.com/profile_images/1620876828524089352/eUOKMokw_normal.jpg")</f>
        <v>https://pbs.twimg.com/profile_images/1620876828524089352/eUOKMokw_normal.jpg</v>
      </c>
      <c r="AW821" s="82" t="s">
        <v>13006</v>
      </c>
      <c r="AX821" s="82" t="s">
        <v>13006</v>
      </c>
      <c r="AY821" s="77"/>
      <c r="AZ821" s="82" t="s">
        <v>15804</v>
      </c>
      <c r="BA821" s="82" t="s">
        <v>15804</v>
      </c>
      <c r="BB821" s="82" t="s">
        <v>15804</v>
      </c>
      <c r="BC821" s="82" t="s">
        <v>13006</v>
      </c>
      <c r="BD821" s="82" t="s">
        <v>15722</v>
      </c>
      <c r="BE821" s="77"/>
      <c r="BF821" s="77"/>
      <c r="BG821" s="77"/>
      <c r="BH821" s="77"/>
      <c r="BI821" s="77"/>
    </row>
    <row r="822" spans="1:61" x14ac:dyDescent="0.25">
      <c r="A822" s="62" t="s">
        <v>503</v>
      </c>
      <c r="B822" s="62" t="s">
        <v>503</v>
      </c>
      <c r="C822" s="63"/>
      <c r="D822" s="64"/>
      <c r="E822" s="65"/>
      <c r="F822" s="66"/>
      <c r="G822" s="63"/>
      <c r="H822" s="67"/>
      <c r="I822" s="68"/>
      <c r="J822" s="68"/>
      <c r="K822" s="32"/>
      <c r="L822" s="75">
        <v>822</v>
      </c>
      <c r="M822" s="75"/>
      <c r="N822" s="70"/>
      <c r="O822" s="77" t="s">
        <v>179</v>
      </c>
      <c r="P822" s="79">
        <v>45132.609305555554</v>
      </c>
      <c r="Q822" s="77" t="s">
        <v>1919</v>
      </c>
      <c r="R822" s="77">
        <v>0</v>
      </c>
      <c r="S822" s="77">
        <v>0</v>
      </c>
      <c r="T822" s="77">
        <v>0</v>
      </c>
      <c r="U822" s="77">
        <v>0</v>
      </c>
      <c r="V822" s="77">
        <v>8</v>
      </c>
      <c r="W822" s="82" t="s">
        <v>4643</v>
      </c>
      <c r="X822" s="80" t="str">
        <f>HYPERLINK("https://technewsbr.substack.com/p/comprar-bitcoin-com-que-dinheiro")</f>
        <v>https://technewsbr.substack.com/p/comprar-bitcoin-com-que-dinheiro</v>
      </c>
      <c r="Y822" s="77" t="s">
        <v>6050</v>
      </c>
      <c r="Z822" s="77"/>
      <c r="AA822" s="77" t="s">
        <v>6615</v>
      </c>
      <c r="AB822" s="77" t="s">
        <v>7696</v>
      </c>
      <c r="AC822" s="82" t="s">
        <v>7706</v>
      </c>
      <c r="AD822" s="77" t="s">
        <v>7745</v>
      </c>
      <c r="AE822" s="80" t="str">
        <f>HYPERLINK("https://twitter.com/technewsbr90131/status/1683848932013506562")</f>
        <v>https://twitter.com/technewsbr90131/status/1683848932013506562</v>
      </c>
      <c r="AF822" s="79">
        <v>45132.609305555554</v>
      </c>
      <c r="AG822" s="85">
        <v>45132</v>
      </c>
      <c r="AH822" s="82" t="s">
        <v>8496</v>
      </c>
      <c r="AI822" s="77" t="b">
        <v>0</v>
      </c>
      <c r="AJ822" s="77"/>
      <c r="AK822" s="77"/>
      <c r="AL822" s="77"/>
      <c r="AM822" s="77"/>
      <c r="AN822" s="77"/>
      <c r="AO822" s="77"/>
      <c r="AP822" s="77"/>
      <c r="AQ822" s="77" t="s">
        <v>11122</v>
      </c>
      <c r="AR822" s="77"/>
      <c r="AS822" s="77"/>
      <c r="AT822" s="77"/>
      <c r="AU822" s="77"/>
      <c r="AV822" s="80" t="str">
        <f>HYPERLINK("https://pbs.twimg.com/media/F147jbwWIAAF885.png")</f>
        <v>https://pbs.twimg.com/media/F147jbwWIAAF885.png</v>
      </c>
      <c r="AW822" s="82" t="s">
        <v>13007</v>
      </c>
      <c r="AX822" s="82" t="s">
        <v>13007</v>
      </c>
      <c r="AY822" s="77"/>
      <c r="AZ822" s="82" t="s">
        <v>15804</v>
      </c>
      <c r="BA822" s="82" t="s">
        <v>15804</v>
      </c>
      <c r="BB822" s="82" t="s">
        <v>15804</v>
      </c>
      <c r="BC822" s="82" t="s">
        <v>13007</v>
      </c>
      <c r="BD822" s="82" t="s">
        <v>16285</v>
      </c>
      <c r="BE822" s="77"/>
      <c r="BF822" s="77"/>
      <c r="BG822" s="77"/>
      <c r="BH822" s="77"/>
      <c r="BI822" s="77"/>
    </row>
    <row r="823" spans="1:61" x14ac:dyDescent="0.25">
      <c r="A823" s="62" t="s">
        <v>504</v>
      </c>
      <c r="B823" s="62" t="s">
        <v>891</v>
      </c>
      <c r="C823" s="63"/>
      <c r="D823" s="64"/>
      <c r="E823" s="65"/>
      <c r="F823" s="66"/>
      <c r="G823" s="63"/>
      <c r="H823" s="67"/>
      <c r="I823" s="68"/>
      <c r="J823" s="68"/>
      <c r="K823" s="32"/>
      <c r="L823" s="75">
        <v>823</v>
      </c>
      <c r="M823" s="75"/>
      <c r="N823" s="70"/>
      <c r="O823" s="77" t="s">
        <v>1134</v>
      </c>
      <c r="P823" s="79">
        <v>45180.947118055556</v>
      </c>
      <c r="Q823" s="77" t="s">
        <v>1585</v>
      </c>
      <c r="R823" s="77">
        <v>4</v>
      </c>
      <c r="S823" s="77">
        <v>0</v>
      </c>
      <c r="T823" s="77">
        <v>0</v>
      </c>
      <c r="U823" s="77">
        <v>0</v>
      </c>
      <c r="V823" s="77"/>
      <c r="W823" s="77"/>
      <c r="X823" s="77"/>
      <c r="Y823" s="77"/>
      <c r="Z823" s="77" t="s">
        <v>891</v>
      </c>
      <c r="AA823" s="77"/>
      <c r="AB823" s="77"/>
      <c r="AC823" s="82" t="s">
        <v>7707</v>
      </c>
      <c r="AD823" s="77" t="s">
        <v>7745</v>
      </c>
      <c r="AE823" s="80" t="str">
        <f>HYPERLINK("https://twitter.com/mauriciomoega/status/1701365967073267878")</f>
        <v>https://twitter.com/mauriciomoega/status/1701365967073267878</v>
      </c>
      <c r="AF823" s="79">
        <v>45180.947118055556</v>
      </c>
      <c r="AG823" s="85">
        <v>45180</v>
      </c>
      <c r="AH823" s="82" t="s">
        <v>8497</v>
      </c>
      <c r="AI823" s="77"/>
      <c r="AJ823" s="77"/>
      <c r="AK823" s="77"/>
      <c r="AL823" s="77"/>
      <c r="AM823" s="77"/>
      <c r="AN823" s="77"/>
      <c r="AO823" s="77"/>
      <c r="AP823" s="77"/>
      <c r="AQ823" s="77"/>
      <c r="AR823" s="77"/>
      <c r="AS823" s="77"/>
      <c r="AT823" s="77"/>
      <c r="AU823" s="77"/>
      <c r="AV823" s="80" t="str">
        <f>HYPERLINK("https://pbs.twimg.com/profile_images/1661501989413330946/UpBZTUVC_normal.jpg")</f>
        <v>https://pbs.twimg.com/profile_images/1661501989413330946/UpBZTUVC_normal.jpg</v>
      </c>
      <c r="AW823" s="82" t="s">
        <v>13008</v>
      </c>
      <c r="AX823" s="82" t="s">
        <v>13008</v>
      </c>
      <c r="AY823" s="77"/>
      <c r="AZ823" s="82" t="s">
        <v>15804</v>
      </c>
      <c r="BA823" s="82" t="s">
        <v>15804</v>
      </c>
      <c r="BB823" s="82" t="s">
        <v>14428</v>
      </c>
      <c r="BC823" s="82" t="s">
        <v>14428</v>
      </c>
      <c r="BD823" s="82" t="s">
        <v>16286</v>
      </c>
      <c r="BE823" s="77"/>
      <c r="BF823" s="77"/>
      <c r="BG823" s="77"/>
      <c r="BH823" s="77"/>
      <c r="BI823" s="77"/>
    </row>
    <row r="824" spans="1:61" x14ac:dyDescent="0.25">
      <c r="A824" s="62" t="s">
        <v>505</v>
      </c>
      <c r="B824" s="62" t="s">
        <v>505</v>
      </c>
      <c r="C824" s="63"/>
      <c r="D824" s="64"/>
      <c r="E824" s="65"/>
      <c r="F824" s="66"/>
      <c r="G824" s="63"/>
      <c r="H824" s="67"/>
      <c r="I824" s="68"/>
      <c r="J824" s="68"/>
      <c r="K824" s="32"/>
      <c r="L824" s="75">
        <v>824</v>
      </c>
      <c r="M824" s="75"/>
      <c r="N824" s="70"/>
      <c r="O824" s="77" t="s">
        <v>179</v>
      </c>
      <c r="P824" s="79">
        <v>45134.576909722222</v>
      </c>
      <c r="Q824" s="77" t="s">
        <v>1920</v>
      </c>
      <c r="R824" s="77">
        <v>1</v>
      </c>
      <c r="S824" s="77">
        <v>7</v>
      </c>
      <c r="T824" s="77">
        <v>0</v>
      </c>
      <c r="U824" s="77">
        <v>0</v>
      </c>
      <c r="V824" s="77">
        <v>183</v>
      </c>
      <c r="W824" s="82" t="s">
        <v>4644</v>
      </c>
      <c r="X824" s="77"/>
      <c r="Y824" s="77"/>
      <c r="Z824" s="77"/>
      <c r="AA824" s="77" t="s">
        <v>6616</v>
      </c>
      <c r="AB824" s="77" t="s">
        <v>7697</v>
      </c>
      <c r="AC824" s="82" t="s">
        <v>7706</v>
      </c>
      <c r="AD824" s="77" t="s">
        <v>7745</v>
      </c>
      <c r="AE824" s="80" t="str">
        <f>HYPERLINK("https://twitter.com/drancelmoramos/status/1684561968043278339")</f>
        <v>https://twitter.com/drancelmoramos/status/1684561968043278339</v>
      </c>
      <c r="AF824" s="79">
        <v>45134.576909722222</v>
      </c>
      <c r="AG824" s="85">
        <v>45134</v>
      </c>
      <c r="AH824" s="82" t="s">
        <v>8498</v>
      </c>
      <c r="AI824" s="77" t="b">
        <v>0</v>
      </c>
      <c r="AJ824" s="77"/>
      <c r="AK824" s="77"/>
      <c r="AL824" s="77"/>
      <c r="AM824" s="77"/>
      <c r="AN824" s="77"/>
      <c r="AO824" s="77"/>
      <c r="AP824" s="77"/>
      <c r="AQ824" s="77" t="s">
        <v>11123</v>
      </c>
      <c r="AR824" s="77">
        <v>35000</v>
      </c>
      <c r="AS824" s="77"/>
      <c r="AT824" s="77"/>
      <c r="AU824" s="77">
        <v>65</v>
      </c>
      <c r="AV824" s="80" t="str">
        <f>HYPERLINK("https://pbs.twimg.com/ext_tw_video_thumb/1684561616283766784/pu/img/wa7BfRGX3TR8StAg.jpg")</f>
        <v>https://pbs.twimg.com/ext_tw_video_thumb/1684561616283766784/pu/img/wa7BfRGX3TR8StAg.jpg</v>
      </c>
      <c r="AW824" s="82" t="s">
        <v>13009</v>
      </c>
      <c r="AX824" s="82" t="s">
        <v>13009</v>
      </c>
      <c r="AY824" s="77"/>
      <c r="AZ824" s="82" t="s">
        <v>15804</v>
      </c>
      <c r="BA824" s="82" t="s">
        <v>15804</v>
      </c>
      <c r="BB824" s="82" t="s">
        <v>15804</v>
      </c>
      <c r="BC824" s="82" t="s">
        <v>13009</v>
      </c>
      <c r="BD824" s="82" t="s">
        <v>16287</v>
      </c>
      <c r="BE824" s="77"/>
      <c r="BF824" s="77"/>
      <c r="BG824" s="77"/>
      <c r="BH824" s="77"/>
      <c r="BI824" s="77"/>
    </row>
    <row r="825" spans="1:61" x14ac:dyDescent="0.25">
      <c r="A825" s="62" t="s">
        <v>506</v>
      </c>
      <c r="B825" s="62" t="s">
        <v>506</v>
      </c>
      <c r="C825" s="63"/>
      <c r="D825" s="64"/>
      <c r="E825" s="65"/>
      <c r="F825" s="66"/>
      <c r="G825" s="63"/>
      <c r="H825" s="67"/>
      <c r="I825" s="68"/>
      <c r="J825" s="68"/>
      <c r="K825" s="32"/>
      <c r="L825" s="75">
        <v>825</v>
      </c>
      <c r="M825" s="75"/>
      <c r="N825" s="70"/>
      <c r="O825" s="77" t="s">
        <v>179</v>
      </c>
      <c r="P825" s="79">
        <v>44965.066087962965</v>
      </c>
      <c r="Q825" s="77" t="s">
        <v>1921</v>
      </c>
      <c r="R825" s="77">
        <v>0</v>
      </c>
      <c r="S825" s="77">
        <v>0</v>
      </c>
      <c r="T825" s="77">
        <v>0</v>
      </c>
      <c r="U825" s="77">
        <v>0</v>
      </c>
      <c r="V825" s="77">
        <v>22</v>
      </c>
      <c r="W825" s="82" t="s">
        <v>4080</v>
      </c>
      <c r="X825" s="80" t="str">
        <f>HYPERLINK("https://sun.eduzz.com/1067708?a=662908675")</f>
        <v>https://sun.eduzz.com/1067708?a=662908675</v>
      </c>
      <c r="Y825" s="77" t="s">
        <v>6051</v>
      </c>
      <c r="Z825" s="77"/>
      <c r="AA825" s="77"/>
      <c r="AB825" s="77"/>
      <c r="AC825" s="82" t="s">
        <v>7705</v>
      </c>
      <c r="AD825" s="77" t="s">
        <v>7745</v>
      </c>
      <c r="AE825" s="80" t="str">
        <f>HYPERLINK("https://twitter.com/mrcia770732731/status/1623133304110161921")</f>
        <v>https://twitter.com/mrcia770732731/status/1623133304110161921</v>
      </c>
      <c r="AF825" s="79">
        <v>44965.066087962965</v>
      </c>
      <c r="AG825" s="85">
        <v>44965</v>
      </c>
      <c r="AH825" s="82" t="s">
        <v>8499</v>
      </c>
      <c r="AI825" s="77" t="b">
        <v>0</v>
      </c>
      <c r="AJ825" s="77"/>
      <c r="AK825" s="77"/>
      <c r="AL825" s="77"/>
      <c r="AM825" s="77"/>
      <c r="AN825" s="77"/>
      <c r="AO825" s="77"/>
      <c r="AP825" s="77"/>
      <c r="AQ825" s="77"/>
      <c r="AR825" s="77"/>
      <c r="AS825" s="77"/>
      <c r="AT825" s="77"/>
      <c r="AU825" s="77"/>
      <c r="AV825" s="80" t="str">
        <f>HYPERLINK("https://pbs.twimg.com/profile_images/1620905204186058753/MFxzXM-m_normal.jpg")</f>
        <v>https://pbs.twimg.com/profile_images/1620905204186058753/MFxzXM-m_normal.jpg</v>
      </c>
      <c r="AW825" s="82" t="s">
        <v>13010</v>
      </c>
      <c r="AX825" s="82" t="s">
        <v>13010</v>
      </c>
      <c r="AY825" s="77"/>
      <c r="AZ825" s="82" t="s">
        <v>15804</v>
      </c>
      <c r="BA825" s="82" t="s">
        <v>15804</v>
      </c>
      <c r="BB825" s="82" t="s">
        <v>15804</v>
      </c>
      <c r="BC825" s="82" t="s">
        <v>13010</v>
      </c>
      <c r="BD825" s="82" t="s">
        <v>16288</v>
      </c>
      <c r="BE825" s="77"/>
      <c r="BF825" s="77"/>
      <c r="BG825" s="77"/>
      <c r="BH825" s="77"/>
      <c r="BI825" s="77"/>
    </row>
    <row r="826" spans="1:61" x14ac:dyDescent="0.25">
      <c r="A826" s="62" t="s">
        <v>507</v>
      </c>
      <c r="B826" s="62" t="s">
        <v>507</v>
      </c>
      <c r="C826" s="63"/>
      <c r="D826" s="64"/>
      <c r="E826" s="65"/>
      <c r="F826" s="66"/>
      <c r="G826" s="63"/>
      <c r="H826" s="67"/>
      <c r="I826" s="68"/>
      <c r="J826" s="68"/>
      <c r="K826" s="32"/>
      <c r="L826" s="75">
        <v>826</v>
      </c>
      <c r="M826" s="75"/>
      <c r="N826" s="70"/>
      <c r="O826" s="77" t="s">
        <v>1132</v>
      </c>
      <c r="P826" s="79">
        <v>44963.888055555559</v>
      </c>
      <c r="Q826" s="77" t="s">
        <v>1922</v>
      </c>
      <c r="R826" s="77">
        <v>0</v>
      </c>
      <c r="S826" s="77">
        <v>0</v>
      </c>
      <c r="T826" s="77">
        <v>0</v>
      </c>
      <c r="U826" s="77">
        <v>0</v>
      </c>
      <c r="V826" s="77">
        <v>31</v>
      </c>
      <c r="W826" s="82" t="s">
        <v>4645</v>
      </c>
      <c r="X826" s="80" t="str">
        <f>HYPERLINK("https://economia.ig.com.br/colunas/defesa-do-consumidor/2020-06-19/venda-casada-entenda-o-que-e-e-os-direitos-do-consumidor.html")</f>
        <v>https://economia.ig.com.br/colunas/defesa-do-consumidor/2020-06-19/venda-casada-entenda-o-que-e-e-os-direitos-do-consumidor.html</v>
      </c>
      <c r="Y826" s="77" t="s">
        <v>6002</v>
      </c>
      <c r="Z826" s="77"/>
      <c r="AA826" s="77"/>
      <c r="AB826" s="77"/>
      <c r="AC826" s="82" t="s">
        <v>7706</v>
      </c>
      <c r="AD826" s="77" t="s">
        <v>7745</v>
      </c>
      <c r="AE826" s="80" t="str">
        <f>HYPERLINK("https://twitter.com/muriloabacherli/status/1622706397761662976")</f>
        <v>https://twitter.com/muriloabacherli/status/1622706397761662976</v>
      </c>
      <c r="AF826" s="79">
        <v>44963.888055555559</v>
      </c>
      <c r="AG826" s="85">
        <v>44963</v>
      </c>
      <c r="AH826" s="82" t="s">
        <v>8500</v>
      </c>
      <c r="AI826" s="77" t="b">
        <v>0</v>
      </c>
      <c r="AJ826" s="77"/>
      <c r="AK826" s="77"/>
      <c r="AL826" s="77"/>
      <c r="AM826" s="77"/>
      <c r="AN826" s="77"/>
      <c r="AO826" s="77"/>
      <c r="AP826" s="77"/>
      <c r="AQ826" s="77"/>
      <c r="AR826" s="77"/>
      <c r="AS826" s="77"/>
      <c r="AT826" s="77"/>
      <c r="AU826" s="77"/>
      <c r="AV826" s="80" t="str">
        <f>HYPERLINK("https://pbs.twimg.com/profile_images/1613917681069047810/9Kr8SNOp_normal.jpg")</f>
        <v>https://pbs.twimg.com/profile_images/1613917681069047810/9Kr8SNOp_normal.jpg</v>
      </c>
      <c r="AW826" s="82" t="s">
        <v>13011</v>
      </c>
      <c r="AX826" s="82" t="s">
        <v>15303</v>
      </c>
      <c r="AY826" s="82" t="s">
        <v>15723</v>
      </c>
      <c r="AZ826" s="82" t="s">
        <v>15863</v>
      </c>
      <c r="BA826" s="82" t="s">
        <v>15804</v>
      </c>
      <c r="BB826" s="82" t="s">
        <v>15804</v>
      </c>
      <c r="BC826" s="82" t="s">
        <v>15863</v>
      </c>
      <c r="BD826" s="82" t="s">
        <v>15723</v>
      </c>
      <c r="BE826" s="77"/>
      <c r="BF826" s="77"/>
      <c r="BG826" s="77"/>
      <c r="BH826" s="77"/>
      <c r="BI826" s="77"/>
    </row>
    <row r="827" spans="1:61" x14ac:dyDescent="0.25">
      <c r="A827" s="62" t="s">
        <v>508</v>
      </c>
      <c r="B827" s="62" t="s">
        <v>508</v>
      </c>
      <c r="C827" s="63"/>
      <c r="D827" s="64"/>
      <c r="E827" s="65"/>
      <c r="F827" s="66"/>
      <c r="G827" s="63"/>
      <c r="H827" s="67"/>
      <c r="I827" s="68"/>
      <c r="J827" s="68"/>
      <c r="K827" s="32"/>
      <c r="L827" s="75">
        <v>827</v>
      </c>
      <c r="M827" s="75"/>
      <c r="N827" s="70"/>
      <c r="O827" s="77" t="s">
        <v>179</v>
      </c>
      <c r="P827" s="79">
        <v>45046.901203703703</v>
      </c>
      <c r="Q827" s="77" t="s">
        <v>1923</v>
      </c>
      <c r="R827" s="77">
        <v>0</v>
      </c>
      <c r="S827" s="77">
        <v>3</v>
      </c>
      <c r="T827" s="77">
        <v>2</v>
      </c>
      <c r="U827" s="77">
        <v>1</v>
      </c>
      <c r="V827" s="77">
        <v>89</v>
      </c>
      <c r="W827" s="82" t="s">
        <v>4646</v>
      </c>
      <c r="X827" s="77"/>
      <c r="Y827" s="77"/>
      <c r="Z827" s="77"/>
      <c r="AA827" s="77" t="s">
        <v>6617</v>
      </c>
      <c r="AB827" s="77" t="s">
        <v>7697</v>
      </c>
      <c r="AC827" s="82" t="s">
        <v>7707</v>
      </c>
      <c r="AD827" s="77" t="s">
        <v>7745</v>
      </c>
      <c r="AE827" s="80" t="str">
        <f>HYPERLINK("https://twitter.com/willkushman/status/1652789355952439298")</f>
        <v>https://twitter.com/willkushman/status/1652789355952439298</v>
      </c>
      <c r="AF827" s="79">
        <v>45046.901203703703</v>
      </c>
      <c r="AG827" s="85">
        <v>45046</v>
      </c>
      <c r="AH827" s="82" t="s">
        <v>8501</v>
      </c>
      <c r="AI827" s="77" t="b">
        <v>0</v>
      </c>
      <c r="AJ827" s="77"/>
      <c r="AK827" s="77"/>
      <c r="AL827" s="77"/>
      <c r="AM827" s="77"/>
      <c r="AN827" s="77"/>
      <c r="AO827" s="77"/>
      <c r="AP827" s="77"/>
      <c r="AQ827" s="77" t="s">
        <v>11124</v>
      </c>
      <c r="AR827" s="77">
        <v>6400</v>
      </c>
      <c r="AS827" s="77"/>
      <c r="AT827" s="77"/>
      <c r="AU827" s="77">
        <v>33</v>
      </c>
      <c r="AV827" s="80" t="str">
        <f>HYPERLINK("https://pbs.twimg.com/ext_tw_video_thumb/1652789336075649024/pu/img/wSMqlp_ocvU7Zvn2.jpg")</f>
        <v>https://pbs.twimg.com/ext_tw_video_thumb/1652789336075649024/pu/img/wSMqlp_ocvU7Zvn2.jpg</v>
      </c>
      <c r="AW827" s="82" t="s">
        <v>13012</v>
      </c>
      <c r="AX827" s="82" t="s">
        <v>13012</v>
      </c>
      <c r="AY827" s="77"/>
      <c r="AZ827" s="82" t="s">
        <v>15804</v>
      </c>
      <c r="BA827" s="82" t="s">
        <v>15804</v>
      </c>
      <c r="BB827" s="82" t="s">
        <v>15804</v>
      </c>
      <c r="BC827" s="82" t="s">
        <v>13012</v>
      </c>
      <c r="BD827" s="82" t="s">
        <v>16289</v>
      </c>
      <c r="BE827" s="77"/>
      <c r="BF827" s="77"/>
      <c r="BG827" s="77"/>
      <c r="BH827" s="77"/>
      <c r="BI827" s="77"/>
    </row>
    <row r="828" spans="1:61" x14ac:dyDescent="0.25">
      <c r="A828" s="62" t="s">
        <v>509</v>
      </c>
      <c r="B828" s="62" t="s">
        <v>509</v>
      </c>
      <c r="C828" s="63"/>
      <c r="D828" s="64"/>
      <c r="E828" s="65"/>
      <c r="F828" s="66"/>
      <c r="G828" s="63"/>
      <c r="H828" s="67"/>
      <c r="I828" s="68"/>
      <c r="J828" s="68"/>
      <c r="K828" s="32"/>
      <c r="L828" s="75">
        <v>828</v>
      </c>
      <c r="M828" s="75"/>
      <c r="N828" s="70"/>
      <c r="O828" s="77" t="s">
        <v>179</v>
      </c>
      <c r="P828" s="79">
        <v>45181.535057870373</v>
      </c>
      <c r="Q828" s="77" t="s">
        <v>1924</v>
      </c>
      <c r="R828" s="77">
        <v>0</v>
      </c>
      <c r="S828" s="77">
        <v>1</v>
      </c>
      <c r="T828" s="77">
        <v>0</v>
      </c>
      <c r="U828" s="77">
        <v>0</v>
      </c>
      <c r="V828" s="77">
        <v>24</v>
      </c>
      <c r="W828" s="82" t="s">
        <v>4647</v>
      </c>
      <c r="X828" s="77"/>
      <c r="Y828" s="77"/>
      <c r="Z828" s="77"/>
      <c r="AA828" s="77" t="s">
        <v>6618</v>
      </c>
      <c r="AB828" s="77" t="s">
        <v>7696</v>
      </c>
      <c r="AC828" s="82" t="s">
        <v>7706</v>
      </c>
      <c r="AD828" s="77" t="s">
        <v>7745</v>
      </c>
      <c r="AE828" s="80" t="str">
        <f>HYPERLINK("https://twitter.com/openideas_net/status/1701579033249484885")</f>
        <v>https://twitter.com/openideas_net/status/1701579033249484885</v>
      </c>
      <c r="AF828" s="79">
        <v>45181.535057870373</v>
      </c>
      <c r="AG828" s="85">
        <v>45181</v>
      </c>
      <c r="AH828" s="82" t="s">
        <v>8502</v>
      </c>
      <c r="AI828" s="77" t="b">
        <v>0</v>
      </c>
      <c r="AJ828" s="77"/>
      <c r="AK828" s="77"/>
      <c r="AL828" s="77"/>
      <c r="AM828" s="77"/>
      <c r="AN828" s="77"/>
      <c r="AO828" s="77"/>
      <c r="AP828" s="77"/>
      <c r="AQ828" s="77" t="s">
        <v>11125</v>
      </c>
      <c r="AR828" s="77"/>
      <c r="AS828" s="77"/>
      <c r="AT828" s="77"/>
      <c r="AU828" s="77"/>
      <c r="AV828" s="80" t="str">
        <f>HYPERLINK("https://pbs.twimg.com/media/F505EvxWgAAPZzo.png")</f>
        <v>https://pbs.twimg.com/media/F505EvxWgAAPZzo.png</v>
      </c>
      <c r="AW828" s="82" t="s">
        <v>13013</v>
      </c>
      <c r="AX828" s="82" t="s">
        <v>13013</v>
      </c>
      <c r="AY828" s="77"/>
      <c r="AZ828" s="82" t="s">
        <v>15804</v>
      </c>
      <c r="BA828" s="82" t="s">
        <v>15804</v>
      </c>
      <c r="BB828" s="82" t="s">
        <v>15804</v>
      </c>
      <c r="BC828" s="82" t="s">
        <v>13013</v>
      </c>
      <c r="BD828" s="82" t="s">
        <v>16290</v>
      </c>
      <c r="BE828" s="77"/>
      <c r="BF828" s="77"/>
      <c r="BG828" s="77"/>
      <c r="BH828" s="77"/>
      <c r="BI828" s="77"/>
    </row>
    <row r="829" spans="1:61" x14ac:dyDescent="0.25">
      <c r="A829" s="62" t="s">
        <v>510</v>
      </c>
      <c r="B829" s="62" t="s">
        <v>510</v>
      </c>
      <c r="C829" s="63"/>
      <c r="D829" s="64"/>
      <c r="E829" s="65"/>
      <c r="F829" s="66"/>
      <c r="G829" s="63"/>
      <c r="H829" s="67"/>
      <c r="I829" s="68"/>
      <c r="J829" s="68"/>
      <c r="K829" s="32"/>
      <c r="L829" s="75">
        <v>829</v>
      </c>
      <c r="M829" s="75"/>
      <c r="N829" s="70"/>
      <c r="O829" s="77" t="s">
        <v>179</v>
      </c>
      <c r="P829" s="79">
        <v>45139.951354166667</v>
      </c>
      <c r="Q829" s="77" t="s">
        <v>1925</v>
      </c>
      <c r="R829" s="77">
        <v>0</v>
      </c>
      <c r="S829" s="77">
        <v>0</v>
      </c>
      <c r="T829" s="77">
        <v>0</v>
      </c>
      <c r="U829" s="77">
        <v>0</v>
      </c>
      <c r="V829" s="77">
        <v>15</v>
      </c>
      <c r="W829" s="82" t="s">
        <v>4648</v>
      </c>
      <c r="X829" s="80" t="str">
        <f>HYPERLINK("https://linktr.ee/financas100tabu?fbclid=PAAaa1lSoacSYOq6f1stFE-Sv9tCDrwBWr3n_Q2qbS90DN_DqGGBrLfvVMt84")</f>
        <v>https://linktr.ee/financas100tabu?fbclid=PAAaa1lSoacSYOq6f1stFE-Sv9tCDrwBWr3n_Q2qbS90DN_DqGGBrLfvVMt84</v>
      </c>
      <c r="Y829" s="77" t="s">
        <v>6052</v>
      </c>
      <c r="Z829" s="77"/>
      <c r="AA829" s="77" t="s">
        <v>6619</v>
      </c>
      <c r="AB829" s="77" t="s">
        <v>7701</v>
      </c>
      <c r="AC829" s="82" t="s">
        <v>7707</v>
      </c>
      <c r="AD829" s="77" t="s">
        <v>7745</v>
      </c>
      <c r="AE829" s="80" t="str">
        <f>HYPERLINK("https://twitter.com/financas100tabu/status/1686509602525839360")</f>
        <v>https://twitter.com/financas100tabu/status/1686509602525839360</v>
      </c>
      <c r="AF829" s="79">
        <v>45139.951354166667</v>
      </c>
      <c r="AG829" s="85">
        <v>45139</v>
      </c>
      <c r="AH829" s="82" t="s">
        <v>8503</v>
      </c>
      <c r="AI829" s="77" t="b">
        <v>0</v>
      </c>
      <c r="AJ829" s="77"/>
      <c r="AK829" s="77"/>
      <c r="AL829" s="77"/>
      <c r="AM829" s="77"/>
      <c r="AN829" s="77"/>
      <c r="AO829" s="77"/>
      <c r="AP829" s="77"/>
      <c r="AQ829" s="77" t="s">
        <v>11126</v>
      </c>
      <c r="AR829" s="77"/>
      <c r="AS829" s="77"/>
      <c r="AT829" s="77"/>
      <c r="AU829" s="77"/>
      <c r="AV829" s="80" t="str">
        <f>HYPERLINK("https://pbs.twimg.com/media/F2eviL3bQAYEMiZ.jpg")</f>
        <v>https://pbs.twimg.com/media/F2eviL3bQAYEMiZ.jpg</v>
      </c>
      <c r="AW829" s="82" t="s">
        <v>13014</v>
      </c>
      <c r="AX829" s="82" t="s">
        <v>13014</v>
      </c>
      <c r="AY829" s="77"/>
      <c r="AZ829" s="82" t="s">
        <v>15804</v>
      </c>
      <c r="BA829" s="82" t="s">
        <v>15804</v>
      </c>
      <c r="BB829" s="82" t="s">
        <v>15804</v>
      </c>
      <c r="BC829" s="82" t="s">
        <v>13014</v>
      </c>
      <c r="BD829" s="82" t="s">
        <v>16291</v>
      </c>
      <c r="BE829" s="77"/>
      <c r="BF829" s="77"/>
      <c r="BG829" s="77"/>
      <c r="BH829" s="77"/>
      <c r="BI829" s="77"/>
    </row>
    <row r="830" spans="1:61" x14ac:dyDescent="0.25">
      <c r="A830" s="62" t="s">
        <v>511</v>
      </c>
      <c r="B830" s="62" t="s">
        <v>511</v>
      </c>
      <c r="C830" s="63"/>
      <c r="D830" s="64"/>
      <c r="E830" s="65"/>
      <c r="F830" s="66"/>
      <c r="G830" s="63"/>
      <c r="H830" s="67"/>
      <c r="I830" s="68"/>
      <c r="J830" s="68"/>
      <c r="K830" s="32"/>
      <c r="L830" s="75">
        <v>830</v>
      </c>
      <c r="M830" s="75"/>
      <c r="N830" s="70"/>
      <c r="O830" s="77" t="s">
        <v>179</v>
      </c>
      <c r="P830" s="79">
        <v>44986.708761574075</v>
      </c>
      <c r="Q830" s="77" t="s">
        <v>1926</v>
      </c>
      <c r="R830" s="77">
        <v>0</v>
      </c>
      <c r="S830" s="77">
        <v>1</v>
      </c>
      <c r="T830" s="77">
        <v>0</v>
      </c>
      <c r="U830" s="77">
        <v>0</v>
      </c>
      <c r="V830" s="77">
        <v>17</v>
      </c>
      <c r="W830" s="82" t="s">
        <v>4649</v>
      </c>
      <c r="X830" s="77"/>
      <c r="Y830" s="77"/>
      <c r="Z830" s="77"/>
      <c r="AA830" s="77" t="s">
        <v>6620</v>
      </c>
      <c r="AB830" s="77" t="s">
        <v>7696</v>
      </c>
      <c r="AC830" s="82" t="s">
        <v>7708</v>
      </c>
      <c r="AD830" s="77" t="s">
        <v>7745</v>
      </c>
      <c r="AE830" s="80" t="str">
        <f>HYPERLINK("https://twitter.com/beieducacao/status/1630976346456195073")</f>
        <v>https://twitter.com/beieducacao/status/1630976346456195073</v>
      </c>
      <c r="AF830" s="79">
        <v>44986.708761574075</v>
      </c>
      <c r="AG830" s="85">
        <v>44986</v>
      </c>
      <c r="AH830" s="82" t="s">
        <v>8504</v>
      </c>
      <c r="AI830" s="77" t="b">
        <v>0</v>
      </c>
      <c r="AJ830" s="77"/>
      <c r="AK830" s="77"/>
      <c r="AL830" s="77"/>
      <c r="AM830" s="77"/>
      <c r="AN830" s="77"/>
      <c r="AO830" s="77"/>
      <c r="AP830" s="77"/>
      <c r="AQ830" s="77" t="s">
        <v>11127</v>
      </c>
      <c r="AR830" s="77"/>
      <c r="AS830" s="77"/>
      <c r="AT830" s="77"/>
      <c r="AU830" s="77"/>
      <c r="AV830" s="80" t="str">
        <f>HYPERLINK("https://pbs.twimg.com/media/FqJkWBvWABEKT9V.jpg")</f>
        <v>https://pbs.twimg.com/media/FqJkWBvWABEKT9V.jpg</v>
      </c>
      <c r="AW830" s="82" t="s">
        <v>13015</v>
      </c>
      <c r="AX830" s="82" t="s">
        <v>13015</v>
      </c>
      <c r="AY830" s="77"/>
      <c r="AZ830" s="82" t="s">
        <v>15804</v>
      </c>
      <c r="BA830" s="82" t="s">
        <v>15804</v>
      </c>
      <c r="BB830" s="82" t="s">
        <v>15804</v>
      </c>
      <c r="BC830" s="82" t="s">
        <v>13015</v>
      </c>
      <c r="BD830" s="82" t="s">
        <v>15724</v>
      </c>
      <c r="BE830" s="77"/>
      <c r="BF830" s="77"/>
      <c r="BG830" s="77"/>
      <c r="BH830" s="77"/>
      <c r="BI830" s="77"/>
    </row>
    <row r="831" spans="1:61" x14ac:dyDescent="0.25">
      <c r="A831" s="62" t="s">
        <v>511</v>
      </c>
      <c r="B831" s="62" t="s">
        <v>511</v>
      </c>
      <c r="C831" s="63"/>
      <c r="D831" s="64"/>
      <c r="E831" s="65"/>
      <c r="F831" s="66"/>
      <c r="G831" s="63"/>
      <c r="H831" s="67"/>
      <c r="I831" s="68"/>
      <c r="J831" s="68"/>
      <c r="K831" s="32"/>
      <c r="L831" s="75">
        <v>831</v>
      </c>
      <c r="M831" s="75"/>
      <c r="N831" s="70"/>
      <c r="O831" s="77" t="s">
        <v>179</v>
      </c>
      <c r="P831" s="79">
        <v>45042.792314814818</v>
      </c>
      <c r="Q831" s="77" t="s">
        <v>1927</v>
      </c>
      <c r="R831" s="77">
        <v>0</v>
      </c>
      <c r="S831" s="77">
        <v>0</v>
      </c>
      <c r="T831" s="77">
        <v>0</v>
      </c>
      <c r="U831" s="77">
        <v>0</v>
      </c>
      <c r="V831" s="77">
        <v>11</v>
      </c>
      <c r="W831" s="82" t="s">
        <v>4650</v>
      </c>
      <c r="X831" s="80" t="str">
        <f>HYPERLINK("https://beieducacao.com.br/juros-o-que-e-como-usar/")</f>
        <v>https://beieducacao.com.br/juros-o-que-e-como-usar/</v>
      </c>
      <c r="Y831" s="77" t="s">
        <v>6002</v>
      </c>
      <c r="Z831" s="77"/>
      <c r="AA831" s="77" t="s">
        <v>6621</v>
      </c>
      <c r="AB831" s="77" t="s">
        <v>7700</v>
      </c>
      <c r="AC831" s="82" t="s">
        <v>7708</v>
      </c>
      <c r="AD831" s="77" t="s">
        <v>7745</v>
      </c>
      <c r="AE831" s="80" t="str">
        <f>HYPERLINK("https://twitter.com/beieducacao/status/1651300345983664154")</f>
        <v>https://twitter.com/beieducacao/status/1651300345983664154</v>
      </c>
      <c r="AF831" s="79">
        <v>45042.792314814818</v>
      </c>
      <c r="AG831" s="85">
        <v>45042</v>
      </c>
      <c r="AH831" s="82" t="s">
        <v>8505</v>
      </c>
      <c r="AI831" s="77" t="b">
        <v>0</v>
      </c>
      <c r="AJ831" s="77"/>
      <c r="AK831" s="77"/>
      <c r="AL831" s="77"/>
      <c r="AM831" s="77"/>
      <c r="AN831" s="77"/>
      <c r="AO831" s="77"/>
      <c r="AP831" s="77"/>
      <c r="AQ831" s="77" t="s">
        <v>11128</v>
      </c>
      <c r="AR831" s="77"/>
      <c r="AS831" s="77"/>
      <c r="AT831" s="77"/>
      <c r="AU831" s="77"/>
      <c r="AV831" s="80" t="str">
        <f>HYPERLINK("https://pbs.twimg.com/media/FuqY6fUWABwObNq.jpg")</f>
        <v>https://pbs.twimg.com/media/FuqY6fUWABwObNq.jpg</v>
      </c>
      <c r="AW831" s="82" t="s">
        <v>13016</v>
      </c>
      <c r="AX831" s="82" t="s">
        <v>13016</v>
      </c>
      <c r="AY831" s="77"/>
      <c r="AZ831" s="82" t="s">
        <v>15804</v>
      </c>
      <c r="BA831" s="82" t="s">
        <v>15804</v>
      </c>
      <c r="BB831" s="82" t="s">
        <v>15804</v>
      </c>
      <c r="BC831" s="82" t="s">
        <v>13016</v>
      </c>
      <c r="BD831" s="82" t="s">
        <v>15724</v>
      </c>
      <c r="BE831" s="77"/>
      <c r="BF831" s="77"/>
      <c r="BG831" s="77"/>
      <c r="BH831" s="77"/>
      <c r="BI831" s="77"/>
    </row>
    <row r="832" spans="1:61" x14ac:dyDescent="0.25">
      <c r="A832" s="62" t="s">
        <v>511</v>
      </c>
      <c r="B832" s="62" t="s">
        <v>511</v>
      </c>
      <c r="C832" s="63"/>
      <c r="D832" s="64"/>
      <c r="E832" s="65"/>
      <c r="F832" s="66"/>
      <c r="G832" s="63"/>
      <c r="H832" s="67"/>
      <c r="I832" s="68"/>
      <c r="J832" s="68"/>
      <c r="K832" s="32"/>
      <c r="L832" s="75">
        <v>832</v>
      </c>
      <c r="M832" s="75"/>
      <c r="N832" s="70"/>
      <c r="O832" s="77" t="s">
        <v>179</v>
      </c>
      <c r="P832" s="79">
        <v>45041.908912037034</v>
      </c>
      <c r="Q832" s="77" t="s">
        <v>1928</v>
      </c>
      <c r="R832" s="77">
        <v>0</v>
      </c>
      <c r="S832" s="77">
        <v>1</v>
      </c>
      <c r="T832" s="77">
        <v>0</v>
      </c>
      <c r="U832" s="77">
        <v>0</v>
      </c>
      <c r="V832" s="77">
        <v>19</v>
      </c>
      <c r="W832" s="82" t="s">
        <v>4651</v>
      </c>
      <c r="X832" s="77"/>
      <c r="Y832" s="77"/>
      <c r="Z832" s="77"/>
      <c r="AA832" s="77" t="s">
        <v>6622</v>
      </c>
      <c r="AB832" s="77" t="s">
        <v>7696</v>
      </c>
      <c r="AC832" s="82" t="s">
        <v>7708</v>
      </c>
      <c r="AD832" s="77" t="s">
        <v>7745</v>
      </c>
      <c r="AE832" s="80" t="str">
        <f>HYPERLINK("https://twitter.com/beieducacao/status/1650980208944504835")</f>
        <v>https://twitter.com/beieducacao/status/1650980208944504835</v>
      </c>
      <c r="AF832" s="79">
        <v>45041.908912037034</v>
      </c>
      <c r="AG832" s="85">
        <v>45041</v>
      </c>
      <c r="AH832" s="82" t="s">
        <v>8506</v>
      </c>
      <c r="AI832" s="77" t="b">
        <v>0</v>
      </c>
      <c r="AJ832" s="77"/>
      <c r="AK832" s="77"/>
      <c r="AL832" s="77"/>
      <c r="AM832" s="77"/>
      <c r="AN832" s="77"/>
      <c r="AO832" s="77"/>
      <c r="AP832" s="77"/>
      <c r="AQ832" s="77" t="s">
        <v>11129</v>
      </c>
      <c r="AR832" s="77"/>
      <c r="AS832" s="77"/>
      <c r="AT832" s="77"/>
      <c r="AU832" s="77"/>
      <c r="AV832" s="80" t="str">
        <f>HYPERLINK("https://pbs.twimg.com/media/Ful1wEPWcAcR-5G.png")</f>
        <v>https://pbs.twimg.com/media/Ful1wEPWcAcR-5G.png</v>
      </c>
      <c r="AW832" s="82" t="s">
        <v>13017</v>
      </c>
      <c r="AX832" s="82" t="s">
        <v>13017</v>
      </c>
      <c r="AY832" s="77"/>
      <c r="AZ832" s="82" t="s">
        <v>15804</v>
      </c>
      <c r="BA832" s="82" t="s">
        <v>15804</v>
      </c>
      <c r="BB832" s="82" t="s">
        <v>15804</v>
      </c>
      <c r="BC832" s="82" t="s">
        <v>13017</v>
      </c>
      <c r="BD832" s="82" t="s">
        <v>15724</v>
      </c>
      <c r="BE832" s="77"/>
      <c r="BF832" s="77"/>
      <c r="BG832" s="77"/>
      <c r="BH832" s="77"/>
      <c r="BI832" s="77"/>
    </row>
    <row r="833" spans="1:61" x14ac:dyDescent="0.25">
      <c r="A833" s="62" t="s">
        <v>511</v>
      </c>
      <c r="B833" s="62" t="s">
        <v>511</v>
      </c>
      <c r="C833" s="63"/>
      <c r="D833" s="64"/>
      <c r="E833" s="65"/>
      <c r="F833" s="66"/>
      <c r="G833" s="63"/>
      <c r="H833" s="67"/>
      <c r="I833" s="68"/>
      <c r="J833" s="68"/>
      <c r="K833" s="32"/>
      <c r="L833" s="75">
        <v>833</v>
      </c>
      <c r="M833" s="75"/>
      <c r="N833" s="70"/>
      <c r="O833" s="77" t="s">
        <v>1132</v>
      </c>
      <c r="P833" s="79">
        <v>44944.741944444446</v>
      </c>
      <c r="Q833" s="77" t="s">
        <v>1929</v>
      </c>
      <c r="R833" s="77">
        <v>0</v>
      </c>
      <c r="S833" s="77">
        <v>1</v>
      </c>
      <c r="T833" s="77">
        <v>0</v>
      </c>
      <c r="U833" s="77">
        <v>0</v>
      </c>
      <c r="V833" s="77">
        <v>5</v>
      </c>
      <c r="W833" s="82" t="s">
        <v>4652</v>
      </c>
      <c r="X833" s="77"/>
      <c r="Y833" s="77"/>
      <c r="Z833" s="77"/>
      <c r="AA833" s="77"/>
      <c r="AB833" s="77"/>
      <c r="AC833" s="82" t="s">
        <v>7706</v>
      </c>
      <c r="AD833" s="77" t="s">
        <v>7745</v>
      </c>
      <c r="AE833" s="80" t="str">
        <f>HYPERLINK("https://twitter.com/beieducacao/status/1615768082042994711")</f>
        <v>https://twitter.com/beieducacao/status/1615768082042994711</v>
      </c>
      <c r="AF833" s="79">
        <v>44944.741944444446</v>
      </c>
      <c r="AG833" s="85">
        <v>44944</v>
      </c>
      <c r="AH833" s="82" t="s">
        <v>8507</v>
      </c>
      <c r="AI833" s="77"/>
      <c r="AJ833" s="77"/>
      <c r="AK833" s="77"/>
      <c r="AL833" s="77"/>
      <c r="AM833" s="77"/>
      <c r="AN833" s="77"/>
      <c r="AO833" s="77"/>
      <c r="AP833" s="77"/>
      <c r="AQ833" s="77"/>
      <c r="AR833" s="77"/>
      <c r="AS833" s="77"/>
      <c r="AT833" s="77"/>
      <c r="AU833" s="77"/>
      <c r="AV833" s="80" t="str">
        <f>HYPERLINK("https://pbs.twimg.com/profile_images/1521569454370533376/q1TXfhYG_normal.png")</f>
        <v>https://pbs.twimg.com/profile_images/1521569454370533376/q1TXfhYG_normal.png</v>
      </c>
      <c r="AW833" s="82" t="s">
        <v>13018</v>
      </c>
      <c r="AX833" s="82" t="s">
        <v>15304</v>
      </c>
      <c r="AY833" s="82" t="s">
        <v>15724</v>
      </c>
      <c r="AZ833" s="82" t="s">
        <v>15864</v>
      </c>
      <c r="BA833" s="82" t="s">
        <v>15804</v>
      </c>
      <c r="BB833" s="82" t="s">
        <v>15804</v>
      </c>
      <c r="BC833" s="82" t="s">
        <v>15864</v>
      </c>
      <c r="BD833" s="82" t="s">
        <v>15724</v>
      </c>
      <c r="BE833" s="77"/>
      <c r="BF833" s="77"/>
      <c r="BG833" s="77"/>
      <c r="BH833" s="77"/>
      <c r="BI833" s="77"/>
    </row>
    <row r="834" spans="1:61" x14ac:dyDescent="0.25">
      <c r="A834" s="62" t="s">
        <v>511</v>
      </c>
      <c r="B834" s="62" t="s">
        <v>511</v>
      </c>
      <c r="C834" s="63"/>
      <c r="D834" s="64"/>
      <c r="E834" s="65"/>
      <c r="F834" s="66"/>
      <c r="G834" s="63"/>
      <c r="H834" s="67"/>
      <c r="I834" s="68"/>
      <c r="J834" s="68"/>
      <c r="K834" s="32"/>
      <c r="L834" s="75">
        <v>834</v>
      </c>
      <c r="M834" s="75"/>
      <c r="N834" s="70"/>
      <c r="O834" s="77" t="s">
        <v>179</v>
      </c>
      <c r="P834" s="79">
        <v>45097.834050925929</v>
      </c>
      <c r="Q834" s="77" t="s">
        <v>1930</v>
      </c>
      <c r="R834" s="77">
        <v>0</v>
      </c>
      <c r="S834" s="77">
        <v>1</v>
      </c>
      <c r="T834" s="77">
        <v>0</v>
      </c>
      <c r="U834" s="77">
        <v>0</v>
      </c>
      <c r="V834" s="77">
        <v>55</v>
      </c>
      <c r="W834" s="82" t="s">
        <v>4653</v>
      </c>
      <c r="X834" s="77"/>
      <c r="Y834" s="77"/>
      <c r="Z834" s="77"/>
      <c r="AA834" s="77" t="s">
        <v>6623</v>
      </c>
      <c r="AB834" s="77" t="s">
        <v>7697</v>
      </c>
      <c r="AC834" s="82" t="s">
        <v>7708</v>
      </c>
      <c r="AD834" s="77" t="s">
        <v>7745</v>
      </c>
      <c r="AE834" s="80" t="str">
        <f>HYPERLINK("https://twitter.com/beieducacao/status/1671246803960725506")</f>
        <v>https://twitter.com/beieducacao/status/1671246803960725506</v>
      </c>
      <c r="AF834" s="79">
        <v>45097.834050925929</v>
      </c>
      <c r="AG834" s="85">
        <v>45097</v>
      </c>
      <c r="AH834" s="82" t="s">
        <v>8508</v>
      </c>
      <c r="AI834" s="77" t="b">
        <v>0</v>
      </c>
      <c r="AJ834" s="77"/>
      <c r="AK834" s="77"/>
      <c r="AL834" s="77"/>
      <c r="AM834" s="77"/>
      <c r="AN834" s="77"/>
      <c r="AO834" s="77"/>
      <c r="AP834" s="77"/>
      <c r="AQ834" s="77" t="s">
        <v>11130</v>
      </c>
      <c r="AR834" s="77">
        <v>35133</v>
      </c>
      <c r="AS834" s="77"/>
      <c r="AT834" s="77"/>
      <c r="AU834" s="77">
        <v>14</v>
      </c>
      <c r="AV834" s="80" t="str">
        <f>HYPERLINK("https://pbs.twimg.com/ext_tw_video_thumb/1671246749774561286/pu/img/DbV499CxwqPDAk-_.jpg")</f>
        <v>https://pbs.twimg.com/ext_tw_video_thumb/1671246749774561286/pu/img/DbV499CxwqPDAk-_.jpg</v>
      </c>
      <c r="AW834" s="82" t="s">
        <v>13019</v>
      </c>
      <c r="AX834" s="82" t="s">
        <v>13019</v>
      </c>
      <c r="AY834" s="77"/>
      <c r="AZ834" s="82" t="s">
        <v>15804</v>
      </c>
      <c r="BA834" s="82" t="s">
        <v>15804</v>
      </c>
      <c r="BB834" s="82" t="s">
        <v>15804</v>
      </c>
      <c r="BC834" s="82" t="s">
        <v>13019</v>
      </c>
      <c r="BD834" s="82" t="s">
        <v>15724</v>
      </c>
      <c r="BE834" s="77"/>
      <c r="BF834" s="77"/>
      <c r="BG834" s="77"/>
      <c r="BH834" s="77"/>
      <c r="BI834" s="77"/>
    </row>
    <row r="835" spans="1:61" x14ac:dyDescent="0.25">
      <c r="A835" s="62" t="s">
        <v>511</v>
      </c>
      <c r="B835" s="62" t="s">
        <v>511</v>
      </c>
      <c r="C835" s="63"/>
      <c r="D835" s="64"/>
      <c r="E835" s="65"/>
      <c r="F835" s="66"/>
      <c r="G835" s="63"/>
      <c r="H835" s="67"/>
      <c r="I835" s="68"/>
      <c r="J835" s="68"/>
      <c r="K835" s="32"/>
      <c r="L835" s="75">
        <v>835</v>
      </c>
      <c r="M835" s="75"/>
      <c r="N835" s="70"/>
      <c r="O835" s="77" t="s">
        <v>1132</v>
      </c>
      <c r="P835" s="79">
        <v>45139.821145833332</v>
      </c>
      <c r="Q835" s="77" t="s">
        <v>1931</v>
      </c>
      <c r="R835" s="77">
        <v>0</v>
      </c>
      <c r="S835" s="77">
        <v>0</v>
      </c>
      <c r="T835" s="77">
        <v>0</v>
      </c>
      <c r="U835" s="77">
        <v>0</v>
      </c>
      <c r="V835" s="77">
        <v>4</v>
      </c>
      <c r="W835" s="82" t="s">
        <v>4654</v>
      </c>
      <c r="X835" s="77"/>
      <c r="Y835" s="77"/>
      <c r="Z835" s="77"/>
      <c r="AA835" s="77"/>
      <c r="AB835" s="77"/>
      <c r="AC835" s="82" t="s">
        <v>7706</v>
      </c>
      <c r="AD835" s="77" t="s">
        <v>7745</v>
      </c>
      <c r="AE835" s="80" t="str">
        <f>HYPERLINK("https://twitter.com/beieducacao/status/1686462416903663616")</f>
        <v>https://twitter.com/beieducacao/status/1686462416903663616</v>
      </c>
      <c r="AF835" s="79">
        <v>45139.821145833332</v>
      </c>
      <c r="AG835" s="85">
        <v>45139</v>
      </c>
      <c r="AH835" s="82" t="s">
        <v>8509</v>
      </c>
      <c r="AI835" s="77"/>
      <c r="AJ835" s="77"/>
      <c r="AK835" s="77"/>
      <c r="AL835" s="77"/>
      <c r="AM835" s="77"/>
      <c r="AN835" s="77"/>
      <c r="AO835" s="77"/>
      <c r="AP835" s="77"/>
      <c r="AQ835" s="77"/>
      <c r="AR835" s="77"/>
      <c r="AS835" s="77"/>
      <c r="AT835" s="77"/>
      <c r="AU835" s="77"/>
      <c r="AV835" s="80" t="str">
        <f>HYPERLINK("https://pbs.twimg.com/profile_images/1521569454370533376/q1TXfhYG_normal.png")</f>
        <v>https://pbs.twimg.com/profile_images/1521569454370533376/q1TXfhYG_normal.png</v>
      </c>
      <c r="AW835" s="82" t="s">
        <v>13020</v>
      </c>
      <c r="AX835" s="82" t="s">
        <v>15305</v>
      </c>
      <c r="AY835" s="82" t="s">
        <v>15724</v>
      </c>
      <c r="AZ835" s="82" t="s">
        <v>15865</v>
      </c>
      <c r="BA835" s="82" t="s">
        <v>15804</v>
      </c>
      <c r="BB835" s="82" t="s">
        <v>15804</v>
      </c>
      <c r="BC835" s="82" t="s">
        <v>15865</v>
      </c>
      <c r="BD835" s="82" t="s">
        <v>15724</v>
      </c>
      <c r="BE835" s="77"/>
      <c r="BF835" s="77"/>
      <c r="BG835" s="77"/>
      <c r="BH835" s="77"/>
      <c r="BI835" s="77"/>
    </row>
    <row r="836" spans="1:61" x14ac:dyDescent="0.25">
      <c r="A836" s="62" t="s">
        <v>511</v>
      </c>
      <c r="B836" s="62" t="s">
        <v>511</v>
      </c>
      <c r="C836" s="63"/>
      <c r="D836" s="64"/>
      <c r="E836" s="65"/>
      <c r="F836" s="66"/>
      <c r="G836" s="63"/>
      <c r="H836" s="67"/>
      <c r="I836" s="68"/>
      <c r="J836" s="68"/>
      <c r="K836" s="32"/>
      <c r="L836" s="75">
        <v>836</v>
      </c>
      <c r="M836" s="75"/>
      <c r="N836" s="70"/>
      <c r="O836" s="77" t="s">
        <v>179</v>
      </c>
      <c r="P836" s="79">
        <v>45014.667002314818</v>
      </c>
      <c r="Q836" s="77" t="s">
        <v>1932</v>
      </c>
      <c r="R836" s="77">
        <v>0</v>
      </c>
      <c r="S836" s="77">
        <v>1</v>
      </c>
      <c r="T836" s="77">
        <v>0</v>
      </c>
      <c r="U836" s="77">
        <v>0</v>
      </c>
      <c r="V836" s="77">
        <v>45</v>
      </c>
      <c r="W836" s="82" t="s">
        <v>4655</v>
      </c>
      <c r="X836" s="77"/>
      <c r="Y836" s="77"/>
      <c r="Z836" s="77"/>
      <c r="AA836" s="77" t="s">
        <v>6624</v>
      </c>
      <c r="AB836" s="77" t="s">
        <v>7696</v>
      </c>
      <c r="AC836" s="82" t="s">
        <v>7708</v>
      </c>
      <c r="AD836" s="77" t="s">
        <v>7745</v>
      </c>
      <c r="AE836" s="80" t="str">
        <f>HYPERLINK("https://twitter.com/beieducacao/status/1641108074101460992")</f>
        <v>https://twitter.com/beieducacao/status/1641108074101460992</v>
      </c>
      <c r="AF836" s="79">
        <v>45014.667002314818</v>
      </c>
      <c r="AG836" s="85">
        <v>45014</v>
      </c>
      <c r="AH836" s="82" t="s">
        <v>8510</v>
      </c>
      <c r="AI836" s="77" t="b">
        <v>0</v>
      </c>
      <c r="AJ836" s="77"/>
      <c r="AK836" s="77"/>
      <c r="AL836" s="77"/>
      <c r="AM836" s="77"/>
      <c r="AN836" s="77"/>
      <c r="AO836" s="77"/>
      <c r="AP836" s="77"/>
      <c r="AQ836" s="77" t="s">
        <v>11131</v>
      </c>
      <c r="AR836" s="77"/>
      <c r="AS836" s="77"/>
      <c r="AT836" s="77"/>
      <c r="AU836" s="77"/>
      <c r="AV836" s="80" t="str">
        <f>HYPERLINK("https://pbs.twimg.com/media/FsZjGKlWwAQgy6w.jpg")</f>
        <v>https://pbs.twimg.com/media/FsZjGKlWwAQgy6w.jpg</v>
      </c>
      <c r="AW836" s="82" t="s">
        <v>13021</v>
      </c>
      <c r="AX836" s="82" t="s">
        <v>13021</v>
      </c>
      <c r="AY836" s="77"/>
      <c r="AZ836" s="82" t="s">
        <v>15804</v>
      </c>
      <c r="BA836" s="82" t="s">
        <v>15804</v>
      </c>
      <c r="BB836" s="82" t="s">
        <v>15804</v>
      </c>
      <c r="BC836" s="82" t="s">
        <v>13021</v>
      </c>
      <c r="BD836" s="82" t="s">
        <v>15724</v>
      </c>
      <c r="BE836" s="77"/>
      <c r="BF836" s="77"/>
      <c r="BG836" s="77"/>
      <c r="BH836" s="77"/>
      <c r="BI836" s="77"/>
    </row>
    <row r="837" spans="1:61" x14ac:dyDescent="0.25">
      <c r="A837" s="62" t="s">
        <v>511</v>
      </c>
      <c r="B837" s="62" t="s">
        <v>511</v>
      </c>
      <c r="C837" s="63"/>
      <c r="D837" s="64"/>
      <c r="E837" s="65"/>
      <c r="F837" s="66"/>
      <c r="G837" s="63"/>
      <c r="H837" s="67"/>
      <c r="I837" s="68"/>
      <c r="J837" s="68"/>
      <c r="K837" s="32"/>
      <c r="L837" s="75">
        <v>837</v>
      </c>
      <c r="M837" s="75"/>
      <c r="N837" s="70"/>
      <c r="O837" s="77" t="s">
        <v>179</v>
      </c>
      <c r="P837" s="79">
        <v>45167.88621527778</v>
      </c>
      <c r="Q837" s="77" t="s">
        <v>1933</v>
      </c>
      <c r="R837" s="77">
        <v>0</v>
      </c>
      <c r="S837" s="77">
        <v>0</v>
      </c>
      <c r="T837" s="77">
        <v>0</v>
      </c>
      <c r="U837" s="77">
        <v>0</v>
      </c>
      <c r="V837" s="77">
        <v>13</v>
      </c>
      <c r="W837" s="82" t="s">
        <v>4656</v>
      </c>
      <c r="X837" s="80" t="str">
        <f>HYPERLINK("https://mla.bs/52bf2797")</f>
        <v>https://mla.bs/52bf2797</v>
      </c>
      <c r="Y837" s="77" t="s">
        <v>6030</v>
      </c>
      <c r="Z837" s="77"/>
      <c r="AA837" s="77" t="s">
        <v>6625</v>
      </c>
      <c r="AB837" s="77" t="s">
        <v>7701</v>
      </c>
      <c r="AC837" s="82" t="s">
        <v>7706</v>
      </c>
      <c r="AD837" s="77" t="s">
        <v>7745</v>
      </c>
      <c r="AE837" s="80" t="str">
        <f>HYPERLINK("https://twitter.com/beieducacao/status/1696632858100527461")</f>
        <v>https://twitter.com/beieducacao/status/1696632858100527461</v>
      </c>
      <c r="AF837" s="79">
        <v>45167.88621527778</v>
      </c>
      <c r="AG837" s="85">
        <v>45167</v>
      </c>
      <c r="AH837" s="82" t="s">
        <v>8511</v>
      </c>
      <c r="AI837" s="77" t="b">
        <v>0</v>
      </c>
      <c r="AJ837" s="77"/>
      <c r="AK837" s="77"/>
      <c r="AL837" s="77"/>
      <c r="AM837" s="77"/>
      <c r="AN837" s="77"/>
      <c r="AO837" s="77"/>
      <c r="AP837" s="77"/>
      <c r="AQ837" s="77" t="s">
        <v>11132</v>
      </c>
      <c r="AR837" s="77"/>
      <c r="AS837" s="77"/>
      <c r="AT837" s="77"/>
      <c r="AU837" s="77"/>
      <c r="AV837" s="80" t="str">
        <f>HYPERLINK("https://pbs.twimg.com/media/F4umlESWwAAzVpK.jpg")</f>
        <v>https://pbs.twimg.com/media/F4umlESWwAAzVpK.jpg</v>
      </c>
      <c r="AW837" s="82" t="s">
        <v>13022</v>
      </c>
      <c r="AX837" s="82" t="s">
        <v>13022</v>
      </c>
      <c r="AY837" s="77"/>
      <c r="AZ837" s="82" t="s">
        <v>15804</v>
      </c>
      <c r="BA837" s="82" t="s">
        <v>15804</v>
      </c>
      <c r="BB837" s="82" t="s">
        <v>15804</v>
      </c>
      <c r="BC837" s="82" t="s">
        <v>13022</v>
      </c>
      <c r="BD837" s="82" t="s">
        <v>15724</v>
      </c>
      <c r="BE837" s="77"/>
      <c r="BF837" s="77"/>
      <c r="BG837" s="77"/>
      <c r="BH837" s="77"/>
      <c r="BI837" s="77"/>
    </row>
    <row r="838" spans="1:61" x14ac:dyDescent="0.25">
      <c r="A838" s="62" t="s">
        <v>511</v>
      </c>
      <c r="B838" s="62" t="s">
        <v>511</v>
      </c>
      <c r="C838" s="63"/>
      <c r="D838" s="64"/>
      <c r="E838" s="65"/>
      <c r="F838" s="66"/>
      <c r="G838" s="63"/>
      <c r="H838" s="67"/>
      <c r="I838" s="68"/>
      <c r="J838" s="68"/>
      <c r="K838" s="32"/>
      <c r="L838" s="75">
        <v>838</v>
      </c>
      <c r="M838" s="75"/>
      <c r="N838" s="70"/>
      <c r="O838" s="77" t="s">
        <v>179</v>
      </c>
      <c r="P838" s="79">
        <v>45026.875636574077</v>
      </c>
      <c r="Q838" s="77" t="s">
        <v>1934</v>
      </c>
      <c r="R838" s="77">
        <v>0</v>
      </c>
      <c r="S838" s="77">
        <v>2</v>
      </c>
      <c r="T838" s="77">
        <v>0</v>
      </c>
      <c r="U838" s="77">
        <v>0</v>
      </c>
      <c r="V838" s="77">
        <v>10</v>
      </c>
      <c r="W838" s="82" t="s">
        <v>4657</v>
      </c>
      <c r="X838" s="77"/>
      <c r="Y838" s="77"/>
      <c r="Z838" s="77"/>
      <c r="AA838" s="77" t="s">
        <v>6626</v>
      </c>
      <c r="AB838" s="77" t="s">
        <v>7696</v>
      </c>
      <c r="AC838" s="82" t="s">
        <v>7708</v>
      </c>
      <c r="AD838" s="77" t="s">
        <v>7745</v>
      </c>
      <c r="AE838" s="80" t="str">
        <f>HYPERLINK("https://twitter.com/beieducacao/status/1645532332391055360")</f>
        <v>https://twitter.com/beieducacao/status/1645532332391055360</v>
      </c>
      <c r="AF838" s="79">
        <v>45026.875636574077</v>
      </c>
      <c r="AG838" s="85">
        <v>45026</v>
      </c>
      <c r="AH838" s="82" t="s">
        <v>8512</v>
      </c>
      <c r="AI838" s="77" t="b">
        <v>0</v>
      </c>
      <c r="AJ838" s="77"/>
      <c r="AK838" s="77"/>
      <c r="AL838" s="77"/>
      <c r="AM838" s="77"/>
      <c r="AN838" s="77"/>
      <c r="AO838" s="77"/>
      <c r="AP838" s="77"/>
      <c r="AQ838" s="77" t="s">
        <v>11133</v>
      </c>
      <c r="AR838" s="77"/>
      <c r="AS838" s="77"/>
      <c r="AT838" s="77"/>
      <c r="AU838" s="77"/>
      <c r="AV838" s="80" t="str">
        <f>HYPERLINK("https://pbs.twimg.com/media/FtYa76UWIAA2Ve8.png")</f>
        <v>https://pbs.twimg.com/media/FtYa76UWIAA2Ve8.png</v>
      </c>
      <c r="AW838" s="82" t="s">
        <v>13023</v>
      </c>
      <c r="AX838" s="82" t="s">
        <v>13023</v>
      </c>
      <c r="AY838" s="77"/>
      <c r="AZ838" s="82" t="s">
        <v>15804</v>
      </c>
      <c r="BA838" s="82" t="s">
        <v>15804</v>
      </c>
      <c r="BB838" s="82" t="s">
        <v>15804</v>
      </c>
      <c r="BC838" s="82" t="s">
        <v>13023</v>
      </c>
      <c r="BD838" s="82" t="s">
        <v>15724</v>
      </c>
      <c r="BE838" s="77"/>
      <c r="BF838" s="77"/>
      <c r="BG838" s="77"/>
      <c r="BH838" s="77"/>
      <c r="BI838" s="77"/>
    </row>
    <row r="839" spans="1:61" x14ac:dyDescent="0.25">
      <c r="A839" s="62" t="s">
        <v>512</v>
      </c>
      <c r="B839" s="62" t="s">
        <v>512</v>
      </c>
      <c r="C839" s="63"/>
      <c r="D839" s="64"/>
      <c r="E839" s="65"/>
      <c r="F839" s="66"/>
      <c r="G839" s="63"/>
      <c r="H839" s="67"/>
      <c r="I839" s="68"/>
      <c r="J839" s="68"/>
      <c r="K839" s="32"/>
      <c r="L839" s="75">
        <v>839</v>
      </c>
      <c r="M839" s="75"/>
      <c r="N839" s="70"/>
      <c r="O839" s="77" t="s">
        <v>1132</v>
      </c>
      <c r="P839" s="79">
        <v>45092.500798611109</v>
      </c>
      <c r="Q839" s="77" t="s">
        <v>1935</v>
      </c>
      <c r="R839" s="77">
        <v>0</v>
      </c>
      <c r="S839" s="77">
        <v>0</v>
      </c>
      <c r="T839" s="77">
        <v>1</v>
      </c>
      <c r="U839" s="77">
        <v>0</v>
      </c>
      <c r="V839" s="77">
        <v>58</v>
      </c>
      <c r="W839" s="82" t="s">
        <v>4097</v>
      </c>
      <c r="X839" s="77"/>
      <c r="Y839" s="77"/>
      <c r="Z839" s="77"/>
      <c r="AA839" s="77"/>
      <c r="AB839" s="77"/>
      <c r="AC839" s="82" t="s">
        <v>7703</v>
      </c>
      <c r="AD839" s="77" t="s">
        <v>7745</v>
      </c>
      <c r="AE839" s="80" t="str">
        <f>HYPERLINK("https://twitter.com/academiaalphapt/status/1669314095466553347")</f>
        <v>https://twitter.com/academiaalphapt/status/1669314095466553347</v>
      </c>
      <c r="AF839" s="79">
        <v>45092.500798611109</v>
      </c>
      <c r="AG839" s="85">
        <v>45092</v>
      </c>
      <c r="AH839" s="82" t="s">
        <v>8513</v>
      </c>
      <c r="AI839" s="77"/>
      <c r="AJ839" s="77"/>
      <c r="AK839" s="77"/>
      <c r="AL839" s="77"/>
      <c r="AM839" s="77"/>
      <c r="AN839" s="77"/>
      <c r="AO839" s="77"/>
      <c r="AP839" s="77"/>
      <c r="AQ839" s="77"/>
      <c r="AR839" s="77"/>
      <c r="AS839" s="77"/>
      <c r="AT839" s="77"/>
      <c r="AU839" s="77"/>
      <c r="AV839" s="80" t="str">
        <f>HYPERLINK("https://pbs.twimg.com/profile_images/1654208859496488960/T8_uFHqn_normal.jpg")</f>
        <v>https://pbs.twimg.com/profile_images/1654208859496488960/T8_uFHqn_normal.jpg</v>
      </c>
      <c r="AW839" s="82" t="s">
        <v>13024</v>
      </c>
      <c r="AX839" s="82" t="s">
        <v>15306</v>
      </c>
      <c r="AY839" s="82" t="s">
        <v>15725</v>
      </c>
      <c r="AZ839" s="82" t="s">
        <v>15866</v>
      </c>
      <c r="BA839" s="82" t="s">
        <v>15804</v>
      </c>
      <c r="BB839" s="82" t="s">
        <v>15804</v>
      </c>
      <c r="BC839" s="82" t="s">
        <v>15866</v>
      </c>
      <c r="BD839" s="82" t="s">
        <v>15725</v>
      </c>
      <c r="BE839" s="77"/>
      <c r="BF839" s="77"/>
      <c r="BG839" s="77"/>
      <c r="BH839" s="77"/>
      <c r="BI839" s="77"/>
    </row>
    <row r="840" spans="1:61" x14ac:dyDescent="0.25">
      <c r="A840" s="62" t="s">
        <v>513</v>
      </c>
      <c r="B840" s="62" t="s">
        <v>513</v>
      </c>
      <c r="C840" s="63"/>
      <c r="D840" s="64"/>
      <c r="E840" s="65"/>
      <c r="F840" s="66"/>
      <c r="G840" s="63"/>
      <c r="H840" s="67"/>
      <c r="I840" s="68"/>
      <c r="J840" s="68"/>
      <c r="K840" s="32"/>
      <c r="L840" s="75">
        <v>840</v>
      </c>
      <c r="M840" s="75"/>
      <c r="N840" s="70"/>
      <c r="O840" s="77" t="s">
        <v>179</v>
      </c>
      <c r="P840" s="79">
        <v>44935.596168981479</v>
      </c>
      <c r="Q840" s="77" t="s">
        <v>1936</v>
      </c>
      <c r="R840" s="77">
        <v>0</v>
      </c>
      <c r="S840" s="77">
        <v>0</v>
      </c>
      <c r="T840" s="77">
        <v>0</v>
      </c>
      <c r="U840" s="77">
        <v>0</v>
      </c>
      <c r="V840" s="77">
        <v>35</v>
      </c>
      <c r="W840" s="82" t="s">
        <v>4658</v>
      </c>
      <c r="X840" s="80" t="str">
        <f>HYPERLINK("https://www.instagram.com/p/CnMo7y7uuwx/?igshid=YTgzYjQ4ZTY=")</f>
        <v>https://www.instagram.com/p/CnMo7y7uuwx/?igshid=YTgzYjQ4ZTY=</v>
      </c>
      <c r="Y840" s="77" t="s">
        <v>6000</v>
      </c>
      <c r="Z840" s="77"/>
      <c r="AA840" s="77"/>
      <c r="AB840" s="77"/>
      <c r="AC840" s="82" t="s">
        <v>7704</v>
      </c>
      <c r="AD840" s="77" t="s">
        <v>7745</v>
      </c>
      <c r="AE840" s="80" t="str">
        <f>HYPERLINK("https://twitter.com/_divesvitae_/status/1612453760592400384")</f>
        <v>https://twitter.com/_divesvitae_/status/1612453760592400384</v>
      </c>
      <c r="AF840" s="79">
        <v>44935.596168981479</v>
      </c>
      <c r="AG840" s="85">
        <v>44935</v>
      </c>
      <c r="AH840" s="82" t="s">
        <v>8514</v>
      </c>
      <c r="AI840" s="77" t="b">
        <v>0</v>
      </c>
      <c r="AJ840" s="77"/>
      <c r="AK840" s="77"/>
      <c r="AL840" s="77"/>
      <c r="AM840" s="77"/>
      <c r="AN840" s="77"/>
      <c r="AO840" s="77"/>
      <c r="AP840" s="77"/>
      <c r="AQ840" s="77"/>
      <c r="AR840" s="77"/>
      <c r="AS840" s="77"/>
      <c r="AT840" s="77"/>
      <c r="AU840" s="77"/>
      <c r="AV840" s="80" t="str">
        <f>HYPERLINK("https://pbs.twimg.com/profile_images/943585742588121092/3Iq3X31e_normal.jpg")</f>
        <v>https://pbs.twimg.com/profile_images/943585742588121092/3Iq3X31e_normal.jpg</v>
      </c>
      <c r="AW840" s="82" t="s">
        <v>13025</v>
      </c>
      <c r="AX840" s="82" t="s">
        <v>13025</v>
      </c>
      <c r="AY840" s="77"/>
      <c r="AZ840" s="82" t="s">
        <v>15804</v>
      </c>
      <c r="BA840" s="82" t="s">
        <v>15804</v>
      </c>
      <c r="BB840" s="82" t="s">
        <v>15804</v>
      </c>
      <c r="BC840" s="82" t="s">
        <v>13025</v>
      </c>
      <c r="BD840" s="82" t="s">
        <v>16292</v>
      </c>
      <c r="BE840" s="77"/>
      <c r="BF840" s="77"/>
      <c r="BG840" s="77"/>
      <c r="BH840" s="77"/>
      <c r="BI840" s="77"/>
    </row>
    <row r="841" spans="1:61" x14ac:dyDescent="0.25">
      <c r="A841" s="62" t="s">
        <v>513</v>
      </c>
      <c r="B841" s="62" t="s">
        <v>513</v>
      </c>
      <c r="C841" s="63"/>
      <c r="D841" s="64"/>
      <c r="E841" s="65"/>
      <c r="F841" s="66"/>
      <c r="G841" s="63"/>
      <c r="H841" s="67"/>
      <c r="I841" s="68"/>
      <c r="J841" s="68"/>
      <c r="K841" s="32"/>
      <c r="L841" s="75">
        <v>841</v>
      </c>
      <c r="M841" s="75"/>
      <c r="N841" s="70"/>
      <c r="O841" s="77" t="s">
        <v>179</v>
      </c>
      <c r="P841" s="79">
        <v>44942.533680555556</v>
      </c>
      <c r="Q841" s="77" t="s">
        <v>1937</v>
      </c>
      <c r="R841" s="77">
        <v>0</v>
      </c>
      <c r="S841" s="77">
        <v>0</v>
      </c>
      <c r="T841" s="77">
        <v>0</v>
      </c>
      <c r="U841" s="77">
        <v>0</v>
      </c>
      <c r="V841" s="77">
        <v>13</v>
      </c>
      <c r="W841" s="82" t="s">
        <v>4659</v>
      </c>
      <c r="X841" s="80" t="str">
        <f>HYPERLINK("https://www.instagram.com/p/CnegMuwuytG/?igshid=YTgzYjQ4ZTY=")</f>
        <v>https://www.instagram.com/p/CnegMuwuytG/?igshid=YTgzYjQ4ZTY=</v>
      </c>
      <c r="Y841" s="77" t="s">
        <v>6000</v>
      </c>
      <c r="Z841" s="77"/>
      <c r="AA841" s="77"/>
      <c r="AB841" s="77"/>
      <c r="AC841" s="82" t="s">
        <v>7704</v>
      </c>
      <c r="AD841" s="77" t="s">
        <v>7745</v>
      </c>
      <c r="AE841" s="80" t="str">
        <f>HYPERLINK("https://twitter.com/_divesvitae_/status/1614967830507651072")</f>
        <v>https://twitter.com/_divesvitae_/status/1614967830507651072</v>
      </c>
      <c r="AF841" s="79">
        <v>44942.533680555556</v>
      </c>
      <c r="AG841" s="85">
        <v>44942</v>
      </c>
      <c r="AH841" s="82" t="s">
        <v>8515</v>
      </c>
      <c r="AI841" s="77" t="b">
        <v>0</v>
      </c>
      <c r="AJ841" s="77"/>
      <c r="AK841" s="77"/>
      <c r="AL841" s="77"/>
      <c r="AM841" s="77"/>
      <c r="AN841" s="77"/>
      <c r="AO841" s="77"/>
      <c r="AP841" s="77"/>
      <c r="AQ841" s="77"/>
      <c r="AR841" s="77"/>
      <c r="AS841" s="77"/>
      <c r="AT841" s="77"/>
      <c r="AU841" s="77"/>
      <c r="AV841" s="80" t="str">
        <f>HYPERLINK("https://pbs.twimg.com/profile_images/943585742588121092/3Iq3X31e_normal.jpg")</f>
        <v>https://pbs.twimg.com/profile_images/943585742588121092/3Iq3X31e_normal.jpg</v>
      </c>
      <c r="AW841" s="82" t="s">
        <v>13026</v>
      </c>
      <c r="AX841" s="82" t="s">
        <v>13026</v>
      </c>
      <c r="AY841" s="77"/>
      <c r="AZ841" s="82" t="s">
        <v>15804</v>
      </c>
      <c r="BA841" s="82" t="s">
        <v>15804</v>
      </c>
      <c r="BB841" s="82" t="s">
        <v>15804</v>
      </c>
      <c r="BC841" s="82" t="s">
        <v>13026</v>
      </c>
      <c r="BD841" s="82" t="s">
        <v>16292</v>
      </c>
      <c r="BE841" s="77"/>
      <c r="BF841" s="77"/>
      <c r="BG841" s="77"/>
      <c r="BH841" s="77"/>
      <c r="BI841" s="77"/>
    </row>
    <row r="842" spans="1:61" x14ac:dyDescent="0.25">
      <c r="A842" s="62" t="s">
        <v>514</v>
      </c>
      <c r="B842" s="62" t="s">
        <v>514</v>
      </c>
      <c r="C842" s="63"/>
      <c r="D842" s="64"/>
      <c r="E842" s="65"/>
      <c r="F842" s="66"/>
      <c r="G842" s="63"/>
      <c r="H842" s="67"/>
      <c r="I842" s="68"/>
      <c r="J842" s="68"/>
      <c r="K842" s="32"/>
      <c r="L842" s="75">
        <v>842</v>
      </c>
      <c r="M842" s="75"/>
      <c r="N842" s="70"/>
      <c r="O842" s="77" t="s">
        <v>179</v>
      </c>
      <c r="P842" s="79">
        <v>45009.837453703702</v>
      </c>
      <c r="Q842" s="77" t="s">
        <v>1938</v>
      </c>
      <c r="R842" s="77">
        <v>0</v>
      </c>
      <c r="S842" s="77">
        <v>0</v>
      </c>
      <c r="T842" s="77">
        <v>0</v>
      </c>
      <c r="U842" s="77">
        <v>0</v>
      </c>
      <c r="V842" s="77">
        <v>11</v>
      </c>
      <c r="W842" s="82" t="s">
        <v>4660</v>
      </c>
      <c r="X842" s="80" t="str">
        <f>HYPERLINK("https://youtu.be/9UxSu8vDg1Q")</f>
        <v>https://youtu.be/9UxSu8vDg1Q</v>
      </c>
      <c r="Y842" s="77" t="s">
        <v>6003</v>
      </c>
      <c r="Z842" s="77"/>
      <c r="AA842" s="77" t="s">
        <v>6627</v>
      </c>
      <c r="AB842" s="77" t="s">
        <v>7696</v>
      </c>
      <c r="AC842" s="82" t="s">
        <v>7706</v>
      </c>
      <c r="AD842" s="77" t="s">
        <v>7745</v>
      </c>
      <c r="AE842" s="80" t="str">
        <f>HYPERLINK("https://twitter.com/clubeacaobr/status/1639357902459658255")</f>
        <v>https://twitter.com/clubeacaobr/status/1639357902459658255</v>
      </c>
      <c r="AF842" s="79">
        <v>45009.837453703702</v>
      </c>
      <c r="AG842" s="85">
        <v>45009</v>
      </c>
      <c r="AH842" s="82" t="s">
        <v>7993</v>
      </c>
      <c r="AI842" s="77" t="b">
        <v>0</v>
      </c>
      <c r="AJ842" s="77"/>
      <c r="AK842" s="77"/>
      <c r="AL842" s="77"/>
      <c r="AM842" s="77"/>
      <c r="AN842" s="77"/>
      <c r="AO842" s="77"/>
      <c r="AP842" s="77"/>
      <c r="AQ842" s="77" t="s">
        <v>11134</v>
      </c>
      <c r="AR842" s="77"/>
      <c r="AS842" s="77"/>
      <c r="AT842" s="77"/>
      <c r="AU842" s="77"/>
      <c r="AV842" s="80" t="str">
        <f>HYPERLINK("https://pbs.twimg.com/media/FsArUHyWYBYhF0l.jpg")</f>
        <v>https://pbs.twimg.com/media/FsArUHyWYBYhF0l.jpg</v>
      </c>
      <c r="AW842" s="82" t="s">
        <v>13027</v>
      </c>
      <c r="AX842" s="82" t="s">
        <v>13027</v>
      </c>
      <c r="AY842" s="77"/>
      <c r="AZ842" s="82" t="s">
        <v>15804</v>
      </c>
      <c r="BA842" s="82" t="s">
        <v>15804</v>
      </c>
      <c r="BB842" s="82" t="s">
        <v>15804</v>
      </c>
      <c r="BC842" s="82" t="s">
        <v>13027</v>
      </c>
      <c r="BD842" s="82" t="s">
        <v>16293</v>
      </c>
      <c r="BE842" s="77"/>
      <c r="BF842" s="77"/>
      <c r="BG842" s="77"/>
      <c r="BH842" s="77"/>
      <c r="BI842" s="77"/>
    </row>
    <row r="843" spans="1:61" x14ac:dyDescent="0.25">
      <c r="A843" s="62" t="s">
        <v>515</v>
      </c>
      <c r="B843" s="62" t="s">
        <v>515</v>
      </c>
      <c r="C843" s="63"/>
      <c r="D843" s="64"/>
      <c r="E843" s="65"/>
      <c r="F843" s="66"/>
      <c r="G843" s="63"/>
      <c r="H843" s="67"/>
      <c r="I843" s="68"/>
      <c r="J843" s="68"/>
      <c r="K843" s="32"/>
      <c r="L843" s="75">
        <v>843</v>
      </c>
      <c r="M843" s="75"/>
      <c r="N843" s="70"/>
      <c r="O843" s="77" t="s">
        <v>179</v>
      </c>
      <c r="P843" s="79">
        <v>44981.623101851852</v>
      </c>
      <c r="Q843" s="77" t="s">
        <v>1939</v>
      </c>
      <c r="R843" s="77">
        <v>0</v>
      </c>
      <c r="S843" s="77">
        <v>0</v>
      </c>
      <c r="T843" s="77">
        <v>0</v>
      </c>
      <c r="U843" s="77">
        <v>0</v>
      </c>
      <c r="V843" s="77">
        <v>18</v>
      </c>
      <c r="W843" s="82" t="s">
        <v>4661</v>
      </c>
      <c r="X843" s="80" t="str">
        <f>HYPERLINK("https://www.instagram.com/p/CpDJ8OPOI_O/?igshid=YTgzYjQ4ZTY=")</f>
        <v>https://www.instagram.com/p/CpDJ8OPOI_O/?igshid=YTgzYjQ4ZTY=</v>
      </c>
      <c r="Y843" s="77" t="s">
        <v>6000</v>
      </c>
      <c r="Z843" s="77"/>
      <c r="AA843" s="77"/>
      <c r="AB843" s="77"/>
      <c r="AC843" s="82" t="s">
        <v>7704</v>
      </c>
      <c r="AD843" s="77" t="s">
        <v>7745</v>
      </c>
      <c r="AE843" s="80" t="str">
        <f>HYPERLINK("https://twitter.com/pimpthirteen/status/1629133365893910535")</f>
        <v>https://twitter.com/pimpthirteen/status/1629133365893910535</v>
      </c>
      <c r="AF843" s="79">
        <v>44981.623101851852</v>
      </c>
      <c r="AG843" s="85">
        <v>44981</v>
      </c>
      <c r="AH843" s="82" t="s">
        <v>8516</v>
      </c>
      <c r="AI843" s="77" t="b">
        <v>0</v>
      </c>
      <c r="AJ843" s="77"/>
      <c r="AK843" s="77"/>
      <c r="AL843" s="77"/>
      <c r="AM843" s="77"/>
      <c r="AN843" s="77"/>
      <c r="AO843" s="77"/>
      <c r="AP843" s="77"/>
      <c r="AQ843" s="77"/>
      <c r="AR843" s="77"/>
      <c r="AS843" s="77"/>
      <c r="AT843" s="77"/>
      <c r="AU843" s="77"/>
      <c r="AV843" s="80" t="str">
        <f>HYPERLINK("https://pbs.twimg.com/profile_images/1628197655665860611/v1QBXN_h_normal.jpg")</f>
        <v>https://pbs.twimg.com/profile_images/1628197655665860611/v1QBXN_h_normal.jpg</v>
      </c>
      <c r="AW843" s="82" t="s">
        <v>13028</v>
      </c>
      <c r="AX843" s="82" t="s">
        <v>13028</v>
      </c>
      <c r="AY843" s="77"/>
      <c r="AZ843" s="82" t="s">
        <v>15804</v>
      </c>
      <c r="BA843" s="82" t="s">
        <v>15804</v>
      </c>
      <c r="BB843" s="82" t="s">
        <v>15804</v>
      </c>
      <c r="BC843" s="82" t="s">
        <v>13028</v>
      </c>
      <c r="BD843" s="82" t="s">
        <v>16294</v>
      </c>
      <c r="BE843" s="77"/>
      <c r="BF843" s="77"/>
      <c r="BG843" s="77"/>
      <c r="BH843" s="77"/>
      <c r="BI843" s="77"/>
    </row>
    <row r="844" spans="1:61" x14ac:dyDescent="0.25">
      <c r="A844" s="62" t="s">
        <v>516</v>
      </c>
      <c r="B844" s="62" t="s">
        <v>516</v>
      </c>
      <c r="C844" s="63"/>
      <c r="D844" s="64"/>
      <c r="E844" s="65"/>
      <c r="F844" s="66"/>
      <c r="G844" s="63"/>
      <c r="H844" s="67"/>
      <c r="I844" s="68"/>
      <c r="J844" s="68"/>
      <c r="K844" s="32"/>
      <c r="L844" s="75">
        <v>844</v>
      </c>
      <c r="M844" s="75"/>
      <c r="N844" s="70"/>
      <c r="O844" s="77" t="s">
        <v>179</v>
      </c>
      <c r="P844" s="79">
        <v>44971.749363425923</v>
      </c>
      <c r="Q844" s="77" t="s">
        <v>1940</v>
      </c>
      <c r="R844" s="77">
        <v>0</v>
      </c>
      <c r="S844" s="77">
        <v>1</v>
      </c>
      <c r="T844" s="77">
        <v>0</v>
      </c>
      <c r="U844" s="77">
        <v>0</v>
      </c>
      <c r="V844" s="77">
        <v>75</v>
      </c>
      <c r="W844" s="82" t="s">
        <v>4662</v>
      </c>
      <c r="X844" s="77"/>
      <c r="Y844" s="77"/>
      <c r="Z844" s="77"/>
      <c r="AA844" s="77" t="s">
        <v>6628</v>
      </c>
      <c r="AB844" s="77" t="s">
        <v>7697</v>
      </c>
      <c r="AC844" s="82" t="s">
        <v>7707</v>
      </c>
      <c r="AD844" s="77" t="s">
        <v>7746</v>
      </c>
      <c r="AE844" s="80" t="str">
        <f>HYPERLINK("https://twitter.com/alexfinancas/status/1625555239163002881")</f>
        <v>https://twitter.com/alexfinancas/status/1625555239163002881</v>
      </c>
      <c r="AF844" s="79">
        <v>44971.749363425923</v>
      </c>
      <c r="AG844" s="85">
        <v>44971</v>
      </c>
      <c r="AH844" s="82" t="s">
        <v>8517</v>
      </c>
      <c r="AI844" s="77" t="b">
        <v>0</v>
      </c>
      <c r="AJ844" s="77" t="s">
        <v>10535</v>
      </c>
      <c r="AK844" s="77" t="s">
        <v>10552</v>
      </c>
      <c r="AL844" s="77" t="s">
        <v>10555</v>
      </c>
      <c r="AM844" s="77" t="s">
        <v>10572</v>
      </c>
      <c r="AN844" s="77" t="s">
        <v>10602</v>
      </c>
      <c r="AO844" s="77" t="s">
        <v>10633</v>
      </c>
      <c r="AP844" s="77" t="s">
        <v>10649</v>
      </c>
      <c r="AQ844" s="77" t="s">
        <v>11135</v>
      </c>
      <c r="AR844" s="77">
        <v>44928</v>
      </c>
      <c r="AS844" s="77"/>
      <c r="AT844" s="77"/>
      <c r="AU844" s="77">
        <v>16</v>
      </c>
      <c r="AV844" s="80" t="str">
        <f>HYPERLINK("https://pbs.twimg.com/ext_tw_video_thumb/1625555160846983168/pu/img/99qsoWb9lxibbGeY.jpg")</f>
        <v>https://pbs.twimg.com/ext_tw_video_thumb/1625555160846983168/pu/img/99qsoWb9lxibbGeY.jpg</v>
      </c>
      <c r="AW844" s="82" t="s">
        <v>13029</v>
      </c>
      <c r="AX844" s="82" t="s">
        <v>13029</v>
      </c>
      <c r="AY844" s="77"/>
      <c r="AZ844" s="82" t="s">
        <v>15804</v>
      </c>
      <c r="BA844" s="82" t="s">
        <v>15804</v>
      </c>
      <c r="BB844" s="82" t="s">
        <v>15804</v>
      </c>
      <c r="BC844" s="82" t="s">
        <v>13029</v>
      </c>
      <c r="BD844" s="82" t="s">
        <v>16295</v>
      </c>
      <c r="BE844" s="77"/>
      <c r="BF844" s="77"/>
      <c r="BG844" s="77"/>
      <c r="BH844" s="77"/>
      <c r="BI844" s="77"/>
    </row>
    <row r="845" spans="1:61" x14ac:dyDescent="0.25">
      <c r="A845" s="62" t="s">
        <v>516</v>
      </c>
      <c r="B845" s="62" t="s">
        <v>516</v>
      </c>
      <c r="C845" s="63"/>
      <c r="D845" s="64"/>
      <c r="E845" s="65"/>
      <c r="F845" s="66"/>
      <c r="G845" s="63"/>
      <c r="H845" s="67"/>
      <c r="I845" s="68"/>
      <c r="J845" s="68"/>
      <c r="K845" s="32"/>
      <c r="L845" s="75">
        <v>845</v>
      </c>
      <c r="M845" s="75"/>
      <c r="N845" s="70"/>
      <c r="O845" s="77" t="s">
        <v>179</v>
      </c>
      <c r="P845" s="79">
        <v>45015.08384259259</v>
      </c>
      <c r="Q845" s="77" t="s">
        <v>1941</v>
      </c>
      <c r="R845" s="77">
        <v>0</v>
      </c>
      <c r="S845" s="77">
        <v>1</v>
      </c>
      <c r="T845" s="77">
        <v>0</v>
      </c>
      <c r="U845" s="77">
        <v>0</v>
      </c>
      <c r="V845" s="77">
        <v>24</v>
      </c>
      <c r="W845" s="82" t="s">
        <v>4663</v>
      </c>
      <c r="X845" s="80" t="str">
        <f>HYPERLINK("http://www.alexfinancas.com.br")</f>
        <v>http://www.alexfinancas.com.br</v>
      </c>
      <c r="Y845" s="77" t="s">
        <v>6002</v>
      </c>
      <c r="Z845" s="77"/>
      <c r="AA845" s="77" t="s">
        <v>6629</v>
      </c>
      <c r="AB845" s="77" t="s">
        <v>7697</v>
      </c>
      <c r="AC845" s="82" t="s">
        <v>7706</v>
      </c>
      <c r="AD845" s="77" t="s">
        <v>7746</v>
      </c>
      <c r="AE845" s="80" t="str">
        <f>HYPERLINK("https://twitter.com/alexfinancas/status/1641259128612962306")</f>
        <v>https://twitter.com/alexfinancas/status/1641259128612962306</v>
      </c>
      <c r="AF845" s="79">
        <v>45015.08384259259</v>
      </c>
      <c r="AG845" s="85">
        <v>45015</v>
      </c>
      <c r="AH845" s="82" t="s">
        <v>8518</v>
      </c>
      <c r="AI845" s="77" t="b">
        <v>0</v>
      </c>
      <c r="AJ845" s="77"/>
      <c r="AK845" s="77"/>
      <c r="AL845" s="77"/>
      <c r="AM845" s="77"/>
      <c r="AN845" s="77"/>
      <c r="AO845" s="77"/>
      <c r="AP845" s="77"/>
      <c r="AQ845" s="77" t="s">
        <v>11136</v>
      </c>
      <c r="AR845" s="77">
        <v>97160</v>
      </c>
      <c r="AS845" s="77"/>
      <c r="AT845" s="77"/>
      <c r="AU845" s="77">
        <v>5</v>
      </c>
      <c r="AV845" s="80" t="str">
        <f>HYPERLINK("https://pbs.twimg.com/ext_tw_video_thumb/1641258356009467907/pu/img/aTcfLhr-tqNflqQw.jpg")</f>
        <v>https://pbs.twimg.com/ext_tw_video_thumb/1641258356009467907/pu/img/aTcfLhr-tqNflqQw.jpg</v>
      </c>
      <c r="AW845" s="82" t="s">
        <v>13030</v>
      </c>
      <c r="AX845" s="82" t="s">
        <v>13030</v>
      </c>
      <c r="AY845" s="77"/>
      <c r="AZ845" s="82" t="s">
        <v>15804</v>
      </c>
      <c r="BA845" s="82" t="s">
        <v>15804</v>
      </c>
      <c r="BB845" s="82" t="s">
        <v>15804</v>
      </c>
      <c r="BC845" s="82" t="s">
        <v>13030</v>
      </c>
      <c r="BD845" s="82" t="s">
        <v>16295</v>
      </c>
      <c r="BE845" s="77"/>
      <c r="BF845" s="77"/>
      <c r="BG845" s="77"/>
      <c r="BH845" s="77"/>
      <c r="BI845" s="77"/>
    </row>
    <row r="846" spans="1:61" x14ac:dyDescent="0.25">
      <c r="A846" s="62" t="s">
        <v>517</v>
      </c>
      <c r="B846" s="62" t="s">
        <v>517</v>
      </c>
      <c r="C846" s="63"/>
      <c r="D846" s="64"/>
      <c r="E846" s="65"/>
      <c r="F846" s="66"/>
      <c r="G846" s="63"/>
      <c r="H846" s="67"/>
      <c r="I846" s="68"/>
      <c r="J846" s="68"/>
      <c r="K846" s="32"/>
      <c r="L846" s="75">
        <v>846</v>
      </c>
      <c r="M846" s="75"/>
      <c r="N846" s="70"/>
      <c r="O846" s="77" t="s">
        <v>179</v>
      </c>
      <c r="P846" s="79">
        <v>45055.716053240743</v>
      </c>
      <c r="Q846" s="77" t="s">
        <v>1942</v>
      </c>
      <c r="R846" s="77">
        <v>0</v>
      </c>
      <c r="S846" s="77">
        <v>0</v>
      </c>
      <c r="T846" s="77">
        <v>0</v>
      </c>
      <c r="U846" s="77">
        <v>0</v>
      </c>
      <c r="V846" s="77">
        <v>27</v>
      </c>
      <c r="W846" s="82" t="s">
        <v>4664</v>
      </c>
      <c r="X846" s="77"/>
      <c r="Y846" s="77"/>
      <c r="Z846" s="77"/>
      <c r="AA846" s="77"/>
      <c r="AB846" s="77"/>
      <c r="AC846" s="82" t="s">
        <v>7706</v>
      </c>
      <c r="AD846" s="77" t="s">
        <v>7745</v>
      </c>
      <c r="AE846" s="80" t="str">
        <f>HYPERLINK("https://twitter.com/jjempreendedor/status/1655983748792320004")</f>
        <v>https://twitter.com/jjempreendedor/status/1655983748792320004</v>
      </c>
      <c r="AF846" s="79">
        <v>45055.716053240743</v>
      </c>
      <c r="AG846" s="85">
        <v>45055</v>
      </c>
      <c r="AH846" s="82" t="s">
        <v>8519</v>
      </c>
      <c r="AI846" s="77"/>
      <c r="AJ846" s="77"/>
      <c r="AK846" s="77"/>
      <c r="AL846" s="77"/>
      <c r="AM846" s="77"/>
      <c r="AN846" s="77"/>
      <c r="AO846" s="77"/>
      <c r="AP846" s="77"/>
      <c r="AQ846" s="77"/>
      <c r="AR846" s="77"/>
      <c r="AS846" s="77"/>
      <c r="AT846" s="77"/>
      <c r="AU846" s="77"/>
      <c r="AV846" s="80" t="str">
        <f>HYPERLINK("https://pbs.twimg.com/profile_images/1640030219129049089/bZLsfly5_normal.png")</f>
        <v>https://pbs.twimg.com/profile_images/1640030219129049089/bZLsfly5_normal.png</v>
      </c>
      <c r="AW846" s="82" t="s">
        <v>13031</v>
      </c>
      <c r="AX846" s="82" t="s">
        <v>13031</v>
      </c>
      <c r="AY846" s="77"/>
      <c r="AZ846" s="82" t="s">
        <v>15804</v>
      </c>
      <c r="BA846" s="82" t="s">
        <v>15804</v>
      </c>
      <c r="BB846" s="82" t="s">
        <v>15804</v>
      </c>
      <c r="BC846" s="82" t="s">
        <v>13031</v>
      </c>
      <c r="BD846" s="82" t="s">
        <v>16296</v>
      </c>
      <c r="BE846" s="77"/>
      <c r="BF846" s="77"/>
      <c r="BG846" s="77"/>
      <c r="BH846" s="77"/>
      <c r="BI846" s="77"/>
    </row>
    <row r="847" spans="1:61" x14ac:dyDescent="0.25">
      <c r="A847" s="62" t="s">
        <v>518</v>
      </c>
      <c r="B847" s="62" t="s">
        <v>518</v>
      </c>
      <c r="C847" s="63"/>
      <c r="D847" s="64"/>
      <c r="E847" s="65"/>
      <c r="F847" s="66"/>
      <c r="G847" s="63"/>
      <c r="H847" s="67"/>
      <c r="I847" s="68"/>
      <c r="J847" s="68"/>
      <c r="K847" s="32"/>
      <c r="L847" s="75">
        <v>847</v>
      </c>
      <c r="M847" s="75"/>
      <c r="N847" s="70"/>
      <c r="O847" s="77" t="s">
        <v>179</v>
      </c>
      <c r="P847" s="79">
        <v>44951.877743055556</v>
      </c>
      <c r="Q847" s="77" t="s">
        <v>1943</v>
      </c>
      <c r="R847" s="77">
        <v>0</v>
      </c>
      <c r="S847" s="77">
        <v>0</v>
      </c>
      <c r="T847" s="77">
        <v>0</v>
      </c>
      <c r="U847" s="77">
        <v>0</v>
      </c>
      <c r="V847" s="77">
        <v>7</v>
      </c>
      <c r="W847" s="82" t="s">
        <v>4268</v>
      </c>
      <c r="X847" s="77"/>
      <c r="Y847" s="77"/>
      <c r="Z847" s="77"/>
      <c r="AA847" s="77"/>
      <c r="AB847" s="77"/>
      <c r="AC847" s="82" t="s">
        <v>7706</v>
      </c>
      <c r="AD847" s="77" t="s">
        <v>7745</v>
      </c>
      <c r="AE847" s="80" t="str">
        <f>HYPERLINK("https://twitter.com/cajao021/status/1618354005356457984")</f>
        <v>https://twitter.com/cajao021/status/1618354005356457984</v>
      </c>
      <c r="AF847" s="79">
        <v>44951.877743055556</v>
      </c>
      <c r="AG847" s="85">
        <v>44951</v>
      </c>
      <c r="AH847" s="82" t="s">
        <v>8520</v>
      </c>
      <c r="AI847" s="77"/>
      <c r="AJ847" s="77"/>
      <c r="AK847" s="77"/>
      <c r="AL847" s="77"/>
      <c r="AM847" s="77"/>
      <c r="AN847" s="77"/>
      <c r="AO847" s="77"/>
      <c r="AP847" s="77"/>
      <c r="AQ847" s="77"/>
      <c r="AR847" s="77"/>
      <c r="AS847" s="77"/>
      <c r="AT847" s="77"/>
      <c r="AU847" s="77"/>
      <c r="AV847" s="80" t="str">
        <f>HYPERLINK("https://pbs.twimg.com/profile_images/1615887087898689536/J29mx1hM_normal.jpg")</f>
        <v>https://pbs.twimg.com/profile_images/1615887087898689536/J29mx1hM_normal.jpg</v>
      </c>
      <c r="AW847" s="82" t="s">
        <v>13032</v>
      </c>
      <c r="AX847" s="82" t="s">
        <v>13032</v>
      </c>
      <c r="AY847" s="77"/>
      <c r="AZ847" s="82" t="s">
        <v>15804</v>
      </c>
      <c r="BA847" s="82" t="s">
        <v>15804</v>
      </c>
      <c r="BB847" s="82" t="s">
        <v>15804</v>
      </c>
      <c r="BC847" s="82" t="s">
        <v>13032</v>
      </c>
      <c r="BD847" s="82" t="s">
        <v>16297</v>
      </c>
      <c r="BE847" s="77"/>
      <c r="BF847" s="77"/>
      <c r="BG847" s="77"/>
      <c r="BH847" s="77"/>
      <c r="BI847" s="77"/>
    </row>
    <row r="848" spans="1:61" x14ac:dyDescent="0.25">
      <c r="A848" s="62" t="s">
        <v>519</v>
      </c>
      <c r="B848" s="62" t="s">
        <v>519</v>
      </c>
      <c r="C848" s="63"/>
      <c r="D848" s="64"/>
      <c r="E848" s="65"/>
      <c r="F848" s="66"/>
      <c r="G848" s="63"/>
      <c r="H848" s="67"/>
      <c r="I848" s="68"/>
      <c r="J848" s="68"/>
      <c r="K848" s="32"/>
      <c r="L848" s="75">
        <v>848</v>
      </c>
      <c r="M848" s="75"/>
      <c r="N848" s="70"/>
      <c r="O848" s="77" t="s">
        <v>179</v>
      </c>
      <c r="P848" s="79">
        <v>45030.87363425926</v>
      </c>
      <c r="Q848" s="77" t="s">
        <v>1944</v>
      </c>
      <c r="R848" s="77">
        <v>0</v>
      </c>
      <c r="S848" s="77">
        <v>0</v>
      </c>
      <c r="T848" s="77">
        <v>0</v>
      </c>
      <c r="U848" s="77">
        <v>0</v>
      </c>
      <c r="V848" s="77">
        <v>10</v>
      </c>
      <c r="W848" s="82" t="s">
        <v>4622</v>
      </c>
      <c r="X848" s="77"/>
      <c r="Y848" s="77"/>
      <c r="Z848" s="77"/>
      <c r="AA848" s="77"/>
      <c r="AB848" s="77"/>
      <c r="AC848" s="82" t="s">
        <v>7707</v>
      </c>
      <c r="AD848" s="77" t="s">
        <v>7745</v>
      </c>
      <c r="AE848" s="80" t="str">
        <f>HYPERLINK("https://twitter.com/projaposent/status/1646981158813458433")</f>
        <v>https://twitter.com/projaposent/status/1646981158813458433</v>
      </c>
      <c r="AF848" s="79">
        <v>45030.87363425926</v>
      </c>
      <c r="AG848" s="85">
        <v>45030</v>
      </c>
      <c r="AH848" s="82" t="s">
        <v>8521</v>
      </c>
      <c r="AI848" s="77"/>
      <c r="AJ848" s="77"/>
      <c r="AK848" s="77"/>
      <c r="AL848" s="77"/>
      <c r="AM848" s="77"/>
      <c r="AN848" s="77"/>
      <c r="AO848" s="77"/>
      <c r="AP848" s="77"/>
      <c r="AQ848" s="77"/>
      <c r="AR848" s="77"/>
      <c r="AS848" s="77"/>
      <c r="AT848" s="77"/>
      <c r="AU848" s="77"/>
      <c r="AV848" s="80" t="str">
        <f>HYPERLINK("https://pbs.twimg.com/profile_images/1430889832373309441/d012mA_1_normal.jpg")</f>
        <v>https://pbs.twimg.com/profile_images/1430889832373309441/d012mA_1_normal.jpg</v>
      </c>
      <c r="AW848" s="82" t="s">
        <v>13033</v>
      </c>
      <c r="AX848" s="82" t="s">
        <v>13033</v>
      </c>
      <c r="AY848" s="77"/>
      <c r="AZ848" s="82" t="s">
        <v>15804</v>
      </c>
      <c r="BA848" s="82" t="s">
        <v>15804</v>
      </c>
      <c r="BB848" s="82" t="s">
        <v>15804</v>
      </c>
      <c r="BC848" s="82" t="s">
        <v>13033</v>
      </c>
      <c r="BD848" s="82" t="s">
        <v>16298</v>
      </c>
      <c r="BE848" s="77"/>
      <c r="BF848" s="77"/>
      <c r="BG848" s="77"/>
      <c r="BH848" s="77"/>
      <c r="BI848" s="77"/>
    </row>
    <row r="849" spans="1:61" x14ac:dyDescent="0.25">
      <c r="A849" s="62" t="s">
        <v>520</v>
      </c>
      <c r="B849" s="62" t="s">
        <v>520</v>
      </c>
      <c r="C849" s="63"/>
      <c r="D849" s="64"/>
      <c r="E849" s="65"/>
      <c r="F849" s="66"/>
      <c r="G849" s="63"/>
      <c r="H849" s="67"/>
      <c r="I849" s="68"/>
      <c r="J849" s="68"/>
      <c r="K849" s="32"/>
      <c r="L849" s="75">
        <v>849</v>
      </c>
      <c r="M849" s="75"/>
      <c r="N849" s="70"/>
      <c r="O849" s="77" t="s">
        <v>179</v>
      </c>
      <c r="P849" s="79">
        <v>44942.970138888886</v>
      </c>
      <c r="Q849" s="77" t="s">
        <v>1945</v>
      </c>
      <c r="R849" s="77">
        <v>1</v>
      </c>
      <c r="S849" s="77">
        <v>1</v>
      </c>
      <c r="T849" s="77">
        <v>0</v>
      </c>
      <c r="U849" s="77">
        <v>0</v>
      </c>
      <c r="V849" s="77">
        <v>27</v>
      </c>
      <c r="W849" s="82" t="s">
        <v>4665</v>
      </c>
      <c r="X849" s="80" t="str">
        <f>HYPERLINK("https://www.brazencap.com/pt/post/finan%C3%A7as-pessoais-101-or%C3%A7amento-poupar-investir-e-gest%C3%A3o-de-d%C3%ADvida")</f>
        <v>https://www.brazencap.com/pt/post/finan%C3%A7as-pessoais-101-or%C3%A7amento-poupar-investir-e-gest%C3%A3o-de-d%C3%ADvida</v>
      </c>
      <c r="Y849" s="77" t="s">
        <v>6053</v>
      </c>
      <c r="Z849" s="77"/>
      <c r="AA849" s="77"/>
      <c r="AB849" s="77"/>
      <c r="AC849" s="82" t="s">
        <v>7706</v>
      </c>
      <c r="AD849" s="77" t="s">
        <v>7745</v>
      </c>
      <c r="AE849" s="80" t="str">
        <f>HYPERLINK("https://twitter.com/brazen_capital/status/1615126000781692930")</f>
        <v>https://twitter.com/brazen_capital/status/1615126000781692930</v>
      </c>
      <c r="AF849" s="79">
        <v>44942.970138888886</v>
      </c>
      <c r="AG849" s="85">
        <v>44942</v>
      </c>
      <c r="AH849" s="82" t="s">
        <v>8522</v>
      </c>
      <c r="AI849" s="77" t="b">
        <v>0</v>
      </c>
      <c r="AJ849" s="77"/>
      <c r="AK849" s="77"/>
      <c r="AL849" s="77"/>
      <c r="AM849" s="77"/>
      <c r="AN849" s="77"/>
      <c r="AO849" s="77"/>
      <c r="AP849" s="77"/>
      <c r="AQ849" s="77"/>
      <c r="AR849" s="77"/>
      <c r="AS849" s="77"/>
      <c r="AT849" s="77"/>
      <c r="AU849" s="77"/>
      <c r="AV849" s="80" t="str">
        <f>HYPERLINK("https://pbs.twimg.com/profile_images/1110618468200710144/U0Kox-i0_normal.jpg")</f>
        <v>https://pbs.twimg.com/profile_images/1110618468200710144/U0Kox-i0_normal.jpg</v>
      </c>
      <c r="AW849" s="82" t="s">
        <v>13034</v>
      </c>
      <c r="AX849" s="82" t="s">
        <v>13034</v>
      </c>
      <c r="AY849" s="77"/>
      <c r="AZ849" s="82" t="s">
        <v>15804</v>
      </c>
      <c r="BA849" s="82" t="s">
        <v>15804</v>
      </c>
      <c r="BB849" s="82" t="s">
        <v>15804</v>
      </c>
      <c r="BC849" s="82" t="s">
        <v>13034</v>
      </c>
      <c r="BD849" s="82" t="s">
        <v>16299</v>
      </c>
      <c r="BE849" s="77"/>
      <c r="BF849" s="77"/>
      <c r="BG849" s="77"/>
      <c r="BH849" s="77"/>
      <c r="BI849" s="77"/>
    </row>
    <row r="850" spans="1:61" x14ac:dyDescent="0.25">
      <c r="A850" s="62" t="s">
        <v>521</v>
      </c>
      <c r="B850" s="62" t="s">
        <v>521</v>
      </c>
      <c r="C850" s="63"/>
      <c r="D850" s="64"/>
      <c r="E850" s="65"/>
      <c r="F850" s="66"/>
      <c r="G850" s="63"/>
      <c r="H850" s="67"/>
      <c r="I850" s="68"/>
      <c r="J850" s="68"/>
      <c r="K850" s="32"/>
      <c r="L850" s="75">
        <v>850</v>
      </c>
      <c r="M850" s="75"/>
      <c r="N850" s="70"/>
      <c r="O850" s="77" t="s">
        <v>179</v>
      </c>
      <c r="P850" s="79">
        <v>45056.750023148146</v>
      </c>
      <c r="Q850" s="77" t="s">
        <v>1946</v>
      </c>
      <c r="R850" s="77">
        <v>0</v>
      </c>
      <c r="S850" s="77">
        <v>1</v>
      </c>
      <c r="T850" s="77">
        <v>0</v>
      </c>
      <c r="U850" s="77">
        <v>0</v>
      </c>
      <c r="V850" s="77">
        <v>24</v>
      </c>
      <c r="W850" s="82" t="s">
        <v>4666</v>
      </c>
      <c r="X850" s="77"/>
      <c r="Y850" s="77"/>
      <c r="Z850" s="77"/>
      <c r="AA850" s="77" t="s">
        <v>6630</v>
      </c>
      <c r="AB850" s="77" t="s">
        <v>7700</v>
      </c>
      <c r="AC850" s="82" t="s">
        <v>7706</v>
      </c>
      <c r="AD850" s="77" t="s">
        <v>7745</v>
      </c>
      <c r="AE850" s="80" t="str">
        <f>HYPERLINK("https://twitter.com/sebraeto/status/1656358448731422720")</f>
        <v>https://twitter.com/sebraeto/status/1656358448731422720</v>
      </c>
      <c r="AF850" s="79">
        <v>45056.750023148146</v>
      </c>
      <c r="AG850" s="85">
        <v>45056</v>
      </c>
      <c r="AH850" s="82" t="s">
        <v>7949</v>
      </c>
      <c r="AI850" s="77" t="b">
        <v>0</v>
      </c>
      <c r="AJ850" s="77"/>
      <c r="AK850" s="77"/>
      <c r="AL850" s="77"/>
      <c r="AM850" s="77"/>
      <c r="AN850" s="77"/>
      <c r="AO850" s="77"/>
      <c r="AP850" s="77"/>
      <c r="AQ850" s="77" t="s">
        <v>11137</v>
      </c>
      <c r="AR850" s="77"/>
      <c r="AS850" s="77"/>
      <c r="AT850" s="77"/>
      <c r="AU850" s="77"/>
      <c r="AV850" s="80" t="str">
        <f>HYPERLINK("https://pbs.twimg.com/media/FvxYTlkXsAIKmgp.jpg")</f>
        <v>https://pbs.twimg.com/media/FvxYTlkXsAIKmgp.jpg</v>
      </c>
      <c r="AW850" s="82" t="s">
        <v>13035</v>
      </c>
      <c r="AX850" s="82" t="s">
        <v>13035</v>
      </c>
      <c r="AY850" s="77"/>
      <c r="AZ850" s="82" t="s">
        <v>15804</v>
      </c>
      <c r="BA850" s="82" t="s">
        <v>15804</v>
      </c>
      <c r="BB850" s="82" t="s">
        <v>15804</v>
      </c>
      <c r="BC850" s="82" t="s">
        <v>13035</v>
      </c>
      <c r="BD850" s="77">
        <v>322260032</v>
      </c>
      <c r="BE850" s="77"/>
      <c r="BF850" s="77"/>
      <c r="BG850" s="77"/>
      <c r="BH850" s="77"/>
      <c r="BI850" s="77"/>
    </row>
    <row r="851" spans="1:61" x14ac:dyDescent="0.25">
      <c r="A851" s="62" t="s">
        <v>522</v>
      </c>
      <c r="B851" s="62" t="s">
        <v>522</v>
      </c>
      <c r="C851" s="63"/>
      <c r="D851" s="64"/>
      <c r="E851" s="65"/>
      <c r="F851" s="66"/>
      <c r="G851" s="63"/>
      <c r="H851" s="67"/>
      <c r="I851" s="68"/>
      <c r="J851" s="68"/>
      <c r="K851" s="32"/>
      <c r="L851" s="75">
        <v>851</v>
      </c>
      <c r="M851" s="75"/>
      <c r="N851" s="70"/>
      <c r="O851" s="77" t="s">
        <v>179</v>
      </c>
      <c r="P851" s="79">
        <v>45100.209247685183</v>
      </c>
      <c r="Q851" s="77" t="s">
        <v>1947</v>
      </c>
      <c r="R851" s="77">
        <v>0</v>
      </c>
      <c r="S851" s="77">
        <v>0</v>
      </c>
      <c r="T851" s="77">
        <v>0</v>
      </c>
      <c r="U851" s="77">
        <v>0</v>
      </c>
      <c r="V851" s="77">
        <v>8</v>
      </c>
      <c r="W851" s="82" t="s">
        <v>4667</v>
      </c>
      <c r="X851" s="80" t="str">
        <f>HYPERLINK("https://serieapalpiteiro.com.br?p=126")</f>
        <v>https://serieapalpiteiro.com.br?p=126</v>
      </c>
      <c r="Y851" s="77" t="s">
        <v>6002</v>
      </c>
      <c r="Z851" s="77"/>
      <c r="AA851" s="77"/>
      <c r="AB851" s="77"/>
      <c r="AC851" s="82" t="s">
        <v>7726</v>
      </c>
      <c r="AD851" s="77" t="s">
        <v>7745</v>
      </c>
      <c r="AE851" s="80" t="str">
        <f>HYPERLINK("https://twitter.com/serieapalpiteir/status/1672107545979125760")</f>
        <v>https://twitter.com/serieapalpiteir/status/1672107545979125760</v>
      </c>
      <c r="AF851" s="79">
        <v>45100.209247685183</v>
      </c>
      <c r="AG851" s="85">
        <v>45100</v>
      </c>
      <c r="AH851" s="82" t="s">
        <v>8523</v>
      </c>
      <c r="AI851" s="77" t="b">
        <v>0</v>
      </c>
      <c r="AJ851" s="77"/>
      <c r="AK851" s="77"/>
      <c r="AL851" s="77"/>
      <c r="AM851" s="77"/>
      <c r="AN851" s="77"/>
      <c r="AO851" s="77"/>
      <c r="AP851" s="77"/>
      <c r="AQ851" s="77"/>
      <c r="AR851" s="77"/>
      <c r="AS851" s="77"/>
      <c r="AT851" s="77"/>
      <c r="AU851" s="77"/>
      <c r="AV851" s="80" t="str">
        <f>HYPERLINK("https://pbs.twimg.com/profile_images/1661986576304422913/jykDDMeR_normal.jpg")</f>
        <v>https://pbs.twimg.com/profile_images/1661986576304422913/jykDDMeR_normal.jpg</v>
      </c>
      <c r="AW851" s="82" t="s">
        <v>13036</v>
      </c>
      <c r="AX851" s="82" t="s">
        <v>13036</v>
      </c>
      <c r="AY851" s="77"/>
      <c r="AZ851" s="82" t="s">
        <v>15804</v>
      </c>
      <c r="BA851" s="82" t="s">
        <v>15804</v>
      </c>
      <c r="BB851" s="82" t="s">
        <v>15804</v>
      </c>
      <c r="BC851" s="82" t="s">
        <v>13036</v>
      </c>
      <c r="BD851" s="82" t="s">
        <v>16300</v>
      </c>
      <c r="BE851" s="77"/>
      <c r="BF851" s="77"/>
      <c r="BG851" s="77"/>
      <c r="BH851" s="77"/>
      <c r="BI851" s="77"/>
    </row>
    <row r="852" spans="1:61" x14ac:dyDescent="0.25">
      <c r="A852" s="62" t="s">
        <v>523</v>
      </c>
      <c r="B852" s="62" t="s">
        <v>523</v>
      </c>
      <c r="C852" s="63"/>
      <c r="D852" s="64"/>
      <c r="E852" s="65"/>
      <c r="F852" s="66"/>
      <c r="G852" s="63"/>
      <c r="H852" s="67"/>
      <c r="I852" s="68"/>
      <c r="J852" s="68"/>
      <c r="K852" s="32"/>
      <c r="L852" s="75">
        <v>852</v>
      </c>
      <c r="M852" s="75"/>
      <c r="N852" s="70"/>
      <c r="O852" s="77" t="s">
        <v>179</v>
      </c>
      <c r="P852" s="79">
        <v>44995.449224537035</v>
      </c>
      <c r="Q852" s="77" t="s">
        <v>1948</v>
      </c>
      <c r="R852" s="77">
        <v>0</v>
      </c>
      <c r="S852" s="77">
        <v>0</v>
      </c>
      <c r="T852" s="77">
        <v>0</v>
      </c>
      <c r="U852" s="77">
        <v>0</v>
      </c>
      <c r="V852" s="77">
        <v>9</v>
      </c>
      <c r="W852" s="82" t="s">
        <v>4668</v>
      </c>
      <c r="X852" s="80" t="str">
        <f>HYPERLINK("http://www.brainev.com/?a=azizbasry")</f>
        <v>http://www.brainev.com/?a=azizbasry</v>
      </c>
      <c r="Y852" s="77" t="s">
        <v>6054</v>
      </c>
      <c r="Z852" s="77"/>
      <c r="AA852" s="77"/>
      <c r="AB852" s="77"/>
      <c r="AC852" s="82" t="s">
        <v>7706</v>
      </c>
      <c r="AD852" s="77" t="s">
        <v>7747</v>
      </c>
      <c r="AE852" s="80" t="str">
        <f>HYPERLINK("https://twitter.com/azizbasry/status/1634143783024578561")</f>
        <v>https://twitter.com/azizbasry/status/1634143783024578561</v>
      </c>
      <c r="AF852" s="79">
        <v>44995.449224537035</v>
      </c>
      <c r="AG852" s="85">
        <v>44995</v>
      </c>
      <c r="AH852" s="82" t="s">
        <v>8524</v>
      </c>
      <c r="AI852" s="77" t="b">
        <v>0</v>
      </c>
      <c r="AJ852" s="77"/>
      <c r="AK852" s="77"/>
      <c r="AL852" s="77"/>
      <c r="AM852" s="77"/>
      <c r="AN852" s="77"/>
      <c r="AO852" s="77"/>
      <c r="AP852" s="77"/>
      <c r="AQ852" s="77"/>
      <c r="AR852" s="77"/>
      <c r="AS852" s="77"/>
      <c r="AT852" s="77"/>
      <c r="AU852" s="77"/>
      <c r="AV852" s="80" t="str">
        <f>HYPERLINK("https://pbs.twimg.com/profile_images/1620109434906152980/LdPkoH0z_normal.jpg")</f>
        <v>https://pbs.twimg.com/profile_images/1620109434906152980/LdPkoH0z_normal.jpg</v>
      </c>
      <c r="AW852" s="82" t="s">
        <v>13037</v>
      </c>
      <c r="AX852" s="82" t="s">
        <v>13037</v>
      </c>
      <c r="AY852" s="77"/>
      <c r="AZ852" s="82" t="s">
        <v>15804</v>
      </c>
      <c r="BA852" s="82" t="s">
        <v>15804</v>
      </c>
      <c r="BB852" s="82" t="s">
        <v>15804</v>
      </c>
      <c r="BC852" s="82" t="s">
        <v>13037</v>
      </c>
      <c r="BD852" s="77">
        <v>424440280</v>
      </c>
      <c r="BE852" s="77"/>
      <c r="BF852" s="77"/>
      <c r="BG852" s="77"/>
      <c r="BH852" s="77"/>
      <c r="BI852" s="77"/>
    </row>
    <row r="853" spans="1:61" x14ac:dyDescent="0.25">
      <c r="A853" s="62" t="s">
        <v>524</v>
      </c>
      <c r="B853" s="62" t="s">
        <v>524</v>
      </c>
      <c r="C853" s="63"/>
      <c r="D853" s="64"/>
      <c r="E853" s="65"/>
      <c r="F853" s="66"/>
      <c r="G853" s="63"/>
      <c r="H853" s="67"/>
      <c r="I853" s="68"/>
      <c r="J853" s="68"/>
      <c r="K853" s="32"/>
      <c r="L853" s="75">
        <v>853</v>
      </c>
      <c r="M853" s="75"/>
      <c r="N853" s="70"/>
      <c r="O853" s="77" t="s">
        <v>179</v>
      </c>
      <c r="P853" s="79">
        <v>45061.755046296297</v>
      </c>
      <c r="Q853" s="77" t="s">
        <v>1949</v>
      </c>
      <c r="R853" s="77">
        <v>0</v>
      </c>
      <c r="S853" s="77">
        <v>0</v>
      </c>
      <c r="T853" s="77">
        <v>0</v>
      </c>
      <c r="U853" s="77">
        <v>0</v>
      </c>
      <c r="V853" s="77">
        <v>29</v>
      </c>
      <c r="W853" s="82" t="s">
        <v>4669</v>
      </c>
      <c r="X853" s="77"/>
      <c r="Y853" s="77"/>
      <c r="Z853" s="77"/>
      <c r="AA853" s="77" t="s">
        <v>6631</v>
      </c>
      <c r="AB853" s="77" t="s">
        <v>7696</v>
      </c>
      <c r="AC853" s="82" t="s">
        <v>7706</v>
      </c>
      <c r="AD853" s="77" t="s">
        <v>7745</v>
      </c>
      <c r="AE853" s="80" t="str">
        <f>HYPERLINK("https://twitter.com/sicoobcj/status/1658172209372749833")</f>
        <v>https://twitter.com/sicoobcj/status/1658172209372749833</v>
      </c>
      <c r="AF853" s="79">
        <v>45061.755046296297</v>
      </c>
      <c r="AG853" s="85">
        <v>45061</v>
      </c>
      <c r="AH853" s="82" t="s">
        <v>8525</v>
      </c>
      <c r="AI853" s="77" t="b">
        <v>0</v>
      </c>
      <c r="AJ853" s="77"/>
      <c r="AK853" s="77"/>
      <c r="AL853" s="77"/>
      <c r="AM853" s="77"/>
      <c r="AN853" s="77"/>
      <c r="AO853" s="77"/>
      <c r="AP853" s="77"/>
      <c r="AQ853" s="77" t="s">
        <v>11138</v>
      </c>
      <c r="AR853" s="77"/>
      <c r="AS853" s="77"/>
      <c r="AT853" s="77"/>
      <c r="AU853" s="77"/>
      <c r="AV853" s="80" t="str">
        <f>HYPERLINK("https://pbs.twimg.com/media/FwMCuKkWwAAELe0.jpg")</f>
        <v>https://pbs.twimg.com/media/FwMCuKkWwAAELe0.jpg</v>
      </c>
      <c r="AW853" s="82" t="s">
        <v>13038</v>
      </c>
      <c r="AX853" s="82" t="s">
        <v>13038</v>
      </c>
      <c r="AY853" s="77"/>
      <c r="AZ853" s="82" t="s">
        <v>15804</v>
      </c>
      <c r="BA853" s="82" t="s">
        <v>15804</v>
      </c>
      <c r="BB853" s="82" t="s">
        <v>15804</v>
      </c>
      <c r="BC853" s="82" t="s">
        <v>13038</v>
      </c>
      <c r="BD853" s="77">
        <v>465822677</v>
      </c>
      <c r="BE853" s="77"/>
      <c r="BF853" s="77"/>
      <c r="BG853" s="77"/>
      <c r="BH853" s="77"/>
      <c r="BI853" s="77"/>
    </row>
    <row r="854" spans="1:61" x14ac:dyDescent="0.25">
      <c r="A854" s="62" t="s">
        <v>525</v>
      </c>
      <c r="B854" s="62" t="s">
        <v>525</v>
      </c>
      <c r="C854" s="63"/>
      <c r="D854" s="64"/>
      <c r="E854" s="65"/>
      <c r="F854" s="66"/>
      <c r="G854" s="63"/>
      <c r="H854" s="67"/>
      <c r="I854" s="68"/>
      <c r="J854" s="68"/>
      <c r="K854" s="32"/>
      <c r="L854" s="75">
        <v>854</v>
      </c>
      <c r="M854" s="75"/>
      <c r="N854" s="70"/>
      <c r="O854" s="77" t="s">
        <v>179</v>
      </c>
      <c r="P854" s="79">
        <v>44987.917118055557</v>
      </c>
      <c r="Q854" s="77" t="s">
        <v>1950</v>
      </c>
      <c r="R854" s="77">
        <v>0</v>
      </c>
      <c r="S854" s="77">
        <v>0</v>
      </c>
      <c r="T854" s="77">
        <v>0</v>
      </c>
      <c r="U854" s="77">
        <v>0</v>
      </c>
      <c r="V854" s="77">
        <v>13</v>
      </c>
      <c r="W854" s="82" t="s">
        <v>4670</v>
      </c>
      <c r="X854" s="77"/>
      <c r="Y854" s="77"/>
      <c r="Z854" s="77"/>
      <c r="AA854" s="77" t="s">
        <v>6632</v>
      </c>
      <c r="AB854" s="77" t="s">
        <v>7696</v>
      </c>
      <c r="AC854" s="82" t="s">
        <v>7708</v>
      </c>
      <c r="AD854" s="77" t="s">
        <v>7745</v>
      </c>
      <c r="AE854" s="80" t="str">
        <f>HYPERLINK("https://twitter.com/mutualcapital3/status/1631414241256243206")</f>
        <v>https://twitter.com/mutualcapital3/status/1631414241256243206</v>
      </c>
      <c r="AF854" s="79">
        <v>44987.917118055557</v>
      </c>
      <c r="AG854" s="85">
        <v>44987</v>
      </c>
      <c r="AH854" s="82" t="s">
        <v>8526</v>
      </c>
      <c r="AI854" s="77" t="b">
        <v>0</v>
      </c>
      <c r="AJ854" s="77"/>
      <c r="AK854" s="77"/>
      <c r="AL854" s="77"/>
      <c r="AM854" s="77"/>
      <c r="AN854" s="77"/>
      <c r="AO854" s="77"/>
      <c r="AP854" s="77"/>
      <c r="AQ854" s="77" t="s">
        <v>11139</v>
      </c>
      <c r="AR854" s="77"/>
      <c r="AS854" s="77"/>
      <c r="AT854" s="77"/>
      <c r="AU854" s="77"/>
      <c r="AV854" s="80" t="str">
        <f>HYPERLINK("https://pbs.twimg.com/media/FqPym2SWAAM1VRN.jpg")</f>
        <v>https://pbs.twimg.com/media/FqPym2SWAAM1VRN.jpg</v>
      </c>
      <c r="AW854" s="82" t="s">
        <v>13039</v>
      </c>
      <c r="AX854" s="82" t="s">
        <v>13039</v>
      </c>
      <c r="AY854" s="77"/>
      <c r="AZ854" s="82" t="s">
        <v>15804</v>
      </c>
      <c r="BA854" s="82" t="s">
        <v>15804</v>
      </c>
      <c r="BB854" s="82" t="s">
        <v>15804</v>
      </c>
      <c r="BC854" s="82" t="s">
        <v>13039</v>
      </c>
      <c r="BD854" s="82" t="s">
        <v>16301</v>
      </c>
      <c r="BE854" s="77"/>
      <c r="BF854" s="77"/>
      <c r="BG854" s="77"/>
      <c r="BH854" s="77"/>
      <c r="BI854" s="77"/>
    </row>
    <row r="855" spans="1:61" x14ac:dyDescent="0.25">
      <c r="A855" s="62" t="s">
        <v>526</v>
      </c>
      <c r="B855" s="62" t="s">
        <v>526</v>
      </c>
      <c r="C855" s="63"/>
      <c r="D855" s="64"/>
      <c r="E855" s="65"/>
      <c r="F855" s="66"/>
      <c r="G855" s="63"/>
      <c r="H855" s="67"/>
      <c r="I855" s="68"/>
      <c r="J855" s="68"/>
      <c r="K855" s="32"/>
      <c r="L855" s="75">
        <v>855</v>
      </c>
      <c r="M855" s="75"/>
      <c r="N855" s="70"/>
      <c r="O855" s="77" t="s">
        <v>179</v>
      </c>
      <c r="P855" s="79">
        <v>44967.847731481481</v>
      </c>
      <c r="Q855" s="77" t="s">
        <v>1951</v>
      </c>
      <c r="R855" s="77">
        <v>0</v>
      </c>
      <c r="S855" s="77">
        <v>0</v>
      </c>
      <c r="T855" s="77">
        <v>0</v>
      </c>
      <c r="U855" s="77">
        <v>0</v>
      </c>
      <c r="V855" s="77">
        <v>38</v>
      </c>
      <c r="W855" s="82" t="s">
        <v>4671</v>
      </c>
      <c r="X855" s="77"/>
      <c r="Y855" s="77"/>
      <c r="Z855" s="77"/>
      <c r="AA855" s="77" t="s">
        <v>6633</v>
      </c>
      <c r="AB855" s="77" t="s">
        <v>7697</v>
      </c>
      <c r="AC855" s="82" t="s">
        <v>7707</v>
      </c>
      <c r="AD855" s="77" t="s">
        <v>7745</v>
      </c>
      <c r="AE855" s="80" t="str">
        <f>HYPERLINK("https://twitter.com/edgarfmabreu/status/1624141338584223761")</f>
        <v>https://twitter.com/edgarfmabreu/status/1624141338584223761</v>
      </c>
      <c r="AF855" s="79">
        <v>44967.847731481481</v>
      </c>
      <c r="AG855" s="85">
        <v>44967</v>
      </c>
      <c r="AH855" s="82" t="s">
        <v>8527</v>
      </c>
      <c r="AI855" s="77" t="b">
        <v>0</v>
      </c>
      <c r="AJ855" s="77"/>
      <c r="AK855" s="77"/>
      <c r="AL855" s="77"/>
      <c r="AM855" s="77"/>
      <c r="AN855" s="77"/>
      <c r="AO855" s="77"/>
      <c r="AP855" s="77"/>
      <c r="AQ855" s="77" t="s">
        <v>11140</v>
      </c>
      <c r="AR855" s="77">
        <v>42133</v>
      </c>
      <c r="AS855" s="77"/>
      <c r="AT855" s="77"/>
      <c r="AU855" s="77">
        <v>18</v>
      </c>
      <c r="AV855" s="80" t="str">
        <f>HYPERLINK("https://pbs.twimg.com/ext_tw_video_thumb/1624141263812366362/pu/img/3nk5_fqnR8auj0xm.jpg")</f>
        <v>https://pbs.twimg.com/ext_tw_video_thumb/1624141263812366362/pu/img/3nk5_fqnR8auj0xm.jpg</v>
      </c>
      <c r="AW855" s="82" t="s">
        <v>13040</v>
      </c>
      <c r="AX855" s="82" t="s">
        <v>13040</v>
      </c>
      <c r="AY855" s="77"/>
      <c r="AZ855" s="82" t="s">
        <v>15804</v>
      </c>
      <c r="BA855" s="82" t="s">
        <v>15804</v>
      </c>
      <c r="BB855" s="82" t="s">
        <v>15804</v>
      </c>
      <c r="BC855" s="82" t="s">
        <v>13040</v>
      </c>
      <c r="BD855" s="82" t="s">
        <v>16302</v>
      </c>
      <c r="BE855" s="77"/>
      <c r="BF855" s="77"/>
      <c r="BG855" s="77"/>
      <c r="BH855" s="77"/>
      <c r="BI855" s="77"/>
    </row>
    <row r="856" spans="1:61" x14ac:dyDescent="0.25">
      <c r="A856" s="62" t="s">
        <v>527</v>
      </c>
      <c r="B856" s="62" t="s">
        <v>527</v>
      </c>
      <c r="C856" s="63"/>
      <c r="D856" s="64"/>
      <c r="E856" s="65"/>
      <c r="F856" s="66"/>
      <c r="G856" s="63"/>
      <c r="H856" s="67"/>
      <c r="I856" s="68"/>
      <c r="J856" s="68"/>
      <c r="K856" s="32"/>
      <c r="L856" s="75">
        <v>856</v>
      </c>
      <c r="M856" s="75"/>
      <c r="N856" s="70"/>
      <c r="O856" s="77" t="s">
        <v>179</v>
      </c>
      <c r="P856" s="79">
        <v>45086.775231481479</v>
      </c>
      <c r="Q856" s="77" t="s">
        <v>1952</v>
      </c>
      <c r="R856" s="77">
        <v>2</v>
      </c>
      <c r="S856" s="77">
        <v>5</v>
      </c>
      <c r="T856" s="77">
        <v>0</v>
      </c>
      <c r="U856" s="77">
        <v>0</v>
      </c>
      <c r="V856" s="77">
        <v>270</v>
      </c>
      <c r="W856" s="82" t="s">
        <v>4672</v>
      </c>
      <c r="X856" s="80" t="str">
        <f>HYPERLINK("https://bit.ly/3qzkhCv")</f>
        <v>https://bit.ly/3qzkhCv</v>
      </c>
      <c r="Y856" s="77" t="s">
        <v>6004</v>
      </c>
      <c r="Z856" s="77"/>
      <c r="AA856" s="77"/>
      <c r="AB856" s="77"/>
      <c r="AC856" s="82" t="s">
        <v>7713</v>
      </c>
      <c r="AD856" s="77" t="s">
        <v>7745</v>
      </c>
      <c r="AE856" s="80" t="str">
        <f>HYPERLINK("https://twitter.com/sigaif/status/1667239221206065175")</f>
        <v>https://twitter.com/sigaif/status/1667239221206065175</v>
      </c>
      <c r="AF856" s="79">
        <v>45086.775231481479</v>
      </c>
      <c r="AG856" s="85">
        <v>45086</v>
      </c>
      <c r="AH856" s="82" t="s">
        <v>8528</v>
      </c>
      <c r="AI856" s="77" t="b">
        <v>0</v>
      </c>
      <c r="AJ856" s="77"/>
      <c r="AK856" s="77"/>
      <c r="AL856" s="77"/>
      <c r="AM856" s="77"/>
      <c r="AN856" s="77"/>
      <c r="AO856" s="77"/>
      <c r="AP856" s="77"/>
      <c r="AQ856" s="77"/>
      <c r="AR856" s="77"/>
      <c r="AS856" s="77"/>
      <c r="AT856" s="77"/>
      <c r="AU856" s="77"/>
      <c r="AV856" s="80" t="str">
        <f>HYPERLINK("https://pbs.twimg.com/profile_images/1694699476663914496/pAhGWDTb_normal.jpg")</f>
        <v>https://pbs.twimg.com/profile_images/1694699476663914496/pAhGWDTb_normal.jpg</v>
      </c>
      <c r="AW856" s="82" t="s">
        <v>13041</v>
      </c>
      <c r="AX856" s="82" t="s">
        <v>13041</v>
      </c>
      <c r="AY856" s="77"/>
      <c r="AZ856" s="82" t="s">
        <v>15804</v>
      </c>
      <c r="BA856" s="82" t="s">
        <v>15804</v>
      </c>
      <c r="BB856" s="82" t="s">
        <v>15804</v>
      </c>
      <c r="BC856" s="82" t="s">
        <v>13041</v>
      </c>
      <c r="BD856" s="82" t="s">
        <v>16303</v>
      </c>
      <c r="BE856" s="77"/>
      <c r="BF856" s="77"/>
      <c r="BG856" s="77"/>
      <c r="BH856" s="77"/>
      <c r="BI856" s="77"/>
    </row>
    <row r="857" spans="1:61" x14ac:dyDescent="0.25">
      <c r="A857" s="62" t="s">
        <v>527</v>
      </c>
      <c r="B857" s="62" t="s">
        <v>527</v>
      </c>
      <c r="C857" s="63"/>
      <c r="D857" s="64"/>
      <c r="E857" s="65"/>
      <c r="F857" s="66"/>
      <c r="G857" s="63"/>
      <c r="H857" s="67"/>
      <c r="I857" s="68"/>
      <c r="J857" s="68"/>
      <c r="K857" s="32"/>
      <c r="L857" s="75">
        <v>857</v>
      </c>
      <c r="M857" s="75"/>
      <c r="N857" s="70"/>
      <c r="O857" s="77" t="s">
        <v>179</v>
      </c>
      <c r="P857" s="79">
        <v>45139.708344907405</v>
      </c>
      <c r="Q857" s="77" t="s">
        <v>1953</v>
      </c>
      <c r="R857" s="77">
        <v>0</v>
      </c>
      <c r="S857" s="77">
        <v>0</v>
      </c>
      <c r="T857" s="77">
        <v>0</v>
      </c>
      <c r="U857" s="77">
        <v>0</v>
      </c>
      <c r="V857" s="77">
        <v>145</v>
      </c>
      <c r="W857" s="82" t="s">
        <v>4673</v>
      </c>
      <c r="X857" s="80" t="str">
        <f>HYPERLINK("https://bit.ly/43RTO15")</f>
        <v>https://bit.ly/43RTO15</v>
      </c>
      <c r="Y857" s="77" t="s">
        <v>6004</v>
      </c>
      <c r="Z857" s="77"/>
      <c r="AA857" s="77"/>
      <c r="AB857" s="77"/>
      <c r="AC857" s="82" t="s">
        <v>7713</v>
      </c>
      <c r="AD857" s="77" t="s">
        <v>7745</v>
      </c>
      <c r="AE857" s="80" t="str">
        <f>HYPERLINK("https://twitter.com/sigaif/status/1686421538604568588")</f>
        <v>https://twitter.com/sigaif/status/1686421538604568588</v>
      </c>
      <c r="AF857" s="79">
        <v>45139.708344907405</v>
      </c>
      <c r="AG857" s="85">
        <v>45139</v>
      </c>
      <c r="AH857" s="82" t="s">
        <v>8006</v>
      </c>
      <c r="AI857" s="77" t="b">
        <v>0</v>
      </c>
      <c r="AJ857" s="77"/>
      <c r="AK857" s="77"/>
      <c r="AL857" s="77"/>
      <c r="AM857" s="77"/>
      <c r="AN857" s="77"/>
      <c r="AO857" s="77"/>
      <c r="AP857" s="77"/>
      <c r="AQ857" s="77"/>
      <c r="AR857" s="77"/>
      <c r="AS857" s="77"/>
      <c r="AT857" s="77"/>
      <c r="AU857" s="77"/>
      <c r="AV857" s="80" t="str">
        <f>HYPERLINK("https://pbs.twimg.com/profile_images/1694699476663914496/pAhGWDTb_normal.jpg")</f>
        <v>https://pbs.twimg.com/profile_images/1694699476663914496/pAhGWDTb_normal.jpg</v>
      </c>
      <c r="AW857" s="82" t="s">
        <v>13042</v>
      </c>
      <c r="AX857" s="82" t="s">
        <v>13042</v>
      </c>
      <c r="AY857" s="77"/>
      <c r="AZ857" s="82" t="s">
        <v>15804</v>
      </c>
      <c r="BA857" s="82" t="s">
        <v>15804</v>
      </c>
      <c r="BB857" s="82" t="s">
        <v>15804</v>
      </c>
      <c r="BC857" s="82" t="s">
        <v>13042</v>
      </c>
      <c r="BD857" s="82" t="s">
        <v>16303</v>
      </c>
      <c r="BE857" s="77"/>
      <c r="BF857" s="77"/>
      <c r="BG857" s="77"/>
      <c r="BH857" s="77"/>
      <c r="BI857" s="77"/>
    </row>
    <row r="858" spans="1:61" x14ac:dyDescent="0.25">
      <c r="A858" s="62" t="s">
        <v>528</v>
      </c>
      <c r="B858" s="62" t="s">
        <v>528</v>
      </c>
      <c r="C858" s="63"/>
      <c r="D858" s="64"/>
      <c r="E858" s="65"/>
      <c r="F858" s="66"/>
      <c r="G858" s="63"/>
      <c r="H858" s="67"/>
      <c r="I858" s="68"/>
      <c r="J858" s="68"/>
      <c r="K858" s="32"/>
      <c r="L858" s="75">
        <v>858</v>
      </c>
      <c r="M858" s="75"/>
      <c r="N858" s="70"/>
      <c r="O858" s="77" t="s">
        <v>179</v>
      </c>
      <c r="P858" s="79">
        <v>45020.376574074071</v>
      </c>
      <c r="Q858" s="77" t="s">
        <v>1954</v>
      </c>
      <c r="R858" s="77">
        <v>8</v>
      </c>
      <c r="S858" s="77">
        <v>31</v>
      </c>
      <c r="T858" s="77">
        <v>0</v>
      </c>
      <c r="U858" s="77">
        <v>3</v>
      </c>
      <c r="V858" s="77">
        <v>4828</v>
      </c>
      <c r="W858" s="82" t="s">
        <v>4674</v>
      </c>
      <c r="X858" s="77"/>
      <c r="Y858" s="77"/>
      <c r="Z858" s="77"/>
      <c r="AA858" s="77" t="s">
        <v>6634</v>
      </c>
      <c r="AB858" s="77" t="s">
        <v>7696</v>
      </c>
      <c r="AC858" s="82" t="s">
        <v>7706</v>
      </c>
      <c r="AD858" s="77" t="s">
        <v>7745</v>
      </c>
      <c r="AE858" s="80" t="str">
        <f>HYPERLINK("https://twitter.com/bancomoc/status/1643177150814584832")</f>
        <v>https://twitter.com/bancomoc/status/1643177150814584832</v>
      </c>
      <c r="AF858" s="79">
        <v>45020.376574074071</v>
      </c>
      <c r="AG858" s="85">
        <v>45020</v>
      </c>
      <c r="AH858" s="82" t="s">
        <v>8529</v>
      </c>
      <c r="AI858" s="77" t="b">
        <v>0</v>
      </c>
      <c r="AJ858" s="77"/>
      <c r="AK858" s="77"/>
      <c r="AL858" s="77"/>
      <c r="AM858" s="77"/>
      <c r="AN858" s="77"/>
      <c r="AO858" s="77"/>
      <c r="AP858" s="77"/>
      <c r="AQ858" s="77" t="s">
        <v>11141</v>
      </c>
      <c r="AR858" s="77"/>
      <c r="AS858" s="77"/>
      <c r="AT858" s="77"/>
      <c r="AU858" s="77"/>
      <c r="AV858" s="80" t="str">
        <f>HYPERLINK("https://pbs.twimg.com/media/Fs28L9iWcAASf_f.jpg")</f>
        <v>https://pbs.twimg.com/media/Fs28L9iWcAASf_f.jpg</v>
      </c>
      <c r="AW858" s="82" t="s">
        <v>13043</v>
      </c>
      <c r="AX858" s="82" t="s">
        <v>13043</v>
      </c>
      <c r="AY858" s="77"/>
      <c r="AZ858" s="82" t="s">
        <v>15804</v>
      </c>
      <c r="BA858" s="82" t="s">
        <v>15804</v>
      </c>
      <c r="BB858" s="82" t="s">
        <v>15804</v>
      </c>
      <c r="BC858" s="82" t="s">
        <v>13043</v>
      </c>
      <c r="BD858" s="82" t="s">
        <v>16304</v>
      </c>
      <c r="BE858" s="77"/>
      <c r="BF858" s="77"/>
      <c r="BG858" s="77"/>
      <c r="BH858" s="77"/>
      <c r="BI858" s="77"/>
    </row>
    <row r="859" spans="1:61" x14ac:dyDescent="0.25">
      <c r="A859" s="62" t="s">
        <v>528</v>
      </c>
      <c r="B859" s="62" t="s">
        <v>528</v>
      </c>
      <c r="C859" s="63"/>
      <c r="D859" s="64"/>
      <c r="E859" s="65"/>
      <c r="F859" s="66"/>
      <c r="G859" s="63"/>
      <c r="H859" s="67"/>
      <c r="I859" s="68"/>
      <c r="J859" s="68"/>
      <c r="K859" s="32"/>
      <c r="L859" s="75">
        <v>859</v>
      </c>
      <c r="M859" s="75"/>
      <c r="N859" s="70"/>
      <c r="O859" s="77" t="s">
        <v>179</v>
      </c>
      <c r="P859" s="79">
        <v>45026.63009259259</v>
      </c>
      <c r="Q859" s="77" t="s">
        <v>1955</v>
      </c>
      <c r="R859" s="77">
        <v>2</v>
      </c>
      <c r="S859" s="77">
        <v>20</v>
      </c>
      <c r="T859" s="77">
        <v>0</v>
      </c>
      <c r="U859" s="77">
        <v>0</v>
      </c>
      <c r="V859" s="77">
        <v>719</v>
      </c>
      <c r="W859" s="82" t="s">
        <v>4674</v>
      </c>
      <c r="X859" s="77"/>
      <c r="Y859" s="77"/>
      <c r="Z859" s="77"/>
      <c r="AA859" s="77" t="s">
        <v>6635</v>
      </c>
      <c r="AB859" s="77" t="s">
        <v>7696</v>
      </c>
      <c r="AC859" s="82" t="s">
        <v>7706</v>
      </c>
      <c r="AD859" s="77" t="s">
        <v>7745</v>
      </c>
      <c r="AE859" s="80" t="str">
        <f>HYPERLINK("https://twitter.com/bancomoc/status/1645443351259357191")</f>
        <v>https://twitter.com/bancomoc/status/1645443351259357191</v>
      </c>
      <c r="AF859" s="79">
        <v>45026.63009259259</v>
      </c>
      <c r="AG859" s="85">
        <v>45026</v>
      </c>
      <c r="AH859" s="82" t="s">
        <v>8530</v>
      </c>
      <c r="AI859" s="77" t="b">
        <v>0</v>
      </c>
      <c r="AJ859" s="77"/>
      <c r="AK859" s="77"/>
      <c r="AL859" s="77"/>
      <c r="AM859" s="77"/>
      <c r="AN859" s="77"/>
      <c r="AO859" s="77"/>
      <c r="AP859" s="77"/>
      <c r="AQ859" s="77" t="s">
        <v>11142</v>
      </c>
      <c r="AR859" s="77"/>
      <c r="AS859" s="77"/>
      <c r="AT859" s="77"/>
      <c r="AU859" s="77"/>
      <c r="AV859" s="80" t="str">
        <f>HYPERLINK("https://pbs.twimg.com/media/FtXJ2dlXoAAjbSU.jpg")</f>
        <v>https://pbs.twimg.com/media/FtXJ2dlXoAAjbSU.jpg</v>
      </c>
      <c r="AW859" s="82" t="s">
        <v>13044</v>
      </c>
      <c r="AX859" s="82" t="s">
        <v>13044</v>
      </c>
      <c r="AY859" s="77"/>
      <c r="AZ859" s="82" t="s">
        <v>15804</v>
      </c>
      <c r="BA859" s="82" t="s">
        <v>15804</v>
      </c>
      <c r="BB859" s="82" t="s">
        <v>15804</v>
      </c>
      <c r="BC859" s="82" t="s">
        <v>13044</v>
      </c>
      <c r="BD859" s="82" t="s">
        <v>16304</v>
      </c>
      <c r="BE859" s="77"/>
      <c r="BF859" s="77"/>
      <c r="BG859" s="77"/>
      <c r="BH859" s="77"/>
      <c r="BI859" s="77"/>
    </row>
    <row r="860" spans="1:61" x14ac:dyDescent="0.25">
      <c r="A860" s="62" t="s">
        <v>528</v>
      </c>
      <c r="B860" s="62" t="s">
        <v>528</v>
      </c>
      <c r="C860" s="63"/>
      <c r="D860" s="64"/>
      <c r="E860" s="65"/>
      <c r="F860" s="66"/>
      <c r="G860" s="63"/>
      <c r="H860" s="67"/>
      <c r="I860" s="68"/>
      <c r="J860" s="68"/>
      <c r="K860" s="32"/>
      <c r="L860" s="75">
        <v>860</v>
      </c>
      <c r="M860" s="75"/>
      <c r="N860" s="70"/>
      <c r="O860" s="77" t="s">
        <v>179</v>
      </c>
      <c r="P860" s="79">
        <v>45026.354050925926</v>
      </c>
      <c r="Q860" s="77" t="s">
        <v>1956</v>
      </c>
      <c r="R860" s="77">
        <v>14</v>
      </c>
      <c r="S860" s="77">
        <v>58</v>
      </c>
      <c r="T860" s="77">
        <v>3</v>
      </c>
      <c r="U860" s="77">
        <v>8</v>
      </c>
      <c r="V860" s="77">
        <v>24250</v>
      </c>
      <c r="W860" s="82" t="s">
        <v>4674</v>
      </c>
      <c r="X860" s="77"/>
      <c r="Y860" s="77"/>
      <c r="Z860" s="77"/>
      <c r="AA860" s="77" t="s">
        <v>6636</v>
      </c>
      <c r="AB860" s="77" t="s">
        <v>7696</v>
      </c>
      <c r="AC860" s="82" t="s">
        <v>7706</v>
      </c>
      <c r="AD860" s="77" t="s">
        <v>7745</v>
      </c>
      <c r="AE860" s="80" t="str">
        <f>HYPERLINK("https://twitter.com/bancomoc/status/1645343316198715393")</f>
        <v>https://twitter.com/bancomoc/status/1645343316198715393</v>
      </c>
      <c r="AF860" s="79">
        <v>45026.354050925926</v>
      </c>
      <c r="AG860" s="85">
        <v>45026</v>
      </c>
      <c r="AH860" s="82" t="s">
        <v>8531</v>
      </c>
      <c r="AI860" s="77" t="b">
        <v>0</v>
      </c>
      <c r="AJ860" s="77"/>
      <c r="AK860" s="77"/>
      <c r="AL860" s="77"/>
      <c r="AM860" s="77"/>
      <c r="AN860" s="77"/>
      <c r="AO860" s="77"/>
      <c r="AP860" s="77"/>
      <c r="AQ860" s="77" t="s">
        <v>11143</v>
      </c>
      <c r="AR860" s="77"/>
      <c r="AS860" s="77"/>
      <c r="AT860" s="77"/>
      <c r="AU860" s="77"/>
      <c r="AV860" s="80" t="str">
        <f>HYPERLINK("https://pbs.twimg.com/media/FtVvA3iX0AALS8s.jpg")</f>
        <v>https://pbs.twimg.com/media/FtVvA3iX0AALS8s.jpg</v>
      </c>
      <c r="AW860" s="82" t="s">
        <v>13045</v>
      </c>
      <c r="AX860" s="82" t="s">
        <v>13045</v>
      </c>
      <c r="AY860" s="77"/>
      <c r="AZ860" s="82" t="s">
        <v>15804</v>
      </c>
      <c r="BA860" s="82" t="s">
        <v>15804</v>
      </c>
      <c r="BB860" s="82" t="s">
        <v>15804</v>
      </c>
      <c r="BC860" s="82" t="s">
        <v>13045</v>
      </c>
      <c r="BD860" s="82" t="s">
        <v>16304</v>
      </c>
      <c r="BE860" s="77"/>
      <c r="BF860" s="77"/>
      <c r="BG860" s="77"/>
      <c r="BH860" s="77"/>
      <c r="BI860" s="77"/>
    </row>
    <row r="861" spans="1:61" x14ac:dyDescent="0.25">
      <c r="A861" s="62" t="s">
        <v>528</v>
      </c>
      <c r="B861" s="62" t="s">
        <v>528</v>
      </c>
      <c r="C861" s="63"/>
      <c r="D861" s="64"/>
      <c r="E861" s="65"/>
      <c r="F861" s="66"/>
      <c r="G861" s="63"/>
      <c r="H861" s="67"/>
      <c r="I861" s="68"/>
      <c r="J861" s="68"/>
      <c r="K861" s="32"/>
      <c r="L861" s="75">
        <v>861</v>
      </c>
      <c r="M861" s="75"/>
      <c r="N861" s="70"/>
      <c r="O861" s="77" t="s">
        <v>179</v>
      </c>
      <c r="P861" s="79">
        <v>45043.25</v>
      </c>
      <c r="Q861" s="77" t="s">
        <v>1957</v>
      </c>
      <c r="R861" s="77">
        <v>1</v>
      </c>
      <c r="S861" s="77">
        <v>7</v>
      </c>
      <c r="T861" s="77">
        <v>0</v>
      </c>
      <c r="U861" s="77">
        <v>0</v>
      </c>
      <c r="V861" s="77">
        <v>399</v>
      </c>
      <c r="W861" s="82" t="s">
        <v>4675</v>
      </c>
      <c r="X861" s="77"/>
      <c r="Y861" s="77"/>
      <c r="Z861" s="77"/>
      <c r="AA861" s="77" t="s">
        <v>6637</v>
      </c>
      <c r="AB861" s="77" t="s">
        <v>7696</v>
      </c>
      <c r="AC861" s="82" t="s">
        <v>7706</v>
      </c>
      <c r="AD861" s="77" t="s">
        <v>7745</v>
      </c>
      <c r="AE861" s="80" t="str">
        <f>HYPERLINK("https://twitter.com/bancomoc/status/1651466205641977862")</f>
        <v>https://twitter.com/bancomoc/status/1651466205641977862</v>
      </c>
      <c r="AF861" s="79">
        <v>45043.25</v>
      </c>
      <c r="AG861" s="85">
        <v>45043</v>
      </c>
      <c r="AH861" s="82" t="s">
        <v>8532</v>
      </c>
      <c r="AI861" s="77" t="b">
        <v>0</v>
      </c>
      <c r="AJ861" s="77"/>
      <c r="AK861" s="77"/>
      <c r="AL861" s="77"/>
      <c r="AM861" s="77"/>
      <c r="AN861" s="77"/>
      <c r="AO861" s="77"/>
      <c r="AP861" s="77"/>
      <c r="AQ861" s="77" t="s">
        <v>11144</v>
      </c>
      <c r="AR861" s="77"/>
      <c r="AS861" s="77"/>
      <c r="AT861" s="77"/>
      <c r="AU861" s="77"/>
      <c r="AV861" s="80" t="str">
        <f>HYPERLINK("https://pbs.twimg.com/media/Fupgnf0WcAIXMsz.jpg")</f>
        <v>https://pbs.twimg.com/media/Fupgnf0WcAIXMsz.jpg</v>
      </c>
      <c r="AW861" s="82" t="s">
        <v>13046</v>
      </c>
      <c r="AX861" s="82" t="s">
        <v>13046</v>
      </c>
      <c r="AY861" s="77"/>
      <c r="AZ861" s="82" t="s">
        <v>15804</v>
      </c>
      <c r="BA861" s="82" t="s">
        <v>15804</v>
      </c>
      <c r="BB861" s="82" t="s">
        <v>15804</v>
      </c>
      <c r="BC861" s="82" t="s">
        <v>13046</v>
      </c>
      <c r="BD861" s="82" t="s">
        <v>16304</v>
      </c>
      <c r="BE861" s="77"/>
      <c r="BF861" s="77"/>
      <c r="BG861" s="77"/>
      <c r="BH861" s="77"/>
      <c r="BI861" s="77"/>
    </row>
    <row r="862" spans="1:61" x14ac:dyDescent="0.25">
      <c r="A862" s="62" t="s">
        <v>529</v>
      </c>
      <c r="B862" s="62" t="s">
        <v>529</v>
      </c>
      <c r="C862" s="63"/>
      <c r="D862" s="64"/>
      <c r="E862" s="65"/>
      <c r="F862" s="66"/>
      <c r="G862" s="63"/>
      <c r="H862" s="67"/>
      <c r="I862" s="68"/>
      <c r="J862" s="68"/>
      <c r="K862" s="32"/>
      <c r="L862" s="75">
        <v>862</v>
      </c>
      <c r="M862" s="75"/>
      <c r="N862" s="70"/>
      <c r="O862" s="77" t="s">
        <v>179</v>
      </c>
      <c r="P862" s="79">
        <v>45047.075914351852</v>
      </c>
      <c r="Q862" s="77" t="s">
        <v>1958</v>
      </c>
      <c r="R862" s="77">
        <v>0</v>
      </c>
      <c r="S862" s="77">
        <v>0</v>
      </c>
      <c r="T862" s="77">
        <v>0</v>
      </c>
      <c r="U862" s="77">
        <v>0</v>
      </c>
      <c r="V862" s="77">
        <v>39</v>
      </c>
      <c r="W862" s="82" t="s">
        <v>4676</v>
      </c>
      <c r="X862" s="77"/>
      <c r="Y862" s="77"/>
      <c r="Z862" s="77"/>
      <c r="AA862" s="77" t="s">
        <v>6638</v>
      </c>
      <c r="AB862" s="77" t="s">
        <v>7697</v>
      </c>
      <c r="AC862" s="82" t="s">
        <v>7705</v>
      </c>
      <c r="AD862" s="77" t="s">
        <v>7745</v>
      </c>
      <c r="AE862" s="80" t="str">
        <f>HYPERLINK("https://twitter.com/dinheiro_viva/status/1652852668480593920")</f>
        <v>https://twitter.com/dinheiro_viva/status/1652852668480593920</v>
      </c>
      <c r="AF862" s="79">
        <v>45047.075914351852</v>
      </c>
      <c r="AG862" s="85">
        <v>45047</v>
      </c>
      <c r="AH862" s="82" t="s">
        <v>8533</v>
      </c>
      <c r="AI862" s="77" t="b">
        <v>0</v>
      </c>
      <c r="AJ862" s="77"/>
      <c r="AK862" s="77"/>
      <c r="AL862" s="77"/>
      <c r="AM862" s="77"/>
      <c r="AN862" s="77"/>
      <c r="AO862" s="77"/>
      <c r="AP862" s="77"/>
      <c r="AQ862" s="77" t="s">
        <v>11145</v>
      </c>
      <c r="AR862" s="77">
        <v>60008</v>
      </c>
      <c r="AS862" s="77"/>
      <c r="AT862" s="77"/>
      <c r="AU862" s="77">
        <v>13</v>
      </c>
      <c r="AV862" s="80" t="str">
        <f>HYPERLINK("https://pbs.twimg.com/ext_tw_video_thumb/1652852599253524480/pu/img/4J_ORPnlthqOMteV.jpg")</f>
        <v>https://pbs.twimg.com/ext_tw_video_thumb/1652852599253524480/pu/img/4J_ORPnlthqOMteV.jpg</v>
      </c>
      <c r="AW862" s="82" t="s">
        <v>13047</v>
      </c>
      <c r="AX862" s="82" t="s">
        <v>13047</v>
      </c>
      <c r="AY862" s="77"/>
      <c r="AZ862" s="82" t="s">
        <v>15804</v>
      </c>
      <c r="BA862" s="82" t="s">
        <v>15804</v>
      </c>
      <c r="BB862" s="82" t="s">
        <v>15804</v>
      </c>
      <c r="BC862" s="82" t="s">
        <v>13047</v>
      </c>
      <c r="BD862" s="82" t="s">
        <v>16305</v>
      </c>
      <c r="BE862" s="77"/>
      <c r="BF862" s="77"/>
      <c r="BG862" s="77"/>
      <c r="BH862" s="77"/>
      <c r="BI862" s="77"/>
    </row>
    <row r="863" spans="1:61" x14ac:dyDescent="0.25">
      <c r="A863" s="62" t="s">
        <v>530</v>
      </c>
      <c r="B863" s="62" t="s">
        <v>530</v>
      </c>
      <c r="C863" s="63"/>
      <c r="D863" s="64"/>
      <c r="E863" s="65"/>
      <c r="F863" s="66"/>
      <c r="G863" s="63"/>
      <c r="H863" s="67"/>
      <c r="I863" s="68"/>
      <c r="J863" s="68"/>
      <c r="K863" s="32"/>
      <c r="L863" s="75">
        <v>863</v>
      </c>
      <c r="M863" s="75"/>
      <c r="N863" s="70"/>
      <c r="O863" s="77" t="s">
        <v>179</v>
      </c>
      <c r="P863" s="79">
        <v>45049.70989583333</v>
      </c>
      <c r="Q863" s="77" t="s">
        <v>1959</v>
      </c>
      <c r="R863" s="77">
        <v>0</v>
      </c>
      <c r="S863" s="77">
        <v>1</v>
      </c>
      <c r="T863" s="77">
        <v>0</v>
      </c>
      <c r="U863" s="77">
        <v>0</v>
      </c>
      <c r="V863" s="77">
        <v>18</v>
      </c>
      <c r="W863" s="82" t="s">
        <v>4677</v>
      </c>
      <c r="X863" s="77"/>
      <c r="Y863" s="77"/>
      <c r="Z863" s="77"/>
      <c r="AA863" s="77" t="s">
        <v>6639</v>
      </c>
      <c r="AB863" s="77" t="s">
        <v>7696</v>
      </c>
      <c r="AC863" s="82" t="s">
        <v>7706</v>
      </c>
      <c r="AD863" s="77" t="s">
        <v>7745</v>
      </c>
      <c r="AE863" s="80" t="str">
        <f>HYPERLINK("https://twitter.com/pobrepoupa/status/1653807191248318470")</f>
        <v>https://twitter.com/pobrepoupa/status/1653807191248318470</v>
      </c>
      <c r="AF863" s="79">
        <v>45049.70989583333</v>
      </c>
      <c r="AG863" s="85">
        <v>45049</v>
      </c>
      <c r="AH863" s="82" t="s">
        <v>8534</v>
      </c>
      <c r="AI863" s="77" t="b">
        <v>0</v>
      </c>
      <c r="AJ863" s="77"/>
      <c r="AK863" s="77"/>
      <c r="AL863" s="77"/>
      <c r="AM863" s="77"/>
      <c r="AN863" s="77"/>
      <c r="AO863" s="77"/>
      <c r="AP863" s="77"/>
      <c r="AQ863" s="77" t="s">
        <v>11146</v>
      </c>
      <c r="AR863" s="77"/>
      <c r="AS863" s="77"/>
      <c r="AT863" s="77"/>
      <c r="AU863" s="77"/>
      <c r="AV863" s="80" t="str">
        <f>HYPERLINK("https://pbs.twimg.com/media/FvOA0gpXsAYP2n4.jpg")</f>
        <v>https://pbs.twimg.com/media/FvOA0gpXsAYP2n4.jpg</v>
      </c>
      <c r="AW863" s="82" t="s">
        <v>13048</v>
      </c>
      <c r="AX863" s="82" t="s">
        <v>13048</v>
      </c>
      <c r="AY863" s="77"/>
      <c r="AZ863" s="82" t="s">
        <v>15804</v>
      </c>
      <c r="BA863" s="82" t="s">
        <v>15804</v>
      </c>
      <c r="BB863" s="82" t="s">
        <v>15804</v>
      </c>
      <c r="BC863" s="82" t="s">
        <v>13048</v>
      </c>
      <c r="BD863" s="82" t="s">
        <v>16306</v>
      </c>
      <c r="BE863" s="77"/>
      <c r="BF863" s="77"/>
      <c r="BG863" s="77"/>
      <c r="BH863" s="77"/>
      <c r="BI863" s="77"/>
    </row>
    <row r="864" spans="1:61" x14ac:dyDescent="0.25">
      <c r="A864" s="62" t="s">
        <v>530</v>
      </c>
      <c r="B864" s="62" t="s">
        <v>530</v>
      </c>
      <c r="C864" s="63"/>
      <c r="D864" s="64"/>
      <c r="E864" s="65"/>
      <c r="F864" s="66"/>
      <c r="G864" s="63"/>
      <c r="H864" s="67"/>
      <c r="I864" s="68"/>
      <c r="J864" s="68"/>
      <c r="K864" s="32"/>
      <c r="L864" s="75">
        <v>864</v>
      </c>
      <c r="M864" s="75"/>
      <c r="N864" s="70"/>
      <c r="O864" s="77" t="s">
        <v>179</v>
      </c>
      <c r="P864" s="79">
        <v>45049.704039351855</v>
      </c>
      <c r="Q864" s="77" t="s">
        <v>1960</v>
      </c>
      <c r="R864" s="77">
        <v>0</v>
      </c>
      <c r="S864" s="77">
        <v>1</v>
      </c>
      <c r="T864" s="77">
        <v>0</v>
      </c>
      <c r="U864" s="77">
        <v>0</v>
      </c>
      <c r="V864" s="77">
        <v>10</v>
      </c>
      <c r="W864" s="82" t="s">
        <v>4678</v>
      </c>
      <c r="X864" s="80" t="str">
        <f>HYPERLINK("http://www.pobrepoupa.com.br")</f>
        <v>http://www.pobrepoupa.com.br</v>
      </c>
      <c r="Y864" s="77" t="s">
        <v>6002</v>
      </c>
      <c r="Z864" s="77"/>
      <c r="AA864" s="77" t="s">
        <v>6640</v>
      </c>
      <c r="AB864" s="77" t="s">
        <v>7696</v>
      </c>
      <c r="AC864" s="82" t="s">
        <v>7706</v>
      </c>
      <c r="AD864" s="77" t="s">
        <v>7745</v>
      </c>
      <c r="AE864" s="80" t="str">
        <f>HYPERLINK("https://twitter.com/pobrepoupa/status/1653805069047934987")</f>
        <v>https://twitter.com/pobrepoupa/status/1653805069047934987</v>
      </c>
      <c r="AF864" s="79">
        <v>45049.704039351855</v>
      </c>
      <c r="AG864" s="85">
        <v>45049</v>
      </c>
      <c r="AH864" s="82" t="s">
        <v>8535</v>
      </c>
      <c r="AI864" s="77" t="b">
        <v>0</v>
      </c>
      <c r="AJ864" s="77"/>
      <c r="AK864" s="77"/>
      <c r="AL864" s="77"/>
      <c r="AM864" s="77"/>
      <c r="AN864" s="77"/>
      <c r="AO864" s="77"/>
      <c r="AP864" s="77"/>
      <c r="AQ864" s="77" t="s">
        <v>11147</v>
      </c>
      <c r="AR864" s="77"/>
      <c r="AS864" s="77"/>
      <c r="AT864" s="77"/>
      <c r="AU864" s="77"/>
      <c r="AV864" s="80" t="str">
        <f>HYPERLINK("https://pbs.twimg.com/media/FvN-tIVX0AAUXIM.jpg")</f>
        <v>https://pbs.twimg.com/media/FvN-tIVX0AAUXIM.jpg</v>
      </c>
      <c r="AW864" s="82" t="s">
        <v>13049</v>
      </c>
      <c r="AX864" s="82" t="s">
        <v>13049</v>
      </c>
      <c r="AY864" s="77"/>
      <c r="AZ864" s="82" t="s">
        <v>15804</v>
      </c>
      <c r="BA864" s="82" t="s">
        <v>15804</v>
      </c>
      <c r="BB864" s="82" t="s">
        <v>15804</v>
      </c>
      <c r="BC864" s="82" t="s">
        <v>13049</v>
      </c>
      <c r="BD864" s="82" t="s">
        <v>16306</v>
      </c>
      <c r="BE864" s="77"/>
      <c r="BF864" s="77"/>
      <c r="BG864" s="77"/>
      <c r="BH864" s="77"/>
      <c r="BI864" s="77"/>
    </row>
    <row r="865" spans="1:61" x14ac:dyDescent="0.25">
      <c r="A865" s="62" t="s">
        <v>530</v>
      </c>
      <c r="B865" s="62" t="s">
        <v>530</v>
      </c>
      <c r="C865" s="63"/>
      <c r="D865" s="64"/>
      <c r="E865" s="65"/>
      <c r="F865" s="66"/>
      <c r="G865" s="63"/>
      <c r="H865" s="67"/>
      <c r="I865" s="68"/>
      <c r="J865" s="68"/>
      <c r="K865" s="32"/>
      <c r="L865" s="75">
        <v>865</v>
      </c>
      <c r="M865" s="75"/>
      <c r="N865" s="70"/>
      <c r="O865" s="77" t="s">
        <v>179</v>
      </c>
      <c r="P865" s="79">
        <v>45049.662638888891</v>
      </c>
      <c r="Q865" s="77" t="s">
        <v>1961</v>
      </c>
      <c r="R865" s="77">
        <v>0</v>
      </c>
      <c r="S865" s="77">
        <v>1</v>
      </c>
      <c r="T865" s="77">
        <v>0</v>
      </c>
      <c r="U865" s="77">
        <v>0</v>
      </c>
      <c r="V865" s="77">
        <v>16</v>
      </c>
      <c r="W865" s="82" t="s">
        <v>4677</v>
      </c>
      <c r="X865" s="77"/>
      <c r="Y865" s="77"/>
      <c r="Z865" s="77"/>
      <c r="AA865" s="77" t="s">
        <v>6641</v>
      </c>
      <c r="AB865" s="77" t="s">
        <v>7696</v>
      </c>
      <c r="AC865" s="82" t="s">
        <v>7706</v>
      </c>
      <c r="AD865" s="77" t="s">
        <v>7745</v>
      </c>
      <c r="AE865" s="80" t="str">
        <f>HYPERLINK("https://twitter.com/pobrepoupa/status/1653790066567794691")</f>
        <v>https://twitter.com/pobrepoupa/status/1653790066567794691</v>
      </c>
      <c r="AF865" s="79">
        <v>45049.662638888891</v>
      </c>
      <c r="AG865" s="85">
        <v>45049</v>
      </c>
      <c r="AH865" s="82" t="s">
        <v>8536</v>
      </c>
      <c r="AI865" s="77" t="b">
        <v>0</v>
      </c>
      <c r="AJ865" s="77"/>
      <c r="AK865" s="77"/>
      <c r="AL865" s="77"/>
      <c r="AM865" s="77"/>
      <c r="AN865" s="77"/>
      <c r="AO865" s="77"/>
      <c r="AP865" s="77"/>
      <c r="AQ865" s="77" t="s">
        <v>11148</v>
      </c>
      <c r="AR865" s="77"/>
      <c r="AS865" s="77"/>
      <c r="AT865" s="77"/>
      <c r="AU865" s="77"/>
      <c r="AV865" s="80" t="str">
        <f>HYPERLINK("https://pbs.twimg.com/media/FvNxOykXoAUSYCq.jpg")</f>
        <v>https://pbs.twimg.com/media/FvNxOykXoAUSYCq.jpg</v>
      </c>
      <c r="AW865" s="82" t="s">
        <v>13050</v>
      </c>
      <c r="AX865" s="82" t="s">
        <v>13050</v>
      </c>
      <c r="AY865" s="77"/>
      <c r="AZ865" s="82" t="s">
        <v>15804</v>
      </c>
      <c r="BA865" s="82" t="s">
        <v>15804</v>
      </c>
      <c r="BB865" s="82" t="s">
        <v>15804</v>
      </c>
      <c r="BC865" s="82" t="s">
        <v>13050</v>
      </c>
      <c r="BD865" s="82" t="s">
        <v>16306</v>
      </c>
      <c r="BE865" s="77"/>
      <c r="BF865" s="77"/>
      <c r="BG865" s="77"/>
      <c r="BH865" s="77"/>
      <c r="BI865" s="77"/>
    </row>
    <row r="866" spans="1:61" x14ac:dyDescent="0.25">
      <c r="A866" s="62" t="s">
        <v>531</v>
      </c>
      <c r="B866" s="62" t="s">
        <v>531</v>
      </c>
      <c r="C866" s="63"/>
      <c r="D866" s="64"/>
      <c r="E866" s="65"/>
      <c r="F866" s="66"/>
      <c r="G866" s="63"/>
      <c r="H866" s="67"/>
      <c r="I866" s="68"/>
      <c r="J866" s="68"/>
      <c r="K866" s="32"/>
      <c r="L866" s="75">
        <v>866</v>
      </c>
      <c r="M866" s="75"/>
      <c r="N866" s="70"/>
      <c r="O866" s="77" t="s">
        <v>1132</v>
      </c>
      <c r="P866" s="79">
        <v>44974.130057870374</v>
      </c>
      <c r="Q866" s="77" t="s">
        <v>1962</v>
      </c>
      <c r="R866" s="77">
        <v>0</v>
      </c>
      <c r="S866" s="77">
        <v>2</v>
      </c>
      <c r="T866" s="77">
        <v>1</v>
      </c>
      <c r="U866" s="77">
        <v>0</v>
      </c>
      <c r="V866" s="77">
        <v>270</v>
      </c>
      <c r="W866" s="82" t="s">
        <v>4679</v>
      </c>
      <c r="X866" s="77"/>
      <c r="Y866" s="77"/>
      <c r="Z866" s="77"/>
      <c r="AA866" s="77"/>
      <c r="AB866" s="77"/>
      <c r="AC866" s="82" t="s">
        <v>7706</v>
      </c>
      <c r="AD866" s="77" t="s">
        <v>7745</v>
      </c>
      <c r="AE866" s="80" t="str">
        <f>HYPERLINK("https://twitter.com/osdadosmostram/status/1626417976801996800")</f>
        <v>https://twitter.com/osdadosmostram/status/1626417976801996800</v>
      </c>
      <c r="AF866" s="79">
        <v>44974.130057870374</v>
      </c>
      <c r="AG866" s="85">
        <v>44974</v>
      </c>
      <c r="AH866" s="82" t="s">
        <v>8537</v>
      </c>
      <c r="AI866" s="77"/>
      <c r="AJ866" s="77"/>
      <c r="AK866" s="77"/>
      <c r="AL866" s="77"/>
      <c r="AM866" s="77"/>
      <c r="AN866" s="77"/>
      <c r="AO866" s="77"/>
      <c r="AP866" s="77"/>
      <c r="AQ866" s="77"/>
      <c r="AR866" s="77"/>
      <c r="AS866" s="77"/>
      <c r="AT866" s="77"/>
      <c r="AU866" s="77"/>
      <c r="AV866" s="80" t="str">
        <f>HYPERLINK("https://pbs.twimg.com/profile_images/1577097771961679873/kiiSE3ve_normal.jpg")</f>
        <v>https://pbs.twimg.com/profile_images/1577097771961679873/kiiSE3ve_normal.jpg</v>
      </c>
      <c r="AW866" s="82" t="s">
        <v>13051</v>
      </c>
      <c r="AX866" s="82" t="s">
        <v>15307</v>
      </c>
      <c r="AY866" s="82" t="s">
        <v>15726</v>
      </c>
      <c r="AZ866" s="82" t="s">
        <v>15307</v>
      </c>
      <c r="BA866" s="82" t="s">
        <v>15804</v>
      </c>
      <c r="BB866" s="82" t="s">
        <v>15804</v>
      </c>
      <c r="BC866" s="82" t="s">
        <v>15307</v>
      </c>
      <c r="BD866" s="82" t="s">
        <v>15726</v>
      </c>
      <c r="BE866" s="77"/>
      <c r="BF866" s="77"/>
      <c r="BG866" s="77"/>
      <c r="BH866" s="77"/>
      <c r="BI866" s="77"/>
    </row>
    <row r="867" spans="1:61" x14ac:dyDescent="0.25">
      <c r="A867" s="62" t="s">
        <v>532</v>
      </c>
      <c r="B867" s="62" t="s">
        <v>1080</v>
      </c>
      <c r="C867" s="63"/>
      <c r="D867" s="64"/>
      <c r="E867" s="65"/>
      <c r="F867" s="66"/>
      <c r="G867" s="63"/>
      <c r="H867" s="67"/>
      <c r="I867" s="68"/>
      <c r="J867" s="68"/>
      <c r="K867" s="32"/>
      <c r="L867" s="75">
        <v>867</v>
      </c>
      <c r="M867" s="75"/>
      <c r="N867" s="70"/>
      <c r="O867" s="77" t="s">
        <v>1132</v>
      </c>
      <c r="P867" s="79">
        <v>45161.837812500002</v>
      </c>
      <c r="Q867" s="77" t="s">
        <v>1963</v>
      </c>
      <c r="R867" s="77">
        <v>0</v>
      </c>
      <c r="S867" s="77">
        <v>0</v>
      </c>
      <c r="T867" s="77">
        <v>0</v>
      </c>
      <c r="U867" s="77">
        <v>0</v>
      </c>
      <c r="V867" s="77">
        <v>27</v>
      </c>
      <c r="W867" s="82" t="s">
        <v>4680</v>
      </c>
      <c r="X867" s="77"/>
      <c r="Y867" s="77"/>
      <c r="Z867" s="77" t="s">
        <v>1080</v>
      </c>
      <c r="AA867" s="77"/>
      <c r="AB867" s="77"/>
      <c r="AC867" s="82" t="s">
        <v>7706</v>
      </c>
      <c r="AD867" s="77" t="s">
        <v>7746</v>
      </c>
      <c r="AE867" s="80" t="str">
        <f>HYPERLINK("https://twitter.com/malelo2711/status/1694440989123805681")</f>
        <v>https://twitter.com/malelo2711/status/1694440989123805681</v>
      </c>
      <c r="AF867" s="79">
        <v>45161.837812500002</v>
      </c>
      <c r="AG867" s="85">
        <v>45161</v>
      </c>
      <c r="AH867" s="82" t="s">
        <v>8538</v>
      </c>
      <c r="AI867" s="77"/>
      <c r="AJ867" s="77"/>
      <c r="AK867" s="77"/>
      <c r="AL867" s="77"/>
      <c r="AM867" s="77"/>
      <c r="AN867" s="77"/>
      <c r="AO867" s="77"/>
      <c r="AP867" s="77"/>
      <c r="AQ867" s="77"/>
      <c r="AR867" s="77"/>
      <c r="AS867" s="77"/>
      <c r="AT867" s="77"/>
      <c r="AU867" s="77"/>
      <c r="AV867" s="80" t="str">
        <f>HYPERLINK("https://pbs.twimg.com/profile_images/1687604908516642816/vScz8Xr0_normal.jpg")</f>
        <v>https://pbs.twimg.com/profile_images/1687604908516642816/vScz8Xr0_normal.jpg</v>
      </c>
      <c r="AW867" s="82" t="s">
        <v>13052</v>
      </c>
      <c r="AX867" s="82" t="s">
        <v>15308</v>
      </c>
      <c r="AY867" s="82" t="s">
        <v>15727</v>
      </c>
      <c r="AZ867" s="82" t="s">
        <v>15308</v>
      </c>
      <c r="BA867" s="82" t="s">
        <v>15804</v>
      </c>
      <c r="BB867" s="82" t="s">
        <v>15804</v>
      </c>
      <c r="BC867" s="82" t="s">
        <v>15308</v>
      </c>
      <c r="BD867" s="82" t="s">
        <v>16307</v>
      </c>
      <c r="BE867" s="77"/>
      <c r="BF867" s="77"/>
      <c r="BG867" s="77"/>
      <c r="BH867" s="77"/>
      <c r="BI867" s="77"/>
    </row>
    <row r="868" spans="1:61" x14ac:dyDescent="0.25">
      <c r="A868" s="62" t="s">
        <v>533</v>
      </c>
      <c r="B868" s="62" t="s">
        <v>533</v>
      </c>
      <c r="C868" s="63"/>
      <c r="D868" s="64"/>
      <c r="E868" s="65"/>
      <c r="F868" s="66"/>
      <c r="G868" s="63"/>
      <c r="H868" s="67"/>
      <c r="I868" s="68"/>
      <c r="J868" s="68"/>
      <c r="K868" s="32"/>
      <c r="L868" s="75">
        <v>868</v>
      </c>
      <c r="M868" s="75"/>
      <c r="N868" s="70"/>
      <c r="O868" s="77" t="s">
        <v>179</v>
      </c>
      <c r="P868" s="79">
        <v>45073.458356481482</v>
      </c>
      <c r="Q868" s="77" t="s">
        <v>1964</v>
      </c>
      <c r="R868" s="77">
        <v>0</v>
      </c>
      <c r="S868" s="77">
        <v>1</v>
      </c>
      <c r="T868" s="77">
        <v>0</v>
      </c>
      <c r="U868" s="77">
        <v>0</v>
      </c>
      <c r="V868" s="77">
        <v>22</v>
      </c>
      <c r="W868" s="82" t="s">
        <v>4681</v>
      </c>
      <c r="X868" s="77"/>
      <c r="Y868" s="77"/>
      <c r="Z868" s="77"/>
      <c r="AA868" s="77" t="s">
        <v>6642</v>
      </c>
      <c r="AB868" s="77" t="s">
        <v>7697</v>
      </c>
      <c r="AC868" s="82" t="s">
        <v>7706</v>
      </c>
      <c r="AD868" s="77" t="s">
        <v>7745</v>
      </c>
      <c r="AE868" s="80" t="str">
        <f>HYPERLINK("https://twitter.com/recuperabrasil_/status/1662413344291127297")</f>
        <v>https://twitter.com/recuperabrasil_/status/1662413344291127297</v>
      </c>
      <c r="AF868" s="79">
        <v>45073.458356481482</v>
      </c>
      <c r="AG868" s="85">
        <v>45073</v>
      </c>
      <c r="AH868" s="82" t="s">
        <v>8539</v>
      </c>
      <c r="AI868" s="77" t="b">
        <v>0</v>
      </c>
      <c r="AJ868" s="77"/>
      <c r="AK868" s="77"/>
      <c r="AL868" s="77"/>
      <c r="AM868" s="77"/>
      <c r="AN868" s="77"/>
      <c r="AO868" s="77"/>
      <c r="AP868" s="77"/>
      <c r="AQ868" s="77" t="s">
        <v>11149</v>
      </c>
      <c r="AR868" s="77">
        <v>38560</v>
      </c>
      <c r="AS868" s="77"/>
      <c r="AT868" s="77"/>
      <c r="AU868" s="77">
        <v>8</v>
      </c>
      <c r="AV868" s="80" t="str">
        <f>HYPERLINK("https://pbs.twimg.com/ext_tw_video_thumb/1662117619921563648/pu/img/IWkq9mXIav5nbefB.jpg")</f>
        <v>https://pbs.twimg.com/ext_tw_video_thumb/1662117619921563648/pu/img/IWkq9mXIav5nbefB.jpg</v>
      </c>
      <c r="AW868" s="82" t="s">
        <v>13053</v>
      </c>
      <c r="AX868" s="82" t="s">
        <v>13053</v>
      </c>
      <c r="AY868" s="77"/>
      <c r="AZ868" s="82" t="s">
        <v>15804</v>
      </c>
      <c r="BA868" s="82" t="s">
        <v>15804</v>
      </c>
      <c r="BB868" s="82" t="s">
        <v>15804</v>
      </c>
      <c r="BC868" s="82" t="s">
        <v>13053</v>
      </c>
      <c r="BD868" s="82" t="s">
        <v>16308</v>
      </c>
      <c r="BE868" s="77"/>
      <c r="BF868" s="77"/>
      <c r="BG868" s="77"/>
      <c r="BH868" s="77"/>
      <c r="BI868" s="77"/>
    </row>
    <row r="869" spans="1:61" x14ac:dyDescent="0.25">
      <c r="A869" s="62" t="s">
        <v>533</v>
      </c>
      <c r="B869" s="62" t="s">
        <v>533</v>
      </c>
      <c r="C869" s="63"/>
      <c r="D869" s="64"/>
      <c r="E869" s="65"/>
      <c r="F869" s="66"/>
      <c r="G869" s="63"/>
      <c r="H869" s="67"/>
      <c r="I869" s="68"/>
      <c r="J869" s="68"/>
      <c r="K869" s="32"/>
      <c r="L869" s="75">
        <v>869</v>
      </c>
      <c r="M869" s="75"/>
      <c r="N869" s="70"/>
      <c r="O869" s="77" t="s">
        <v>179</v>
      </c>
      <c r="P869" s="79">
        <v>45048.574236111112</v>
      </c>
      <c r="Q869" s="77" t="s">
        <v>1965</v>
      </c>
      <c r="R869" s="77">
        <v>0</v>
      </c>
      <c r="S869" s="77">
        <v>1</v>
      </c>
      <c r="T869" s="77">
        <v>0</v>
      </c>
      <c r="U869" s="77">
        <v>0</v>
      </c>
      <c r="V869" s="77">
        <v>10</v>
      </c>
      <c r="W869" s="82" t="s">
        <v>4682</v>
      </c>
      <c r="X869" s="80" t="str">
        <f>HYPERLINK("https://recuperabrasillimpanome.com.br/whatsapp/")</f>
        <v>https://recuperabrasillimpanome.com.br/whatsapp/</v>
      </c>
      <c r="Y869" s="77" t="s">
        <v>6002</v>
      </c>
      <c r="Z869" s="77"/>
      <c r="AA869" s="77" t="s">
        <v>6643</v>
      </c>
      <c r="AB869" s="77" t="s">
        <v>7697</v>
      </c>
      <c r="AC869" s="82" t="s">
        <v>7706</v>
      </c>
      <c r="AD869" s="77" t="s">
        <v>7745</v>
      </c>
      <c r="AE869" s="80" t="str">
        <f>HYPERLINK("https://twitter.com/recuperabrasil_/status/1653395644747325448")</f>
        <v>https://twitter.com/recuperabrasil_/status/1653395644747325448</v>
      </c>
      <c r="AF869" s="79">
        <v>45048.574236111112</v>
      </c>
      <c r="AG869" s="85">
        <v>45048</v>
      </c>
      <c r="AH869" s="82" t="s">
        <v>8540</v>
      </c>
      <c r="AI869" s="77" t="b">
        <v>0</v>
      </c>
      <c r="AJ869" s="77"/>
      <c r="AK869" s="77"/>
      <c r="AL869" s="77"/>
      <c r="AM869" s="77"/>
      <c r="AN869" s="77"/>
      <c r="AO869" s="77"/>
      <c r="AP869" s="77"/>
      <c r="AQ869" s="77" t="s">
        <v>11150</v>
      </c>
      <c r="AR869" s="77">
        <v>65400</v>
      </c>
      <c r="AS869" s="77"/>
      <c r="AT869" s="77"/>
      <c r="AU869" s="77">
        <v>1</v>
      </c>
      <c r="AV869" s="80" t="str">
        <f>HYPERLINK("https://pbs.twimg.com/ext_tw_video_thumb/1653395372633468930/pu/img/sRPPjqAXJeyl7D5z.jpg")</f>
        <v>https://pbs.twimg.com/ext_tw_video_thumb/1653395372633468930/pu/img/sRPPjqAXJeyl7D5z.jpg</v>
      </c>
      <c r="AW869" s="82" t="s">
        <v>13054</v>
      </c>
      <c r="AX869" s="82" t="s">
        <v>13054</v>
      </c>
      <c r="AY869" s="77"/>
      <c r="AZ869" s="82" t="s">
        <v>15804</v>
      </c>
      <c r="BA869" s="82" t="s">
        <v>15804</v>
      </c>
      <c r="BB869" s="82" t="s">
        <v>15804</v>
      </c>
      <c r="BC869" s="82" t="s">
        <v>13054</v>
      </c>
      <c r="BD869" s="82" t="s">
        <v>16308</v>
      </c>
      <c r="BE869" s="77"/>
      <c r="BF869" s="77"/>
      <c r="BG869" s="77"/>
      <c r="BH869" s="77"/>
      <c r="BI869" s="77"/>
    </row>
    <row r="870" spans="1:61" x14ac:dyDescent="0.25">
      <c r="A870" s="62" t="s">
        <v>533</v>
      </c>
      <c r="B870" s="62" t="s">
        <v>533</v>
      </c>
      <c r="C870" s="63"/>
      <c r="D870" s="64"/>
      <c r="E870" s="65"/>
      <c r="F870" s="66"/>
      <c r="G870" s="63"/>
      <c r="H870" s="67"/>
      <c r="I870" s="68"/>
      <c r="J870" s="68"/>
      <c r="K870" s="32"/>
      <c r="L870" s="75">
        <v>870</v>
      </c>
      <c r="M870" s="75"/>
      <c r="N870" s="70"/>
      <c r="O870" s="77" t="s">
        <v>179</v>
      </c>
      <c r="P870" s="79">
        <v>45050.416701388887</v>
      </c>
      <c r="Q870" s="77" t="s">
        <v>1966</v>
      </c>
      <c r="R870" s="77">
        <v>0</v>
      </c>
      <c r="S870" s="77">
        <v>1</v>
      </c>
      <c r="T870" s="77">
        <v>0</v>
      </c>
      <c r="U870" s="77">
        <v>0</v>
      </c>
      <c r="V870" s="77">
        <v>10</v>
      </c>
      <c r="W870" s="82" t="s">
        <v>4683</v>
      </c>
      <c r="X870" s="80" t="str">
        <f>HYPERLINK("https://recuperabrasillimpanome.com.br/whatsapp/")</f>
        <v>https://recuperabrasillimpanome.com.br/whatsapp/</v>
      </c>
      <c r="Y870" s="77" t="s">
        <v>6002</v>
      </c>
      <c r="Z870" s="77"/>
      <c r="AA870" s="77" t="s">
        <v>6644</v>
      </c>
      <c r="AB870" s="77" t="s">
        <v>7697</v>
      </c>
      <c r="AC870" s="82" t="s">
        <v>7706</v>
      </c>
      <c r="AD870" s="77" t="s">
        <v>7745</v>
      </c>
      <c r="AE870" s="80" t="str">
        <f>HYPERLINK("https://twitter.com/recuperabrasil_/status/1654063327784599554")</f>
        <v>https://twitter.com/recuperabrasil_/status/1654063327784599554</v>
      </c>
      <c r="AF870" s="79">
        <v>45050.416701388887</v>
      </c>
      <c r="AG870" s="85">
        <v>45050</v>
      </c>
      <c r="AH870" s="82" t="s">
        <v>8541</v>
      </c>
      <c r="AI870" s="77" t="b">
        <v>0</v>
      </c>
      <c r="AJ870" s="77"/>
      <c r="AK870" s="77"/>
      <c r="AL870" s="77"/>
      <c r="AM870" s="77"/>
      <c r="AN870" s="77"/>
      <c r="AO870" s="77"/>
      <c r="AP870" s="77"/>
      <c r="AQ870" s="77" t="s">
        <v>11151</v>
      </c>
      <c r="AR870" s="77">
        <v>59720</v>
      </c>
      <c r="AS870" s="77"/>
      <c r="AT870" s="77"/>
      <c r="AU870" s="77">
        <v>1</v>
      </c>
      <c r="AV870" s="80" t="str">
        <f>HYPERLINK("https://pbs.twimg.com/ext_tw_video_thumb/1653839387438751784/pu/img/Nr4SiF0mkLTtmVlD.jpg")</f>
        <v>https://pbs.twimg.com/ext_tw_video_thumb/1653839387438751784/pu/img/Nr4SiF0mkLTtmVlD.jpg</v>
      </c>
      <c r="AW870" s="82" t="s">
        <v>13055</v>
      </c>
      <c r="AX870" s="82" t="s">
        <v>13055</v>
      </c>
      <c r="AY870" s="77"/>
      <c r="AZ870" s="82" t="s">
        <v>15804</v>
      </c>
      <c r="BA870" s="82" t="s">
        <v>15804</v>
      </c>
      <c r="BB870" s="82" t="s">
        <v>15804</v>
      </c>
      <c r="BC870" s="82" t="s">
        <v>13055</v>
      </c>
      <c r="BD870" s="82" t="s">
        <v>16308</v>
      </c>
      <c r="BE870" s="77"/>
      <c r="BF870" s="77"/>
      <c r="BG870" s="77"/>
      <c r="BH870" s="77"/>
      <c r="BI870" s="77"/>
    </row>
    <row r="871" spans="1:61" x14ac:dyDescent="0.25">
      <c r="A871" s="62" t="s">
        <v>533</v>
      </c>
      <c r="B871" s="62" t="s">
        <v>533</v>
      </c>
      <c r="C871" s="63"/>
      <c r="D871" s="64"/>
      <c r="E871" s="65"/>
      <c r="F871" s="66"/>
      <c r="G871" s="63"/>
      <c r="H871" s="67"/>
      <c r="I871" s="68"/>
      <c r="J871" s="68"/>
      <c r="K871" s="32"/>
      <c r="L871" s="75">
        <v>871</v>
      </c>
      <c r="M871" s="75"/>
      <c r="N871" s="70"/>
      <c r="O871" s="77" t="s">
        <v>179</v>
      </c>
      <c r="P871" s="79">
        <v>45049.875023148146</v>
      </c>
      <c r="Q871" s="77" t="s">
        <v>1967</v>
      </c>
      <c r="R871" s="77">
        <v>0</v>
      </c>
      <c r="S871" s="77">
        <v>1</v>
      </c>
      <c r="T871" s="77">
        <v>0</v>
      </c>
      <c r="U871" s="77">
        <v>0</v>
      </c>
      <c r="V871" s="77">
        <v>5</v>
      </c>
      <c r="W871" s="82" t="s">
        <v>4684</v>
      </c>
      <c r="X871" s="80" t="str">
        <f>HYPERLINK("https://recuperabrasillimpanome.com.br/whatsapp/")</f>
        <v>https://recuperabrasillimpanome.com.br/whatsapp/</v>
      </c>
      <c r="Y871" s="77" t="s">
        <v>6002</v>
      </c>
      <c r="Z871" s="77"/>
      <c r="AA871" s="77" t="s">
        <v>6645</v>
      </c>
      <c r="AB871" s="77" t="s">
        <v>7697</v>
      </c>
      <c r="AC871" s="82" t="s">
        <v>7706</v>
      </c>
      <c r="AD871" s="77" t="s">
        <v>7745</v>
      </c>
      <c r="AE871" s="80" t="str">
        <f>HYPERLINK("https://twitter.com/recuperabrasil_/status/1653867031115218945")</f>
        <v>https://twitter.com/recuperabrasil_/status/1653867031115218945</v>
      </c>
      <c r="AF871" s="79">
        <v>45049.875023148146</v>
      </c>
      <c r="AG871" s="85">
        <v>45049</v>
      </c>
      <c r="AH871" s="82" t="s">
        <v>8542</v>
      </c>
      <c r="AI871" s="77" t="b">
        <v>0</v>
      </c>
      <c r="AJ871" s="77"/>
      <c r="AK871" s="77"/>
      <c r="AL871" s="77"/>
      <c r="AM871" s="77"/>
      <c r="AN871" s="77"/>
      <c r="AO871" s="77"/>
      <c r="AP871" s="77"/>
      <c r="AQ871" s="77" t="s">
        <v>11152</v>
      </c>
      <c r="AR871" s="77">
        <v>51680</v>
      </c>
      <c r="AS871" s="77"/>
      <c r="AT871" s="77"/>
      <c r="AU871" s="77">
        <v>0</v>
      </c>
      <c r="AV871" s="80" t="str">
        <f>HYPERLINK("https://pbs.twimg.com/ext_tw_video_thumb/1653810647933628430/pu/img/LcOftbPwyZYsp41k.jpg")</f>
        <v>https://pbs.twimg.com/ext_tw_video_thumb/1653810647933628430/pu/img/LcOftbPwyZYsp41k.jpg</v>
      </c>
      <c r="AW871" s="82" t="s">
        <v>13056</v>
      </c>
      <c r="AX871" s="82" t="s">
        <v>13056</v>
      </c>
      <c r="AY871" s="77"/>
      <c r="AZ871" s="82" t="s">
        <v>15804</v>
      </c>
      <c r="BA871" s="82" t="s">
        <v>15804</v>
      </c>
      <c r="BB871" s="82" t="s">
        <v>15804</v>
      </c>
      <c r="BC871" s="82" t="s">
        <v>13056</v>
      </c>
      <c r="BD871" s="82" t="s">
        <v>16308</v>
      </c>
      <c r="BE871" s="77"/>
      <c r="BF871" s="77"/>
      <c r="BG871" s="77"/>
      <c r="BH871" s="77"/>
      <c r="BI871" s="77"/>
    </row>
    <row r="872" spans="1:61" x14ac:dyDescent="0.25">
      <c r="A872" s="62" t="s">
        <v>533</v>
      </c>
      <c r="B872" s="62" t="s">
        <v>533</v>
      </c>
      <c r="C872" s="63"/>
      <c r="D872" s="64"/>
      <c r="E872" s="65"/>
      <c r="F872" s="66"/>
      <c r="G872" s="63"/>
      <c r="H872" s="67"/>
      <c r="I872" s="68"/>
      <c r="J872" s="68"/>
      <c r="K872" s="32"/>
      <c r="L872" s="75">
        <v>872</v>
      </c>
      <c r="M872" s="75"/>
      <c r="N872" s="70"/>
      <c r="O872" s="77" t="s">
        <v>179</v>
      </c>
      <c r="P872" s="79">
        <v>45044.524293981478</v>
      </c>
      <c r="Q872" s="77" t="s">
        <v>1968</v>
      </c>
      <c r="R872" s="77">
        <v>0</v>
      </c>
      <c r="S872" s="77">
        <v>1</v>
      </c>
      <c r="T872" s="77">
        <v>0</v>
      </c>
      <c r="U872" s="77">
        <v>0</v>
      </c>
      <c r="V872" s="77">
        <v>16</v>
      </c>
      <c r="W872" s="82" t="s">
        <v>4685</v>
      </c>
      <c r="X872" s="80" t="str">
        <f>HYPERLINK("https://recuperabrasillimpanome.com.br/whatsapp/")</f>
        <v>https://recuperabrasillimpanome.com.br/whatsapp/</v>
      </c>
      <c r="Y872" s="77" t="s">
        <v>6002</v>
      </c>
      <c r="Z872" s="77"/>
      <c r="AA872" s="77" t="s">
        <v>6646</v>
      </c>
      <c r="AB872" s="77" t="s">
        <v>7697</v>
      </c>
      <c r="AC872" s="82" t="s">
        <v>7706</v>
      </c>
      <c r="AD872" s="77" t="s">
        <v>7745</v>
      </c>
      <c r="AE872" s="80" t="str">
        <f>HYPERLINK("https://twitter.com/recuperabrasil_/status/1651927993550249986")</f>
        <v>https://twitter.com/recuperabrasil_/status/1651927993550249986</v>
      </c>
      <c r="AF872" s="79">
        <v>45044.524293981478</v>
      </c>
      <c r="AG872" s="85">
        <v>45044</v>
      </c>
      <c r="AH872" s="82" t="s">
        <v>8543</v>
      </c>
      <c r="AI872" s="77" t="b">
        <v>0</v>
      </c>
      <c r="AJ872" s="77"/>
      <c r="AK872" s="77"/>
      <c r="AL872" s="77"/>
      <c r="AM872" s="77"/>
      <c r="AN872" s="77"/>
      <c r="AO872" s="77"/>
      <c r="AP872" s="77"/>
      <c r="AQ872" s="77" t="s">
        <v>11153</v>
      </c>
      <c r="AR872" s="77">
        <v>70560</v>
      </c>
      <c r="AS872" s="77"/>
      <c r="AT872" s="77"/>
      <c r="AU872" s="77">
        <v>4</v>
      </c>
      <c r="AV872" s="80" t="str">
        <f>HYPERLINK("https://pbs.twimg.com/ext_tw_video_thumb/1651927648191361027/pu/img/atCFUFTJBF0rIPGY.jpg")</f>
        <v>https://pbs.twimg.com/ext_tw_video_thumb/1651927648191361027/pu/img/atCFUFTJBF0rIPGY.jpg</v>
      </c>
      <c r="AW872" s="82" t="s">
        <v>13057</v>
      </c>
      <c r="AX872" s="82" t="s">
        <v>13057</v>
      </c>
      <c r="AY872" s="77"/>
      <c r="AZ872" s="82" t="s">
        <v>15804</v>
      </c>
      <c r="BA872" s="82" t="s">
        <v>15804</v>
      </c>
      <c r="BB872" s="82" t="s">
        <v>15804</v>
      </c>
      <c r="BC872" s="82" t="s">
        <v>13057</v>
      </c>
      <c r="BD872" s="82" t="s">
        <v>16308</v>
      </c>
      <c r="BE872" s="77"/>
      <c r="BF872" s="77"/>
      <c r="BG872" s="77"/>
      <c r="BH872" s="77"/>
      <c r="BI872" s="77"/>
    </row>
    <row r="873" spans="1:61" x14ac:dyDescent="0.25">
      <c r="A873" s="62" t="s">
        <v>533</v>
      </c>
      <c r="B873" s="62" t="s">
        <v>533</v>
      </c>
      <c r="C873" s="63"/>
      <c r="D873" s="64"/>
      <c r="E873" s="65"/>
      <c r="F873" s="66"/>
      <c r="G873" s="63"/>
      <c r="H873" s="67"/>
      <c r="I873" s="68"/>
      <c r="J873" s="68"/>
      <c r="K873" s="32"/>
      <c r="L873" s="75">
        <v>873</v>
      </c>
      <c r="M873" s="75"/>
      <c r="N873" s="70"/>
      <c r="O873" s="77" t="s">
        <v>179</v>
      </c>
      <c r="P873" s="79">
        <v>45060.416666666664</v>
      </c>
      <c r="Q873" s="77" t="s">
        <v>1969</v>
      </c>
      <c r="R873" s="77">
        <v>0</v>
      </c>
      <c r="S873" s="77">
        <v>1</v>
      </c>
      <c r="T873" s="77">
        <v>0</v>
      </c>
      <c r="U873" s="77">
        <v>0</v>
      </c>
      <c r="V873" s="77">
        <v>17</v>
      </c>
      <c r="W873" s="82" t="s">
        <v>4686</v>
      </c>
      <c r="X873" s="77"/>
      <c r="Y873" s="77"/>
      <c r="Z873" s="77"/>
      <c r="AA873" s="77" t="s">
        <v>6647</v>
      </c>
      <c r="AB873" s="77" t="s">
        <v>7697</v>
      </c>
      <c r="AC873" s="82" t="s">
        <v>7706</v>
      </c>
      <c r="AD873" s="77" t="s">
        <v>7745</v>
      </c>
      <c r="AE873" s="80" t="str">
        <f>HYPERLINK("https://twitter.com/recuperabrasil_/status/1657687197548511232")</f>
        <v>https://twitter.com/recuperabrasil_/status/1657687197548511232</v>
      </c>
      <c r="AF873" s="79">
        <v>45060.416666666664</v>
      </c>
      <c r="AG873" s="85">
        <v>45060</v>
      </c>
      <c r="AH873" s="82" t="s">
        <v>7973</v>
      </c>
      <c r="AI873" s="77" t="b">
        <v>0</v>
      </c>
      <c r="AJ873" s="77"/>
      <c r="AK873" s="77"/>
      <c r="AL873" s="77"/>
      <c r="AM873" s="77"/>
      <c r="AN873" s="77"/>
      <c r="AO873" s="77"/>
      <c r="AP873" s="77"/>
      <c r="AQ873" s="77" t="s">
        <v>11154</v>
      </c>
      <c r="AR873" s="77">
        <v>80120</v>
      </c>
      <c r="AS873" s="77"/>
      <c r="AT873" s="77"/>
      <c r="AU873" s="77">
        <v>4</v>
      </c>
      <c r="AV873" s="80" t="str">
        <f>HYPERLINK("https://pbs.twimg.com/ext_tw_video_thumb/1657006127236653057/pu/img/K3N1n3_eZQxuLejz.jpg")</f>
        <v>https://pbs.twimg.com/ext_tw_video_thumb/1657006127236653057/pu/img/K3N1n3_eZQxuLejz.jpg</v>
      </c>
      <c r="AW873" s="82" t="s">
        <v>13058</v>
      </c>
      <c r="AX873" s="82" t="s">
        <v>13058</v>
      </c>
      <c r="AY873" s="77"/>
      <c r="AZ873" s="82" t="s">
        <v>15804</v>
      </c>
      <c r="BA873" s="82" t="s">
        <v>15804</v>
      </c>
      <c r="BB873" s="82" t="s">
        <v>15804</v>
      </c>
      <c r="BC873" s="82" t="s">
        <v>13058</v>
      </c>
      <c r="BD873" s="82" t="s">
        <v>16308</v>
      </c>
      <c r="BE873" s="77"/>
      <c r="BF873" s="77"/>
      <c r="BG873" s="77"/>
      <c r="BH873" s="77"/>
      <c r="BI873" s="77"/>
    </row>
    <row r="874" spans="1:61" x14ac:dyDescent="0.25">
      <c r="A874" s="62" t="s">
        <v>533</v>
      </c>
      <c r="B874" s="62" t="s">
        <v>533</v>
      </c>
      <c r="C874" s="63"/>
      <c r="D874" s="64"/>
      <c r="E874" s="65"/>
      <c r="F874" s="66"/>
      <c r="G874" s="63"/>
      <c r="H874" s="67"/>
      <c r="I874" s="68"/>
      <c r="J874" s="68"/>
      <c r="K874" s="32"/>
      <c r="L874" s="75">
        <v>874</v>
      </c>
      <c r="M874" s="75"/>
      <c r="N874" s="70"/>
      <c r="O874" s="77" t="s">
        <v>179</v>
      </c>
      <c r="P874" s="79">
        <v>45064.416678240741</v>
      </c>
      <c r="Q874" s="77" t="s">
        <v>1970</v>
      </c>
      <c r="R874" s="77">
        <v>0</v>
      </c>
      <c r="S874" s="77">
        <v>1</v>
      </c>
      <c r="T874" s="77">
        <v>0</v>
      </c>
      <c r="U874" s="77">
        <v>0</v>
      </c>
      <c r="V874" s="77">
        <v>67</v>
      </c>
      <c r="W874" s="82" t="s">
        <v>4687</v>
      </c>
      <c r="X874" s="77"/>
      <c r="Y874" s="77"/>
      <c r="Z874" s="77"/>
      <c r="AA874" s="77" t="s">
        <v>6648</v>
      </c>
      <c r="AB874" s="77" t="s">
        <v>7697</v>
      </c>
      <c r="AC874" s="82" t="s">
        <v>7706</v>
      </c>
      <c r="AD874" s="77" t="s">
        <v>7745</v>
      </c>
      <c r="AE874" s="80" t="str">
        <f>HYPERLINK("https://twitter.com/recuperabrasil_/status/1659136751380692992")</f>
        <v>https://twitter.com/recuperabrasil_/status/1659136751380692992</v>
      </c>
      <c r="AF874" s="79">
        <v>45064.416678240741</v>
      </c>
      <c r="AG874" s="85">
        <v>45064</v>
      </c>
      <c r="AH874" s="82" t="s">
        <v>8544</v>
      </c>
      <c r="AI874" s="77" t="b">
        <v>0</v>
      </c>
      <c r="AJ874" s="77"/>
      <c r="AK874" s="77"/>
      <c r="AL874" s="77"/>
      <c r="AM874" s="77"/>
      <c r="AN874" s="77"/>
      <c r="AO874" s="77"/>
      <c r="AP874" s="77"/>
      <c r="AQ874" s="77" t="s">
        <v>11155</v>
      </c>
      <c r="AR874" s="77">
        <v>80360</v>
      </c>
      <c r="AS874" s="77"/>
      <c r="AT874" s="77"/>
      <c r="AU874" s="77">
        <v>11</v>
      </c>
      <c r="AV874" s="80" t="str">
        <f>HYPERLINK("https://pbs.twimg.com/ext_tw_video_thumb/1658887291274657827/pu/img/vJDzuw4gGn4Og16P.jpg")</f>
        <v>https://pbs.twimg.com/ext_tw_video_thumb/1658887291274657827/pu/img/vJDzuw4gGn4Og16P.jpg</v>
      </c>
      <c r="AW874" s="82" t="s">
        <v>13059</v>
      </c>
      <c r="AX874" s="82" t="s">
        <v>13059</v>
      </c>
      <c r="AY874" s="77"/>
      <c r="AZ874" s="82" t="s">
        <v>15804</v>
      </c>
      <c r="BA874" s="82" t="s">
        <v>15804</v>
      </c>
      <c r="BB874" s="82" t="s">
        <v>15804</v>
      </c>
      <c r="BC874" s="82" t="s">
        <v>13059</v>
      </c>
      <c r="BD874" s="82" t="s">
        <v>16308</v>
      </c>
      <c r="BE874" s="77"/>
      <c r="BF874" s="77"/>
      <c r="BG874" s="77"/>
      <c r="BH874" s="77"/>
      <c r="BI874" s="77"/>
    </row>
    <row r="875" spans="1:61" x14ac:dyDescent="0.25">
      <c r="A875" s="62" t="s">
        <v>533</v>
      </c>
      <c r="B875" s="62" t="s">
        <v>533</v>
      </c>
      <c r="C875" s="63"/>
      <c r="D875" s="64"/>
      <c r="E875" s="65"/>
      <c r="F875" s="66"/>
      <c r="G875" s="63"/>
      <c r="H875" s="67"/>
      <c r="I875" s="68"/>
      <c r="J875" s="68"/>
      <c r="K875" s="32"/>
      <c r="L875" s="75">
        <v>875</v>
      </c>
      <c r="M875" s="75"/>
      <c r="N875" s="70"/>
      <c r="O875" s="77" t="s">
        <v>179</v>
      </c>
      <c r="P875" s="79">
        <v>45063.416701388887</v>
      </c>
      <c r="Q875" s="77" t="s">
        <v>1971</v>
      </c>
      <c r="R875" s="77">
        <v>0</v>
      </c>
      <c r="S875" s="77">
        <v>1</v>
      </c>
      <c r="T875" s="77">
        <v>0</v>
      </c>
      <c r="U875" s="77">
        <v>0</v>
      </c>
      <c r="V875" s="77">
        <v>15</v>
      </c>
      <c r="W875" s="82" t="s">
        <v>4688</v>
      </c>
      <c r="X875" s="77"/>
      <c r="Y875" s="77"/>
      <c r="Z875" s="77"/>
      <c r="AA875" s="77" t="s">
        <v>6649</v>
      </c>
      <c r="AB875" s="77" t="s">
        <v>7697</v>
      </c>
      <c r="AC875" s="82" t="s">
        <v>7706</v>
      </c>
      <c r="AD875" s="77" t="s">
        <v>7745</v>
      </c>
      <c r="AE875" s="80" t="str">
        <f>HYPERLINK("https://twitter.com/recuperabrasil_/status/1658774372088152067")</f>
        <v>https://twitter.com/recuperabrasil_/status/1658774372088152067</v>
      </c>
      <c r="AF875" s="79">
        <v>45063.416701388887</v>
      </c>
      <c r="AG875" s="85">
        <v>45063</v>
      </c>
      <c r="AH875" s="82" t="s">
        <v>8541</v>
      </c>
      <c r="AI875" s="77" t="b">
        <v>0</v>
      </c>
      <c r="AJ875" s="77"/>
      <c r="AK875" s="77"/>
      <c r="AL875" s="77"/>
      <c r="AM875" s="77"/>
      <c r="AN875" s="77"/>
      <c r="AO875" s="77"/>
      <c r="AP875" s="77"/>
      <c r="AQ875" s="77" t="s">
        <v>11156</v>
      </c>
      <c r="AR875" s="77">
        <v>82680</v>
      </c>
      <c r="AS875" s="77"/>
      <c r="AT875" s="77"/>
      <c r="AU875" s="77">
        <v>1</v>
      </c>
      <c r="AV875" s="80" t="str">
        <f>HYPERLINK("https://pbs.twimg.com/ext_tw_video_thumb/1658438744041570307/pu/img/ufZZAFuZf5vs9Hq5.jpg")</f>
        <v>https://pbs.twimg.com/ext_tw_video_thumb/1658438744041570307/pu/img/ufZZAFuZf5vs9Hq5.jpg</v>
      </c>
      <c r="AW875" s="82" t="s">
        <v>13060</v>
      </c>
      <c r="AX875" s="82" t="s">
        <v>13060</v>
      </c>
      <c r="AY875" s="77"/>
      <c r="AZ875" s="82" t="s">
        <v>15804</v>
      </c>
      <c r="BA875" s="82" t="s">
        <v>15804</v>
      </c>
      <c r="BB875" s="82" t="s">
        <v>15804</v>
      </c>
      <c r="BC875" s="82" t="s">
        <v>13060</v>
      </c>
      <c r="BD875" s="82" t="s">
        <v>16308</v>
      </c>
      <c r="BE875" s="77"/>
      <c r="BF875" s="77"/>
      <c r="BG875" s="77"/>
      <c r="BH875" s="77"/>
      <c r="BI875" s="77"/>
    </row>
    <row r="876" spans="1:61" x14ac:dyDescent="0.25">
      <c r="A876" s="62" t="s">
        <v>533</v>
      </c>
      <c r="B876" s="62" t="s">
        <v>533</v>
      </c>
      <c r="C876" s="63"/>
      <c r="D876" s="64"/>
      <c r="E876" s="65"/>
      <c r="F876" s="66"/>
      <c r="G876" s="63"/>
      <c r="H876" s="67"/>
      <c r="I876" s="68"/>
      <c r="J876" s="68"/>
      <c r="K876" s="32"/>
      <c r="L876" s="75">
        <v>876</v>
      </c>
      <c r="M876" s="75"/>
      <c r="N876" s="70"/>
      <c r="O876" s="77" t="s">
        <v>179</v>
      </c>
      <c r="P876" s="79">
        <v>45062.416666666664</v>
      </c>
      <c r="Q876" s="77" t="s">
        <v>1972</v>
      </c>
      <c r="R876" s="77">
        <v>0</v>
      </c>
      <c r="S876" s="77">
        <v>1</v>
      </c>
      <c r="T876" s="77">
        <v>0</v>
      </c>
      <c r="U876" s="77">
        <v>0</v>
      </c>
      <c r="V876" s="77">
        <v>17</v>
      </c>
      <c r="W876" s="82" t="s">
        <v>4689</v>
      </c>
      <c r="X876" s="77"/>
      <c r="Y876" s="77"/>
      <c r="Z876" s="77"/>
      <c r="AA876" s="77" t="s">
        <v>6650</v>
      </c>
      <c r="AB876" s="77" t="s">
        <v>7697</v>
      </c>
      <c r="AC876" s="82" t="s">
        <v>7706</v>
      </c>
      <c r="AD876" s="77" t="s">
        <v>7745</v>
      </c>
      <c r="AE876" s="80" t="str">
        <f>HYPERLINK("https://twitter.com/recuperabrasil_/status/1658411971178553344")</f>
        <v>https://twitter.com/recuperabrasil_/status/1658411971178553344</v>
      </c>
      <c r="AF876" s="79">
        <v>45062.416666666664</v>
      </c>
      <c r="AG876" s="85">
        <v>45062</v>
      </c>
      <c r="AH876" s="82" t="s">
        <v>7973</v>
      </c>
      <c r="AI876" s="77" t="b">
        <v>0</v>
      </c>
      <c r="AJ876" s="77"/>
      <c r="AK876" s="77"/>
      <c r="AL876" s="77"/>
      <c r="AM876" s="77"/>
      <c r="AN876" s="77"/>
      <c r="AO876" s="77"/>
      <c r="AP876" s="77"/>
      <c r="AQ876" s="77" t="s">
        <v>11157</v>
      </c>
      <c r="AR876" s="77">
        <v>92680</v>
      </c>
      <c r="AS876" s="77"/>
      <c r="AT876" s="77"/>
      <c r="AU876" s="77">
        <v>2</v>
      </c>
      <c r="AV876" s="80" t="str">
        <f>HYPERLINK("https://pbs.twimg.com/ext_tw_video_thumb/1658097529009963008/pu/img/jyurvbrrBuK3ed3A.jpg")</f>
        <v>https://pbs.twimg.com/ext_tw_video_thumb/1658097529009963008/pu/img/jyurvbrrBuK3ed3A.jpg</v>
      </c>
      <c r="AW876" s="82" t="s">
        <v>13061</v>
      </c>
      <c r="AX876" s="82" t="s">
        <v>13061</v>
      </c>
      <c r="AY876" s="77"/>
      <c r="AZ876" s="82" t="s">
        <v>15804</v>
      </c>
      <c r="BA876" s="82" t="s">
        <v>15804</v>
      </c>
      <c r="BB876" s="82" t="s">
        <v>15804</v>
      </c>
      <c r="BC876" s="82" t="s">
        <v>13061</v>
      </c>
      <c r="BD876" s="82" t="s">
        <v>16308</v>
      </c>
      <c r="BE876" s="77"/>
      <c r="BF876" s="77"/>
      <c r="BG876" s="77"/>
      <c r="BH876" s="77"/>
      <c r="BI876" s="77"/>
    </row>
    <row r="877" spans="1:61" x14ac:dyDescent="0.25">
      <c r="A877" s="62" t="s">
        <v>533</v>
      </c>
      <c r="B877" s="62" t="s">
        <v>533</v>
      </c>
      <c r="C877" s="63"/>
      <c r="D877" s="64"/>
      <c r="E877" s="65"/>
      <c r="F877" s="66"/>
      <c r="G877" s="63"/>
      <c r="H877" s="67"/>
      <c r="I877" s="68"/>
      <c r="J877" s="68"/>
      <c r="K877" s="32"/>
      <c r="L877" s="75">
        <v>877</v>
      </c>
      <c r="M877" s="75"/>
      <c r="N877" s="70"/>
      <c r="O877" s="77" t="s">
        <v>179</v>
      </c>
      <c r="P877" s="79">
        <v>45142.512418981481</v>
      </c>
      <c r="Q877" s="77" t="s">
        <v>1973</v>
      </c>
      <c r="R877" s="77">
        <v>0</v>
      </c>
      <c r="S877" s="77">
        <v>0</v>
      </c>
      <c r="T877" s="77">
        <v>0</v>
      </c>
      <c r="U877" s="77">
        <v>0</v>
      </c>
      <c r="V877" s="77">
        <v>10</v>
      </c>
      <c r="W877" s="82" t="s">
        <v>4690</v>
      </c>
      <c r="X877" s="77"/>
      <c r="Y877" s="77"/>
      <c r="Z877" s="77"/>
      <c r="AA877" s="77" t="s">
        <v>6651</v>
      </c>
      <c r="AB877" s="77" t="s">
        <v>7696</v>
      </c>
      <c r="AC877" s="82" t="s">
        <v>7706</v>
      </c>
      <c r="AD877" s="77" t="s">
        <v>7745</v>
      </c>
      <c r="AE877" s="80" t="str">
        <f>HYPERLINK("https://twitter.com/recuperabrasil_/status/1687437699752370176")</f>
        <v>https://twitter.com/recuperabrasil_/status/1687437699752370176</v>
      </c>
      <c r="AF877" s="79">
        <v>45142.512418981481</v>
      </c>
      <c r="AG877" s="85">
        <v>45142</v>
      </c>
      <c r="AH877" s="82" t="s">
        <v>8545</v>
      </c>
      <c r="AI877" s="77" t="b">
        <v>0</v>
      </c>
      <c r="AJ877" s="77"/>
      <c r="AK877" s="77"/>
      <c r="AL877" s="77"/>
      <c r="AM877" s="77"/>
      <c r="AN877" s="77"/>
      <c r="AO877" s="77"/>
      <c r="AP877" s="77"/>
      <c r="AQ877" s="77" t="s">
        <v>11158</v>
      </c>
      <c r="AR877" s="77"/>
      <c r="AS877" s="77"/>
      <c r="AT877" s="77"/>
      <c r="AU877" s="77"/>
      <c r="AV877" s="80" t="str">
        <f>HYPERLINK("https://pbs.twimg.com/media/F2r7mdIWQAAYBrn.jpg")</f>
        <v>https://pbs.twimg.com/media/F2r7mdIWQAAYBrn.jpg</v>
      </c>
      <c r="AW877" s="82" t="s">
        <v>13062</v>
      </c>
      <c r="AX877" s="82" t="s">
        <v>13062</v>
      </c>
      <c r="AY877" s="77"/>
      <c r="AZ877" s="82" t="s">
        <v>15804</v>
      </c>
      <c r="BA877" s="82" t="s">
        <v>15804</v>
      </c>
      <c r="BB877" s="82" t="s">
        <v>15804</v>
      </c>
      <c r="BC877" s="82" t="s">
        <v>13062</v>
      </c>
      <c r="BD877" s="82" t="s">
        <v>16308</v>
      </c>
      <c r="BE877" s="77"/>
      <c r="BF877" s="77"/>
      <c r="BG877" s="77"/>
      <c r="BH877" s="77"/>
      <c r="BI877" s="77"/>
    </row>
    <row r="878" spans="1:61" x14ac:dyDescent="0.25">
      <c r="A878" s="62" t="s">
        <v>533</v>
      </c>
      <c r="B878" s="62" t="s">
        <v>533</v>
      </c>
      <c r="C878" s="63"/>
      <c r="D878" s="64"/>
      <c r="E878" s="65"/>
      <c r="F878" s="66"/>
      <c r="G878" s="63"/>
      <c r="H878" s="67"/>
      <c r="I878" s="68"/>
      <c r="J878" s="68"/>
      <c r="K878" s="32"/>
      <c r="L878" s="75">
        <v>878</v>
      </c>
      <c r="M878" s="75"/>
      <c r="N878" s="70"/>
      <c r="O878" s="77" t="s">
        <v>179</v>
      </c>
      <c r="P878" s="79">
        <v>45054.5625</v>
      </c>
      <c r="Q878" s="77" t="s">
        <v>1974</v>
      </c>
      <c r="R878" s="77">
        <v>0</v>
      </c>
      <c r="S878" s="77">
        <v>1</v>
      </c>
      <c r="T878" s="77">
        <v>0</v>
      </c>
      <c r="U878" s="77">
        <v>0</v>
      </c>
      <c r="V878" s="77">
        <v>6</v>
      </c>
      <c r="W878" s="82" t="s">
        <v>4691</v>
      </c>
      <c r="X878" s="80" t="str">
        <f>HYPERLINK("https://recuperabrasillimpanome.com.br/whatsapp/")</f>
        <v>https://recuperabrasillimpanome.com.br/whatsapp/</v>
      </c>
      <c r="Y878" s="77" t="s">
        <v>6002</v>
      </c>
      <c r="Z878" s="77"/>
      <c r="AA878" s="77" t="s">
        <v>6652</v>
      </c>
      <c r="AB878" s="77" t="s">
        <v>7697</v>
      </c>
      <c r="AC878" s="82" t="s">
        <v>7706</v>
      </c>
      <c r="AD878" s="77" t="s">
        <v>7745</v>
      </c>
      <c r="AE878" s="80" t="str">
        <f>HYPERLINK("https://twitter.com/recuperabrasil_/status/1655565717217869827")</f>
        <v>https://twitter.com/recuperabrasil_/status/1655565717217869827</v>
      </c>
      <c r="AF878" s="79">
        <v>45054.5625</v>
      </c>
      <c r="AG878" s="85">
        <v>45054</v>
      </c>
      <c r="AH878" s="82" t="s">
        <v>8546</v>
      </c>
      <c r="AI878" s="77" t="b">
        <v>0</v>
      </c>
      <c r="AJ878" s="77"/>
      <c r="AK878" s="77"/>
      <c r="AL878" s="77"/>
      <c r="AM878" s="77"/>
      <c r="AN878" s="77"/>
      <c r="AO878" s="77"/>
      <c r="AP878" s="77"/>
      <c r="AQ878" s="77" t="s">
        <v>11159</v>
      </c>
      <c r="AR878" s="77">
        <v>54680</v>
      </c>
      <c r="AS878" s="77"/>
      <c r="AT878" s="77"/>
      <c r="AU878" s="77">
        <v>3</v>
      </c>
      <c r="AV878" s="80" t="str">
        <f>HYPERLINK("https://pbs.twimg.com/ext_tw_video_thumb/1655547930722332672/pu/img/WxtiMk64_w6i72Bm.jpg")</f>
        <v>https://pbs.twimg.com/ext_tw_video_thumb/1655547930722332672/pu/img/WxtiMk64_w6i72Bm.jpg</v>
      </c>
      <c r="AW878" s="82" t="s">
        <v>13063</v>
      </c>
      <c r="AX878" s="82" t="s">
        <v>13063</v>
      </c>
      <c r="AY878" s="77"/>
      <c r="AZ878" s="82" t="s">
        <v>15804</v>
      </c>
      <c r="BA878" s="82" t="s">
        <v>15804</v>
      </c>
      <c r="BB878" s="82" t="s">
        <v>15804</v>
      </c>
      <c r="BC878" s="82" t="s">
        <v>13063</v>
      </c>
      <c r="BD878" s="82" t="s">
        <v>16308</v>
      </c>
      <c r="BE878" s="77"/>
      <c r="BF878" s="77"/>
      <c r="BG878" s="77"/>
      <c r="BH878" s="77"/>
      <c r="BI878" s="77"/>
    </row>
    <row r="879" spans="1:61" x14ac:dyDescent="0.25">
      <c r="A879" s="62" t="s">
        <v>533</v>
      </c>
      <c r="B879" s="62" t="s">
        <v>533</v>
      </c>
      <c r="C879" s="63"/>
      <c r="D879" s="64"/>
      <c r="E879" s="65"/>
      <c r="F879" s="66"/>
      <c r="G879" s="63"/>
      <c r="H879" s="67"/>
      <c r="I879" s="68"/>
      <c r="J879" s="68"/>
      <c r="K879" s="32"/>
      <c r="L879" s="75">
        <v>879</v>
      </c>
      <c r="M879" s="75"/>
      <c r="N879" s="70"/>
      <c r="O879" s="77" t="s">
        <v>179</v>
      </c>
      <c r="P879" s="79">
        <v>45051.875011574077</v>
      </c>
      <c r="Q879" s="77" t="s">
        <v>1975</v>
      </c>
      <c r="R879" s="77">
        <v>0</v>
      </c>
      <c r="S879" s="77">
        <v>1</v>
      </c>
      <c r="T879" s="77">
        <v>0</v>
      </c>
      <c r="U879" s="77">
        <v>0</v>
      </c>
      <c r="V879" s="77">
        <v>6</v>
      </c>
      <c r="W879" s="82" t="s">
        <v>4692</v>
      </c>
      <c r="X879" s="80" t="str">
        <f>HYPERLINK("https://recuperabrasillimpanome.com.br/whatsapp/")</f>
        <v>https://recuperabrasillimpanome.com.br/whatsapp/</v>
      </c>
      <c r="Y879" s="77" t="s">
        <v>6002</v>
      </c>
      <c r="Z879" s="77"/>
      <c r="AA879" s="77" t="s">
        <v>6653</v>
      </c>
      <c r="AB879" s="77" t="s">
        <v>7697</v>
      </c>
      <c r="AC879" s="82" t="s">
        <v>7706</v>
      </c>
      <c r="AD879" s="77" t="s">
        <v>7745</v>
      </c>
      <c r="AE879" s="80" t="str">
        <f>HYPERLINK("https://twitter.com/recuperabrasil_/status/1654591804807827460")</f>
        <v>https://twitter.com/recuperabrasil_/status/1654591804807827460</v>
      </c>
      <c r="AF879" s="79">
        <v>45051.875011574077</v>
      </c>
      <c r="AG879" s="85">
        <v>45051</v>
      </c>
      <c r="AH879" s="82" t="s">
        <v>8547</v>
      </c>
      <c r="AI879" s="77" t="b">
        <v>0</v>
      </c>
      <c r="AJ879" s="77"/>
      <c r="AK879" s="77"/>
      <c r="AL879" s="77"/>
      <c r="AM879" s="77"/>
      <c r="AN879" s="77"/>
      <c r="AO879" s="77"/>
      <c r="AP879" s="77"/>
      <c r="AQ879" s="77" t="s">
        <v>11160</v>
      </c>
      <c r="AR879" s="77">
        <v>49840</v>
      </c>
      <c r="AS879" s="77"/>
      <c r="AT879" s="77"/>
      <c r="AU879" s="77">
        <v>0</v>
      </c>
      <c r="AV879" s="80" t="str">
        <f>HYPERLINK("https://pbs.twimg.com/ext_tw_video_thumb/1654467078475116545/pu/img/6TnrDNeuMXMPXkF_.jpg")</f>
        <v>https://pbs.twimg.com/ext_tw_video_thumb/1654467078475116545/pu/img/6TnrDNeuMXMPXkF_.jpg</v>
      </c>
      <c r="AW879" s="82" t="s">
        <v>13064</v>
      </c>
      <c r="AX879" s="82" t="s">
        <v>13064</v>
      </c>
      <c r="AY879" s="77"/>
      <c r="AZ879" s="82" t="s">
        <v>15804</v>
      </c>
      <c r="BA879" s="82" t="s">
        <v>15804</v>
      </c>
      <c r="BB879" s="82" t="s">
        <v>15804</v>
      </c>
      <c r="BC879" s="82" t="s">
        <v>13064</v>
      </c>
      <c r="BD879" s="82" t="s">
        <v>16308</v>
      </c>
      <c r="BE879" s="77"/>
      <c r="BF879" s="77"/>
      <c r="BG879" s="77"/>
      <c r="BH879" s="77"/>
      <c r="BI879" s="77"/>
    </row>
    <row r="880" spans="1:61" x14ac:dyDescent="0.25">
      <c r="A880" s="62" t="s">
        <v>534</v>
      </c>
      <c r="B880" s="62" t="s">
        <v>534</v>
      </c>
      <c r="C880" s="63"/>
      <c r="D880" s="64"/>
      <c r="E880" s="65"/>
      <c r="F880" s="66"/>
      <c r="G880" s="63"/>
      <c r="H880" s="67"/>
      <c r="I880" s="68"/>
      <c r="J880" s="68"/>
      <c r="K880" s="32"/>
      <c r="L880" s="75">
        <v>880</v>
      </c>
      <c r="M880" s="75"/>
      <c r="N880" s="70"/>
      <c r="O880" s="77" t="s">
        <v>1132</v>
      </c>
      <c r="P880" s="79">
        <v>44945.586261574077</v>
      </c>
      <c r="Q880" s="77" t="s">
        <v>1976</v>
      </c>
      <c r="R880" s="77">
        <v>0</v>
      </c>
      <c r="S880" s="77">
        <v>1</v>
      </c>
      <c r="T880" s="77">
        <v>0</v>
      </c>
      <c r="U880" s="77">
        <v>0</v>
      </c>
      <c r="V880" s="77">
        <v>7</v>
      </c>
      <c r="W880" s="82" t="s">
        <v>4693</v>
      </c>
      <c r="X880" s="77"/>
      <c r="Y880" s="77"/>
      <c r="Z880" s="77"/>
      <c r="AA880" s="77"/>
      <c r="AB880" s="77"/>
      <c r="AC880" s="82" t="s">
        <v>7707</v>
      </c>
      <c r="AD880" s="77" t="s">
        <v>7745</v>
      </c>
      <c r="AE880" s="80" t="str">
        <f>HYPERLINK("https://twitter.com/rosaangelahenr2/status/1616074051931500551")</f>
        <v>https://twitter.com/rosaangelahenr2/status/1616074051931500551</v>
      </c>
      <c r="AF880" s="79">
        <v>44945.586261574077</v>
      </c>
      <c r="AG880" s="85">
        <v>44945</v>
      </c>
      <c r="AH880" s="82" t="s">
        <v>8548</v>
      </c>
      <c r="AI880" s="77"/>
      <c r="AJ880" s="77"/>
      <c r="AK880" s="77"/>
      <c r="AL880" s="77"/>
      <c r="AM880" s="77"/>
      <c r="AN880" s="77"/>
      <c r="AO880" s="77"/>
      <c r="AP880" s="77"/>
      <c r="AQ880" s="77"/>
      <c r="AR880" s="77"/>
      <c r="AS880" s="77"/>
      <c r="AT880" s="77"/>
      <c r="AU880" s="77"/>
      <c r="AV880" s="80" t="str">
        <f>HYPERLINK("https://pbs.twimg.com/profile_images/1367598281396748293/G7PkdsEt_normal.jpg")</f>
        <v>https://pbs.twimg.com/profile_images/1367598281396748293/G7PkdsEt_normal.jpg</v>
      </c>
      <c r="AW880" s="82" t="s">
        <v>13065</v>
      </c>
      <c r="AX880" s="82" t="s">
        <v>15309</v>
      </c>
      <c r="AY880" s="82" t="s">
        <v>15728</v>
      </c>
      <c r="AZ880" s="82" t="s">
        <v>15309</v>
      </c>
      <c r="BA880" s="82" t="s">
        <v>15804</v>
      </c>
      <c r="BB880" s="82" t="s">
        <v>15804</v>
      </c>
      <c r="BC880" s="82" t="s">
        <v>15309</v>
      </c>
      <c r="BD880" s="82" t="s">
        <v>15728</v>
      </c>
      <c r="BE880" s="77"/>
      <c r="BF880" s="77"/>
      <c r="BG880" s="77"/>
      <c r="BH880" s="77"/>
      <c r="BI880" s="77"/>
    </row>
    <row r="881" spans="1:61" x14ac:dyDescent="0.25">
      <c r="A881" s="62" t="s">
        <v>535</v>
      </c>
      <c r="B881" s="62" t="s">
        <v>535</v>
      </c>
      <c r="C881" s="63"/>
      <c r="D881" s="64"/>
      <c r="E881" s="65"/>
      <c r="F881" s="66"/>
      <c r="G881" s="63"/>
      <c r="H881" s="67"/>
      <c r="I881" s="68"/>
      <c r="J881" s="68"/>
      <c r="K881" s="32"/>
      <c r="L881" s="75">
        <v>881</v>
      </c>
      <c r="M881" s="75"/>
      <c r="N881" s="70"/>
      <c r="O881" s="77" t="s">
        <v>1132</v>
      </c>
      <c r="P881" s="79">
        <v>45080.642152777778</v>
      </c>
      <c r="Q881" s="77" t="s">
        <v>1977</v>
      </c>
      <c r="R881" s="77">
        <v>0</v>
      </c>
      <c r="S881" s="77">
        <v>0</v>
      </c>
      <c r="T881" s="77">
        <v>0</v>
      </c>
      <c r="U881" s="77">
        <v>0</v>
      </c>
      <c r="V881" s="77">
        <v>19</v>
      </c>
      <c r="W881" s="82" t="s">
        <v>4694</v>
      </c>
      <c r="X881" s="77"/>
      <c r="Y881" s="77"/>
      <c r="Z881" s="77"/>
      <c r="AA881" s="77"/>
      <c r="AB881" s="77"/>
      <c r="AC881" s="82" t="s">
        <v>7706</v>
      </c>
      <c r="AD881" s="77" t="s">
        <v>7745</v>
      </c>
      <c r="AE881" s="80" t="str">
        <f>HYPERLINK("https://twitter.com/sbellomo1995/status/1665016666684633089")</f>
        <v>https://twitter.com/sbellomo1995/status/1665016666684633089</v>
      </c>
      <c r="AF881" s="79">
        <v>45080.642152777778</v>
      </c>
      <c r="AG881" s="85">
        <v>45080</v>
      </c>
      <c r="AH881" s="82" t="s">
        <v>8549</v>
      </c>
      <c r="AI881" s="77"/>
      <c r="AJ881" s="77"/>
      <c r="AK881" s="77"/>
      <c r="AL881" s="77"/>
      <c r="AM881" s="77"/>
      <c r="AN881" s="77"/>
      <c r="AO881" s="77"/>
      <c r="AP881" s="77"/>
      <c r="AQ881" s="77"/>
      <c r="AR881" s="77"/>
      <c r="AS881" s="77"/>
      <c r="AT881" s="77"/>
      <c r="AU881" s="77"/>
      <c r="AV881" s="80" t="str">
        <f>HYPERLINK("https://pbs.twimg.com/profile_images/1686266897572999168/pSYeWnoP_normal.jpg")</f>
        <v>https://pbs.twimg.com/profile_images/1686266897572999168/pSYeWnoP_normal.jpg</v>
      </c>
      <c r="AW881" s="82" t="s">
        <v>13066</v>
      </c>
      <c r="AX881" s="82" t="s">
        <v>15310</v>
      </c>
      <c r="AY881" s="82" t="s">
        <v>15729</v>
      </c>
      <c r="AZ881" s="82" t="s">
        <v>15867</v>
      </c>
      <c r="BA881" s="82" t="s">
        <v>15804</v>
      </c>
      <c r="BB881" s="82" t="s">
        <v>15804</v>
      </c>
      <c r="BC881" s="82" t="s">
        <v>15867</v>
      </c>
      <c r="BD881" s="82" t="s">
        <v>15729</v>
      </c>
      <c r="BE881" s="77"/>
      <c r="BF881" s="77"/>
      <c r="BG881" s="77"/>
      <c r="BH881" s="77"/>
      <c r="BI881" s="77"/>
    </row>
    <row r="882" spans="1:61" x14ac:dyDescent="0.25">
      <c r="A882" s="62" t="s">
        <v>536</v>
      </c>
      <c r="B882" s="62" t="s">
        <v>536</v>
      </c>
      <c r="C882" s="63"/>
      <c r="D882" s="64"/>
      <c r="E882" s="65"/>
      <c r="F882" s="66"/>
      <c r="G882" s="63"/>
      <c r="H882" s="67"/>
      <c r="I882" s="68"/>
      <c r="J882" s="68"/>
      <c r="K882" s="32"/>
      <c r="L882" s="75">
        <v>882</v>
      </c>
      <c r="M882" s="75"/>
      <c r="N882" s="70"/>
      <c r="O882" s="77" t="s">
        <v>179</v>
      </c>
      <c r="P882" s="79">
        <v>45076.037731481483</v>
      </c>
      <c r="Q882" s="77" t="s">
        <v>1978</v>
      </c>
      <c r="R882" s="77">
        <v>0</v>
      </c>
      <c r="S882" s="77">
        <v>0</v>
      </c>
      <c r="T882" s="77">
        <v>0</v>
      </c>
      <c r="U882" s="77">
        <v>0</v>
      </c>
      <c r="V882" s="77">
        <v>12</v>
      </c>
      <c r="W882" s="82" t="s">
        <v>4695</v>
      </c>
      <c r="X882" s="77"/>
      <c r="Y882" s="77"/>
      <c r="Z882" s="77"/>
      <c r="AA882" s="77"/>
      <c r="AB882" s="77"/>
      <c r="AC882" s="82" t="s">
        <v>7706</v>
      </c>
      <c r="AD882" s="77" t="s">
        <v>7745</v>
      </c>
      <c r="AE882" s="80" t="str">
        <f>HYPERLINK("https://twitter.com/lucianfreirepro/status/1663348078873542657")</f>
        <v>https://twitter.com/lucianfreirepro/status/1663348078873542657</v>
      </c>
      <c r="AF882" s="79">
        <v>45076.037731481483</v>
      </c>
      <c r="AG882" s="85">
        <v>45076</v>
      </c>
      <c r="AH882" s="82" t="s">
        <v>8550</v>
      </c>
      <c r="AI882" s="77"/>
      <c r="AJ882" s="77"/>
      <c r="AK882" s="77"/>
      <c r="AL882" s="77"/>
      <c r="AM882" s="77"/>
      <c r="AN882" s="77"/>
      <c r="AO882" s="77"/>
      <c r="AP882" s="77"/>
      <c r="AQ882" s="77"/>
      <c r="AR882" s="77"/>
      <c r="AS882" s="77"/>
      <c r="AT882" s="77"/>
      <c r="AU882" s="77"/>
      <c r="AV882" s="80" t="str">
        <f>HYPERLINK("https://pbs.twimg.com/profile_images/1663342474830442499/NF45LUlM_normal.jpg")</f>
        <v>https://pbs.twimg.com/profile_images/1663342474830442499/NF45LUlM_normal.jpg</v>
      </c>
      <c r="AW882" s="82" t="s">
        <v>13067</v>
      </c>
      <c r="AX882" s="82" t="s">
        <v>13067</v>
      </c>
      <c r="AY882" s="77"/>
      <c r="AZ882" s="82" t="s">
        <v>15804</v>
      </c>
      <c r="BA882" s="82" t="s">
        <v>15804</v>
      </c>
      <c r="BB882" s="82" t="s">
        <v>15804</v>
      </c>
      <c r="BC882" s="82" t="s">
        <v>13067</v>
      </c>
      <c r="BD882" s="82" t="s">
        <v>16309</v>
      </c>
      <c r="BE882" s="77"/>
      <c r="BF882" s="77"/>
      <c r="BG882" s="77"/>
      <c r="BH882" s="77"/>
      <c r="BI882" s="77"/>
    </row>
    <row r="883" spans="1:61" x14ac:dyDescent="0.25">
      <c r="A883" s="62" t="s">
        <v>537</v>
      </c>
      <c r="B883" s="62" t="s">
        <v>537</v>
      </c>
      <c r="C883" s="63"/>
      <c r="D883" s="64"/>
      <c r="E883" s="65"/>
      <c r="F883" s="66"/>
      <c r="G883" s="63"/>
      <c r="H883" s="67"/>
      <c r="I883" s="68"/>
      <c r="J883" s="68"/>
      <c r="K883" s="32"/>
      <c r="L883" s="75">
        <v>883</v>
      </c>
      <c r="M883" s="75"/>
      <c r="N883" s="70"/>
      <c r="O883" s="77" t="s">
        <v>179</v>
      </c>
      <c r="P883" s="79">
        <v>44953.95890046296</v>
      </c>
      <c r="Q883" s="77" t="s">
        <v>1979</v>
      </c>
      <c r="R883" s="77">
        <v>0</v>
      </c>
      <c r="S883" s="77">
        <v>0</v>
      </c>
      <c r="T883" s="77">
        <v>0</v>
      </c>
      <c r="U883" s="77">
        <v>0</v>
      </c>
      <c r="V883" s="77">
        <v>60</v>
      </c>
      <c r="W883" s="82" t="s">
        <v>4696</v>
      </c>
      <c r="X883" s="80" t="str">
        <f>HYPERLINK("http://instagram.com/spa.investor")</f>
        <v>http://instagram.com/spa.investor</v>
      </c>
      <c r="Y883" s="77" t="s">
        <v>6000</v>
      </c>
      <c r="Z883" s="77"/>
      <c r="AA883" s="77" t="s">
        <v>6654</v>
      </c>
      <c r="AB883" s="77" t="s">
        <v>7700</v>
      </c>
      <c r="AC883" s="82" t="s">
        <v>7727</v>
      </c>
      <c r="AD883" s="77" t="s">
        <v>7745</v>
      </c>
      <c r="AE883" s="80" t="str">
        <f>HYPERLINK("https://twitter.com/spainvestor/status/1619108192415522817")</f>
        <v>https://twitter.com/spainvestor/status/1619108192415522817</v>
      </c>
      <c r="AF883" s="79">
        <v>44953.95890046296</v>
      </c>
      <c r="AG883" s="85">
        <v>44953</v>
      </c>
      <c r="AH883" s="82" t="s">
        <v>8551</v>
      </c>
      <c r="AI883" s="77" t="b">
        <v>0</v>
      </c>
      <c r="AJ883" s="77"/>
      <c r="AK883" s="77"/>
      <c r="AL883" s="77"/>
      <c r="AM883" s="77"/>
      <c r="AN883" s="77"/>
      <c r="AO883" s="77"/>
      <c r="AP883" s="77"/>
      <c r="AQ883" s="77" t="s">
        <v>11161</v>
      </c>
      <c r="AR883" s="77"/>
      <c r="AS883" s="77"/>
      <c r="AT883" s="77"/>
      <c r="AU883" s="77"/>
      <c r="AV883" s="80" t="str">
        <f>HYPERLINK("https://pbs.twimg.com/media/Fng6UZYagAAwixD.jpg")</f>
        <v>https://pbs.twimg.com/media/Fng6UZYagAAwixD.jpg</v>
      </c>
      <c r="AW883" s="82" t="s">
        <v>13068</v>
      </c>
      <c r="AX883" s="82" t="s">
        <v>13068</v>
      </c>
      <c r="AY883" s="77"/>
      <c r="AZ883" s="82" t="s">
        <v>15804</v>
      </c>
      <c r="BA883" s="82" t="s">
        <v>15804</v>
      </c>
      <c r="BB883" s="82" t="s">
        <v>15804</v>
      </c>
      <c r="BC883" s="82" t="s">
        <v>13068</v>
      </c>
      <c r="BD883" s="77">
        <v>14968771</v>
      </c>
      <c r="BE883" s="77"/>
      <c r="BF883" s="77"/>
      <c r="BG883" s="77"/>
      <c r="BH883" s="77"/>
      <c r="BI883" s="77"/>
    </row>
    <row r="884" spans="1:61" x14ac:dyDescent="0.25">
      <c r="A884" s="62" t="s">
        <v>537</v>
      </c>
      <c r="B884" s="62" t="s">
        <v>537</v>
      </c>
      <c r="C884" s="63"/>
      <c r="D884" s="64"/>
      <c r="E884" s="65"/>
      <c r="F884" s="66"/>
      <c r="G884" s="63"/>
      <c r="H884" s="67"/>
      <c r="I884" s="68"/>
      <c r="J884" s="68"/>
      <c r="K884" s="32"/>
      <c r="L884" s="75">
        <v>884</v>
      </c>
      <c r="M884" s="75"/>
      <c r="N884" s="70"/>
      <c r="O884" s="77" t="s">
        <v>179</v>
      </c>
      <c r="P884" s="79">
        <v>44964.834490740737</v>
      </c>
      <c r="Q884" s="77" t="s">
        <v>1980</v>
      </c>
      <c r="R884" s="77">
        <v>0</v>
      </c>
      <c r="S884" s="77">
        <v>1</v>
      </c>
      <c r="T884" s="77">
        <v>0</v>
      </c>
      <c r="U884" s="77">
        <v>0</v>
      </c>
      <c r="V884" s="77">
        <v>80</v>
      </c>
      <c r="W884" s="82" t="s">
        <v>4697</v>
      </c>
      <c r="X884" s="77"/>
      <c r="Y884" s="77"/>
      <c r="Z884" s="77"/>
      <c r="AA884" s="77" t="s">
        <v>6655</v>
      </c>
      <c r="AB884" s="77" t="s">
        <v>7700</v>
      </c>
      <c r="AC884" s="82" t="s">
        <v>7727</v>
      </c>
      <c r="AD884" s="77" t="s">
        <v>7745</v>
      </c>
      <c r="AE884" s="80" t="str">
        <f>HYPERLINK("https://twitter.com/spainvestor/status/1623049375625928706")</f>
        <v>https://twitter.com/spainvestor/status/1623049375625928706</v>
      </c>
      <c r="AF884" s="79">
        <v>44964.834490740737</v>
      </c>
      <c r="AG884" s="85">
        <v>44964</v>
      </c>
      <c r="AH884" s="82" t="s">
        <v>8552</v>
      </c>
      <c r="AI884" s="77" t="b">
        <v>0</v>
      </c>
      <c r="AJ884" s="77"/>
      <c r="AK884" s="77"/>
      <c r="AL884" s="77"/>
      <c r="AM884" s="77"/>
      <c r="AN884" s="77"/>
      <c r="AO884" s="77"/>
      <c r="AP884" s="77"/>
      <c r="AQ884" s="77" t="s">
        <v>11162</v>
      </c>
      <c r="AR884" s="77"/>
      <c r="AS884" s="77"/>
      <c r="AT884" s="77"/>
      <c r="AU884" s="77"/>
      <c r="AV884" s="80" t="str">
        <f>HYPERLINK("https://pbs.twimg.com/media/FoY6zcbaIAAdWkg.jpg")</f>
        <v>https://pbs.twimg.com/media/FoY6zcbaIAAdWkg.jpg</v>
      </c>
      <c r="AW884" s="82" t="s">
        <v>13069</v>
      </c>
      <c r="AX884" s="82" t="s">
        <v>13069</v>
      </c>
      <c r="AY884" s="77"/>
      <c r="AZ884" s="82" t="s">
        <v>15804</v>
      </c>
      <c r="BA884" s="82" t="s">
        <v>15804</v>
      </c>
      <c r="BB884" s="82" t="s">
        <v>15804</v>
      </c>
      <c r="BC884" s="82" t="s">
        <v>13069</v>
      </c>
      <c r="BD884" s="77">
        <v>14968771</v>
      </c>
      <c r="BE884" s="77"/>
      <c r="BF884" s="77"/>
      <c r="BG884" s="77"/>
      <c r="BH884" s="77"/>
      <c r="BI884" s="77"/>
    </row>
    <row r="885" spans="1:61" x14ac:dyDescent="0.25">
      <c r="A885" s="62" t="s">
        <v>537</v>
      </c>
      <c r="B885" s="62" t="s">
        <v>537</v>
      </c>
      <c r="C885" s="63"/>
      <c r="D885" s="64"/>
      <c r="E885" s="65"/>
      <c r="F885" s="66"/>
      <c r="G885" s="63"/>
      <c r="H885" s="67"/>
      <c r="I885" s="68"/>
      <c r="J885" s="68"/>
      <c r="K885" s="32"/>
      <c r="L885" s="75">
        <v>885</v>
      </c>
      <c r="M885" s="75"/>
      <c r="N885" s="70"/>
      <c r="O885" s="77" t="s">
        <v>179</v>
      </c>
      <c r="P885" s="79">
        <v>44961.542025462964</v>
      </c>
      <c r="Q885" s="77" t="s">
        <v>1981</v>
      </c>
      <c r="R885" s="77">
        <v>0</v>
      </c>
      <c r="S885" s="77">
        <v>0</v>
      </c>
      <c r="T885" s="77">
        <v>0</v>
      </c>
      <c r="U885" s="77">
        <v>0</v>
      </c>
      <c r="V885" s="77">
        <v>50</v>
      </c>
      <c r="W885" s="82" t="s">
        <v>4698</v>
      </c>
      <c r="X885" s="77"/>
      <c r="Y885" s="77"/>
      <c r="Z885" s="77"/>
      <c r="AA885" s="77" t="s">
        <v>6656</v>
      </c>
      <c r="AB885" s="77" t="s">
        <v>7700</v>
      </c>
      <c r="AC885" s="82" t="s">
        <v>7727</v>
      </c>
      <c r="AD885" s="77" t="s">
        <v>7745</v>
      </c>
      <c r="AE885" s="80" t="str">
        <f>HYPERLINK("https://twitter.com/spainvestor/status/1621856227327344640")</f>
        <v>https://twitter.com/spainvestor/status/1621856227327344640</v>
      </c>
      <c r="AF885" s="79">
        <v>44961.542025462964</v>
      </c>
      <c r="AG885" s="85">
        <v>44961</v>
      </c>
      <c r="AH885" s="82" t="s">
        <v>8553</v>
      </c>
      <c r="AI885" s="77" t="b">
        <v>0</v>
      </c>
      <c r="AJ885" s="77"/>
      <c r="AK885" s="77"/>
      <c r="AL885" s="77"/>
      <c r="AM885" s="77"/>
      <c r="AN885" s="77"/>
      <c r="AO885" s="77"/>
      <c r="AP885" s="77"/>
      <c r="AQ885" s="77" t="s">
        <v>11163</v>
      </c>
      <c r="AR885" s="77"/>
      <c r="AS885" s="77"/>
      <c r="AT885" s="77"/>
      <c r="AU885" s="77"/>
      <c r="AV885" s="80" t="str">
        <f>HYPERLINK("https://pbs.twimg.com/media/FoH9onvaEAIcsYT.jpg")</f>
        <v>https://pbs.twimg.com/media/FoH9onvaEAIcsYT.jpg</v>
      </c>
      <c r="AW885" s="82" t="s">
        <v>13070</v>
      </c>
      <c r="AX885" s="82" t="s">
        <v>13070</v>
      </c>
      <c r="AY885" s="77"/>
      <c r="AZ885" s="82" t="s">
        <v>15804</v>
      </c>
      <c r="BA885" s="82" t="s">
        <v>15804</v>
      </c>
      <c r="BB885" s="82" t="s">
        <v>15804</v>
      </c>
      <c r="BC885" s="82" t="s">
        <v>13070</v>
      </c>
      <c r="BD885" s="77">
        <v>14968771</v>
      </c>
      <c r="BE885" s="77"/>
      <c r="BF885" s="77"/>
      <c r="BG885" s="77"/>
      <c r="BH885" s="77"/>
      <c r="BI885" s="77"/>
    </row>
    <row r="886" spans="1:61" x14ac:dyDescent="0.25">
      <c r="A886" s="62" t="s">
        <v>537</v>
      </c>
      <c r="B886" s="62" t="s">
        <v>537</v>
      </c>
      <c r="C886" s="63"/>
      <c r="D886" s="64"/>
      <c r="E886" s="65"/>
      <c r="F886" s="66"/>
      <c r="G886" s="63"/>
      <c r="H886" s="67"/>
      <c r="I886" s="68"/>
      <c r="J886" s="68"/>
      <c r="K886" s="32"/>
      <c r="L886" s="75">
        <v>886</v>
      </c>
      <c r="M886" s="75"/>
      <c r="N886" s="70"/>
      <c r="O886" s="77" t="s">
        <v>179</v>
      </c>
      <c r="P886" s="79">
        <v>44974.63071759259</v>
      </c>
      <c r="Q886" s="77" t="s">
        <v>1982</v>
      </c>
      <c r="R886" s="77">
        <v>0</v>
      </c>
      <c r="S886" s="77">
        <v>0</v>
      </c>
      <c r="T886" s="77">
        <v>0</v>
      </c>
      <c r="U886" s="77">
        <v>0</v>
      </c>
      <c r="V886" s="77">
        <v>35</v>
      </c>
      <c r="W886" s="82" t="s">
        <v>4699</v>
      </c>
      <c r="X886" s="77"/>
      <c r="Y886" s="77"/>
      <c r="Z886" s="77"/>
      <c r="AA886" s="77" t="s">
        <v>6657</v>
      </c>
      <c r="AB886" s="77" t="s">
        <v>7700</v>
      </c>
      <c r="AC886" s="82" t="s">
        <v>7727</v>
      </c>
      <c r="AD886" s="77" t="s">
        <v>7745</v>
      </c>
      <c r="AE886" s="80" t="str">
        <f>HYPERLINK("https://twitter.com/spainvestor/status/1626599408640065536")</f>
        <v>https://twitter.com/spainvestor/status/1626599408640065536</v>
      </c>
      <c r="AF886" s="79">
        <v>44974.63071759259</v>
      </c>
      <c r="AG886" s="85">
        <v>44974</v>
      </c>
      <c r="AH886" s="82" t="s">
        <v>8554</v>
      </c>
      <c r="AI886" s="77" t="b">
        <v>0</v>
      </c>
      <c r="AJ886" s="77"/>
      <c r="AK886" s="77"/>
      <c r="AL886" s="77"/>
      <c r="AM886" s="77"/>
      <c r="AN886" s="77"/>
      <c r="AO886" s="77"/>
      <c r="AP886" s="77"/>
      <c r="AQ886" s="77" t="s">
        <v>11164</v>
      </c>
      <c r="AR886" s="77"/>
      <c r="AS886" s="77"/>
      <c r="AT886" s="77"/>
      <c r="AU886" s="77"/>
      <c r="AV886" s="80" t="str">
        <f>HYPERLINK("https://pbs.twimg.com/media/FpLXinQaIAMnqA4.jpg")</f>
        <v>https://pbs.twimg.com/media/FpLXinQaIAMnqA4.jpg</v>
      </c>
      <c r="AW886" s="82" t="s">
        <v>13071</v>
      </c>
      <c r="AX886" s="82" t="s">
        <v>13071</v>
      </c>
      <c r="AY886" s="77"/>
      <c r="AZ886" s="82" t="s">
        <v>15804</v>
      </c>
      <c r="BA886" s="82" t="s">
        <v>15804</v>
      </c>
      <c r="BB886" s="82" t="s">
        <v>15804</v>
      </c>
      <c r="BC886" s="82" t="s">
        <v>13071</v>
      </c>
      <c r="BD886" s="77">
        <v>14968771</v>
      </c>
      <c r="BE886" s="77"/>
      <c r="BF886" s="77"/>
      <c r="BG886" s="77"/>
      <c r="BH886" s="77"/>
      <c r="BI886" s="77"/>
    </row>
    <row r="887" spans="1:61" x14ac:dyDescent="0.25">
      <c r="A887" s="62" t="s">
        <v>537</v>
      </c>
      <c r="B887" s="62" t="s">
        <v>537</v>
      </c>
      <c r="C887" s="63"/>
      <c r="D887" s="64"/>
      <c r="E887" s="65"/>
      <c r="F887" s="66"/>
      <c r="G887" s="63"/>
      <c r="H887" s="67"/>
      <c r="I887" s="68"/>
      <c r="J887" s="68"/>
      <c r="K887" s="32"/>
      <c r="L887" s="75">
        <v>887</v>
      </c>
      <c r="M887" s="75"/>
      <c r="N887" s="70"/>
      <c r="O887" s="77" t="s">
        <v>179</v>
      </c>
      <c r="P887" s="79">
        <v>44974.583993055552</v>
      </c>
      <c r="Q887" s="77" t="s">
        <v>1983</v>
      </c>
      <c r="R887" s="77">
        <v>0</v>
      </c>
      <c r="S887" s="77">
        <v>0</v>
      </c>
      <c r="T887" s="77">
        <v>0</v>
      </c>
      <c r="U887" s="77">
        <v>0</v>
      </c>
      <c r="V887" s="77">
        <v>93</v>
      </c>
      <c r="W887" s="82" t="s">
        <v>4700</v>
      </c>
      <c r="X887" s="77"/>
      <c r="Y887" s="77"/>
      <c r="Z887" s="77"/>
      <c r="AA887" s="77" t="s">
        <v>6658</v>
      </c>
      <c r="AB887" s="77" t="s">
        <v>7700</v>
      </c>
      <c r="AC887" s="82" t="s">
        <v>7727</v>
      </c>
      <c r="AD887" s="77" t="s">
        <v>7745</v>
      </c>
      <c r="AE887" s="80" t="str">
        <f>HYPERLINK("https://twitter.com/spainvestor/status/1626582476490702849")</f>
        <v>https://twitter.com/spainvestor/status/1626582476490702849</v>
      </c>
      <c r="AF887" s="79">
        <v>44974.583993055552</v>
      </c>
      <c r="AG887" s="85">
        <v>44974</v>
      </c>
      <c r="AH887" s="82" t="s">
        <v>8555</v>
      </c>
      <c r="AI887" s="77" t="b">
        <v>0</v>
      </c>
      <c r="AJ887" s="77"/>
      <c r="AK887" s="77"/>
      <c r="AL887" s="77"/>
      <c r="AM887" s="77"/>
      <c r="AN887" s="77"/>
      <c r="AO887" s="77"/>
      <c r="AP887" s="77"/>
      <c r="AQ887" s="77" t="s">
        <v>11165</v>
      </c>
      <c r="AR887" s="77"/>
      <c r="AS887" s="77"/>
      <c r="AT887" s="77"/>
      <c r="AU887" s="77"/>
      <c r="AV887" s="80" t="str">
        <f>HYPERLINK("https://pbs.twimg.com/media/FpLII36aYAg2JAP.jpg")</f>
        <v>https://pbs.twimg.com/media/FpLII36aYAg2JAP.jpg</v>
      </c>
      <c r="AW887" s="82" t="s">
        <v>13072</v>
      </c>
      <c r="AX887" s="82" t="s">
        <v>13072</v>
      </c>
      <c r="AY887" s="77"/>
      <c r="AZ887" s="82" t="s">
        <v>15804</v>
      </c>
      <c r="BA887" s="82" t="s">
        <v>15804</v>
      </c>
      <c r="BB887" s="82" t="s">
        <v>15804</v>
      </c>
      <c r="BC887" s="82" t="s">
        <v>13072</v>
      </c>
      <c r="BD887" s="77">
        <v>14968771</v>
      </c>
      <c r="BE887" s="77"/>
      <c r="BF887" s="77"/>
      <c r="BG887" s="77"/>
      <c r="BH887" s="77"/>
      <c r="BI887" s="77"/>
    </row>
    <row r="888" spans="1:61" x14ac:dyDescent="0.25">
      <c r="A888" s="62" t="s">
        <v>537</v>
      </c>
      <c r="B888" s="62" t="s">
        <v>537</v>
      </c>
      <c r="C888" s="63"/>
      <c r="D888" s="64"/>
      <c r="E888" s="65"/>
      <c r="F888" s="66"/>
      <c r="G888" s="63"/>
      <c r="H888" s="67"/>
      <c r="I888" s="68"/>
      <c r="J888" s="68"/>
      <c r="K888" s="32"/>
      <c r="L888" s="75">
        <v>888</v>
      </c>
      <c r="M888" s="75"/>
      <c r="N888" s="70"/>
      <c r="O888" s="77" t="s">
        <v>179</v>
      </c>
      <c r="P888" s="79">
        <v>45000.565520833334</v>
      </c>
      <c r="Q888" s="77" t="s">
        <v>1984</v>
      </c>
      <c r="R888" s="77">
        <v>0</v>
      </c>
      <c r="S888" s="77">
        <v>0</v>
      </c>
      <c r="T888" s="77">
        <v>0</v>
      </c>
      <c r="U888" s="77">
        <v>0</v>
      </c>
      <c r="V888" s="77">
        <v>31</v>
      </c>
      <c r="W888" s="82" t="s">
        <v>4701</v>
      </c>
      <c r="X888" s="77"/>
      <c r="Y888" s="77"/>
      <c r="Z888" s="77"/>
      <c r="AA888" s="77" t="s">
        <v>6659</v>
      </c>
      <c r="AB888" s="77" t="s">
        <v>7698</v>
      </c>
      <c r="AC888" s="82" t="s">
        <v>7727</v>
      </c>
      <c r="AD888" s="77" t="s">
        <v>7745</v>
      </c>
      <c r="AE888" s="80" t="str">
        <f>HYPERLINK("https://twitter.com/spainvestor/status/1635997868153774080")</f>
        <v>https://twitter.com/spainvestor/status/1635997868153774080</v>
      </c>
      <c r="AF888" s="79">
        <v>45000.565520833334</v>
      </c>
      <c r="AG888" s="85">
        <v>45000</v>
      </c>
      <c r="AH888" s="82" t="s">
        <v>8556</v>
      </c>
      <c r="AI888" s="77" t="b">
        <v>0</v>
      </c>
      <c r="AJ888" s="77"/>
      <c r="AK888" s="77"/>
      <c r="AL888" s="77"/>
      <c r="AM888" s="77"/>
      <c r="AN888" s="77"/>
      <c r="AO888" s="77"/>
      <c r="AP888" s="77"/>
      <c r="AQ888" s="77" t="s">
        <v>11166</v>
      </c>
      <c r="AR888" s="77"/>
      <c r="AS888" s="77"/>
      <c r="AT888" s="77"/>
      <c r="AU888" s="77"/>
      <c r="AV888" s="80" t="str">
        <f>HYPERLINK("https://pbs.twimg.com/media/FrQ7Y5zagAAsFIc.jpg")</f>
        <v>https://pbs.twimg.com/media/FrQ7Y5zagAAsFIc.jpg</v>
      </c>
      <c r="AW888" s="82" t="s">
        <v>13073</v>
      </c>
      <c r="AX888" s="82" t="s">
        <v>13073</v>
      </c>
      <c r="AY888" s="77"/>
      <c r="AZ888" s="82" t="s">
        <v>15804</v>
      </c>
      <c r="BA888" s="82" t="s">
        <v>15804</v>
      </c>
      <c r="BB888" s="82" t="s">
        <v>15804</v>
      </c>
      <c r="BC888" s="82" t="s">
        <v>13073</v>
      </c>
      <c r="BD888" s="77">
        <v>14968771</v>
      </c>
      <c r="BE888" s="77"/>
      <c r="BF888" s="77"/>
      <c r="BG888" s="77"/>
      <c r="BH888" s="77"/>
      <c r="BI888" s="77"/>
    </row>
    <row r="889" spans="1:61" x14ac:dyDescent="0.25">
      <c r="A889" s="62" t="s">
        <v>537</v>
      </c>
      <c r="B889" s="62" t="s">
        <v>537</v>
      </c>
      <c r="C889" s="63"/>
      <c r="D889" s="64"/>
      <c r="E889" s="65"/>
      <c r="F889" s="66"/>
      <c r="G889" s="63"/>
      <c r="H889" s="67"/>
      <c r="I889" s="68"/>
      <c r="J889" s="68"/>
      <c r="K889" s="32"/>
      <c r="L889" s="75">
        <v>889</v>
      </c>
      <c r="M889" s="75"/>
      <c r="N889" s="70"/>
      <c r="O889" s="77" t="s">
        <v>179</v>
      </c>
      <c r="P889" s="79">
        <v>45046.584513888891</v>
      </c>
      <c r="Q889" s="77" t="s">
        <v>1985</v>
      </c>
      <c r="R889" s="77">
        <v>0</v>
      </c>
      <c r="S889" s="77">
        <v>0</v>
      </c>
      <c r="T889" s="77">
        <v>0</v>
      </c>
      <c r="U889" s="77">
        <v>0</v>
      </c>
      <c r="V889" s="77">
        <v>23</v>
      </c>
      <c r="W889" s="82" t="s">
        <v>4702</v>
      </c>
      <c r="X889" s="77"/>
      <c r="Y889" s="77"/>
      <c r="Z889" s="77"/>
      <c r="AA889" s="77" t="s">
        <v>6660</v>
      </c>
      <c r="AB889" s="77" t="s">
        <v>7700</v>
      </c>
      <c r="AC889" s="82" t="s">
        <v>7727</v>
      </c>
      <c r="AD889" s="77" t="s">
        <v>7745</v>
      </c>
      <c r="AE889" s="80" t="str">
        <f>HYPERLINK("https://twitter.com/spainvestor/status/1652674589695291394")</f>
        <v>https://twitter.com/spainvestor/status/1652674589695291394</v>
      </c>
      <c r="AF889" s="79">
        <v>45046.584513888891</v>
      </c>
      <c r="AG889" s="85">
        <v>45046</v>
      </c>
      <c r="AH889" s="82" t="s">
        <v>8557</v>
      </c>
      <c r="AI889" s="77" t="b">
        <v>0</v>
      </c>
      <c r="AJ889" s="77"/>
      <c r="AK889" s="77"/>
      <c r="AL889" s="77"/>
      <c r="AM889" s="77"/>
      <c r="AN889" s="77"/>
      <c r="AO889" s="77"/>
      <c r="AP889" s="77"/>
      <c r="AQ889" s="77" t="s">
        <v>11167</v>
      </c>
      <c r="AR889" s="77"/>
      <c r="AS889" s="77"/>
      <c r="AT889" s="77"/>
      <c r="AU889" s="77"/>
      <c r="AV889" s="80" t="str">
        <f>HYPERLINK("https://pbs.twimg.com/media/Fu96x8aakAEomBp.jpg")</f>
        <v>https://pbs.twimg.com/media/Fu96x8aakAEomBp.jpg</v>
      </c>
      <c r="AW889" s="82" t="s">
        <v>13074</v>
      </c>
      <c r="AX889" s="82" t="s">
        <v>13074</v>
      </c>
      <c r="AY889" s="77"/>
      <c r="AZ889" s="82" t="s">
        <v>15804</v>
      </c>
      <c r="BA889" s="82" t="s">
        <v>15804</v>
      </c>
      <c r="BB889" s="82" t="s">
        <v>15804</v>
      </c>
      <c r="BC889" s="82" t="s">
        <v>13074</v>
      </c>
      <c r="BD889" s="77">
        <v>14968771</v>
      </c>
      <c r="BE889" s="77"/>
      <c r="BF889" s="77"/>
      <c r="BG889" s="77"/>
      <c r="BH889" s="77"/>
      <c r="BI889" s="77"/>
    </row>
    <row r="890" spans="1:61" x14ac:dyDescent="0.25">
      <c r="A890" s="62" t="s">
        <v>537</v>
      </c>
      <c r="B890" s="62" t="s">
        <v>537</v>
      </c>
      <c r="C890" s="63"/>
      <c r="D890" s="64"/>
      <c r="E890" s="65"/>
      <c r="F890" s="66"/>
      <c r="G890" s="63"/>
      <c r="H890" s="67"/>
      <c r="I890" s="68"/>
      <c r="J890" s="68"/>
      <c r="K890" s="32"/>
      <c r="L890" s="75">
        <v>890</v>
      </c>
      <c r="M890" s="75"/>
      <c r="N890" s="70"/>
      <c r="O890" s="77" t="s">
        <v>179</v>
      </c>
      <c r="P890" s="79">
        <v>45041.849143518521</v>
      </c>
      <c r="Q890" s="77" t="s">
        <v>1986</v>
      </c>
      <c r="R890" s="77">
        <v>0</v>
      </c>
      <c r="S890" s="77">
        <v>0</v>
      </c>
      <c r="T890" s="77">
        <v>0</v>
      </c>
      <c r="U890" s="77">
        <v>0</v>
      </c>
      <c r="V890" s="77">
        <v>19</v>
      </c>
      <c r="W890" s="82" t="s">
        <v>4703</v>
      </c>
      <c r="X890" s="80" t="str">
        <f>HYPERLINK("http://www.instagram.com/spa.investor")</f>
        <v>http://www.instagram.com/spa.investor</v>
      </c>
      <c r="Y890" s="77" t="s">
        <v>6000</v>
      </c>
      <c r="Z890" s="77"/>
      <c r="AA890" s="77" t="s">
        <v>6661</v>
      </c>
      <c r="AB890" s="77" t="s">
        <v>7700</v>
      </c>
      <c r="AC890" s="82" t="s">
        <v>7727</v>
      </c>
      <c r="AD890" s="77" t="s">
        <v>7745</v>
      </c>
      <c r="AE890" s="80" t="str">
        <f>HYPERLINK("https://twitter.com/spainvestor/status/1650958550829797377")</f>
        <v>https://twitter.com/spainvestor/status/1650958550829797377</v>
      </c>
      <c r="AF890" s="79">
        <v>45041.849143518521</v>
      </c>
      <c r="AG890" s="85">
        <v>45041</v>
      </c>
      <c r="AH890" s="82" t="s">
        <v>8558</v>
      </c>
      <c r="AI890" s="77" t="b">
        <v>0</v>
      </c>
      <c r="AJ890" s="77"/>
      <c r="AK890" s="77"/>
      <c r="AL890" s="77"/>
      <c r="AM890" s="77"/>
      <c r="AN890" s="77"/>
      <c r="AO890" s="77"/>
      <c r="AP890" s="77"/>
      <c r="AQ890" s="77" t="s">
        <v>11168</v>
      </c>
      <c r="AR890" s="77"/>
      <c r="AS890" s="77"/>
      <c r="AT890" s="77"/>
      <c r="AU890" s="77"/>
      <c r="AV890" s="80" t="str">
        <f>HYPERLINK("https://pbs.twimg.com/media/FuliDWNaEAAhZE9.jpg")</f>
        <v>https://pbs.twimg.com/media/FuliDWNaEAAhZE9.jpg</v>
      </c>
      <c r="AW890" s="82" t="s">
        <v>13075</v>
      </c>
      <c r="AX890" s="82" t="s">
        <v>13075</v>
      </c>
      <c r="AY890" s="77"/>
      <c r="AZ890" s="82" t="s">
        <v>15804</v>
      </c>
      <c r="BA890" s="82" t="s">
        <v>15804</v>
      </c>
      <c r="BB890" s="82" t="s">
        <v>15804</v>
      </c>
      <c r="BC890" s="82" t="s">
        <v>13075</v>
      </c>
      <c r="BD890" s="77">
        <v>14968771</v>
      </c>
      <c r="BE890" s="77"/>
      <c r="BF890" s="77"/>
      <c r="BG890" s="77"/>
      <c r="BH890" s="77"/>
      <c r="BI890" s="77"/>
    </row>
    <row r="891" spans="1:61" x14ac:dyDescent="0.25">
      <c r="A891" s="62" t="s">
        <v>537</v>
      </c>
      <c r="B891" s="62" t="s">
        <v>537</v>
      </c>
      <c r="C891" s="63"/>
      <c r="D891" s="64"/>
      <c r="E891" s="65"/>
      <c r="F891" s="66"/>
      <c r="G891" s="63"/>
      <c r="H891" s="67"/>
      <c r="I891" s="68"/>
      <c r="J891" s="68"/>
      <c r="K891" s="32"/>
      <c r="L891" s="75">
        <v>891</v>
      </c>
      <c r="M891" s="75"/>
      <c r="N891" s="70"/>
      <c r="O891" s="77" t="s">
        <v>179</v>
      </c>
      <c r="P891" s="79">
        <v>45049.87358796296</v>
      </c>
      <c r="Q891" s="77" t="s">
        <v>1987</v>
      </c>
      <c r="R891" s="77">
        <v>0</v>
      </c>
      <c r="S891" s="77">
        <v>1</v>
      </c>
      <c r="T891" s="77">
        <v>0</v>
      </c>
      <c r="U891" s="77">
        <v>0</v>
      </c>
      <c r="V891" s="77">
        <v>42</v>
      </c>
      <c r="W891" s="82" t="s">
        <v>4704</v>
      </c>
      <c r="X891" s="77"/>
      <c r="Y891" s="77"/>
      <c r="Z891" s="77"/>
      <c r="AA891" s="77" t="s">
        <v>6662</v>
      </c>
      <c r="AB891" s="77" t="s">
        <v>7700</v>
      </c>
      <c r="AC891" s="82" t="s">
        <v>7727</v>
      </c>
      <c r="AD891" s="77" t="s">
        <v>7745</v>
      </c>
      <c r="AE891" s="80" t="str">
        <f>HYPERLINK("https://twitter.com/spainvestor/status/1653866513563267072")</f>
        <v>https://twitter.com/spainvestor/status/1653866513563267072</v>
      </c>
      <c r="AF891" s="79">
        <v>45049.87358796296</v>
      </c>
      <c r="AG891" s="85">
        <v>45049</v>
      </c>
      <c r="AH891" s="82" t="s">
        <v>8559</v>
      </c>
      <c r="AI891" s="77" t="b">
        <v>0</v>
      </c>
      <c r="AJ891" s="77"/>
      <c r="AK891" s="77"/>
      <c r="AL891" s="77"/>
      <c r="AM891" s="77"/>
      <c r="AN891" s="77"/>
      <c r="AO891" s="77"/>
      <c r="AP891" s="77"/>
      <c r="AQ891" s="77" t="s">
        <v>11169</v>
      </c>
      <c r="AR891" s="77"/>
      <c r="AS891" s="77"/>
      <c r="AT891" s="77"/>
      <c r="AU891" s="77"/>
      <c r="AV891" s="80" t="str">
        <f>HYPERLINK("https://pbs.twimg.com/media/FvO21E0aYAAUW3E.jpg")</f>
        <v>https://pbs.twimg.com/media/FvO21E0aYAAUW3E.jpg</v>
      </c>
      <c r="AW891" s="82" t="s">
        <v>13076</v>
      </c>
      <c r="AX891" s="82" t="s">
        <v>13076</v>
      </c>
      <c r="AY891" s="77"/>
      <c r="AZ891" s="82" t="s">
        <v>15804</v>
      </c>
      <c r="BA891" s="82" t="s">
        <v>15804</v>
      </c>
      <c r="BB891" s="82" t="s">
        <v>15804</v>
      </c>
      <c r="BC891" s="82" t="s">
        <v>13076</v>
      </c>
      <c r="BD891" s="77">
        <v>14968771</v>
      </c>
      <c r="BE891" s="77"/>
      <c r="BF891" s="77"/>
      <c r="BG891" s="77"/>
      <c r="BH891" s="77"/>
      <c r="BI891" s="77"/>
    </row>
    <row r="892" spans="1:61" x14ac:dyDescent="0.25">
      <c r="A892" s="62" t="s">
        <v>537</v>
      </c>
      <c r="B892" s="62" t="s">
        <v>537</v>
      </c>
      <c r="C892" s="63"/>
      <c r="D892" s="64"/>
      <c r="E892" s="65"/>
      <c r="F892" s="66"/>
      <c r="G892" s="63"/>
      <c r="H892" s="67"/>
      <c r="I892" s="68"/>
      <c r="J892" s="68"/>
      <c r="K892" s="32"/>
      <c r="L892" s="75">
        <v>892</v>
      </c>
      <c r="M892" s="75"/>
      <c r="N892" s="70"/>
      <c r="O892" s="77" t="s">
        <v>179</v>
      </c>
      <c r="P892" s="79">
        <v>45042.867766203701</v>
      </c>
      <c r="Q892" s="77" t="s">
        <v>1988</v>
      </c>
      <c r="R892" s="77">
        <v>0</v>
      </c>
      <c r="S892" s="77">
        <v>0</v>
      </c>
      <c r="T892" s="77">
        <v>0</v>
      </c>
      <c r="U892" s="77">
        <v>0</v>
      </c>
      <c r="V892" s="77">
        <v>41</v>
      </c>
      <c r="W892" s="82" t="s">
        <v>4705</v>
      </c>
      <c r="X892" s="77"/>
      <c r="Y892" s="77"/>
      <c r="Z892" s="77"/>
      <c r="AA892" s="77" t="s">
        <v>6663</v>
      </c>
      <c r="AB892" s="77" t="s">
        <v>7700</v>
      </c>
      <c r="AC892" s="82" t="s">
        <v>7727</v>
      </c>
      <c r="AD892" s="77" t="s">
        <v>7745</v>
      </c>
      <c r="AE892" s="80" t="str">
        <f>HYPERLINK("https://twitter.com/spainvestor/status/1651327687338897408")</f>
        <v>https://twitter.com/spainvestor/status/1651327687338897408</v>
      </c>
      <c r="AF892" s="79">
        <v>45042.867766203701</v>
      </c>
      <c r="AG892" s="85">
        <v>45042</v>
      </c>
      <c r="AH892" s="82" t="s">
        <v>8560</v>
      </c>
      <c r="AI892" s="77" t="b">
        <v>0</v>
      </c>
      <c r="AJ892" s="77"/>
      <c r="AK892" s="77"/>
      <c r="AL892" s="77"/>
      <c r="AM892" s="77"/>
      <c r="AN892" s="77"/>
      <c r="AO892" s="77"/>
      <c r="AP892" s="77"/>
      <c r="AQ892" s="77" t="s">
        <v>11170</v>
      </c>
      <c r="AR892" s="77"/>
      <c r="AS892" s="77"/>
      <c r="AT892" s="77"/>
      <c r="AU892" s="77"/>
      <c r="AV892" s="80" t="str">
        <f>HYPERLINK("https://pbs.twimg.com/media/Fuqxx8IaIAAm0Ja.jpg")</f>
        <v>https://pbs.twimg.com/media/Fuqxx8IaIAAm0Ja.jpg</v>
      </c>
      <c r="AW892" s="82" t="s">
        <v>13077</v>
      </c>
      <c r="AX892" s="82" t="s">
        <v>13077</v>
      </c>
      <c r="AY892" s="77"/>
      <c r="AZ892" s="82" t="s">
        <v>15804</v>
      </c>
      <c r="BA892" s="82" t="s">
        <v>15804</v>
      </c>
      <c r="BB892" s="82" t="s">
        <v>15804</v>
      </c>
      <c r="BC892" s="82" t="s">
        <v>13077</v>
      </c>
      <c r="BD892" s="77">
        <v>14968771</v>
      </c>
      <c r="BE892" s="77"/>
      <c r="BF892" s="77"/>
      <c r="BG892" s="77"/>
      <c r="BH892" s="77"/>
      <c r="BI892" s="77"/>
    </row>
    <row r="893" spans="1:61" x14ac:dyDescent="0.25">
      <c r="A893" s="62" t="s">
        <v>537</v>
      </c>
      <c r="B893" s="62" t="s">
        <v>537</v>
      </c>
      <c r="C893" s="63"/>
      <c r="D893" s="64"/>
      <c r="E893" s="65"/>
      <c r="F893" s="66"/>
      <c r="G893" s="63"/>
      <c r="H893" s="67"/>
      <c r="I893" s="68"/>
      <c r="J893" s="68"/>
      <c r="K893" s="32"/>
      <c r="L893" s="75">
        <v>893</v>
      </c>
      <c r="M893" s="75"/>
      <c r="N893" s="70"/>
      <c r="O893" s="77" t="s">
        <v>179</v>
      </c>
      <c r="P893" s="79">
        <v>44981.541944444441</v>
      </c>
      <c r="Q893" s="77" t="s">
        <v>1989</v>
      </c>
      <c r="R893" s="77">
        <v>0</v>
      </c>
      <c r="S893" s="77">
        <v>1</v>
      </c>
      <c r="T893" s="77">
        <v>0</v>
      </c>
      <c r="U893" s="77">
        <v>0</v>
      </c>
      <c r="V893" s="77">
        <v>107</v>
      </c>
      <c r="W893" s="82" t="s">
        <v>4706</v>
      </c>
      <c r="X893" s="77"/>
      <c r="Y893" s="77"/>
      <c r="Z893" s="77"/>
      <c r="AA893" s="77" t="s">
        <v>6664</v>
      </c>
      <c r="AB893" s="77" t="s">
        <v>7700</v>
      </c>
      <c r="AC893" s="82" t="s">
        <v>7727</v>
      </c>
      <c r="AD893" s="77" t="s">
        <v>7745</v>
      </c>
      <c r="AE893" s="80" t="str">
        <f>HYPERLINK("https://twitter.com/spainvestor/status/1629103954293555200")</f>
        <v>https://twitter.com/spainvestor/status/1629103954293555200</v>
      </c>
      <c r="AF893" s="79">
        <v>44981.541944444441</v>
      </c>
      <c r="AG893" s="85">
        <v>44981</v>
      </c>
      <c r="AH893" s="82" t="s">
        <v>8561</v>
      </c>
      <c r="AI893" s="77" t="b">
        <v>0</v>
      </c>
      <c r="AJ893" s="77"/>
      <c r="AK893" s="77"/>
      <c r="AL893" s="77"/>
      <c r="AM893" s="77"/>
      <c r="AN893" s="77"/>
      <c r="AO893" s="77"/>
      <c r="AP893" s="77"/>
      <c r="AQ893" s="77" t="s">
        <v>11171</v>
      </c>
      <c r="AR893" s="77"/>
      <c r="AS893" s="77"/>
      <c r="AT893" s="77"/>
      <c r="AU893" s="77"/>
      <c r="AV893" s="80" t="str">
        <f>HYPERLINK("https://pbs.twimg.com/media/Fpu9aJlaUAE9oJ8.jpg")</f>
        <v>https://pbs.twimg.com/media/Fpu9aJlaUAE9oJ8.jpg</v>
      </c>
      <c r="AW893" s="82" t="s">
        <v>13078</v>
      </c>
      <c r="AX893" s="82" t="s">
        <v>13078</v>
      </c>
      <c r="AY893" s="77"/>
      <c r="AZ893" s="82" t="s">
        <v>15804</v>
      </c>
      <c r="BA893" s="82" t="s">
        <v>15804</v>
      </c>
      <c r="BB893" s="82" t="s">
        <v>15804</v>
      </c>
      <c r="BC893" s="82" t="s">
        <v>13078</v>
      </c>
      <c r="BD893" s="77">
        <v>14968771</v>
      </c>
      <c r="BE893" s="77"/>
      <c r="BF893" s="77"/>
      <c r="BG893" s="77"/>
      <c r="BH893" s="77"/>
      <c r="BI893" s="77"/>
    </row>
    <row r="894" spans="1:61" x14ac:dyDescent="0.25">
      <c r="A894" s="62" t="s">
        <v>537</v>
      </c>
      <c r="B894" s="62" t="s">
        <v>537</v>
      </c>
      <c r="C894" s="63"/>
      <c r="D894" s="64"/>
      <c r="E894" s="65"/>
      <c r="F894" s="66"/>
      <c r="G894" s="63"/>
      <c r="H894" s="67"/>
      <c r="I894" s="68"/>
      <c r="J894" s="68"/>
      <c r="K894" s="32"/>
      <c r="L894" s="75">
        <v>894</v>
      </c>
      <c r="M894" s="75"/>
      <c r="N894" s="70"/>
      <c r="O894" s="77" t="s">
        <v>179</v>
      </c>
      <c r="P894" s="79">
        <v>45114.543402777781</v>
      </c>
      <c r="Q894" s="77" t="s">
        <v>1990</v>
      </c>
      <c r="R894" s="77">
        <v>0</v>
      </c>
      <c r="S894" s="77">
        <v>0</v>
      </c>
      <c r="T894" s="77">
        <v>0</v>
      </c>
      <c r="U894" s="77">
        <v>0</v>
      </c>
      <c r="V894" s="77">
        <v>88</v>
      </c>
      <c r="W894" s="82" t="s">
        <v>4707</v>
      </c>
      <c r="X894" s="77"/>
      <c r="Y894" s="77"/>
      <c r="Z894" s="77"/>
      <c r="AA894" s="77" t="s">
        <v>6665</v>
      </c>
      <c r="AB894" s="77" t="s">
        <v>7698</v>
      </c>
      <c r="AC894" s="82" t="s">
        <v>7727</v>
      </c>
      <c r="AD894" s="77" t="s">
        <v>7745</v>
      </c>
      <c r="AE894" s="80" t="str">
        <f>HYPERLINK("https://twitter.com/spainvestor/status/1677302069785681926")</f>
        <v>https://twitter.com/spainvestor/status/1677302069785681926</v>
      </c>
      <c r="AF894" s="79">
        <v>45114.543402777781</v>
      </c>
      <c r="AG894" s="85">
        <v>45114</v>
      </c>
      <c r="AH894" s="82" t="s">
        <v>8562</v>
      </c>
      <c r="AI894" s="77" t="b">
        <v>0</v>
      </c>
      <c r="AJ894" s="77"/>
      <c r="AK894" s="77"/>
      <c r="AL894" s="77"/>
      <c r="AM894" s="77"/>
      <c r="AN894" s="77"/>
      <c r="AO894" s="77"/>
      <c r="AP894" s="77"/>
      <c r="AQ894" s="77" t="s">
        <v>11172</v>
      </c>
      <c r="AR894" s="77"/>
      <c r="AS894" s="77"/>
      <c r="AT894" s="77"/>
      <c r="AU894" s="77"/>
      <c r="AV894" s="80" t="str">
        <f>HYPERLINK("https://pbs.twimg.com/media/F0b5V8wagAA_8eU.jpg")</f>
        <v>https://pbs.twimg.com/media/F0b5V8wagAA_8eU.jpg</v>
      </c>
      <c r="AW894" s="82" t="s">
        <v>13079</v>
      </c>
      <c r="AX894" s="82" t="s">
        <v>13079</v>
      </c>
      <c r="AY894" s="77"/>
      <c r="AZ894" s="82" t="s">
        <v>15804</v>
      </c>
      <c r="BA894" s="82" t="s">
        <v>15804</v>
      </c>
      <c r="BB894" s="82" t="s">
        <v>15804</v>
      </c>
      <c r="BC894" s="82" t="s">
        <v>13079</v>
      </c>
      <c r="BD894" s="77">
        <v>14968771</v>
      </c>
      <c r="BE894" s="77"/>
      <c r="BF894" s="77"/>
      <c r="BG894" s="77"/>
      <c r="BH894" s="77"/>
      <c r="BI894" s="77"/>
    </row>
    <row r="895" spans="1:61" x14ac:dyDescent="0.25">
      <c r="A895" s="62" t="s">
        <v>538</v>
      </c>
      <c r="B895" s="62" t="s">
        <v>538</v>
      </c>
      <c r="C895" s="63"/>
      <c r="D895" s="64"/>
      <c r="E895" s="65"/>
      <c r="F895" s="66"/>
      <c r="G895" s="63"/>
      <c r="H895" s="67"/>
      <c r="I895" s="68"/>
      <c r="J895" s="68"/>
      <c r="K895" s="32"/>
      <c r="L895" s="75">
        <v>895</v>
      </c>
      <c r="M895" s="75"/>
      <c r="N895" s="70"/>
      <c r="O895" s="77" t="s">
        <v>179</v>
      </c>
      <c r="P895" s="79">
        <v>44949.573171296295</v>
      </c>
      <c r="Q895" s="77" t="s">
        <v>1991</v>
      </c>
      <c r="R895" s="77">
        <v>0</v>
      </c>
      <c r="S895" s="77">
        <v>0</v>
      </c>
      <c r="T895" s="77">
        <v>0</v>
      </c>
      <c r="U895" s="77">
        <v>0</v>
      </c>
      <c r="V895" s="77">
        <v>85</v>
      </c>
      <c r="W895" s="82" t="s">
        <v>4708</v>
      </c>
      <c r="X895" s="80" t="str">
        <f>HYPERLINK("https://portalunico.com/educacao-financeira-nas-escolas/")</f>
        <v>https://portalunico.com/educacao-financeira-nas-escolas/</v>
      </c>
      <c r="Y895" s="77" t="s">
        <v>6055</v>
      </c>
      <c r="Z895" s="77"/>
      <c r="AA895" s="77" t="s">
        <v>6666</v>
      </c>
      <c r="AB895" s="77" t="s">
        <v>7696</v>
      </c>
      <c r="AC895" s="82" t="s">
        <v>7706</v>
      </c>
      <c r="AD895" s="77" t="s">
        <v>7745</v>
      </c>
      <c r="AE895" s="80" t="str">
        <f>HYPERLINK("https://twitter.com/portalunico/status/1617518857912213504")</f>
        <v>https://twitter.com/portalunico/status/1617518857912213504</v>
      </c>
      <c r="AF895" s="79">
        <v>44949.573171296295</v>
      </c>
      <c r="AG895" s="85">
        <v>44949</v>
      </c>
      <c r="AH895" s="82" t="s">
        <v>8563</v>
      </c>
      <c r="AI895" s="77" t="b">
        <v>0</v>
      </c>
      <c r="AJ895" s="77"/>
      <c r="AK895" s="77"/>
      <c r="AL895" s="77"/>
      <c r="AM895" s="77"/>
      <c r="AN895" s="77"/>
      <c r="AO895" s="77"/>
      <c r="AP895" s="77"/>
      <c r="AQ895" s="77" t="s">
        <v>11173</v>
      </c>
      <c r="AR895" s="77"/>
      <c r="AS895" s="77"/>
      <c r="AT895" s="77"/>
      <c r="AU895" s="77"/>
      <c r="AV895" s="80" t="str">
        <f>HYPERLINK("https://pbs.twimg.com/media/FnKUq-jacAYCAIr.jpg")</f>
        <v>https://pbs.twimg.com/media/FnKUq-jacAYCAIr.jpg</v>
      </c>
      <c r="AW895" s="82" t="s">
        <v>13080</v>
      </c>
      <c r="AX895" s="82" t="s">
        <v>13080</v>
      </c>
      <c r="AY895" s="77"/>
      <c r="AZ895" s="82" t="s">
        <v>15804</v>
      </c>
      <c r="BA895" s="82" t="s">
        <v>15804</v>
      </c>
      <c r="BB895" s="82" t="s">
        <v>15804</v>
      </c>
      <c r="BC895" s="82" t="s">
        <v>13080</v>
      </c>
      <c r="BD895" s="82" t="s">
        <v>16310</v>
      </c>
      <c r="BE895" s="77"/>
      <c r="BF895" s="77"/>
      <c r="BG895" s="77"/>
      <c r="BH895" s="77"/>
      <c r="BI895" s="77"/>
    </row>
    <row r="896" spans="1:61" x14ac:dyDescent="0.25">
      <c r="A896" s="62" t="s">
        <v>539</v>
      </c>
      <c r="B896" s="62" t="s">
        <v>539</v>
      </c>
      <c r="C896" s="63"/>
      <c r="D896" s="64"/>
      <c r="E896" s="65"/>
      <c r="F896" s="66"/>
      <c r="G896" s="63"/>
      <c r="H896" s="67"/>
      <c r="I896" s="68"/>
      <c r="J896" s="68"/>
      <c r="K896" s="32"/>
      <c r="L896" s="75">
        <v>896</v>
      </c>
      <c r="M896" s="75"/>
      <c r="N896" s="70"/>
      <c r="O896" s="77" t="s">
        <v>179</v>
      </c>
      <c r="P896" s="79">
        <v>45132.487337962964</v>
      </c>
      <c r="Q896" s="77" t="s">
        <v>1992</v>
      </c>
      <c r="R896" s="77">
        <v>1</v>
      </c>
      <c r="S896" s="77">
        <v>1</v>
      </c>
      <c r="T896" s="77">
        <v>0</v>
      </c>
      <c r="U896" s="77">
        <v>0</v>
      </c>
      <c r="V896" s="77">
        <v>616</v>
      </c>
      <c r="W896" s="82" t="s">
        <v>4709</v>
      </c>
      <c r="X896" s="80" t="str">
        <f>HYPERLINK("https://www.meiahora.com.br/geral/2023/07/6678012-educacao-financeira-qual-e-a-hora-de-conversar-com-as-criancas-sobre-dinheiro.html")</f>
        <v>https://www.meiahora.com.br/geral/2023/07/6678012-educacao-financeira-qual-e-a-hora-de-conversar-com-as-criancas-sobre-dinheiro.html</v>
      </c>
      <c r="Y896" s="77" t="s">
        <v>6002</v>
      </c>
      <c r="Z896" s="77"/>
      <c r="AA896" s="77"/>
      <c r="AB896" s="77"/>
      <c r="AC896" s="82" t="s">
        <v>7713</v>
      </c>
      <c r="AD896" s="77" t="s">
        <v>7745</v>
      </c>
      <c r="AE896" s="80" t="str">
        <f>HYPERLINK("https://twitter.com/meiahora/status/1683804731561463808")</f>
        <v>https://twitter.com/meiahora/status/1683804731561463808</v>
      </c>
      <c r="AF896" s="79">
        <v>45132.487337962964</v>
      </c>
      <c r="AG896" s="85">
        <v>45132</v>
      </c>
      <c r="AH896" s="82" t="s">
        <v>8564</v>
      </c>
      <c r="AI896" s="77" t="b">
        <v>0</v>
      </c>
      <c r="AJ896" s="77"/>
      <c r="AK896" s="77"/>
      <c r="AL896" s="77"/>
      <c r="AM896" s="77"/>
      <c r="AN896" s="77"/>
      <c r="AO896" s="77"/>
      <c r="AP896" s="77"/>
      <c r="AQ896" s="77"/>
      <c r="AR896" s="77"/>
      <c r="AS896" s="77"/>
      <c r="AT896" s="77"/>
      <c r="AU896" s="77"/>
      <c r="AV896" s="80" t="str">
        <f>HYPERLINK("https://pbs.twimg.com/profile_images/1080512434635501569/kuYSZzx-_normal.jpg")</f>
        <v>https://pbs.twimg.com/profile_images/1080512434635501569/kuYSZzx-_normal.jpg</v>
      </c>
      <c r="AW896" s="82" t="s">
        <v>13081</v>
      </c>
      <c r="AX896" s="82" t="s">
        <v>13081</v>
      </c>
      <c r="AY896" s="77"/>
      <c r="AZ896" s="82" t="s">
        <v>15804</v>
      </c>
      <c r="BA896" s="82" t="s">
        <v>15804</v>
      </c>
      <c r="BB896" s="82" t="s">
        <v>15804</v>
      </c>
      <c r="BC896" s="82" t="s">
        <v>13081</v>
      </c>
      <c r="BD896" s="77">
        <v>20766595</v>
      </c>
      <c r="BE896" s="77"/>
      <c r="BF896" s="77"/>
      <c r="BG896" s="77"/>
      <c r="BH896" s="77"/>
      <c r="BI896" s="77"/>
    </row>
    <row r="897" spans="1:61" x14ac:dyDescent="0.25">
      <c r="A897" s="62" t="s">
        <v>540</v>
      </c>
      <c r="B897" s="62" t="s">
        <v>540</v>
      </c>
      <c r="C897" s="63"/>
      <c r="D897" s="64"/>
      <c r="E897" s="65"/>
      <c r="F897" s="66"/>
      <c r="G897" s="63"/>
      <c r="H897" s="67"/>
      <c r="I897" s="68"/>
      <c r="J897" s="68"/>
      <c r="K897" s="32"/>
      <c r="L897" s="75">
        <v>897</v>
      </c>
      <c r="M897" s="75"/>
      <c r="N897" s="70"/>
      <c r="O897" s="77" t="s">
        <v>179</v>
      </c>
      <c r="P897" s="79">
        <v>44985.062476851854</v>
      </c>
      <c r="Q897" s="77" t="s">
        <v>1993</v>
      </c>
      <c r="R897" s="77">
        <v>0</v>
      </c>
      <c r="S897" s="77">
        <v>0</v>
      </c>
      <c r="T897" s="77">
        <v>0</v>
      </c>
      <c r="U897" s="77">
        <v>0</v>
      </c>
      <c r="V897" s="77">
        <v>54</v>
      </c>
      <c r="W897" s="82" t="s">
        <v>4710</v>
      </c>
      <c r="X897" s="77"/>
      <c r="Y897" s="77"/>
      <c r="Z897" s="77"/>
      <c r="AA897" s="77" t="s">
        <v>6667</v>
      </c>
      <c r="AB897" s="77" t="s">
        <v>7697</v>
      </c>
      <c r="AC897" s="82" t="s">
        <v>7707</v>
      </c>
      <c r="AD897" s="77" t="s">
        <v>7745</v>
      </c>
      <c r="AE897" s="80" t="str">
        <f>HYPERLINK("https://twitter.com/marceloproducao/status/1630379751050301442")</f>
        <v>https://twitter.com/marceloproducao/status/1630379751050301442</v>
      </c>
      <c r="AF897" s="79">
        <v>44985.062476851854</v>
      </c>
      <c r="AG897" s="85">
        <v>44985</v>
      </c>
      <c r="AH897" s="82" t="s">
        <v>8565</v>
      </c>
      <c r="AI897" s="77" t="b">
        <v>0</v>
      </c>
      <c r="AJ897" s="77"/>
      <c r="AK897" s="77"/>
      <c r="AL897" s="77"/>
      <c r="AM897" s="77"/>
      <c r="AN897" s="77"/>
      <c r="AO897" s="77"/>
      <c r="AP897" s="77"/>
      <c r="AQ897" s="77" t="s">
        <v>11174</v>
      </c>
      <c r="AR897" s="77">
        <v>5874</v>
      </c>
      <c r="AS897" s="77"/>
      <c r="AT897" s="77"/>
      <c r="AU897" s="77">
        <v>26</v>
      </c>
      <c r="AV897" s="80" t="str">
        <f>HYPERLINK("https://pbs.twimg.com/ext_tw_video_thumb/1630379683752583169/pu/img/fNiWd7k6BrdPSdnk.jpg")</f>
        <v>https://pbs.twimg.com/ext_tw_video_thumb/1630379683752583169/pu/img/fNiWd7k6BrdPSdnk.jpg</v>
      </c>
      <c r="AW897" s="82" t="s">
        <v>13082</v>
      </c>
      <c r="AX897" s="82" t="s">
        <v>13082</v>
      </c>
      <c r="AY897" s="77"/>
      <c r="AZ897" s="82" t="s">
        <v>15804</v>
      </c>
      <c r="BA897" s="82" t="s">
        <v>15804</v>
      </c>
      <c r="BB897" s="82" t="s">
        <v>15804</v>
      </c>
      <c r="BC897" s="82" t="s">
        <v>13082</v>
      </c>
      <c r="BD897" s="77">
        <v>94190007</v>
      </c>
      <c r="BE897" s="77"/>
      <c r="BF897" s="77"/>
      <c r="BG897" s="77"/>
      <c r="BH897" s="77"/>
      <c r="BI897" s="77"/>
    </row>
    <row r="898" spans="1:61" x14ac:dyDescent="0.25">
      <c r="A898" s="62" t="s">
        <v>541</v>
      </c>
      <c r="B898" s="62" t="s">
        <v>541</v>
      </c>
      <c r="C898" s="63"/>
      <c r="D898" s="64"/>
      <c r="E898" s="65"/>
      <c r="F898" s="66"/>
      <c r="G898" s="63"/>
      <c r="H898" s="67"/>
      <c r="I898" s="68"/>
      <c r="J898" s="68"/>
      <c r="K898" s="32"/>
      <c r="L898" s="75">
        <v>898</v>
      </c>
      <c r="M898" s="75"/>
      <c r="N898" s="70"/>
      <c r="O898" s="77" t="s">
        <v>179</v>
      </c>
      <c r="P898" s="79">
        <v>45015.571284722224</v>
      </c>
      <c r="Q898" s="77" t="s">
        <v>1994</v>
      </c>
      <c r="R898" s="77">
        <v>0</v>
      </c>
      <c r="S898" s="77">
        <v>0</v>
      </c>
      <c r="T898" s="77">
        <v>0</v>
      </c>
      <c r="U898" s="77">
        <v>0</v>
      </c>
      <c r="V898" s="77">
        <v>9</v>
      </c>
      <c r="W898" s="82" t="s">
        <v>4711</v>
      </c>
      <c r="X898" s="80" t="str">
        <f>HYPERLINK("https://mediamanager.com.br/educacao-financeira/educacao-financeira-empreendedores-guia-sucesso-negocios/?utm_source=ReviveOldPost&amp;utm_medium=social&amp;utm_campaign=ReviveOldPost")</f>
        <v>https://mediamanager.com.br/educacao-financeira/educacao-financeira-empreendedores-guia-sucesso-negocios/?utm_source=ReviveOldPost&amp;utm_medium=social&amp;utm_campaign=ReviveOldPost</v>
      </c>
      <c r="Y898" s="77" t="s">
        <v>6002</v>
      </c>
      <c r="Z898" s="77"/>
      <c r="AA898" s="77"/>
      <c r="AB898" s="77"/>
      <c r="AC898" s="82" t="s">
        <v>7728</v>
      </c>
      <c r="AD898" s="77" t="s">
        <v>7745</v>
      </c>
      <c r="AE898" s="80" t="str">
        <f>HYPERLINK("https://twitter.com/rafaelgouveiarg/status/1641435773475106819")</f>
        <v>https://twitter.com/rafaelgouveiarg/status/1641435773475106819</v>
      </c>
      <c r="AF898" s="79">
        <v>45015.571284722224</v>
      </c>
      <c r="AG898" s="85">
        <v>45015</v>
      </c>
      <c r="AH898" s="82" t="s">
        <v>8566</v>
      </c>
      <c r="AI898" s="77" t="b">
        <v>0</v>
      </c>
      <c r="AJ898" s="77"/>
      <c r="AK898" s="77"/>
      <c r="AL898" s="77"/>
      <c r="AM898" s="77"/>
      <c r="AN898" s="77"/>
      <c r="AO898" s="77"/>
      <c r="AP898" s="77"/>
      <c r="AQ898" s="77"/>
      <c r="AR898" s="77"/>
      <c r="AS898" s="77"/>
      <c r="AT898" s="77"/>
      <c r="AU898" s="77"/>
      <c r="AV898" s="80" t="str">
        <f>HYPERLINK("https://pbs.twimg.com/profile_images/1507584923938562048/ehq9ylPz_normal.jpg")</f>
        <v>https://pbs.twimg.com/profile_images/1507584923938562048/ehq9ylPz_normal.jpg</v>
      </c>
      <c r="AW898" s="82" t="s">
        <v>13083</v>
      </c>
      <c r="AX898" s="82" t="s">
        <v>13083</v>
      </c>
      <c r="AY898" s="77"/>
      <c r="AZ898" s="82" t="s">
        <v>15804</v>
      </c>
      <c r="BA898" s="82" t="s">
        <v>15804</v>
      </c>
      <c r="BB898" s="82" t="s">
        <v>15804</v>
      </c>
      <c r="BC898" s="82" t="s">
        <v>13083</v>
      </c>
      <c r="BD898" s="82" t="s">
        <v>16311</v>
      </c>
      <c r="BE898" s="77"/>
      <c r="BF898" s="77"/>
      <c r="BG898" s="77"/>
      <c r="BH898" s="77"/>
      <c r="BI898" s="77"/>
    </row>
    <row r="899" spans="1:61" x14ac:dyDescent="0.25">
      <c r="A899" s="62" t="s">
        <v>542</v>
      </c>
      <c r="B899" s="62" t="s">
        <v>542</v>
      </c>
      <c r="C899" s="63"/>
      <c r="D899" s="64"/>
      <c r="E899" s="65"/>
      <c r="F899" s="66"/>
      <c r="G899" s="63"/>
      <c r="H899" s="67"/>
      <c r="I899" s="68"/>
      <c r="J899" s="68"/>
      <c r="K899" s="32"/>
      <c r="L899" s="75">
        <v>899</v>
      </c>
      <c r="M899" s="75"/>
      <c r="N899" s="70"/>
      <c r="O899" s="77" t="s">
        <v>179</v>
      </c>
      <c r="P899" s="79">
        <v>45001.8125</v>
      </c>
      <c r="Q899" s="77" t="s">
        <v>1995</v>
      </c>
      <c r="R899" s="77">
        <v>0</v>
      </c>
      <c r="S899" s="77">
        <v>0</v>
      </c>
      <c r="T899" s="77">
        <v>0</v>
      </c>
      <c r="U899" s="77">
        <v>0</v>
      </c>
      <c r="V899" s="77">
        <v>2</v>
      </c>
      <c r="W899" s="82" t="s">
        <v>4712</v>
      </c>
      <c r="X899" s="80" t="str">
        <f>HYPERLINK("https://www.qquest.pt/inscricao/")</f>
        <v>https://www.qquest.pt/inscricao/</v>
      </c>
      <c r="Y899" s="77" t="s">
        <v>6056</v>
      </c>
      <c r="Z899" s="77"/>
      <c r="AA899" s="77" t="s">
        <v>6668</v>
      </c>
      <c r="AB899" s="77" t="s">
        <v>7696</v>
      </c>
      <c r="AC899" s="82" t="s">
        <v>7706</v>
      </c>
      <c r="AD899" s="77" t="s">
        <v>7745</v>
      </c>
      <c r="AE899" s="80" t="str">
        <f>HYPERLINK("https://twitter.com/pqquest/status/1636449758565769233")</f>
        <v>https://twitter.com/pqquest/status/1636449758565769233</v>
      </c>
      <c r="AF899" s="79">
        <v>45001.8125</v>
      </c>
      <c r="AG899" s="85">
        <v>45001</v>
      </c>
      <c r="AH899" s="82" t="s">
        <v>8567</v>
      </c>
      <c r="AI899" s="77" t="b">
        <v>0</v>
      </c>
      <c r="AJ899" s="77"/>
      <c r="AK899" s="77"/>
      <c r="AL899" s="77"/>
      <c r="AM899" s="77"/>
      <c r="AN899" s="77"/>
      <c r="AO899" s="77"/>
      <c r="AP899" s="77"/>
      <c r="AQ899" s="77" t="s">
        <v>11175</v>
      </c>
      <c r="AR899" s="77"/>
      <c r="AS899" s="77"/>
      <c r="AT899" s="77"/>
      <c r="AU899" s="77"/>
      <c r="AV899" s="80" t="str">
        <f>HYPERLINK("https://pbs.twimg.com/media/FrRQ-DhWIAEcKvP.jpg")</f>
        <v>https://pbs.twimg.com/media/FrRQ-DhWIAEcKvP.jpg</v>
      </c>
      <c r="AW899" s="82" t="s">
        <v>13084</v>
      </c>
      <c r="AX899" s="82" t="s">
        <v>13084</v>
      </c>
      <c r="AY899" s="77"/>
      <c r="AZ899" s="82" t="s">
        <v>15804</v>
      </c>
      <c r="BA899" s="82" t="s">
        <v>15804</v>
      </c>
      <c r="BB899" s="82" t="s">
        <v>15804</v>
      </c>
      <c r="BC899" s="82" t="s">
        <v>13084</v>
      </c>
      <c r="BD899" s="82" t="s">
        <v>16312</v>
      </c>
      <c r="BE899" s="77"/>
      <c r="BF899" s="77"/>
      <c r="BG899" s="77"/>
      <c r="BH899" s="77"/>
      <c r="BI899" s="77"/>
    </row>
    <row r="900" spans="1:61" x14ac:dyDescent="0.25">
      <c r="A900" s="62" t="s">
        <v>542</v>
      </c>
      <c r="B900" s="62" t="s">
        <v>542</v>
      </c>
      <c r="C900" s="63"/>
      <c r="D900" s="64"/>
      <c r="E900" s="65"/>
      <c r="F900" s="66"/>
      <c r="G900" s="63"/>
      <c r="H900" s="67"/>
      <c r="I900" s="68"/>
      <c r="J900" s="68"/>
      <c r="K900" s="32"/>
      <c r="L900" s="75">
        <v>900</v>
      </c>
      <c r="M900" s="75"/>
      <c r="N900" s="70"/>
      <c r="O900" s="77" t="s">
        <v>179</v>
      </c>
      <c r="P900" s="79">
        <v>44943.771180555559</v>
      </c>
      <c r="Q900" s="77" t="s">
        <v>1996</v>
      </c>
      <c r="R900" s="77">
        <v>0</v>
      </c>
      <c r="S900" s="77">
        <v>1</v>
      </c>
      <c r="T900" s="77">
        <v>0</v>
      </c>
      <c r="U900" s="77">
        <v>0</v>
      </c>
      <c r="V900" s="77">
        <v>5</v>
      </c>
      <c r="W900" s="82" t="s">
        <v>4713</v>
      </c>
      <c r="X900" s="80" t="str">
        <f>HYPERLINK("https://www.qquest.pt/inscricao/")</f>
        <v>https://www.qquest.pt/inscricao/</v>
      </c>
      <c r="Y900" s="77" t="s">
        <v>6056</v>
      </c>
      <c r="Z900" s="77"/>
      <c r="AA900" s="77" t="s">
        <v>6669</v>
      </c>
      <c r="AB900" s="77" t="s">
        <v>7696</v>
      </c>
      <c r="AC900" s="82" t="s">
        <v>7706</v>
      </c>
      <c r="AD900" s="77" t="s">
        <v>7745</v>
      </c>
      <c r="AE900" s="80" t="str">
        <f>HYPERLINK("https://twitter.com/pqquest/status/1615416288288903170")</f>
        <v>https://twitter.com/pqquest/status/1615416288288903170</v>
      </c>
      <c r="AF900" s="79">
        <v>44943.771180555559</v>
      </c>
      <c r="AG900" s="85">
        <v>44943</v>
      </c>
      <c r="AH900" s="82" t="s">
        <v>8568</v>
      </c>
      <c r="AI900" s="77" t="b">
        <v>0</v>
      </c>
      <c r="AJ900" s="77"/>
      <c r="AK900" s="77"/>
      <c r="AL900" s="77"/>
      <c r="AM900" s="77"/>
      <c r="AN900" s="77"/>
      <c r="AO900" s="77"/>
      <c r="AP900" s="77"/>
      <c r="AQ900" s="77" t="s">
        <v>11176</v>
      </c>
      <c r="AR900" s="77"/>
      <c r="AS900" s="77"/>
      <c r="AT900" s="77"/>
      <c r="AU900" s="77"/>
      <c r="AV900" s="80" t="str">
        <f>HYPERLINK("https://pbs.twimg.com/media/FmXRKmKWQAIz5NP.jpg")</f>
        <v>https://pbs.twimg.com/media/FmXRKmKWQAIz5NP.jpg</v>
      </c>
      <c r="AW900" s="82" t="s">
        <v>13085</v>
      </c>
      <c r="AX900" s="82" t="s">
        <v>13085</v>
      </c>
      <c r="AY900" s="77"/>
      <c r="AZ900" s="82" t="s">
        <v>15804</v>
      </c>
      <c r="BA900" s="82" t="s">
        <v>15804</v>
      </c>
      <c r="BB900" s="82" t="s">
        <v>15804</v>
      </c>
      <c r="BC900" s="82" t="s">
        <v>13085</v>
      </c>
      <c r="BD900" s="82" t="s">
        <v>16312</v>
      </c>
      <c r="BE900" s="77"/>
      <c r="BF900" s="77"/>
      <c r="BG900" s="77"/>
      <c r="BH900" s="77"/>
      <c r="BI900" s="77"/>
    </row>
    <row r="901" spans="1:61" x14ac:dyDescent="0.25">
      <c r="A901" s="62" t="s">
        <v>542</v>
      </c>
      <c r="B901" s="62" t="s">
        <v>542</v>
      </c>
      <c r="C901" s="63"/>
      <c r="D901" s="64"/>
      <c r="E901" s="65"/>
      <c r="F901" s="66"/>
      <c r="G901" s="63"/>
      <c r="H901" s="67"/>
      <c r="I901" s="68"/>
      <c r="J901" s="68"/>
      <c r="K901" s="32"/>
      <c r="L901" s="75">
        <v>901</v>
      </c>
      <c r="M901" s="75"/>
      <c r="N901" s="70"/>
      <c r="O901" s="77" t="s">
        <v>179</v>
      </c>
      <c r="P901" s="79">
        <v>45044.791678240741</v>
      </c>
      <c r="Q901" s="77" t="s">
        <v>1997</v>
      </c>
      <c r="R901" s="77">
        <v>0</v>
      </c>
      <c r="S901" s="77">
        <v>0</v>
      </c>
      <c r="T901" s="77">
        <v>0</v>
      </c>
      <c r="U901" s="77">
        <v>0</v>
      </c>
      <c r="V901" s="77">
        <v>5</v>
      </c>
      <c r="W901" s="82" t="s">
        <v>4712</v>
      </c>
      <c r="X901" s="80" t="str">
        <f>HYPERLINK("https://www.qquest.pt/inscricao/")</f>
        <v>https://www.qquest.pt/inscricao/</v>
      </c>
      <c r="Y901" s="77" t="s">
        <v>6056</v>
      </c>
      <c r="Z901" s="77"/>
      <c r="AA901" s="77" t="s">
        <v>6670</v>
      </c>
      <c r="AB901" s="77" t="s">
        <v>7696</v>
      </c>
      <c r="AC901" s="82" t="s">
        <v>7706</v>
      </c>
      <c r="AD901" s="77" t="s">
        <v>7745</v>
      </c>
      <c r="AE901" s="80" t="str">
        <f>HYPERLINK("https://twitter.com/pqquest/status/1652024888880930817")</f>
        <v>https://twitter.com/pqquest/status/1652024888880930817</v>
      </c>
      <c r="AF901" s="79">
        <v>45044.791678240741</v>
      </c>
      <c r="AG901" s="85">
        <v>45044</v>
      </c>
      <c r="AH901" s="82" t="s">
        <v>8569</v>
      </c>
      <c r="AI901" s="77" t="b">
        <v>0</v>
      </c>
      <c r="AJ901" s="77"/>
      <c r="AK901" s="77"/>
      <c r="AL901" s="77"/>
      <c r="AM901" s="77"/>
      <c r="AN901" s="77"/>
      <c r="AO901" s="77"/>
      <c r="AP901" s="77"/>
      <c r="AQ901" s="77" t="s">
        <v>11177</v>
      </c>
      <c r="AR901" s="77"/>
      <c r="AS901" s="77"/>
      <c r="AT901" s="77"/>
      <c r="AU901" s="77"/>
      <c r="AV901" s="80" t="str">
        <f>HYPERLINK("https://pbs.twimg.com/media/Ft6UpncXoAA37eS.jpg")</f>
        <v>https://pbs.twimg.com/media/Ft6UpncXoAA37eS.jpg</v>
      </c>
      <c r="AW901" s="82" t="s">
        <v>13086</v>
      </c>
      <c r="AX901" s="82" t="s">
        <v>13086</v>
      </c>
      <c r="AY901" s="77"/>
      <c r="AZ901" s="82" t="s">
        <v>15804</v>
      </c>
      <c r="BA901" s="82" t="s">
        <v>15804</v>
      </c>
      <c r="BB901" s="82" t="s">
        <v>15804</v>
      </c>
      <c r="BC901" s="82" t="s">
        <v>13086</v>
      </c>
      <c r="BD901" s="82" t="s">
        <v>16312</v>
      </c>
      <c r="BE901" s="77"/>
      <c r="BF901" s="77"/>
      <c r="BG901" s="77"/>
      <c r="BH901" s="77"/>
      <c r="BI901" s="77"/>
    </row>
    <row r="902" spans="1:61" x14ac:dyDescent="0.25">
      <c r="A902" s="62" t="s">
        <v>542</v>
      </c>
      <c r="B902" s="62" t="s">
        <v>542</v>
      </c>
      <c r="C902" s="63"/>
      <c r="D902" s="64"/>
      <c r="E902" s="65"/>
      <c r="F902" s="66"/>
      <c r="G902" s="63"/>
      <c r="H902" s="67"/>
      <c r="I902" s="68"/>
      <c r="J902" s="68"/>
      <c r="K902" s="32"/>
      <c r="L902" s="75">
        <v>902</v>
      </c>
      <c r="M902" s="75"/>
      <c r="N902" s="70"/>
      <c r="O902" s="77" t="s">
        <v>179</v>
      </c>
      <c r="P902" s="79">
        <v>44998.458368055559</v>
      </c>
      <c r="Q902" s="77" t="s">
        <v>1998</v>
      </c>
      <c r="R902" s="77">
        <v>0</v>
      </c>
      <c r="S902" s="77">
        <v>0</v>
      </c>
      <c r="T902" s="77">
        <v>0</v>
      </c>
      <c r="U902" s="77">
        <v>0</v>
      </c>
      <c r="V902" s="77">
        <v>4</v>
      </c>
      <c r="W902" s="82" t="s">
        <v>4714</v>
      </c>
      <c r="X902" s="80" t="str">
        <f>HYPERLINK("https://www.qquest.pt/inscricao/")</f>
        <v>https://www.qquest.pt/inscricao/</v>
      </c>
      <c r="Y902" s="77" t="s">
        <v>6056</v>
      </c>
      <c r="Z902" s="77"/>
      <c r="AA902" s="77" t="s">
        <v>6671</v>
      </c>
      <c r="AB902" s="77" t="s">
        <v>7696</v>
      </c>
      <c r="AC902" s="82" t="s">
        <v>7706</v>
      </c>
      <c r="AD902" s="77" t="s">
        <v>7745</v>
      </c>
      <c r="AE902" s="80" t="str">
        <f>HYPERLINK("https://twitter.com/pqquest/status/1635234260146860032")</f>
        <v>https://twitter.com/pqquest/status/1635234260146860032</v>
      </c>
      <c r="AF902" s="79">
        <v>44998.458368055559</v>
      </c>
      <c r="AG902" s="85">
        <v>44998</v>
      </c>
      <c r="AH902" s="82" t="s">
        <v>8570</v>
      </c>
      <c r="AI902" s="77" t="b">
        <v>0</v>
      </c>
      <c r="AJ902" s="77"/>
      <c r="AK902" s="77"/>
      <c r="AL902" s="77"/>
      <c r="AM902" s="77"/>
      <c r="AN902" s="77"/>
      <c r="AO902" s="77"/>
      <c r="AP902" s="77"/>
      <c r="AQ902" s="77" t="s">
        <v>11178</v>
      </c>
      <c r="AR902" s="77"/>
      <c r="AS902" s="77"/>
      <c r="AT902" s="77"/>
      <c r="AU902" s="77"/>
      <c r="AV902" s="80" t="str">
        <f>HYPERLINK("https://pbs.twimg.com/media/Fp_vxVCXgAA33i4.jpg")</f>
        <v>https://pbs.twimg.com/media/Fp_vxVCXgAA33i4.jpg</v>
      </c>
      <c r="AW902" s="82" t="s">
        <v>13087</v>
      </c>
      <c r="AX902" s="82" t="s">
        <v>13087</v>
      </c>
      <c r="AY902" s="77"/>
      <c r="AZ902" s="82" t="s">
        <v>15804</v>
      </c>
      <c r="BA902" s="82" t="s">
        <v>15804</v>
      </c>
      <c r="BB902" s="82" t="s">
        <v>15804</v>
      </c>
      <c r="BC902" s="82" t="s">
        <v>13087</v>
      </c>
      <c r="BD902" s="82" t="s">
        <v>16312</v>
      </c>
      <c r="BE902" s="77"/>
      <c r="BF902" s="77"/>
      <c r="BG902" s="77"/>
      <c r="BH902" s="77"/>
      <c r="BI902" s="77"/>
    </row>
    <row r="903" spans="1:61" x14ac:dyDescent="0.25">
      <c r="A903" s="62" t="s">
        <v>542</v>
      </c>
      <c r="B903" s="62" t="s">
        <v>542</v>
      </c>
      <c r="C903" s="63"/>
      <c r="D903" s="64"/>
      <c r="E903" s="65"/>
      <c r="F903" s="66"/>
      <c r="G903" s="63"/>
      <c r="H903" s="67"/>
      <c r="I903" s="68"/>
      <c r="J903" s="68"/>
      <c r="K903" s="32"/>
      <c r="L903" s="75">
        <v>903</v>
      </c>
      <c r="M903" s="75"/>
      <c r="N903" s="70"/>
      <c r="O903" s="77" t="s">
        <v>179</v>
      </c>
      <c r="P903" s="79">
        <v>44982.5625</v>
      </c>
      <c r="Q903" s="77" t="s">
        <v>1999</v>
      </c>
      <c r="R903" s="77">
        <v>0</v>
      </c>
      <c r="S903" s="77">
        <v>0</v>
      </c>
      <c r="T903" s="77">
        <v>0</v>
      </c>
      <c r="U903" s="77">
        <v>0</v>
      </c>
      <c r="V903" s="77">
        <v>8</v>
      </c>
      <c r="W903" s="82" t="s">
        <v>4713</v>
      </c>
      <c r="X903" s="80" t="str">
        <f>HYPERLINK("https://www.qquest.pt/inscricao/")</f>
        <v>https://www.qquest.pt/inscricao/</v>
      </c>
      <c r="Y903" s="77" t="s">
        <v>6056</v>
      </c>
      <c r="Z903" s="77"/>
      <c r="AA903" s="77" t="s">
        <v>6672</v>
      </c>
      <c r="AB903" s="77" t="s">
        <v>7696</v>
      </c>
      <c r="AC903" s="82" t="s">
        <v>7706</v>
      </c>
      <c r="AD903" s="77" t="s">
        <v>7745</v>
      </c>
      <c r="AE903" s="80" t="str">
        <f>HYPERLINK("https://twitter.com/pqquest/status/1629473789322088449")</f>
        <v>https://twitter.com/pqquest/status/1629473789322088449</v>
      </c>
      <c r="AF903" s="79">
        <v>44982.5625</v>
      </c>
      <c r="AG903" s="85">
        <v>44982</v>
      </c>
      <c r="AH903" s="82" t="s">
        <v>8546</v>
      </c>
      <c r="AI903" s="77" t="b">
        <v>0</v>
      </c>
      <c r="AJ903" s="77"/>
      <c r="AK903" s="77"/>
      <c r="AL903" s="77"/>
      <c r="AM903" s="77"/>
      <c r="AN903" s="77"/>
      <c r="AO903" s="77"/>
      <c r="AP903" s="77"/>
      <c r="AQ903" s="77" t="s">
        <v>11179</v>
      </c>
      <c r="AR903" s="77"/>
      <c r="AS903" s="77"/>
      <c r="AT903" s="77"/>
      <c r="AU903" s="77"/>
      <c r="AV903" s="80" t="str">
        <f>HYPERLINK("https://pbs.twimg.com/media/FoEB_L1WQAEQFRc.jpg")</f>
        <v>https://pbs.twimg.com/media/FoEB_L1WQAEQFRc.jpg</v>
      </c>
      <c r="AW903" s="82" t="s">
        <v>13088</v>
      </c>
      <c r="AX903" s="82" t="s">
        <v>13088</v>
      </c>
      <c r="AY903" s="77"/>
      <c r="AZ903" s="82" t="s">
        <v>15804</v>
      </c>
      <c r="BA903" s="82" t="s">
        <v>15804</v>
      </c>
      <c r="BB903" s="82" t="s">
        <v>15804</v>
      </c>
      <c r="BC903" s="82" t="s">
        <v>13088</v>
      </c>
      <c r="BD903" s="82" t="s">
        <v>16312</v>
      </c>
      <c r="BE903" s="77"/>
      <c r="BF903" s="77"/>
      <c r="BG903" s="77"/>
      <c r="BH903" s="77"/>
      <c r="BI903" s="77"/>
    </row>
    <row r="904" spans="1:61" x14ac:dyDescent="0.25">
      <c r="A904" s="62" t="s">
        <v>542</v>
      </c>
      <c r="B904" s="62" t="s">
        <v>542</v>
      </c>
      <c r="C904" s="63"/>
      <c r="D904" s="64"/>
      <c r="E904" s="65"/>
      <c r="F904" s="66"/>
      <c r="G904" s="63"/>
      <c r="H904" s="67"/>
      <c r="I904" s="68"/>
      <c r="J904" s="68"/>
      <c r="K904" s="32"/>
      <c r="L904" s="75">
        <v>904</v>
      </c>
      <c r="M904" s="75"/>
      <c r="N904" s="70"/>
      <c r="O904" s="77" t="s">
        <v>179</v>
      </c>
      <c r="P904" s="79">
        <v>44980.770833333336</v>
      </c>
      <c r="Q904" s="77" t="s">
        <v>2000</v>
      </c>
      <c r="R904" s="77">
        <v>0</v>
      </c>
      <c r="S904" s="77">
        <v>0</v>
      </c>
      <c r="T904" s="77">
        <v>0</v>
      </c>
      <c r="U904" s="77">
        <v>0</v>
      </c>
      <c r="V904" s="77">
        <v>4</v>
      </c>
      <c r="W904" s="82" t="s">
        <v>4713</v>
      </c>
      <c r="X904" s="80" t="str">
        <f>HYPERLINK("https://www.qquest.pt/inscricao/")</f>
        <v>https://www.qquest.pt/inscricao/</v>
      </c>
      <c r="Y904" s="77" t="s">
        <v>6056</v>
      </c>
      <c r="Z904" s="77"/>
      <c r="AA904" s="77" t="s">
        <v>6673</v>
      </c>
      <c r="AB904" s="77" t="s">
        <v>7696</v>
      </c>
      <c r="AC904" s="82" t="s">
        <v>7706</v>
      </c>
      <c r="AD904" s="77" t="s">
        <v>7745</v>
      </c>
      <c r="AE904" s="80" t="str">
        <f>HYPERLINK("https://twitter.com/pqquest/status/1628824511100473346")</f>
        <v>https://twitter.com/pqquest/status/1628824511100473346</v>
      </c>
      <c r="AF904" s="79">
        <v>44980.770833333336</v>
      </c>
      <c r="AG904" s="85">
        <v>44980</v>
      </c>
      <c r="AH904" s="82" t="s">
        <v>8571</v>
      </c>
      <c r="AI904" s="77" t="b">
        <v>0</v>
      </c>
      <c r="AJ904" s="77"/>
      <c r="AK904" s="77"/>
      <c r="AL904" s="77"/>
      <c r="AM904" s="77"/>
      <c r="AN904" s="77"/>
      <c r="AO904" s="77"/>
      <c r="AP904" s="77"/>
      <c r="AQ904" s="77" t="s">
        <v>11180</v>
      </c>
      <c r="AR904" s="77"/>
      <c r="AS904" s="77"/>
      <c r="AT904" s="77"/>
      <c r="AU904" s="77"/>
      <c r="AV904" s="80" t="str">
        <f>HYPERLINK("https://pbs.twimg.com/media/FoD9oaLWYAAOorj.jpg")</f>
        <v>https://pbs.twimg.com/media/FoD9oaLWYAAOorj.jpg</v>
      </c>
      <c r="AW904" s="82" t="s">
        <v>13089</v>
      </c>
      <c r="AX904" s="82" t="s">
        <v>13089</v>
      </c>
      <c r="AY904" s="77"/>
      <c r="AZ904" s="82" t="s">
        <v>15804</v>
      </c>
      <c r="BA904" s="82" t="s">
        <v>15804</v>
      </c>
      <c r="BB904" s="82" t="s">
        <v>15804</v>
      </c>
      <c r="BC904" s="82" t="s">
        <v>13089</v>
      </c>
      <c r="BD904" s="82" t="s">
        <v>16312</v>
      </c>
      <c r="BE904" s="77"/>
      <c r="BF904" s="77"/>
      <c r="BG904" s="77"/>
      <c r="BH904" s="77"/>
      <c r="BI904" s="77"/>
    </row>
    <row r="905" spans="1:61" x14ac:dyDescent="0.25">
      <c r="A905" s="62" t="s">
        <v>542</v>
      </c>
      <c r="B905" s="62" t="s">
        <v>542</v>
      </c>
      <c r="C905" s="63"/>
      <c r="D905" s="64"/>
      <c r="E905" s="65"/>
      <c r="F905" s="66"/>
      <c r="G905" s="63"/>
      <c r="H905" s="67"/>
      <c r="I905" s="68"/>
      <c r="J905" s="68"/>
      <c r="K905" s="32"/>
      <c r="L905" s="75">
        <v>905</v>
      </c>
      <c r="M905" s="75"/>
      <c r="N905" s="70"/>
      <c r="O905" s="77" t="s">
        <v>179</v>
      </c>
      <c r="P905" s="79">
        <v>45047.395833333336</v>
      </c>
      <c r="Q905" s="77" t="s">
        <v>2001</v>
      </c>
      <c r="R905" s="77">
        <v>0</v>
      </c>
      <c r="S905" s="77">
        <v>0</v>
      </c>
      <c r="T905" s="77">
        <v>0</v>
      </c>
      <c r="U905" s="77">
        <v>0</v>
      </c>
      <c r="V905" s="77">
        <v>4</v>
      </c>
      <c r="W905" s="82" t="s">
        <v>4712</v>
      </c>
      <c r="X905" s="80" t="str">
        <f>HYPERLINK("https://www.qquest.pt/inscricao/")</f>
        <v>https://www.qquest.pt/inscricao/</v>
      </c>
      <c r="Y905" s="77" t="s">
        <v>6056</v>
      </c>
      <c r="Z905" s="77"/>
      <c r="AA905" s="77" t="s">
        <v>6674</v>
      </c>
      <c r="AB905" s="77" t="s">
        <v>7696</v>
      </c>
      <c r="AC905" s="82" t="s">
        <v>7706</v>
      </c>
      <c r="AD905" s="77" t="s">
        <v>7745</v>
      </c>
      <c r="AE905" s="80" t="str">
        <f>HYPERLINK("https://twitter.com/pqquest/status/1652968603015053314")</f>
        <v>https://twitter.com/pqquest/status/1652968603015053314</v>
      </c>
      <c r="AF905" s="79">
        <v>45047.395833333336</v>
      </c>
      <c r="AG905" s="85">
        <v>45047</v>
      </c>
      <c r="AH905" s="82" t="s">
        <v>8572</v>
      </c>
      <c r="AI905" s="77" t="b">
        <v>0</v>
      </c>
      <c r="AJ905" s="77"/>
      <c r="AK905" s="77"/>
      <c r="AL905" s="77"/>
      <c r="AM905" s="77"/>
      <c r="AN905" s="77"/>
      <c r="AO905" s="77"/>
      <c r="AP905" s="77"/>
      <c r="AQ905" s="77" t="s">
        <v>11181</v>
      </c>
      <c r="AR905" s="77"/>
      <c r="AS905" s="77"/>
      <c r="AT905" s="77"/>
      <c r="AU905" s="77"/>
      <c r="AV905" s="80" t="str">
        <f>HYPERLINK("https://pbs.twimg.com/media/FtmNZ7BWYAYp576.jpg")</f>
        <v>https://pbs.twimg.com/media/FtmNZ7BWYAYp576.jpg</v>
      </c>
      <c r="AW905" s="82" t="s">
        <v>13090</v>
      </c>
      <c r="AX905" s="82" t="s">
        <v>13090</v>
      </c>
      <c r="AY905" s="77"/>
      <c r="AZ905" s="82" t="s">
        <v>15804</v>
      </c>
      <c r="BA905" s="82" t="s">
        <v>15804</v>
      </c>
      <c r="BB905" s="82" t="s">
        <v>15804</v>
      </c>
      <c r="BC905" s="82" t="s">
        <v>13090</v>
      </c>
      <c r="BD905" s="82" t="s">
        <v>16312</v>
      </c>
      <c r="BE905" s="77"/>
      <c r="BF905" s="77"/>
      <c r="BG905" s="77"/>
      <c r="BH905" s="77"/>
      <c r="BI905" s="77"/>
    </row>
    <row r="906" spans="1:61" x14ac:dyDescent="0.25">
      <c r="A906" s="62" t="s">
        <v>542</v>
      </c>
      <c r="B906" s="62" t="s">
        <v>542</v>
      </c>
      <c r="C906" s="63"/>
      <c r="D906" s="64"/>
      <c r="E906" s="65"/>
      <c r="F906" s="66"/>
      <c r="G906" s="63"/>
      <c r="H906" s="67"/>
      <c r="I906" s="68"/>
      <c r="J906" s="68"/>
      <c r="K906" s="32"/>
      <c r="L906" s="75">
        <v>906</v>
      </c>
      <c r="M906" s="75"/>
      <c r="N906" s="70"/>
      <c r="O906" s="77" t="s">
        <v>179</v>
      </c>
      <c r="P906" s="79">
        <v>45033.729166666664</v>
      </c>
      <c r="Q906" s="77" t="s">
        <v>2002</v>
      </c>
      <c r="R906" s="77">
        <v>0</v>
      </c>
      <c r="S906" s="77">
        <v>0</v>
      </c>
      <c r="T906" s="77">
        <v>0</v>
      </c>
      <c r="U906" s="77">
        <v>0</v>
      </c>
      <c r="V906" s="77">
        <v>6</v>
      </c>
      <c r="W906" s="82" t="s">
        <v>4715</v>
      </c>
      <c r="X906" s="80" t="str">
        <f>HYPERLINK("https://www.qquest.pt/inscricao/")</f>
        <v>https://www.qquest.pt/inscricao/</v>
      </c>
      <c r="Y906" s="77" t="s">
        <v>6056</v>
      </c>
      <c r="Z906" s="77"/>
      <c r="AA906" s="77" t="s">
        <v>6675</v>
      </c>
      <c r="AB906" s="77" t="s">
        <v>7696</v>
      </c>
      <c r="AC906" s="82" t="s">
        <v>7706</v>
      </c>
      <c r="AD906" s="77" t="s">
        <v>7745</v>
      </c>
      <c r="AE906" s="80" t="str">
        <f>HYPERLINK("https://twitter.com/pqquest/status/1648015971641364480")</f>
        <v>https://twitter.com/pqquest/status/1648015971641364480</v>
      </c>
      <c r="AF906" s="79">
        <v>45033.729166666664</v>
      </c>
      <c r="AG906" s="85">
        <v>45033</v>
      </c>
      <c r="AH906" s="82" t="s">
        <v>8573</v>
      </c>
      <c r="AI906" s="77" t="b">
        <v>0</v>
      </c>
      <c r="AJ906" s="77"/>
      <c r="AK906" s="77"/>
      <c r="AL906" s="77"/>
      <c r="AM906" s="77"/>
      <c r="AN906" s="77"/>
      <c r="AO906" s="77"/>
      <c r="AP906" s="77"/>
      <c r="AQ906" s="77" t="s">
        <v>11182</v>
      </c>
      <c r="AR906" s="77"/>
      <c r="AS906" s="77"/>
      <c r="AT906" s="77"/>
      <c r="AU906" s="77"/>
      <c r="AV906" s="80" t="str">
        <f>HYPERLINK("https://pbs.twimg.com/media/FszmR2oXwBgJdiU.jpg")</f>
        <v>https://pbs.twimg.com/media/FszmR2oXwBgJdiU.jpg</v>
      </c>
      <c r="AW906" s="82" t="s">
        <v>13091</v>
      </c>
      <c r="AX906" s="82" t="s">
        <v>13091</v>
      </c>
      <c r="AY906" s="77"/>
      <c r="AZ906" s="82" t="s">
        <v>15804</v>
      </c>
      <c r="BA906" s="82" t="s">
        <v>15804</v>
      </c>
      <c r="BB906" s="82" t="s">
        <v>15804</v>
      </c>
      <c r="BC906" s="82" t="s">
        <v>13091</v>
      </c>
      <c r="BD906" s="82" t="s">
        <v>16312</v>
      </c>
      <c r="BE906" s="77"/>
      <c r="BF906" s="77"/>
      <c r="BG906" s="77"/>
      <c r="BH906" s="77"/>
      <c r="BI906" s="77"/>
    </row>
    <row r="907" spans="1:61" x14ac:dyDescent="0.25">
      <c r="A907" s="62" t="s">
        <v>542</v>
      </c>
      <c r="B907" s="62" t="s">
        <v>542</v>
      </c>
      <c r="C907" s="63"/>
      <c r="D907" s="64"/>
      <c r="E907" s="65"/>
      <c r="F907" s="66"/>
      <c r="G907" s="63"/>
      <c r="H907" s="67"/>
      <c r="I907" s="68"/>
      <c r="J907" s="68"/>
      <c r="K907" s="32"/>
      <c r="L907" s="75">
        <v>907</v>
      </c>
      <c r="M907" s="75"/>
      <c r="N907" s="70"/>
      <c r="O907" s="77" t="s">
        <v>179</v>
      </c>
      <c r="P907" s="79">
        <v>45002.777777777781</v>
      </c>
      <c r="Q907" s="77" t="s">
        <v>2003</v>
      </c>
      <c r="R907" s="77">
        <v>0</v>
      </c>
      <c r="S907" s="77">
        <v>0</v>
      </c>
      <c r="T907" s="77">
        <v>0</v>
      </c>
      <c r="U907" s="77">
        <v>0</v>
      </c>
      <c r="V907" s="77">
        <v>2</v>
      </c>
      <c r="W907" s="82" t="s">
        <v>4713</v>
      </c>
      <c r="X907" s="80" t="str">
        <f>HYPERLINK("https://www.qquest.pt/inscricao/")</f>
        <v>https://www.qquest.pt/inscricao/</v>
      </c>
      <c r="Y907" s="77" t="s">
        <v>6056</v>
      </c>
      <c r="Z907" s="77"/>
      <c r="AA907" s="77" t="s">
        <v>6676</v>
      </c>
      <c r="AB907" s="77" t="s">
        <v>7696</v>
      </c>
      <c r="AC907" s="82" t="s">
        <v>7706</v>
      </c>
      <c r="AD907" s="77" t="s">
        <v>7745</v>
      </c>
      <c r="AE907" s="80" t="str">
        <f>HYPERLINK("https://twitter.com/pqquest/status/1636799560629776384")</f>
        <v>https://twitter.com/pqquest/status/1636799560629776384</v>
      </c>
      <c r="AF907" s="79">
        <v>45002.777777777781</v>
      </c>
      <c r="AG907" s="85">
        <v>45002</v>
      </c>
      <c r="AH907" s="82" t="s">
        <v>8574</v>
      </c>
      <c r="AI907" s="77" t="b">
        <v>0</v>
      </c>
      <c r="AJ907" s="77"/>
      <c r="AK907" s="77"/>
      <c r="AL907" s="77"/>
      <c r="AM907" s="77"/>
      <c r="AN907" s="77"/>
      <c r="AO907" s="77"/>
      <c r="AP907" s="77"/>
      <c r="AQ907" s="77" t="s">
        <v>11183</v>
      </c>
      <c r="AR907" s="77"/>
      <c r="AS907" s="77"/>
      <c r="AT907" s="77"/>
      <c r="AU907" s="77"/>
      <c r="AV907" s="80" t="str">
        <f>HYPERLINK("https://pbs.twimg.com/media/FrcQOAqWAAkU-7f.jpg")</f>
        <v>https://pbs.twimg.com/media/FrcQOAqWAAkU-7f.jpg</v>
      </c>
      <c r="AW907" s="82" t="s">
        <v>13092</v>
      </c>
      <c r="AX907" s="82" t="s">
        <v>13092</v>
      </c>
      <c r="AY907" s="77"/>
      <c r="AZ907" s="82" t="s">
        <v>15804</v>
      </c>
      <c r="BA907" s="82" t="s">
        <v>15804</v>
      </c>
      <c r="BB907" s="82" t="s">
        <v>15804</v>
      </c>
      <c r="BC907" s="82" t="s">
        <v>13092</v>
      </c>
      <c r="BD907" s="82" t="s">
        <v>16312</v>
      </c>
      <c r="BE907" s="77"/>
      <c r="BF907" s="77"/>
      <c r="BG907" s="77"/>
      <c r="BH907" s="77"/>
      <c r="BI907" s="77"/>
    </row>
    <row r="908" spans="1:61" x14ac:dyDescent="0.25">
      <c r="A908" s="62" t="s">
        <v>542</v>
      </c>
      <c r="B908" s="62" t="s">
        <v>542</v>
      </c>
      <c r="C908" s="63"/>
      <c r="D908" s="64"/>
      <c r="E908" s="65"/>
      <c r="F908" s="66"/>
      <c r="G908" s="63"/>
      <c r="H908" s="67"/>
      <c r="I908" s="68"/>
      <c r="J908" s="68"/>
      <c r="K908" s="32"/>
      <c r="L908" s="75">
        <v>908</v>
      </c>
      <c r="M908" s="75"/>
      <c r="N908" s="70"/>
      <c r="O908" s="77" t="s">
        <v>179</v>
      </c>
      <c r="P908" s="79">
        <v>44995.854166666664</v>
      </c>
      <c r="Q908" s="77" t="s">
        <v>2004</v>
      </c>
      <c r="R908" s="77">
        <v>0</v>
      </c>
      <c r="S908" s="77">
        <v>0</v>
      </c>
      <c r="T908" s="77">
        <v>0</v>
      </c>
      <c r="U908" s="77">
        <v>0</v>
      </c>
      <c r="V908" s="77">
        <v>2</v>
      </c>
      <c r="W908" s="82" t="s">
        <v>4716</v>
      </c>
      <c r="X908" s="80" t="str">
        <f>HYPERLINK("https://www.qquest.pt/inscricao/")</f>
        <v>https://www.qquest.pt/inscricao/</v>
      </c>
      <c r="Y908" s="77" t="s">
        <v>6056</v>
      </c>
      <c r="Z908" s="77"/>
      <c r="AA908" s="77" t="s">
        <v>6677</v>
      </c>
      <c r="AB908" s="77" t="s">
        <v>7696</v>
      </c>
      <c r="AC908" s="82" t="s">
        <v>7706</v>
      </c>
      <c r="AD908" s="77" t="s">
        <v>7745</v>
      </c>
      <c r="AE908" s="80" t="str">
        <f>HYPERLINK("https://twitter.com/pqquest/status/1634290530841419778")</f>
        <v>https://twitter.com/pqquest/status/1634290530841419778</v>
      </c>
      <c r="AF908" s="79">
        <v>44995.854166666664</v>
      </c>
      <c r="AG908" s="85">
        <v>44995</v>
      </c>
      <c r="AH908" s="82" t="s">
        <v>8575</v>
      </c>
      <c r="AI908" s="77" t="b">
        <v>0</v>
      </c>
      <c r="AJ908" s="77"/>
      <c r="AK908" s="77"/>
      <c r="AL908" s="77"/>
      <c r="AM908" s="77"/>
      <c r="AN908" s="77"/>
      <c r="AO908" s="77"/>
      <c r="AP908" s="77"/>
      <c r="AQ908" s="77" t="s">
        <v>11184</v>
      </c>
      <c r="AR908" s="77"/>
      <c r="AS908" s="77"/>
      <c r="AT908" s="77"/>
      <c r="AU908" s="77"/>
      <c r="AV908" s="80" t="str">
        <f>HYPERLINK("https://pbs.twimg.com/media/Fp_tynQWcAAZjfk.jpg")</f>
        <v>https://pbs.twimg.com/media/Fp_tynQWcAAZjfk.jpg</v>
      </c>
      <c r="AW908" s="82" t="s">
        <v>13093</v>
      </c>
      <c r="AX908" s="82" t="s">
        <v>13093</v>
      </c>
      <c r="AY908" s="77"/>
      <c r="AZ908" s="82" t="s">
        <v>15804</v>
      </c>
      <c r="BA908" s="82" t="s">
        <v>15804</v>
      </c>
      <c r="BB908" s="82" t="s">
        <v>15804</v>
      </c>
      <c r="BC908" s="82" t="s">
        <v>13093</v>
      </c>
      <c r="BD908" s="82" t="s">
        <v>16312</v>
      </c>
      <c r="BE908" s="77"/>
      <c r="BF908" s="77"/>
      <c r="BG908" s="77"/>
      <c r="BH908" s="77"/>
      <c r="BI908" s="77"/>
    </row>
    <row r="909" spans="1:61" x14ac:dyDescent="0.25">
      <c r="A909" s="62" t="s">
        <v>542</v>
      </c>
      <c r="B909" s="62" t="s">
        <v>542</v>
      </c>
      <c r="C909" s="63"/>
      <c r="D909" s="64"/>
      <c r="E909" s="65"/>
      <c r="F909" s="66"/>
      <c r="G909" s="63"/>
      <c r="H909" s="67"/>
      <c r="I909" s="68"/>
      <c r="J909" s="68"/>
      <c r="K909" s="32"/>
      <c r="L909" s="75">
        <v>909</v>
      </c>
      <c r="M909" s="75"/>
      <c r="N909" s="70"/>
      <c r="O909" s="77" t="s">
        <v>179</v>
      </c>
      <c r="P909" s="79">
        <v>44935.542025462964</v>
      </c>
      <c r="Q909" s="77" t="s">
        <v>2005</v>
      </c>
      <c r="R909" s="77">
        <v>0</v>
      </c>
      <c r="S909" s="77">
        <v>0</v>
      </c>
      <c r="T909" s="77">
        <v>0</v>
      </c>
      <c r="U909" s="77">
        <v>0</v>
      </c>
      <c r="V909" s="77">
        <v>6</v>
      </c>
      <c r="W909" s="82" t="s">
        <v>4712</v>
      </c>
      <c r="X909" s="80" t="str">
        <f>HYPERLINK("https://www.qquest.pt/inscricao/")</f>
        <v>https://www.qquest.pt/inscricao/</v>
      </c>
      <c r="Y909" s="77" t="s">
        <v>6056</v>
      </c>
      <c r="Z909" s="77"/>
      <c r="AA909" s="77" t="s">
        <v>6678</v>
      </c>
      <c r="AB909" s="77" t="s">
        <v>7696</v>
      </c>
      <c r="AC909" s="82" t="s">
        <v>7706</v>
      </c>
      <c r="AD909" s="77" t="s">
        <v>7745</v>
      </c>
      <c r="AE909" s="80" t="str">
        <f>HYPERLINK("https://twitter.com/pqquest/status/1612434141210939396")</f>
        <v>https://twitter.com/pqquest/status/1612434141210939396</v>
      </c>
      <c r="AF909" s="79">
        <v>44935.542025462964</v>
      </c>
      <c r="AG909" s="85">
        <v>44935</v>
      </c>
      <c r="AH909" s="82" t="s">
        <v>8553</v>
      </c>
      <c r="AI909" s="77" t="b">
        <v>0</v>
      </c>
      <c r="AJ909" s="77"/>
      <c r="AK909" s="77"/>
      <c r="AL909" s="77"/>
      <c r="AM909" s="77"/>
      <c r="AN909" s="77"/>
      <c r="AO909" s="77"/>
      <c r="AP909" s="77"/>
      <c r="AQ909" s="77" t="s">
        <v>11185</v>
      </c>
      <c r="AR909" s="77"/>
      <c r="AS909" s="77"/>
      <c r="AT909" s="77"/>
      <c r="AU909" s="77"/>
      <c r="AV909" s="80" t="str">
        <f>HYPERLINK("https://pbs.twimg.com/media/FlpXHRfXwAEdV08.jpg")</f>
        <v>https://pbs.twimg.com/media/FlpXHRfXwAEdV08.jpg</v>
      </c>
      <c r="AW909" s="82" t="s">
        <v>13094</v>
      </c>
      <c r="AX909" s="82" t="s">
        <v>13094</v>
      </c>
      <c r="AY909" s="77"/>
      <c r="AZ909" s="82" t="s">
        <v>15804</v>
      </c>
      <c r="BA909" s="82" t="s">
        <v>15804</v>
      </c>
      <c r="BB909" s="82" t="s">
        <v>15804</v>
      </c>
      <c r="BC909" s="82" t="s">
        <v>13094</v>
      </c>
      <c r="BD909" s="82" t="s">
        <v>16312</v>
      </c>
      <c r="BE909" s="77"/>
      <c r="BF909" s="77"/>
      <c r="BG909" s="77"/>
      <c r="BH909" s="77"/>
      <c r="BI909" s="77"/>
    </row>
    <row r="910" spans="1:61" x14ac:dyDescent="0.25">
      <c r="A910" s="62" t="s">
        <v>542</v>
      </c>
      <c r="B910" s="62" t="s">
        <v>542</v>
      </c>
      <c r="C910" s="63"/>
      <c r="D910" s="64"/>
      <c r="E910" s="65"/>
      <c r="F910" s="66"/>
      <c r="G910" s="63"/>
      <c r="H910" s="67"/>
      <c r="I910" s="68"/>
      <c r="J910" s="68"/>
      <c r="K910" s="32"/>
      <c r="L910" s="75">
        <v>910</v>
      </c>
      <c r="M910" s="75"/>
      <c r="N910" s="70"/>
      <c r="O910" s="77" t="s">
        <v>179</v>
      </c>
      <c r="P910" s="79">
        <v>44933.458680555559</v>
      </c>
      <c r="Q910" s="77" t="s">
        <v>2006</v>
      </c>
      <c r="R910" s="77">
        <v>0</v>
      </c>
      <c r="S910" s="77">
        <v>0</v>
      </c>
      <c r="T910" s="77">
        <v>0</v>
      </c>
      <c r="U910" s="77">
        <v>0</v>
      </c>
      <c r="V910" s="77">
        <v>11</v>
      </c>
      <c r="W910" s="82" t="s">
        <v>4714</v>
      </c>
      <c r="X910" s="80" t="str">
        <f>HYPERLINK("https://www.qquest.pt/inscricao/")</f>
        <v>https://www.qquest.pt/inscricao/</v>
      </c>
      <c r="Y910" s="77" t="s">
        <v>6056</v>
      </c>
      <c r="Z910" s="77"/>
      <c r="AA910" s="77" t="s">
        <v>6679</v>
      </c>
      <c r="AB910" s="77" t="s">
        <v>7696</v>
      </c>
      <c r="AC910" s="82" t="s">
        <v>7706</v>
      </c>
      <c r="AD910" s="77" t="s">
        <v>7745</v>
      </c>
      <c r="AE910" s="80" t="str">
        <f>HYPERLINK("https://twitter.com/pqquest/status/1611679162019848192")</f>
        <v>https://twitter.com/pqquest/status/1611679162019848192</v>
      </c>
      <c r="AF910" s="79">
        <v>44933.458680555559</v>
      </c>
      <c r="AG910" s="85">
        <v>44933</v>
      </c>
      <c r="AH910" s="82" t="s">
        <v>8576</v>
      </c>
      <c r="AI910" s="77" t="b">
        <v>0</v>
      </c>
      <c r="AJ910" s="77"/>
      <c r="AK910" s="77"/>
      <c r="AL910" s="77"/>
      <c r="AM910" s="77"/>
      <c r="AN910" s="77"/>
      <c r="AO910" s="77"/>
      <c r="AP910" s="77"/>
      <c r="AQ910" s="77" t="s">
        <v>11186</v>
      </c>
      <c r="AR910" s="77"/>
      <c r="AS910" s="77"/>
      <c r="AT910" s="77"/>
      <c r="AU910" s="77"/>
      <c r="AV910" s="80" t="str">
        <f>HYPERLINK("https://pbs.twimg.com/media/FlujRycWQAEJFVz.jpg")</f>
        <v>https://pbs.twimg.com/media/FlujRycWQAEJFVz.jpg</v>
      </c>
      <c r="AW910" s="82" t="s">
        <v>13095</v>
      </c>
      <c r="AX910" s="82" t="s">
        <v>13095</v>
      </c>
      <c r="AY910" s="77"/>
      <c r="AZ910" s="82" t="s">
        <v>15804</v>
      </c>
      <c r="BA910" s="82" t="s">
        <v>15804</v>
      </c>
      <c r="BB910" s="82" t="s">
        <v>15804</v>
      </c>
      <c r="BC910" s="82" t="s">
        <v>13095</v>
      </c>
      <c r="BD910" s="82" t="s">
        <v>16312</v>
      </c>
      <c r="BE910" s="77"/>
      <c r="BF910" s="77"/>
      <c r="BG910" s="77"/>
      <c r="BH910" s="77"/>
      <c r="BI910" s="77"/>
    </row>
    <row r="911" spans="1:61" x14ac:dyDescent="0.25">
      <c r="A911" s="62" t="s">
        <v>542</v>
      </c>
      <c r="B911" s="62" t="s">
        <v>542</v>
      </c>
      <c r="C911" s="63"/>
      <c r="D911" s="64"/>
      <c r="E911" s="65"/>
      <c r="F911" s="66"/>
      <c r="G911" s="63"/>
      <c r="H911" s="67"/>
      <c r="I911" s="68"/>
      <c r="J911" s="68"/>
      <c r="K911" s="32"/>
      <c r="L911" s="75">
        <v>911</v>
      </c>
      <c r="M911" s="75"/>
      <c r="N911" s="70"/>
      <c r="O911" s="77" t="s">
        <v>179</v>
      </c>
      <c r="P911" s="79">
        <v>45094.395833333336</v>
      </c>
      <c r="Q911" s="77" t="s">
        <v>2007</v>
      </c>
      <c r="R911" s="77">
        <v>0</v>
      </c>
      <c r="S911" s="77">
        <v>0</v>
      </c>
      <c r="T911" s="77">
        <v>0</v>
      </c>
      <c r="U911" s="77">
        <v>0</v>
      </c>
      <c r="V911" s="77">
        <v>7</v>
      </c>
      <c r="W911" s="82" t="s">
        <v>4717</v>
      </c>
      <c r="X911" s="80" t="str">
        <f>HYPERLINK("https://www.qquest.pt/inscricao/")</f>
        <v>https://www.qquest.pt/inscricao/</v>
      </c>
      <c r="Y911" s="77" t="s">
        <v>6056</v>
      </c>
      <c r="Z911" s="77"/>
      <c r="AA911" s="77" t="s">
        <v>6680</v>
      </c>
      <c r="AB911" s="77" t="s">
        <v>7696</v>
      </c>
      <c r="AC911" s="82" t="s">
        <v>7706</v>
      </c>
      <c r="AD911" s="77" t="s">
        <v>7745</v>
      </c>
      <c r="AE911" s="80" t="str">
        <f>HYPERLINK("https://twitter.com/pqquest/status/1670000833956843521")</f>
        <v>https://twitter.com/pqquest/status/1670000833956843521</v>
      </c>
      <c r="AF911" s="79">
        <v>45094.395833333336</v>
      </c>
      <c r="AG911" s="85">
        <v>45094</v>
      </c>
      <c r="AH911" s="82" t="s">
        <v>8572</v>
      </c>
      <c r="AI911" s="77" t="b">
        <v>0</v>
      </c>
      <c r="AJ911" s="77"/>
      <c r="AK911" s="77"/>
      <c r="AL911" s="77"/>
      <c r="AM911" s="77"/>
      <c r="AN911" s="77"/>
      <c r="AO911" s="77"/>
      <c r="AP911" s="77"/>
      <c r="AQ911" s="77" t="s">
        <v>11187</v>
      </c>
      <c r="AR911" s="77"/>
      <c r="AS911" s="77"/>
      <c r="AT911" s="77"/>
      <c r="AU911" s="77"/>
      <c r="AV911" s="80" t="str">
        <f>HYPERLINK("https://pbs.twimg.com/media/Fufn_XCXwAAjhQd.jpg")</f>
        <v>https://pbs.twimg.com/media/Fufn_XCXwAAjhQd.jpg</v>
      </c>
      <c r="AW911" s="82" t="s">
        <v>13096</v>
      </c>
      <c r="AX911" s="82" t="s">
        <v>13096</v>
      </c>
      <c r="AY911" s="77"/>
      <c r="AZ911" s="82" t="s">
        <v>15804</v>
      </c>
      <c r="BA911" s="82" t="s">
        <v>15804</v>
      </c>
      <c r="BB911" s="82" t="s">
        <v>15804</v>
      </c>
      <c r="BC911" s="82" t="s">
        <v>13096</v>
      </c>
      <c r="BD911" s="82" t="s">
        <v>16312</v>
      </c>
      <c r="BE911" s="77"/>
      <c r="BF911" s="77"/>
      <c r="BG911" s="77"/>
      <c r="BH911" s="77"/>
      <c r="BI911" s="77"/>
    </row>
    <row r="912" spans="1:61" x14ac:dyDescent="0.25">
      <c r="A912" s="62" t="s">
        <v>542</v>
      </c>
      <c r="B912" s="62" t="s">
        <v>542</v>
      </c>
      <c r="C912" s="63"/>
      <c r="D912" s="64"/>
      <c r="E912" s="65"/>
      <c r="F912" s="66"/>
      <c r="G912" s="63"/>
      <c r="H912" s="67"/>
      <c r="I912" s="68"/>
      <c r="J912" s="68"/>
      <c r="K912" s="32"/>
      <c r="L912" s="75">
        <v>912</v>
      </c>
      <c r="M912" s="75"/>
      <c r="N912" s="70"/>
      <c r="O912" s="77" t="s">
        <v>179</v>
      </c>
      <c r="P912" s="79">
        <v>45080.791678240741</v>
      </c>
      <c r="Q912" s="77" t="s">
        <v>2008</v>
      </c>
      <c r="R912" s="77">
        <v>0</v>
      </c>
      <c r="S912" s="77">
        <v>0</v>
      </c>
      <c r="T912" s="77">
        <v>0</v>
      </c>
      <c r="U912" s="77">
        <v>0</v>
      </c>
      <c r="V912" s="77">
        <v>7</v>
      </c>
      <c r="W912" s="82" t="s">
        <v>4718</v>
      </c>
      <c r="X912" s="80" t="str">
        <f>HYPERLINK("https://www.qquest.pt/inscricao/")</f>
        <v>https://www.qquest.pt/inscricao/</v>
      </c>
      <c r="Y912" s="77" t="s">
        <v>6056</v>
      </c>
      <c r="Z912" s="77"/>
      <c r="AA912" s="77" t="s">
        <v>6681</v>
      </c>
      <c r="AB912" s="77" t="s">
        <v>7696</v>
      </c>
      <c r="AC912" s="82" t="s">
        <v>7706</v>
      </c>
      <c r="AD912" s="77" t="s">
        <v>7745</v>
      </c>
      <c r="AE912" s="80" t="str">
        <f>HYPERLINK("https://twitter.com/pqquest/status/1665070853267005446")</f>
        <v>https://twitter.com/pqquest/status/1665070853267005446</v>
      </c>
      <c r="AF912" s="79">
        <v>45080.791678240741</v>
      </c>
      <c r="AG912" s="85">
        <v>45080</v>
      </c>
      <c r="AH912" s="82" t="s">
        <v>8569</v>
      </c>
      <c r="AI912" s="77" t="b">
        <v>0</v>
      </c>
      <c r="AJ912" s="77"/>
      <c r="AK912" s="77"/>
      <c r="AL912" s="77"/>
      <c r="AM912" s="77"/>
      <c r="AN912" s="77"/>
      <c r="AO912" s="77"/>
      <c r="AP912" s="77"/>
      <c r="AQ912" s="77" t="s">
        <v>11188</v>
      </c>
      <c r="AR912" s="77"/>
      <c r="AS912" s="77"/>
      <c r="AT912" s="77"/>
      <c r="AU912" s="77"/>
      <c r="AV912" s="80" t="str">
        <f>HYPERLINK("https://pbs.twimg.com/media/Fufim3sWIAEQQzI.jpg")</f>
        <v>https://pbs.twimg.com/media/Fufim3sWIAEQQzI.jpg</v>
      </c>
      <c r="AW912" s="82" t="s">
        <v>13097</v>
      </c>
      <c r="AX912" s="82" t="s">
        <v>13097</v>
      </c>
      <c r="AY912" s="77"/>
      <c r="AZ912" s="82" t="s">
        <v>15804</v>
      </c>
      <c r="BA912" s="82" t="s">
        <v>15804</v>
      </c>
      <c r="BB912" s="82" t="s">
        <v>15804</v>
      </c>
      <c r="BC912" s="82" t="s">
        <v>13097</v>
      </c>
      <c r="BD912" s="82" t="s">
        <v>16312</v>
      </c>
      <c r="BE912" s="77"/>
      <c r="BF912" s="77"/>
      <c r="BG912" s="77"/>
      <c r="BH912" s="77"/>
      <c r="BI912" s="77"/>
    </row>
    <row r="913" spans="1:61" x14ac:dyDescent="0.25">
      <c r="A913" s="62" t="s">
        <v>542</v>
      </c>
      <c r="B913" s="62" t="s">
        <v>542</v>
      </c>
      <c r="C913" s="63"/>
      <c r="D913" s="64"/>
      <c r="E913" s="65"/>
      <c r="F913" s="66"/>
      <c r="G913" s="63"/>
      <c r="H913" s="67"/>
      <c r="I913" s="68"/>
      <c r="J913" s="68"/>
      <c r="K913" s="32"/>
      <c r="L913" s="75">
        <v>913</v>
      </c>
      <c r="M913" s="75"/>
      <c r="N913" s="70"/>
      <c r="O913" s="77" t="s">
        <v>179</v>
      </c>
      <c r="P913" s="79">
        <v>45078.416678240741</v>
      </c>
      <c r="Q913" s="77" t="s">
        <v>2009</v>
      </c>
      <c r="R913" s="77">
        <v>0</v>
      </c>
      <c r="S913" s="77">
        <v>0</v>
      </c>
      <c r="T913" s="77">
        <v>0</v>
      </c>
      <c r="U913" s="77">
        <v>0</v>
      </c>
      <c r="V913" s="77">
        <v>12</v>
      </c>
      <c r="W913" s="82" t="s">
        <v>4712</v>
      </c>
      <c r="X913" s="80" t="str">
        <f>HYPERLINK("https://www.qquest.pt/inscricao/")</f>
        <v>https://www.qquest.pt/inscricao/</v>
      </c>
      <c r="Y913" s="77" t="s">
        <v>6056</v>
      </c>
      <c r="Z913" s="77"/>
      <c r="AA913" s="77" t="s">
        <v>6682</v>
      </c>
      <c r="AB913" s="77" t="s">
        <v>7696</v>
      </c>
      <c r="AC913" s="82" t="s">
        <v>7706</v>
      </c>
      <c r="AD913" s="77" t="s">
        <v>7745</v>
      </c>
      <c r="AE913" s="80" t="str">
        <f>HYPERLINK("https://twitter.com/pqquest/status/1664210183260712961")</f>
        <v>https://twitter.com/pqquest/status/1664210183260712961</v>
      </c>
      <c r="AF913" s="79">
        <v>45078.416678240741</v>
      </c>
      <c r="AG913" s="85">
        <v>45078</v>
      </c>
      <c r="AH913" s="82" t="s">
        <v>8544</v>
      </c>
      <c r="AI913" s="77" t="b">
        <v>0</v>
      </c>
      <c r="AJ913" s="77"/>
      <c r="AK913" s="77"/>
      <c r="AL913" s="77"/>
      <c r="AM913" s="77"/>
      <c r="AN913" s="77"/>
      <c r="AO913" s="77"/>
      <c r="AP913" s="77"/>
      <c r="AQ913" s="77" t="s">
        <v>11189</v>
      </c>
      <c r="AR913" s="77"/>
      <c r="AS913" s="77"/>
      <c r="AT913" s="77"/>
      <c r="AU913" s="77"/>
      <c r="AV913" s="80" t="str">
        <f>HYPERLINK("https://pbs.twimg.com/media/Fufh9ybXsAQUCmI.jpg")</f>
        <v>https://pbs.twimg.com/media/Fufh9ybXsAQUCmI.jpg</v>
      </c>
      <c r="AW913" s="82" t="s">
        <v>13098</v>
      </c>
      <c r="AX913" s="82" t="s">
        <v>13098</v>
      </c>
      <c r="AY913" s="77"/>
      <c r="AZ913" s="82" t="s">
        <v>15804</v>
      </c>
      <c r="BA913" s="82" t="s">
        <v>15804</v>
      </c>
      <c r="BB913" s="82" t="s">
        <v>15804</v>
      </c>
      <c r="BC913" s="82" t="s">
        <v>13098</v>
      </c>
      <c r="BD913" s="82" t="s">
        <v>16312</v>
      </c>
      <c r="BE913" s="77"/>
      <c r="BF913" s="77"/>
      <c r="BG913" s="77"/>
      <c r="BH913" s="77"/>
      <c r="BI913" s="77"/>
    </row>
    <row r="914" spans="1:61" x14ac:dyDescent="0.25">
      <c r="A914" s="62" t="s">
        <v>542</v>
      </c>
      <c r="B914" s="62" t="s">
        <v>542</v>
      </c>
      <c r="C914" s="63"/>
      <c r="D914" s="64"/>
      <c r="E914" s="65"/>
      <c r="F914" s="66"/>
      <c r="G914" s="63"/>
      <c r="H914" s="67"/>
      <c r="I914" s="68"/>
      <c r="J914" s="68"/>
      <c r="K914" s="32"/>
      <c r="L914" s="75">
        <v>914</v>
      </c>
      <c r="M914" s="75"/>
      <c r="N914" s="70"/>
      <c r="O914" s="77" t="s">
        <v>179</v>
      </c>
      <c r="P914" s="79">
        <v>45019.520833333336</v>
      </c>
      <c r="Q914" s="77" t="s">
        <v>2010</v>
      </c>
      <c r="R914" s="77">
        <v>0</v>
      </c>
      <c r="S914" s="77">
        <v>0</v>
      </c>
      <c r="T914" s="77">
        <v>0</v>
      </c>
      <c r="U914" s="77">
        <v>0</v>
      </c>
      <c r="V914" s="77">
        <v>12</v>
      </c>
      <c r="W914" s="82" t="s">
        <v>4719</v>
      </c>
      <c r="X914" s="80" t="str">
        <f>HYPERLINK("https://www.qquest.pt/inscricao/")</f>
        <v>https://www.qquest.pt/inscricao/</v>
      </c>
      <c r="Y914" s="77" t="s">
        <v>6056</v>
      </c>
      <c r="Z914" s="77"/>
      <c r="AA914" s="77" t="s">
        <v>6683</v>
      </c>
      <c r="AB914" s="77" t="s">
        <v>7696</v>
      </c>
      <c r="AC914" s="82" t="s">
        <v>7706</v>
      </c>
      <c r="AD914" s="77" t="s">
        <v>7745</v>
      </c>
      <c r="AE914" s="80" t="str">
        <f>HYPERLINK("https://twitter.com/pqquest/status/1642867042658263040")</f>
        <v>https://twitter.com/pqquest/status/1642867042658263040</v>
      </c>
      <c r="AF914" s="79">
        <v>45019.520833333336</v>
      </c>
      <c r="AG914" s="85">
        <v>45019</v>
      </c>
      <c r="AH914" s="82" t="s">
        <v>8302</v>
      </c>
      <c r="AI914" s="77" t="b">
        <v>0</v>
      </c>
      <c r="AJ914" s="77"/>
      <c r="AK914" s="77"/>
      <c r="AL914" s="77"/>
      <c r="AM914" s="77"/>
      <c r="AN914" s="77"/>
      <c r="AO914" s="77"/>
      <c r="AP914" s="77"/>
      <c r="AQ914" s="77" t="s">
        <v>11190</v>
      </c>
      <c r="AR914" s="77"/>
      <c r="AS914" s="77"/>
      <c r="AT914" s="77"/>
      <c r="AU914" s="77"/>
      <c r="AV914" s="80" t="str">
        <f>HYPERLINK("https://pbs.twimg.com/media/Fr7Ms9UWwAExJKs.jpg")</f>
        <v>https://pbs.twimg.com/media/Fr7Ms9UWwAExJKs.jpg</v>
      </c>
      <c r="AW914" s="82" t="s">
        <v>13099</v>
      </c>
      <c r="AX914" s="82" t="s">
        <v>13099</v>
      </c>
      <c r="AY914" s="77"/>
      <c r="AZ914" s="82" t="s">
        <v>15804</v>
      </c>
      <c r="BA914" s="82" t="s">
        <v>15804</v>
      </c>
      <c r="BB914" s="82" t="s">
        <v>15804</v>
      </c>
      <c r="BC914" s="82" t="s">
        <v>13099</v>
      </c>
      <c r="BD914" s="82" t="s">
        <v>16312</v>
      </c>
      <c r="BE914" s="77"/>
      <c r="BF914" s="77"/>
      <c r="BG914" s="77"/>
      <c r="BH914" s="77"/>
      <c r="BI914" s="77"/>
    </row>
    <row r="915" spans="1:61" x14ac:dyDescent="0.25">
      <c r="A915" s="62" t="s">
        <v>542</v>
      </c>
      <c r="B915" s="62" t="s">
        <v>542</v>
      </c>
      <c r="C915" s="63"/>
      <c r="D915" s="64"/>
      <c r="E915" s="65"/>
      <c r="F915" s="66"/>
      <c r="G915" s="63"/>
      <c r="H915" s="67"/>
      <c r="I915" s="68"/>
      <c r="J915" s="68"/>
      <c r="K915" s="32"/>
      <c r="L915" s="75">
        <v>915</v>
      </c>
      <c r="M915" s="75"/>
      <c r="N915" s="70"/>
      <c r="O915" s="77" t="s">
        <v>179</v>
      </c>
      <c r="P915" s="79">
        <v>45017.375034722223</v>
      </c>
      <c r="Q915" s="77" t="s">
        <v>2011</v>
      </c>
      <c r="R915" s="77">
        <v>0</v>
      </c>
      <c r="S915" s="77">
        <v>0</v>
      </c>
      <c r="T915" s="77">
        <v>0</v>
      </c>
      <c r="U915" s="77">
        <v>0</v>
      </c>
      <c r="V915" s="77">
        <v>14</v>
      </c>
      <c r="W915" s="82" t="s">
        <v>4712</v>
      </c>
      <c r="X915" s="80" t="str">
        <f>HYPERLINK("https://www.qquest.pt/inscricao/")</f>
        <v>https://www.qquest.pt/inscricao/</v>
      </c>
      <c r="Y915" s="77" t="s">
        <v>6056</v>
      </c>
      <c r="Z915" s="77"/>
      <c r="AA915" s="77" t="s">
        <v>6684</v>
      </c>
      <c r="AB915" s="77" t="s">
        <v>7696</v>
      </c>
      <c r="AC915" s="82" t="s">
        <v>7706</v>
      </c>
      <c r="AD915" s="77" t="s">
        <v>7745</v>
      </c>
      <c r="AE915" s="80" t="str">
        <f>HYPERLINK("https://twitter.com/pqquest/status/1642089430164078593")</f>
        <v>https://twitter.com/pqquest/status/1642089430164078593</v>
      </c>
      <c r="AF915" s="79">
        <v>45017.375034722223</v>
      </c>
      <c r="AG915" s="85">
        <v>45017</v>
      </c>
      <c r="AH915" s="82" t="s">
        <v>8577</v>
      </c>
      <c r="AI915" s="77" t="b">
        <v>0</v>
      </c>
      <c r="AJ915" s="77"/>
      <c r="AK915" s="77"/>
      <c r="AL915" s="77"/>
      <c r="AM915" s="77"/>
      <c r="AN915" s="77"/>
      <c r="AO915" s="77"/>
      <c r="AP915" s="77"/>
      <c r="AQ915" s="77" t="s">
        <v>11191</v>
      </c>
      <c r="AR915" s="77"/>
      <c r="AS915" s="77"/>
      <c r="AT915" s="77"/>
      <c r="AU915" s="77"/>
      <c r="AV915" s="80" t="str">
        <f>HYPERLINK("https://pbs.twimg.com/media/Fr7KoHbWcAgunJ9.jpg")</f>
        <v>https://pbs.twimg.com/media/Fr7KoHbWcAgunJ9.jpg</v>
      </c>
      <c r="AW915" s="82" t="s">
        <v>13100</v>
      </c>
      <c r="AX915" s="82" t="s">
        <v>13100</v>
      </c>
      <c r="AY915" s="77"/>
      <c r="AZ915" s="82" t="s">
        <v>15804</v>
      </c>
      <c r="BA915" s="82" t="s">
        <v>15804</v>
      </c>
      <c r="BB915" s="82" t="s">
        <v>15804</v>
      </c>
      <c r="BC915" s="82" t="s">
        <v>13100</v>
      </c>
      <c r="BD915" s="82" t="s">
        <v>16312</v>
      </c>
      <c r="BE915" s="77"/>
      <c r="BF915" s="77"/>
      <c r="BG915" s="77"/>
      <c r="BH915" s="77"/>
      <c r="BI915" s="77"/>
    </row>
    <row r="916" spans="1:61" x14ac:dyDescent="0.25">
      <c r="A916" s="62" t="s">
        <v>542</v>
      </c>
      <c r="B916" s="62" t="s">
        <v>542</v>
      </c>
      <c r="C916" s="63"/>
      <c r="D916" s="64"/>
      <c r="E916" s="65"/>
      <c r="F916" s="66"/>
      <c r="G916" s="63"/>
      <c r="H916" s="67"/>
      <c r="I916" s="68"/>
      <c r="J916" s="68"/>
      <c r="K916" s="32"/>
      <c r="L916" s="75">
        <v>916</v>
      </c>
      <c r="M916" s="75"/>
      <c r="N916" s="70"/>
      <c r="O916" s="77" t="s">
        <v>179</v>
      </c>
      <c r="P916" s="79">
        <v>45015.770833333336</v>
      </c>
      <c r="Q916" s="77" t="s">
        <v>2012</v>
      </c>
      <c r="R916" s="77">
        <v>0</v>
      </c>
      <c r="S916" s="77">
        <v>0</v>
      </c>
      <c r="T916" s="77">
        <v>0</v>
      </c>
      <c r="U916" s="77">
        <v>0</v>
      </c>
      <c r="V916" s="77">
        <v>16</v>
      </c>
      <c r="W916" s="82" t="s">
        <v>4720</v>
      </c>
      <c r="X916" s="80" t="str">
        <f>HYPERLINK("https://www.qquest.pt/inscricao/")</f>
        <v>https://www.qquest.pt/inscricao/</v>
      </c>
      <c r="Y916" s="77" t="s">
        <v>6056</v>
      </c>
      <c r="Z916" s="77"/>
      <c r="AA916" s="77" t="s">
        <v>6685</v>
      </c>
      <c r="AB916" s="77" t="s">
        <v>7696</v>
      </c>
      <c r="AC916" s="82" t="s">
        <v>7706</v>
      </c>
      <c r="AD916" s="77" t="s">
        <v>7745</v>
      </c>
      <c r="AE916" s="80" t="str">
        <f>HYPERLINK("https://twitter.com/pqquest/status/1641508087277182985")</f>
        <v>https://twitter.com/pqquest/status/1641508087277182985</v>
      </c>
      <c r="AF916" s="79">
        <v>45015.770833333336</v>
      </c>
      <c r="AG916" s="85">
        <v>45015</v>
      </c>
      <c r="AH916" s="82" t="s">
        <v>8571</v>
      </c>
      <c r="AI916" s="77" t="b">
        <v>0</v>
      </c>
      <c r="AJ916" s="77"/>
      <c r="AK916" s="77"/>
      <c r="AL916" s="77"/>
      <c r="AM916" s="77"/>
      <c r="AN916" s="77"/>
      <c r="AO916" s="77"/>
      <c r="AP916" s="77"/>
      <c r="AQ916" s="77" t="s">
        <v>11192</v>
      </c>
      <c r="AR916" s="77"/>
      <c r="AS916" s="77"/>
      <c r="AT916" s="77"/>
      <c r="AU916" s="77"/>
      <c r="AV916" s="80" t="str">
        <f>HYPERLINK("https://pbs.twimg.com/media/FrrYBo7WYBEUjIN.jpg")</f>
        <v>https://pbs.twimg.com/media/FrrYBo7WYBEUjIN.jpg</v>
      </c>
      <c r="AW916" s="82" t="s">
        <v>13101</v>
      </c>
      <c r="AX916" s="82" t="s">
        <v>13101</v>
      </c>
      <c r="AY916" s="77"/>
      <c r="AZ916" s="82" t="s">
        <v>15804</v>
      </c>
      <c r="BA916" s="82" t="s">
        <v>15804</v>
      </c>
      <c r="BB916" s="82" t="s">
        <v>15804</v>
      </c>
      <c r="BC916" s="82" t="s">
        <v>13101</v>
      </c>
      <c r="BD916" s="82" t="s">
        <v>16312</v>
      </c>
      <c r="BE916" s="77"/>
      <c r="BF916" s="77"/>
      <c r="BG916" s="77"/>
      <c r="BH916" s="77"/>
      <c r="BI916" s="77"/>
    </row>
    <row r="917" spans="1:61" x14ac:dyDescent="0.25">
      <c r="A917" s="62" t="s">
        <v>542</v>
      </c>
      <c r="B917" s="62" t="s">
        <v>542</v>
      </c>
      <c r="C917" s="63"/>
      <c r="D917" s="64"/>
      <c r="E917" s="65"/>
      <c r="F917" s="66"/>
      <c r="G917" s="63"/>
      <c r="H917" s="67"/>
      <c r="I917" s="68"/>
      <c r="J917" s="68"/>
      <c r="K917" s="32"/>
      <c r="L917" s="75">
        <v>917</v>
      </c>
      <c r="M917" s="75"/>
      <c r="N917" s="70"/>
      <c r="O917" s="77" t="s">
        <v>179</v>
      </c>
      <c r="P917" s="79">
        <v>44978.458356481482</v>
      </c>
      <c r="Q917" s="77" t="s">
        <v>2013</v>
      </c>
      <c r="R917" s="77">
        <v>0</v>
      </c>
      <c r="S917" s="77">
        <v>0</v>
      </c>
      <c r="T917" s="77">
        <v>0</v>
      </c>
      <c r="U917" s="77">
        <v>0</v>
      </c>
      <c r="V917" s="77">
        <v>6</v>
      </c>
      <c r="W917" s="82" t="s">
        <v>4712</v>
      </c>
      <c r="X917" s="80" t="str">
        <f>HYPERLINK("https://www.qquest.pt/inscricao/")</f>
        <v>https://www.qquest.pt/inscricao/</v>
      </c>
      <c r="Y917" s="77" t="s">
        <v>6056</v>
      </c>
      <c r="Z917" s="77"/>
      <c r="AA917" s="77" t="s">
        <v>6686</v>
      </c>
      <c r="AB917" s="77" t="s">
        <v>7696</v>
      </c>
      <c r="AC917" s="82" t="s">
        <v>7706</v>
      </c>
      <c r="AD917" s="77" t="s">
        <v>7745</v>
      </c>
      <c r="AE917" s="80" t="str">
        <f>HYPERLINK("https://twitter.com/pqquest/status/1627986499365920769")</f>
        <v>https://twitter.com/pqquest/status/1627986499365920769</v>
      </c>
      <c r="AF917" s="79">
        <v>44978.458356481482</v>
      </c>
      <c r="AG917" s="85">
        <v>44978</v>
      </c>
      <c r="AH917" s="82" t="s">
        <v>8539</v>
      </c>
      <c r="AI917" s="77" t="b">
        <v>0</v>
      </c>
      <c r="AJ917" s="77"/>
      <c r="AK917" s="77"/>
      <c r="AL917" s="77"/>
      <c r="AM917" s="77"/>
      <c r="AN917" s="77"/>
      <c r="AO917" s="77"/>
      <c r="AP917" s="77"/>
      <c r="AQ917" s="77" t="s">
        <v>11193</v>
      </c>
      <c r="AR917" s="77"/>
      <c r="AS917" s="77"/>
      <c r="AT917" s="77"/>
      <c r="AU917" s="77"/>
      <c r="AV917" s="80" t="str">
        <f>HYPERLINK("https://pbs.twimg.com/media/FpLyg22WAAsPMLd.jpg")</f>
        <v>https://pbs.twimg.com/media/FpLyg22WAAsPMLd.jpg</v>
      </c>
      <c r="AW917" s="82" t="s">
        <v>13102</v>
      </c>
      <c r="AX917" s="82" t="s">
        <v>13102</v>
      </c>
      <c r="AY917" s="77"/>
      <c r="AZ917" s="82" t="s">
        <v>15804</v>
      </c>
      <c r="BA917" s="82" t="s">
        <v>15804</v>
      </c>
      <c r="BB917" s="82" t="s">
        <v>15804</v>
      </c>
      <c r="BC917" s="82" t="s">
        <v>13102</v>
      </c>
      <c r="BD917" s="82" t="s">
        <v>16312</v>
      </c>
      <c r="BE917" s="77"/>
      <c r="BF917" s="77"/>
      <c r="BG917" s="77"/>
      <c r="BH917" s="77"/>
      <c r="BI917" s="77"/>
    </row>
    <row r="918" spans="1:61" x14ac:dyDescent="0.25">
      <c r="A918" s="62" t="s">
        <v>542</v>
      </c>
      <c r="B918" s="62" t="s">
        <v>542</v>
      </c>
      <c r="C918" s="63"/>
      <c r="D918" s="64"/>
      <c r="E918" s="65"/>
      <c r="F918" s="66"/>
      <c r="G918" s="63"/>
      <c r="H918" s="67"/>
      <c r="I918" s="68"/>
      <c r="J918" s="68"/>
      <c r="K918" s="32"/>
      <c r="L918" s="75">
        <v>918</v>
      </c>
      <c r="M918" s="75"/>
      <c r="N918" s="70"/>
      <c r="O918" s="77" t="s">
        <v>179</v>
      </c>
      <c r="P918" s="79">
        <v>44974.770833333336</v>
      </c>
      <c r="Q918" s="77" t="s">
        <v>2014</v>
      </c>
      <c r="R918" s="77">
        <v>0</v>
      </c>
      <c r="S918" s="77">
        <v>0</v>
      </c>
      <c r="T918" s="77">
        <v>0</v>
      </c>
      <c r="U918" s="77">
        <v>0</v>
      </c>
      <c r="V918" s="77">
        <v>4</v>
      </c>
      <c r="W918" s="82" t="s">
        <v>4713</v>
      </c>
      <c r="X918" s="80" t="str">
        <f>HYPERLINK("https://www.qquest.pt/inscricao/")</f>
        <v>https://www.qquest.pt/inscricao/</v>
      </c>
      <c r="Y918" s="77" t="s">
        <v>6056</v>
      </c>
      <c r="Z918" s="77"/>
      <c r="AA918" s="77" t="s">
        <v>6687</v>
      </c>
      <c r="AB918" s="77" t="s">
        <v>7696</v>
      </c>
      <c r="AC918" s="82" t="s">
        <v>7706</v>
      </c>
      <c r="AD918" s="77" t="s">
        <v>7745</v>
      </c>
      <c r="AE918" s="80" t="str">
        <f>HYPERLINK("https://twitter.com/pqquest/status/1626650183726690304")</f>
        <v>https://twitter.com/pqquest/status/1626650183726690304</v>
      </c>
      <c r="AF918" s="79">
        <v>44974.770833333336</v>
      </c>
      <c r="AG918" s="85">
        <v>44974</v>
      </c>
      <c r="AH918" s="82" t="s">
        <v>8571</v>
      </c>
      <c r="AI918" s="77" t="b">
        <v>0</v>
      </c>
      <c r="AJ918" s="77"/>
      <c r="AK918" s="77"/>
      <c r="AL918" s="77"/>
      <c r="AM918" s="77"/>
      <c r="AN918" s="77"/>
      <c r="AO918" s="77"/>
      <c r="AP918" s="77"/>
      <c r="AQ918" s="77" t="s">
        <v>11194</v>
      </c>
      <c r="AR918" s="77"/>
      <c r="AS918" s="77"/>
      <c r="AT918" s="77"/>
      <c r="AU918" s="77"/>
      <c r="AV918" s="80" t="str">
        <f>HYPERLINK("https://pbs.twimg.com/media/FoD5TfVXwAEEvgw.jpg")</f>
        <v>https://pbs.twimg.com/media/FoD5TfVXwAEEvgw.jpg</v>
      </c>
      <c r="AW918" s="82" t="s">
        <v>13103</v>
      </c>
      <c r="AX918" s="82" t="s">
        <v>13103</v>
      </c>
      <c r="AY918" s="77"/>
      <c r="AZ918" s="82" t="s">
        <v>15804</v>
      </c>
      <c r="BA918" s="82" t="s">
        <v>15804</v>
      </c>
      <c r="BB918" s="82" t="s">
        <v>15804</v>
      </c>
      <c r="BC918" s="82" t="s">
        <v>13103</v>
      </c>
      <c r="BD918" s="82" t="s">
        <v>16312</v>
      </c>
      <c r="BE918" s="77"/>
      <c r="BF918" s="77"/>
      <c r="BG918" s="77"/>
      <c r="BH918" s="77"/>
      <c r="BI918" s="77"/>
    </row>
    <row r="919" spans="1:61" x14ac:dyDescent="0.25">
      <c r="A919" s="62" t="s">
        <v>542</v>
      </c>
      <c r="B919" s="62" t="s">
        <v>542</v>
      </c>
      <c r="C919" s="63"/>
      <c r="D919" s="64"/>
      <c r="E919" s="65"/>
      <c r="F919" s="66"/>
      <c r="G919" s="63"/>
      <c r="H919" s="67"/>
      <c r="I919" s="68"/>
      <c r="J919" s="68"/>
      <c r="K919" s="32"/>
      <c r="L919" s="75">
        <v>919</v>
      </c>
      <c r="M919" s="75"/>
      <c r="N919" s="70"/>
      <c r="O919" s="77" t="s">
        <v>179</v>
      </c>
      <c r="P919" s="79">
        <v>44972.833333333336</v>
      </c>
      <c r="Q919" s="77" t="s">
        <v>2015</v>
      </c>
      <c r="R919" s="77">
        <v>0</v>
      </c>
      <c r="S919" s="77">
        <v>0</v>
      </c>
      <c r="T919" s="77">
        <v>0</v>
      </c>
      <c r="U919" s="77">
        <v>0</v>
      </c>
      <c r="V919" s="77">
        <v>3</v>
      </c>
      <c r="W919" s="82" t="s">
        <v>4713</v>
      </c>
      <c r="X919" s="80" t="str">
        <f>HYPERLINK("https://www.qquest.pt/inscricao/")</f>
        <v>https://www.qquest.pt/inscricao/</v>
      </c>
      <c r="Y919" s="77" t="s">
        <v>6056</v>
      </c>
      <c r="Z919" s="77"/>
      <c r="AA919" s="77" t="s">
        <v>6688</v>
      </c>
      <c r="AB919" s="77" t="s">
        <v>7696</v>
      </c>
      <c r="AC919" s="82" t="s">
        <v>7706</v>
      </c>
      <c r="AD919" s="77" t="s">
        <v>7745</v>
      </c>
      <c r="AE919" s="80" t="str">
        <f>HYPERLINK("https://twitter.com/pqquest/status/1625948058600017939")</f>
        <v>https://twitter.com/pqquest/status/1625948058600017939</v>
      </c>
      <c r="AF919" s="79">
        <v>44972.833333333336</v>
      </c>
      <c r="AG919" s="85">
        <v>44972</v>
      </c>
      <c r="AH919" s="82" t="s">
        <v>8578</v>
      </c>
      <c r="AI919" s="77" t="b">
        <v>0</v>
      </c>
      <c r="AJ919" s="77"/>
      <c r="AK919" s="77"/>
      <c r="AL919" s="77"/>
      <c r="AM919" s="77"/>
      <c r="AN919" s="77"/>
      <c r="AO919" s="77"/>
      <c r="AP919" s="77"/>
      <c r="AQ919" s="77" t="s">
        <v>11195</v>
      </c>
      <c r="AR919" s="77"/>
      <c r="AS919" s="77"/>
      <c r="AT919" s="77"/>
      <c r="AU919" s="77"/>
      <c r="AV919" s="80" t="str">
        <f>HYPERLINK("https://pbs.twimg.com/media/FoD3_LpXgAUjeV6.jpg")</f>
        <v>https://pbs.twimg.com/media/FoD3_LpXgAUjeV6.jpg</v>
      </c>
      <c r="AW919" s="82" t="s">
        <v>13104</v>
      </c>
      <c r="AX919" s="82" t="s">
        <v>13104</v>
      </c>
      <c r="AY919" s="77"/>
      <c r="AZ919" s="82" t="s">
        <v>15804</v>
      </c>
      <c r="BA919" s="82" t="s">
        <v>15804</v>
      </c>
      <c r="BB919" s="82" t="s">
        <v>15804</v>
      </c>
      <c r="BC919" s="82" t="s">
        <v>13104</v>
      </c>
      <c r="BD919" s="82" t="s">
        <v>16312</v>
      </c>
      <c r="BE919" s="77"/>
      <c r="BF919" s="77"/>
      <c r="BG919" s="77"/>
      <c r="BH919" s="77"/>
      <c r="BI919" s="77"/>
    </row>
    <row r="920" spans="1:61" x14ac:dyDescent="0.25">
      <c r="A920" s="62" t="s">
        <v>542</v>
      </c>
      <c r="B920" s="62" t="s">
        <v>542</v>
      </c>
      <c r="C920" s="63"/>
      <c r="D920" s="64"/>
      <c r="E920" s="65"/>
      <c r="F920" s="66"/>
      <c r="G920" s="63"/>
      <c r="H920" s="67"/>
      <c r="I920" s="68"/>
      <c r="J920" s="68"/>
      <c r="K920" s="32"/>
      <c r="L920" s="75">
        <v>920</v>
      </c>
      <c r="M920" s="75"/>
      <c r="N920" s="70"/>
      <c r="O920" s="77" t="s">
        <v>179</v>
      </c>
      <c r="P920" s="79">
        <v>45122.520833333336</v>
      </c>
      <c r="Q920" s="77" t="s">
        <v>2016</v>
      </c>
      <c r="R920" s="77">
        <v>1</v>
      </c>
      <c r="S920" s="77">
        <v>0</v>
      </c>
      <c r="T920" s="77">
        <v>0</v>
      </c>
      <c r="U920" s="77">
        <v>0</v>
      </c>
      <c r="V920" s="77">
        <v>18</v>
      </c>
      <c r="W920" s="82" t="s">
        <v>4721</v>
      </c>
      <c r="X920" s="80" t="str">
        <f>HYPERLINK("https://www.qquest.pt/inscricao/")</f>
        <v>https://www.qquest.pt/inscricao/</v>
      </c>
      <c r="Y920" s="77" t="s">
        <v>6056</v>
      </c>
      <c r="Z920" s="77"/>
      <c r="AA920" s="77" t="s">
        <v>6689</v>
      </c>
      <c r="AB920" s="77" t="s">
        <v>7696</v>
      </c>
      <c r="AC920" s="82" t="s">
        <v>7706</v>
      </c>
      <c r="AD920" s="77" t="s">
        <v>7745</v>
      </c>
      <c r="AE920" s="80" t="str">
        <f>HYPERLINK("https://twitter.com/pqquest/status/1680192992810872834")</f>
        <v>https://twitter.com/pqquest/status/1680192992810872834</v>
      </c>
      <c r="AF920" s="79">
        <v>45122.520833333336</v>
      </c>
      <c r="AG920" s="85">
        <v>45122</v>
      </c>
      <c r="AH920" s="82" t="s">
        <v>8302</v>
      </c>
      <c r="AI920" s="77" t="b">
        <v>0</v>
      </c>
      <c r="AJ920" s="77"/>
      <c r="AK920" s="77"/>
      <c r="AL920" s="77"/>
      <c r="AM920" s="77"/>
      <c r="AN920" s="77"/>
      <c r="AO920" s="77"/>
      <c r="AP920" s="77"/>
      <c r="AQ920" s="77" t="s">
        <v>11196</v>
      </c>
      <c r="AR920" s="77"/>
      <c r="AS920" s="77"/>
      <c r="AT920" s="77"/>
      <c r="AU920" s="77"/>
      <c r="AV920" s="80" t="str">
        <f>HYPERLINK("https://pbs.twimg.com/media/Fw541aZWwAE0PeG.jpg")</f>
        <v>https://pbs.twimg.com/media/Fw541aZWwAE0PeG.jpg</v>
      </c>
      <c r="AW920" s="82" t="s">
        <v>13105</v>
      </c>
      <c r="AX920" s="82" t="s">
        <v>13105</v>
      </c>
      <c r="AY920" s="77"/>
      <c r="AZ920" s="82" t="s">
        <v>15804</v>
      </c>
      <c r="BA920" s="82" t="s">
        <v>15804</v>
      </c>
      <c r="BB920" s="82" t="s">
        <v>15804</v>
      </c>
      <c r="BC920" s="82" t="s">
        <v>13105</v>
      </c>
      <c r="BD920" s="82" t="s">
        <v>16312</v>
      </c>
      <c r="BE920" s="77"/>
      <c r="BF920" s="77"/>
      <c r="BG920" s="77"/>
      <c r="BH920" s="77"/>
      <c r="BI920" s="77"/>
    </row>
    <row r="921" spans="1:61" x14ac:dyDescent="0.25">
      <c r="A921" s="62" t="s">
        <v>542</v>
      </c>
      <c r="B921" s="62" t="s">
        <v>542</v>
      </c>
      <c r="C921" s="63"/>
      <c r="D921" s="64"/>
      <c r="E921" s="65"/>
      <c r="F921" s="66"/>
      <c r="G921" s="63"/>
      <c r="H921" s="67"/>
      <c r="I921" s="68"/>
      <c r="J921" s="68"/>
      <c r="K921" s="32"/>
      <c r="L921" s="75">
        <v>921</v>
      </c>
      <c r="M921" s="75"/>
      <c r="N921" s="70"/>
      <c r="O921" s="77" t="s">
        <v>179</v>
      </c>
      <c r="P921" s="79">
        <v>45082.729166666664</v>
      </c>
      <c r="Q921" s="77" t="s">
        <v>2017</v>
      </c>
      <c r="R921" s="77">
        <v>0</v>
      </c>
      <c r="S921" s="77">
        <v>0</v>
      </c>
      <c r="T921" s="77">
        <v>0</v>
      </c>
      <c r="U921" s="77">
        <v>0</v>
      </c>
      <c r="V921" s="77">
        <v>4</v>
      </c>
      <c r="W921" s="82" t="s">
        <v>4722</v>
      </c>
      <c r="X921" s="80" t="str">
        <f>HYPERLINK("https://www.qquest.pt/inscricao/")</f>
        <v>https://www.qquest.pt/inscricao/</v>
      </c>
      <c r="Y921" s="77" t="s">
        <v>6056</v>
      </c>
      <c r="Z921" s="77"/>
      <c r="AA921" s="77" t="s">
        <v>6690</v>
      </c>
      <c r="AB921" s="77" t="s">
        <v>7696</v>
      </c>
      <c r="AC921" s="82" t="s">
        <v>7706</v>
      </c>
      <c r="AD921" s="77" t="s">
        <v>7745</v>
      </c>
      <c r="AE921" s="80" t="str">
        <f>HYPERLINK("https://twitter.com/pqquest/status/1665772976443392001")</f>
        <v>https://twitter.com/pqquest/status/1665772976443392001</v>
      </c>
      <c r="AF921" s="79">
        <v>45082.729166666664</v>
      </c>
      <c r="AG921" s="85">
        <v>45082</v>
      </c>
      <c r="AH921" s="82" t="s">
        <v>8573</v>
      </c>
      <c r="AI921" s="77" t="b">
        <v>0</v>
      </c>
      <c r="AJ921" s="77"/>
      <c r="AK921" s="77"/>
      <c r="AL921" s="77"/>
      <c r="AM921" s="77"/>
      <c r="AN921" s="77"/>
      <c r="AO921" s="77"/>
      <c r="AP921" s="77"/>
      <c r="AQ921" s="77" t="s">
        <v>11197</v>
      </c>
      <c r="AR921" s="77"/>
      <c r="AS921" s="77"/>
      <c r="AT921" s="77"/>
      <c r="AU921" s="77"/>
      <c r="AV921" s="80" t="str">
        <f>HYPERLINK("https://pbs.twimg.com/media/FufkWWyXsAc3zt3.jpg")</f>
        <v>https://pbs.twimg.com/media/FufkWWyXsAc3zt3.jpg</v>
      </c>
      <c r="AW921" s="82" t="s">
        <v>13106</v>
      </c>
      <c r="AX921" s="82" t="s">
        <v>13106</v>
      </c>
      <c r="AY921" s="77"/>
      <c r="AZ921" s="82" t="s">
        <v>15804</v>
      </c>
      <c r="BA921" s="82" t="s">
        <v>15804</v>
      </c>
      <c r="BB921" s="82" t="s">
        <v>15804</v>
      </c>
      <c r="BC921" s="82" t="s">
        <v>13106</v>
      </c>
      <c r="BD921" s="82" t="s">
        <v>16312</v>
      </c>
      <c r="BE921" s="77"/>
      <c r="BF921" s="77"/>
      <c r="BG921" s="77"/>
      <c r="BH921" s="77"/>
      <c r="BI921" s="77"/>
    </row>
    <row r="922" spans="1:61" x14ac:dyDescent="0.25">
      <c r="A922" s="62" t="s">
        <v>542</v>
      </c>
      <c r="B922" s="62" t="s">
        <v>542</v>
      </c>
      <c r="C922" s="63"/>
      <c r="D922" s="64"/>
      <c r="E922" s="65"/>
      <c r="F922" s="66"/>
      <c r="G922" s="63"/>
      <c r="H922" s="67"/>
      <c r="I922" s="68"/>
      <c r="J922" s="68"/>
      <c r="K922" s="32"/>
      <c r="L922" s="75">
        <v>922</v>
      </c>
      <c r="M922" s="75"/>
      <c r="N922" s="70"/>
      <c r="O922" s="77" t="s">
        <v>179</v>
      </c>
      <c r="P922" s="79">
        <v>45021.750011574077</v>
      </c>
      <c r="Q922" s="77" t="s">
        <v>2018</v>
      </c>
      <c r="R922" s="77">
        <v>0</v>
      </c>
      <c r="S922" s="77">
        <v>0</v>
      </c>
      <c r="T922" s="77">
        <v>0</v>
      </c>
      <c r="U922" s="77">
        <v>0</v>
      </c>
      <c r="V922" s="77">
        <v>14</v>
      </c>
      <c r="W922" s="82" t="s">
        <v>4712</v>
      </c>
      <c r="X922" s="80" t="str">
        <f>HYPERLINK("https://www.qquest.pt/inscricao/")</f>
        <v>https://www.qquest.pt/inscricao/</v>
      </c>
      <c r="Y922" s="77" t="s">
        <v>6056</v>
      </c>
      <c r="Z922" s="77"/>
      <c r="AA922" s="77" t="s">
        <v>6691</v>
      </c>
      <c r="AB922" s="77" t="s">
        <v>7696</v>
      </c>
      <c r="AC922" s="82" t="s">
        <v>7706</v>
      </c>
      <c r="AD922" s="77" t="s">
        <v>7745</v>
      </c>
      <c r="AE922" s="80" t="str">
        <f>HYPERLINK("https://twitter.com/pqquest/status/1643674870826553349")</f>
        <v>https://twitter.com/pqquest/status/1643674870826553349</v>
      </c>
      <c r="AF922" s="79">
        <v>45021.750011574077</v>
      </c>
      <c r="AG922" s="85">
        <v>45021</v>
      </c>
      <c r="AH922" s="82" t="s">
        <v>8579</v>
      </c>
      <c r="AI922" s="77" t="b">
        <v>0</v>
      </c>
      <c r="AJ922" s="77"/>
      <c r="AK922" s="77"/>
      <c r="AL922" s="77"/>
      <c r="AM922" s="77"/>
      <c r="AN922" s="77"/>
      <c r="AO922" s="77"/>
      <c r="AP922" s="77"/>
      <c r="AQ922" s="77" t="s">
        <v>11198</v>
      </c>
      <c r="AR922" s="77"/>
      <c r="AS922" s="77"/>
      <c r="AT922" s="77"/>
      <c r="AU922" s="77"/>
      <c r="AV922" s="80" t="str">
        <f>HYPERLINK("https://pbs.twimg.com/media/FsPFHEuXsAA8XOK.jpg")</f>
        <v>https://pbs.twimg.com/media/FsPFHEuXsAA8XOK.jpg</v>
      </c>
      <c r="AW922" s="82" t="s">
        <v>13107</v>
      </c>
      <c r="AX922" s="82" t="s">
        <v>13107</v>
      </c>
      <c r="AY922" s="77"/>
      <c r="AZ922" s="82" t="s">
        <v>15804</v>
      </c>
      <c r="BA922" s="82" t="s">
        <v>15804</v>
      </c>
      <c r="BB922" s="82" t="s">
        <v>15804</v>
      </c>
      <c r="BC922" s="82" t="s">
        <v>13107</v>
      </c>
      <c r="BD922" s="82" t="s">
        <v>16312</v>
      </c>
      <c r="BE922" s="77"/>
      <c r="BF922" s="77"/>
      <c r="BG922" s="77"/>
      <c r="BH922" s="77"/>
      <c r="BI922" s="77"/>
    </row>
    <row r="923" spans="1:61" x14ac:dyDescent="0.25">
      <c r="A923" s="62" t="s">
        <v>542</v>
      </c>
      <c r="B923" s="62" t="s">
        <v>542</v>
      </c>
      <c r="C923" s="63"/>
      <c r="D923" s="64"/>
      <c r="E923" s="65"/>
      <c r="F923" s="66"/>
      <c r="G923" s="63"/>
      <c r="H923" s="67"/>
      <c r="I923" s="68"/>
      <c r="J923" s="68"/>
      <c r="K923" s="32"/>
      <c r="L923" s="75">
        <v>923</v>
      </c>
      <c r="M923" s="75"/>
      <c r="N923" s="70"/>
      <c r="O923" s="77" t="s">
        <v>179</v>
      </c>
      <c r="P923" s="79">
        <v>44968.4375</v>
      </c>
      <c r="Q923" s="77" t="s">
        <v>2019</v>
      </c>
      <c r="R923" s="77">
        <v>0</v>
      </c>
      <c r="S923" s="77">
        <v>0</v>
      </c>
      <c r="T923" s="77">
        <v>0</v>
      </c>
      <c r="U923" s="77">
        <v>0</v>
      </c>
      <c r="V923" s="77">
        <v>4</v>
      </c>
      <c r="W923" s="82" t="s">
        <v>4723</v>
      </c>
      <c r="X923" s="80" t="str">
        <f>HYPERLINK("https://www.qquest.pt/inscricao/")</f>
        <v>https://www.qquest.pt/inscricao/</v>
      </c>
      <c r="Y923" s="77" t="s">
        <v>6056</v>
      </c>
      <c r="Z923" s="77"/>
      <c r="AA923" s="77" t="s">
        <v>6692</v>
      </c>
      <c r="AB923" s="77" t="s">
        <v>7696</v>
      </c>
      <c r="AC923" s="82" t="s">
        <v>7706</v>
      </c>
      <c r="AD923" s="77" t="s">
        <v>7745</v>
      </c>
      <c r="AE923" s="80" t="str">
        <f>HYPERLINK("https://twitter.com/pqquest/status/1624355060871487488")</f>
        <v>https://twitter.com/pqquest/status/1624355060871487488</v>
      </c>
      <c r="AF923" s="79">
        <v>44968.4375</v>
      </c>
      <c r="AG923" s="85">
        <v>44968</v>
      </c>
      <c r="AH923" s="82" t="s">
        <v>8580</v>
      </c>
      <c r="AI923" s="77" t="b">
        <v>0</v>
      </c>
      <c r="AJ923" s="77"/>
      <c r="AK923" s="77"/>
      <c r="AL923" s="77"/>
      <c r="AM923" s="77"/>
      <c r="AN923" s="77"/>
      <c r="AO923" s="77"/>
      <c r="AP923" s="77"/>
      <c r="AQ923" s="77" t="s">
        <v>11199</v>
      </c>
      <c r="AR923" s="77"/>
      <c r="AS923" s="77"/>
      <c r="AT923" s="77"/>
      <c r="AU923" s="77"/>
      <c r="AV923" s="80" t="str">
        <f>HYPERLINK("https://pbs.twimg.com/media/FojHILfX0AAQwAU.jpg")</f>
        <v>https://pbs.twimg.com/media/FojHILfX0AAQwAU.jpg</v>
      </c>
      <c r="AW923" s="82" t="s">
        <v>13108</v>
      </c>
      <c r="AX923" s="82" t="s">
        <v>13108</v>
      </c>
      <c r="AY923" s="77"/>
      <c r="AZ923" s="82" t="s">
        <v>15804</v>
      </c>
      <c r="BA923" s="82" t="s">
        <v>15804</v>
      </c>
      <c r="BB923" s="82" t="s">
        <v>15804</v>
      </c>
      <c r="BC923" s="82" t="s">
        <v>13108</v>
      </c>
      <c r="BD923" s="82" t="s">
        <v>16312</v>
      </c>
      <c r="BE923" s="77"/>
      <c r="BF923" s="77"/>
      <c r="BG923" s="77"/>
      <c r="BH923" s="77"/>
      <c r="BI923" s="77"/>
    </row>
    <row r="924" spans="1:61" x14ac:dyDescent="0.25">
      <c r="A924" s="62" t="s">
        <v>542</v>
      </c>
      <c r="B924" s="62" t="s">
        <v>542</v>
      </c>
      <c r="C924" s="63"/>
      <c r="D924" s="64"/>
      <c r="E924" s="65"/>
      <c r="F924" s="66"/>
      <c r="G924" s="63"/>
      <c r="H924" s="67"/>
      <c r="I924" s="68"/>
      <c r="J924" s="68"/>
      <c r="K924" s="32"/>
      <c r="L924" s="75">
        <v>924</v>
      </c>
      <c r="M924" s="75"/>
      <c r="N924" s="70"/>
      <c r="O924" s="77" t="s">
        <v>179</v>
      </c>
      <c r="P924" s="79">
        <v>45164.500011574077</v>
      </c>
      <c r="Q924" s="77" t="s">
        <v>2020</v>
      </c>
      <c r="R924" s="77">
        <v>0</v>
      </c>
      <c r="S924" s="77">
        <v>0</v>
      </c>
      <c r="T924" s="77">
        <v>0</v>
      </c>
      <c r="U924" s="77">
        <v>0</v>
      </c>
      <c r="V924" s="77">
        <v>13</v>
      </c>
      <c r="W924" s="82" t="s">
        <v>4713</v>
      </c>
      <c r="X924" s="80" t="str">
        <f>HYPERLINK("https://www.qquest.pt/inscricao/")</f>
        <v>https://www.qquest.pt/inscricao/</v>
      </c>
      <c r="Y924" s="77" t="s">
        <v>6056</v>
      </c>
      <c r="Z924" s="77"/>
      <c r="AA924" s="77" t="s">
        <v>6693</v>
      </c>
      <c r="AB924" s="77" t="s">
        <v>7696</v>
      </c>
      <c r="AC924" s="82" t="s">
        <v>7706</v>
      </c>
      <c r="AD924" s="77" t="s">
        <v>7745</v>
      </c>
      <c r="AE924" s="80" t="str">
        <f>HYPERLINK("https://twitter.com/pqquest/status/1695405736413528207")</f>
        <v>https://twitter.com/pqquest/status/1695405736413528207</v>
      </c>
      <c r="AF924" s="79">
        <v>45164.500011574077</v>
      </c>
      <c r="AG924" s="85">
        <v>45164</v>
      </c>
      <c r="AH924" s="82" t="s">
        <v>7923</v>
      </c>
      <c r="AI924" s="77" t="b">
        <v>0</v>
      </c>
      <c r="AJ924" s="77"/>
      <c r="AK924" s="77"/>
      <c r="AL924" s="77"/>
      <c r="AM924" s="77"/>
      <c r="AN924" s="77"/>
      <c r="AO924" s="77"/>
      <c r="AP924" s="77"/>
      <c r="AQ924" s="77" t="s">
        <v>11200</v>
      </c>
      <c r="AR924" s="77"/>
      <c r="AS924" s="77"/>
      <c r="AT924" s="77"/>
      <c r="AU924" s="77"/>
      <c r="AV924" s="80" t="str">
        <f>HYPERLINK("https://pbs.twimg.com/media/F2XSqukXYAAF5IT.jpg")</f>
        <v>https://pbs.twimg.com/media/F2XSqukXYAAF5IT.jpg</v>
      </c>
      <c r="AW924" s="82" t="s">
        <v>13109</v>
      </c>
      <c r="AX924" s="82" t="s">
        <v>13109</v>
      </c>
      <c r="AY924" s="77"/>
      <c r="AZ924" s="82" t="s">
        <v>15804</v>
      </c>
      <c r="BA924" s="82" t="s">
        <v>15804</v>
      </c>
      <c r="BB924" s="82" t="s">
        <v>15804</v>
      </c>
      <c r="BC924" s="82" t="s">
        <v>13109</v>
      </c>
      <c r="BD924" s="82" t="s">
        <v>16312</v>
      </c>
      <c r="BE924" s="77"/>
      <c r="BF924" s="77"/>
      <c r="BG924" s="77"/>
      <c r="BH924" s="77"/>
      <c r="BI924" s="77"/>
    </row>
    <row r="925" spans="1:61" x14ac:dyDescent="0.25">
      <c r="A925" s="62" t="s">
        <v>542</v>
      </c>
      <c r="B925" s="62" t="s">
        <v>542</v>
      </c>
      <c r="C925" s="63"/>
      <c r="D925" s="64"/>
      <c r="E925" s="65"/>
      <c r="F925" s="66"/>
      <c r="G925" s="63"/>
      <c r="H925" s="67"/>
      <c r="I925" s="68"/>
      <c r="J925" s="68"/>
      <c r="K925" s="32"/>
      <c r="L925" s="75">
        <v>925</v>
      </c>
      <c r="M925" s="75"/>
      <c r="N925" s="70"/>
      <c r="O925" s="77" t="s">
        <v>179</v>
      </c>
      <c r="P925" s="79">
        <v>45148.770833333336</v>
      </c>
      <c r="Q925" s="77" t="s">
        <v>2021</v>
      </c>
      <c r="R925" s="77">
        <v>0</v>
      </c>
      <c r="S925" s="77">
        <v>0</v>
      </c>
      <c r="T925" s="77">
        <v>0</v>
      </c>
      <c r="U925" s="77">
        <v>0</v>
      </c>
      <c r="V925" s="77">
        <v>6</v>
      </c>
      <c r="W925" s="82" t="s">
        <v>4724</v>
      </c>
      <c r="X925" s="80" t="str">
        <f>HYPERLINK("https://www.qquest.pt/inscricao/")</f>
        <v>https://www.qquest.pt/inscricao/</v>
      </c>
      <c r="Y925" s="77" t="s">
        <v>6056</v>
      </c>
      <c r="Z925" s="77"/>
      <c r="AA925" s="77" t="s">
        <v>6694</v>
      </c>
      <c r="AB925" s="77" t="s">
        <v>7696</v>
      </c>
      <c r="AC925" s="82" t="s">
        <v>7706</v>
      </c>
      <c r="AD925" s="77" t="s">
        <v>7745</v>
      </c>
      <c r="AE925" s="80" t="str">
        <f>HYPERLINK("https://twitter.com/pqquest/status/1689705674106646528")</f>
        <v>https://twitter.com/pqquest/status/1689705674106646528</v>
      </c>
      <c r="AF925" s="79">
        <v>45148.770833333336</v>
      </c>
      <c r="AG925" s="85">
        <v>45148</v>
      </c>
      <c r="AH925" s="82" t="s">
        <v>8571</v>
      </c>
      <c r="AI925" s="77" t="b">
        <v>0</v>
      </c>
      <c r="AJ925" s="77"/>
      <c r="AK925" s="77"/>
      <c r="AL925" s="77"/>
      <c r="AM925" s="77"/>
      <c r="AN925" s="77"/>
      <c r="AO925" s="77"/>
      <c r="AP925" s="77"/>
      <c r="AQ925" s="77" t="s">
        <v>11201</v>
      </c>
      <c r="AR925" s="77"/>
      <c r="AS925" s="77"/>
      <c r="AT925" s="77"/>
      <c r="AU925" s="77"/>
      <c r="AV925" s="80" t="str">
        <f>HYPERLINK("https://pbs.twimg.com/media/F2H0eHMWQAIz0ak.jpg")</f>
        <v>https://pbs.twimg.com/media/F2H0eHMWQAIz0ak.jpg</v>
      </c>
      <c r="AW925" s="82" t="s">
        <v>13110</v>
      </c>
      <c r="AX925" s="82" t="s">
        <v>13110</v>
      </c>
      <c r="AY925" s="77"/>
      <c r="AZ925" s="82" t="s">
        <v>15804</v>
      </c>
      <c r="BA925" s="82" t="s">
        <v>15804</v>
      </c>
      <c r="BB925" s="82" t="s">
        <v>15804</v>
      </c>
      <c r="BC925" s="82" t="s">
        <v>13110</v>
      </c>
      <c r="BD925" s="82" t="s">
        <v>16312</v>
      </c>
      <c r="BE925" s="77"/>
      <c r="BF925" s="77"/>
      <c r="BG925" s="77"/>
      <c r="BH925" s="77"/>
      <c r="BI925" s="77"/>
    </row>
    <row r="926" spans="1:61" x14ac:dyDescent="0.25">
      <c r="A926" s="62" t="s">
        <v>542</v>
      </c>
      <c r="B926" s="62" t="s">
        <v>542</v>
      </c>
      <c r="C926" s="63"/>
      <c r="D926" s="64"/>
      <c r="E926" s="65"/>
      <c r="F926" s="66"/>
      <c r="G926" s="63"/>
      <c r="H926" s="67"/>
      <c r="I926" s="68"/>
      <c r="J926" s="68"/>
      <c r="K926" s="32"/>
      <c r="L926" s="75">
        <v>926</v>
      </c>
      <c r="M926" s="75"/>
      <c r="N926" s="70"/>
      <c r="O926" s="77" t="s">
        <v>179</v>
      </c>
      <c r="P926" s="79">
        <v>45114.791678240741</v>
      </c>
      <c r="Q926" s="77" t="s">
        <v>2022</v>
      </c>
      <c r="R926" s="77">
        <v>0</v>
      </c>
      <c r="S926" s="77">
        <v>0</v>
      </c>
      <c r="T926" s="77">
        <v>0</v>
      </c>
      <c r="U926" s="77">
        <v>0</v>
      </c>
      <c r="V926" s="77">
        <v>1</v>
      </c>
      <c r="W926" s="82" t="s">
        <v>4721</v>
      </c>
      <c r="X926" s="80" t="str">
        <f>HYPERLINK("https://www.qquest.pt/inscricao/")</f>
        <v>https://www.qquest.pt/inscricao/</v>
      </c>
      <c r="Y926" s="77" t="s">
        <v>6056</v>
      </c>
      <c r="Z926" s="77"/>
      <c r="AA926" s="77" t="s">
        <v>6695</v>
      </c>
      <c r="AB926" s="77" t="s">
        <v>7696</v>
      </c>
      <c r="AC926" s="82" t="s">
        <v>7706</v>
      </c>
      <c r="AD926" s="77" t="s">
        <v>7745</v>
      </c>
      <c r="AE926" s="80" t="str">
        <f>HYPERLINK("https://twitter.com/pqquest/status/1677392039879516182")</f>
        <v>https://twitter.com/pqquest/status/1677392039879516182</v>
      </c>
      <c r="AF926" s="79">
        <v>45114.791678240741</v>
      </c>
      <c r="AG926" s="85">
        <v>45114</v>
      </c>
      <c r="AH926" s="82" t="s">
        <v>8569</v>
      </c>
      <c r="AI926" s="77" t="b">
        <v>0</v>
      </c>
      <c r="AJ926" s="77"/>
      <c r="AK926" s="77"/>
      <c r="AL926" s="77"/>
      <c r="AM926" s="77"/>
      <c r="AN926" s="77"/>
      <c r="AO926" s="77"/>
      <c r="AP926" s="77"/>
      <c r="AQ926" s="77" t="s">
        <v>11202</v>
      </c>
      <c r="AR926" s="77"/>
      <c r="AS926" s="77"/>
      <c r="AT926" s="77"/>
      <c r="AU926" s="77"/>
      <c r="AV926" s="80" t="str">
        <f>HYPERLINK("https://pbs.twimg.com/media/FwZ-wVIWIAAMiEH.jpg")</f>
        <v>https://pbs.twimg.com/media/FwZ-wVIWIAAMiEH.jpg</v>
      </c>
      <c r="AW926" s="82" t="s">
        <v>13111</v>
      </c>
      <c r="AX926" s="82" t="s">
        <v>13111</v>
      </c>
      <c r="AY926" s="77"/>
      <c r="AZ926" s="82" t="s">
        <v>15804</v>
      </c>
      <c r="BA926" s="82" t="s">
        <v>15804</v>
      </c>
      <c r="BB926" s="82" t="s">
        <v>15804</v>
      </c>
      <c r="BC926" s="82" t="s">
        <v>13111</v>
      </c>
      <c r="BD926" s="82" t="s">
        <v>16312</v>
      </c>
      <c r="BE926" s="77"/>
      <c r="BF926" s="77"/>
      <c r="BG926" s="77"/>
      <c r="BH926" s="77"/>
      <c r="BI926" s="77"/>
    </row>
    <row r="927" spans="1:61" x14ac:dyDescent="0.25">
      <c r="A927" s="62" t="s">
        <v>542</v>
      </c>
      <c r="B927" s="62" t="s">
        <v>542</v>
      </c>
      <c r="C927" s="63"/>
      <c r="D927" s="64"/>
      <c r="E927" s="65"/>
      <c r="F927" s="66"/>
      <c r="G927" s="63"/>
      <c r="H927" s="67"/>
      <c r="I927" s="68"/>
      <c r="J927" s="68"/>
      <c r="K927" s="32"/>
      <c r="L927" s="75">
        <v>927</v>
      </c>
      <c r="M927" s="75"/>
      <c r="N927" s="70"/>
      <c r="O927" s="77" t="s">
        <v>179</v>
      </c>
      <c r="P927" s="79">
        <v>45075.520833333336</v>
      </c>
      <c r="Q927" s="77" t="s">
        <v>2023</v>
      </c>
      <c r="R927" s="77">
        <v>0</v>
      </c>
      <c r="S927" s="77">
        <v>0</v>
      </c>
      <c r="T927" s="77">
        <v>0</v>
      </c>
      <c r="U927" s="77">
        <v>0</v>
      </c>
      <c r="V927" s="77">
        <v>2</v>
      </c>
      <c r="W927" s="82" t="s">
        <v>4717</v>
      </c>
      <c r="X927" s="80" t="str">
        <f>HYPERLINK("https://www.qquest.pt/inscricao/")</f>
        <v>https://www.qquest.pt/inscricao/</v>
      </c>
      <c r="Y927" s="77" t="s">
        <v>6056</v>
      </c>
      <c r="Z927" s="77"/>
      <c r="AA927" s="77" t="s">
        <v>6696</v>
      </c>
      <c r="AB927" s="77" t="s">
        <v>7696</v>
      </c>
      <c r="AC927" s="82" t="s">
        <v>7706</v>
      </c>
      <c r="AD927" s="77" t="s">
        <v>7745</v>
      </c>
      <c r="AE927" s="80" t="str">
        <f>HYPERLINK("https://twitter.com/pqquest/status/1663160763496775681")</f>
        <v>https://twitter.com/pqquest/status/1663160763496775681</v>
      </c>
      <c r="AF927" s="79">
        <v>45075.520833333336</v>
      </c>
      <c r="AG927" s="85">
        <v>45075</v>
      </c>
      <c r="AH927" s="82" t="s">
        <v>8302</v>
      </c>
      <c r="AI927" s="77" t="b">
        <v>0</v>
      </c>
      <c r="AJ927" s="77"/>
      <c r="AK927" s="77"/>
      <c r="AL927" s="77"/>
      <c r="AM927" s="77"/>
      <c r="AN927" s="77"/>
      <c r="AO927" s="77"/>
      <c r="AP927" s="77"/>
      <c r="AQ927" s="77" t="s">
        <v>11203</v>
      </c>
      <c r="AR927" s="77"/>
      <c r="AS927" s="77"/>
      <c r="AT927" s="77"/>
      <c r="AU927" s="77"/>
      <c r="AV927" s="80" t="str">
        <f>HYPERLINK("https://pbs.twimg.com/media/FufdIV9XsAInaYr.jpg")</f>
        <v>https://pbs.twimg.com/media/FufdIV9XsAInaYr.jpg</v>
      </c>
      <c r="AW927" s="82" t="s">
        <v>13112</v>
      </c>
      <c r="AX927" s="82" t="s">
        <v>13112</v>
      </c>
      <c r="AY927" s="77"/>
      <c r="AZ927" s="82" t="s">
        <v>15804</v>
      </c>
      <c r="BA927" s="82" t="s">
        <v>15804</v>
      </c>
      <c r="BB927" s="82" t="s">
        <v>15804</v>
      </c>
      <c r="BC927" s="82" t="s">
        <v>13112</v>
      </c>
      <c r="BD927" s="82" t="s">
        <v>16312</v>
      </c>
      <c r="BE927" s="77"/>
      <c r="BF927" s="77"/>
      <c r="BG927" s="77"/>
      <c r="BH927" s="77"/>
      <c r="BI927" s="77"/>
    </row>
    <row r="928" spans="1:61" x14ac:dyDescent="0.25">
      <c r="A928" s="62" t="s">
        <v>542</v>
      </c>
      <c r="B928" s="62" t="s">
        <v>542</v>
      </c>
      <c r="C928" s="63"/>
      <c r="D928" s="64"/>
      <c r="E928" s="65"/>
      <c r="F928" s="66"/>
      <c r="G928" s="63"/>
      <c r="H928" s="67"/>
      <c r="I928" s="68"/>
      <c r="J928" s="68"/>
      <c r="K928" s="32"/>
      <c r="L928" s="75">
        <v>928</v>
      </c>
      <c r="M928" s="75"/>
      <c r="N928" s="70"/>
      <c r="O928" s="77" t="s">
        <v>179</v>
      </c>
      <c r="P928" s="79">
        <v>44991.5625</v>
      </c>
      <c r="Q928" s="77" t="s">
        <v>2024</v>
      </c>
      <c r="R928" s="77">
        <v>0</v>
      </c>
      <c r="S928" s="77">
        <v>0</v>
      </c>
      <c r="T928" s="77">
        <v>0</v>
      </c>
      <c r="U928" s="77">
        <v>0</v>
      </c>
      <c r="V928" s="77">
        <v>6</v>
      </c>
      <c r="W928" s="82" t="s">
        <v>4725</v>
      </c>
      <c r="X928" s="80" t="str">
        <f>HYPERLINK("https://www.qquest.pt/inscricao/")</f>
        <v>https://www.qquest.pt/inscricao/</v>
      </c>
      <c r="Y928" s="77" t="s">
        <v>6056</v>
      </c>
      <c r="Z928" s="77"/>
      <c r="AA928" s="77" t="s">
        <v>6697</v>
      </c>
      <c r="AB928" s="77" t="s">
        <v>7696</v>
      </c>
      <c r="AC928" s="82" t="s">
        <v>7706</v>
      </c>
      <c r="AD928" s="77" t="s">
        <v>7745</v>
      </c>
      <c r="AE928" s="80" t="str">
        <f>HYPERLINK("https://twitter.com/pqquest/status/1632735280032804871")</f>
        <v>https://twitter.com/pqquest/status/1632735280032804871</v>
      </c>
      <c r="AF928" s="79">
        <v>44991.5625</v>
      </c>
      <c r="AG928" s="85">
        <v>44991</v>
      </c>
      <c r="AH928" s="82" t="s">
        <v>8546</v>
      </c>
      <c r="AI928" s="77" t="b">
        <v>0</v>
      </c>
      <c r="AJ928" s="77"/>
      <c r="AK928" s="77"/>
      <c r="AL928" s="77"/>
      <c r="AM928" s="77"/>
      <c r="AN928" s="77"/>
      <c r="AO928" s="77"/>
      <c r="AP928" s="77"/>
      <c r="AQ928" s="77" t="s">
        <v>11204</v>
      </c>
      <c r="AR928" s="77"/>
      <c r="AS928" s="77"/>
      <c r="AT928" s="77"/>
      <c r="AU928" s="77"/>
      <c r="AV928" s="80" t="str">
        <f>HYPERLINK("https://pbs.twimg.com/media/Fp_rP9DXwAMLPtA.jpg")</f>
        <v>https://pbs.twimg.com/media/Fp_rP9DXwAMLPtA.jpg</v>
      </c>
      <c r="AW928" s="82" t="s">
        <v>13113</v>
      </c>
      <c r="AX928" s="82" t="s">
        <v>13113</v>
      </c>
      <c r="AY928" s="77"/>
      <c r="AZ928" s="82" t="s">
        <v>15804</v>
      </c>
      <c r="BA928" s="82" t="s">
        <v>15804</v>
      </c>
      <c r="BB928" s="82" t="s">
        <v>15804</v>
      </c>
      <c r="BC928" s="82" t="s">
        <v>13113</v>
      </c>
      <c r="BD928" s="82" t="s">
        <v>16312</v>
      </c>
      <c r="BE928" s="77"/>
      <c r="BF928" s="77"/>
      <c r="BG928" s="77"/>
      <c r="BH928" s="77"/>
      <c r="BI928" s="77"/>
    </row>
    <row r="929" spans="1:61" x14ac:dyDescent="0.25">
      <c r="A929" s="62" t="s">
        <v>542</v>
      </c>
      <c r="B929" s="62" t="s">
        <v>542</v>
      </c>
      <c r="C929" s="63"/>
      <c r="D929" s="64"/>
      <c r="E929" s="65"/>
      <c r="F929" s="66"/>
      <c r="G929" s="63"/>
      <c r="H929" s="67"/>
      <c r="I929" s="68"/>
      <c r="J929" s="68"/>
      <c r="K929" s="32"/>
      <c r="L929" s="75">
        <v>929</v>
      </c>
      <c r="M929" s="75"/>
      <c r="N929" s="70"/>
      <c r="O929" s="77" t="s">
        <v>179</v>
      </c>
      <c r="P929" s="79">
        <v>44988.854166666664</v>
      </c>
      <c r="Q929" s="77" t="s">
        <v>2025</v>
      </c>
      <c r="R929" s="77">
        <v>0</v>
      </c>
      <c r="S929" s="77">
        <v>0</v>
      </c>
      <c r="T929" s="77">
        <v>0</v>
      </c>
      <c r="U929" s="77">
        <v>0</v>
      </c>
      <c r="V929" s="77">
        <v>3</v>
      </c>
      <c r="W929" s="82" t="s">
        <v>4726</v>
      </c>
      <c r="X929" s="80" t="str">
        <f>HYPERLINK("https://www.qquest.pt/inscricao/")</f>
        <v>https://www.qquest.pt/inscricao/</v>
      </c>
      <c r="Y929" s="77" t="s">
        <v>6056</v>
      </c>
      <c r="Z929" s="77"/>
      <c r="AA929" s="77" t="s">
        <v>6698</v>
      </c>
      <c r="AB929" s="77" t="s">
        <v>7696</v>
      </c>
      <c r="AC929" s="82" t="s">
        <v>7706</v>
      </c>
      <c r="AD929" s="77" t="s">
        <v>7745</v>
      </c>
      <c r="AE929" s="80" t="str">
        <f>HYPERLINK("https://twitter.com/pqquest/status/1631753813156659215")</f>
        <v>https://twitter.com/pqquest/status/1631753813156659215</v>
      </c>
      <c r="AF929" s="79">
        <v>44988.854166666664</v>
      </c>
      <c r="AG929" s="85">
        <v>44988</v>
      </c>
      <c r="AH929" s="82" t="s">
        <v>8575</v>
      </c>
      <c r="AI929" s="77" t="b">
        <v>0</v>
      </c>
      <c r="AJ929" s="77"/>
      <c r="AK929" s="77"/>
      <c r="AL929" s="77"/>
      <c r="AM929" s="77"/>
      <c r="AN929" s="77"/>
      <c r="AO929" s="77"/>
      <c r="AP929" s="77"/>
      <c r="AQ929" s="77" t="s">
        <v>11205</v>
      </c>
      <c r="AR929" s="77"/>
      <c r="AS929" s="77"/>
      <c r="AT929" s="77"/>
      <c r="AU929" s="77"/>
      <c r="AV929" s="80" t="str">
        <f>HYPERLINK("https://pbs.twimg.com/media/Fp_oBUeXwAYO8Hl.jpg")</f>
        <v>https://pbs.twimg.com/media/Fp_oBUeXwAYO8Hl.jpg</v>
      </c>
      <c r="AW929" s="82" t="s">
        <v>13114</v>
      </c>
      <c r="AX929" s="82" t="s">
        <v>13114</v>
      </c>
      <c r="AY929" s="77"/>
      <c r="AZ929" s="82" t="s">
        <v>15804</v>
      </c>
      <c r="BA929" s="82" t="s">
        <v>15804</v>
      </c>
      <c r="BB929" s="82" t="s">
        <v>15804</v>
      </c>
      <c r="BC929" s="82" t="s">
        <v>13114</v>
      </c>
      <c r="BD929" s="82" t="s">
        <v>16312</v>
      </c>
      <c r="BE929" s="77"/>
      <c r="BF929" s="77"/>
      <c r="BG929" s="77"/>
      <c r="BH929" s="77"/>
      <c r="BI929" s="77"/>
    </row>
    <row r="930" spans="1:61" x14ac:dyDescent="0.25">
      <c r="A930" s="62" t="s">
        <v>542</v>
      </c>
      <c r="B930" s="62" t="s">
        <v>542</v>
      </c>
      <c r="C930" s="63"/>
      <c r="D930" s="64"/>
      <c r="E930" s="65"/>
      <c r="F930" s="66"/>
      <c r="G930" s="63"/>
      <c r="H930" s="67"/>
      <c r="I930" s="68"/>
      <c r="J930" s="68"/>
      <c r="K930" s="32"/>
      <c r="L930" s="75">
        <v>930</v>
      </c>
      <c r="M930" s="75"/>
      <c r="N930" s="70"/>
      <c r="O930" s="77" t="s">
        <v>179</v>
      </c>
      <c r="P930" s="79">
        <v>44986.416678240741</v>
      </c>
      <c r="Q930" s="77" t="s">
        <v>2026</v>
      </c>
      <c r="R930" s="77">
        <v>0</v>
      </c>
      <c r="S930" s="77">
        <v>0</v>
      </c>
      <c r="T930" s="77">
        <v>0</v>
      </c>
      <c r="U930" s="77">
        <v>0</v>
      </c>
      <c r="V930" s="77">
        <v>2</v>
      </c>
      <c r="W930" s="82" t="s">
        <v>4718</v>
      </c>
      <c r="X930" s="80" t="str">
        <f>HYPERLINK("https://www.qquest.pt/inscricao/")</f>
        <v>https://www.qquest.pt/inscricao/</v>
      </c>
      <c r="Y930" s="77" t="s">
        <v>6056</v>
      </c>
      <c r="Z930" s="77"/>
      <c r="AA930" s="77" t="s">
        <v>6699</v>
      </c>
      <c r="AB930" s="77" t="s">
        <v>7696</v>
      </c>
      <c r="AC930" s="82" t="s">
        <v>7706</v>
      </c>
      <c r="AD930" s="77" t="s">
        <v>7745</v>
      </c>
      <c r="AE930" s="80" t="str">
        <f>HYPERLINK("https://twitter.com/pqquest/status/1630870496161017856")</f>
        <v>https://twitter.com/pqquest/status/1630870496161017856</v>
      </c>
      <c r="AF930" s="79">
        <v>44986.416678240741</v>
      </c>
      <c r="AG930" s="85">
        <v>44986</v>
      </c>
      <c r="AH930" s="82" t="s">
        <v>8544</v>
      </c>
      <c r="AI930" s="77" t="b">
        <v>0</v>
      </c>
      <c r="AJ930" s="77"/>
      <c r="AK930" s="77"/>
      <c r="AL930" s="77"/>
      <c r="AM930" s="77"/>
      <c r="AN930" s="77"/>
      <c r="AO930" s="77"/>
      <c r="AP930" s="77"/>
      <c r="AQ930" s="77" t="s">
        <v>11206</v>
      </c>
      <c r="AR930" s="77"/>
      <c r="AS930" s="77"/>
      <c r="AT930" s="77"/>
      <c r="AU930" s="77"/>
      <c r="AV930" s="80" t="str">
        <f>HYPERLINK("https://pbs.twimg.com/media/Fp_DwtSXgAYLkig.jpg")</f>
        <v>https://pbs.twimg.com/media/Fp_DwtSXgAYLkig.jpg</v>
      </c>
      <c r="AW930" s="82" t="s">
        <v>13115</v>
      </c>
      <c r="AX930" s="82" t="s">
        <v>13115</v>
      </c>
      <c r="AY930" s="77"/>
      <c r="AZ930" s="82" t="s">
        <v>15804</v>
      </c>
      <c r="BA930" s="82" t="s">
        <v>15804</v>
      </c>
      <c r="BB930" s="82" t="s">
        <v>15804</v>
      </c>
      <c r="BC930" s="82" t="s">
        <v>13115</v>
      </c>
      <c r="BD930" s="82" t="s">
        <v>16312</v>
      </c>
      <c r="BE930" s="77"/>
      <c r="BF930" s="77"/>
      <c r="BG930" s="77"/>
      <c r="BH930" s="77"/>
      <c r="BI930" s="77"/>
    </row>
    <row r="931" spans="1:61" x14ac:dyDescent="0.25">
      <c r="A931" s="62" t="s">
        <v>542</v>
      </c>
      <c r="B931" s="62" t="s">
        <v>542</v>
      </c>
      <c r="C931" s="63"/>
      <c r="D931" s="64"/>
      <c r="E931" s="65"/>
      <c r="F931" s="66"/>
      <c r="G931" s="63"/>
      <c r="H931" s="67"/>
      <c r="I931" s="68"/>
      <c r="J931" s="68"/>
      <c r="K931" s="32"/>
      <c r="L931" s="75">
        <v>931</v>
      </c>
      <c r="M931" s="75"/>
      <c r="N931" s="70"/>
      <c r="O931" s="77" t="s">
        <v>179</v>
      </c>
      <c r="P931" s="79">
        <v>45166.520833333336</v>
      </c>
      <c r="Q931" s="77" t="s">
        <v>2027</v>
      </c>
      <c r="R931" s="77">
        <v>0</v>
      </c>
      <c r="S931" s="77">
        <v>0</v>
      </c>
      <c r="T931" s="77">
        <v>0</v>
      </c>
      <c r="U931" s="77">
        <v>0</v>
      </c>
      <c r="V931" s="77">
        <v>8</v>
      </c>
      <c r="W931" s="82" t="s">
        <v>4727</v>
      </c>
      <c r="X931" s="80" t="str">
        <f>HYPERLINK("https://www.qquest.pt/inscricao/")</f>
        <v>https://www.qquest.pt/inscricao/</v>
      </c>
      <c r="Y931" s="77" t="s">
        <v>6056</v>
      </c>
      <c r="Z931" s="77"/>
      <c r="AA931" s="77" t="s">
        <v>6700</v>
      </c>
      <c r="AB931" s="77" t="s">
        <v>7696</v>
      </c>
      <c r="AC931" s="82" t="s">
        <v>7706</v>
      </c>
      <c r="AD931" s="77" t="s">
        <v>7745</v>
      </c>
      <c r="AE931" s="80" t="str">
        <f>HYPERLINK("https://twitter.com/pqquest/status/1696138058083586160")</f>
        <v>https://twitter.com/pqquest/status/1696138058083586160</v>
      </c>
      <c r="AF931" s="79">
        <v>45166.520833333336</v>
      </c>
      <c r="AG931" s="85">
        <v>45166</v>
      </c>
      <c r="AH931" s="82" t="s">
        <v>8302</v>
      </c>
      <c r="AI931" s="77" t="b">
        <v>0</v>
      </c>
      <c r="AJ931" s="77"/>
      <c r="AK931" s="77"/>
      <c r="AL931" s="77"/>
      <c r="AM931" s="77"/>
      <c r="AN931" s="77"/>
      <c r="AO931" s="77"/>
      <c r="AP931" s="77"/>
      <c r="AQ931" s="77" t="s">
        <v>11207</v>
      </c>
      <c r="AR931" s="77"/>
      <c r="AS931" s="77"/>
      <c r="AT931" s="77"/>
      <c r="AU931" s="77"/>
      <c r="AV931" s="80" t="str">
        <f>HYPERLINK("https://pbs.twimg.com/media/F3LmgYzXUAEzUUH.jpg")</f>
        <v>https://pbs.twimg.com/media/F3LmgYzXUAEzUUH.jpg</v>
      </c>
      <c r="AW931" s="82" t="s">
        <v>13116</v>
      </c>
      <c r="AX931" s="82" t="s">
        <v>13116</v>
      </c>
      <c r="AY931" s="77"/>
      <c r="AZ931" s="82" t="s">
        <v>15804</v>
      </c>
      <c r="BA931" s="82" t="s">
        <v>15804</v>
      </c>
      <c r="BB931" s="82" t="s">
        <v>15804</v>
      </c>
      <c r="BC931" s="82" t="s">
        <v>13116</v>
      </c>
      <c r="BD931" s="82" t="s">
        <v>16312</v>
      </c>
      <c r="BE931" s="77"/>
      <c r="BF931" s="77"/>
      <c r="BG931" s="77"/>
      <c r="BH931" s="77"/>
      <c r="BI931" s="77"/>
    </row>
    <row r="932" spans="1:61" x14ac:dyDescent="0.25">
      <c r="A932" s="62" t="s">
        <v>542</v>
      </c>
      <c r="B932" s="62" t="s">
        <v>542</v>
      </c>
      <c r="C932" s="63"/>
      <c r="D932" s="64"/>
      <c r="E932" s="65"/>
      <c r="F932" s="66"/>
      <c r="G932" s="63"/>
      <c r="H932" s="67"/>
      <c r="I932" s="68"/>
      <c r="J932" s="68"/>
      <c r="K932" s="32"/>
      <c r="L932" s="75">
        <v>932</v>
      </c>
      <c r="M932" s="75"/>
      <c r="N932" s="70"/>
      <c r="O932" s="77" t="s">
        <v>179</v>
      </c>
      <c r="P932" s="79">
        <v>45009.854166666664</v>
      </c>
      <c r="Q932" s="77" t="s">
        <v>2028</v>
      </c>
      <c r="R932" s="77">
        <v>0</v>
      </c>
      <c r="S932" s="77">
        <v>0</v>
      </c>
      <c r="T932" s="77">
        <v>0</v>
      </c>
      <c r="U932" s="77">
        <v>0</v>
      </c>
      <c r="V932" s="77">
        <v>8</v>
      </c>
      <c r="W932" s="82" t="s">
        <v>4712</v>
      </c>
      <c r="X932" s="80" t="str">
        <f>HYPERLINK("https://www.qquest.pt/inscricao/")</f>
        <v>https://www.qquest.pt/inscricao/</v>
      </c>
      <c r="Y932" s="77" t="s">
        <v>6056</v>
      </c>
      <c r="Z932" s="77"/>
      <c r="AA932" s="77" t="s">
        <v>6701</v>
      </c>
      <c r="AB932" s="77" t="s">
        <v>7696</v>
      </c>
      <c r="AC932" s="82" t="s">
        <v>7706</v>
      </c>
      <c r="AD932" s="77" t="s">
        <v>7745</v>
      </c>
      <c r="AE932" s="80" t="str">
        <f>HYPERLINK("https://twitter.com/pqquest/status/1639363959206850560")</f>
        <v>https://twitter.com/pqquest/status/1639363959206850560</v>
      </c>
      <c r="AF932" s="79">
        <v>45009.854166666664</v>
      </c>
      <c r="AG932" s="85">
        <v>45009</v>
      </c>
      <c r="AH932" s="82" t="s">
        <v>8575</v>
      </c>
      <c r="AI932" s="77" t="b">
        <v>0</v>
      </c>
      <c r="AJ932" s="77"/>
      <c r="AK932" s="77"/>
      <c r="AL932" s="77"/>
      <c r="AM932" s="77"/>
      <c r="AN932" s="77"/>
      <c r="AO932" s="77"/>
      <c r="AP932" s="77"/>
      <c r="AQ932" s="77" t="s">
        <v>11208</v>
      </c>
      <c r="AR932" s="77"/>
      <c r="AS932" s="77"/>
      <c r="AT932" s="77"/>
      <c r="AU932" s="77"/>
      <c r="AV932" s="80" t="str">
        <f>HYPERLINK("https://pbs.twimg.com/media/FrrRLekXwAI-9Q9.jpg")</f>
        <v>https://pbs.twimg.com/media/FrrRLekXwAI-9Q9.jpg</v>
      </c>
      <c r="AW932" s="82" t="s">
        <v>13117</v>
      </c>
      <c r="AX932" s="82" t="s">
        <v>13117</v>
      </c>
      <c r="AY932" s="77"/>
      <c r="AZ932" s="82" t="s">
        <v>15804</v>
      </c>
      <c r="BA932" s="82" t="s">
        <v>15804</v>
      </c>
      <c r="BB932" s="82" t="s">
        <v>15804</v>
      </c>
      <c r="BC932" s="82" t="s">
        <v>13117</v>
      </c>
      <c r="BD932" s="82" t="s">
        <v>16312</v>
      </c>
      <c r="BE932" s="77"/>
      <c r="BF932" s="77"/>
      <c r="BG932" s="77"/>
      <c r="BH932" s="77"/>
      <c r="BI932" s="77"/>
    </row>
    <row r="933" spans="1:61" x14ac:dyDescent="0.25">
      <c r="A933" s="62" t="s">
        <v>542</v>
      </c>
      <c r="B933" s="62" t="s">
        <v>542</v>
      </c>
      <c r="C933" s="63"/>
      <c r="D933" s="64"/>
      <c r="E933" s="65"/>
      <c r="F933" s="66"/>
      <c r="G933" s="63"/>
      <c r="H933" s="67"/>
      <c r="I933" s="68"/>
      <c r="J933" s="68"/>
      <c r="K933" s="32"/>
      <c r="L933" s="75">
        <v>933</v>
      </c>
      <c r="M933" s="75"/>
      <c r="N933" s="70"/>
      <c r="O933" s="77" t="s">
        <v>179</v>
      </c>
      <c r="P933" s="79">
        <v>44964.770833333336</v>
      </c>
      <c r="Q933" s="77" t="s">
        <v>2029</v>
      </c>
      <c r="R933" s="77">
        <v>0</v>
      </c>
      <c r="S933" s="77">
        <v>0</v>
      </c>
      <c r="T933" s="77">
        <v>0</v>
      </c>
      <c r="U933" s="77">
        <v>0</v>
      </c>
      <c r="V933" s="77">
        <v>9</v>
      </c>
      <c r="W933" s="82" t="s">
        <v>4726</v>
      </c>
      <c r="X933" s="80" t="str">
        <f>HYPERLINK("https://www.qquest.pt/inscricao/")</f>
        <v>https://www.qquest.pt/inscricao/</v>
      </c>
      <c r="Y933" s="77" t="s">
        <v>6056</v>
      </c>
      <c r="Z933" s="77"/>
      <c r="AA933" s="77" t="s">
        <v>6702</v>
      </c>
      <c r="AB933" s="77" t="s">
        <v>7696</v>
      </c>
      <c r="AC933" s="82" t="s">
        <v>7706</v>
      </c>
      <c r="AD933" s="77" t="s">
        <v>7745</v>
      </c>
      <c r="AE933" s="80" t="str">
        <f>HYPERLINK("https://twitter.com/pqquest/status/1623026308400746506")</f>
        <v>https://twitter.com/pqquest/status/1623026308400746506</v>
      </c>
      <c r="AF933" s="79">
        <v>44964.770833333336</v>
      </c>
      <c r="AG933" s="85">
        <v>44964</v>
      </c>
      <c r="AH933" s="82" t="s">
        <v>8571</v>
      </c>
      <c r="AI933" s="77" t="b">
        <v>0</v>
      </c>
      <c r="AJ933" s="77"/>
      <c r="AK933" s="77"/>
      <c r="AL933" s="77"/>
      <c r="AM933" s="77"/>
      <c r="AN933" s="77"/>
      <c r="AO933" s="77"/>
      <c r="AP933" s="77"/>
      <c r="AQ933" s="77" t="s">
        <v>11209</v>
      </c>
      <c r="AR933" s="77"/>
      <c r="AS933" s="77"/>
      <c r="AT933" s="77"/>
      <c r="AU933" s="77"/>
      <c r="AV933" s="80" t="str">
        <f>HYPERLINK("https://pbs.twimg.com/media/FnVnQTcXgAAeE8v.jpg")</f>
        <v>https://pbs.twimg.com/media/FnVnQTcXgAAeE8v.jpg</v>
      </c>
      <c r="AW933" s="82" t="s">
        <v>13118</v>
      </c>
      <c r="AX933" s="82" t="s">
        <v>13118</v>
      </c>
      <c r="AY933" s="77"/>
      <c r="AZ933" s="82" t="s">
        <v>15804</v>
      </c>
      <c r="BA933" s="82" t="s">
        <v>15804</v>
      </c>
      <c r="BB933" s="82" t="s">
        <v>15804</v>
      </c>
      <c r="BC933" s="82" t="s">
        <v>13118</v>
      </c>
      <c r="BD933" s="82" t="s">
        <v>16312</v>
      </c>
      <c r="BE933" s="77"/>
      <c r="BF933" s="77"/>
      <c r="BG933" s="77"/>
      <c r="BH933" s="77"/>
      <c r="BI933" s="77"/>
    </row>
    <row r="934" spans="1:61" x14ac:dyDescent="0.25">
      <c r="A934" s="62" t="s">
        <v>542</v>
      </c>
      <c r="B934" s="62" t="s">
        <v>542</v>
      </c>
      <c r="C934" s="63"/>
      <c r="D934" s="64"/>
      <c r="E934" s="65"/>
      <c r="F934" s="66"/>
      <c r="G934" s="63"/>
      <c r="H934" s="67"/>
      <c r="I934" s="68"/>
      <c r="J934" s="68"/>
      <c r="K934" s="32"/>
      <c r="L934" s="75">
        <v>934</v>
      </c>
      <c r="M934" s="75"/>
      <c r="N934" s="70"/>
      <c r="O934" s="77" t="s">
        <v>179</v>
      </c>
      <c r="P934" s="79">
        <v>44961.416689814818</v>
      </c>
      <c r="Q934" s="77" t="s">
        <v>2030</v>
      </c>
      <c r="R934" s="77">
        <v>0</v>
      </c>
      <c r="S934" s="77">
        <v>0</v>
      </c>
      <c r="T934" s="77">
        <v>0</v>
      </c>
      <c r="U934" s="77">
        <v>0</v>
      </c>
      <c r="V934" s="77">
        <v>5</v>
      </c>
      <c r="W934" s="82" t="s">
        <v>4728</v>
      </c>
      <c r="X934" s="80" t="str">
        <f>HYPERLINK("https://www.qquest.pt/inscricao/")</f>
        <v>https://www.qquest.pt/inscricao/</v>
      </c>
      <c r="Y934" s="77" t="s">
        <v>6056</v>
      </c>
      <c r="Z934" s="77"/>
      <c r="AA934" s="77" t="s">
        <v>6703</v>
      </c>
      <c r="AB934" s="77" t="s">
        <v>7696</v>
      </c>
      <c r="AC934" s="82" t="s">
        <v>7706</v>
      </c>
      <c r="AD934" s="77" t="s">
        <v>7745</v>
      </c>
      <c r="AE934" s="80" t="str">
        <f>HYPERLINK("https://twitter.com/pqquest/status/1621810805128966145")</f>
        <v>https://twitter.com/pqquest/status/1621810805128966145</v>
      </c>
      <c r="AF934" s="79">
        <v>44961.416689814818</v>
      </c>
      <c r="AG934" s="85">
        <v>44961</v>
      </c>
      <c r="AH934" s="82" t="s">
        <v>8581</v>
      </c>
      <c r="AI934" s="77" t="b">
        <v>0</v>
      </c>
      <c r="AJ934" s="77"/>
      <c r="AK934" s="77"/>
      <c r="AL934" s="77"/>
      <c r="AM934" s="77"/>
      <c r="AN934" s="77"/>
      <c r="AO934" s="77"/>
      <c r="AP934" s="77"/>
      <c r="AQ934" s="77" t="s">
        <v>11210</v>
      </c>
      <c r="AR934" s="77"/>
      <c r="AS934" s="77"/>
      <c r="AT934" s="77"/>
      <c r="AU934" s="77"/>
      <c r="AV934" s="80" t="str">
        <f>HYPERLINK("https://pbs.twimg.com/media/FnVHmqKXkAAFy2a.jpg")</f>
        <v>https://pbs.twimg.com/media/FnVHmqKXkAAFy2a.jpg</v>
      </c>
      <c r="AW934" s="82" t="s">
        <v>13119</v>
      </c>
      <c r="AX934" s="82" t="s">
        <v>13119</v>
      </c>
      <c r="AY934" s="77"/>
      <c r="AZ934" s="82" t="s">
        <v>15804</v>
      </c>
      <c r="BA934" s="82" t="s">
        <v>15804</v>
      </c>
      <c r="BB934" s="82" t="s">
        <v>15804</v>
      </c>
      <c r="BC934" s="82" t="s">
        <v>13119</v>
      </c>
      <c r="BD934" s="82" t="s">
        <v>16312</v>
      </c>
      <c r="BE934" s="77"/>
      <c r="BF934" s="77"/>
      <c r="BG934" s="77"/>
      <c r="BH934" s="77"/>
      <c r="BI934" s="77"/>
    </row>
    <row r="935" spans="1:61" x14ac:dyDescent="0.25">
      <c r="A935" s="62" t="s">
        <v>542</v>
      </c>
      <c r="B935" s="62" t="s">
        <v>542</v>
      </c>
      <c r="C935" s="63"/>
      <c r="D935" s="64"/>
      <c r="E935" s="65"/>
      <c r="F935" s="66"/>
      <c r="G935" s="63"/>
      <c r="H935" s="67"/>
      <c r="I935" s="68"/>
      <c r="J935" s="68"/>
      <c r="K935" s="32"/>
      <c r="L935" s="75">
        <v>935</v>
      </c>
      <c r="M935" s="75"/>
      <c r="N935" s="70"/>
      <c r="O935" s="77" t="s">
        <v>179</v>
      </c>
      <c r="P935" s="79">
        <v>45170.416701388887</v>
      </c>
      <c r="Q935" s="77" t="s">
        <v>2031</v>
      </c>
      <c r="R935" s="77">
        <v>0</v>
      </c>
      <c r="S935" s="77">
        <v>0</v>
      </c>
      <c r="T935" s="77">
        <v>0</v>
      </c>
      <c r="U935" s="77">
        <v>0</v>
      </c>
      <c r="V935" s="77">
        <v>8</v>
      </c>
      <c r="W935" s="82" t="s">
        <v>4712</v>
      </c>
      <c r="X935" s="80" t="str">
        <f>HYPERLINK("https://www.qquest.pt/inscricao/")</f>
        <v>https://www.qquest.pt/inscricao/</v>
      </c>
      <c r="Y935" s="77" t="s">
        <v>6056</v>
      </c>
      <c r="Z935" s="77"/>
      <c r="AA935" s="77" t="s">
        <v>6704</v>
      </c>
      <c r="AB935" s="77" t="s">
        <v>7696</v>
      </c>
      <c r="AC935" s="82" t="s">
        <v>7706</v>
      </c>
      <c r="AD935" s="77" t="s">
        <v>7745</v>
      </c>
      <c r="AE935" s="80" t="str">
        <f>HYPERLINK("https://twitter.com/pqquest/status/1697549871647965504")</f>
        <v>https://twitter.com/pqquest/status/1697549871647965504</v>
      </c>
      <c r="AF935" s="79">
        <v>45170.416701388887</v>
      </c>
      <c r="AG935" s="85">
        <v>45170</v>
      </c>
      <c r="AH935" s="82" t="s">
        <v>8541</v>
      </c>
      <c r="AI935" s="77" t="b">
        <v>0</v>
      </c>
      <c r="AJ935" s="77"/>
      <c r="AK935" s="77"/>
      <c r="AL935" s="77"/>
      <c r="AM935" s="77"/>
      <c r="AN935" s="77"/>
      <c r="AO935" s="77"/>
      <c r="AP935" s="77"/>
      <c r="AQ935" s="77" t="s">
        <v>11211</v>
      </c>
      <c r="AR935" s="77"/>
      <c r="AS935" s="77"/>
      <c r="AT935" s="77"/>
      <c r="AU935" s="77"/>
      <c r="AV935" s="80" t="str">
        <f>HYPERLINK("https://pbs.twimg.com/media/F2su9UXWYAEPr9h.jpg")</f>
        <v>https://pbs.twimg.com/media/F2su9UXWYAEPr9h.jpg</v>
      </c>
      <c r="AW935" s="82" t="s">
        <v>13120</v>
      </c>
      <c r="AX935" s="82" t="s">
        <v>13120</v>
      </c>
      <c r="AY935" s="77"/>
      <c r="AZ935" s="82" t="s">
        <v>15804</v>
      </c>
      <c r="BA935" s="82" t="s">
        <v>15804</v>
      </c>
      <c r="BB935" s="82" t="s">
        <v>15804</v>
      </c>
      <c r="BC935" s="82" t="s">
        <v>13120</v>
      </c>
      <c r="BD935" s="82" t="s">
        <v>16312</v>
      </c>
      <c r="BE935" s="77"/>
      <c r="BF935" s="77"/>
      <c r="BG935" s="77"/>
      <c r="BH935" s="77"/>
      <c r="BI935" s="77"/>
    </row>
    <row r="936" spans="1:61" x14ac:dyDescent="0.25">
      <c r="A936" s="62" t="s">
        <v>542</v>
      </c>
      <c r="B936" s="62" t="s">
        <v>542</v>
      </c>
      <c r="C936" s="63"/>
      <c r="D936" s="64"/>
      <c r="E936" s="65"/>
      <c r="F936" s="66"/>
      <c r="G936" s="63"/>
      <c r="H936" s="67"/>
      <c r="I936" s="68"/>
      <c r="J936" s="68"/>
      <c r="K936" s="32"/>
      <c r="L936" s="75">
        <v>936</v>
      </c>
      <c r="M936" s="75"/>
      <c r="N936" s="70"/>
      <c r="O936" s="77" t="s">
        <v>179</v>
      </c>
      <c r="P936" s="79">
        <v>45143.4375</v>
      </c>
      <c r="Q936" s="77" t="s">
        <v>2032</v>
      </c>
      <c r="R936" s="77">
        <v>0</v>
      </c>
      <c r="S936" s="77">
        <v>0</v>
      </c>
      <c r="T936" s="77">
        <v>0</v>
      </c>
      <c r="U936" s="77">
        <v>0</v>
      </c>
      <c r="V936" s="77">
        <v>6</v>
      </c>
      <c r="W936" s="82" t="s">
        <v>4721</v>
      </c>
      <c r="X936" s="80" t="str">
        <f>HYPERLINK("https://www.qquest.pt/inscricao/")</f>
        <v>https://www.qquest.pt/inscricao/</v>
      </c>
      <c r="Y936" s="77" t="s">
        <v>6056</v>
      </c>
      <c r="Z936" s="77"/>
      <c r="AA936" s="77" t="s">
        <v>6705</v>
      </c>
      <c r="AB936" s="77" t="s">
        <v>7696</v>
      </c>
      <c r="AC936" s="82" t="s">
        <v>7706</v>
      </c>
      <c r="AD936" s="77" t="s">
        <v>7745</v>
      </c>
      <c r="AE936" s="80" t="str">
        <f>HYPERLINK("https://twitter.com/pqquest/status/1687772938588897280")</f>
        <v>https://twitter.com/pqquest/status/1687772938588897280</v>
      </c>
      <c r="AF936" s="79">
        <v>45143.4375</v>
      </c>
      <c r="AG936" s="85">
        <v>45143</v>
      </c>
      <c r="AH936" s="82" t="s">
        <v>8580</v>
      </c>
      <c r="AI936" s="77" t="b">
        <v>0</v>
      </c>
      <c r="AJ936" s="77"/>
      <c r="AK936" s="77"/>
      <c r="AL936" s="77"/>
      <c r="AM936" s="77"/>
      <c r="AN936" s="77"/>
      <c r="AO936" s="77"/>
      <c r="AP936" s="77"/>
      <c r="AQ936" s="77" t="s">
        <v>11212</v>
      </c>
      <c r="AR936" s="77"/>
      <c r="AS936" s="77"/>
      <c r="AT936" s="77"/>
      <c r="AU936" s="77"/>
      <c r="AV936" s="80" t="str">
        <f>HYPERLINK("https://pbs.twimg.com/media/F2HvUOPboAAgJKl.jpg")</f>
        <v>https://pbs.twimg.com/media/F2HvUOPboAAgJKl.jpg</v>
      </c>
      <c r="AW936" s="82" t="s">
        <v>13121</v>
      </c>
      <c r="AX936" s="82" t="s">
        <v>13121</v>
      </c>
      <c r="AY936" s="77"/>
      <c r="AZ936" s="82" t="s">
        <v>15804</v>
      </c>
      <c r="BA936" s="82" t="s">
        <v>15804</v>
      </c>
      <c r="BB936" s="82" t="s">
        <v>15804</v>
      </c>
      <c r="BC936" s="82" t="s">
        <v>13121</v>
      </c>
      <c r="BD936" s="82" t="s">
        <v>16312</v>
      </c>
      <c r="BE936" s="77"/>
      <c r="BF936" s="77"/>
      <c r="BG936" s="77"/>
      <c r="BH936" s="77"/>
      <c r="BI936" s="77"/>
    </row>
    <row r="937" spans="1:61" x14ac:dyDescent="0.25">
      <c r="A937" s="62" t="s">
        <v>542</v>
      </c>
      <c r="B937" s="62" t="s">
        <v>542</v>
      </c>
      <c r="C937" s="63"/>
      <c r="D937" s="64"/>
      <c r="E937" s="65"/>
      <c r="F937" s="66"/>
      <c r="G937" s="63"/>
      <c r="H937" s="67"/>
      <c r="I937" s="68"/>
      <c r="J937" s="68"/>
      <c r="K937" s="32"/>
      <c r="L937" s="75">
        <v>937</v>
      </c>
      <c r="M937" s="75"/>
      <c r="N937" s="70"/>
      <c r="O937" s="77" t="s">
        <v>179</v>
      </c>
      <c r="P937" s="79">
        <v>45100.791678240741</v>
      </c>
      <c r="Q937" s="77" t="s">
        <v>2033</v>
      </c>
      <c r="R937" s="77">
        <v>0</v>
      </c>
      <c r="S937" s="77">
        <v>0</v>
      </c>
      <c r="T937" s="77">
        <v>0</v>
      </c>
      <c r="U937" s="77">
        <v>0</v>
      </c>
      <c r="V937" s="77">
        <v>10</v>
      </c>
      <c r="W937" s="82" t="s">
        <v>4712</v>
      </c>
      <c r="X937" s="80" t="str">
        <f>HYPERLINK("https://www.qquest.pt/inscricao/")</f>
        <v>https://www.qquest.pt/inscricao/</v>
      </c>
      <c r="Y937" s="77" t="s">
        <v>6056</v>
      </c>
      <c r="Z937" s="77"/>
      <c r="AA937" s="77" t="s">
        <v>6706</v>
      </c>
      <c r="AB937" s="77" t="s">
        <v>7696</v>
      </c>
      <c r="AC937" s="82" t="s">
        <v>7706</v>
      </c>
      <c r="AD937" s="77" t="s">
        <v>7745</v>
      </c>
      <c r="AE937" s="80" t="str">
        <f>HYPERLINK("https://twitter.com/pqquest/status/1672318610424074240")</f>
        <v>https://twitter.com/pqquest/status/1672318610424074240</v>
      </c>
      <c r="AF937" s="79">
        <v>45100.791678240741</v>
      </c>
      <c r="AG937" s="85">
        <v>45100</v>
      </c>
      <c r="AH937" s="82" t="s">
        <v>8569</v>
      </c>
      <c r="AI937" s="77" t="b">
        <v>0</v>
      </c>
      <c r="AJ937" s="77"/>
      <c r="AK937" s="77"/>
      <c r="AL937" s="77"/>
      <c r="AM937" s="77"/>
      <c r="AN937" s="77"/>
      <c r="AO937" s="77"/>
      <c r="AP937" s="77"/>
      <c r="AQ937" s="77" t="s">
        <v>11213</v>
      </c>
      <c r="AR937" s="77"/>
      <c r="AS937" s="77"/>
      <c r="AT937" s="77"/>
      <c r="AU937" s="77"/>
      <c r="AV937" s="80" t="str">
        <f>HYPERLINK("https://pbs.twimg.com/media/FufsXyJWcAA8wDn.jpg")</f>
        <v>https://pbs.twimg.com/media/FufsXyJWcAA8wDn.jpg</v>
      </c>
      <c r="AW937" s="82" t="s">
        <v>13122</v>
      </c>
      <c r="AX937" s="82" t="s">
        <v>13122</v>
      </c>
      <c r="AY937" s="77"/>
      <c r="AZ937" s="82" t="s">
        <v>15804</v>
      </c>
      <c r="BA937" s="82" t="s">
        <v>15804</v>
      </c>
      <c r="BB937" s="82" t="s">
        <v>15804</v>
      </c>
      <c r="BC937" s="82" t="s">
        <v>13122</v>
      </c>
      <c r="BD937" s="82" t="s">
        <v>16312</v>
      </c>
      <c r="BE937" s="77"/>
      <c r="BF937" s="77"/>
      <c r="BG937" s="77"/>
      <c r="BH937" s="77"/>
      <c r="BI937" s="77"/>
    </row>
    <row r="938" spans="1:61" x14ac:dyDescent="0.25">
      <c r="A938" s="62" t="s">
        <v>542</v>
      </c>
      <c r="B938" s="62" t="s">
        <v>542</v>
      </c>
      <c r="C938" s="63"/>
      <c r="D938" s="64"/>
      <c r="E938" s="65"/>
      <c r="F938" s="66"/>
      <c r="G938" s="63"/>
      <c r="H938" s="67"/>
      <c r="I938" s="68"/>
      <c r="J938" s="68"/>
      <c r="K938" s="32"/>
      <c r="L938" s="75">
        <v>938</v>
      </c>
      <c r="M938" s="75"/>
      <c r="N938" s="70"/>
      <c r="O938" s="77" t="s">
        <v>179</v>
      </c>
      <c r="P938" s="79">
        <v>45007.5625</v>
      </c>
      <c r="Q938" s="77" t="s">
        <v>2034</v>
      </c>
      <c r="R938" s="77">
        <v>0</v>
      </c>
      <c r="S938" s="77">
        <v>0</v>
      </c>
      <c r="T938" s="77">
        <v>0</v>
      </c>
      <c r="U938" s="77">
        <v>0</v>
      </c>
      <c r="V938" s="77">
        <v>4</v>
      </c>
      <c r="W938" s="82" t="s">
        <v>4712</v>
      </c>
      <c r="X938" s="80" t="str">
        <f>HYPERLINK("https://www.qquest.pt/inscricao/")</f>
        <v>https://www.qquest.pt/inscricao/</v>
      </c>
      <c r="Y938" s="77" t="s">
        <v>6056</v>
      </c>
      <c r="Z938" s="77"/>
      <c r="AA938" s="77" t="s">
        <v>6707</v>
      </c>
      <c r="AB938" s="77" t="s">
        <v>7696</v>
      </c>
      <c r="AC938" s="82" t="s">
        <v>7706</v>
      </c>
      <c r="AD938" s="77" t="s">
        <v>7745</v>
      </c>
      <c r="AE938" s="80" t="str">
        <f>HYPERLINK("https://twitter.com/pqquest/status/1638533488423976961")</f>
        <v>https://twitter.com/pqquest/status/1638533488423976961</v>
      </c>
      <c r="AF938" s="79">
        <v>45007.5625</v>
      </c>
      <c r="AG938" s="85">
        <v>45007</v>
      </c>
      <c r="AH938" s="82" t="s">
        <v>8546</v>
      </c>
      <c r="AI938" s="77" t="b">
        <v>0</v>
      </c>
      <c r="AJ938" s="77"/>
      <c r="AK938" s="77"/>
      <c r="AL938" s="77"/>
      <c r="AM938" s="77"/>
      <c r="AN938" s="77"/>
      <c r="AO938" s="77"/>
      <c r="AP938" s="77"/>
      <c r="AQ938" s="77" t="s">
        <v>11214</v>
      </c>
      <c r="AR938" s="77"/>
      <c r="AS938" s="77"/>
      <c r="AT938" s="77"/>
      <c r="AU938" s="77"/>
      <c r="AV938" s="80" t="str">
        <f>HYPERLINK("https://pbs.twimg.com/media/FrrO2_7XwAMF6Wu.jpg")</f>
        <v>https://pbs.twimg.com/media/FrrO2_7XwAMF6Wu.jpg</v>
      </c>
      <c r="AW938" s="82" t="s">
        <v>13123</v>
      </c>
      <c r="AX938" s="82" t="s">
        <v>13123</v>
      </c>
      <c r="AY938" s="77"/>
      <c r="AZ938" s="82" t="s">
        <v>15804</v>
      </c>
      <c r="BA938" s="82" t="s">
        <v>15804</v>
      </c>
      <c r="BB938" s="82" t="s">
        <v>15804</v>
      </c>
      <c r="BC938" s="82" t="s">
        <v>13123</v>
      </c>
      <c r="BD938" s="82" t="s">
        <v>16312</v>
      </c>
      <c r="BE938" s="77"/>
      <c r="BF938" s="77"/>
      <c r="BG938" s="77"/>
      <c r="BH938" s="77"/>
      <c r="BI938" s="77"/>
    </row>
    <row r="939" spans="1:61" x14ac:dyDescent="0.25">
      <c r="A939" s="62" t="s">
        <v>542</v>
      </c>
      <c r="B939" s="62" t="s">
        <v>542</v>
      </c>
      <c r="C939" s="63"/>
      <c r="D939" s="64"/>
      <c r="E939" s="65"/>
      <c r="F939" s="66"/>
      <c r="G939" s="63"/>
      <c r="H939" s="67"/>
      <c r="I939" s="68"/>
      <c r="J939" s="68"/>
      <c r="K939" s="32"/>
      <c r="L939" s="75">
        <v>939</v>
      </c>
      <c r="M939" s="75"/>
      <c r="N939" s="70"/>
      <c r="O939" s="77" t="s">
        <v>179</v>
      </c>
      <c r="P939" s="79">
        <v>45005.89166666667</v>
      </c>
      <c r="Q939" s="77" t="s">
        <v>2035</v>
      </c>
      <c r="R939" s="77">
        <v>0</v>
      </c>
      <c r="S939" s="77">
        <v>0</v>
      </c>
      <c r="T939" s="77">
        <v>0</v>
      </c>
      <c r="U939" s="77">
        <v>0</v>
      </c>
      <c r="V939" s="77">
        <v>5</v>
      </c>
      <c r="W939" s="82" t="s">
        <v>4712</v>
      </c>
      <c r="X939" s="80" t="str">
        <f>HYPERLINK("https://www.qquest.pt/inscricao/")</f>
        <v>https://www.qquest.pt/inscricao/</v>
      </c>
      <c r="Y939" s="77" t="s">
        <v>6056</v>
      </c>
      <c r="Z939" s="77"/>
      <c r="AA939" s="77" t="s">
        <v>6708</v>
      </c>
      <c r="AB939" s="77" t="s">
        <v>7696</v>
      </c>
      <c r="AC939" s="82" t="s">
        <v>7706</v>
      </c>
      <c r="AD939" s="77" t="s">
        <v>7745</v>
      </c>
      <c r="AE939" s="80" t="str">
        <f>HYPERLINK("https://twitter.com/pqquest/status/1637927996484091906")</f>
        <v>https://twitter.com/pqquest/status/1637927996484091906</v>
      </c>
      <c r="AF939" s="79">
        <v>45005.89166666667</v>
      </c>
      <c r="AG939" s="85">
        <v>45005</v>
      </c>
      <c r="AH939" s="82" t="s">
        <v>8582</v>
      </c>
      <c r="AI939" s="77" t="b">
        <v>0</v>
      </c>
      <c r="AJ939" s="77"/>
      <c r="AK939" s="77"/>
      <c r="AL939" s="77"/>
      <c r="AM939" s="77"/>
      <c r="AN939" s="77"/>
      <c r="AO939" s="77"/>
      <c r="AP939" s="77"/>
      <c r="AQ939" s="77" t="s">
        <v>11215</v>
      </c>
      <c r="AR939" s="77"/>
      <c r="AS939" s="77"/>
      <c r="AT939" s="77"/>
      <c r="AU939" s="77"/>
      <c r="AV939" s="80" t="str">
        <f>HYPERLINK("https://pbs.twimg.com/media/FrqX158WwAMfVx6.jpg")</f>
        <v>https://pbs.twimg.com/media/FrqX158WwAMfVx6.jpg</v>
      </c>
      <c r="AW939" s="82" t="s">
        <v>13124</v>
      </c>
      <c r="AX939" s="82" t="s">
        <v>13124</v>
      </c>
      <c r="AY939" s="77"/>
      <c r="AZ939" s="82" t="s">
        <v>15804</v>
      </c>
      <c r="BA939" s="82" t="s">
        <v>15804</v>
      </c>
      <c r="BB939" s="82" t="s">
        <v>15804</v>
      </c>
      <c r="BC939" s="82" t="s">
        <v>13124</v>
      </c>
      <c r="BD939" s="82" t="s">
        <v>16312</v>
      </c>
      <c r="BE939" s="77"/>
      <c r="BF939" s="77"/>
      <c r="BG939" s="77"/>
      <c r="BH939" s="77"/>
      <c r="BI939" s="77"/>
    </row>
    <row r="940" spans="1:61" x14ac:dyDescent="0.25">
      <c r="A940" s="62" t="s">
        <v>542</v>
      </c>
      <c r="B940" s="62" t="s">
        <v>542</v>
      </c>
      <c r="C940" s="63"/>
      <c r="D940" s="64"/>
      <c r="E940" s="65"/>
      <c r="F940" s="66"/>
      <c r="G940" s="63"/>
      <c r="H940" s="67"/>
      <c r="I940" s="68"/>
      <c r="J940" s="68"/>
      <c r="K940" s="32"/>
      <c r="L940" s="75">
        <v>940</v>
      </c>
      <c r="M940" s="75"/>
      <c r="N940" s="70"/>
      <c r="O940" s="77" t="s">
        <v>179</v>
      </c>
      <c r="P940" s="79">
        <v>44958.770833333336</v>
      </c>
      <c r="Q940" s="77" t="s">
        <v>2036</v>
      </c>
      <c r="R940" s="77">
        <v>0</v>
      </c>
      <c r="S940" s="77">
        <v>0</v>
      </c>
      <c r="T940" s="77">
        <v>0</v>
      </c>
      <c r="U940" s="77">
        <v>0</v>
      </c>
      <c r="V940" s="77">
        <v>5</v>
      </c>
      <c r="W940" s="82" t="s">
        <v>4712</v>
      </c>
      <c r="X940" s="80" t="str">
        <f>HYPERLINK("https://www.qquest.pt/inscricao/")</f>
        <v>https://www.qquest.pt/inscricao/</v>
      </c>
      <c r="Y940" s="77" t="s">
        <v>6056</v>
      </c>
      <c r="Z940" s="77"/>
      <c r="AA940" s="77" t="s">
        <v>6709</v>
      </c>
      <c r="AB940" s="77" t="s">
        <v>7696</v>
      </c>
      <c r="AC940" s="82" t="s">
        <v>7706</v>
      </c>
      <c r="AD940" s="77" t="s">
        <v>7745</v>
      </c>
      <c r="AE940" s="80" t="str">
        <f>HYPERLINK("https://twitter.com/pqquest/status/1620851980905086988")</f>
        <v>https://twitter.com/pqquest/status/1620851980905086988</v>
      </c>
      <c r="AF940" s="79">
        <v>44958.770833333336</v>
      </c>
      <c r="AG940" s="85">
        <v>44958</v>
      </c>
      <c r="AH940" s="82" t="s">
        <v>8571</v>
      </c>
      <c r="AI940" s="77" t="b">
        <v>0</v>
      </c>
      <c r="AJ940" s="77"/>
      <c r="AK940" s="77"/>
      <c r="AL940" s="77"/>
      <c r="AM940" s="77"/>
      <c r="AN940" s="77"/>
      <c r="AO940" s="77"/>
      <c r="AP940" s="77"/>
      <c r="AQ940" s="77" t="s">
        <v>11216</v>
      </c>
      <c r="AR940" s="77"/>
      <c r="AS940" s="77"/>
      <c r="AT940" s="77"/>
      <c r="AU940" s="77"/>
      <c r="AV940" s="80" t="str">
        <f>HYPERLINK("https://pbs.twimg.com/media/FnVKqDnXoAAyjqC.jpg")</f>
        <v>https://pbs.twimg.com/media/FnVKqDnXoAAyjqC.jpg</v>
      </c>
      <c r="AW940" s="82" t="s">
        <v>13125</v>
      </c>
      <c r="AX940" s="82" t="s">
        <v>13125</v>
      </c>
      <c r="AY940" s="77"/>
      <c r="AZ940" s="82" t="s">
        <v>15804</v>
      </c>
      <c r="BA940" s="82" t="s">
        <v>15804</v>
      </c>
      <c r="BB940" s="82" t="s">
        <v>15804</v>
      </c>
      <c r="BC940" s="82" t="s">
        <v>13125</v>
      </c>
      <c r="BD940" s="82" t="s">
        <v>16312</v>
      </c>
      <c r="BE940" s="77"/>
      <c r="BF940" s="77"/>
      <c r="BG940" s="77"/>
      <c r="BH940" s="77"/>
      <c r="BI940" s="77"/>
    </row>
    <row r="941" spans="1:61" x14ac:dyDescent="0.25">
      <c r="A941" s="62" t="s">
        <v>542</v>
      </c>
      <c r="B941" s="62" t="s">
        <v>542</v>
      </c>
      <c r="C941" s="63"/>
      <c r="D941" s="64"/>
      <c r="E941" s="65"/>
      <c r="F941" s="66"/>
      <c r="G941" s="63"/>
      <c r="H941" s="67"/>
      <c r="I941" s="68"/>
      <c r="J941" s="68"/>
      <c r="K941" s="32"/>
      <c r="L941" s="75">
        <v>941</v>
      </c>
      <c r="M941" s="75"/>
      <c r="N941" s="70"/>
      <c r="O941" s="77" t="s">
        <v>179</v>
      </c>
      <c r="P941" s="79">
        <v>44953.791666666664</v>
      </c>
      <c r="Q941" s="77" t="s">
        <v>2037</v>
      </c>
      <c r="R941" s="77">
        <v>0</v>
      </c>
      <c r="S941" s="77">
        <v>0</v>
      </c>
      <c r="T941" s="77">
        <v>0</v>
      </c>
      <c r="U941" s="77">
        <v>0</v>
      </c>
      <c r="V941" s="77">
        <v>1</v>
      </c>
      <c r="W941" s="82" t="s">
        <v>4728</v>
      </c>
      <c r="X941" s="80" t="str">
        <f>HYPERLINK("https://www.qquest.pt/inscricao/")</f>
        <v>https://www.qquest.pt/inscricao/</v>
      </c>
      <c r="Y941" s="77" t="s">
        <v>6056</v>
      </c>
      <c r="Z941" s="77"/>
      <c r="AA941" s="77" t="s">
        <v>6710</v>
      </c>
      <c r="AB941" s="77" t="s">
        <v>7696</v>
      </c>
      <c r="AC941" s="82" t="s">
        <v>7706</v>
      </c>
      <c r="AD941" s="77" t="s">
        <v>7745</v>
      </c>
      <c r="AE941" s="80" t="str">
        <f>HYPERLINK("https://twitter.com/pqquest/status/1619047591198572562")</f>
        <v>https://twitter.com/pqquest/status/1619047591198572562</v>
      </c>
      <c r="AF941" s="79">
        <v>44953.791666666664</v>
      </c>
      <c r="AG941" s="85">
        <v>44953</v>
      </c>
      <c r="AH941" s="82" t="s">
        <v>8583</v>
      </c>
      <c r="AI941" s="77" t="b">
        <v>0</v>
      </c>
      <c r="AJ941" s="77"/>
      <c r="AK941" s="77"/>
      <c r="AL941" s="77"/>
      <c r="AM941" s="77"/>
      <c r="AN941" s="77"/>
      <c r="AO941" s="77"/>
      <c r="AP941" s="77"/>
      <c r="AQ941" s="77" t="s">
        <v>11217</v>
      </c>
      <c r="AR941" s="77"/>
      <c r="AS941" s="77"/>
      <c r="AT941" s="77"/>
      <c r="AU941" s="77"/>
      <c r="AV941" s="80" t="str">
        <f>HYPERLINK("https://pbs.twimg.com/media/Fm7o1l9WABcNmuK.jpg")</f>
        <v>https://pbs.twimg.com/media/Fm7o1l9WABcNmuK.jpg</v>
      </c>
      <c r="AW941" s="82" t="s">
        <v>13126</v>
      </c>
      <c r="AX941" s="82" t="s">
        <v>13126</v>
      </c>
      <c r="AY941" s="77"/>
      <c r="AZ941" s="82" t="s">
        <v>15804</v>
      </c>
      <c r="BA941" s="82" t="s">
        <v>15804</v>
      </c>
      <c r="BB941" s="82" t="s">
        <v>15804</v>
      </c>
      <c r="BC941" s="82" t="s">
        <v>13126</v>
      </c>
      <c r="BD941" s="82" t="s">
        <v>16312</v>
      </c>
      <c r="BE941" s="77"/>
      <c r="BF941" s="77"/>
      <c r="BG941" s="77"/>
      <c r="BH941" s="77"/>
      <c r="BI941" s="77"/>
    </row>
    <row r="942" spans="1:61" x14ac:dyDescent="0.25">
      <c r="A942" s="62" t="s">
        <v>542</v>
      </c>
      <c r="B942" s="62" t="s">
        <v>542</v>
      </c>
      <c r="C942" s="63"/>
      <c r="D942" s="64"/>
      <c r="E942" s="65"/>
      <c r="F942" s="66"/>
      <c r="G942" s="63"/>
      <c r="H942" s="67"/>
      <c r="I942" s="68"/>
      <c r="J942" s="68"/>
      <c r="K942" s="32"/>
      <c r="L942" s="75">
        <v>942</v>
      </c>
      <c r="M942" s="75"/>
      <c r="N942" s="70"/>
      <c r="O942" s="77" t="s">
        <v>179</v>
      </c>
      <c r="P942" s="79">
        <v>44949.4375</v>
      </c>
      <c r="Q942" s="77" t="s">
        <v>2038</v>
      </c>
      <c r="R942" s="77">
        <v>0</v>
      </c>
      <c r="S942" s="77">
        <v>0</v>
      </c>
      <c r="T942" s="77">
        <v>0</v>
      </c>
      <c r="U942" s="77">
        <v>0</v>
      </c>
      <c r="V942" s="77">
        <v>4</v>
      </c>
      <c r="W942" s="82" t="s">
        <v>4729</v>
      </c>
      <c r="X942" s="80" t="str">
        <f>HYPERLINK("https://www.qquest.pt/inscricao/")</f>
        <v>https://www.qquest.pt/inscricao/</v>
      </c>
      <c r="Y942" s="77" t="s">
        <v>6056</v>
      </c>
      <c r="Z942" s="77"/>
      <c r="AA942" s="77" t="s">
        <v>6711</v>
      </c>
      <c r="AB942" s="77" t="s">
        <v>7696</v>
      </c>
      <c r="AC942" s="82" t="s">
        <v>7706</v>
      </c>
      <c r="AD942" s="77" t="s">
        <v>7745</v>
      </c>
      <c r="AE942" s="80" t="str">
        <f>HYPERLINK("https://twitter.com/pqquest/status/1617469693501095936")</f>
        <v>https://twitter.com/pqquest/status/1617469693501095936</v>
      </c>
      <c r="AF942" s="79">
        <v>44949.4375</v>
      </c>
      <c r="AG942" s="85">
        <v>44949</v>
      </c>
      <c r="AH942" s="82" t="s">
        <v>8580</v>
      </c>
      <c r="AI942" s="77" t="b">
        <v>0</v>
      </c>
      <c r="AJ942" s="77"/>
      <c r="AK942" s="77"/>
      <c r="AL942" s="77"/>
      <c r="AM942" s="77"/>
      <c r="AN942" s="77"/>
      <c r="AO942" s="77"/>
      <c r="AP942" s="77"/>
      <c r="AQ942" s="77" t="s">
        <v>11218</v>
      </c>
      <c r="AR942" s="77"/>
      <c r="AS942" s="77"/>
      <c r="AT942" s="77"/>
      <c r="AU942" s="77"/>
      <c r="AV942" s="80" t="str">
        <f>HYPERLINK("https://pbs.twimg.com/media/Fm7yBgkWAAIrJz8.jpg")</f>
        <v>https://pbs.twimg.com/media/Fm7yBgkWAAIrJz8.jpg</v>
      </c>
      <c r="AW942" s="82" t="s">
        <v>13127</v>
      </c>
      <c r="AX942" s="82" t="s">
        <v>13127</v>
      </c>
      <c r="AY942" s="77"/>
      <c r="AZ942" s="82" t="s">
        <v>15804</v>
      </c>
      <c r="BA942" s="82" t="s">
        <v>15804</v>
      </c>
      <c r="BB942" s="82" t="s">
        <v>15804</v>
      </c>
      <c r="BC942" s="82" t="s">
        <v>13127</v>
      </c>
      <c r="BD942" s="82" t="s">
        <v>16312</v>
      </c>
      <c r="BE942" s="77"/>
      <c r="BF942" s="77"/>
      <c r="BG942" s="77"/>
      <c r="BH942" s="77"/>
      <c r="BI942" s="77"/>
    </row>
    <row r="943" spans="1:61" x14ac:dyDescent="0.25">
      <c r="A943" s="62" t="s">
        <v>543</v>
      </c>
      <c r="B943" s="62" t="s">
        <v>1081</v>
      </c>
      <c r="C943" s="63"/>
      <c r="D943" s="64"/>
      <c r="E943" s="65"/>
      <c r="F943" s="66"/>
      <c r="G943" s="63"/>
      <c r="H943" s="67"/>
      <c r="I943" s="68"/>
      <c r="J943" s="68"/>
      <c r="K943" s="32"/>
      <c r="L943" s="75">
        <v>943</v>
      </c>
      <c r="M943" s="75"/>
      <c r="N943" s="70"/>
      <c r="O943" s="77" t="s">
        <v>1133</v>
      </c>
      <c r="P943" s="79">
        <v>45102.08258101852</v>
      </c>
      <c r="Q943" s="77" t="s">
        <v>2039</v>
      </c>
      <c r="R943" s="77">
        <v>2</v>
      </c>
      <c r="S943" s="77">
        <v>0</v>
      </c>
      <c r="T943" s="77">
        <v>0</v>
      </c>
      <c r="U943" s="77">
        <v>0</v>
      </c>
      <c r="V943" s="77">
        <v>40</v>
      </c>
      <c r="W943" s="82" t="s">
        <v>4730</v>
      </c>
      <c r="X943" s="80" t="str">
        <f>HYPERLINK("https://multimidiaecommerce.multimidiainfo.com/2023/06/educacao-financeira-as-ferramentas.html")</f>
        <v>https://multimidiaecommerce.multimidiainfo.com/2023/06/educacao-financeira-as-ferramentas.html</v>
      </c>
      <c r="Y943" s="77" t="s">
        <v>6057</v>
      </c>
      <c r="Z943" s="77" t="s">
        <v>1081</v>
      </c>
      <c r="AA943" s="77"/>
      <c r="AB943" s="77"/>
      <c r="AC943" s="82" t="s">
        <v>7706</v>
      </c>
      <c r="AD943" s="77" t="s">
        <v>7745</v>
      </c>
      <c r="AE943" s="80" t="str">
        <f>HYPERLINK("https://twitter.com/multimidiainfo/status/1672786417074700288")</f>
        <v>https://twitter.com/multimidiainfo/status/1672786417074700288</v>
      </c>
      <c r="AF943" s="79">
        <v>45102.08258101852</v>
      </c>
      <c r="AG943" s="85">
        <v>45102</v>
      </c>
      <c r="AH943" s="82" t="s">
        <v>8584</v>
      </c>
      <c r="AI943" s="77" t="b">
        <v>0</v>
      </c>
      <c r="AJ943" s="77"/>
      <c r="AK943" s="77"/>
      <c r="AL943" s="77"/>
      <c r="AM943" s="77"/>
      <c r="AN943" s="77"/>
      <c r="AO943" s="77"/>
      <c r="AP943" s="77"/>
      <c r="AQ943" s="77"/>
      <c r="AR943" s="77"/>
      <c r="AS943" s="77"/>
      <c r="AT943" s="77"/>
      <c r="AU943" s="77"/>
      <c r="AV943" s="80" t="str">
        <f>HYPERLINK("https://pbs.twimg.com/profile_images/1127217287579172870/mpXg0tbm_normal.png")</f>
        <v>https://pbs.twimg.com/profile_images/1127217287579172870/mpXg0tbm_normal.png</v>
      </c>
      <c r="AW943" s="82" t="s">
        <v>13128</v>
      </c>
      <c r="AX943" s="82" t="s">
        <v>13128</v>
      </c>
      <c r="AY943" s="77"/>
      <c r="AZ943" s="82" t="s">
        <v>15804</v>
      </c>
      <c r="BA943" s="82" t="s">
        <v>15804</v>
      </c>
      <c r="BB943" s="82" t="s">
        <v>15804</v>
      </c>
      <c r="BC943" s="82" t="s">
        <v>13128</v>
      </c>
      <c r="BD943" s="82" t="s">
        <v>16313</v>
      </c>
      <c r="BE943" s="77"/>
      <c r="BF943" s="77"/>
      <c r="BG943" s="77"/>
      <c r="BH943" s="77"/>
      <c r="BI943" s="77"/>
    </row>
    <row r="944" spans="1:61" x14ac:dyDescent="0.25">
      <c r="A944" s="62" t="s">
        <v>544</v>
      </c>
      <c r="B944" s="62" t="s">
        <v>544</v>
      </c>
      <c r="C944" s="63"/>
      <c r="D944" s="64"/>
      <c r="E944" s="65"/>
      <c r="F944" s="66"/>
      <c r="G944" s="63"/>
      <c r="H944" s="67"/>
      <c r="I944" s="68"/>
      <c r="J944" s="68"/>
      <c r="K944" s="32"/>
      <c r="L944" s="75">
        <v>944</v>
      </c>
      <c r="M944" s="75"/>
      <c r="N944" s="70"/>
      <c r="O944" s="77" t="s">
        <v>179</v>
      </c>
      <c r="P944" s="79">
        <v>45181.955324074072</v>
      </c>
      <c r="Q944" s="77" t="s">
        <v>2040</v>
      </c>
      <c r="R944" s="77">
        <v>0</v>
      </c>
      <c r="S944" s="77">
        <v>0</v>
      </c>
      <c r="T944" s="77">
        <v>0</v>
      </c>
      <c r="U944" s="77">
        <v>0</v>
      </c>
      <c r="V944" s="77">
        <v>18</v>
      </c>
      <c r="W944" s="82" t="s">
        <v>4731</v>
      </c>
      <c r="X944" s="77"/>
      <c r="Y944" s="77"/>
      <c r="Z944" s="77"/>
      <c r="AA944" s="77" t="s">
        <v>6712</v>
      </c>
      <c r="AB944" s="77" t="s">
        <v>7696</v>
      </c>
      <c r="AC944" s="82" t="s">
        <v>7706</v>
      </c>
      <c r="AD944" s="77" t="s">
        <v>7745</v>
      </c>
      <c r="AE944" s="80" t="str">
        <f>HYPERLINK("https://twitter.com/financad/status/1701731331955216747")</f>
        <v>https://twitter.com/financad/status/1701731331955216747</v>
      </c>
      <c r="AF944" s="79">
        <v>45181.955324074072</v>
      </c>
      <c r="AG944" s="85">
        <v>45181</v>
      </c>
      <c r="AH944" s="82" t="s">
        <v>8585</v>
      </c>
      <c r="AI944" s="77" t="b">
        <v>0</v>
      </c>
      <c r="AJ944" s="77"/>
      <c r="AK944" s="77"/>
      <c r="AL944" s="77"/>
      <c r="AM944" s="77"/>
      <c r="AN944" s="77"/>
      <c r="AO944" s="77"/>
      <c r="AP944" s="77"/>
      <c r="AQ944" s="77" t="s">
        <v>11219</v>
      </c>
      <c r="AR944" s="77"/>
      <c r="AS944" s="77"/>
      <c r="AT944" s="77"/>
      <c r="AU944" s="77"/>
      <c r="AV944" s="80" t="str">
        <f>HYPERLINK("https://pbs.twimg.com/media/F53Di2iXgAA1uva.jpg")</f>
        <v>https://pbs.twimg.com/media/F53Di2iXgAA1uva.jpg</v>
      </c>
      <c r="AW944" s="82" t="s">
        <v>13129</v>
      </c>
      <c r="AX944" s="82" t="s">
        <v>13129</v>
      </c>
      <c r="AY944" s="77"/>
      <c r="AZ944" s="82" t="s">
        <v>15804</v>
      </c>
      <c r="BA944" s="82" t="s">
        <v>15804</v>
      </c>
      <c r="BB944" s="82" t="s">
        <v>15804</v>
      </c>
      <c r="BC944" s="82" t="s">
        <v>13129</v>
      </c>
      <c r="BD944" s="82" t="s">
        <v>16314</v>
      </c>
      <c r="BE944" s="77"/>
      <c r="BF944" s="77"/>
      <c r="BG944" s="77"/>
      <c r="BH944" s="77"/>
      <c r="BI944" s="77"/>
    </row>
    <row r="945" spans="1:61" x14ac:dyDescent="0.25">
      <c r="A945" s="62" t="s">
        <v>545</v>
      </c>
      <c r="B945" s="62" t="s">
        <v>545</v>
      </c>
      <c r="C945" s="63"/>
      <c r="D945" s="64"/>
      <c r="E945" s="65"/>
      <c r="F945" s="66"/>
      <c r="G945" s="63"/>
      <c r="H945" s="67"/>
      <c r="I945" s="68"/>
      <c r="J945" s="68"/>
      <c r="K945" s="32"/>
      <c r="L945" s="75">
        <v>945</v>
      </c>
      <c r="M945" s="75"/>
      <c r="N945" s="70"/>
      <c r="O945" s="77" t="s">
        <v>179</v>
      </c>
      <c r="P945" s="79">
        <v>45008.829421296294</v>
      </c>
      <c r="Q945" s="77" t="s">
        <v>2041</v>
      </c>
      <c r="R945" s="77">
        <v>0</v>
      </c>
      <c r="S945" s="77">
        <v>0</v>
      </c>
      <c r="T945" s="77">
        <v>0</v>
      </c>
      <c r="U945" s="77">
        <v>1</v>
      </c>
      <c r="V945" s="77">
        <v>123</v>
      </c>
      <c r="W945" s="82" t="s">
        <v>4732</v>
      </c>
      <c r="X945" s="77"/>
      <c r="Y945" s="77"/>
      <c r="Z945" s="77"/>
      <c r="AA945" s="77"/>
      <c r="AB945" s="77"/>
      <c r="AC945" s="82" t="s">
        <v>7706</v>
      </c>
      <c r="AD945" s="77" t="s">
        <v>7745</v>
      </c>
      <c r="AE945" s="80" t="str">
        <f>HYPERLINK("https://twitter.com/astanapay/status/1638992604414070798")</f>
        <v>https://twitter.com/astanapay/status/1638992604414070798</v>
      </c>
      <c r="AF945" s="79">
        <v>45008.829421296294</v>
      </c>
      <c r="AG945" s="85">
        <v>45008</v>
      </c>
      <c r="AH945" s="82" t="s">
        <v>8586</v>
      </c>
      <c r="AI945" s="77"/>
      <c r="AJ945" s="77"/>
      <c r="AK945" s="77"/>
      <c r="AL945" s="77"/>
      <c r="AM945" s="77"/>
      <c r="AN945" s="77"/>
      <c r="AO945" s="77"/>
      <c r="AP945" s="77"/>
      <c r="AQ945" s="77"/>
      <c r="AR945" s="77"/>
      <c r="AS945" s="77"/>
      <c r="AT945" s="77"/>
      <c r="AU945" s="77"/>
      <c r="AV945" s="80" t="str">
        <f>HYPERLINK("https://pbs.twimg.com/profile_images/1279080265818820608/_XNXQuFb_normal.png")</f>
        <v>https://pbs.twimg.com/profile_images/1279080265818820608/_XNXQuFb_normal.png</v>
      </c>
      <c r="AW945" s="82" t="s">
        <v>13130</v>
      </c>
      <c r="AX945" s="82" t="s">
        <v>13130</v>
      </c>
      <c r="AY945" s="77"/>
      <c r="AZ945" s="82" t="s">
        <v>15804</v>
      </c>
      <c r="BA945" s="82" t="s">
        <v>15804</v>
      </c>
      <c r="BB945" s="82" t="s">
        <v>15804</v>
      </c>
      <c r="BC945" s="82" t="s">
        <v>13130</v>
      </c>
      <c r="BD945" s="82" t="s">
        <v>16315</v>
      </c>
      <c r="BE945" s="77"/>
      <c r="BF945" s="77"/>
      <c r="BG945" s="77"/>
      <c r="BH945" s="77"/>
      <c r="BI945" s="77"/>
    </row>
    <row r="946" spans="1:61" x14ac:dyDescent="0.25">
      <c r="A946" s="62" t="s">
        <v>546</v>
      </c>
      <c r="B946" s="62" t="s">
        <v>546</v>
      </c>
      <c r="C946" s="63"/>
      <c r="D946" s="64"/>
      <c r="E946" s="65"/>
      <c r="F946" s="66"/>
      <c r="G946" s="63"/>
      <c r="H946" s="67"/>
      <c r="I946" s="68"/>
      <c r="J946" s="68"/>
      <c r="K946" s="32"/>
      <c r="L946" s="75">
        <v>946</v>
      </c>
      <c r="M946" s="75"/>
      <c r="N946" s="70"/>
      <c r="O946" s="77" t="s">
        <v>179</v>
      </c>
      <c r="P946" s="79">
        <v>45096.712546296294</v>
      </c>
      <c r="Q946" s="77" t="s">
        <v>2042</v>
      </c>
      <c r="R946" s="77">
        <v>0</v>
      </c>
      <c r="S946" s="77">
        <v>0</v>
      </c>
      <c r="T946" s="77">
        <v>0</v>
      </c>
      <c r="U946" s="77">
        <v>0</v>
      </c>
      <c r="V946" s="77">
        <v>34</v>
      </c>
      <c r="W946" s="82" t="s">
        <v>4733</v>
      </c>
      <c r="X946" s="80" t="str">
        <f>HYPERLINK("https://homem-mais-rico.com/")</f>
        <v>https://homem-mais-rico.com/</v>
      </c>
      <c r="Y946" s="77" t="s">
        <v>6058</v>
      </c>
      <c r="Z946" s="77"/>
      <c r="AA946" s="77"/>
      <c r="AB946" s="77"/>
      <c r="AC946" s="82" t="s">
        <v>7707</v>
      </c>
      <c r="AD946" s="77" t="s">
        <v>7745</v>
      </c>
      <c r="AE946" s="80" t="str">
        <f>HYPERLINK("https://twitter.com/themage/status/1670840380210790488")</f>
        <v>https://twitter.com/themage/status/1670840380210790488</v>
      </c>
      <c r="AF946" s="79">
        <v>45096.712546296294</v>
      </c>
      <c r="AG946" s="85">
        <v>45096</v>
      </c>
      <c r="AH946" s="82" t="s">
        <v>8120</v>
      </c>
      <c r="AI946" s="77" t="b">
        <v>0</v>
      </c>
      <c r="AJ946" s="77"/>
      <c r="AK946" s="77"/>
      <c r="AL946" s="77"/>
      <c r="AM946" s="77"/>
      <c r="AN946" s="77"/>
      <c r="AO946" s="77"/>
      <c r="AP946" s="77"/>
      <c r="AQ946" s="77"/>
      <c r="AR946" s="77"/>
      <c r="AS946" s="77"/>
      <c r="AT946" s="77"/>
      <c r="AU946" s="77"/>
      <c r="AV946" s="80" t="str">
        <f>HYPERLINK("https://pbs.twimg.com/profile_images/802041711/mpneves-2010-04-06_normal.jpg")</f>
        <v>https://pbs.twimg.com/profile_images/802041711/mpneves-2010-04-06_normal.jpg</v>
      </c>
      <c r="AW946" s="82" t="s">
        <v>13131</v>
      </c>
      <c r="AX946" s="82" t="s">
        <v>13131</v>
      </c>
      <c r="AY946" s="77"/>
      <c r="AZ946" s="82" t="s">
        <v>15804</v>
      </c>
      <c r="BA946" s="82" t="s">
        <v>15804</v>
      </c>
      <c r="BB946" s="82" t="s">
        <v>15804</v>
      </c>
      <c r="BC946" s="82" t="s">
        <v>13131</v>
      </c>
      <c r="BD946" s="77">
        <v>14278838</v>
      </c>
      <c r="BE946" s="77"/>
      <c r="BF946" s="77"/>
      <c r="BG946" s="77"/>
      <c r="BH946" s="77"/>
      <c r="BI946" s="77"/>
    </row>
    <row r="947" spans="1:61" x14ac:dyDescent="0.25">
      <c r="A947" s="62" t="s">
        <v>547</v>
      </c>
      <c r="B947" s="62" t="s">
        <v>547</v>
      </c>
      <c r="C947" s="63"/>
      <c r="D947" s="64"/>
      <c r="E947" s="65"/>
      <c r="F947" s="66"/>
      <c r="G947" s="63"/>
      <c r="H947" s="67"/>
      <c r="I947" s="68"/>
      <c r="J947" s="68"/>
      <c r="K947" s="32"/>
      <c r="L947" s="75">
        <v>947</v>
      </c>
      <c r="M947" s="75"/>
      <c r="N947" s="70"/>
      <c r="O947" s="77" t="s">
        <v>179</v>
      </c>
      <c r="P947" s="79">
        <v>44994.626226851855</v>
      </c>
      <c r="Q947" s="77" t="s">
        <v>2043</v>
      </c>
      <c r="R947" s="77">
        <v>0</v>
      </c>
      <c r="S947" s="77">
        <v>0</v>
      </c>
      <c r="T947" s="77">
        <v>0</v>
      </c>
      <c r="U947" s="77">
        <v>0</v>
      </c>
      <c r="V947" s="77">
        <v>40</v>
      </c>
      <c r="W947" s="82" t="s">
        <v>4734</v>
      </c>
      <c r="X947" s="77"/>
      <c r="Y947" s="77"/>
      <c r="Z947" s="77"/>
      <c r="AA947" s="77" t="s">
        <v>6713</v>
      </c>
      <c r="AB947" s="77" t="s">
        <v>7696</v>
      </c>
      <c r="AC947" s="82" t="s">
        <v>7716</v>
      </c>
      <c r="AD947" s="77" t="s">
        <v>7745</v>
      </c>
      <c r="AE947" s="80" t="str">
        <f>HYPERLINK("https://twitter.com/jeandearaujol/status/1633845539128360960")</f>
        <v>https://twitter.com/jeandearaujol/status/1633845539128360960</v>
      </c>
      <c r="AF947" s="79">
        <v>44994.626226851855</v>
      </c>
      <c r="AG947" s="85">
        <v>44994</v>
      </c>
      <c r="AH947" s="82" t="s">
        <v>8587</v>
      </c>
      <c r="AI947" s="77" t="b">
        <v>0</v>
      </c>
      <c r="AJ947" s="77"/>
      <c r="AK947" s="77"/>
      <c r="AL947" s="77"/>
      <c r="AM947" s="77"/>
      <c r="AN947" s="77"/>
      <c r="AO947" s="77"/>
      <c r="AP947" s="77"/>
      <c r="AQ947" s="77" t="s">
        <v>11220</v>
      </c>
      <c r="AR947" s="77"/>
      <c r="AS947" s="77"/>
      <c r="AT947" s="77"/>
      <c r="AU947" s="77"/>
      <c r="AV947" s="80" t="str">
        <f>HYPERLINK("https://pbs.twimg.com/media/FqyV3BQWcAA5Ndk.jpg")</f>
        <v>https://pbs.twimg.com/media/FqyV3BQWcAA5Ndk.jpg</v>
      </c>
      <c r="AW947" s="82" t="s">
        <v>13132</v>
      </c>
      <c r="AX947" s="82" t="s">
        <v>13132</v>
      </c>
      <c r="AY947" s="77"/>
      <c r="AZ947" s="82" t="s">
        <v>15804</v>
      </c>
      <c r="BA947" s="82" t="s">
        <v>15804</v>
      </c>
      <c r="BB947" s="82" t="s">
        <v>15804</v>
      </c>
      <c r="BC947" s="82" t="s">
        <v>13132</v>
      </c>
      <c r="BD947" s="77">
        <v>483138778</v>
      </c>
      <c r="BE947" s="77"/>
      <c r="BF947" s="77"/>
      <c r="BG947" s="77"/>
      <c r="BH947" s="77"/>
      <c r="BI947" s="77"/>
    </row>
    <row r="948" spans="1:61" x14ac:dyDescent="0.25">
      <c r="A948" s="62" t="s">
        <v>548</v>
      </c>
      <c r="B948" s="62" t="s">
        <v>548</v>
      </c>
      <c r="C948" s="63"/>
      <c r="D948" s="64"/>
      <c r="E948" s="65"/>
      <c r="F948" s="66"/>
      <c r="G948" s="63"/>
      <c r="H948" s="67"/>
      <c r="I948" s="68"/>
      <c r="J948" s="68"/>
      <c r="K948" s="32"/>
      <c r="L948" s="75">
        <v>948</v>
      </c>
      <c r="M948" s="75"/>
      <c r="N948" s="70"/>
      <c r="O948" s="77" t="s">
        <v>179</v>
      </c>
      <c r="P948" s="79">
        <v>45169.919583333336</v>
      </c>
      <c r="Q948" s="77" t="s">
        <v>2044</v>
      </c>
      <c r="R948" s="77">
        <v>0</v>
      </c>
      <c r="S948" s="77">
        <v>0</v>
      </c>
      <c r="T948" s="77">
        <v>0</v>
      </c>
      <c r="U948" s="77">
        <v>0</v>
      </c>
      <c r="V948" s="77">
        <v>34</v>
      </c>
      <c r="W948" s="82" t="s">
        <v>4735</v>
      </c>
      <c r="X948" s="80" t="str">
        <f>HYPERLINK("https://forms.office.com/r/vHL6mnXVXc")</f>
        <v>https://forms.office.com/r/vHL6mnXVXc</v>
      </c>
      <c r="Y948" s="77" t="s">
        <v>6059</v>
      </c>
      <c r="Z948" s="77"/>
      <c r="AA948" s="77" t="s">
        <v>6714</v>
      </c>
      <c r="AB948" s="77" t="s">
        <v>7696</v>
      </c>
      <c r="AC948" s="82" t="s">
        <v>7706</v>
      </c>
      <c r="AD948" s="77" t="s">
        <v>7745</v>
      </c>
      <c r="AE948" s="80" t="str">
        <f>HYPERLINK("https://twitter.com/fatecferraz/status/1697369723955020212")</f>
        <v>https://twitter.com/fatecferraz/status/1697369723955020212</v>
      </c>
      <c r="AF948" s="79">
        <v>45169.919583333336</v>
      </c>
      <c r="AG948" s="85">
        <v>45169</v>
      </c>
      <c r="AH948" s="82" t="s">
        <v>8588</v>
      </c>
      <c r="AI948" s="77" t="b">
        <v>0</v>
      </c>
      <c r="AJ948" s="77"/>
      <c r="AK948" s="77"/>
      <c r="AL948" s="77"/>
      <c r="AM948" s="77"/>
      <c r="AN948" s="77"/>
      <c r="AO948" s="77"/>
      <c r="AP948" s="77"/>
      <c r="AQ948" s="77" t="s">
        <v>11221</v>
      </c>
      <c r="AR948" s="77"/>
      <c r="AS948" s="77"/>
      <c r="AT948" s="77"/>
      <c r="AU948" s="77"/>
      <c r="AV948" s="80" t="str">
        <f>HYPERLINK("https://pbs.twimg.com/media/F45EpKVWQAADBYl.jpg")</f>
        <v>https://pbs.twimg.com/media/F45EpKVWQAADBYl.jpg</v>
      </c>
      <c r="AW948" s="82" t="s">
        <v>13133</v>
      </c>
      <c r="AX948" s="82" t="s">
        <v>13133</v>
      </c>
      <c r="AY948" s="77"/>
      <c r="AZ948" s="82" t="s">
        <v>15804</v>
      </c>
      <c r="BA948" s="82" t="s">
        <v>15804</v>
      </c>
      <c r="BB948" s="82" t="s">
        <v>15804</v>
      </c>
      <c r="BC948" s="82" t="s">
        <v>13133</v>
      </c>
      <c r="BD948" s="82" t="s">
        <v>16316</v>
      </c>
      <c r="BE948" s="77"/>
      <c r="BF948" s="77"/>
      <c r="BG948" s="77"/>
      <c r="BH948" s="77"/>
      <c r="BI948" s="77"/>
    </row>
    <row r="949" spans="1:61" x14ac:dyDescent="0.25">
      <c r="A949" s="62" t="s">
        <v>549</v>
      </c>
      <c r="B949" s="62" t="s">
        <v>549</v>
      </c>
      <c r="C949" s="63"/>
      <c r="D949" s="64"/>
      <c r="E949" s="65"/>
      <c r="F949" s="66"/>
      <c r="G949" s="63"/>
      <c r="H949" s="67"/>
      <c r="I949" s="68"/>
      <c r="J949" s="68"/>
      <c r="K949" s="32"/>
      <c r="L949" s="75">
        <v>949</v>
      </c>
      <c r="M949" s="75"/>
      <c r="N949" s="70"/>
      <c r="O949" s="77" t="s">
        <v>179</v>
      </c>
      <c r="P949" s="79">
        <v>44928.96670138889</v>
      </c>
      <c r="Q949" s="77" t="s">
        <v>2045</v>
      </c>
      <c r="R949" s="77">
        <v>0</v>
      </c>
      <c r="S949" s="77">
        <v>0</v>
      </c>
      <c r="T949" s="77">
        <v>0</v>
      </c>
      <c r="U949" s="77">
        <v>0</v>
      </c>
      <c r="V949" s="77">
        <v>46</v>
      </c>
      <c r="W949" s="82" t="s">
        <v>4736</v>
      </c>
      <c r="X949" s="80" t="str">
        <f>HYPERLINK("https://tmblr.co/Z8n0CRdA0SYEKu00")</f>
        <v>https://tmblr.co/Z8n0CRdA0SYEKu00</v>
      </c>
      <c r="Y949" s="77" t="s">
        <v>6060</v>
      </c>
      <c r="Z949" s="77"/>
      <c r="AA949" s="77"/>
      <c r="AB949" s="77"/>
      <c r="AC949" s="82" t="s">
        <v>7729</v>
      </c>
      <c r="AD949" s="77" t="s">
        <v>7745</v>
      </c>
      <c r="AE949" s="80" t="str">
        <f>HYPERLINK("https://twitter.com/alexsan16137953/status/1610051321540874244")</f>
        <v>https://twitter.com/alexsan16137953/status/1610051321540874244</v>
      </c>
      <c r="AF949" s="79">
        <v>44928.96670138889</v>
      </c>
      <c r="AG949" s="85">
        <v>44928</v>
      </c>
      <c r="AH949" s="82" t="s">
        <v>7787</v>
      </c>
      <c r="AI949" s="77" t="b">
        <v>0</v>
      </c>
      <c r="AJ949" s="77"/>
      <c r="AK949" s="77"/>
      <c r="AL949" s="77"/>
      <c r="AM949" s="77"/>
      <c r="AN949" s="77"/>
      <c r="AO949" s="77"/>
      <c r="AP949" s="77"/>
      <c r="AQ949" s="77"/>
      <c r="AR949" s="77"/>
      <c r="AS949" s="77"/>
      <c r="AT949" s="77"/>
      <c r="AU949" s="77"/>
      <c r="AV949" s="80" t="str">
        <f>HYPERLINK("https://pbs.twimg.com/profile_images/1562002718826397697/LQ-yQpbY_normal.jpg")</f>
        <v>https://pbs.twimg.com/profile_images/1562002718826397697/LQ-yQpbY_normal.jpg</v>
      </c>
      <c r="AW949" s="82" t="s">
        <v>13134</v>
      </c>
      <c r="AX949" s="82" t="s">
        <v>13134</v>
      </c>
      <c r="AY949" s="77"/>
      <c r="AZ949" s="82" t="s">
        <v>15804</v>
      </c>
      <c r="BA949" s="82" t="s">
        <v>15804</v>
      </c>
      <c r="BB949" s="82" t="s">
        <v>15804</v>
      </c>
      <c r="BC949" s="82" t="s">
        <v>13134</v>
      </c>
      <c r="BD949" s="82" t="s">
        <v>16317</v>
      </c>
      <c r="BE949" s="77"/>
      <c r="BF949" s="77"/>
      <c r="BG949" s="77"/>
      <c r="BH949" s="77"/>
      <c r="BI949" s="77"/>
    </row>
    <row r="950" spans="1:61" x14ac:dyDescent="0.25">
      <c r="A950" s="62" t="s">
        <v>550</v>
      </c>
      <c r="B950" s="62" t="s">
        <v>550</v>
      </c>
      <c r="C950" s="63"/>
      <c r="D950" s="64"/>
      <c r="E950" s="65"/>
      <c r="F950" s="66"/>
      <c r="G950" s="63"/>
      <c r="H950" s="67"/>
      <c r="I950" s="68"/>
      <c r="J950" s="68"/>
      <c r="K950" s="32"/>
      <c r="L950" s="75">
        <v>950</v>
      </c>
      <c r="M950" s="75"/>
      <c r="N950" s="70"/>
      <c r="O950" s="77" t="s">
        <v>179</v>
      </c>
      <c r="P950" s="79">
        <v>44991.09652777778</v>
      </c>
      <c r="Q950" s="77" t="s">
        <v>2046</v>
      </c>
      <c r="R950" s="77">
        <v>0</v>
      </c>
      <c r="S950" s="77">
        <v>0</v>
      </c>
      <c r="T950" s="77">
        <v>0</v>
      </c>
      <c r="U950" s="77">
        <v>0</v>
      </c>
      <c r="V950" s="77">
        <v>85</v>
      </c>
      <c r="W950" s="82" t="s">
        <v>4737</v>
      </c>
      <c r="X950" s="80" t="str">
        <f>HYPERLINK("http://Humana.ORG")</f>
        <v>http://Humana.ORG</v>
      </c>
      <c r="Y950" s="77" t="s">
        <v>6061</v>
      </c>
      <c r="Z950" s="77"/>
      <c r="AA950" s="77" t="s">
        <v>6715</v>
      </c>
      <c r="AB950" s="77" t="s">
        <v>7697</v>
      </c>
      <c r="AC950" s="82" t="s">
        <v>7706</v>
      </c>
      <c r="AD950" s="77" t="s">
        <v>7745</v>
      </c>
      <c r="AE950" s="80" t="str">
        <f>HYPERLINK("https://twitter.com/leokuba/status/1632566418842558464")</f>
        <v>https://twitter.com/leokuba/status/1632566418842558464</v>
      </c>
      <c r="AF950" s="79">
        <v>44991.09652777778</v>
      </c>
      <c r="AG950" s="85">
        <v>44991</v>
      </c>
      <c r="AH950" s="82" t="s">
        <v>8589</v>
      </c>
      <c r="AI950" s="77" t="b">
        <v>0</v>
      </c>
      <c r="AJ950" s="77"/>
      <c r="AK950" s="77"/>
      <c r="AL950" s="77"/>
      <c r="AM950" s="77"/>
      <c r="AN950" s="77"/>
      <c r="AO950" s="77"/>
      <c r="AP950" s="77"/>
      <c r="AQ950" s="77" t="s">
        <v>11222</v>
      </c>
      <c r="AR950" s="77">
        <v>81466</v>
      </c>
      <c r="AS950" s="77"/>
      <c r="AT950" s="77"/>
      <c r="AU950" s="77">
        <v>30</v>
      </c>
      <c r="AV950" s="80" t="str">
        <f>HYPERLINK("https://pbs.twimg.com/ext_tw_video_thumb/1632565943997014016/pu/img/7qpXkN8ncrIhP_o9.jpg")</f>
        <v>https://pbs.twimg.com/ext_tw_video_thumb/1632565943997014016/pu/img/7qpXkN8ncrIhP_o9.jpg</v>
      </c>
      <c r="AW950" s="82" t="s">
        <v>13135</v>
      </c>
      <c r="AX950" s="82" t="s">
        <v>13135</v>
      </c>
      <c r="AY950" s="77"/>
      <c r="AZ950" s="82" t="s">
        <v>15804</v>
      </c>
      <c r="BA950" s="82" t="s">
        <v>15804</v>
      </c>
      <c r="BB950" s="82" t="s">
        <v>15804</v>
      </c>
      <c r="BC950" s="82" t="s">
        <v>13135</v>
      </c>
      <c r="BD950" s="77">
        <v>8599062</v>
      </c>
      <c r="BE950" s="77"/>
      <c r="BF950" s="77"/>
      <c r="BG950" s="77"/>
      <c r="BH950" s="77"/>
      <c r="BI950" s="77"/>
    </row>
    <row r="951" spans="1:61" x14ac:dyDescent="0.25">
      <c r="A951" s="62" t="s">
        <v>551</v>
      </c>
      <c r="B951" s="62" t="s">
        <v>551</v>
      </c>
      <c r="C951" s="63"/>
      <c r="D951" s="64"/>
      <c r="E951" s="65"/>
      <c r="F951" s="66"/>
      <c r="G951" s="63"/>
      <c r="H951" s="67"/>
      <c r="I951" s="68"/>
      <c r="J951" s="68"/>
      <c r="K951" s="32"/>
      <c r="L951" s="75">
        <v>951</v>
      </c>
      <c r="M951" s="75"/>
      <c r="N951" s="70"/>
      <c r="O951" s="77" t="s">
        <v>179</v>
      </c>
      <c r="P951" s="79">
        <v>44929.886701388888</v>
      </c>
      <c r="Q951" s="77" t="s">
        <v>2047</v>
      </c>
      <c r="R951" s="77">
        <v>0</v>
      </c>
      <c r="S951" s="77">
        <v>0</v>
      </c>
      <c r="T951" s="77">
        <v>0</v>
      </c>
      <c r="U951" s="77">
        <v>0</v>
      </c>
      <c r="V951" s="77">
        <v>26</v>
      </c>
      <c r="W951" s="82" t="s">
        <v>4738</v>
      </c>
      <c r="X951" s="80" t="str">
        <f>HYPERLINK("https://lnkd.in/er-ai2kk")</f>
        <v>https://lnkd.in/er-ai2kk</v>
      </c>
      <c r="Y951" s="77" t="s">
        <v>6014</v>
      </c>
      <c r="Z951" s="77"/>
      <c r="AA951" s="77" t="s">
        <v>6716</v>
      </c>
      <c r="AB951" s="77" t="s">
        <v>7696</v>
      </c>
      <c r="AC951" s="82" t="s">
        <v>7706</v>
      </c>
      <c r="AD951" s="77" t="s">
        <v>7745</v>
      </c>
      <c r="AE951" s="80" t="str">
        <f>HYPERLINK("https://twitter.com/b18editora/status/1610384718544965633")</f>
        <v>https://twitter.com/b18editora/status/1610384718544965633</v>
      </c>
      <c r="AF951" s="79">
        <v>44929.886701388888</v>
      </c>
      <c r="AG951" s="85">
        <v>44929</v>
      </c>
      <c r="AH951" s="82" t="s">
        <v>8590</v>
      </c>
      <c r="AI951" s="77" t="b">
        <v>0</v>
      </c>
      <c r="AJ951" s="77"/>
      <c r="AK951" s="77"/>
      <c r="AL951" s="77"/>
      <c r="AM951" s="77"/>
      <c r="AN951" s="77"/>
      <c r="AO951" s="77"/>
      <c r="AP951" s="77"/>
      <c r="AQ951" s="77" t="s">
        <v>11223</v>
      </c>
      <c r="AR951" s="77"/>
      <c r="AS951" s="77"/>
      <c r="AT951" s="77"/>
      <c r="AU951" s="77"/>
      <c r="AV951" s="80" t="str">
        <f>HYPERLINK("https://pbs.twimg.com/media/Flk8FjCX0AM6jNa.jpg")</f>
        <v>https://pbs.twimg.com/media/Flk8FjCX0AM6jNa.jpg</v>
      </c>
      <c r="AW951" s="82" t="s">
        <v>13136</v>
      </c>
      <c r="AX951" s="82" t="s">
        <v>13136</v>
      </c>
      <c r="AY951" s="77"/>
      <c r="AZ951" s="82" t="s">
        <v>15804</v>
      </c>
      <c r="BA951" s="82" t="s">
        <v>15804</v>
      </c>
      <c r="BB951" s="82" t="s">
        <v>15804</v>
      </c>
      <c r="BC951" s="82" t="s">
        <v>13136</v>
      </c>
      <c r="BD951" s="82" t="s">
        <v>16318</v>
      </c>
      <c r="BE951" s="77"/>
      <c r="BF951" s="77"/>
      <c r="BG951" s="77"/>
      <c r="BH951" s="77"/>
      <c r="BI951" s="77"/>
    </row>
    <row r="952" spans="1:61" x14ac:dyDescent="0.25">
      <c r="A952" s="62" t="s">
        <v>551</v>
      </c>
      <c r="B952" s="62" t="s">
        <v>551</v>
      </c>
      <c r="C952" s="63"/>
      <c r="D952" s="64"/>
      <c r="E952" s="65"/>
      <c r="F952" s="66"/>
      <c r="G952" s="63"/>
      <c r="H952" s="67"/>
      <c r="I952" s="68"/>
      <c r="J952" s="68"/>
      <c r="K952" s="32"/>
      <c r="L952" s="75">
        <v>952</v>
      </c>
      <c r="M952" s="75"/>
      <c r="N952" s="70"/>
      <c r="O952" s="77" t="s">
        <v>179</v>
      </c>
      <c r="P952" s="79">
        <v>44929.885069444441</v>
      </c>
      <c r="Q952" s="77" t="s">
        <v>2048</v>
      </c>
      <c r="R952" s="77">
        <v>0</v>
      </c>
      <c r="S952" s="77">
        <v>0</v>
      </c>
      <c r="T952" s="77">
        <v>0</v>
      </c>
      <c r="U952" s="77">
        <v>0</v>
      </c>
      <c r="V952" s="77">
        <v>32</v>
      </c>
      <c r="W952" s="82" t="s">
        <v>4739</v>
      </c>
      <c r="X952" s="80" t="str">
        <f>HYPERLINK("https://lnkd.in/eejR3BXE")</f>
        <v>https://lnkd.in/eejR3BXE</v>
      </c>
      <c r="Y952" s="77" t="s">
        <v>6014</v>
      </c>
      <c r="Z952" s="77"/>
      <c r="AA952" s="77" t="s">
        <v>6717</v>
      </c>
      <c r="AB952" s="77" t="s">
        <v>7696</v>
      </c>
      <c r="AC952" s="82" t="s">
        <v>7706</v>
      </c>
      <c r="AD952" s="77" t="s">
        <v>7745</v>
      </c>
      <c r="AE952" s="80" t="str">
        <f>HYPERLINK("https://twitter.com/b18editora/status/1610384129006215168")</f>
        <v>https://twitter.com/b18editora/status/1610384129006215168</v>
      </c>
      <c r="AF952" s="79">
        <v>44929.885069444441</v>
      </c>
      <c r="AG952" s="85">
        <v>44929</v>
      </c>
      <c r="AH952" s="82" t="s">
        <v>8591</v>
      </c>
      <c r="AI952" s="77" t="b">
        <v>0</v>
      </c>
      <c r="AJ952" s="77"/>
      <c r="AK952" s="77"/>
      <c r="AL952" s="77"/>
      <c r="AM952" s="77"/>
      <c r="AN952" s="77"/>
      <c r="AO952" s="77"/>
      <c r="AP952" s="77"/>
      <c r="AQ952" s="77" t="s">
        <v>11224</v>
      </c>
      <c r="AR952" s="77"/>
      <c r="AS952" s="77"/>
      <c r="AT952" s="77"/>
      <c r="AU952" s="77"/>
      <c r="AV952" s="80" t="str">
        <f>HYPERLINK("https://pbs.twimg.com/media/Flk70AHXwAQLpeK.jpg")</f>
        <v>https://pbs.twimg.com/media/Flk70AHXwAQLpeK.jpg</v>
      </c>
      <c r="AW952" s="82" t="s">
        <v>13137</v>
      </c>
      <c r="AX952" s="82" t="s">
        <v>13137</v>
      </c>
      <c r="AY952" s="77"/>
      <c r="AZ952" s="82" t="s">
        <v>15804</v>
      </c>
      <c r="BA952" s="82" t="s">
        <v>15804</v>
      </c>
      <c r="BB952" s="82" t="s">
        <v>15804</v>
      </c>
      <c r="BC952" s="82" t="s">
        <v>13137</v>
      </c>
      <c r="BD952" s="82" t="s">
        <v>16318</v>
      </c>
      <c r="BE952" s="77"/>
      <c r="BF952" s="77"/>
      <c r="BG952" s="77"/>
      <c r="BH952" s="77"/>
      <c r="BI952" s="77"/>
    </row>
    <row r="953" spans="1:61" x14ac:dyDescent="0.25">
      <c r="A953" s="62" t="s">
        <v>551</v>
      </c>
      <c r="B953" s="62" t="s">
        <v>551</v>
      </c>
      <c r="C953" s="63"/>
      <c r="D953" s="64"/>
      <c r="E953" s="65"/>
      <c r="F953" s="66"/>
      <c r="G953" s="63"/>
      <c r="H953" s="67"/>
      <c r="I953" s="68"/>
      <c r="J953" s="68"/>
      <c r="K953" s="32"/>
      <c r="L953" s="75">
        <v>953</v>
      </c>
      <c r="M953" s="75"/>
      <c r="N953" s="70"/>
      <c r="O953" s="77" t="s">
        <v>179</v>
      </c>
      <c r="P953" s="79">
        <v>44992.54960648148</v>
      </c>
      <c r="Q953" s="77" t="s">
        <v>2049</v>
      </c>
      <c r="R953" s="77">
        <v>0</v>
      </c>
      <c r="S953" s="77">
        <v>0</v>
      </c>
      <c r="T953" s="77">
        <v>0</v>
      </c>
      <c r="U953" s="77">
        <v>0</v>
      </c>
      <c r="V953" s="77">
        <v>13</v>
      </c>
      <c r="W953" s="82" t="s">
        <v>4740</v>
      </c>
      <c r="X953" s="80" t="str">
        <f>HYPERLINK("https://lnkd.in/eusGk5DT")</f>
        <v>https://lnkd.in/eusGk5DT</v>
      </c>
      <c r="Y953" s="77" t="s">
        <v>6014</v>
      </c>
      <c r="Z953" s="77"/>
      <c r="AA953" s="77" t="s">
        <v>6718</v>
      </c>
      <c r="AB953" s="77" t="s">
        <v>7696</v>
      </c>
      <c r="AC953" s="82" t="s">
        <v>7723</v>
      </c>
      <c r="AD953" s="77" t="s">
        <v>7745</v>
      </c>
      <c r="AE953" s="80" t="str">
        <f>HYPERLINK("https://twitter.com/b18editora/status/1633092995997155328")</f>
        <v>https://twitter.com/b18editora/status/1633092995997155328</v>
      </c>
      <c r="AF953" s="79">
        <v>44992.54960648148</v>
      </c>
      <c r="AG953" s="85">
        <v>44992</v>
      </c>
      <c r="AH953" s="82" t="s">
        <v>8592</v>
      </c>
      <c r="AI953" s="77" t="b">
        <v>0</v>
      </c>
      <c r="AJ953" s="77"/>
      <c r="AK953" s="77"/>
      <c r="AL953" s="77"/>
      <c r="AM953" s="77"/>
      <c r="AN953" s="77"/>
      <c r="AO953" s="77"/>
      <c r="AP953" s="77"/>
      <c r="AQ953" s="77" t="s">
        <v>11225</v>
      </c>
      <c r="AR953" s="77"/>
      <c r="AS953" s="77"/>
      <c r="AT953" s="77"/>
      <c r="AU953" s="77"/>
      <c r="AV953" s="80" t="str">
        <f>HYPERLINK("https://pbs.twimg.com/media/FqnpbLnWYAYYys_.jpg")</f>
        <v>https://pbs.twimg.com/media/FqnpbLnWYAYYys_.jpg</v>
      </c>
      <c r="AW953" s="82" t="s">
        <v>13138</v>
      </c>
      <c r="AX953" s="82" t="s">
        <v>13138</v>
      </c>
      <c r="AY953" s="77"/>
      <c r="AZ953" s="82" t="s">
        <v>15804</v>
      </c>
      <c r="BA953" s="82" t="s">
        <v>15804</v>
      </c>
      <c r="BB953" s="82" t="s">
        <v>15804</v>
      </c>
      <c r="BC953" s="82" t="s">
        <v>13138</v>
      </c>
      <c r="BD953" s="82" t="s">
        <v>16318</v>
      </c>
      <c r="BE953" s="77"/>
      <c r="BF953" s="77"/>
      <c r="BG953" s="77"/>
      <c r="BH953" s="77"/>
      <c r="BI953" s="77"/>
    </row>
    <row r="954" spans="1:61" x14ac:dyDescent="0.25">
      <c r="A954" s="62" t="s">
        <v>551</v>
      </c>
      <c r="B954" s="62" t="s">
        <v>551</v>
      </c>
      <c r="C954" s="63"/>
      <c r="D954" s="64"/>
      <c r="E954" s="65"/>
      <c r="F954" s="66"/>
      <c r="G954" s="63"/>
      <c r="H954" s="67"/>
      <c r="I954" s="68"/>
      <c r="J954" s="68"/>
      <c r="K954" s="32"/>
      <c r="L954" s="75">
        <v>954</v>
      </c>
      <c r="M954" s="75"/>
      <c r="N954" s="70"/>
      <c r="O954" s="77" t="s">
        <v>179</v>
      </c>
      <c r="P954" s="79">
        <v>44991.519861111112</v>
      </c>
      <c r="Q954" s="77" t="s">
        <v>2050</v>
      </c>
      <c r="R954" s="77">
        <v>0</v>
      </c>
      <c r="S954" s="77">
        <v>0</v>
      </c>
      <c r="T954" s="77">
        <v>0</v>
      </c>
      <c r="U954" s="77">
        <v>0</v>
      </c>
      <c r="V954" s="77">
        <v>22</v>
      </c>
      <c r="W954" s="82" t="s">
        <v>4741</v>
      </c>
      <c r="X954" s="80" t="str">
        <f>HYPERLINK("https://lnkd.in/eNKaTnbr")</f>
        <v>https://lnkd.in/eNKaTnbr</v>
      </c>
      <c r="Y954" s="77" t="s">
        <v>6014</v>
      </c>
      <c r="Z954" s="77"/>
      <c r="AA954" s="77" t="s">
        <v>6719</v>
      </c>
      <c r="AB954" s="77" t="s">
        <v>7696</v>
      </c>
      <c r="AC954" s="82" t="s">
        <v>7723</v>
      </c>
      <c r="AD954" s="77" t="s">
        <v>7745</v>
      </c>
      <c r="AE954" s="80" t="str">
        <f>HYPERLINK("https://twitter.com/b18editora/status/1632719831286919169")</f>
        <v>https://twitter.com/b18editora/status/1632719831286919169</v>
      </c>
      <c r="AF954" s="79">
        <v>44991.519861111112</v>
      </c>
      <c r="AG954" s="85">
        <v>44991</v>
      </c>
      <c r="AH954" s="82" t="s">
        <v>8593</v>
      </c>
      <c r="AI954" s="77" t="b">
        <v>0</v>
      </c>
      <c r="AJ954" s="77"/>
      <c r="AK954" s="77"/>
      <c r="AL954" s="77"/>
      <c r="AM954" s="77"/>
      <c r="AN954" s="77"/>
      <c r="AO954" s="77"/>
      <c r="AP954" s="77"/>
      <c r="AQ954" s="77" t="s">
        <v>11226</v>
      </c>
      <c r="AR954" s="77"/>
      <c r="AS954" s="77"/>
      <c r="AT954" s="77"/>
      <c r="AU954" s="77"/>
      <c r="AV954" s="80" t="str">
        <f>HYPERLINK("https://pbs.twimg.com/media/FqiWCICWIAEHNnI.jpg")</f>
        <v>https://pbs.twimg.com/media/FqiWCICWIAEHNnI.jpg</v>
      </c>
      <c r="AW954" s="82" t="s">
        <v>13139</v>
      </c>
      <c r="AX954" s="82" t="s">
        <v>13139</v>
      </c>
      <c r="AY954" s="77"/>
      <c r="AZ954" s="82" t="s">
        <v>15804</v>
      </c>
      <c r="BA954" s="82" t="s">
        <v>15804</v>
      </c>
      <c r="BB954" s="82" t="s">
        <v>15804</v>
      </c>
      <c r="BC954" s="82" t="s">
        <v>13139</v>
      </c>
      <c r="BD954" s="82" t="s">
        <v>16318</v>
      </c>
      <c r="BE954" s="77"/>
      <c r="BF954" s="77"/>
      <c r="BG954" s="77"/>
      <c r="BH954" s="77"/>
      <c r="BI954" s="77"/>
    </row>
    <row r="955" spans="1:61" x14ac:dyDescent="0.25">
      <c r="A955" s="62" t="s">
        <v>551</v>
      </c>
      <c r="B955" s="62" t="s">
        <v>551</v>
      </c>
      <c r="C955" s="63"/>
      <c r="D955" s="64"/>
      <c r="E955" s="65"/>
      <c r="F955" s="66"/>
      <c r="G955" s="63"/>
      <c r="H955" s="67"/>
      <c r="I955" s="68"/>
      <c r="J955" s="68"/>
      <c r="K955" s="32"/>
      <c r="L955" s="75">
        <v>955</v>
      </c>
      <c r="M955" s="75"/>
      <c r="N955" s="70"/>
      <c r="O955" s="77" t="s">
        <v>179</v>
      </c>
      <c r="P955" s="79">
        <v>45023.704618055555</v>
      </c>
      <c r="Q955" s="77" t="s">
        <v>2051</v>
      </c>
      <c r="R955" s="77">
        <v>0</v>
      </c>
      <c r="S955" s="77">
        <v>0</v>
      </c>
      <c r="T955" s="77">
        <v>0</v>
      </c>
      <c r="U955" s="77">
        <v>0</v>
      </c>
      <c r="V955" s="77">
        <v>35</v>
      </c>
      <c r="W955" s="82" t="s">
        <v>4742</v>
      </c>
      <c r="X955" s="80" t="str">
        <f>HYPERLINK("https://bit.ly/3UlAJ4k")</f>
        <v>https://bit.ly/3UlAJ4k</v>
      </c>
      <c r="Y955" s="77" t="s">
        <v>6004</v>
      </c>
      <c r="Z955" s="77"/>
      <c r="AA955" s="77" t="s">
        <v>6720</v>
      </c>
      <c r="AB955" s="77" t="s">
        <v>7696</v>
      </c>
      <c r="AC955" s="82" t="s">
        <v>7706</v>
      </c>
      <c r="AD955" s="77" t="s">
        <v>7745</v>
      </c>
      <c r="AE955" s="80" t="str">
        <f>HYPERLINK("https://twitter.com/b18editora/status/1644383194211287043")</f>
        <v>https://twitter.com/b18editora/status/1644383194211287043</v>
      </c>
      <c r="AF955" s="79">
        <v>45023.704618055555</v>
      </c>
      <c r="AG955" s="85">
        <v>45023</v>
      </c>
      <c r="AH955" s="82" t="s">
        <v>8594</v>
      </c>
      <c r="AI955" s="77" t="b">
        <v>0</v>
      </c>
      <c r="AJ955" s="77"/>
      <c r="AK955" s="77"/>
      <c r="AL955" s="77"/>
      <c r="AM955" s="77"/>
      <c r="AN955" s="77"/>
      <c r="AO955" s="77"/>
      <c r="AP955" s="77"/>
      <c r="AQ955" s="77" t="s">
        <v>11227</v>
      </c>
      <c r="AR955" s="77"/>
      <c r="AS955" s="77"/>
      <c r="AT955" s="77"/>
      <c r="AU955" s="77"/>
      <c r="AV955" s="80" t="str">
        <f>HYPERLINK("https://pbs.twimg.com/media/FtIFXaRWcAEMkPw.jpg")</f>
        <v>https://pbs.twimg.com/media/FtIFXaRWcAEMkPw.jpg</v>
      </c>
      <c r="AW955" s="82" t="s">
        <v>13140</v>
      </c>
      <c r="AX955" s="82" t="s">
        <v>13140</v>
      </c>
      <c r="AY955" s="77"/>
      <c r="AZ955" s="82" t="s">
        <v>15804</v>
      </c>
      <c r="BA955" s="82" t="s">
        <v>15804</v>
      </c>
      <c r="BB955" s="82" t="s">
        <v>15804</v>
      </c>
      <c r="BC955" s="82" t="s">
        <v>13140</v>
      </c>
      <c r="BD955" s="82" t="s">
        <v>16318</v>
      </c>
      <c r="BE955" s="77"/>
      <c r="BF955" s="77"/>
      <c r="BG955" s="77"/>
      <c r="BH955" s="77"/>
      <c r="BI955" s="77"/>
    </row>
    <row r="956" spans="1:61" x14ac:dyDescent="0.25">
      <c r="A956" s="62" t="s">
        <v>551</v>
      </c>
      <c r="B956" s="62" t="s">
        <v>551</v>
      </c>
      <c r="C956" s="63"/>
      <c r="D956" s="64"/>
      <c r="E956" s="65"/>
      <c r="F956" s="66"/>
      <c r="G956" s="63"/>
      <c r="H956" s="67"/>
      <c r="I956" s="68"/>
      <c r="J956" s="68"/>
      <c r="K956" s="32"/>
      <c r="L956" s="75">
        <v>956</v>
      </c>
      <c r="M956" s="75"/>
      <c r="N956" s="70"/>
      <c r="O956" s="77" t="s">
        <v>179</v>
      </c>
      <c r="P956" s="79">
        <v>45022.492083333331</v>
      </c>
      <c r="Q956" s="77" t="s">
        <v>2052</v>
      </c>
      <c r="R956" s="77">
        <v>0</v>
      </c>
      <c r="S956" s="77">
        <v>0</v>
      </c>
      <c r="T956" s="77">
        <v>0</v>
      </c>
      <c r="U956" s="77">
        <v>0</v>
      </c>
      <c r="V956" s="77">
        <v>25</v>
      </c>
      <c r="W956" s="82" t="s">
        <v>4743</v>
      </c>
      <c r="X956" s="80" t="str">
        <f>HYPERLINK("https://lnkd.in/ezuf_Sgv")</f>
        <v>https://lnkd.in/ezuf_Sgv</v>
      </c>
      <c r="Y956" s="77" t="s">
        <v>6014</v>
      </c>
      <c r="Z956" s="77"/>
      <c r="AA956" s="77" t="s">
        <v>6721</v>
      </c>
      <c r="AB956" s="77" t="s">
        <v>7696</v>
      </c>
      <c r="AC956" s="82" t="s">
        <v>7723</v>
      </c>
      <c r="AD956" s="77" t="s">
        <v>7745</v>
      </c>
      <c r="AE956" s="80" t="str">
        <f>HYPERLINK("https://twitter.com/b18editora/status/1643943785120903174")</f>
        <v>https://twitter.com/b18editora/status/1643943785120903174</v>
      </c>
      <c r="AF956" s="79">
        <v>45022.492083333331</v>
      </c>
      <c r="AG956" s="85">
        <v>45022</v>
      </c>
      <c r="AH956" s="82" t="s">
        <v>8595</v>
      </c>
      <c r="AI956" s="77" t="b">
        <v>0</v>
      </c>
      <c r="AJ956" s="77"/>
      <c r="AK956" s="77"/>
      <c r="AL956" s="77"/>
      <c r="AM956" s="77"/>
      <c r="AN956" s="77"/>
      <c r="AO956" s="77"/>
      <c r="AP956" s="77"/>
      <c r="AQ956" s="77" t="s">
        <v>11228</v>
      </c>
      <c r="AR956" s="77"/>
      <c r="AS956" s="77"/>
      <c r="AT956" s="77"/>
      <c r="AU956" s="77"/>
      <c r="AV956" s="80" t="str">
        <f>HYPERLINK("https://pbs.twimg.com/media/FtB2KOAX0AATpHJ.jpg")</f>
        <v>https://pbs.twimg.com/media/FtB2KOAX0AATpHJ.jpg</v>
      </c>
      <c r="AW956" s="82" t="s">
        <v>13141</v>
      </c>
      <c r="AX956" s="82" t="s">
        <v>13141</v>
      </c>
      <c r="AY956" s="77"/>
      <c r="AZ956" s="82" t="s">
        <v>15804</v>
      </c>
      <c r="BA956" s="82" t="s">
        <v>15804</v>
      </c>
      <c r="BB956" s="82" t="s">
        <v>15804</v>
      </c>
      <c r="BC956" s="82" t="s">
        <v>13141</v>
      </c>
      <c r="BD956" s="82" t="s">
        <v>16318</v>
      </c>
      <c r="BE956" s="77"/>
      <c r="BF956" s="77"/>
      <c r="BG956" s="77"/>
      <c r="BH956" s="77"/>
      <c r="BI956" s="77"/>
    </row>
    <row r="957" spans="1:61" x14ac:dyDescent="0.25">
      <c r="A957" s="62" t="s">
        <v>551</v>
      </c>
      <c r="B957" s="62" t="s">
        <v>551</v>
      </c>
      <c r="C957" s="63"/>
      <c r="D957" s="64"/>
      <c r="E957" s="65"/>
      <c r="F957" s="66"/>
      <c r="G957" s="63"/>
      <c r="H957" s="67"/>
      <c r="I957" s="68"/>
      <c r="J957" s="68"/>
      <c r="K957" s="32"/>
      <c r="L957" s="75">
        <v>957</v>
      </c>
      <c r="M957" s="75"/>
      <c r="N957" s="70"/>
      <c r="O957" s="77" t="s">
        <v>179</v>
      </c>
      <c r="P957" s="79">
        <v>45022.490590277775</v>
      </c>
      <c r="Q957" s="77" t="s">
        <v>2053</v>
      </c>
      <c r="R957" s="77">
        <v>0</v>
      </c>
      <c r="S957" s="77">
        <v>0</v>
      </c>
      <c r="T957" s="77">
        <v>0</v>
      </c>
      <c r="U957" s="77">
        <v>0</v>
      </c>
      <c r="V957" s="77">
        <v>41</v>
      </c>
      <c r="W957" s="82" t="s">
        <v>4744</v>
      </c>
      <c r="X957" s="80" t="str">
        <f>HYPERLINK("https://lnkd.in/eHc_Sx27")</f>
        <v>https://lnkd.in/eHc_Sx27</v>
      </c>
      <c r="Y957" s="77" t="s">
        <v>6014</v>
      </c>
      <c r="Z957" s="77"/>
      <c r="AA957" s="77" t="s">
        <v>6722</v>
      </c>
      <c r="AB957" s="77" t="s">
        <v>7696</v>
      </c>
      <c r="AC957" s="82" t="s">
        <v>7723</v>
      </c>
      <c r="AD957" s="77" t="s">
        <v>7745</v>
      </c>
      <c r="AE957" s="80" t="str">
        <f>HYPERLINK("https://twitter.com/b18editora/status/1643943244487696386")</f>
        <v>https://twitter.com/b18editora/status/1643943244487696386</v>
      </c>
      <c r="AF957" s="79">
        <v>45022.490590277775</v>
      </c>
      <c r="AG957" s="85">
        <v>45022</v>
      </c>
      <c r="AH957" s="82" t="s">
        <v>8596</v>
      </c>
      <c r="AI957" s="77" t="b">
        <v>0</v>
      </c>
      <c r="AJ957" s="77"/>
      <c r="AK957" s="77"/>
      <c r="AL957" s="77"/>
      <c r="AM957" s="77"/>
      <c r="AN957" s="77"/>
      <c r="AO957" s="77"/>
      <c r="AP957" s="77"/>
      <c r="AQ957" s="77" t="s">
        <v>11229</v>
      </c>
      <c r="AR957" s="77"/>
      <c r="AS957" s="77"/>
      <c r="AT957" s="77"/>
      <c r="AU957" s="77"/>
      <c r="AV957" s="80" t="str">
        <f>HYPERLINK("https://pbs.twimg.com/media/FtB1q1kWAAEMiZ1.jpg")</f>
        <v>https://pbs.twimg.com/media/FtB1q1kWAAEMiZ1.jpg</v>
      </c>
      <c r="AW957" s="82" t="s">
        <v>13142</v>
      </c>
      <c r="AX957" s="82" t="s">
        <v>13142</v>
      </c>
      <c r="AY957" s="77"/>
      <c r="AZ957" s="82" t="s">
        <v>15804</v>
      </c>
      <c r="BA957" s="82" t="s">
        <v>15804</v>
      </c>
      <c r="BB957" s="82" t="s">
        <v>15804</v>
      </c>
      <c r="BC957" s="82" t="s">
        <v>13142</v>
      </c>
      <c r="BD957" s="82" t="s">
        <v>16318</v>
      </c>
      <c r="BE957" s="77"/>
      <c r="BF957" s="77"/>
      <c r="BG957" s="77"/>
      <c r="BH957" s="77"/>
      <c r="BI957" s="77"/>
    </row>
    <row r="958" spans="1:61" x14ac:dyDescent="0.25">
      <c r="A958" s="62" t="s">
        <v>551</v>
      </c>
      <c r="B958" s="62" t="s">
        <v>551</v>
      </c>
      <c r="C958" s="63"/>
      <c r="D958" s="64"/>
      <c r="E958" s="65"/>
      <c r="F958" s="66"/>
      <c r="G958" s="63"/>
      <c r="H958" s="67"/>
      <c r="I958" s="68"/>
      <c r="J958" s="68"/>
      <c r="K958" s="32"/>
      <c r="L958" s="75">
        <v>958</v>
      </c>
      <c r="M958" s="75"/>
      <c r="N958" s="70"/>
      <c r="O958" s="77" t="s">
        <v>179</v>
      </c>
      <c r="P958" s="79">
        <v>45041.611655092594</v>
      </c>
      <c r="Q958" s="77" t="s">
        <v>2054</v>
      </c>
      <c r="R958" s="77">
        <v>0</v>
      </c>
      <c r="S958" s="77">
        <v>0</v>
      </c>
      <c r="T958" s="77">
        <v>0</v>
      </c>
      <c r="U958" s="77">
        <v>0</v>
      </c>
      <c r="V958" s="77">
        <v>12</v>
      </c>
      <c r="W958" s="82" t="s">
        <v>4745</v>
      </c>
      <c r="X958" s="80" t="str">
        <f>HYPERLINK("https://lnkd.in/ei2JCCgr")</f>
        <v>https://lnkd.in/ei2JCCgr</v>
      </c>
      <c r="Y958" s="77" t="s">
        <v>6014</v>
      </c>
      <c r="Z958" s="77"/>
      <c r="AA958" s="77" t="s">
        <v>6723</v>
      </c>
      <c r="AB958" s="77" t="s">
        <v>7697</v>
      </c>
      <c r="AC958" s="82" t="s">
        <v>7723</v>
      </c>
      <c r="AD958" s="77" t="s">
        <v>7745</v>
      </c>
      <c r="AE958" s="80" t="str">
        <f>HYPERLINK("https://twitter.com/b18editora/status/1650872487494705152")</f>
        <v>https://twitter.com/b18editora/status/1650872487494705152</v>
      </c>
      <c r="AF958" s="79">
        <v>45041.611655092594</v>
      </c>
      <c r="AG958" s="85">
        <v>45041</v>
      </c>
      <c r="AH958" s="82" t="s">
        <v>8597</v>
      </c>
      <c r="AI958" s="77" t="b">
        <v>0</v>
      </c>
      <c r="AJ958" s="77"/>
      <c r="AK958" s="77"/>
      <c r="AL958" s="77"/>
      <c r="AM958" s="77"/>
      <c r="AN958" s="77"/>
      <c r="AO958" s="77"/>
      <c r="AP958" s="77"/>
      <c r="AQ958" s="77" t="s">
        <v>11230</v>
      </c>
      <c r="AR958" s="77">
        <v>5800</v>
      </c>
      <c r="AS958" s="77"/>
      <c r="AT958" s="77"/>
      <c r="AU958" s="77">
        <v>2</v>
      </c>
      <c r="AV958" s="80" t="str">
        <f>HYPERLINK("https://pbs.twimg.com/ext_tw_video_thumb/1650872455446003713/pu/img/PaXyunS4alEDkhWG.jpg")</f>
        <v>https://pbs.twimg.com/ext_tw_video_thumb/1650872455446003713/pu/img/PaXyunS4alEDkhWG.jpg</v>
      </c>
      <c r="AW958" s="82" t="s">
        <v>13143</v>
      </c>
      <c r="AX958" s="82" t="s">
        <v>13143</v>
      </c>
      <c r="AY958" s="77"/>
      <c r="AZ958" s="82" t="s">
        <v>15804</v>
      </c>
      <c r="BA958" s="82" t="s">
        <v>15804</v>
      </c>
      <c r="BB958" s="82" t="s">
        <v>15804</v>
      </c>
      <c r="BC958" s="82" t="s">
        <v>13143</v>
      </c>
      <c r="BD958" s="82" t="s">
        <v>16318</v>
      </c>
      <c r="BE958" s="77"/>
      <c r="BF958" s="77"/>
      <c r="BG958" s="77"/>
      <c r="BH958" s="77"/>
      <c r="BI958" s="77"/>
    </row>
    <row r="959" spans="1:61" x14ac:dyDescent="0.25">
      <c r="A959" s="62" t="s">
        <v>551</v>
      </c>
      <c r="B959" s="62" t="s">
        <v>551</v>
      </c>
      <c r="C959" s="63"/>
      <c r="D959" s="64"/>
      <c r="E959" s="65"/>
      <c r="F959" s="66"/>
      <c r="G959" s="63"/>
      <c r="H959" s="67"/>
      <c r="I959" s="68"/>
      <c r="J959" s="68"/>
      <c r="K959" s="32"/>
      <c r="L959" s="75">
        <v>959</v>
      </c>
      <c r="M959" s="75"/>
      <c r="N959" s="70"/>
      <c r="O959" s="77" t="s">
        <v>179</v>
      </c>
      <c r="P959" s="79">
        <v>44937.50172453704</v>
      </c>
      <c r="Q959" s="77" t="s">
        <v>2055</v>
      </c>
      <c r="R959" s="77">
        <v>0</v>
      </c>
      <c r="S959" s="77">
        <v>0</v>
      </c>
      <c r="T959" s="77">
        <v>0</v>
      </c>
      <c r="U959" s="77">
        <v>0</v>
      </c>
      <c r="V959" s="77">
        <v>22</v>
      </c>
      <c r="W959" s="82" t="s">
        <v>4746</v>
      </c>
      <c r="X959" s="80" t="str">
        <f>HYPERLINK("https://lnkd.in/gjfFQM7t")</f>
        <v>https://lnkd.in/gjfFQM7t</v>
      </c>
      <c r="Y959" s="77" t="s">
        <v>6014</v>
      </c>
      <c r="Z959" s="77"/>
      <c r="AA959" s="77" t="s">
        <v>6724</v>
      </c>
      <c r="AB959" s="77" t="s">
        <v>7696</v>
      </c>
      <c r="AC959" s="82" t="s">
        <v>7723</v>
      </c>
      <c r="AD959" s="77" t="s">
        <v>7745</v>
      </c>
      <c r="AE959" s="80" t="str">
        <f>HYPERLINK("https://twitter.com/b18editora/status/1613144314049175552")</f>
        <v>https://twitter.com/b18editora/status/1613144314049175552</v>
      </c>
      <c r="AF959" s="79">
        <v>44937.50172453704</v>
      </c>
      <c r="AG959" s="85">
        <v>44937</v>
      </c>
      <c r="AH959" s="82" t="s">
        <v>8598</v>
      </c>
      <c r="AI959" s="77" t="b">
        <v>0</v>
      </c>
      <c r="AJ959" s="77"/>
      <c r="AK959" s="77"/>
      <c r="AL959" s="77"/>
      <c r="AM959" s="77"/>
      <c r="AN959" s="77"/>
      <c r="AO959" s="77"/>
      <c r="AP959" s="77"/>
      <c r="AQ959" s="77" t="s">
        <v>11231</v>
      </c>
      <c r="AR959" s="77"/>
      <c r="AS959" s="77"/>
      <c r="AT959" s="77"/>
      <c r="AU959" s="77"/>
      <c r="AV959" s="80" t="str">
        <f>HYPERLINK("https://pbs.twimg.com/media/FmMKNIwWQAIZX6j.jpg")</f>
        <v>https://pbs.twimg.com/media/FmMKNIwWQAIZX6j.jpg</v>
      </c>
      <c r="AW959" s="82" t="s">
        <v>13144</v>
      </c>
      <c r="AX959" s="82" t="s">
        <v>13144</v>
      </c>
      <c r="AY959" s="77"/>
      <c r="AZ959" s="82" t="s">
        <v>15804</v>
      </c>
      <c r="BA959" s="82" t="s">
        <v>15804</v>
      </c>
      <c r="BB959" s="82" t="s">
        <v>15804</v>
      </c>
      <c r="BC959" s="82" t="s">
        <v>13144</v>
      </c>
      <c r="BD959" s="82" t="s">
        <v>16318</v>
      </c>
      <c r="BE959" s="77"/>
      <c r="BF959" s="77"/>
      <c r="BG959" s="77"/>
      <c r="BH959" s="77"/>
      <c r="BI959" s="77"/>
    </row>
    <row r="960" spans="1:61" x14ac:dyDescent="0.25">
      <c r="A960" s="62" t="s">
        <v>551</v>
      </c>
      <c r="B960" s="62" t="s">
        <v>551</v>
      </c>
      <c r="C960" s="63"/>
      <c r="D960" s="64"/>
      <c r="E960" s="65"/>
      <c r="F960" s="66"/>
      <c r="G960" s="63"/>
      <c r="H960" s="67"/>
      <c r="I960" s="68"/>
      <c r="J960" s="68"/>
      <c r="K960" s="32"/>
      <c r="L960" s="75">
        <v>960</v>
      </c>
      <c r="M960" s="75"/>
      <c r="N960" s="70"/>
      <c r="O960" s="77" t="s">
        <v>179</v>
      </c>
      <c r="P960" s="79">
        <v>44932.498402777775</v>
      </c>
      <c r="Q960" s="77" t="s">
        <v>2056</v>
      </c>
      <c r="R960" s="77">
        <v>0</v>
      </c>
      <c r="S960" s="77">
        <v>0</v>
      </c>
      <c r="T960" s="77">
        <v>0</v>
      </c>
      <c r="U960" s="77">
        <v>0</v>
      </c>
      <c r="V960" s="77">
        <v>19</v>
      </c>
      <c r="W960" s="82" t="s">
        <v>4747</v>
      </c>
      <c r="X960" s="80" t="str">
        <f>HYPERLINK("https://lnkd.in/eggbmtwt")</f>
        <v>https://lnkd.in/eggbmtwt</v>
      </c>
      <c r="Y960" s="77" t="s">
        <v>6014</v>
      </c>
      <c r="Z960" s="77"/>
      <c r="AA960" s="77" t="s">
        <v>6725</v>
      </c>
      <c r="AB960" s="77" t="s">
        <v>7696</v>
      </c>
      <c r="AC960" s="82" t="s">
        <v>7706</v>
      </c>
      <c r="AD960" s="77" t="s">
        <v>7745</v>
      </c>
      <c r="AE960" s="80" t="str">
        <f>HYPERLINK("https://twitter.com/b18editora/status/1611331167352938501")</f>
        <v>https://twitter.com/b18editora/status/1611331167352938501</v>
      </c>
      <c r="AF960" s="79">
        <v>44932.498402777775</v>
      </c>
      <c r="AG960" s="85">
        <v>44932</v>
      </c>
      <c r="AH960" s="82" t="s">
        <v>8599</v>
      </c>
      <c r="AI960" s="77" t="b">
        <v>0</v>
      </c>
      <c r="AJ960" s="77"/>
      <c r="AK960" s="77"/>
      <c r="AL960" s="77"/>
      <c r="AM960" s="77"/>
      <c r="AN960" s="77"/>
      <c r="AO960" s="77"/>
      <c r="AP960" s="77"/>
      <c r="AQ960" s="77" t="s">
        <v>11232</v>
      </c>
      <c r="AR960" s="77"/>
      <c r="AS960" s="77"/>
      <c r="AT960" s="77"/>
      <c r="AU960" s="77"/>
      <c r="AV960" s="80" t="str">
        <f>HYPERLINK("https://pbs.twimg.com/media/FlyYq4YXoAMRdi5.jpg")</f>
        <v>https://pbs.twimg.com/media/FlyYq4YXoAMRdi5.jpg</v>
      </c>
      <c r="AW960" s="82" t="s">
        <v>13145</v>
      </c>
      <c r="AX960" s="82" t="s">
        <v>13145</v>
      </c>
      <c r="AY960" s="77"/>
      <c r="AZ960" s="82" t="s">
        <v>15804</v>
      </c>
      <c r="BA960" s="82" t="s">
        <v>15804</v>
      </c>
      <c r="BB960" s="82" t="s">
        <v>15804</v>
      </c>
      <c r="BC960" s="82" t="s">
        <v>13145</v>
      </c>
      <c r="BD960" s="82" t="s">
        <v>16318</v>
      </c>
      <c r="BE960" s="77"/>
      <c r="BF960" s="77"/>
      <c r="BG960" s="77"/>
      <c r="BH960" s="77"/>
      <c r="BI960" s="77"/>
    </row>
    <row r="961" spans="1:61" x14ac:dyDescent="0.25">
      <c r="A961" s="62" t="s">
        <v>551</v>
      </c>
      <c r="B961" s="62" t="s">
        <v>551</v>
      </c>
      <c r="C961" s="63"/>
      <c r="D961" s="64"/>
      <c r="E961" s="65"/>
      <c r="F961" s="66"/>
      <c r="G961" s="63"/>
      <c r="H961" s="67"/>
      <c r="I961" s="68"/>
      <c r="J961" s="68"/>
      <c r="K961" s="32"/>
      <c r="L961" s="75">
        <v>961</v>
      </c>
      <c r="M961" s="75"/>
      <c r="N961" s="70"/>
      <c r="O961" s="77" t="s">
        <v>179</v>
      </c>
      <c r="P961" s="79">
        <v>45126.596967592595</v>
      </c>
      <c r="Q961" s="77" t="s">
        <v>2057</v>
      </c>
      <c r="R961" s="77">
        <v>0</v>
      </c>
      <c r="S961" s="77">
        <v>0</v>
      </c>
      <c r="T961" s="77">
        <v>0</v>
      </c>
      <c r="U961" s="77">
        <v>0</v>
      </c>
      <c r="V961" s="77">
        <v>9</v>
      </c>
      <c r="W961" s="82" t="s">
        <v>4748</v>
      </c>
      <c r="X961" s="80" t="str">
        <f>HYPERLINK("https://lnkd.in/d3SSJ2y6")</f>
        <v>https://lnkd.in/d3SSJ2y6</v>
      </c>
      <c r="Y961" s="77" t="s">
        <v>6014</v>
      </c>
      <c r="Z961" s="77"/>
      <c r="AA961" s="77" t="s">
        <v>6726</v>
      </c>
      <c r="AB961" s="77" t="s">
        <v>7696</v>
      </c>
      <c r="AC961" s="82" t="s">
        <v>7723</v>
      </c>
      <c r="AD961" s="77" t="s">
        <v>7745</v>
      </c>
      <c r="AE961" s="80" t="str">
        <f>HYPERLINK("https://twitter.com/b18editora/status/1681670134086397952")</f>
        <v>https://twitter.com/b18editora/status/1681670134086397952</v>
      </c>
      <c r="AF961" s="79">
        <v>45126.596967592595</v>
      </c>
      <c r="AG961" s="85">
        <v>45126</v>
      </c>
      <c r="AH961" s="82" t="s">
        <v>8600</v>
      </c>
      <c r="AI961" s="77" t="b">
        <v>0</v>
      </c>
      <c r="AJ961" s="77"/>
      <c r="AK961" s="77"/>
      <c r="AL961" s="77"/>
      <c r="AM961" s="77"/>
      <c r="AN961" s="77"/>
      <c r="AO961" s="77"/>
      <c r="AP961" s="77"/>
      <c r="AQ961" s="77" t="s">
        <v>11233</v>
      </c>
      <c r="AR961" s="77"/>
      <c r="AS961" s="77"/>
      <c r="AT961" s="77"/>
      <c r="AU961" s="77"/>
      <c r="AV961" s="80" t="str">
        <f>HYPERLINK("https://pbs.twimg.com/media/F1Z-Ex3XgAABGk0.jpg")</f>
        <v>https://pbs.twimg.com/media/F1Z-Ex3XgAABGk0.jpg</v>
      </c>
      <c r="AW961" s="82" t="s">
        <v>13146</v>
      </c>
      <c r="AX961" s="82" t="s">
        <v>13146</v>
      </c>
      <c r="AY961" s="77"/>
      <c r="AZ961" s="82" t="s">
        <v>15804</v>
      </c>
      <c r="BA961" s="82" t="s">
        <v>15804</v>
      </c>
      <c r="BB961" s="82" t="s">
        <v>15804</v>
      </c>
      <c r="BC961" s="82" t="s">
        <v>13146</v>
      </c>
      <c r="BD961" s="82" t="s">
        <v>16318</v>
      </c>
      <c r="BE961" s="77"/>
      <c r="BF961" s="77"/>
      <c r="BG961" s="77"/>
      <c r="BH961" s="77"/>
      <c r="BI961" s="77"/>
    </row>
    <row r="962" spans="1:61" x14ac:dyDescent="0.25">
      <c r="A962" s="62" t="s">
        <v>551</v>
      </c>
      <c r="B962" s="62" t="s">
        <v>551</v>
      </c>
      <c r="C962" s="63"/>
      <c r="D962" s="64"/>
      <c r="E962" s="65"/>
      <c r="F962" s="66"/>
      <c r="G962" s="63"/>
      <c r="H962" s="67"/>
      <c r="I962" s="68"/>
      <c r="J962" s="68"/>
      <c r="K962" s="32"/>
      <c r="L962" s="75">
        <v>962</v>
      </c>
      <c r="M962" s="75"/>
      <c r="N962" s="70"/>
      <c r="O962" s="77" t="s">
        <v>179</v>
      </c>
      <c r="P962" s="79">
        <v>45131.722210648149</v>
      </c>
      <c r="Q962" s="77" t="s">
        <v>2058</v>
      </c>
      <c r="R962" s="77">
        <v>0</v>
      </c>
      <c r="S962" s="77">
        <v>0</v>
      </c>
      <c r="T962" s="77">
        <v>0</v>
      </c>
      <c r="U962" s="77">
        <v>0</v>
      </c>
      <c r="V962" s="77">
        <v>53</v>
      </c>
      <c r="W962" s="82" t="s">
        <v>4749</v>
      </c>
      <c r="X962" s="80" t="str">
        <f>HYPERLINK("https://lnkd.in/dA6rHsUp")</f>
        <v>https://lnkd.in/dA6rHsUp</v>
      </c>
      <c r="Y962" s="77" t="s">
        <v>6014</v>
      </c>
      <c r="Z962" s="77"/>
      <c r="AA962" s="77" t="s">
        <v>6727</v>
      </c>
      <c r="AB962" s="77" t="s">
        <v>7696</v>
      </c>
      <c r="AC962" s="82" t="s">
        <v>7723</v>
      </c>
      <c r="AD962" s="77" t="s">
        <v>7745</v>
      </c>
      <c r="AE962" s="80" t="str">
        <f>HYPERLINK("https://twitter.com/b18editora/status/1683527458639757317")</f>
        <v>https://twitter.com/b18editora/status/1683527458639757317</v>
      </c>
      <c r="AF962" s="79">
        <v>45131.722210648149</v>
      </c>
      <c r="AG962" s="85">
        <v>45131</v>
      </c>
      <c r="AH962" s="82" t="s">
        <v>8601</v>
      </c>
      <c r="AI962" s="77" t="b">
        <v>0</v>
      </c>
      <c r="AJ962" s="77"/>
      <c r="AK962" s="77"/>
      <c r="AL962" s="77"/>
      <c r="AM962" s="77"/>
      <c r="AN962" s="77"/>
      <c r="AO962" s="77"/>
      <c r="AP962" s="77"/>
      <c r="AQ962" s="77" t="s">
        <v>11234</v>
      </c>
      <c r="AR962" s="77"/>
      <c r="AS962" s="77"/>
      <c r="AT962" s="77"/>
      <c r="AU962" s="77"/>
      <c r="AV962" s="80" t="str">
        <f>HYPERLINK("https://pbs.twimg.com/media/F10XTTFWwAorpE8.jpg")</f>
        <v>https://pbs.twimg.com/media/F10XTTFWwAorpE8.jpg</v>
      </c>
      <c r="AW962" s="82" t="s">
        <v>13147</v>
      </c>
      <c r="AX962" s="82" t="s">
        <v>13147</v>
      </c>
      <c r="AY962" s="77"/>
      <c r="AZ962" s="82" t="s">
        <v>15804</v>
      </c>
      <c r="BA962" s="82" t="s">
        <v>15804</v>
      </c>
      <c r="BB962" s="82" t="s">
        <v>15804</v>
      </c>
      <c r="BC962" s="82" t="s">
        <v>13147</v>
      </c>
      <c r="BD962" s="82" t="s">
        <v>16318</v>
      </c>
      <c r="BE962" s="77"/>
      <c r="BF962" s="77"/>
      <c r="BG962" s="77"/>
      <c r="BH962" s="77"/>
      <c r="BI962" s="77"/>
    </row>
    <row r="963" spans="1:61" x14ac:dyDescent="0.25">
      <c r="A963" s="62" t="s">
        <v>551</v>
      </c>
      <c r="B963" s="62" t="s">
        <v>551</v>
      </c>
      <c r="C963" s="63"/>
      <c r="D963" s="64"/>
      <c r="E963" s="65"/>
      <c r="F963" s="66"/>
      <c r="G963" s="63"/>
      <c r="H963" s="67"/>
      <c r="I963" s="68"/>
      <c r="J963" s="68"/>
      <c r="K963" s="32"/>
      <c r="L963" s="75">
        <v>963</v>
      </c>
      <c r="M963" s="75"/>
      <c r="N963" s="70"/>
      <c r="O963" s="77" t="s">
        <v>179</v>
      </c>
      <c r="P963" s="79">
        <v>45086.489351851851</v>
      </c>
      <c r="Q963" s="77" t="s">
        <v>2059</v>
      </c>
      <c r="R963" s="77">
        <v>0</v>
      </c>
      <c r="S963" s="77">
        <v>0</v>
      </c>
      <c r="T963" s="77">
        <v>0</v>
      </c>
      <c r="U963" s="77">
        <v>0</v>
      </c>
      <c r="V963" s="77">
        <v>16</v>
      </c>
      <c r="W963" s="82" t="s">
        <v>4750</v>
      </c>
      <c r="X963" s="80" t="str">
        <f>HYPERLINK("https://lnkd.in/eX53GF2s")</f>
        <v>https://lnkd.in/eX53GF2s</v>
      </c>
      <c r="Y963" s="77" t="s">
        <v>6014</v>
      </c>
      <c r="Z963" s="77"/>
      <c r="AA963" s="77" t="s">
        <v>6728</v>
      </c>
      <c r="AB963" s="77" t="s">
        <v>7696</v>
      </c>
      <c r="AC963" s="82" t="s">
        <v>7723</v>
      </c>
      <c r="AD963" s="77" t="s">
        <v>7745</v>
      </c>
      <c r="AE963" s="80" t="str">
        <f>HYPERLINK("https://twitter.com/b18editora/status/1667135620655853571")</f>
        <v>https://twitter.com/b18editora/status/1667135620655853571</v>
      </c>
      <c r="AF963" s="79">
        <v>45086.489351851851</v>
      </c>
      <c r="AG963" s="85">
        <v>45086</v>
      </c>
      <c r="AH963" s="82" t="s">
        <v>8602</v>
      </c>
      <c r="AI963" s="77" t="b">
        <v>0</v>
      </c>
      <c r="AJ963" s="77"/>
      <c r="AK963" s="77"/>
      <c r="AL963" s="77"/>
      <c r="AM963" s="77"/>
      <c r="AN963" s="77"/>
      <c r="AO963" s="77"/>
      <c r="AP963" s="77"/>
      <c r="AQ963" s="77" t="s">
        <v>11235</v>
      </c>
      <c r="AR963" s="77"/>
      <c r="AS963" s="77"/>
      <c r="AT963" s="77"/>
      <c r="AU963" s="77"/>
      <c r="AV963" s="80" t="str">
        <f>HYPERLINK("https://pbs.twimg.com/media/FyLbAy_WYAI71K3.jpg")</f>
        <v>https://pbs.twimg.com/media/FyLbAy_WYAI71K3.jpg</v>
      </c>
      <c r="AW963" s="82" t="s">
        <v>13148</v>
      </c>
      <c r="AX963" s="82" t="s">
        <v>13148</v>
      </c>
      <c r="AY963" s="77"/>
      <c r="AZ963" s="82" t="s">
        <v>15804</v>
      </c>
      <c r="BA963" s="82" t="s">
        <v>15804</v>
      </c>
      <c r="BB963" s="82" t="s">
        <v>15804</v>
      </c>
      <c r="BC963" s="82" t="s">
        <v>13148</v>
      </c>
      <c r="BD963" s="82" t="s">
        <v>16318</v>
      </c>
      <c r="BE963" s="77"/>
      <c r="BF963" s="77"/>
      <c r="BG963" s="77"/>
      <c r="BH963" s="77"/>
      <c r="BI963" s="77"/>
    </row>
    <row r="964" spans="1:61" x14ac:dyDescent="0.25">
      <c r="A964" s="62" t="s">
        <v>551</v>
      </c>
      <c r="B964" s="62" t="s">
        <v>551</v>
      </c>
      <c r="C964" s="63"/>
      <c r="D964" s="64"/>
      <c r="E964" s="65"/>
      <c r="F964" s="66"/>
      <c r="G964" s="63"/>
      <c r="H964" s="67"/>
      <c r="I964" s="68"/>
      <c r="J964" s="68"/>
      <c r="K964" s="32"/>
      <c r="L964" s="75">
        <v>964</v>
      </c>
      <c r="M964" s="75"/>
      <c r="N964" s="70"/>
      <c r="O964" s="77" t="s">
        <v>179</v>
      </c>
      <c r="P964" s="79">
        <v>44965.81925925926</v>
      </c>
      <c r="Q964" s="77" t="s">
        <v>2060</v>
      </c>
      <c r="R964" s="77">
        <v>0</v>
      </c>
      <c r="S964" s="77">
        <v>1</v>
      </c>
      <c r="T964" s="77">
        <v>0</v>
      </c>
      <c r="U964" s="77">
        <v>0</v>
      </c>
      <c r="V964" s="77">
        <v>28</v>
      </c>
      <c r="W964" s="82" t="s">
        <v>4751</v>
      </c>
      <c r="X964" s="80" t="str">
        <f>HYPERLINK("https://lnkd.in/e57nb_jc")</f>
        <v>https://lnkd.in/e57nb_jc</v>
      </c>
      <c r="Y964" s="77" t="s">
        <v>6014</v>
      </c>
      <c r="Z964" s="77"/>
      <c r="AA964" s="77" t="s">
        <v>6729</v>
      </c>
      <c r="AB964" s="77" t="s">
        <v>7696</v>
      </c>
      <c r="AC964" s="82" t="s">
        <v>7723</v>
      </c>
      <c r="AD964" s="77" t="s">
        <v>7745</v>
      </c>
      <c r="AE964" s="80" t="str">
        <f>HYPERLINK("https://twitter.com/b18editora/status/1623406242906484741")</f>
        <v>https://twitter.com/b18editora/status/1623406242906484741</v>
      </c>
      <c r="AF964" s="79">
        <v>44965.81925925926</v>
      </c>
      <c r="AG964" s="85">
        <v>44965</v>
      </c>
      <c r="AH964" s="82" t="s">
        <v>8603</v>
      </c>
      <c r="AI964" s="77" t="b">
        <v>0</v>
      </c>
      <c r="AJ964" s="77"/>
      <c r="AK964" s="77"/>
      <c r="AL964" s="77"/>
      <c r="AM964" s="77"/>
      <c r="AN964" s="77"/>
      <c r="AO964" s="77"/>
      <c r="AP964" s="77"/>
      <c r="AQ964" s="77" t="s">
        <v>11236</v>
      </c>
      <c r="AR964" s="77"/>
      <c r="AS964" s="77"/>
      <c r="AT964" s="77"/>
      <c r="AU964" s="77"/>
      <c r="AV964" s="80" t="str">
        <f>HYPERLINK("https://pbs.twimg.com/media/Fod_X_DWYAMyAvy.jpg")</f>
        <v>https://pbs.twimg.com/media/Fod_X_DWYAMyAvy.jpg</v>
      </c>
      <c r="AW964" s="82" t="s">
        <v>13149</v>
      </c>
      <c r="AX964" s="82" t="s">
        <v>13149</v>
      </c>
      <c r="AY964" s="77"/>
      <c r="AZ964" s="82" t="s">
        <v>15804</v>
      </c>
      <c r="BA964" s="82" t="s">
        <v>15804</v>
      </c>
      <c r="BB964" s="82" t="s">
        <v>15804</v>
      </c>
      <c r="BC964" s="82" t="s">
        <v>13149</v>
      </c>
      <c r="BD964" s="82" t="s">
        <v>16318</v>
      </c>
      <c r="BE964" s="77"/>
      <c r="BF964" s="77"/>
      <c r="BG964" s="77"/>
      <c r="BH964" s="77"/>
      <c r="BI964" s="77"/>
    </row>
    <row r="965" spans="1:61" x14ac:dyDescent="0.25">
      <c r="A965" s="62" t="s">
        <v>551</v>
      </c>
      <c r="B965" s="62" t="s">
        <v>551</v>
      </c>
      <c r="C965" s="63"/>
      <c r="D965" s="64"/>
      <c r="E965" s="65"/>
      <c r="F965" s="66"/>
      <c r="G965" s="63"/>
      <c r="H965" s="67"/>
      <c r="I965" s="68"/>
      <c r="J965" s="68"/>
      <c r="K965" s="32"/>
      <c r="L965" s="75">
        <v>965</v>
      </c>
      <c r="M965" s="75"/>
      <c r="N965" s="70"/>
      <c r="O965" s="77" t="s">
        <v>179</v>
      </c>
      <c r="P965" s="79">
        <v>45168.498425925929</v>
      </c>
      <c r="Q965" s="77" t="s">
        <v>2061</v>
      </c>
      <c r="R965" s="77">
        <v>0</v>
      </c>
      <c r="S965" s="77">
        <v>0</v>
      </c>
      <c r="T965" s="77">
        <v>0</v>
      </c>
      <c r="U965" s="77">
        <v>0</v>
      </c>
      <c r="V965" s="77">
        <v>18</v>
      </c>
      <c r="W965" s="82" t="s">
        <v>4752</v>
      </c>
      <c r="X965" s="80" t="str">
        <f>HYPERLINK("https://lnkd.in/dqNsZa4i")</f>
        <v>https://lnkd.in/dqNsZa4i</v>
      </c>
      <c r="Y965" s="77" t="s">
        <v>6014</v>
      </c>
      <c r="Z965" s="77"/>
      <c r="AA965" s="77" t="s">
        <v>6730</v>
      </c>
      <c r="AB965" s="77" t="s">
        <v>7696</v>
      </c>
      <c r="AC965" s="82" t="s">
        <v>7723</v>
      </c>
      <c r="AD965" s="77" t="s">
        <v>7745</v>
      </c>
      <c r="AE965" s="80" t="str">
        <f>HYPERLINK("https://twitter.com/b18editora/status/1696854713008877619")</f>
        <v>https://twitter.com/b18editora/status/1696854713008877619</v>
      </c>
      <c r="AF965" s="79">
        <v>45168.498425925929</v>
      </c>
      <c r="AG965" s="85">
        <v>45168</v>
      </c>
      <c r="AH965" s="82" t="s">
        <v>8604</v>
      </c>
      <c r="AI965" s="77" t="b">
        <v>0</v>
      </c>
      <c r="AJ965" s="77"/>
      <c r="AK965" s="77"/>
      <c r="AL965" s="77"/>
      <c r="AM965" s="77"/>
      <c r="AN965" s="77"/>
      <c r="AO965" s="77"/>
      <c r="AP965" s="77"/>
      <c r="AQ965" s="77" t="s">
        <v>11237</v>
      </c>
      <c r="AR965" s="77"/>
      <c r="AS965" s="77"/>
      <c r="AT965" s="77"/>
      <c r="AU965" s="77"/>
      <c r="AV965" s="80" t="str">
        <f>HYPERLINK("https://pbs.twimg.com/media/F4xwXrcXsAAIYpH.jpg")</f>
        <v>https://pbs.twimg.com/media/F4xwXrcXsAAIYpH.jpg</v>
      </c>
      <c r="AW965" s="82" t="s">
        <v>13150</v>
      </c>
      <c r="AX965" s="82" t="s">
        <v>13150</v>
      </c>
      <c r="AY965" s="77"/>
      <c r="AZ965" s="82" t="s">
        <v>15804</v>
      </c>
      <c r="BA965" s="82" t="s">
        <v>15804</v>
      </c>
      <c r="BB965" s="82" t="s">
        <v>15804</v>
      </c>
      <c r="BC965" s="82" t="s">
        <v>13150</v>
      </c>
      <c r="BD965" s="82" t="s">
        <v>16318</v>
      </c>
      <c r="BE965" s="77"/>
      <c r="BF965" s="77"/>
      <c r="BG965" s="77"/>
      <c r="BH965" s="77"/>
      <c r="BI965" s="77"/>
    </row>
    <row r="966" spans="1:61" x14ac:dyDescent="0.25">
      <c r="A966" s="62" t="s">
        <v>551</v>
      </c>
      <c r="B966" s="62" t="s">
        <v>551</v>
      </c>
      <c r="C966" s="63"/>
      <c r="D966" s="64"/>
      <c r="E966" s="65"/>
      <c r="F966" s="66"/>
      <c r="G966" s="63"/>
      <c r="H966" s="67"/>
      <c r="I966" s="68"/>
      <c r="J966" s="68"/>
      <c r="K966" s="32"/>
      <c r="L966" s="75">
        <v>966</v>
      </c>
      <c r="M966" s="75"/>
      <c r="N966" s="70"/>
      <c r="O966" s="77" t="s">
        <v>179</v>
      </c>
      <c r="P966" s="79">
        <v>45168.496435185189</v>
      </c>
      <c r="Q966" s="77" t="s">
        <v>2062</v>
      </c>
      <c r="R966" s="77">
        <v>0</v>
      </c>
      <c r="S966" s="77">
        <v>1</v>
      </c>
      <c r="T966" s="77">
        <v>0</v>
      </c>
      <c r="U966" s="77">
        <v>0</v>
      </c>
      <c r="V966" s="77">
        <v>36</v>
      </c>
      <c r="W966" s="82" t="s">
        <v>4753</v>
      </c>
      <c r="X966" s="80" t="str">
        <f>HYPERLINK("https://lnkd.in/d_5SBP9F")</f>
        <v>https://lnkd.in/d_5SBP9F</v>
      </c>
      <c r="Y966" s="77" t="s">
        <v>6014</v>
      </c>
      <c r="Z966" s="77"/>
      <c r="AA966" s="77" t="s">
        <v>6731</v>
      </c>
      <c r="AB966" s="77" t="s">
        <v>7696</v>
      </c>
      <c r="AC966" s="82" t="s">
        <v>7723</v>
      </c>
      <c r="AD966" s="77" t="s">
        <v>7745</v>
      </c>
      <c r="AE966" s="80" t="str">
        <f>HYPERLINK("https://twitter.com/b18editora/status/1696853992645497146")</f>
        <v>https://twitter.com/b18editora/status/1696853992645497146</v>
      </c>
      <c r="AF966" s="79">
        <v>45168.496435185189</v>
      </c>
      <c r="AG966" s="85">
        <v>45168</v>
      </c>
      <c r="AH966" s="82" t="s">
        <v>8605</v>
      </c>
      <c r="AI966" s="77" t="b">
        <v>0</v>
      </c>
      <c r="AJ966" s="77"/>
      <c r="AK966" s="77"/>
      <c r="AL966" s="77"/>
      <c r="AM966" s="77"/>
      <c r="AN966" s="77"/>
      <c r="AO966" s="77"/>
      <c r="AP966" s="77"/>
      <c r="AQ966" s="77" t="s">
        <v>11238</v>
      </c>
      <c r="AR966" s="77"/>
      <c r="AS966" s="77"/>
      <c r="AT966" s="77"/>
      <c r="AU966" s="77"/>
      <c r="AV966" s="80" t="str">
        <f>HYPERLINK("https://pbs.twimg.com/media/F4xvtvWXUAAVRiQ.jpg")</f>
        <v>https://pbs.twimg.com/media/F4xvtvWXUAAVRiQ.jpg</v>
      </c>
      <c r="AW966" s="82" t="s">
        <v>13151</v>
      </c>
      <c r="AX966" s="82" t="s">
        <v>13151</v>
      </c>
      <c r="AY966" s="77"/>
      <c r="AZ966" s="82" t="s">
        <v>15804</v>
      </c>
      <c r="BA966" s="82" t="s">
        <v>15804</v>
      </c>
      <c r="BB966" s="82" t="s">
        <v>15804</v>
      </c>
      <c r="BC966" s="82" t="s">
        <v>13151</v>
      </c>
      <c r="BD966" s="82" t="s">
        <v>16318</v>
      </c>
      <c r="BE966" s="77"/>
      <c r="BF966" s="77"/>
      <c r="BG966" s="77"/>
      <c r="BH966" s="77"/>
      <c r="BI966" s="77"/>
    </row>
    <row r="967" spans="1:61" x14ac:dyDescent="0.25">
      <c r="A967" s="62" t="s">
        <v>551</v>
      </c>
      <c r="B967" s="62" t="s">
        <v>551</v>
      </c>
      <c r="C967" s="63"/>
      <c r="D967" s="64"/>
      <c r="E967" s="65"/>
      <c r="F967" s="66"/>
      <c r="G967" s="63"/>
      <c r="H967" s="67"/>
      <c r="I967" s="68"/>
      <c r="J967" s="68"/>
      <c r="K967" s="32"/>
      <c r="L967" s="75">
        <v>967</v>
      </c>
      <c r="M967" s="75"/>
      <c r="N967" s="70"/>
      <c r="O967" s="77" t="s">
        <v>179</v>
      </c>
      <c r="P967" s="79">
        <v>45168.495104166665</v>
      </c>
      <c r="Q967" s="77" t="s">
        <v>2063</v>
      </c>
      <c r="R967" s="77">
        <v>0</v>
      </c>
      <c r="S967" s="77">
        <v>0</v>
      </c>
      <c r="T967" s="77">
        <v>0</v>
      </c>
      <c r="U967" s="77">
        <v>0</v>
      </c>
      <c r="V967" s="77">
        <v>8</v>
      </c>
      <c r="W967" s="82" t="s">
        <v>4754</v>
      </c>
      <c r="X967" s="80" t="str">
        <f>HYPERLINK("https://lnkd.in/dizrJHnW")</f>
        <v>https://lnkd.in/dizrJHnW</v>
      </c>
      <c r="Y967" s="77" t="s">
        <v>6014</v>
      </c>
      <c r="Z967" s="77"/>
      <c r="AA967" s="77" t="s">
        <v>6732</v>
      </c>
      <c r="AB967" s="77" t="s">
        <v>7696</v>
      </c>
      <c r="AC967" s="82" t="s">
        <v>7723</v>
      </c>
      <c r="AD967" s="77" t="s">
        <v>7745</v>
      </c>
      <c r="AE967" s="80" t="str">
        <f>HYPERLINK("https://twitter.com/b18editora/status/1696853510455693771")</f>
        <v>https://twitter.com/b18editora/status/1696853510455693771</v>
      </c>
      <c r="AF967" s="79">
        <v>45168.495104166665</v>
      </c>
      <c r="AG967" s="85">
        <v>45168</v>
      </c>
      <c r="AH967" s="82" t="s">
        <v>8606</v>
      </c>
      <c r="AI967" s="77" t="b">
        <v>0</v>
      </c>
      <c r="AJ967" s="77"/>
      <c r="AK967" s="77"/>
      <c r="AL967" s="77"/>
      <c r="AM967" s="77"/>
      <c r="AN967" s="77"/>
      <c r="AO967" s="77"/>
      <c r="AP967" s="77"/>
      <c r="AQ967" s="77" t="s">
        <v>11239</v>
      </c>
      <c r="AR967" s="77"/>
      <c r="AS967" s="77"/>
      <c r="AT967" s="77"/>
      <c r="AU967" s="77"/>
      <c r="AV967" s="80" t="str">
        <f>HYPERLINK("https://pbs.twimg.com/media/F4xvRoXWEAAitZI.jpg")</f>
        <v>https://pbs.twimg.com/media/F4xvRoXWEAAitZI.jpg</v>
      </c>
      <c r="AW967" s="82" t="s">
        <v>13152</v>
      </c>
      <c r="AX967" s="82" t="s">
        <v>13152</v>
      </c>
      <c r="AY967" s="77"/>
      <c r="AZ967" s="82" t="s">
        <v>15804</v>
      </c>
      <c r="BA967" s="82" t="s">
        <v>15804</v>
      </c>
      <c r="BB967" s="82" t="s">
        <v>15804</v>
      </c>
      <c r="BC967" s="82" t="s">
        <v>13152</v>
      </c>
      <c r="BD967" s="82" t="s">
        <v>16318</v>
      </c>
      <c r="BE967" s="77"/>
      <c r="BF967" s="77"/>
      <c r="BG967" s="77"/>
      <c r="BH967" s="77"/>
      <c r="BI967" s="77"/>
    </row>
    <row r="968" spans="1:61" x14ac:dyDescent="0.25">
      <c r="A968" s="62" t="s">
        <v>551</v>
      </c>
      <c r="B968" s="62" t="s">
        <v>551</v>
      </c>
      <c r="C968" s="63"/>
      <c r="D968" s="64"/>
      <c r="E968" s="65"/>
      <c r="F968" s="66"/>
      <c r="G968" s="63"/>
      <c r="H968" s="67"/>
      <c r="I968" s="68"/>
      <c r="J968" s="68"/>
      <c r="K968" s="32"/>
      <c r="L968" s="75">
        <v>968</v>
      </c>
      <c r="M968" s="75"/>
      <c r="N968" s="70"/>
      <c r="O968" s="77" t="s">
        <v>179</v>
      </c>
      <c r="P968" s="79">
        <v>45097.593599537038</v>
      </c>
      <c r="Q968" s="77" t="s">
        <v>2064</v>
      </c>
      <c r="R968" s="77">
        <v>0</v>
      </c>
      <c r="S968" s="77">
        <v>0</v>
      </c>
      <c r="T968" s="77">
        <v>0</v>
      </c>
      <c r="U968" s="77">
        <v>0</v>
      </c>
      <c r="V968" s="77">
        <v>44</v>
      </c>
      <c r="W968" s="82" t="s">
        <v>4755</v>
      </c>
      <c r="X968" s="80" t="str">
        <f>HYPERLINK("https://lnkd.in/dJai95DX")</f>
        <v>https://lnkd.in/dJai95DX</v>
      </c>
      <c r="Y968" s="77" t="s">
        <v>6014</v>
      </c>
      <c r="Z968" s="77"/>
      <c r="AA968" s="77" t="s">
        <v>6733</v>
      </c>
      <c r="AB968" s="77" t="s">
        <v>7696</v>
      </c>
      <c r="AC968" s="82" t="s">
        <v>7723</v>
      </c>
      <c r="AD968" s="77" t="s">
        <v>7745</v>
      </c>
      <c r="AE968" s="80" t="str">
        <f>HYPERLINK("https://twitter.com/b18editora/status/1671159665252761602")</f>
        <v>https://twitter.com/b18editora/status/1671159665252761602</v>
      </c>
      <c r="AF968" s="79">
        <v>45097.593599537038</v>
      </c>
      <c r="AG968" s="85">
        <v>45097</v>
      </c>
      <c r="AH968" s="82" t="s">
        <v>8607</v>
      </c>
      <c r="AI968" s="77" t="b">
        <v>0</v>
      </c>
      <c r="AJ968" s="77"/>
      <c r="AK968" s="77"/>
      <c r="AL968" s="77"/>
      <c r="AM968" s="77"/>
      <c r="AN968" s="77"/>
      <c r="AO968" s="77"/>
      <c r="AP968" s="77"/>
      <c r="AQ968" s="77" t="s">
        <v>11240</v>
      </c>
      <c r="AR968" s="77"/>
      <c r="AS968" s="77"/>
      <c r="AT968" s="77"/>
      <c r="AU968" s="77"/>
      <c r="AV968" s="80" t="str">
        <f>HYPERLINK("https://pbs.twimg.com/media/FzEm2-8aEAkR-2b.jpg")</f>
        <v>https://pbs.twimg.com/media/FzEm2-8aEAkR-2b.jpg</v>
      </c>
      <c r="AW968" s="82" t="s">
        <v>13153</v>
      </c>
      <c r="AX968" s="82" t="s">
        <v>13153</v>
      </c>
      <c r="AY968" s="77"/>
      <c r="AZ968" s="82" t="s">
        <v>15804</v>
      </c>
      <c r="BA968" s="82" t="s">
        <v>15804</v>
      </c>
      <c r="BB968" s="82" t="s">
        <v>15804</v>
      </c>
      <c r="BC968" s="82" t="s">
        <v>13153</v>
      </c>
      <c r="BD968" s="82" t="s">
        <v>16318</v>
      </c>
      <c r="BE968" s="77"/>
      <c r="BF968" s="77"/>
      <c r="BG968" s="77"/>
      <c r="BH968" s="77"/>
      <c r="BI968" s="77"/>
    </row>
    <row r="969" spans="1:61" x14ac:dyDescent="0.25">
      <c r="A969" s="62" t="s">
        <v>551</v>
      </c>
      <c r="B969" s="62" t="s">
        <v>551</v>
      </c>
      <c r="C969" s="63"/>
      <c r="D969" s="64"/>
      <c r="E969" s="65"/>
      <c r="F969" s="66"/>
      <c r="G969" s="63"/>
      <c r="H969" s="67"/>
      <c r="I969" s="68"/>
      <c r="J969" s="68"/>
      <c r="K969" s="32"/>
      <c r="L969" s="75">
        <v>969</v>
      </c>
      <c r="M969" s="75"/>
      <c r="N969" s="70"/>
      <c r="O969" s="77" t="s">
        <v>179</v>
      </c>
      <c r="P969" s="79">
        <v>44956.541828703703</v>
      </c>
      <c r="Q969" s="77" t="s">
        <v>2065</v>
      </c>
      <c r="R969" s="77">
        <v>0</v>
      </c>
      <c r="S969" s="77">
        <v>0</v>
      </c>
      <c r="T969" s="77">
        <v>0</v>
      </c>
      <c r="U969" s="77">
        <v>0</v>
      </c>
      <c r="V969" s="77">
        <v>19</v>
      </c>
      <c r="W969" s="82" t="s">
        <v>4756</v>
      </c>
      <c r="X969" s="80" t="str">
        <f>HYPERLINK("https://bit.ly/3WHNQfC")</f>
        <v>https://bit.ly/3WHNQfC</v>
      </c>
      <c r="Y969" s="77" t="s">
        <v>6004</v>
      </c>
      <c r="Z969" s="77"/>
      <c r="AA969" s="77" t="s">
        <v>6734</v>
      </c>
      <c r="AB969" s="77" t="s">
        <v>7696</v>
      </c>
      <c r="AC969" s="82" t="s">
        <v>7706</v>
      </c>
      <c r="AD969" s="77" t="s">
        <v>7745</v>
      </c>
      <c r="AE969" s="80" t="str">
        <f>HYPERLINK("https://twitter.com/b18editora/status/1620044216616509441")</f>
        <v>https://twitter.com/b18editora/status/1620044216616509441</v>
      </c>
      <c r="AF969" s="79">
        <v>44956.541828703703</v>
      </c>
      <c r="AG969" s="85">
        <v>44956</v>
      </c>
      <c r="AH969" s="82" t="s">
        <v>8608</v>
      </c>
      <c r="AI969" s="77" t="b">
        <v>0</v>
      </c>
      <c r="AJ969" s="77"/>
      <c r="AK969" s="77"/>
      <c r="AL969" s="77"/>
      <c r="AM969" s="77"/>
      <c r="AN969" s="77"/>
      <c r="AO969" s="77"/>
      <c r="AP969" s="77"/>
      <c r="AQ969" s="77" t="s">
        <v>11241</v>
      </c>
      <c r="AR969" s="77"/>
      <c r="AS969" s="77"/>
      <c r="AT969" s="77"/>
      <c r="AU969" s="77"/>
      <c r="AV969" s="80" t="str">
        <f>HYPERLINK("https://pbs.twimg.com/media/FnuNl-vXoAIsDCs.jpg")</f>
        <v>https://pbs.twimg.com/media/FnuNl-vXoAIsDCs.jpg</v>
      </c>
      <c r="AW969" s="82" t="s">
        <v>13154</v>
      </c>
      <c r="AX969" s="82" t="s">
        <v>13154</v>
      </c>
      <c r="AY969" s="77"/>
      <c r="AZ969" s="82" t="s">
        <v>15804</v>
      </c>
      <c r="BA969" s="82" t="s">
        <v>15804</v>
      </c>
      <c r="BB969" s="82" t="s">
        <v>15804</v>
      </c>
      <c r="BC969" s="82" t="s">
        <v>13154</v>
      </c>
      <c r="BD969" s="82" t="s">
        <v>16318</v>
      </c>
      <c r="BE969" s="77"/>
      <c r="BF969" s="77"/>
      <c r="BG969" s="77"/>
      <c r="BH969" s="77"/>
      <c r="BI969" s="77"/>
    </row>
    <row r="970" spans="1:61" x14ac:dyDescent="0.25">
      <c r="A970" s="62" t="s">
        <v>551</v>
      </c>
      <c r="B970" s="62" t="s">
        <v>551</v>
      </c>
      <c r="C970" s="63"/>
      <c r="D970" s="64"/>
      <c r="E970" s="65"/>
      <c r="F970" s="66"/>
      <c r="G970" s="63"/>
      <c r="H970" s="67"/>
      <c r="I970" s="68"/>
      <c r="J970" s="68"/>
      <c r="K970" s="32"/>
      <c r="L970" s="75">
        <v>970</v>
      </c>
      <c r="M970" s="75"/>
      <c r="N970" s="70"/>
      <c r="O970" s="77" t="s">
        <v>179</v>
      </c>
      <c r="P970" s="79">
        <v>44953.771493055552</v>
      </c>
      <c r="Q970" s="77" t="s">
        <v>2066</v>
      </c>
      <c r="R970" s="77">
        <v>0</v>
      </c>
      <c r="S970" s="77">
        <v>0</v>
      </c>
      <c r="T970" s="77">
        <v>0</v>
      </c>
      <c r="U970" s="77">
        <v>0</v>
      </c>
      <c r="V970" s="77">
        <v>36</v>
      </c>
      <c r="W970" s="82" t="s">
        <v>4757</v>
      </c>
      <c r="X970" s="80" t="str">
        <f>HYPERLINK("https://bit.ly/40beznC")</f>
        <v>https://bit.ly/40beznC</v>
      </c>
      <c r="Y970" s="77" t="s">
        <v>6004</v>
      </c>
      <c r="Z970" s="77"/>
      <c r="AA970" s="77" t="s">
        <v>6735</v>
      </c>
      <c r="AB970" s="77" t="s">
        <v>7696</v>
      </c>
      <c r="AC970" s="82" t="s">
        <v>7706</v>
      </c>
      <c r="AD970" s="77" t="s">
        <v>7745</v>
      </c>
      <c r="AE970" s="80" t="str">
        <f>HYPERLINK("https://twitter.com/b18editora/status/1619040278672982016")</f>
        <v>https://twitter.com/b18editora/status/1619040278672982016</v>
      </c>
      <c r="AF970" s="79">
        <v>44953.771493055552</v>
      </c>
      <c r="AG970" s="85">
        <v>44953</v>
      </c>
      <c r="AH970" s="82" t="s">
        <v>8609</v>
      </c>
      <c r="AI970" s="77" t="b">
        <v>0</v>
      </c>
      <c r="AJ970" s="77"/>
      <c r="AK970" s="77"/>
      <c r="AL970" s="77"/>
      <c r="AM970" s="77"/>
      <c r="AN970" s="77"/>
      <c r="AO970" s="77"/>
      <c r="AP970" s="77"/>
      <c r="AQ970" s="77" t="s">
        <v>11242</v>
      </c>
      <c r="AR970" s="77"/>
      <c r="AS970" s="77"/>
      <c r="AT970" s="77"/>
      <c r="AU970" s="77"/>
      <c r="AV970" s="80" t="str">
        <f>HYPERLINK("https://pbs.twimg.com/media/Fnf8O6kXoAATBzB.jpg")</f>
        <v>https://pbs.twimg.com/media/Fnf8O6kXoAATBzB.jpg</v>
      </c>
      <c r="AW970" s="82" t="s">
        <v>13155</v>
      </c>
      <c r="AX970" s="82" t="s">
        <v>13155</v>
      </c>
      <c r="AY970" s="77"/>
      <c r="AZ970" s="82" t="s">
        <v>15804</v>
      </c>
      <c r="BA970" s="82" t="s">
        <v>15804</v>
      </c>
      <c r="BB970" s="82" t="s">
        <v>15804</v>
      </c>
      <c r="BC970" s="82" t="s">
        <v>13155</v>
      </c>
      <c r="BD970" s="82" t="s">
        <v>16318</v>
      </c>
      <c r="BE970" s="77"/>
      <c r="BF970" s="77"/>
      <c r="BG970" s="77"/>
      <c r="BH970" s="77"/>
      <c r="BI970" s="77"/>
    </row>
    <row r="971" spans="1:61" x14ac:dyDescent="0.25">
      <c r="A971" s="62" t="s">
        <v>551</v>
      </c>
      <c r="B971" s="62" t="s">
        <v>551</v>
      </c>
      <c r="C971" s="63"/>
      <c r="D971" s="64"/>
      <c r="E971" s="65"/>
      <c r="F971" s="66"/>
      <c r="G971" s="63"/>
      <c r="H971" s="67"/>
      <c r="I971" s="68"/>
      <c r="J971" s="68"/>
      <c r="K971" s="32"/>
      <c r="L971" s="75">
        <v>971</v>
      </c>
      <c r="M971" s="75"/>
      <c r="N971" s="70"/>
      <c r="O971" s="77" t="s">
        <v>179</v>
      </c>
      <c r="P971" s="79">
        <v>45167.620370370372</v>
      </c>
      <c r="Q971" s="77" t="s">
        <v>2067</v>
      </c>
      <c r="R971" s="77">
        <v>0</v>
      </c>
      <c r="S971" s="77">
        <v>0</v>
      </c>
      <c r="T971" s="77">
        <v>0</v>
      </c>
      <c r="U971" s="77">
        <v>0</v>
      </c>
      <c r="V971" s="77">
        <v>46</v>
      </c>
      <c r="W971" s="82" t="s">
        <v>4758</v>
      </c>
      <c r="X971" s="80" t="str">
        <f>HYPERLINK("https://lnkd.in/dqNsZa4i")</f>
        <v>https://lnkd.in/dqNsZa4i</v>
      </c>
      <c r="Y971" s="77" t="s">
        <v>6014</v>
      </c>
      <c r="Z971" s="77"/>
      <c r="AA971" s="77" t="s">
        <v>6736</v>
      </c>
      <c r="AB971" s="77" t="s">
        <v>7696</v>
      </c>
      <c r="AC971" s="82" t="s">
        <v>7723</v>
      </c>
      <c r="AD971" s="77" t="s">
        <v>7745</v>
      </c>
      <c r="AE971" s="80" t="str">
        <f>HYPERLINK("https://twitter.com/b18editora/status/1696536519337714020")</f>
        <v>https://twitter.com/b18editora/status/1696536519337714020</v>
      </c>
      <c r="AF971" s="79">
        <v>45167.620370370372</v>
      </c>
      <c r="AG971" s="85">
        <v>45167</v>
      </c>
      <c r="AH971" s="82" t="s">
        <v>8610</v>
      </c>
      <c r="AI971" s="77" t="b">
        <v>0</v>
      </c>
      <c r="AJ971" s="77"/>
      <c r="AK971" s="77"/>
      <c r="AL971" s="77"/>
      <c r="AM971" s="77"/>
      <c r="AN971" s="77"/>
      <c r="AO971" s="77"/>
      <c r="AP971" s="77"/>
      <c r="AQ971" s="77" t="s">
        <v>11243</v>
      </c>
      <c r="AR971" s="77"/>
      <c r="AS971" s="77"/>
      <c r="AT971" s="77"/>
      <c r="AU971" s="77"/>
      <c r="AV971" s="80" t="str">
        <f>HYPERLINK("https://pbs.twimg.com/media/F4tO-V8bUAAhyfF.jpg")</f>
        <v>https://pbs.twimg.com/media/F4tO-V8bUAAhyfF.jpg</v>
      </c>
      <c r="AW971" s="82" t="s">
        <v>13156</v>
      </c>
      <c r="AX971" s="82" t="s">
        <v>13156</v>
      </c>
      <c r="AY971" s="77"/>
      <c r="AZ971" s="82" t="s">
        <v>15804</v>
      </c>
      <c r="BA971" s="82" t="s">
        <v>15804</v>
      </c>
      <c r="BB971" s="82" t="s">
        <v>15804</v>
      </c>
      <c r="BC971" s="82" t="s">
        <v>13156</v>
      </c>
      <c r="BD971" s="82" t="s">
        <v>16318</v>
      </c>
      <c r="BE971" s="77"/>
      <c r="BF971" s="77"/>
      <c r="BG971" s="77"/>
      <c r="BH971" s="77"/>
      <c r="BI971" s="77"/>
    </row>
    <row r="972" spans="1:61" x14ac:dyDescent="0.25">
      <c r="A972" s="62" t="s">
        <v>551</v>
      </c>
      <c r="B972" s="62" t="s">
        <v>551</v>
      </c>
      <c r="C972" s="63"/>
      <c r="D972" s="64"/>
      <c r="E972" s="65"/>
      <c r="F972" s="66"/>
      <c r="G972" s="63"/>
      <c r="H972" s="67"/>
      <c r="I972" s="68"/>
      <c r="J972" s="68"/>
      <c r="K972" s="32"/>
      <c r="L972" s="75">
        <v>972</v>
      </c>
      <c r="M972" s="75"/>
      <c r="N972" s="70"/>
      <c r="O972" s="77" t="s">
        <v>179</v>
      </c>
      <c r="P972" s="79">
        <v>45096.489120370374</v>
      </c>
      <c r="Q972" s="77" t="s">
        <v>2068</v>
      </c>
      <c r="R972" s="77">
        <v>0</v>
      </c>
      <c r="S972" s="77">
        <v>0</v>
      </c>
      <c r="T972" s="77">
        <v>0</v>
      </c>
      <c r="U972" s="77">
        <v>0</v>
      </c>
      <c r="V972" s="77">
        <v>32</v>
      </c>
      <c r="W972" s="82" t="s">
        <v>4759</v>
      </c>
      <c r="X972" s="80" t="str">
        <f>HYPERLINK("https://lnkd.in/d4q6Ucvx")</f>
        <v>https://lnkd.in/d4q6Ucvx</v>
      </c>
      <c r="Y972" s="77" t="s">
        <v>6014</v>
      </c>
      <c r="Z972" s="77"/>
      <c r="AA972" s="77" t="s">
        <v>6737</v>
      </c>
      <c r="AB972" s="77" t="s">
        <v>7696</v>
      </c>
      <c r="AC972" s="82" t="s">
        <v>7723</v>
      </c>
      <c r="AD972" s="77" t="s">
        <v>7745</v>
      </c>
      <c r="AE972" s="80" t="str">
        <f>HYPERLINK("https://twitter.com/b18editora/status/1670759416142987264")</f>
        <v>https://twitter.com/b18editora/status/1670759416142987264</v>
      </c>
      <c r="AF972" s="79">
        <v>45096.489120370374</v>
      </c>
      <c r="AG972" s="85">
        <v>45096</v>
      </c>
      <c r="AH972" s="82" t="s">
        <v>8611</v>
      </c>
      <c r="AI972" s="77" t="b">
        <v>0</v>
      </c>
      <c r="AJ972" s="77"/>
      <c r="AK972" s="77"/>
      <c r="AL972" s="77"/>
      <c r="AM972" s="77"/>
      <c r="AN972" s="77"/>
      <c r="AO972" s="77"/>
      <c r="AP972" s="77"/>
      <c r="AQ972" s="77" t="s">
        <v>11244</v>
      </c>
      <c r="AR972" s="77"/>
      <c r="AS972" s="77"/>
      <c r="AT972" s="77"/>
      <c r="AU972" s="77"/>
      <c r="AV972" s="80" t="str">
        <f>HYPERLINK("https://pbs.twimg.com/media/Fy-61c5X0AIPIh2.jpg")</f>
        <v>https://pbs.twimg.com/media/Fy-61c5X0AIPIh2.jpg</v>
      </c>
      <c r="AW972" s="82" t="s">
        <v>13157</v>
      </c>
      <c r="AX972" s="82" t="s">
        <v>13157</v>
      </c>
      <c r="AY972" s="77"/>
      <c r="AZ972" s="82" t="s">
        <v>15804</v>
      </c>
      <c r="BA972" s="82" t="s">
        <v>15804</v>
      </c>
      <c r="BB972" s="82" t="s">
        <v>15804</v>
      </c>
      <c r="BC972" s="82" t="s">
        <v>13157</v>
      </c>
      <c r="BD972" s="82" t="s">
        <v>16318</v>
      </c>
      <c r="BE972" s="77"/>
      <c r="BF972" s="77"/>
      <c r="BG972" s="77"/>
      <c r="BH972" s="77"/>
      <c r="BI972" s="77"/>
    </row>
    <row r="973" spans="1:61" x14ac:dyDescent="0.25">
      <c r="A973" s="62" t="s">
        <v>552</v>
      </c>
      <c r="B973" s="62" t="s">
        <v>1010</v>
      </c>
      <c r="C973" s="63"/>
      <c r="D973" s="64"/>
      <c r="E973" s="65"/>
      <c r="F973" s="66"/>
      <c r="G973" s="63"/>
      <c r="H973" s="67"/>
      <c r="I973" s="68"/>
      <c r="J973" s="68"/>
      <c r="K973" s="32"/>
      <c r="L973" s="75">
        <v>973</v>
      </c>
      <c r="M973" s="75"/>
      <c r="N973" s="70"/>
      <c r="O973" s="77" t="s">
        <v>1133</v>
      </c>
      <c r="P973" s="79">
        <v>44962.472685185188</v>
      </c>
      <c r="Q973" s="77" t="s">
        <v>2069</v>
      </c>
      <c r="R973" s="77">
        <v>0</v>
      </c>
      <c r="S973" s="77">
        <v>0</v>
      </c>
      <c r="T973" s="77">
        <v>0</v>
      </c>
      <c r="U973" s="77">
        <v>0</v>
      </c>
      <c r="V973" s="77">
        <v>28</v>
      </c>
      <c r="W973" s="82" t="s">
        <v>4760</v>
      </c>
      <c r="X973" s="77"/>
      <c r="Y973" s="77"/>
      <c r="Z973" s="77" t="s">
        <v>1010</v>
      </c>
      <c r="AA973" s="77"/>
      <c r="AB973" s="77"/>
      <c r="AC973" s="82" t="s">
        <v>7707</v>
      </c>
      <c r="AD973" s="77" t="s">
        <v>7745</v>
      </c>
      <c r="AE973" s="80" t="str">
        <f>HYPERLINK("https://twitter.com/soutaniacris/status/1622193485888606217")</f>
        <v>https://twitter.com/soutaniacris/status/1622193485888606217</v>
      </c>
      <c r="AF973" s="79">
        <v>44962.472685185188</v>
      </c>
      <c r="AG973" s="85">
        <v>44962</v>
      </c>
      <c r="AH973" s="82" t="s">
        <v>8612</v>
      </c>
      <c r="AI973" s="77"/>
      <c r="AJ973" s="77"/>
      <c r="AK973" s="77"/>
      <c r="AL973" s="77"/>
      <c r="AM973" s="77"/>
      <c r="AN973" s="77"/>
      <c r="AO973" s="77"/>
      <c r="AP973" s="77"/>
      <c r="AQ973" s="77"/>
      <c r="AR973" s="77"/>
      <c r="AS973" s="77"/>
      <c r="AT973" s="77"/>
      <c r="AU973" s="77"/>
      <c r="AV973" s="80" t="str">
        <f>HYPERLINK("https://abs.twimg.com/sticky/default_profile_images/default_profile_normal.png")</f>
        <v>https://abs.twimg.com/sticky/default_profile_images/default_profile_normal.png</v>
      </c>
      <c r="AW973" s="82" t="s">
        <v>13158</v>
      </c>
      <c r="AX973" s="82" t="s">
        <v>13158</v>
      </c>
      <c r="AY973" s="77"/>
      <c r="AZ973" s="82" t="s">
        <v>15804</v>
      </c>
      <c r="BA973" s="82" t="s">
        <v>15804</v>
      </c>
      <c r="BB973" s="82" t="s">
        <v>15804</v>
      </c>
      <c r="BC973" s="82" t="s">
        <v>13158</v>
      </c>
      <c r="BD973" s="77">
        <v>91320713</v>
      </c>
      <c r="BE973" s="77"/>
      <c r="BF973" s="77"/>
      <c r="BG973" s="77"/>
      <c r="BH973" s="77"/>
      <c r="BI973" s="77"/>
    </row>
    <row r="974" spans="1:61" x14ac:dyDescent="0.25">
      <c r="A974" s="62" t="s">
        <v>553</v>
      </c>
      <c r="B974" s="62" t="s">
        <v>553</v>
      </c>
      <c r="C974" s="63"/>
      <c r="D974" s="64"/>
      <c r="E974" s="65"/>
      <c r="F974" s="66"/>
      <c r="G974" s="63"/>
      <c r="H974" s="67"/>
      <c r="I974" s="68"/>
      <c r="J974" s="68"/>
      <c r="K974" s="32"/>
      <c r="L974" s="75">
        <v>974</v>
      </c>
      <c r="M974" s="75"/>
      <c r="N974" s="70"/>
      <c r="O974" s="77" t="s">
        <v>179</v>
      </c>
      <c r="P974" s="79">
        <v>45145.262615740743</v>
      </c>
      <c r="Q974" s="77" t="s">
        <v>2070</v>
      </c>
      <c r="R974" s="77">
        <v>0</v>
      </c>
      <c r="S974" s="77">
        <v>0</v>
      </c>
      <c r="T974" s="77">
        <v>0</v>
      </c>
      <c r="U974" s="77">
        <v>0</v>
      </c>
      <c r="V974" s="77">
        <v>8</v>
      </c>
      <c r="W974" s="82" t="s">
        <v>4761</v>
      </c>
      <c r="X974" s="80" t="str">
        <f>HYPERLINK("https://invistafinancas.com.br/por-que-investir-em-criptomoeda-ou-em-um-investimento-tradicional/")</f>
        <v>https://invistafinancas.com.br/por-que-investir-em-criptomoeda-ou-em-um-investimento-tradicional/</v>
      </c>
      <c r="Y974" s="77" t="s">
        <v>6002</v>
      </c>
      <c r="Z974" s="77"/>
      <c r="AA974" s="77"/>
      <c r="AB974" s="77"/>
      <c r="AC974" s="82" t="s">
        <v>7730</v>
      </c>
      <c r="AD974" s="77" t="s">
        <v>7745</v>
      </c>
      <c r="AE974" s="80" t="str">
        <f>HYPERLINK("https://twitter.com/invistafinancas/status/1688434336486285312")</f>
        <v>https://twitter.com/invistafinancas/status/1688434336486285312</v>
      </c>
      <c r="AF974" s="79">
        <v>45145.262615740743</v>
      </c>
      <c r="AG974" s="85">
        <v>45145</v>
      </c>
      <c r="AH974" s="82" t="s">
        <v>8613</v>
      </c>
      <c r="AI974" s="77" t="b">
        <v>0</v>
      </c>
      <c r="AJ974" s="77"/>
      <c r="AK974" s="77"/>
      <c r="AL974" s="77"/>
      <c r="AM974" s="77"/>
      <c r="AN974" s="77"/>
      <c r="AO974" s="77"/>
      <c r="AP974" s="77"/>
      <c r="AQ974" s="77"/>
      <c r="AR974" s="77"/>
      <c r="AS974" s="77"/>
      <c r="AT974" s="77"/>
      <c r="AU974" s="77"/>
      <c r="AV974" s="80" t="str">
        <f>HYPERLINK("https://pbs.twimg.com/profile_images/1662255358281232384/VCpgqGrM_normal.jpg")</f>
        <v>https://pbs.twimg.com/profile_images/1662255358281232384/VCpgqGrM_normal.jpg</v>
      </c>
      <c r="AW974" s="82" t="s">
        <v>13159</v>
      </c>
      <c r="AX974" s="82" t="s">
        <v>13159</v>
      </c>
      <c r="AY974" s="77"/>
      <c r="AZ974" s="82" t="s">
        <v>15804</v>
      </c>
      <c r="BA974" s="82" t="s">
        <v>15804</v>
      </c>
      <c r="BB974" s="82" t="s">
        <v>15804</v>
      </c>
      <c r="BC974" s="82" t="s">
        <v>13159</v>
      </c>
      <c r="BD974" s="82" t="s">
        <v>16319</v>
      </c>
      <c r="BE974" s="77"/>
      <c r="BF974" s="77"/>
      <c r="BG974" s="77"/>
      <c r="BH974" s="77"/>
      <c r="BI974" s="77"/>
    </row>
    <row r="975" spans="1:61" x14ac:dyDescent="0.25">
      <c r="A975" s="62" t="s">
        <v>553</v>
      </c>
      <c r="B975" s="62" t="s">
        <v>553</v>
      </c>
      <c r="C975" s="63"/>
      <c r="D975" s="64"/>
      <c r="E975" s="65"/>
      <c r="F975" s="66"/>
      <c r="G975" s="63"/>
      <c r="H975" s="67"/>
      <c r="I975" s="68"/>
      <c r="J975" s="68"/>
      <c r="K975" s="32"/>
      <c r="L975" s="75">
        <v>975</v>
      </c>
      <c r="M975" s="75"/>
      <c r="N975" s="70"/>
      <c r="O975" s="77" t="s">
        <v>179</v>
      </c>
      <c r="P975" s="79">
        <v>45094.175833333335</v>
      </c>
      <c r="Q975" s="77" t="s">
        <v>2071</v>
      </c>
      <c r="R975" s="77">
        <v>0</v>
      </c>
      <c r="S975" s="77">
        <v>0</v>
      </c>
      <c r="T975" s="77">
        <v>0</v>
      </c>
      <c r="U975" s="77">
        <v>0</v>
      </c>
      <c r="V975" s="77">
        <v>3</v>
      </c>
      <c r="W975" s="82" t="s">
        <v>4762</v>
      </c>
      <c r="X975" s="80" t="str">
        <f>HYPERLINK("https://invistafinancas.com.br/o-que-e-analise-de-balanco-uma-visao-geral-para-quem-deseja-aprender/")</f>
        <v>https://invistafinancas.com.br/o-que-e-analise-de-balanco-uma-visao-geral-para-quem-deseja-aprender/</v>
      </c>
      <c r="Y975" s="77" t="s">
        <v>6002</v>
      </c>
      <c r="Z975" s="77"/>
      <c r="AA975" s="77"/>
      <c r="AB975" s="77"/>
      <c r="AC975" s="82" t="s">
        <v>7730</v>
      </c>
      <c r="AD975" s="77" t="s">
        <v>7745</v>
      </c>
      <c r="AE975" s="80" t="str">
        <f>HYPERLINK("https://twitter.com/invistafinancas/status/1669921109532106752")</f>
        <v>https://twitter.com/invistafinancas/status/1669921109532106752</v>
      </c>
      <c r="AF975" s="79">
        <v>45094.175833333335</v>
      </c>
      <c r="AG975" s="85">
        <v>45094</v>
      </c>
      <c r="AH975" s="82" t="s">
        <v>8614</v>
      </c>
      <c r="AI975" s="77" t="b">
        <v>0</v>
      </c>
      <c r="AJ975" s="77"/>
      <c r="AK975" s="77"/>
      <c r="AL975" s="77"/>
      <c r="AM975" s="77"/>
      <c r="AN975" s="77"/>
      <c r="AO975" s="77"/>
      <c r="AP975" s="77"/>
      <c r="AQ975" s="77"/>
      <c r="AR975" s="77"/>
      <c r="AS975" s="77"/>
      <c r="AT975" s="77"/>
      <c r="AU975" s="77"/>
      <c r="AV975" s="80" t="str">
        <f>HYPERLINK("https://pbs.twimg.com/profile_images/1662255358281232384/VCpgqGrM_normal.jpg")</f>
        <v>https://pbs.twimg.com/profile_images/1662255358281232384/VCpgqGrM_normal.jpg</v>
      </c>
      <c r="AW975" s="82" t="s">
        <v>13160</v>
      </c>
      <c r="AX975" s="82" t="s">
        <v>13160</v>
      </c>
      <c r="AY975" s="77"/>
      <c r="AZ975" s="82" t="s">
        <v>15804</v>
      </c>
      <c r="BA975" s="82" t="s">
        <v>15804</v>
      </c>
      <c r="BB975" s="82" t="s">
        <v>15804</v>
      </c>
      <c r="BC975" s="82" t="s">
        <v>13160</v>
      </c>
      <c r="BD975" s="82" t="s">
        <v>16319</v>
      </c>
      <c r="BE975" s="77"/>
      <c r="BF975" s="77"/>
      <c r="BG975" s="77"/>
      <c r="BH975" s="77"/>
      <c r="BI975" s="77"/>
    </row>
    <row r="976" spans="1:61" x14ac:dyDescent="0.25">
      <c r="A976" s="62" t="s">
        <v>553</v>
      </c>
      <c r="B976" s="62" t="s">
        <v>553</v>
      </c>
      <c r="C976" s="63"/>
      <c r="D976" s="64"/>
      <c r="E976" s="65"/>
      <c r="F976" s="66"/>
      <c r="G976" s="63"/>
      <c r="H976" s="67"/>
      <c r="I976" s="68"/>
      <c r="J976" s="68"/>
      <c r="K976" s="32"/>
      <c r="L976" s="75">
        <v>976</v>
      </c>
      <c r="M976" s="75"/>
      <c r="N976" s="70"/>
      <c r="O976" s="77" t="s">
        <v>179</v>
      </c>
      <c r="P976" s="79">
        <v>45146.262615740743</v>
      </c>
      <c r="Q976" s="77" t="s">
        <v>2072</v>
      </c>
      <c r="R976" s="77">
        <v>0</v>
      </c>
      <c r="S976" s="77">
        <v>0</v>
      </c>
      <c r="T976" s="77">
        <v>0</v>
      </c>
      <c r="U976" s="77">
        <v>0</v>
      </c>
      <c r="V976" s="77">
        <v>9</v>
      </c>
      <c r="W976" s="82" t="s">
        <v>4763</v>
      </c>
      <c r="X976" s="80" t="str">
        <f>HYPERLINK("https://invistafinancas.com.br/como-pagar-impostos-com-criptomoedas/")</f>
        <v>https://invistafinancas.com.br/como-pagar-impostos-com-criptomoedas/</v>
      </c>
      <c r="Y976" s="77" t="s">
        <v>6002</v>
      </c>
      <c r="Z976" s="77"/>
      <c r="AA976" s="77"/>
      <c r="AB976" s="77"/>
      <c r="AC976" s="82" t="s">
        <v>7730</v>
      </c>
      <c r="AD976" s="77" t="s">
        <v>7745</v>
      </c>
      <c r="AE976" s="80" t="str">
        <f>HYPERLINK("https://twitter.com/invistafinancas/status/1688796727522816000")</f>
        <v>https://twitter.com/invistafinancas/status/1688796727522816000</v>
      </c>
      <c r="AF976" s="79">
        <v>45146.262615740743</v>
      </c>
      <c r="AG976" s="85">
        <v>45146</v>
      </c>
      <c r="AH976" s="82" t="s">
        <v>8613</v>
      </c>
      <c r="AI976" s="77" t="b">
        <v>0</v>
      </c>
      <c r="AJ976" s="77"/>
      <c r="AK976" s="77"/>
      <c r="AL976" s="77"/>
      <c r="AM976" s="77"/>
      <c r="AN976" s="77"/>
      <c r="AO976" s="77"/>
      <c r="AP976" s="77"/>
      <c r="AQ976" s="77"/>
      <c r="AR976" s="77"/>
      <c r="AS976" s="77"/>
      <c r="AT976" s="77"/>
      <c r="AU976" s="77"/>
      <c r="AV976" s="80" t="str">
        <f>HYPERLINK("https://pbs.twimg.com/profile_images/1662255358281232384/VCpgqGrM_normal.jpg")</f>
        <v>https://pbs.twimg.com/profile_images/1662255358281232384/VCpgqGrM_normal.jpg</v>
      </c>
      <c r="AW976" s="82" t="s">
        <v>13161</v>
      </c>
      <c r="AX976" s="82" t="s">
        <v>13161</v>
      </c>
      <c r="AY976" s="77"/>
      <c r="AZ976" s="82" t="s">
        <v>15804</v>
      </c>
      <c r="BA976" s="82" t="s">
        <v>15804</v>
      </c>
      <c r="BB976" s="82" t="s">
        <v>15804</v>
      </c>
      <c r="BC976" s="82" t="s">
        <v>13161</v>
      </c>
      <c r="BD976" s="82" t="s">
        <v>16319</v>
      </c>
      <c r="BE976" s="77"/>
      <c r="BF976" s="77"/>
      <c r="BG976" s="77"/>
      <c r="BH976" s="77"/>
      <c r="BI976" s="77"/>
    </row>
    <row r="977" spans="1:61" x14ac:dyDescent="0.25">
      <c r="A977" s="62" t="s">
        <v>553</v>
      </c>
      <c r="B977" s="62" t="s">
        <v>553</v>
      </c>
      <c r="C977" s="63"/>
      <c r="D977" s="64"/>
      <c r="E977" s="65"/>
      <c r="F977" s="66"/>
      <c r="G977" s="63"/>
      <c r="H977" s="67"/>
      <c r="I977" s="68"/>
      <c r="J977" s="68"/>
      <c r="K977" s="32"/>
      <c r="L977" s="75">
        <v>977</v>
      </c>
      <c r="M977" s="75"/>
      <c r="N977" s="70"/>
      <c r="O977" s="77" t="s">
        <v>179</v>
      </c>
      <c r="P977" s="79">
        <v>45084.233946759261</v>
      </c>
      <c r="Q977" s="77" t="s">
        <v>2073</v>
      </c>
      <c r="R977" s="77">
        <v>0</v>
      </c>
      <c r="S977" s="77">
        <v>0</v>
      </c>
      <c r="T977" s="77">
        <v>0</v>
      </c>
      <c r="U977" s="77">
        <v>0</v>
      </c>
      <c r="V977" s="77">
        <v>1</v>
      </c>
      <c r="W977" s="82" t="s">
        <v>4764</v>
      </c>
      <c r="X977" s="80" t="str">
        <f>HYPERLINK("https://invistafinancas.com.br/diferenca-entre-poupanca-e-selic-entenda-as-diferencas/")</f>
        <v>https://invistafinancas.com.br/diferenca-entre-poupanca-e-selic-entenda-as-diferencas/</v>
      </c>
      <c r="Y977" s="77" t="s">
        <v>6002</v>
      </c>
      <c r="Z977" s="77"/>
      <c r="AA977" s="77"/>
      <c r="AB977" s="77"/>
      <c r="AC977" s="82" t="s">
        <v>7730</v>
      </c>
      <c r="AD977" s="77" t="s">
        <v>7745</v>
      </c>
      <c r="AE977" s="80" t="str">
        <f>HYPERLINK("https://twitter.com/invistafinancas/status/1666318287590899714")</f>
        <v>https://twitter.com/invistafinancas/status/1666318287590899714</v>
      </c>
      <c r="AF977" s="79">
        <v>45084.233946759261</v>
      </c>
      <c r="AG977" s="85">
        <v>45084</v>
      </c>
      <c r="AH977" s="82" t="s">
        <v>8615</v>
      </c>
      <c r="AI977" s="77" t="b">
        <v>0</v>
      </c>
      <c r="AJ977" s="77"/>
      <c r="AK977" s="77"/>
      <c r="AL977" s="77"/>
      <c r="AM977" s="77"/>
      <c r="AN977" s="77"/>
      <c r="AO977" s="77"/>
      <c r="AP977" s="77"/>
      <c r="AQ977" s="77"/>
      <c r="AR977" s="77"/>
      <c r="AS977" s="77"/>
      <c r="AT977" s="77"/>
      <c r="AU977" s="77"/>
      <c r="AV977" s="80" t="str">
        <f>HYPERLINK("https://pbs.twimg.com/profile_images/1662255358281232384/VCpgqGrM_normal.jpg")</f>
        <v>https://pbs.twimg.com/profile_images/1662255358281232384/VCpgqGrM_normal.jpg</v>
      </c>
      <c r="AW977" s="82" t="s">
        <v>13162</v>
      </c>
      <c r="AX977" s="82" t="s">
        <v>13162</v>
      </c>
      <c r="AY977" s="77"/>
      <c r="AZ977" s="82" t="s">
        <v>15804</v>
      </c>
      <c r="BA977" s="82" t="s">
        <v>15804</v>
      </c>
      <c r="BB977" s="82" t="s">
        <v>15804</v>
      </c>
      <c r="BC977" s="82" t="s">
        <v>13162</v>
      </c>
      <c r="BD977" s="82" t="s">
        <v>16319</v>
      </c>
      <c r="BE977" s="77"/>
      <c r="BF977" s="77"/>
      <c r="BG977" s="77"/>
      <c r="BH977" s="77"/>
      <c r="BI977" s="77"/>
    </row>
    <row r="978" spans="1:61" x14ac:dyDescent="0.25">
      <c r="A978" s="62" t="s">
        <v>553</v>
      </c>
      <c r="B978" s="62" t="s">
        <v>553</v>
      </c>
      <c r="C978" s="63"/>
      <c r="D978" s="64"/>
      <c r="E978" s="65"/>
      <c r="F978" s="66"/>
      <c r="G978" s="63"/>
      <c r="H978" s="67"/>
      <c r="I978" s="68"/>
      <c r="J978" s="68"/>
      <c r="K978" s="32"/>
      <c r="L978" s="75">
        <v>978</v>
      </c>
      <c r="M978" s="75"/>
      <c r="N978" s="70"/>
      <c r="O978" s="77" t="s">
        <v>179</v>
      </c>
      <c r="P978" s="79">
        <v>45173.262615740743</v>
      </c>
      <c r="Q978" s="77" t="s">
        <v>2074</v>
      </c>
      <c r="R978" s="77">
        <v>0</v>
      </c>
      <c r="S978" s="77">
        <v>0</v>
      </c>
      <c r="T978" s="77">
        <v>0</v>
      </c>
      <c r="U978" s="77">
        <v>0</v>
      </c>
      <c r="V978" s="77">
        <v>36</v>
      </c>
      <c r="W978" s="82" t="s">
        <v>4765</v>
      </c>
      <c r="X978" s="80" t="str">
        <f>HYPERLINK("https://invistafinancas.com.br/o-tesouro-direto-como-investir-com-seguranca/")</f>
        <v>https://invistafinancas.com.br/o-tesouro-direto-como-investir-com-seguranca/</v>
      </c>
      <c r="Y978" s="77" t="s">
        <v>6002</v>
      </c>
      <c r="Z978" s="77"/>
      <c r="AA978" s="77"/>
      <c r="AB978" s="77"/>
      <c r="AC978" s="82" t="s">
        <v>7730</v>
      </c>
      <c r="AD978" s="77" t="s">
        <v>7745</v>
      </c>
      <c r="AE978" s="80" t="str">
        <f>HYPERLINK("https://twitter.com/invistafinancas/status/1698581200279937352")</f>
        <v>https://twitter.com/invistafinancas/status/1698581200279937352</v>
      </c>
      <c r="AF978" s="79">
        <v>45173.262615740743</v>
      </c>
      <c r="AG978" s="85">
        <v>45173</v>
      </c>
      <c r="AH978" s="82" t="s">
        <v>8613</v>
      </c>
      <c r="AI978" s="77" t="b">
        <v>0</v>
      </c>
      <c r="AJ978" s="77"/>
      <c r="AK978" s="77"/>
      <c r="AL978" s="77"/>
      <c r="AM978" s="77"/>
      <c r="AN978" s="77"/>
      <c r="AO978" s="77"/>
      <c r="AP978" s="77"/>
      <c r="AQ978" s="77"/>
      <c r="AR978" s="77"/>
      <c r="AS978" s="77"/>
      <c r="AT978" s="77"/>
      <c r="AU978" s="77"/>
      <c r="AV978" s="80" t="str">
        <f>HYPERLINK("https://pbs.twimg.com/profile_images/1662255358281232384/VCpgqGrM_normal.jpg")</f>
        <v>https://pbs.twimg.com/profile_images/1662255358281232384/VCpgqGrM_normal.jpg</v>
      </c>
      <c r="AW978" s="82" t="s">
        <v>13163</v>
      </c>
      <c r="AX978" s="82" t="s">
        <v>13163</v>
      </c>
      <c r="AY978" s="77"/>
      <c r="AZ978" s="82" t="s">
        <v>15804</v>
      </c>
      <c r="BA978" s="82" t="s">
        <v>15804</v>
      </c>
      <c r="BB978" s="82" t="s">
        <v>15804</v>
      </c>
      <c r="BC978" s="82" t="s">
        <v>13163</v>
      </c>
      <c r="BD978" s="82" t="s">
        <v>16319</v>
      </c>
      <c r="BE978" s="77"/>
      <c r="BF978" s="77"/>
      <c r="BG978" s="77"/>
      <c r="BH978" s="77"/>
      <c r="BI978" s="77"/>
    </row>
    <row r="979" spans="1:61" x14ac:dyDescent="0.25">
      <c r="A979" s="62" t="s">
        <v>553</v>
      </c>
      <c r="B979" s="62" t="s">
        <v>553</v>
      </c>
      <c r="C979" s="63"/>
      <c r="D979" s="64"/>
      <c r="E979" s="65"/>
      <c r="F979" s="66"/>
      <c r="G979" s="63"/>
      <c r="H979" s="67"/>
      <c r="I979" s="68"/>
      <c r="J979" s="68"/>
      <c r="K979" s="32"/>
      <c r="L979" s="75">
        <v>979</v>
      </c>
      <c r="M979" s="75"/>
      <c r="N979" s="70"/>
      <c r="O979" s="77" t="s">
        <v>179</v>
      </c>
      <c r="P979" s="79">
        <v>45133.262592592589</v>
      </c>
      <c r="Q979" s="77" t="s">
        <v>2075</v>
      </c>
      <c r="R979" s="77">
        <v>0</v>
      </c>
      <c r="S979" s="77">
        <v>0</v>
      </c>
      <c r="T979" s="77">
        <v>1</v>
      </c>
      <c r="U979" s="77">
        <v>0</v>
      </c>
      <c r="V979" s="77">
        <v>3</v>
      </c>
      <c r="W979" s="82" t="s">
        <v>4766</v>
      </c>
      <c r="X979" s="80" t="str">
        <f>HYPERLINK("https://invistafinancas.com.br/entenda-tudo-sobre-a-falencia-do-svb-silicon-valley-bank/")</f>
        <v>https://invistafinancas.com.br/entenda-tudo-sobre-a-falencia-do-svb-silicon-valley-bank/</v>
      </c>
      <c r="Y979" s="77" t="s">
        <v>6002</v>
      </c>
      <c r="Z979" s="77"/>
      <c r="AA979" s="77"/>
      <c r="AB979" s="77"/>
      <c r="AC979" s="82" t="s">
        <v>7730</v>
      </c>
      <c r="AD979" s="77" t="s">
        <v>7745</v>
      </c>
      <c r="AE979" s="80" t="str">
        <f>HYPERLINK("https://twitter.com/invistafinancas/status/1684085675232993280")</f>
        <v>https://twitter.com/invistafinancas/status/1684085675232993280</v>
      </c>
      <c r="AF979" s="79">
        <v>45133.262592592589</v>
      </c>
      <c r="AG979" s="85">
        <v>45133</v>
      </c>
      <c r="AH979" s="82" t="s">
        <v>8616</v>
      </c>
      <c r="AI979" s="77" t="b">
        <v>0</v>
      </c>
      <c r="AJ979" s="77"/>
      <c r="AK979" s="77"/>
      <c r="AL979" s="77"/>
      <c r="AM979" s="77"/>
      <c r="AN979" s="77"/>
      <c r="AO979" s="77"/>
      <c r="AP979" s="77"/>
      <c r="AQ979" s="77"/>
      <c r="AR979" s="77"/>
      <c r="AS979" s="77"/>
      <c r="AT979" s="77"/>
      <c r="AU979" s="77"/>
      <c r="AV979" s="80" t="str">
        <f>HYPERLINK("https://pbs.twimg.com/profile_images/1662255358281232384/VCpgqGrM_normal.jpg")</f>
        <v>https://pbs.twimg.com/profile_images/1662255358281232384/VCpgqGrM_normal.jpg</v>
      </c>
      <c r="AW979" s="82" t="s">
        <v>13164</v>
      </c>
      <c r="AX979" s="82" t="s">
        <v>13164</v>
      </c>
      <c r="AY979" s="77"/>
      <c r="AZ979" s="82" t="s">
        <v>15804</v>
      </c>
      <c r="BA979" s="82" t="s">
        <v>15804</v>
      </c>
      <c r="BB979" s="82" t="s">
        <v>15804</v>
      </c>
      <c r="BC979" s="82" t="s">
        <v>13164</v>
      </c>
      <c r="BD979" s="82" t="s">
        <v>16319</v>
      </c>
      <c r="BE979" s="77"/>
      <c r="BF979" s="77"/>
      <c r="BG979" s="77"/>
      <c r="BH979" s="77"/>
      <c r="BI979" s="77"/>
    </row>
    <row r="980" spans="1:61" x14ac:dyDescent="0.25">
      <c r="A980" s="62" t="s">
        <v>553</v>
      </c>
      <c r="B980" s="62" t="s">
        <v>553</v>
      </c>
      <c r="C980" s="63"/>
      <c r="D980" s="64"/>
      <c r="E980" s="65"/>
      <c r="F980" s="66"/>
      <c r="G980" s="63"/>
      <c r="H980" s="67"/>
      <c r="I980" s="68"/>
      <c r="J980" s="68"/>
      <c r="K980" s="32"/>
      <c r="L980" s="75">
        <v>980</v>
      </c>
      <c r="M980" s="75"/>
      <c r="N980" s="70"/>
      <c r="O980" s="77" t="s">
        <v>179</v>
      </c>
      <c r="P980" s="79">
        <v>45076.571631944447</v>
      </c>
      <c r="Q980" s="77" t="s">
        <v>2076</v>
      </c>
      <c r="R980" s="77">
        <v>0</v>
      </c>
      <c r="S980" s="77">
        <v>0</v>
      </c>
      <c r="T980" s="77">
        <v>0</v>
      </c>
      <c r="U980" s="77">
        <v>0</v>
      </c>
      <c r="V980" s="77">
        <v>7</v>
      </c>
      <c r="W980" s="82" t="s">
        <v>4767</v>
      </c>
      <c r="X980" s="80" t="str">
        <f>HYPERLINK("https://invistafinancas.com.br/como-fazer-sua-declaracao-de-imposto-de-renda/")</f>
        <v>https://invistafinancas.com.br/como-fazer-sua-declaracao-de-imposto-de-renda/</v>
      </c>
      <c r="Y980" s="77" t="s">
        <v>6002</v>
      </c>
      <c r="Z980" s="77"/>
      <c r="AA980" s="77"/>
      <c r="AB980" s="77"/>
      <c r="AC980" s="82" t="s">
        <v>7706</v>
      </c>
      <c r="AD980" s="77" t="s">
        <v>7745</v>
      </c>
      <c r="AE980" s="80" t="str">
        <f>HYPERLINK("https://twitter.com/invistafinancas/status/1663541558577360898")</f>
        <v>https://twitter.com/invistafinancas/status/1663541558577360898</v>
      </c>
      <c r="AF980" s="79">
        <v>45076.571631944447</v>
      </c>
      <c r="AG980" s="85">
        <v>45076</v>
      </c>
      <c r="AH980" s="82" t="s">
        <v>8617</v>
      </c>
      <c r="AI980" s="77" t="b">
        <v>0</v>
      </c>
      <c r="AJ980" s="77"/>
      <c r="AK980" s="77"/>
      <c r="AL980" s="77"/>
      <c r="AM980" s="77"/>
      <c r="AN980" s="77"/>
      <c r="AO980" s="77"/>
      <c r="AP980" s="77"/>
      <c r="AQ980" s="77"/>
      <c r="AR980" s="77"/>
      <c r="AS980" s="77"/>
      <c r="AT980" s="77"/>
      <c r="AU980" s="77"/>
      <c r="AV980" s="80" t="str">
        <f>HYPERLINK("https://pbs.twimg.com/profile_images/1662255358281232384/VCpgqGrM_normal.jpg")</f>
        <v>https://pbs.twimg.com/profile_images/1662255358281232384/VCpgqGrM_normal.jpg</v>
      </c>
      <c r="AW980" s="82" t="s">
        <v>13165</v>
      </c>
      <c r="AX980" s="82" t="s">
        <v>13165</v>
      </c>
      <c r="AY980" s="77"/>
      <c r="AZ980" s="82" t="s">
        <v>15804</v>
      </c>
      <c r="BA980" s="82" t="s">
        <v>15804</v>
      </c>
      <c r="BB980" s="82" t="s">
        <v>15804</v>
      </c>
      <c r="BC980" s="82" t="s">
        <v>13165</v>
      </c>
      <c r="BD980" s="82" t="s">
        <v>16319</v>
      </c>
      <c r="BE980" s="77"/>
      <c r="BF980" s="77"/>
      <c r="BG980" s="77"/>
      <c r="BH980" s="77"/>
      <c r="BI980" s="77"/>
    </row>
    <row r="981" spans="1:61" x14ac:dyDescent="0.25">
      <c r="A981" s="62" t="s">
        <v>553</v>
      </c>
      <c r="B981" s="62" t="s">
        <v>553</v>
      </c>
      <c r="C981" s="63"/>
      <c r="D981" s="64"/>
      <c r="E981" s="65"/>
      <c r="F981" s="66"/>
      <c r="G981" s="63"/>
      <c r="H981" s="67"/>
      <c r="I981" s="68"/>
      <c r="J981" s="68"/>
      <c r="K981" s="32"/>
      <c r="L981" s="75">
        <v>981</v>
      </c>
      <c r="M981" s="75"/>
      <c r="N981" s="70"/>
      <c r="O981" s="77" t="s">
        <v>179</v>
      </c>
      <c r="P981" s="79">
        <v>45075.384259259263</v>
      </c>
      <c r="Q981" s="77" t="s">
        <v>2077</v>
      </c>
      <c r="R981" s="77">
        <v>0</v>
      </c>
      <c r="S981" s="77">
        <v>0</v>
      </c>
      <c r="T981" s="77">
        <v>0</v>
      </c>
      <c r="U981" s="77">
        <v>0</v>
      </c>
      <c r="V981" s="77">
        <v>6</v>
      </c>
      <c r="W981" s="82" t="s">
        <v>4768</v>
      </c>
      <c r="X981" s="80" t="str">
        <f>HYPERLINK("https://invistafinancas.com.br/como-montar-um-planejamento-financeiro-pessoal/")</f>
        <v>https://invistafinancas.com.br/como-montar-um-planejamento-financeiro-pessoal/</v>
      </c>
      <c r="Y981" s="77" t="s">
        <v>6002</v>
      </c>
      <c r="Z981" s="77"/>
      <c r="AA981" s="77"/>
      <c r="AB981" s="77"/>
      <c r="AC981" s="82" t="s">
        <v>7730</v>
      </c>
      <c r="AD981" s="77" t="s">
        <v>7745</v>
      </c>
      <c r="AE981" s="80" t="str">
        <f>HYPERLINK("https://twitter.com/invistafinancas/status/1663111268750827521")</f>
        <v>https://twitter.com/invistafinancas/status/1663111268750827521</v>
      </c>
      <c r="AF981" s="79">
        <v>45075.384259259263</v>
      </c>
      <c r="AG981" s="85">
        <v>45075</v>
      </c>
      <c r="AH981" s="82" t="s">
        <v>8618</v>
      </c>
      <c r="AI981" s="77" t="b">
        <v>0</v>
      </c>
      <c r="AJ981" s="77"/>
      <c r="AK981" s="77"/>
      <c r="AL981" s="77"/>
      <c r="AM981" s="77"/>
      <c r="AN981" s="77"/>
      <c r="AO981" s="77"/>
      <c r="AP981" s="77"/>
      <c r="AQ981" s="77"/>
      <c r="AR981" s="77"/>
      <c r="AS981" s="77"/>
      <c r="AT981" s="77"/>
      <c r="AU981" s="77"/>
      <c r="AV981" s="80" t="str">
        <f>HYPERLINK("https://pbs.twimg.com/profile_images/1662255358281232384/VCpgqGrM_normal.jpg")</f>
        <v>https://pbs.twimg.com/profile_images/1662255358281232384/VCpgqGrM_normal.jpg</v>
      </c>
      <c r="AW981" s="82" t="s">
        <v>13166</v>
      </c>
      <c r="AX981" s="82" t="s">
        <v>13166</v>
      </c>
      <c r="AY981" s="77"/>
      <c r="AZ981" s="82" t="s">
        <v>15804</v>
      </c>
      <c r="BA981" s="82" t="s">
        <v>15804</v>
      </c>
      <c r="BB981" s="82" t="s">
        <v>15804</v>
      </c>
      <c r="BC981" s="82" t="s">
        <v>13166</v>
      </c>
      <c r="BD981" s="82" t="s">
        <v>16319</v>
      </c>
      <c r="BE981" s="77"/>
      <c r="BF981" s="77"/>
      <c r="BG981" s="77"/>
      <c r="BH981" s="77"/>
      <c r="BI981" s="77"/>
    </row>
    <row r="982" spans="1:61" x14ac:dyDescent="0.25">
      <c r="A982" s="62" t="s">
        <v>553</v>
      </c>
      <c r="B982" s="62" t="s">
        <v>553</v>
      </c>
      <c r="C982" s="63"/>
      <c r="D982" s="64"/>
      <c r="E982" s="65"/>
      <c r="F982" s="66"/>
      <c r="G982" s="63"/>
      <c r="H982" s="67"/>
      <c r="I982" s="68"/>
      <c r="J982" s="68"/>
      <c r="K982" s="32"/>
      <c r="L982" s="75">
        <v>982</v>
      </c>
      <c r="M982" s="75"/>
      <c r="N982" s="70"/>
      <c r="O982" s="77" t="s">
        <v>179</v>
      </c>
      <c r="P982" s="79">
        <v>45181.262662037036</v>
      </c>
      <c r="Q982" s="77" t="s">
        <v>2078</v>
      </c>
      <c r="R982" s="77">
        <v>0</v>
      </c>
      <c r="S982" s="77">
        <v>0</v>
      </c>
      <c r="T982" s="77">
        <v>0</v>
      </c>
      <c r="U982" s="77">
        <v>0</v>
      </c>
      <c r="V982" s="77">
        <v>4</v>
      </c>
      <c r="W982" s="82" t="s">
        <v>4769</v>
      </c>
      <c r="X982" s="80" t="str">
        <f>HYPERLINK("https://invistafinancas.com.br/o-que-e-acao-ordinaria-como-comprar-onde-comprar-e-mais/")</f>
        <v>https://invistafinancas.com.br/o-que-e-acao-ordinaria-como-comprar-onde-comprar-e-mais/</v>
      </c>
      <c r="Y982" s="77" t="s">
        <v>6002</v>
      </c>
      <c r="Z982" s="77"/>
      <c r="AA982" s="77"/>
      <c r="AB982" s="77"/>
      <c r="AC982" s="82" t="s">
        <v>7730</v>
      </c>
      <c r="AD982" s="77" t="s">
        <v>7745</v>
      </c>
      <c r="AE982" s="80" t="str">
        <f>HYPERLINK("https://twitter.com/invistafinancas/status/1701480318216155644")</f>
        <v>https://twitter.com/invistafinancas/status/1701480318216155644</v>
      </c>
      <c r="AF982" s="79">
        <v>45181.262662037036</v>
      </c>
      <c r="AG982" s="85">
        <v>45181</v>
      </c>
      <c r="AH982" s="82" t="s">
        <v>8619</v>
      </c>
      <c r="AI982" s="77" t="b">
        <v>0</v>
      </c>
      <c r="AJ982" s="77"/>
      <c r="AK982" s="77"/>
      <c r="AL982" s="77"/>
      <c r="AM982" s="77"/>
      <c r="AN982" s="77"/>
      <c r="AO982" s="77"/>
      <c r="AP982" s="77"/>
      <c r="AQ982" s="77"/>
      <c r="AR982" s="77"/>
      <c r="AS982" s="77"/>
      <c r="AT982" s="77"/>
      <c r="AU982" s="77"/>
      <c r="AV982" s="80" t="str">
        <f>HYPERLINK("https://pbs.twimg.com/profile_images/1662255358281232384/VCpgqGrM_normal.jpg")</f>
        <v>https://pbs.twimg.com/profile_images/1662255358281232384/VCpgqGrM_normal.jpg</v>
      </c>
      <c r="AW982" s="82" t="s">
        <v>13167</v>
      </c>
      <c r="AX982" s="82" t="s">
        <v>13167</v>
      </c>
      <c r="AY982" s="77"/>
      <c r="AZ982" s="82" t="s">
        <v>15804</v>
      </c>
      <c r="BA982" s="82" t="s">
        <v>15804</v>
      </c>
      <c r="BB982" s="82" t="s">
        <v>15804</v>
      </c>
      <c r="BC982" s="82" t="s">
        <v>13167</v>
      </c>
      <c r="BD982" s="82" t="s">
        <v>16319</v>
      </c>
      <c r="BE982" s="77"/>
      <c r="BF982" s="77"/>
      <c r="BG982" s="77"/>
      <c r="BH982" s="77"/>
      <c r="BI982" s="77"/>
    </row>
    <row r="983" spans="1:61" x14ac:dyDescent="0.25">
      <c r="A983" s="62" t="s">
        <v>553</v>
      </c>
      <c r="B983" s="62" t="s">
        <v>553</v>
      </c>
      <c r="C983" s="63"/>
      <c r="D983" s="64"/>
      <c r="E983" s="65"/>
      <c r="F983" s="66"/>
      <c r="G983" s="63"/>
      <c r="H983" s="67"/>
      <c r="I983" s="68"/>
      <c r="J983" s="68"/>
      <c r="K983" s="32"/>
      <c r="L983" s="75">
        <v>983</v>
      </c>
      <c r="M983" s="75"/>
      <c r="N983" s="70"/>
      <c r="O983" s="77" t="s">
        <v>179</v>
      </c>
      <c r="P983" s="79">
        <v>45179.262604166666</v>
      </c>
      <c r="Q983" s="77" t="s">
        <v>2079</v>
      </c>
      <c r="R983" s="77">
        <v>0</v>
      </c>
      <c r="S983" s="77">
        <v>0</v>
      </c>
      <c r="T983" s="77">
        <v>0</v>
      </c>
      <c r="U983" s="77">
        <v>0</v>
      </c>
      <c r="V983" s="77">
        <v>11</v>
      </c>
      <c r="W983" s="82" t="s">
        <v>4770</v>
      </c>
      <c r="X983" s="80" t="str">
        <f>HYPERLINK("https://invistafinancas.com.br/como-lidar-com-a-divida-dicas-praticas-para-ajudar-voce/")</f>
        <v>https://invistafinancas.com.br/como-lidar-com-a-divida-dicas-praticas-para-ajudar-voce/</v>
      </c>
      <c r="Y983" s="77" t="s">
        <v>6002</v>
      </c>
      <c r="Z983" s="77"/>
      <c r="AA983" s="77"/>
      <c r="AB983" s="77"/>
      <c r="AC983" s="82" t="s">
        <v>7730</v>
      </c>
      <c r="AD983" s="77" t="s">
        <v>7745</v>
      </c>
      <c r="AE983" s="80" t="str">
        <f>HYPERLINK("https://twitter.com/invistafinancas/status/1700755522264211784")</f>
        <v>https://twitter.com/invistafinancas/status/1700755522264211784</v>
      </c>
      <c r="AF983" s="79">
        <v>45179.262604166666</v>
      </c>
      <c r="AG983" s="85">
        <v>45179</v>
      </c>
      <c r="AH983" s="82" t="s">
        <v>8620</v>
      </c>
      <c r="AI983" s="77" t="b">
        <v>0</v>
      </c>
      <c r="AJ983" s="77"/>
      <c r="AK983" s="77"/>
      <c r="AL983" s="77"/>
      <c r="AM983" s="77"/>
      <c r="AN983" s="77"/>
      <c r="AO983" s="77"/>
      <c r="AP983" s="77"/>
      <c r="AQ983" s="77"/>
      <c r="AR983" s="77"/>
      <c r="AS983" s="77"/>
      <c r="AT983" s="77"/>
      <c r="AU983" s="77"/>
      <c r="AV983" s="80" t="str">
        <f>HYPERLINK("https://pbs.twimg.com/profile_images/1662255358281232384/VCpgqGrM_normal.jpg")</f>
        <v>https://pbs.twimg.com/profile_images/1662255358281232384/VCpgqGrM_normal.jpg</v>
      </c>
      <c r="AW983" s="82" t="s">
        <v>13168</v>
      </c>
      <c r="AX983" s="82" t="s">
        <v>13168</v>
      </c>
      <c r="AY983" s="77"/>
      <c r="AZ983" s="82" t="s">
        <v>15804</v>
      </c>
      <c r="BA983" s="82" t="s">
        <v>15804</v>
      </c>
      <c r="BB983" s="82" t="s">
        <v>15804</v>
      </c>
      <c r="BC983" s="82" t="s">
        <v>13168</v>
      </c>
      <c r="BD983" s="82" t="s">
        <v>16319</v>
      </c>
      <c r="BE983" s="77"/>
      <c r="BF983" s="77"/>
      <c r="BG983" s="77"/>
      <c r="BH983" s="77"/>
      <c r="BI983" s="77"/>
    </row>
    <row r="984" spans="1:61" x14ac:dyDescent="0.25">
      <c r="A984" s="62" t="s">
        <v>553</v>
      </c>
      <c r="B984" s="62" t="s">
        <v>553</v>
      </c>
      <c r="C984" s="63"/>
      <c r="D984" s="64"/>
      <c r="E984" s="65"/>
      <c r="F984" s="66"/>
      <c r="G984" s="63"/>
      <c r="H984" s="67"/>
      <c r="I984" s="68"/>
      <c r="J984" s="68"/>
      <c r="K984" s="32"/>
      <c r="L984" s="75">
        <v>984</v>
      </c>
      <c r="M984" s="75"/>
      <c r="N984" s="70"/>
      <c r="O984" s="77" t="s">
        <v>179</v>
      </c>
      <c r="P984" s="79">
        <v>45168.262673611112</v>
      </c>
      <c r="Q984" s="77" t="s">
        <v>2080</v>
      </c>
      <c r="R984" s="77">
        <v>0</v>
      </c>
      <c r="S984" s="77">
        <v>0</v>
      </c>
      <c r="T984" s="77">
        <v>0</v>
      </c>
      <c r="U984" s="77">
        <v>0</v>
      </c>
      <c r="V984" s="77">
        <v>5</v>
      </c>
      <c r="W984" s="82" t="s">
        <v>4771</v>
      </c>
      <c r="X984" s="80" t="str">
        <f>HYPERLINK("https://invistafinancas.com.br/o-que-sao-acoes-de-alto-risco/")</f>
        <v>https://invistafinancas.com.br/o-que-sao-acoes-de-alto-risco/</v>
      </c>
      <c r="Y984" s="77" t="s">
        <v>6002</v>
      </c>
      <c r="Z984" s="77"/>
      <c r="AA984" s="77"/>
      <c r="AB984" s="77"/>
      <c r="AC984" s="82" t="s">
        <v>7730</v>
      </c>
      <c r="AD984" s="77" t="s">
        <v>7745</v>
      </c>
      <c r="AE984" s="80" t="str">
        <f>HYPERLINK("https://twitter.com/invistafinancas/status/1696769282170818820")</f>
        <v>https://twitter.com/invistafinancas/status/1696769282170818820</v>
      </c>
      <c r="AF984" s="79">
        <v>45168.262673611112</v>
      </c>
      <c r="AG984" s="85">
        <v>45168</v>
      </c>
      <c r="AH984" s="82" t="s">
        <v>8621</v>
      </c>
      <c r="AI984" s="77" t="b">
        <v>0</v>
      </c>
      <c r="AJ984" s="77"/>
      <c r="AK984" s="77"/>
      <c r="AL984" s="77"/>
      <c r="AM984" s="77"/>
      <c r="AN984" s="77"/>
      <c r="AO984" s="77"/>
      <c r="AP984" s="77"/>
      <c r="AQ984" s="77"/>
      <c r="AR984" s="77"/>
      <c r="AS984" s="77"/>
      <c r="AT984" s="77"/>
      <c r="AU984" s="77"/>
      <c r="AV984" s="80" t="str">
        <f>HYPERLINK("https://pbs.twimg.com/profile_images/1662255358281232384/VCpgqGrM_normal.jpg")</f>
        <v>https://pbs.twimg.com/profile_images/1662255358281232384/VCpgqGrM_normal.jpg</v>
      </c>
      <c r="AW984" s="82" t="s">
        <v>13169</v>
      </c>
      <c r="AX984" s="82" t="s">
        <v>13169</v>
      </c>
      <c r="AY984" s="77"/>
      <c r="AZ984" s="82" t="s">
        <v>15804</v>
      </c>
      <c r="BA984" s="82" t="s">
        <v>15804</v>
      </c>
      <c r="BB984" s="82" t="s">
        <v>15804</v>
      </c>
      <c r="BC984" s="82" t="s">
        <v>13169</v>
      </c>
      <c r="BD984" s="82" t="s">
        <v>16319</v>
      </c>
      <c r="BE984" s="77"/>
      <c r="BF984" s="77"/>
      <c r="BG984" s="77"/>
      <c r="BH984" s="77"/>
      <c r="BI984" s="77"/>
    </row>
    <row r="985" spans="1:61" x14ac:dyDescent="0.25">
      <c r="A985" s="62" t="s">
        <v>553</v>
      </c>
      <c r="B985" s="62" t="s">
        <v>553</v>
      </c>
      <c r="C985" s="63"/>
      <c r="D985" s="64"/>
      <c r="E985" s="65"/>
      <c r="F985" s="66"/>
      <c r="G985" s="63"/>
      <c r="H985" s="67"/>
      <c r="I985" s="68"/>
      <c r="J985" s="68"/>
      <c r="K985" s="32"/>
      <c r="L985" s="75">
        <v>985</v>
      </c>
      <c r="M985" s="75"/>
      <c r="N985" s="70"/>
      <c r="O985" s="77" t="s">
        <v>179</v>
      </c>
      <c r="P985" s="79">
        <v>45097.833298611113</v>
      </c>
      <c r="Q985" s="77" t="s">
        <v>2081</v>
      </c>
      <c r="R985" s="77">
        <v>0</v>
      </c>
      <c r="S985" s="77">
        <v>0</v>
      </c>
      <c r="T985" s="77">
        <v>0</v>
      </c>
      <c r="U985" s="77">
        <v>0</v>
      </c>
      <c r="V985" s="77">
        <v>10</v>
      </c>
      <c r="W985" s="82" t="s">
        <v>4772</v>
      </c>
      <c r="X985" s="80" t="str">
        <f>HYPERLINK("https://invistafinancas.com.br/web-stories/5-livros-pra-iniciantes-em-financas/")</f>
        <v>https://invistafinancas.com.br/web-stories/5-livros-pra-iniciantes-em-financas/</v>
      </c>
      <c r="Y985" s="77" t="s">
        <v>6002</v>
      </c>
      <c r="Z985" s="77"/>
      <c r="AA985" s="77"/>
      <c r="AB985" s="77"/>
      <c r="AC985" s="82" t="s">
        <v>7706</v>
      </c>
      <c r="AD985" s="77" t="s">
        <v>7745</v>
      </c>
      <c r="AE985" s="80" t="str">
        <f>HYPERLINK("https://twitter.com/invistafinancas/status/1671246527203799040")</f>
        <v>https://twitter.com/invistafinancas/status/1671246527203799040</v>
      </c>
      <c r="AF985" s="79">
        <v>45097.833298611113</v>
      </c>
      <c r="AG985" s="85">
        <v>45097</v>
      </c>
      <c r="AH985" s="82" t="s">
        <v>8622</v>
      </c>
      <c r="AI985" s="77" t="b">
        <v>0</v>
      </c>
      <c r="AJ985" s="77"/>
      <c r="AK985" s="77"/>
      <c r="AL985" s="77"/>
      <c r="AM985" s="77"/>
      <c r="AN985" s="77"/>
      <c r="AO985" s="77"/>
      <c r="AP985" s="77"/>
      <c r="AQ985" s="77"/>
      <c r="AR985" s="77"/>
      <c r="AS985" s="77"/>
      <c r="AT985" s="77"/>
      <c r="AU985" s="77"/>
      <c r="AV985" s="80" t="str">
        <f>HYPERLINK("https://pbs.twimg.com/profile_images/1662255358281232384/VCpgqGrM_normal.jpg")</f>
        <v>https://pbs.twimg.com/profile_images/1662255358281232384/VCpgqGrM_normal.jpg</v>
      </c>
      <c r="AW985" s="82" t="s">
        <v>13170</v>
      </c>
      <c r="AX985" s="82" t="s">
        <v>13170</v>
      </c>
      <c r="AY985" s="77"/>
      <c r="AZ985" s="82" t="s">
        <v>15804</v>
      </c>
      <c r="BA985" s="82" t="s">
        <v>15804</v>
      </c>
      <c r="BB985" s="82" t="s">
        <v>15804</v>
      </c>
      <c r="BC985" s="82" t="s">
        <v>13170</v>
      </c>
      <c r="BD985" s="82" t="s">
        <v>16319</v>
      </c>
      <c r="BE985" s="77"/>
      <c r="BF985" s="77"/>
      <c r="BG985" s="77"/>
      <c r="BH985" s="77"/>
      <c r="BI985" s="77"/>
    </row>
    <row r="986" spans="1:61" x14ac:dyDescent="0.25">
      <c r="A986" s="62" t="s">
        <v>554</v>
      </c>
      <c r="B986" s="62" t="s">
        <v>1082</v>
      </c>
      <c r="C986" s="63"/>
      <c r="D986" s="64"/>
      <c r="E986" s="65"/>
      <c r="F986" s="66"/>
      <c r="G986" s="63"/>
      <c r="H986" s="67"/>
      <c r="I986" s="68"/>
      <c r="J986" s="68"/>
      <c r="K986" s="32"/>
      <c r="L986" s="75">
        <v>986</v>
      </c>
      <c r="M986" s="75"/>
      <c r="N986" s="70"/>
      <c r="O986" s="77" t="s">
        <v>1132</v>
      </c>
      <c r="P986" s="79">
        <v>45086.916458333333</v>
      </c>
      <c r="Q986" s="77" t="s">
        <v>2082</v>
      </c>
      <c r="R986" s="77">
        <v>0</v>
      </c>
      <c r="S986" s="77">
        <v>1</v>
      </c>
      <c r="T986" s="77">
        <v>1</v>
      </c>
      <c r="U986" s="77">
        <v>0</v>
      </c>
      <c r="V986" s="77">
        <v>58</v>
      </c>
      <c r="W986" s="82" t="s">
        <v>4097</v>
      </c>
      <c r="X986" s="77"/>
      <c r="Y986" s="77"/>
      <c r="Z986" s="77" t="s">
        <v>1082</v>
      </c>
      <c r="AA986" s="77" t="s">
        <v>6738</v>
      </c>
      <c r="AB986" s="77" t="s">
        <v>7696</v>
      </c>
      <c r="AC986" s="82" t="s">
        <v>7707</v>
      </c>
      <c r="AD986" s="77" t="s">
        <v>7745</v>
      </c>
      <c r="AE986" s="80" t="str">
        <f>HYPERLINK("https://twitter.com/judiasdemim/status/1667290397440196609")</f>
        <v>https://twitter.com/judiasdemim/status/1667290397440196609</v>
      </c>
      <c r="AF986" s="79">
        <v>45086.916458333333</v>
      </c>
      <c r="AG986" s="85">
        <v>45086</v>
      </c>
      <c r="AH986" s="82" t="s">
        <v>8623</v>
      </c>
      <c r="AI986" s="77" t="b">
        <v>0</v>
      </c>
      <c r="AJ986" s="77"/>
      <c r="AK986" s="77"/>
      <c r="AL986" s="77"/>
      <c r="AM986" s="77"/>
      <c r="AN986" s="77"/>
      <c r="AO986" s="77"/>
      <c r="AP986" s="77"/>
      <c r="AQ986" s="77" t="s">
        <v>11245</v>
      </c>
      <c r="AR986" s="77"/>
      <c r="AS986" s="77"/>
      <c r="AT986" s="77"/>
      <c r="AU986" s="77"/>
      <c r="AV986" s="80" t="str">
        <f>HYPERLINK("https://pbs.twimg.com/media/FyNnx-fWIAAbFcd.jpg")</f>
        <v>https://pbs.twimg.com/media/FyNnx-fWIAAbFcd.jpg</v>
      </c>
      <c r="AW986" s="82" t="s">
        <v>13171</v>
      </c>
      <c r="AX986" s="82" t="s">
        <v>15311</v>
      </c>
      <c r="AY986" s="82" t="s">
        <v>15730</v>
      </c>
      <c r="AZ986" s="82" t="s">
        <v>15868</v>
      </c>
      <c r="BA986" s="82" t="s">
        <v>15804</v>
      </c>
      <c r="BB986" s="82" t="s">
        <v>15804</v>
      </c>
      <c r="BC986" s="82" t="s">
        <v>15868</v>
      </c>
      <c r="BD986" s="82" t="s">
        <v>16320</v>
      </c>
      <c r="BE986" s="77"/>
      <c r="BF986" s="77"/>
      <c r="BG986" s="77"/>
      <c r="BH986" s="77"/>
      <c r="BI986" s="77"/>
    </row>
    <row r="987" spans="1:61" x14ac:dyDescent="0.25">
      <c r="A987" s="62" t="s">
        <v>555</v>
      </c>
      <c r="B987" s="62" t="s">
        <v>555</v>
      </c>
      <c r="C987" s="63"/>
      <c r="D987" s="64"/>
      <c r="E987" s="65"/>
      <c r="F987" s="66"/>
      <c r="G987" s="63"/>
      <c r="H987" s="67"/>
      <c r="I987" s="68"/>
      <c r="J987" s="68"/>
      <c r="K987" s="32"/>
      <c r="L987" s="75">
        <v>987</v>
      </c>
      <c r="M987" s="75"/>
      <c r="N987" s="70"/>
      <c r="O987" s="77" t="s">
        <v>179</v>
      </c>
      <c r="P987" s="79">
        <v>45069.625543981485</v>
      </c>
      <c r="Q987" s="77" t="s">
        <v>2083</v>
      </c>
      <c r="R987" s="77">
        <v>0</v>
      </c>
      <c r="S987" s="77">
        <v>0</v>
      </c>
      <c r="T987" s="77">
        <v>0</v>
      </c>
      <c r="U987" s="77">
        <v>0</v>
      </c>
      <c r="V987" s="77">
        <v>58</v>
      </c>
      <c r="W987" s="82" t="s">
        <v>4773</v>
      </c>
      <c r="X987" s="77"/>
      <c r="Y987" s="77"/>
      <c r="Z987" s="77"/>
      <c r="AA987" s="77" t="s">
        <v>6739</v>
      </c>
      <c r="AB987" s="77" t="s">
        <v>7696</v>
      </c>
      <c r="AC987" s="82" t="s">
        <v>7708</v>
      </c>
      <c r="AD987" s="77" t="s">
        <v>7745</v>
      </c>
      <c r="AE987" s="80" t="str">
        <f>HYPERLINK("https://twitter.com/focuscontabili2/status/1661024381034721280")</f>
        <v>https://twitter.com/focuscontabili2/status/1661024381034721280</v>
      </c>
      <c r="AF987" s="79">
        <v>45069.625543981485</v>
      </c>
      <c r="AG987" s="85">
        <v>45069</v>
      </c>
      <c r="AH987" s="82" t="s">
        <v>8624</v>
      </c>
      <c r="AI987" s="77" t="b">
        <v>0</v>
      </c>
      <c r="AJ987" s="77"/>
      <c r="AK987" s="77"/>
      <c r="AL987" s="77"/>
      <c r="AM987" s="77"/>
      <c r="AN987" s="77"/>
      <c r="AO987" s="77"/>
      <c r="AP987" s="77"/>
      <c r="AQ987" s="77" t="s">
        <v>11246</v>
      </c>
      <c r="AR987" s="77"/>
      <c r="AS987" s="77"/>
      <c r="AT987" s="77"/>
      <c r="AU987" s="77"/>
      <c r="AV987" s="80" t="str">
        <f>HYPERLINK("https://pbs.twimg.com/media/Fw0k3yvaEAEAIms.jpg")</f>
        <v>https://pbs.twimg.com/media/Fw0k3yvaEAEAIms.jpg</v>
      </c>
      <c r="AW987" s="82" t="s">
        <v>13172</v>
      </c>
      <c r="AX987" s="82" t="s">
        <v>13172</v>
      </c>
      <c r="AY987" s="77"/>
      <c r="AZ987" s="82" t="s">
        <v>15804</v>
      </c>
      <c r="BA987" s="82" t="s">
        <v>15804</v>
      </c>
      <c r="BB987" s="82" t="s">
        <v>15804</v>
      </c>
      <c r="BC987" s="82" t="s">
        <v>13172</v>
      </c>
      <c r="BD987" s="82" t="s">
        <v>16321</v>
      </c>
      <c r="BE987" s="77"/>
      <c r="BF987" s="77"/>
      <c r="BG987" s="77"/>
      <c r="BH987" s="77"/>
      <c r="BI987" s="77"/>
    </row>
    <row r="988" spans="1:61" x14ac:dyDescent="0.25">
      <c r="A988" s="62" t="s">
        <v>556</v>
      </c>
      <c r="B988" s="62" t="s">
        <v>556</v>
      </c>
      <c r="C988" s="63"/>
      <c r="D988" s="64"/>
      <c r="E988" s="65"/>
      <c r="F988" s="66"/>
      <c r="G988" s="63"/>
      <c r="H988" s="67"/>
      <c r="I988" s="68"/>
      <c r="J988" s="68"/>
      <c r="K988" s="32"/>
      <c r="L988" s="75">
        <v>988</v>
      </c>
      <c r="M988" s="75"/>
      <c r="N988" s="70"/>
      <c r="O988" s="77" t="s">
        <v>179</v>
      </c>
      <c r="P988" s="79">
        <v>45076.004756944443</v>
      </c>
      <c r="Q988" s="77" t="s">
        <v>2084</v>
      </c>
      <c r="R988" s="77">
        <v>0</v>
      </c>
      <c r="S988" s="77">
        <v>0</v>
      </c>
      <c r="T988" s="77">
        <v>0</v>
      </c>
      <c r="U988" s="77">
        <v>0</v>
      </c>
      <c r="V988" s="77">
        <v>466</v>
      </c>
      <c r="W988" s="82" t="s">
        <v>4774</v>
      </c>
      <c r="X988" s="77"/>
      <c r="Y988" s="77"/>
      <c r="Z988" s="77"/>
      <c r="AA988" s="77" t="s">
        <v>6740</v>
      </c>
      <c r="AB988" s="77" t="s">
        <v>7696</v>
      </c>
      <c r="AC988" s="82" t="s">
        <v>7707</v>
      </c>
      <c r="AD988" s="77" t="s">
        <v>7745</v>
      </c>
      <c r="AE988" s="80" t="str">
        <f>HYPERLINK("https://twitter.com/facolommoney/status/1663336130069028865")</f>
        <v>https://twitter.com/facolommoney/status/1663336130069028865</v>
      </c>
      <c r="AF988" s="79">
        <v>45076.004756944443</v>
      </c>
      <c r="AG988" s="85">
        <v>45076</v>
      </c>
      <c r="AH988" s="82" t="s">
        <v>8625</v>
      </c>
      <c r="AI988" s="77" t="b">
        <v>0</v>
      </c>
      <c r="AJ988" s="77"/>
      <c r="AK988" s="77"/>
      <c r="AL988" s="77"/>
      <c r="AM988" s="77"/>
      <c r="AN988" s="77"/>
      <c r="AO988" s="77"/>
      <c r="AP988" s="77"/>
      <c r="AQ988" s="77" t="s">
        <v>11247</v>
      </c>
      <c r="AR988" s="77"/>
      <c r="AS988" s="77"/>
      <c r="AT988" s="77"/>
      <c r="AU988" s="77"/>
      <c r="AV988" s="80" t="str">
        <f>HYPERLINK("https://pbs.twimg.com/media/FxVbZSCWwAEjR-h.jpg")</f>
        <v>https://pbs.twimg.com/media/FxVbZSCWwAEjR-h.jpg</v>
      </c>
      <c r="AW988" s="82" t="s">
        <v>13173</v>
      </c>
      <c r="AX988" s="82" t="s">
        <v>13173</v>
      </c>
      <c r="AY988" s="77"/>
      <c r="AZ988" s="82" t="s">
        <v>15804</v>
      </c>
      <c r="BA988" s="82" t="s">
        <v>15804</v>
      </c>
      <c r="BB988" s="82" t="s">
        <v>15804</v>
      </c>
      <c r="BC988" s="82" t="s">
        <v>13173</v>
      </c>
      <c r="BD988" s="82" t="s">
        <v>16322</v>
      </c>
      <c r="BE988" s="77"/>
      <c r="BF988" s="77"/>
      <c r="BG988" s="77"/>
      <c r="BH988" s="77"/>
      <c r="BI988" s="77"/>
    </row>
    <row r="989" spans="1:61" x14ac:dyDescent="0.25">
      <c r="A989" s="62" t="s">
        <v>556</v>
      </c>
      <c r="B989" s="62" t="s">
        <v>556</v>
      </c>
      <c r="C989" s="63"/>
      <c r="D989" s="64"/>
      <c r="E989" s="65"/>
      <c r="F989" s="66"/>
      <c r="G989" s="63"/>
      <c r="H989" s="67"/>
      <c r="I989" s="68"/>
      <c r="J989" s="68"/>
      <c r="K989" s="32"/>
      <c r="L989" s="75">
        <v>989</v>
      </c>
      <c r="M989" s="75"/>
      <c r="N989" s="70"/>
      <c r="O989" s="77" t="s">
        <v>179</v>
      </c>
      <c r="P989" s="79">
        <v>45075.897002314814</v>
      </c>
      <c r="Q989" s="77" t="s">
        <v>2085</v>
      </c>
      <c r="R989" s="77">
        <v>0</v>
      </c>
      <c r="S989" s="77">
        <v>1</v>
      </c>
      <c r="T989" s="77">
        <v>0</v>
      </c>
      <c r="U989" s="77">
        <v>0</v>
      </c>
      <c r="V989" s="77">
        <v>350</v>
      </c>
      <c r="W989" s="82" t="s">
        <v>4775</v>
      </c>
      <c r="X989" s="77"/>
      <c r="Y989" s="77"/>
      <c r="Z989" s="77"/>
      <c r="AA989" s="77" t="s">
        <v>6741</v>
      </c>
      <c r="AB989" s="77" t="s">
        <v>7696</v>
      </c>
      <c r="AC989" s="82" t="s">
        <v>7707</v>
      </c>
      <c r="AD989" s="77" t="s">
        <v>7745</v>
      </c>
      <c r="AE989" s="80" t="str">
        <f>HYPERLINK("https://twitter.com/facolommoney/status/1663297082793287684")</f>
        <v>https://twitter.com/facolommoney/status/1663297082793287684</v>
      </c>
      <c r="AF989" s="79">
        <v>45075.897002314814</v>
      </c>
      <c r="AG989" s="85">
        <v>45075</v>
      </c>
      <c r="AH989" s="82" t="s">
        <v>8626</v>
      </c>
      <c r="AI989" s="77" t="b">
        <v>0</v>
      </c>
      <c r="AJ989" s="77"/>
      <c r="AK989" s="77"/>
      <c r="AL989" s="77"/>
      <c r="AM989" s="77"/>
      <c r="AN989" s="77"/>
      <c r="AO989" s="77"/>
      <c r="AP989" s="77"/>
      <c r="AQ989" s="77" t="s">
        <v>11248</v>
      </c>
      <c r="AR989" s="77"/>
      <c r="AS989" s="77"/>
      <c r="AT989" s="77"/>
      <c r="AU989" s="77"/>
      <c r="AV989" s="80" t="str">
        <f>HYPERLINK("https://pbs.twimg.com/media/FxU34YtWAAIcs46.jpg")</f>
        <v>https://pbs.twimg.com/media/FxU34YtWAAIcs46.jpg</v>
      </c>
      <c r="AW989" s="82" t="s">
        <v>13174</v>
      </c>
      <c r="AX989" s="82" t="s">
        <v>13174</v>
      </c>
      <c r="AY989" s="77"/>
      <c r="AZ989" s="82" t="s">
        <v>15804</v>
      </c>
      <c r="BA989" s="82" t="s">
        <v>15804</v>
      </c>
      <c r="BB989" s="82" t="s">
        <v>15804</v>
      </c>
      <c r="BC989" s="82" t="s">
        <v>13174</v>
      </c>
      <c r="BD989" s="82" t="s">
        <v>16322</v>
      </c>
      <c r="BE989" s="77"/>
      <c r="BF989" s="77"/>
      <c r="BG989" s="77"/>
      <c r="BH989" s="77"/>
      <c r="BI989" s="77"/>
    </row>
    <row r="990" spans="1:61" x14ac:dyDescent="0.25">
      <c r="A990" s="62" t="s">
        <v>556</v>
      </c>
      <c r="B990" s="62" t="s">
        <v>556</v>
      </c>
      <c r="C990" s="63"/>
      <c r="D990" s="64"/>
      <c r="E990" s="65"/>
      <c r="F990" s="66"/>
      <c r="G990" s="63"/>
      <c r="H990" s="67"/>
      <c r="I990" s="68"/>
      <c r="J990" s="68"/>
      <c r="K990" s="32"/>
      <c r="L990" s="75">
        <v>990</v>
      </c>
      <c r="M990" s="75"/>
      <c r="N990" s="70"/>
      <c r="O990" s="77" t="s">
        <v>179</v>
      </c>
      <c r="P990" s="79">
        <v>45072.910428240742</v>
      </c>
      <c r="Q990" s="77" t="s">
        <v>2086</v>
      </c>
      <c r="R990" s="77">
        <v>0</v>
      </c>
      <c r="S990" s="77">
        <v>1</v>
      </c>
      <c r="T990" s="77">
        <v>0</v>
      </c>
      <c r="U990" s="77">
        <v>0</v>
      </c>
      <c r="V990" s="77">
        <v>490</v>
      </c>
      <c r="W990" s="82" t="s">
        <v>4776</v>
      </c>
      <c r="X990" s="77"/>
      <c r="Y990" s="77"/>
      <c r="Z990" s="77"/>
      <c r="AA990" s="77" t="s">
        <v>6742</v>
      </c>
      <c r="AB990" s="77" t="s">
        <v>7696</v>
      </c>
      <c r="AC990" s="82" t="s">
        <v>7707</v>
      </c>
      <c r="AD990" s="77" t="s">
        <v>7751</v>
      </c>
      <c r="AE990" s="80" t="str">
        <f>HYPERLINK("https://twitter.com/facolommoney/status/1662214781712076800")</f>
        <v>https://twitter.com/facolommoney/status/1662214781712076800</v>
      </c>
      <c r="AF990" s="79">
        <v>45072.910428240742</v>
      </c>
      <c r="AG990" s="85">
        <v>45072</v>
      </c>
      <c r="AH990" s="82" t="s">
        <v>8627</v>
      </c>
      <c r="AI990" s="77" t="b">
        <v>0</v>
      </c>
      <c r="AJ990" s="77"/>
      <c r="AK990" s="77"/>
      <c r="AL990" s="77"/>
      <c r="AM990" s="77"/>
      <c r="AN990" s="77"/>
      <c r="AO990" s="77"/>
      <c r="AP990" s="77"/>
      <c r="AQ990" s="77" t="s">
        <v>11249</v>
      </c>
      <c r="AR990" s="77"/>
      <c r="AS990" s="77"/>
      <c r="AT990" s="77"/>
      <c r="AU990" s="77"/>
      <c r="AV990" s="80" t="str">
        <f>HYPERLINK("https://pbs.twimg.com/media/FxFfiNjXgAMVJuw.jpg")</f>
        <v>https://pbs.twimg.com/media/FxFfiNjXgAMVJuw.jpg</v>
      </c>
      <c r="AW990" s="82" t="s">
        <v>13175</v>
      </c>
      <c r="AX990" s="82" t="s">
        <v>13175</v>
      </c>
      <c r="AY990" s="77"/>
      <c r="AZ990" s="82" t="s">
        <v>15804</v>
      </c>
      <c r="BA990" s="82" t="s">
        <v>15804</v>
      </c>
      <c r="BB990" s="82" t="s">
        <v>15804</v>
      </c>
      <c r="BC990" s="82" t="s">
        <v>13175</v>
      </c>
      <c r="BD990" s="82" t="s">
        <v>16322</v>
      </c>
      <c r="BE990" s="77"/>
      <c r="BF990" s="77"/>
      <c r="BG990" s="77"/>
      <c r="BH990" s="77"/>
      <c r="BI990" s="77"/>
    </row>
    <row r="991" spans="1:61" x14ac:dyDescent="0.25">
      <c r="A991" s="62" t="s">
        <v>556</v>
      </c>
      <c r="B991" s="62" t="s">
        <v>556</v>
      </c>
      <c r="C991" s="63"/>
      <c r="D991" s="64"/>
      <c r="E991" s="65"/>
      <c r="F991" s="66"/>
      <c r="G991" s="63"/>
      <c r="H991" s="67"/>
      <c r="I991" s="68"/>
      <c r="J991" s="68"/>
      <c r="K991" s="32"/>
      <c r="L991" s="75">
        <v>991</v>
      </c>
      <c r="M991" s="75"/>
      <c r="N991" s="70"/>
      <c r="O991" s="77" t="s">
        <v>179</v>
      </c>
      <c r="P991" s="79">
        <v>45072.009039351855</v>
      </c>
      <c r="Q991" s="77" t="s">
        <v>2087</v>
      </c>
      <c r="R991" s="77">
        <v>0</v>
      </c>
      <c r="S991" s="77">
        <v>0</v>
      </c>
      <c r="T991" s="77">
        <v>0</v>
      </c>
      <c r="U991" s="77">
        <v>0</v>
      </c>
      <c r="V991" s="77">
        <v>645</v>
      </c>
      <c r="W991" s="82" t="s">
        <v>4777</v>
      </c>
      <c r="X991" s="77"/>
      <c r="Y991" s="77"/>
      <c r="Z991" s="77"/>
      <c r="AA991" s="77" t="s">
        <v>6743</v>
      </c>
      <c r="AB991" s="77" t="s">
        <v>7696</v>
      </c>
      <c r="AC991" s="82" t="s">
        <v>7707</v>
      </c>
      <c r="AD991" s="77" t="s">
        <v>7745</v>
      </c>
      <c r="AE991" s="80" t="str">
        <f>HYPERLINK("https://twitter.com/facolommoney/status/1661888131459588097")</f>
        <v>https://twitter.com/facolommoney/status/1661888131459588097</v>
      </c>
      <c r="AF991" s="79">
        <v>45072.009039351855</v>
      </c>
      <c r="AG991" s="85">
        <v>45072</v>
      </c>
      <c r="AH991" s="82" t="s">
        <v>8628</v>
      </c>
      <c r="AI991" s="77" t="b">
        <v>0</v>
      </c>
      <c r="AJ991" s="77"/>
      <c r="AK991" s="77"/>
      <c r="AL991" s="77"/>
      <c r="AM991" s="77"/>
      <c r="AN991" s="77"/>
      <c r="AO991" s="77"/>
      <c r="AP991" s="77"/>
      <c r="AQ991" s="77" t="s">
        <v>11250</v>
      </c>
      <c r="AR991" s="77"/>
      <c r="AS991" s="77"/>
      <c r="AT991" s="77"/>
      <c r="AU991" s="77"/>
      <c r="AV991" s="80" t="str">
        <f>HYPERLINK("https://pbs.twimg.com/media/FxA2crxWcAAdQlF.jpg")</f>
        <v>https://pbs.twimg.com/media/FxA2crxWcAAdQlF.jpg</v>
      </c>
      <c r="AW991" s="82" t="s">
        <v>13176</v>
      </c>
      <c r="AX991" s="82" t="s">
        <v>13176</v>
      </c>
      <c r="AY991" s="77"/>
      <c r="AZ991" s="82" t="s">
        <v>15804</v>
      </c>
      <c r="BA991" s="82" t="s">
        <v>15804</v>
      </c>
      <c r="BB991" s="82" t="s">
        <v>15804</v>
      </c>
      <c r="BC991" s="82" t="s">
        <v>13176</v>
      </c>
      <c r="BD991" s="82" t="s">
        <v>16322</v>
      </c>
      <c r="BE991" s="77"/>
      <c r="BF991" s="77"/>
      <c r="BG991" s="77"/>
      <c r="BH991" s="77"/>
      <c r="BI991" s="77"/>
    </row>
    <row r="992" spans="1:61" x14ac:dyDescent="0.25">
      <c r="A992" s="62" t="s">
        <v>556</v>
      </c>
      <c r="B992" s="62" t="s">
        <v>556</v>
      </c>
      <c r="C992" s="63"/>
      <c r="D992" s="64"/>
      <c r="E992" s="65"/>
      <c r="F992" s="66"/>
      <c r="G992" s="63"/>
      <c r="H992" s="67"/>
      <c r="I992" s="68"/>
      <c r="J992" s="68"/>
      <c r="K992" s="32"/>
      <c r="L992" s="75">
        <v>992</v>
      </c>
      <c r="M992" s="75"/>
      <c r="N992" s="70"/>
      <c r="O992" s="77" t="s">
        <v>179</v>
      </c>
      <c r="P992" s="79">
        <v>45077.065358796295</v>
      </c>
      <c r="Q992" s="77" t="s">
        <v>2088</v>
      </c>
      <c r="R992" s="77">
        <v>0</v>
      </c>
      <c r="S992" s="77">
        <v>0</v>
      </c>
      <c r="T992" s="77">
        <v>0</v>
      </c>
      <c r="U992" s="77">
        <v>0</v>
      </c>
      <c r="V992" s="77">
        <v>221</v>
      </c>
      <c r="W992" s="82" t="s">
        <v>4778</v>
      </c>
      <c r="X992" s="77"/>
      <c r="Y992" s="77"/>
      <c r="Z992" s="77"/>
      <c r="AA992" s="77" t="s">
        <v>6744</v>
      </c>
      <c r="AB992" s="77" t="s">
        <v>7696</v>
      </c>
      <c r="AC992" s="82" t="s">
        <v>7707</v>
      </c>
      <c r="AD992" s="77" t="s">
        <v>7751</v>
      </c>
      <c r="AE992" s="80" t="str">
        <f>HYPERLINK("https://twitter.com/facolommoney/status/1663720481965350919")</f>
        <v>https://twitter.com/facolommoney/status/1663720481965350919</v>
      </c>
      <c r="AF992" s="79">
        <v>45077.065358796295</v>
      </c>
      <c r="AG992" s="85">
        <v>45077</v>
      </c>
      <c r="AH992" s="82" t="s">
        <v>8629</v>
      </c>
      <c r="AI992" s="77" t="b">
        <v>0</v>
      </c>
      <c r="AJ992" s="77"/>
      <c r="AK992" s="77"/>
      <c r="AL992" s="77"/>
      <c r="AM992" s="77"/>
      <c r="AN992" s="77"/>
      <c r="AO992" s="77"/>
      <c r="AP992" s="77"/>
      <c r="AQ992" s="77" t="s">
        <v>11251</v>
      </c>
      <c r="AR992" s="77"/>
      <c r="AS992" s="77"/>
      <c r="AT992" s="77"/>
      <c r="AU992" s="77"/>
      <c r="AV992" s="80" t="str">
        <f>HYPERLINK("https://pbs.twimg.com/media/Fxa49gGXgAEJ4FB.jpg")</f>
        <v>https://pbs.twimg.com/media/Fxa49gGXgAEJ4FB.jpg</v>
      </c>
      <c r="AW992" s="82" t="s">
        <v>13177</v>
      </c>
      <c r="AX992" s="82" t="s">
        <v>13177</v>
      </c>
      <c r="AY992" s="77"/>
      <c r="AZ992" s="82" t="s">
        <v>15804</v>
      </c>
      <c r="BA992" s="82" t="s">
        <v>15804</v>
      </c>
      <c r="BB992" s="82" t="s">
        <v>15804</v>
      </c>
      <c r="BC992" s="82" t="s">
        <v>13177</v>
      </c>
      <c r="BD992" s="82" t="s">
        <v>16322</v>
      </c>
      <c r="BE992" s="77"/>
      <c r="BF992" s="77"/>
      <c r="BG992" s="77"/>
      <c r="BH992" s="77"/>
      <c r="BI992" s="77"/>
    </row>
    <row r="993" spans="1:61" x14ac:dyDescent="0.25">
      <c r="A993" s="62" t="s">
        <v>556</v>
      </c>
      <c r="B993" s="62" t="s">
        <v>556</v>
      </c>
      <c r="C993" s="63"/>
      <c r="D993" s="64"/>
      <c r="E993" s="65"/>
      <c r="F993" s="66"/>
      <c r="G993" s="63"/>
      <c r="H993" s="67"/>
      <c r="I993" s="68"/>
      <c r="J993" s="68"/>
      <c r="K993" s="32"/>
      <c r="L993" s="75">
        <v>993</v>
      </c>
      <c r="M993" s="75"/>
      <c r="N993" s="70"/>
      <c r="O993" s="77" t="s">
        <v>179</v>
      </c>
      <c r="P993" s="79">
        <v>45076.851261574076</v>
      </c>
      <c r="Q993" s="77" t="s">
        <v>2089</v>
      </c>
      <c r="R993" s="77">
        <v>0</v>
      </c>
      <c r="S993" s="77">
        <v>1</v>
      </c>
      <c r="T993" s="77">
        <v>0</v>
      </c>
      <c r="U993" s="77">
        <v>0</v>
      </c>
      <c r="V993" s="77">
        <v>387</v>
      </c>
      <c r="W993" s="82" t="s">
        <v>4775</v>
      </c>
      <c r="X993" s="77"/>
      <c r="Y993" s="77"/>
      <c r="Z993" s="77"/>
      <c r="AA993" s="77" t="s">
        <v>6745</v>
      </c>
      <c r="AB993" s="77" t="s">
        <v>7696</v>
      </c>
      <c r="AC993" s="82" t="s">
        <v>7707</v>
      </c>
      <c r="AD993" s="77" t="s">
        <v>7745</v>
      </c>
      <c r="AE993" s="80" t="str">
        <f>HYPERLINK("https://twitter.com/facolommoney/status/1663642894173982720")</f>
        <v>https://twitter.com/facolommoney/status/1663642894173982720</v>
      </c>
      <c r="AF993" s="79">
        <v>45076.851261574076</v>
      </c>
      <c r="AG993" s="85">
        <v>45076</v>
      </c>
      <c r="AH993" s="82" t="s">
        <v>8630</v>
      </c>
      <c r="AI993" s="77" t="b">
        <v>0</v>
      </c>
      <c r="AJ993" s="77"/>
      <c r="AK993" s="77"/>
      <c r="AL993" s="77"/>
      <c r="AM993" s="77"/>
      <c r="AN993" s="77"/>
      <c r="AO993" s="77"/>
      <c r="AP993" s="77"/>
      <c r="AQ993" s="77" t="s">
        <v>11252</v>
      </c>
      <c r="AR993" s="77"/>
      <c r="AS993" s="77"/>
      <c r="AT993" s="77"/>
      <c r="AU993" s="77"/>
      <c r="AV993" s="80" t="str">
        <f>HYPERLINK("https://pbs.twimg.com/media/FxZyZPtWIAAmNV9.jpg")</f>
        <v>https://pbs.twimg.com/media/FxZyZPtWIAAmNV9.jpg</v>
      </c>
      <c r="AW993" s="82" t="s">
        <v>13178</v>
      </c>
      <c r="AX993" s="82" t="s">
        <v>13178</v>
      </c>
      <c r="AY993" s="77"/>
      <c r="AZ993" s="82" t="s">
        <v>15804</v>
      </c>
      <c r="BA993" s="82" t="s">
        <v>15804</v>
      </c>
      <c r="BB993" s="82" t="s">
        <v>15804</v>
      </c>
      <c r="BC993" s="82" t="s">
        <v>13178</v>
      </c>
      <c r="BD993" s="82" t="s">
        <v>16322</v>
      </c>
      <c r="BE993" s="77"/>
      <c r="BF993" s="77"/>
      <c r="BG993" s="77"/>
      <c r="BH993" s="77"/>
      <c r="BI993" s="77"/>
    </row>
    <row r="994" spans="1:61" x14ac:dyDescent="0.25">
      <c r="A994" s="62" t="s">
        <v>556</v>
      </c>
      <c r="B994" s="62" t="s">
        <v>556</v>
      </c>
      <c r="C994" s="63"/>
      <c r="D994" s="64"/>
      <c r="E994" s="65"/>
      <c r="F994" s="66"/>
      <c r="G994" s="63"/>
      <c r="H994" s="67"/>
      <c r="I994" s="68"/>
      <c r="J994" s="68"/>
      <c r="K994" s="32"/>
      <c r="L994" s="75">
        <v>994</v>
      </c>
      <c r="M994" s="75"/>
      <c r="N994" s="70"/>
      <c r="O994" s="77" t="s">
        <v>179</v>
      </c>
      <c r="P994" s="79">
        <v>45071.683680555558</v>
      </c>
      <c r="Q994" s="77" t="s">
        <v>2090</v>
      </c>
      <c r="R994" s="77">
        <v>0</v>
      </c>
      <c r="S994" s="77">
        <v>0</v>
      </c>
      <c r="T994" s="77">
        <v>0</v>
      </c>
      <c r="U994" s="77">
        <v>0</v>
      </c>
      <c r="V994" s="77">
        <v>488</v>
      </c>
      <c r="W994" s="82" t="s">
        <v>4779</v>
      </c>
      <c r="X994" s="77"/>
      <c r="Y994" s="77"/>
      <c r="Z994" s="77"/>
      <c r="AA994" s="77" t="s">
        <v>6746</v>
      </c>
      <c r="AB994" s="77" t="s">
        <v>7696</v>
      </c>
      <c r="AC994" s="82" t="s">
        <v>7707</v>
      </c>
      <c r="AD994" s="77" t="s">
        <v>7745</v>
      </c>
      <c r="AE994" s="80" t="str">
        <f>HYPERLINK("https://twitter.com/facolommoney/status/1661770225333796865")</f>
        <v>https://twitter.com/facolommoney/status/1661770225333796865</v>
      </c>
      <c r="AF994" s="79">
        <v>45071.683680555558</v>
      </c>
      <c r="AG994" s="85">
        <v>45071</v>
      </c>
      <c r="AH994" s="82" t="s">
        <v>8631</v>
      </c>
      <c r="AI994" s="77" t="b">
        <v>0</v>
      </c>
      <c r="AJ994" s="77"/>
      <c r="AK994" s="77"/>
      <c r="AL994" s="77"/>
      <c r="AM994" s="77"/>
      <c r="AN994" s="77"/>
      <c r="AO994" s="77"/>
      <c r="AP994" s="77"/>
      <c r="AQ994" s="77" t="s">
        <v>11253</v>
      </c>
      <c r="AR994" s="77"/>
      <c r="AS994" s="77"/>
      <c r="AT994" s="77"/>
      <c r="AU994" s="77"/>
      <c r="AV994" s="80" t="str">
        <f>HYPERLINK("https://pbs.twimg.com/media/Fw_LNoXWcAErMeG.jpg")</f>
        <v>https://pbs.twimg.com/media/Fw_LNoXWcAErMeG.jpg</v>
      </c>
      <c r="AW994" s="82" t="s">
        <v>13179</v>
      </c>
      <c r="AX994" s="82" t="s">
        <v>13179</v>
      </c>
      <c r="AY994" s="77"/>
      <c r="AZ994" s="82" t="s">
        <v>15804</v>
      </c>
      <c r="BA994" s="82" t="s">
        <v>15804</v>
      </c>
      <c r="BB994" s="82" t="s">
        <v>15804</v>
      </c>
      <c r="BC994" s="82" t="s">
        <v>13179</v>
      </c>
      <c r="BD994" s="82" t="s">
        <v>16322</v>
      </c>
      <c r="BE994" s="77"/>
      <c r="BF994" s="77"/>
      <c r="BG994" s="77"/>
      <c r="BH994" s="77"/>
      <c r="BI994" s="77"/>
    </row>
    <row r="995" spans="1:61" x14ac:dyDescent="0.25">
      <c r="A995" s="62" t="s">
        <v>556</v>
      </c>
      <c r="B995" s="62" t="s">
        <v>556</v>
      </c>
      <c r="C995" s="63"/>
      <c r="D995" s="64"/>
      <c r="E995" s="65"/>
      <c r="F995" s="66"/>
      <c r="G995" s="63"/>
      <c r="H995" s="67"/>
      <c r="I995" s="68"/>
      <c r="J995" s="68"/>
      <c r="K995" s="32"/>
      <c r="L995" s="75">
        <v>995</v>
      </c>
      <c r="M995" s="75"/>
      <c r="N995" s="70"/>
      <c r="O995" s="77" t="s">
        <v>179</v>
      </c>
      <c r="P995" s="79">
        <v>45071.541388888887</v>
      </c>
      <c r="Q995" s="77" t="s">
        <v>2091</v>
      </c>
      <c r="R995" s="77">
        <v>0</v>
      </c>
      <c r="S995" s="77">
        <v>0</v>
      </c>
      <c r="T995" s="77">
        <v>0</v>
      </c>
      <c r="U995" s="77">
        <v>0</v>
      </c>
      <c r="V995" s="77">
        <v>300</v>
      </c>
      <c r="W995" s="82" t="s">
        <v>4780</v>
      </c>
      <c r="X995" s="77"/>
      <c r="Y995" s="77"/>
      <c r="Z995" s="77"/>
      <c r="AA995" s="77" t="s">
        <v>6747</v>
      </c>
      <c r="AB995" s="77" t="s">
        <v>7696</v>
      </c>
      <c r="AC995" s="82" t="s">
        <v>7707</v>
      </c>
      <c r="AD995" s="77" t="s">
        <v>7745</v>
      </c>
      <c r="AE995" s="80" t="str">
        <f>HYPERLINK("https://twitter.com/facolommoney/status/1661718661013417986")</f>
        <v>https://twitter.com/facolommoney/status/1661718661013417986</v>
      </c>
      <c r="AF995" s="79">
        <v>45071.541388888887</v>
      </c>
      <c r="AG995" s="85">
        <v>45071</v>
      </c>
      <c r="AH995" s="82" t="s">
        <v>8632</v>
      </c>
      <c r="AI995" s="77" t="b">
        <v>0</v>
      </c>
      <c r="AJ995" s="77"/>
      <c r="AK995" s="77"/>
      <c r="AL995" s="77"/>
      <c r="AM995" s="77"/>
      <c r="AN995" s="77"/>
      <c r="AO995" s="77"/>
      <c r="AP995" s="77"/>
      <c r="AQ995" s="77" t="s">
        <v>11254</v>
      </c>
      <c r="AR995" s="77"/>
      <c r="AS995" s="77"/>
      <c r="AT995" s="77"/>
      <c r="AU995" s="77"/>
      <c r="AV995" s="80" t="str">
        <f>HYPERLINK("https://pbs.twimg.com/media/Fw-cUKXWYAAurK_.jpg")</f>
        <v>https://pbs.twimg.com/media/Fw-cUKXWYAAurK_.jpg</v>
      </c>
      <c r="AW995" s="82" t="s">
        <v>13180</v>
      </c>
      <c r="AX995" s="82" t="s">
        <v>13180</v>
      </c>
      <c r="AY995" s="77"/>
      <c r="AZ995" s="82" t="s">
        <v>15804</v>
      </c>
      <c r="BA995" s="82" t="s">
        <v>15804</v>
      </c>
      <c r="BB995" s="82" t="s">
        <v>15804</v>
      </c>
      <c r="BC995" s="82" t="s">
        <v>13180</v>
      </c>
      <c r="BD995" s="82" t="s">
        <v>16322</v>
      </c>
      <c r="BE995" s="77"/>
      <c r="BF995" s="77"/>
      <c r="BG995" s="77"/>
      <c r="BH995" s="77"/>
      <c r="BI995" s="77"/>
    </row>
    <row r="996" spans="1:61" x14ac:dyDescent="0.25">
      <c r="A996" s="62" t="s">
        <v>556</v>
      </c>
      <c r="B996" s="62" t="s">
        <v>556</v>
      </c>
      <c r="C996" s="63"/>
      <c r="D996" s="64"/>
      <c r="E996" s="65"/>
      <c r="F996" s="66"/>
      <c r="G996" s="63"/>
      <c r="H996" s="67"/>
      <c r="I996" s="68"/>
      <c r="J996" s="68"/>
      <c r="K996" s="32"/>
      <c r="L996" s="75">
        <v>996</v>
      </c>
      <c r="M996" s="75"/>
      <c r="N996" s="70"/>
      <c r="O996" s="77" t="s">
        <v>179</v>
      </c>
      <c r="P996" s="79">
        <v>45069.971631944441</v>
      </c>
      <c r="Q996" s="77" t="s">
        <v>2092</v>
      </c>
      <c r="R996" s="77">
        <v>0</v>
      </c>
      <c r="S996" s="77">
        <v>0</v>
      </c>
      <c r="T996" s="77">
        <v>0</v>
      </c>
      <c r="U996" s="77">
        <v>0</v>
      </c>
      <c r="V996" s="77">
        <v>464</v>
      </c>
      <c r="W996" s="82" t="s">
        <v>4781</v>
      </c>
      <c r="X996" s="77"/>
      <c r="Y996" s="77"/>
      <c r="Z996" s="77"/>
      <c r="AA996" s="77" t="s">
        <v>6748</v>
      </c>
      <c r="AB996" s="77" t="s">
        <v>7696</v>
      </c>
      <c r="AC996" s="82" t="s">
        <v>7707</v>
      </c>
      <c r="AD996" s="77" t="s">
        <v>7745</v>
      </c>
      <c r="AE996" s="80" t="str">
        <f>HYPERLINK("https://twitter.com/facolommoney/status/1661149797632589824")</f>
        <v>https://twitter.com/facolommoney/status/1661149797632589824</v>
      </c>
      <c r="AF996" s="79">
        <v>45069.971631944441</v>
      </c>
      <c r="AG996" s="85">
        <v>45069</v>
      </c>
      <c r="AH996" s="82" t="s">
        <v>8633</v>
      </c>
      <c r="AI996" s="77" t="b">
        <v>0</v>
      </c>
      <c r="AJ996" s="77"/>
      <c r="AK996" s="77"/>
      <c r="AL996" s="77"/>
      <c r="AM996" s="77"/>
      <c r="AN996" s="77"/>
      <c r="AO996" s="77"/>
      <c r="AP996" s="77"/>
      <c r="AQ996" s="77" t="s">
        <v>11255</v>
      </c>
      <c r="AR996" s="77"/>
      <c r="AS996" s="77"/>
      <c r="AT996" s="77"/>
      <c r="AU996" s="77"/>
      <c r="AV996" s="80" t="str">
        <f>HYPERLINK("https://pbs.twimg.com/media/Fw2W8APWYAARrVU.jpg")</f>
        <v>https://pbs.twimg.com/media/Fw2W8APWYAARrVU.jpg</v>
      </c>
      <c r="AW996" s="82" t="s">
        <v>13181</v>
      </c>
      <c r="AX996" s="82" t="s">
        <v>13181</v>
      </c>
      <c r="AY996" s="77"/>
      <c r="AZ996" s="82" t="s">
        <v>15804</v>
      </c>
      <c r="BA996" s="82" t="s">
        <v>15804</v>
      </c>
      <c r="BB996" s="82" t="s">
        <v>15804</v>
      </c>
      <c r="BC996" s="82" t="s">
        <v>13181</v>
      </c>
      <c r="BD996" s="82" t="s">
        <v>16322</v>
      </c>
      <c r="BE996" s="77"/>
      <c r="BF996" s="77"/>
      <c r="BG996" s="77"/>
      <c r="BH996" s="77"/>
      <c r="BI996" s="77"/>
    </row>
    <row r="997" spans="1:61" x14ac:dyDescent="0.25">
      <c r="A997" s="62" t="s">
        <v>556</v>
      </c>
      <c r="B997" s="62" t="s">
        <v>556</v>
      </c>
      <c r="C997" s="63"/>
      <c r="D997" s="64"/>
      <c r="E997" s="65"/>
      <c r="F997" s="66"/>
      <c r="G997" s="63"/>
      <c r="H997" s="67"/>
      <c r="I997" s="68"/>
      <c r="J997" s="68"/>
      <c r="K997" s="32"/>
      <c r="L997" s="75">
        <v>997</v>
      </c>
      <c r="M997" s="75"/>
      <c r="N997" s="70"/>
      <c r="O997" s="77" t="s">
        <v>179</v>
      </c>
      <c r="P997" s="79">
        <v>45069.731423611112</v>
      </c>
      <c r="Q997" s="77" t="s">
        <v>2093</v>
      </c>
      <c r="R997" s="77">
        <v>0</v>
      </c>
      <c r="S997" s="77">
        <v>0</v>
      </c>
      <c r="T997" s="77">
        <v>0</v>
      </c>
      <c r="U997" s="77">
        <v>0</v>
      </c>
      <c r="V997" s="77">
        <v>174</v>
      </c>
      <c r="W997" s="82" t="s">
        <v>4782</v>
      </c>
      <c r="X997" s="77"/>
      <c r="Y997" s="77"/>
      <c r="Z997" s="77"/>
      <c r="AA997" s="77" t="s">
        <v>6749</v>
      </c>
      <c r="AB997" s="77" t="s">
        <v>7696</v>
      </c>
      <c r="AC997" s="82" t="s">
        <v>7707</v>
      </c>
      <c r="AD997" s="77" t="s">
        <v>7745</v>
      </c>
      <c r="AE997" s="80" t="str">
        <f>HYPERLINK("https://twitter.com/facolommoney/status/1661062750682882048")</f>
        <v>https://twitter.com/facolommoney/status/1661062750682882048</v>
      </c>
      <c r="AF997" s="79">
        <v>45069.731423611112</v>
      </c>
      <c r="AG997" s="85">
        <v>45069</v>
      </c>
      <c r="AH997" s="82" t="s">
        <v>8634</v>
      </c>
      <c r="AI997" s="77" t="b">
        <v>0</v>
      </c>
      <c r="AJ997" s="77"/>
      <c r="AK997" s="77"/>
      <c r="AL997" s="77"/>
      <c r="AM997" s="77"/>
      <c r="AN997" s="77"/>
      <c r="AO997" s="77"/>
      <c r="AP997" s="77"/>
      <c r="AQ997" s="77" t="s">
        <v>11256</v>
      </c>
      <c r="AR997" s="77"/>
      <c r="AS997" s="77"/>
      <c r="AT997" s="77"/>
      <c r="AU997" s="77"/>
      <c r="AV997" s="80" t="str">
        <f>HYPERLINK("https://pbs.twimg.com/media/Fw1HxHRXwBgSDmG.jpg")</f>
        <v>https://pbs.twimg.com/media/Fw1HxHRXwBgSDmG.jpg</v>
      </c>
      <c r="AW997" s="82" t="s">
        <v>13182</v>
      </c>
      <c r="AX997" s="82" t="s">
        <v>13182</v>
      </c>
      <c r="AY997" s="77"/>
      <c r="AZ997" s="82" t="s">
        <v>15804</v>
      </c>
      <c r="BA997" s="82" t="s">
        <v>15804</v>
      </c>
      <c r="BB997" s="82" t="s">
        <v>15804</v>
      </c>
      <c r="BC997" s="82" t="s">
        <v>13182</v>
      </c>
      <c r="BD997" s="82" t="s">
        <v>16322</v>
      </c>
      <c r="BE997" s="77"/>
      <c r="BF997" s="77"/>
      <c r="BG997" s="77"/>
      <c r="BH997" s="77"/>
      <c r="BI997" s="77"/>
    </row>
    <row r="998" spans="1:61" x14ac:dyDescent="0.25">
      <c r="A998" s="62" t="s">
        <v>556</v>
      </c>
      <c r="B998" s="62" t="s">
        <v>556</v>
      </c>
      <c r="C998" s="63"/>
      <c r="D998" s="64"/>
      <c r="E998" s="65"/>
      <c r="F998" s="66"/>
      <c r="G998" s="63"/>
      <c r="H998" s="67"/>
      <c r="I998" s="68"/>
      <c r="J998" s="68"/>
      <c r="K998" s="32"/>
      <c r="L998" s="75">
        <v>998</v>
      </c>
      <c r="M998" s="75"/>
      <c r="N998" s="70"/>
      <c r="O998" s="77" t="s">
        <v>179</v>
      </c>
      <c r="P998" s="79">
        <v>45100.85769675926</v>
      </c>
      <c r="Q998" s="77" t="s">
        <v>2094</v>
      </c>
      <c r="R998" s="77">
        <v>0</v>
      </c>
      <c r="S998" s="77">
        <v>1</v>
      </c>
      <c r="T998" s="77">
        <v>1</v>
      </c>
      <c r="U998" s="77">
        <v>0</v>
      </c>
      <c r="V998" s="77">
        <v>137</v>
      </c>
      <c r="W998" s="82" t="s">
        <v>4783</v>
      </c>
      <c r="X998" s="77"/>
      <c r="Y998" s="77"/>
      <c r="Z998" s="77"/>
      <c r="AA998" s="77" t="s">
        <v>6750</v>
      </c>
      <c r="AB998" s="77" t="s">
        <v>7697</v>
      </c>
      <c r="AC998" s="82" t="s">
        <v>7707</v>
      </c>
      <c r="AD998" s="77" t="s">
        <v>7745</v>
      </c>
      <c r="AE998" s="80" t="str">
        <f>HYPERLINK("https://twitter.com/facolommoney/status/1672342535870586880")</f>
        <v>https://twitter.com/facolommoney/status/1672342535870586880</v>
      </c>
      <c r="AF998" s="79">
        <v>45100.85769675926</v>
      </c>
      <c r="AG998" s="85">
        <v>45100</v>
      </c>
      <c r="AH998" s="82" t="s">
        <v>8635</v>
      </c>
      <c r="AI998" s="77" t="b">
        <v>0</v>
      </c>
      <c r="AJ998" s="77"/>
      <c r="AK998" s="77"/>
      <c r="AL998" s="77"/>
      <c r="AM998" s="77"/>
      <c r="AN998" s="77"/>
      <c r="AO998" s="77"/>
      <c r="AP998" s="77"/>
      <c r="AQ998" s="77" t="s">
        <v>11257</v>
      </c>
      <c r="AR998" s="77">
        <v>3566</v>
      </c>
      <c r="AS998" s="77"/>
      <c r="AT998" s="77"/>
      <c r="AU998" s="77">
        <v>15</v>
      </c>
      <c r="AV998" s="80" t="str">
        <f>HYPERLINK("https://pbs.twimg.com/ext_tw_video_thumb/1672342514857025536/pu/img/Vt2ICpCEBPwpA6mf.jpg")</f>
        <v>https://pbs.twimg.com/ext_tw_video_thumb/1672342514857025536/pu/img/Vt2ICpCEBPwpA6mf.jpg</v>
      </c>
      <c r="AW998" s="82" t="s">
        <v>13183</v>
      </c>
      <c r="AX998" s="82" t="s">
        <v>13183</v>
      </c>
      <c r="AY998" s="77"/>
      <c r="AZ998" s="82" t="s">
        <v>15804</v>
      </c>
      <c r="BA998" s="82" t="s">
        <v>15804</v>
      </c>
      <c r="BB998" s="82" t="s">
        <v>15804</v>
      </c>
      <c r="BC998" s="82" t="s">
        <v>13183</v>
      </c>
      <c r="BD998" s="82" t="s">
        <v>16322</v>
      </c>
      <c r="BE998" s="77"/>
      <c r="BF998" s="77"/>
      <c r="BG998" s="77"/>
      <c r="BH998" s="77"/>
      <c r="BI998" s="77"/>
    </row>
    <row r="999" spans="1:61" x14ac:dyDescent="0.25">
      <c r="A999" s="62" t="s">
        <v>556</v>
      </c>
      <c r="B999" s="62" t="s">
        <v>556</v>
      </c>
      <c r="C999" s="63"/>
      <c r="D999" s="64"/>
      <c r="E999" s="65"/>
      <c r="F999" s="66"/>
      <c r="G999" s="63"/>
      <c r="H999" s="67"/>
      <c r="I999" s="68"/>
      <c r="J999" s="68"/>
      <c r="K999" s="32"/>
      <c r="L999" s="75">
        <v>999</v>
      </c>
      <c r="M999" s="75"/>
      <c r="N999" s="70"/>
      <c r="O999" s="77" t="s">
        <v>179</v>
      </c>
      <c r="P999" s="79">
        <v>45099.92386574074</v>
      </c>
      <c r="Q999" s="77" t="s">
        <v>2095</v>
      </c>
      <c r="R999" s="77">
        <v>0</v>
      </c>
      <c r="S999" s="77">
        <v>1</v>
      </c>
      <c r="T999" s="77">
        <v>0</v>
      </c>
      <c r="U999" s="77">
        <v>0</v>
      </c>
      <c r="V999" s="77">
        <v>148</v>
      </c>
      <c r="W999" s="82" t="s">
        <v>4783</v>
      </c>
      <c r="X999" s="77"/>
      <c r="Y999" s="77"/>
      <c r="Z999" s="77"/>
      <c r="AA999" s="77" t="s">
        <v>6751</v>
      </c>
      <c r="AB999" s="77" t="s">
        <v>7697</v>
      </c>
      <c r="AC999" s="82" t="s">
        <v>7707</v>
      </c>
      <c r="AD999" s="77" t="s">
        <v>7745</v>
      </c>
      <c r="AE999" s="80" t="str">
        <f>HYPERLINK("https://twitter.com/facolommoney/status/1672004126627037184")</f>
        <v>https://twitter.com/facolommoney/status/1672004126627037184</v>
      </c>
      <c r="AF999" s="79">
        <v>45099.92386574074</v>
      </c>
      <c r="AG999" s="85">
        <v>45099</v>
      </c>
      <c r="AH999" s="82" t="s">
        <v>8636</v>
      </c>
      <c r="AI999" s="77" t="b">
        <v>0</v>
      </c>
      <c r="AJ999" s="77"/>
      <c r="AK999" s="77"/>
      <c r="AL999" s="77"/>
      <c r="AM999" s="77"/>
      <c r="AN999" s="77"/>
      <c r="AO999" s="77"/>
      <c r="AP999" s="77"/>
      <c r="AQ999" s="77" t="s">
        <v>11258</v>
      </c>
      <c r="AR999" s="77">
        <v>4933</v>
      </c>
      <c r="AS999" s="77"/>
      <c r="AT999" s="77"/>
      <c r="AU999" s="77">
        <v>20</v>
      </c>
      <c r="AV999" s="80" t="str">
        <f>HYPERLINK("https://pbs.twimg.com/ext_tw_video_thumb/1672004093638762497/pu/img/DTWB5Rj_3jHsP_YB.jpg")</f>
        <v>https://pbs.twimg.com/ext_tw_video_thumb/1672004093638762497/pu/img/DTWB5Rj_3jHsP_YB.jpg</v>
      </c>
      <c r="AW999" s="82" t="s">
        <v>13184</v>
      </c>
      <c r="AX999" s="82" t="s">
        <v>13184</v>
      </c>
      <c r="AY999" s="77"/>
      <c r="AZ999" s="82" t="s">
        <v>15804</v>
      </c>
      <c r="BA999" s="82" t="s">
        <v>15804</v>
      </c>
      <c r="BB999" s="82" t="s">
        <v>15804</v>
      </c>
      <c r="BC999" s="82" t="s">
        <v>13184</v>
      </c>
      <c r="BD999" s="82" t="s">
        <v>16322</v>
      </c>
      <c r="BE999" s="77"/>
      <c r="BF999" s="77"/>
      <c r="BG999" s="77"/>
      <c r="BH999" s="77"/>
      <c r="BI999" s="77"/>
    </row>
    <row r="1000" spans="1:61" x14ac:dyDescent="0.25">
      <c r="A1000" s="62" t="s">
        <v>556</v>
      </c>
      <c r="B1000" s="62" t="s">
        <v>556</v>
      </c>
      <c r="C1000" s="63"/>
      <c r="D1000" s="64"/>
      <c r="E1000" s="65"/>
      <c r="F1000" s="66"/>
      <c r="G1000" s="63"/>
      <c r="H1000" s="67"/>
      <c r="I1000" s="68"/>
      <c r="J1000" s="68"/>
      <c r="K1000" s="32"/>
      <c r="L1000" s="75">
        <v>1000</v>
      </c>
      <c r="M1000" s="75"/>
      <c r="N1000" s="70"/>
      <c r="O1000" s="77" t="s">
        <v>179</v>
      </c>
      <c r="P1000" s="79">
        <v>45098.887673611112</v>
      </c>
      <c r="Q1000" s="77" t="s">
        <v>2096</v>
      </c>
      <c r="R1000" s="77">
        <v>0</v>
      </c>
      <c r="S1000" s="77">
        <v>1</v>
      </c>
      <c r="T1000" s="77">
        <v>1</v>
      </c>
      <c r="U1000" s="77">
        <v>0</v>
      </c>
      <c r="V1000" s="77">
        <v>173</v>
      </c>
      <c r="W1000" s="82" t="s">
        <v>4783</v>
      </c>
      <c r="X1000" s="77"/>
      <c r="Y1000" s="77"/>
      <c r="Z1000" s="77"/>
      <c r="AA1000" s="77" t="s">
        <v>6752</v>
      </c>
      <c r="AB1000" s="77" t="s">
        <v>7697</v>
      </c>
      <c r="AC1000" s="82" t="s">
        <v>7707</v>
      </c>
      <c r="AD1000" s="77" t="s">
        <v>7745</v>
      </c>
      <c r="AE1000" s="80" t="str">
        <f>HYPERLINK("https://twitter.com/facolommoney/status/1671628620505178113")</f>
        <v>https://twitter.com/facolommoney/status/1671628620505178113</v>
      </c>
      <c r="AF1000" s="79">
        <v>45098.887673611112</v>
      </c>
      <c r="AG1000" s="85">
        <v>45098</v>
      </c>
      <c r="AH1000" s="82" t="s">
        <v>8637</v>
      </c>
      <c r="AI1000" s="77" t="b">
        <v>0</v>
      </c>
      <c r="AJ1000" s="77"/>
      <c r="AK1000" s="77"/>
      <c r="AL1000" s="77"/>
      <c r="AM1000" s="77"/>
      <c r="AN1000" s="77"/>
      <c r="AO1000" s="77"/>
      <c r="AP1000" s="77"/>
      <c r="AQ1000" s="77" t="s">
        <v>11259</v>
      </c>
      <c r="AR1000" s="77">
        <v>3533</v>
      </c>
      <c r="AS1000" s="77"/>
      <c r="AT1000" s="77"/>
      <c r="AU1000" s="77">
        <v>30</v>
      </c>
      <c r="AV1000" s="80" t="str">
        <f>HYPERLINK("https://pbs.twimg.com/ext_tw_video_thumb/1671628605103788032/pu/img/C13JxIQGf_gbrEna.jpg")</f>
        <v>https://pbs.twimg.com/ext_tw_video_thumb/1671628605103788032/pu/img/C13JxIQGf_gbrEna.jpg</v>
      </c>
      <c r="AW1000" s="82" t="s">
        <v>13185</v>
      </c>
      <c r="AX1000" s="82" t="s">
        <v>13185</v>
      </c>
      <c r="AY1000" s="77"/>
      <c r="AZ1000" s="82" t="s">
        <v>15804</v>
      </c>
      <c r="BA1000" s="82" t="s">
        <v>15804</v>
      </c>
      <c r="BB1000" s="82" t="s">
        <v>15804</v>
      </c>
      <c r="BC1000" s="82" t="s">
        <v>13185</v>
      </c>
      <c r="BD1000" s="82" t="s">
        <v>16322</v>
      </c>
      <c r="BE1000" s="77"/>
      <c r="BF1000" s="77"/>
      <c r="BG1000" s="77"/>
      <c r="BH1000" s="77"/>
      <c r="BI1000" s="77"/>
    </row>
    <row r="1001" spans="1:61" x14ac:dyDescent="0.25">
      <c r="A1001" s="62" t="s">
        <v>556</v>
      </c>
      <c r="B1001" s="62" t="s">
        <v>556</v>
      </c>
      <c r="C1001" s="63"/>
      <c r="D1001" s="64"/>
      <c r="E1001" s="65"/>
      <c r="F1001" s="66"/>
      <c r="G1001" s="63"/>
      <c r="H1001" s="67"/>
      <c r="I1001" s="68"/>
      <c r="J1001" s="68"/>
      <c r="K1001" s="32"/>
      <c r="L1001" s="75">
        <v>1001</v>
      </c>
      <c r="M1001" s="75"/>
      <c r="N1001" s="70"/>
      <c r="O1001" s="77" t="s">
        <v>179</v>
      </c>
      <c r="P1001" s="79">
        <v>45097.849479166667</v>
      </c>
      <c r="Q1001" s="77" t="s">
        <v>2097</v>
      </c>
      <c r="R1001" s="77">
        <v>0</v>
      </c>
      <c r="S1001" s="77">
        <v>1</v>
      </c>
      <c r="T1001" s="77">
        <v>2</v>
      </c>
      <c r="U1001" s="77">
        <v>0</v>
      </c>
      <c r="V1001" s="77">
        <v>206</v>
      </c>
      <c r="W1001" s="82" t="s">
        <v>4783</v>
      </c>
      <c r="X1001" s="77"/>
      <c r="Y1001" s="77"/>
      <c r="Z1001" s="77"/>
      <c r="AA1001" s="77" t="s">
        <v>6753</v>
      </c>
      <c r="AB1001" s="77" t="s">
        <v>7697</v>
      </c>
      <c r="AC1001" s="82" t="s">
        <v>7707</v>
      </c>
      <c r="AD1001" s="77" t="s">
        <v>7745</v>
      </c>
      <c r="AE1001" s="80" t="str">
        <f>HYPERLINK("https://twitter.com/facolommoney/status/1671252393613492224")</f>
        <v>https://twitter.com/facolommoney/status/1671252393613492224</v>
      </c>
      <c r="AF1001" s="79">
        <v>45097.849479166667</v>
      </c>
      <c r="AG1001" s="85">
        <v>45097</v>
      </c>
      <c r="AH1001" s="82" t="s">
        <v>8638</v>
      </c>
      <c r="AI1001" s="77" t="b">
        <v>0</v>
      </c>
      <c r="AJ1001" s="77"/>
      <c r="AK1001" s="77"/>
      <c r="AL1001" s="77"/>
      <c r="AM1001" s="77"/>
      <c r="AN1001" s="77"/>
      <c r="AO1001" s="77"/>
      <c r="AP1001" s="77"/>
      <c r="AQ1001" s="77" t="s">
        <v>11260</v>
      </c>
      <c r="AR1001" s="77">
        <v>4933</v>
      </c>
      <c r="AS1001" s="77"/>
      <c r="AT1001" s="77"/>
      <c r="AU1001" s="77">
        <v>38</v>
      </c>
      <c r="AV1001" s="80" t="str">
        <f>HYPERLINK("https://pbs.twimg.com/ext_tw_video_thumb/1671252370875990017/pu/img/9XIA8krPotZP1BAU.jpg")</f>
        <v>https://pbs.twimg.com/ext_tw_video_thumb/1671252370875990017/pu/img/9XIA8krPotZP1BAU.jpg</v>
      </c>
      <c r="AW1001" s="82" t="s">
        <v>13186</v>
      </c>
      <c r="AX1001" s="82" t="s">
        <v>13186</v>
      </c>
      <c r="AY1001" s="77"/>
      <c r="AZ1001" s="82" t="s">
        <v>15804</v>
      </c>
      <c r="BA1001" s="82" t="s">
        <v>15804</v>
      </c>
      <c r="BB1001" s="82" t="s">
        <v>15804</v>
      </c>
      <c r="BC1001" s="82" t="s">
        <v>13186</v>
      </c>
      <c r="BD1001" s="82" t="s">
        <v>16322</v>
      </c>
      <c r="BE1001" s="77"/>
      <c r="BF1001" s="77"/>
      <c r="BG1001" s="77"/>
      <c r="BH1001" s="77"/>
      <c r="BI1001" s="77"/>
    </row>
    <row r="1002" spans="1:61" x14ac:dyDescent="0.25">
      <c r="A1002" s="62" t="s">
        <v>556</v>
      </c>
      <c r="B1002" s="62" t="s">
        <v>556</v>
      </c>
      <c r="C1002" s="63"/>
      <c r="D1002" s="64"/>
      <c r="E1002" s="65"/>
      <c r="F1002" s="66"/>
      <c r="G1002" s="63"/>
      <c r="H1002" s="67"/>
      <c r="I1002" s="68"/>
      <c r="J1002" s="68"/>
      <c r="K1002" s="32"/>
      <c r="L1002" s="75">
        <v>1002</v>
      </c>
      <c r="M1002" s="75"/>
      <c r="N1002" s="70"/>
      <c r="O1002" s="77" t="s">
        <v>179</v>
      </c>
      <c r="P1002" s="79">
        <v>45095.063472222224</v>
      </c>
      <c r="Q1002" s="77" t="s">
        <v>2098</v>
      </c>
      <c r="R1002" s="77">
        <v>0</v>
      </c>
      <c r="S1002" s="77">
        <v>0</v>
      </c>
      <c r="T1002" s="77">
        <v>0</v>
      </c>
      <c r="U1002" s="77">
        <v>0</v>
      </c>
      <c r="V1002" s="77">
        <v>167</v>
      </c>
      <c r="W1002" s="82" t="s">
        <v>4784</v>
      </c>
      <c r="X1002" s="77"/>
      <c r="Y1002" s="77"/>
      <c r="Z1002" s="77"/>
      <c r="AA1002" s="77" t="s">
        <v>6754</v>
      </c>
      <c r="AB1002" s="77" t="s">
        <v>7697</v>
      </c>
      <c r="AC1002" s="82" t="s">
        <v>7707</v>
      </c>
      <c r="AD1002" s="77" t="s">
        <v>7745</v>
      </c>
      <c r="AE1002" s="80" t="str">
        <f>HYPERLINK("https://twitter.com/facolommoney/status/1670242778373148672")</f>
        <v>https://twitter.com/facolommoney/status/1670242778373148672</v>
      </c>
      <c r="AF1002" s="79">
        <v>45095.063472222224</v>
      </c>
      <c r="AG1002" s="85">
        <v>45095</v>
      </c>
      <c r="AH1002" s="82" t="s">
        <v>8639</v>
      </c>
      <c r="AI1002" s="77" t="b">
        <v>0</v>
      </c>
      <c r="AJ1002" s="77"/>
      <c r="AK1002" s="77"/>
      <c r="AL1002" s="77"/>
      <c r="AM1002" s="77"/>
      <c r="AN1002" s="77"/>
      <c r="AO1002" s="77"/>
      <c r="AP1002" s="77"/>
      <c r="AQ1002" s="77" t="s">
        <v>11261</v>
      </c>
      <c r="AR1002" s="77">
        <v>4933</v>
      </c>
      <c r="AS1002" s="77"/>
      <c r="AT1002" s="77"/>
      <c r="AU1002" s="77">
        <v>38</v>
      </c>
      <c r="AV1002" s="80" t="str">
        <f>HYPERLINK("https://pbs.twimg.com/ext_tw_video_thumb/1670242751978323971/pu/img/24riaQEGemu-1JR1.jpg")</f>
        <v>https://pbs.twimg.com/ext_tw_video_thumb/1670242751978323971/pu/img/24riaQEGemu-1JR1.jpg</v>
      </c>
      <c r="AW1002" s="82" t="s">
        <v>13187</v>
      </c>
      <c r="AX1002" s="82" t="s">
        <v>13187</v>
      </c>
      <c r="AY1002" s="77"/>
      <c r="AZ1002" s="82" t="s">
        <v>15804</v>
      </c>
      <c r="BA1002" s="82" t="s">
        <v>15804</v>
      </c>
      <c r="BB1002" s="82" t="s">
        <v>15804</v>
      </c>
      <c r="BC1002" s="82" t="s">
        <v>13187</v>
      </c>
      <c r="BD1002" s="82" t="s">
        <v>16322</v>
      </c>
      <c r="BE1002" s="77"/>
      <c r="BF1002" s="77"/>
      <c r="BG1002" s="77"/>
      <c r="BH1002" s="77"/>
      <c r="BI1002" s="77"/>
    </row>
    <row r="1003" spans="1:61" x14ac:dyDescent="0.25">
      <c r="A1003" s="62" t="s">
        <v>556</v>
      </c>
      <c r="B1003" s="62" t="s">
        <v>556</v>
      </c>
      <c r="C1003" s="63"/>
      <c r="D1003" s="64"/>
      <c r="E1003" s="65"/>
      <c r="F1003" s="66"/>
      <c r="G1003" s="63"/>
      <c r="H1003" s="67"/>
      <c r="I1003" s="68"/>
      <c r="J1003" s="68"/>
      <c r="K1003" s="32"/>
      <c r="L1003" s="75">
        <v>1003</v>
      </c>
      <c r="M1003" s="75"/>
      <c r="N1003" s="70"/>
      <c r="O1003" s="77" t="s">
        <v>179</v>
      </c>
      <c r="P1003" s="79">
        <v>45080.422905092593</v>
      </c>
      <c r="Q1003" s="77" t="s">
        <v>2099</v>
      </c>
      <c r="R1003" s="77">
        <v>0</v>
      </c>
      <c r="S1003" s="77">
        <v>0</v>
      </c>
      <c r="T1003" s="77">
        <v>0</v>
      </c>
      <c r="U1003" s="77">
        <v>0</v>
      </c>
      <c r="V1003" s="77">
        <v>338</v>
      </c>
      <c r="W1003" s="82" t="s">
        <v>4785</v>
      </c>
      <c r="X1003" s="77"/>
      <c r="Y1003" s="77"/>
      <c r="Z1003" s="77"/>
      <c r="AA1003" s="77" t="s">
        <v>6755</v>
      </c>
      <c r="AB1003" s="77" t="s">
        <v>7696</v>
      </c>
      <c r="AC1003" s="82" t="s">
        <v>7707</v>
      </c>
      <c r="AD1003" s="77" t="s">
        <v>7745</v>
      </c>
      <c r="AE1003" s="80" t="str">
        <f>HYPERLINK("https://twitter.com/facolommoney/status/1664937215804284928")</f>
        <v>https://twitter.com/facolommoney/status/1664937215804284928</v>
      </c>
      <c r="AF1003" s="79">
        <v>45080.422905092593</v>
      </c>
      <c r="AG1003" s="85">
        <v>45080</v>
      </c>
      <c r="AH1003" s="82" t="s">
        <v>8640</v>
      </c>
      <c r="AI1003" s="77" t="b">
        <v>0</v>
      </c>
      <c r="AJ1003" s="77"/>
      <c r="AK1003" s="77"/>
      <c r="AL1003" s="77"/>
      <c r="AM1003" s="77"/>
      <c r="AN1003" s="77"/>
      <c r="AO1003" s="77"/>
      <c r="AP1003" s="77"/>
      <c r="AQ1003" s="77" t="s">
        <v>11262</v>
      </c>
      <c r="AR1003" s="77"/>
      <c r="AS1003" s="77"/>
      <c r="AT1003" s="77"/>
      <c r="AU1003" s="77"/>
      <c r="AV1003" s="80" t="str">
        <f>HYPERLINK("https://pbs.twimg.com/media/FxsLkvtWIAE3eGy.jpg")</f>
        <v>https://pbs.twimg.com/media/FxsLkvtWIAE3eGy.jpg</v>
      </c>
      <c r="AW1003" s="82" t="s">
        <v>13188</v>
      </c>
      <c r="AX1003" s="82" t="s">
        <v>13188</v>
      </c>
      <c r="AY1003" s="77"/>
      <c r="AZ1003" s="82" t="s">
        <v>15804</v>
      </c>
      <c r="BA1003" s="82" t="s">
        <v>15804</v>
      </c>
      <c r="BB1003" s="82" t="s">
        <v>15804</v>
      </c>
      <c r="BC1003" s="82" t="s">
        <v>13188</v>
      </c>
      <c r="BD1003" s="82" t="s">
        <v>16322</v>
      </c>
      <c r="BE1003" s="77"/>
      <c r="BF1003" s="77"/>
      <c r="BG1003" s="77"/>
      <c r="BH1003" s="77"/>
      <c r="BI1003" s="77"/>
    </row>
    <row r="1004" spans="1:61" x14ac:dyDescent="0.25">
      <c r="A1004" s="62" t="s">
        <v>556</v>
      </c>
      <c r="B1004" s="62" t="s">
        <v>556</v>
      </c>
      <c r="C1004" s="63"/>
      <c r="D1004" s="64"/>
      <c r="E1004" s="65"/>
      <c r="F1004" s="66"/>
      <c r="G1004" s="63"/>
      <c r="H1004" s="67"/>
      <c r="I1004" s="68"/>
      <c r="J1004" s="68"/>
      <c r="K1004" s="32"/>
      <c r="L1004" s="75">
        <v>1004</v>
      </c>
      <c r="M1004" s="75"/>
      <c r="N1004" s="70"/>
      <c r="O1004" s="77" t="s">
        <v>179</v>
      </c>
      <c r="P1004" s="79">
        <v>45078.54215277778</v>
      </c>
      <c r="Q1004" s="77" t="s">
        <v>2100</v>
      </c>
      <c r="R1004" s="77">
        <v>0</v>
      </c>
      <c r="S1004" s="77">
        <v>0</v>
      </c>
      <c r="T1004" s="77">
        <v>0</v>
      </c>
      <c r="U1004" s="77">
        <v>0</v>
      </c>
      <c r="V1004" s="77">
        <v>379</v>
      </c>
      <c r="W1004" s="82" t="s">
        <v>4786</v>
      </c>
      <c r="X1004" s="77"/>
      <c r="Y1004" s="77"/>
      <c r="Z1004" s="77"/>
      <c r="AA1004" s="77" t="s">
        <v>6756</v>
      </c>
      <c r="AB1004" s="77" t="s">
        <v>7696</v>
      </c>
      <c r="AC1004" s="82" t="s">
        <v>7707</v>
      </c>
      <c r="AD1004" s="77" t="s">
        <v>7745</v>
      </c>
      <c r="AE1004" s="80" t="str">
        <f>HYPERLINK("https://twitter.com/facolommoney/status/1664255652204621825")</f>
        <v>https://twitter.com/facolommoney/status/1664255652204621825</v>
      </c>
      <c r="AF1004" s="79">
        <v>45078.54215277778</v>
      </c>
      <c r="AG1004" s="85">
        <v>45078</v>
      </c>
      <c r="AH1004" s="82" t="s">
        <v>8641</v>
      </c>
      <c r="AI1004" s="77" t="b">
        <v>0</v>
      </c>
      <c r="AJ1004" s="77"/>
      <c r="AK1004" s="77"/>
      <c r="AL1004" s="77"/>
      <c r="AM1004" s="77"/>
      <c r="AN1004" s="77"/>
      <c r="AO1004" s="77"/>
      <c r="AP1004" s="77"/>
      <c r="AQ1004" s="77" t="s">
        <v>11263</v>
      </c>
      <c r="AR1004" s="77"/>
      <c r="AS1004" s="77"/>
      <c r="AT1004" s="77"/>
      <c r="AU1004" s="77"/>
      <c r="AV1004" s="80" t="str">
        <f>HYPERLINK("https://pbs.twimg.com/media/Fxifsc9WYAA-n7o.jpg")</f>
        <v>https://pbs.twimg.com/media/Fxifsc9WYAA-n7o.jpg</v>
      </c>
      <c r="AW1004" s="82" t="s">
        <v>13189</v>
      </c>
      <c r="AX1004" s="82" t="s">
        <v>13189</v>
      </c>
      <c r="AY1004" s="77"/>
      <c r="AZ1004" s="82" t="s">
        <v>15804</v>
      </c>
      <c r="BA1004" s="82" t="s">
        <v>15804</v>
      </c>
      <c r="BB1004" s="82" t="s">
        <v>15804</v>
      </c>
      <c r="BC1004" s="82" t="s">
        <v>13189</v>
      </c>
      <c r="BD1004" s="82" t="s">
        <v>16322</v>
      </c>
      <c r="BE1004" s="77"/>
      <c r="BF1004" s="77"/>
      <c r="BG1004" s="77"/>
      <c r="BH1004" s="77"/>
      <c r="BI1004" s="77"/>
    </row>
    <row r="1005" spans="1:61" x14ac:dyDescent="0.25">
      <c r="A1005" s="62" t="s">
        <v>556</v>
      </c>
      <c r="B1005" s="62" t="s">
        <v>556</v>
      </c>
      <c r="C1005" s="63"/>
      <c r="D1005" s="64"/>
      <c r="E1005" s="65"/>
      <c r="F1005" s="66"/>
      <c r="G1005" s="63"/>
      <c r="H1005" s="67"/>
      <c r="I1005" s="68"/>
      <c r="J1005" s="68"/>
      <c r="K1005" s="32"/>
      <c r="L1005" s="75">
        <v>1005</v>
      </c>
      <c r="M1005" s="75"/>
      <c r="N1005" s="70"/>
      <c r="O1005" s="77" t="s">
        <v>179</v>
      </c>
      <c r="P1005" s="79">
        <v>45104.85392361111</v>
      </c>
      <c r="Q1005" s="77" t="s">
        <v>2101</v>
      </c>
      <c r="R1005" s="77">
        <v>0</v>
      </c>
      <c r="S1005" s="77">
        <v>1</v>
      </c>
      <c r="T1005" s="77">
        <v>0</v>
      </c>
      <c r="U1005" s="77">
        <v>0</v>
      </c>
      <c r="V1005" s="77">
        <v>118</v>
      </c>
      <c r="W1005" s="82" t="s">
        <v>4783</v>
      </c>
      <c r="X1005" s="77"/>
      <c r="Y1005" s="77"/>
      <c r="Z1005" s="77"/>
      <c r="AA1005" s="77" t="s">
        <v>6757</v>
      </c>
      <c r="AB1005" s="77" t="s">
        <v>7697</v>
      </c>
      <c r="AC1005" s="82" t="s">
        <v>7707</v>
      </c>
      <c r="AD1005" s="77" t="s">
        <v>7745</v>
      </c>
      <c r="AE1005" s="80" t="str">
        <f>HYPERLINK("https://twitter.com/facolommoney/status/1673790716600778754")</f>
        <v>https://twitter.com/facolommoney/status/1673790716600778754</v>
      </c>
      <c r="AF1005" s="79">
        <v>45104.85392361111</v>
      </c>
      <c r="AG1005" s="85">
        <v>45104</v>
      </c>
      <c r="AH1005" s="82" t="s">
        <v>8642</v>
      </c>
      <c r="AI1005" s="77" t="b">
        <v>0</v>
      </c>
      <c r="AJ1005" s="77"/>
      <c r="AK1005" s="77"/>
      <c r="AL1005" s="77"/>
      <c r="AM1005" s="77"/>
      <c r="AN1005" s="77"/>
      <c r="AO1005" s="77"/>
      <c r="AP1005" s="77"/>
      <c r="AQ1005" s="77" t="s">
        <v>11264</v>
      </c>
      <c r="AR1005" s="77">
        <v>10733</v>
      </c>
      <c r="AS1005" s="77"/>
      <c r="AT1005" s="77"/>
      <c r="AU1005" s="77">
        <v>17</v>
      </c>
      <c r="AV1005" s="80" t="str">
        <f>HYPERLINK("https://pbs.twimg.com/ext_tw_video_thumb/1673790611277611008/pu/img/aaahc9_I6go9HJYH.jpg")</f>
        <v>https://pbs.twimg.com/ext_tw_video_thumb/1673790611277611008/pu/img/aaahc9_I6go9HJYH.jpg</v>
      </c>
      <c r="AW1005" s="82" t="s">
        <v>13190</v>
      </c>
      <c r="AX1005" s="82" t="s">
        <v>13190</v>
      </c>
      <c r="AY1005" s="77"/>
      <c r="AZ1005" s="82" t="s">
        <v>15804</v>
      </c>
      <c r="BA1005" s="82" t="s">
        <v>15804</v>
      </c>
      <c r="BB1005" s="82" t="s">
        <v>15804</v>
      </c>
      <c r="BC1005" s="82" t="s">
        <v>13190</v>
      </c>
      <c r="BD1005" s="82" t="s">
        <v>16322</v>
      </c>
      <c r="BE1005" s="77"/>
      <c r="BF1005" s="77"/>
      <c r="BG1005" s="77"/>
      <c r="BH1005" s="77"/>
      <c r="BI1005" s="77"/>
    </row>
    <row r="1006" spans="1:61" x14ac:dyDescent="0.25">
      <c r="A1006" s="62" t="s">
        <v>556</v>
      </c>
      <c r="B1006" s="62" t="s">
        <v>556</v>
      </c>
      <c r="C1006" s="63"/>
      <c r="D1006" s="64"/>
      <c r="E1006" s="65"/>
      <c r="F1006" s="66"/>
      <c r="G1006" s="63"/>
      <c r="H1006" s="67"/>
      <c r="I1006" s="68"/>
      <c r="J1006" s="68"/>
      <c r="K1006" s="32"/>
      <c r="L1006" s="75">
        <v>1006</v>
      </c>
      <c r="M1006" s="75"/>
      <c r="N1006" s="70"/>
      <c r="O1006" s="77" t="s">
        <v>179</v>
      </c>
      <c r="P1006" s="79">
        <v>45103.989699074074</v>
      </c>
      <c r="Q1006" s="77" t="s">
        <v>2102</v>
      </c>
      <c r="R1006" s="77">
        <v>0</v>
      </c>
      <c r="S1006" s="77">
        <v>0</v>
      </c>
      <c r="T1006" s="77">
        <v>0</v>
      </c>
      <c r="U1006" s="77">
        <v>0</v>
      </c>
      <c r="V1006" s="77">
        <v>120</v>
      </c>
      <c r="W1006" s="82" t="s">
        <v>4787</v>
      </c>
      <c r="X1006" s="77"/>
      <c r="Y1006" s="77"/>
      <c r="Z1006" s="77"/>
      <c r="AA1006" s="77" t="s">
        <v>6758</v>
      </c>
      <c r="AB1006" s="77" t="s">
        <v>7697</v>
      </c>
      <c r="AC1006" s="82" t="s">
        <v>7707</v>
      </c>
      <c r="AD1006" s="77" t="s">
        <v>7745</v>
      </c>
      <c r="AE1006" s="80" t="str">
        <f>HYPERLINK("https://twitter.com/facolommoney/status/1673477536058155008")</f>
        <v>https://twitter.com/facolommoney/status/1673477536058155008</v>
      </c>
      <c r="AF1006" s="79">
        <v>45103.989699074074</v>
      </c>
      <c r="AG1006" s="85">
        <v>45103</v>
      </c>
      <c r="AH1006" s="82" t="s">
        <v>8643</v>
      </c>
      <c r="AI1006" s="77" t="b">
        <v>0</v>
      </c>
      <c r="AJ1006" s="77"/>
      <c r="AK1006" s="77"/>
      <c r="AL1006" s="77"/>
      <c r="AM1006" s="77"/>
      <c r="AN1006" s="77"/>
      <c r="AO1006" s="77"/>
      <c r="AP1006" s="77"/>
      <c r="AQ1006" s="77" t="s">
        <v>11265</v>
      </c>
      <c r="AR1006" s="77">
        <v>2933</v>
      </c>
      <c r="AS1006" s="77"/>
      <c r="AT1006" s="77"/>
      <c r="AU1006" s="77">
        <v>32</v>
      </c>
      <c r="AV1006" s="80" t="str">
        <f>HYPERLINK("https://pbs.twimg.com/ext_tw_video_thumb/1673477521667399686/pu/img/grWFTQV_SIb9nL-I.jpg")</f>
        <v>https://pbs.twimg.com/ext_tw_video_thumb/1673477521667399686/pu/img/grWFTQV_SIb9nL-I.jpg</v>
      </c>
      <c r="AW1006" s="82" t="s">
        <v>13191</v>
      </c>
      <c r="AX1006" s="82" t="s">
        <v>13191</v>
      </c>
      <c r="AY1006" s="77"/>
      <c r="AZ1006" s="82" t="s">
        <v>15804</v>
      </c>
      <c r="BA1006" s="82" t="s">
        <v>15804</v>
      </c>
      <c r="BB1006" s="82" t="s">
        <v>15804</v>
      </c>
      <c r="BC1006" s="82" t="s">
        <v>13191</v>
      </c>
      <c r="BD1006" s="82" t="s">
        <v>16322</v>
      </c>
      <c r="BE1006" s="77"/>
      <c r="BF1006" s="77"/>
      <c r="BG1006" s="77"/>
      <c r="BH1006" s="77"/>
      <c r="BI1006" s="77"/>
    </row>
    <row r="1007" spans="1:61" x14ac:dyDescent="0.25">
      <c r="A1007" s="62" t="s">
        <v>556</v>
      </c>
      <c r="B1007" s="62" t="s">
        <v>556</v>
      </c>
      <c r="C1007" s="63"/>
      <c r="D1007" s="64"/>
      <c r="E1007" s="65"/>
      <c r="F1007" s="66"/>
      <c r="G1007" s="63"/>
      <c r="H1007" s="67"/>
      <c r="I1007" s="68"/>
      <c r="J1007" s="68"/>
      <c r="K1007" s="32"/>
      <c r="L1007" s="75">
        <v>1007</v>
      </c>
      <c r="M1007" s="75"/>
      <c r="N1007" s="70"/>
      <c r="O1007" s="77" t="s">
        <v>179</v>
      </c>
      <c r="P1007" s="79">
        <v>45103.876493055555</v>
      </c>
      <c r="Q1007" s="77" t="s">
        <v>2103</v>
      </c>
      <c r="R1007" s="77">
        <v>0</v>
      </c>
      <c r="S1007" s="77">
        <v>1</v>
      </c>
      <c r="T1007" s="77">
        <v>10</v>
      </c>
      <c r="U1007" s="77">
        <v>0</v>
      </c>
      <c r="V1007" s="77">
        <v>320</v>
      </c>
      <c r="W1007" s="82" t="s">
        <v>4783</v>
      </c>
      <c r="X1007" s="77"/>
      <c r="Y1007" s="77"/>
      <c r="Z1007" s="77"/>
      <c r="AA1007" s="77" t="s">
        <v>6759</v>
      </c>
      <c r="AB1007" s="77" t="s">
        <v>7697</v>
      </c>
      <c r="AC1007" s="82" t="s">
        <v>7707</v>
      </c>
      <c r="AD1007" s="77" t="s">
        <v>7745</v>
      </c>
      <c r="AE1007" s="80" t="str">
        <f>HYPERLINK("https://twitter.com/facolommoney/status/1673436507808448515")</f>
        <v>https://twitter.com/facolommoney/status/1673436507808448515</v>
      </c>
      <c r="AF1007" s="79">
        <v>45103.876493055555</v>
      </c>
      <c r="AG1007" s="85">
        <v>45103</v>
      </c>
      <c r="AH1007" s="82" t="s">
        <v>8644</v>
      </c>
      <c r="AI1007" s="77" t="b">
        <v>0</v>
      </c>
      <c r="AJ1007" s="77"/>
      <c r="AK1007" s="77"/>
      <c r="AL1007" s="77"/>
      <c r="AM1007" s="77"/>
      <c r="AN1007" s="77"/>
      <c r="AO1007" s="77"/>
      <c r="AP1007" s="77"/>
      <c r="AQ1007" s="77" t="s">
        <v>11266</v>
      </c>
      <c r="AR1007" s="77">
        <v>5933</v>
      </c>
      <c r="AS1007" s="77"/>
      <c r="AT1007" s="77"/>
      <c r="AU1007" s="77">
        <v>66</v>
      </c>
      <c r="AV1007" s="80" t="str">
        <f>HYPERLINK("https://pbs.twimg.com/ext_tw_video_thumb/1673436486589399040/pu/img/VaJ7xu2tHlV6ZluY.jpg")</f>
        <v>https://pbs.twimg.com/ext_tw_video_thumb/1673436486589399040/pu/img/VaJ7xu2tHlV6ZluY.jpg</v>
      </c>
      <c r="AW1007" s="82" t="s">
        <v>13192</v>
      </c>
      <c r="AX1007" s="82" t="s">
        <v>13192</v>
      </c>
      <c r="AY1007" s="77"/>
      <c r="AZ1007" s="82" t="s">
        <v>15804</v>
      </c>
      <c r="BA1007" s="82" t="s">
        <v>15804</v>
      </c>
      <c r="BB1007" s="82" t="s">
        <v>15804</v>
      </c>
      <c r="BC1007" s="82" t="s">
        <v>13192</v>
      </c>
      <c r="BD1007" s="82" t="s">
        <v>16322</v>
      </c>
      <c r="BE1007" s="77"/>
      <c r="BF1007" s="77"/>
      <c r="BG1007" s="77"/>
      <c r="BH1007" s="77"/>
      <c r="BI1007" s="77"/>
    </row>
    <row r="1008" spans="1:61" x14ac:dyDescent="0.25">
      <c r="A1008" s="62" t="s">
        <v>556</v>
      </c>
      <c r="B1008" s="62" t="s">
        <v>556</v>
      </c>
      <c r="C1008" s="63"/>
      <c r="D1008" s="64"/>
      <c r="E1008" s="65"/>
      <c r="F1008" s="66"/>
      <c r="G1008" s="63"/>
      <c r="H1008" s="67"/>
      <c r="I1008" s="68"/>
      <c r="J1008" s="68"/>
      <c r="K1008" s="32"/>
      <c r="L1008" s="75">
        <v>1008</v>
      </c>
      <c r="M1008" s="75"/>
      <c r="N1008" s="70"/>
      <c r="O1008" s="77" t="s">
        <v>179</v>
      </c>
      <c r="P1008" s="79">
        <v>45082.702777777777</v>
      </c>
      <c r="Q1008" s="77" t="s">
        <v>2104</v>
      </c>
      <c r="R1008" s="77">
        <v>0</v>
      </c>
      <c r="S1008" s="77">
        <v>0</v>
      </c>
      <c r="T1008" s="77">
        <v>0</v>
      </c>
      <c r="U1008" s="77">
        <v>0</v>
      </c>
      <c r="V1008" s="77">
        <v>185</v>
      </c>
      <c r="W1008" s="82" t="s">
        <v>4788</v>
      </c>
      <c r="X1008" s="77"/>
      <c r="Y1008" s="77"/>
      <c r="Z1008" s="77"/>
      <c r="AA1008" s="77" t="s">
        <v>6760</v>
      </c>
      <c r="AB1008" s="77" t="s">
        <v>7696</v>
      </c>
      <c r="AC1008" s="82" t="s">
        <v>7707</v>
      </c>
      <c r="AD1008" s="77" t="s">
        <v>7745</v>
      </c>
      <c r="AE1008" s="80" t="str">
        <f>HYPERLINK("https://twitter.com/facolommoney/status/1665763412675002378")</f>
        <v>https://twitter.com/facolommoney/status/1665763412675002378</v>
      </c>
      <c r="AF1008" s="79">
        <v>45082.702777777777</v>
      </c>
      <c r="AG1008" s="85">
        <v>45082</v>
      </c>
      <c r="AH1008" s="82" t="s">
        <v>8645</v>
      </c>
      <c r="AI1008" s="77" t="b">
        <v>0</v>
      </c>
      <c r="AJ1008" s="77"/>
      <c r="AK1008" s="77"/>
      <c r="AL1008" s="77"/>
      <c r="AM1008" s="77"/>
      <c r="AN1008" s="77"/>
      <c r="AO1008" s="77"/>
      <c r="AP1008" s="77"/>
      <c r="AQ1008" s="77" t="s">
        <v>11267</v>
      </c>
      <c r="AR1008" s="77"/>
      <c r="AS1008" s="77"/>
      <c r="AT1008" s="77"/>
      <c r="AU1008" s="77"/>
      <c r="AV1008" s="80" t="str">
        <f>HYPERLINK("https://pbs.twimg.com/media/Fx36_uWWAAMlqxH.jpg")</f>
        <v>https://pbs.twimg.com/media/Fx36_uWWAAMlqxH.jpg</v>
      </c>
      <c r="AW1008" s="82" t="s">
        <v>13193</v>
      </c>
      <c r="AX1008" s="82" t="s">
        <v>13193</v>
      </c>
      <c r="AY1008" s="77"/>
      <c r="AZ1008" s="82" t="s">
        <v>15804</v>
      </c>
      <c r="BA1008" s="82" t="s">
        <v>15804</v>
      </c>
      <c r="BB1008" s="82" t="s">
        <v>15804</v>
      </c>
      <c r="BC1008" s="82" t="s">
        <v>13193</v>
      </c>
      <c r="BD1008" s="82" t="s">
        <v>16322</v>
      </c>
      <c r="BE1008" s="77"/>
      <c r="BF1008" s="77"/>
      <c r="BG1008" s="77"/>
      <c r="BH1008" s="77"/>
      <c r="BI1008" s="77"/>
    </row>
    <row r="1009" spans="1:61" x14ac:dyDescent="0.25">
      <c r="A1009" s="62" t="s">
        <v>556</v>
      </c>
      <c r="B1009" s="62" t="s">
        <v>556</v>
      </c>
      <c r="C1009" s="63"/>
      <c r="D1009" s="64"/>
      <c r="E1009" s="65"/>
      <c r="F1009" s="66"/>
      <c r="G1009" s="63"/>
      <c r="H1009" s="67"/>
      <c r="I1009" s="68"/>
      <c r="J1009" s="68"/>
      <c r="K1009" s="32"/>
      <c r="L1009" s="75">
        <v>1009</v>
      </c>
      <c r="M1009" s="75"/>
      <c r="N1009" s="70"/>
      <c r="O1009" s="77" t="s">
        <v>179</v>
      </c>
      <c r="P1009" s="79">
        <v>45082.007141203707</v>
      </c>
      <c r="Q1009" s="77" t="s">
        <v>2105</v>
      </c>
      <c r="R1009" s="77">
        <v>0</v>
      </c>
      <c r="S1009" s="77">
        <v>0</v>
      </c>
      <c r="T1009" s="77">
        <v>0</v>
      </c>
      <c r="U1009" s="77">
        <v>0</v>
      </c>
      <c r="V1009" s="77">
        <v>239</v>
      </c>
      <c r="W1009" s="82" t="s">
        <v>4789</v>
      </c>
      <c r="X1009" s="77"/>
      <c r="Y1009" s="77"/>
      <c r="Z1009" s="77"/>
      <c r="AA1009" s="77" t="s">
        <v>6761</v>
      </c>
      <c r="AB1009" s="77" t="s">
        <v>7696</v>
      </c>
      <c r="AC1009" s="82" t="s">
        <v>7707</v>
      </c>
      <c r="AD1009" s="77" t="s">
        <v>7745</v>
      </c>
      <c r="AE1009" s="80" t="str">
        <f>HYPERLINK("https://twitter.com/facolommoney/status/1665511322472128515")</f>
        <v>https://twitter.com/facolommoney/status/1665511322472128515</v>
      </c>
      <c r="AF1009" s="79">
        <v>45082.007141203707</v>
      </c>
      <c r="AG1009" s="85">
        <v>45082</v>
      </c>
      <c r="AH1009" s="82" t="s">
        <v>8646</v>
      </c>
      <c r="AI1009" s="77" t="b">
        <v>0</v>
      </c>
      <c r="AJ1009" s="77"/>
      <c r="AK1009" s="77"/>
      <c r="AL1009" s="77"/>
      <c r="AM1009" s="77"/>
      <c r="AN1009" s="77"/>
      <c r="AO1009" s="77"/>
      <c r="AP1009" s="77"/>
      <c r="AQ1009" s="77" t="s">
        <v>11268</v>
      </c>
      <c r="AR1009" s="77"/>
      <c r="AS1009" s="77"/>
      <c r="AT1009" s="77"/>
      <c r="AU1009" s="77"/>
      <c r="AV1009" s="80" t="str">
        <f>HYPERLINK("https://pbs.twimg.com/media/Fx0Vt1zXwAAjatg.jpg")</f>
        <v>https://pbs.twimg.com/media/Fx0Vt1zXwAAjatg.jpg</v>
      </c>
      <c r="AW1009" s="82" t="s">
        <v>13194</v>
      </c>
      <c r="AX1009" s="82" t="s">
        <v>13194</v>
      </c>
      <c r="AY1009" s="77"/>
      <c r="AZ1009" s="82" t="s">
        <v>15804</v>
      </c>
      <c r="BA1009" s="82" t="s">
        <v>15804</v>
      </c>
      <c r="BB1009" s="82" t="s">
        <v>15804</v>
      </c>
      <c r="BC1009" s="82" t="s">
        <v>13194</v>
      </c>
      <c r="BD1009" s="82" t="s">
        <v>16322</v>
      </c>
      <c r="BE1009" s="77"/>
      <c r="BF1009" s="77"/>
      <c r="BG1009" s="77"/>
      <c r="BH1009" s="77"/>
      <c r="BI1009" s="77"/>
    </row>
    <row r="1010" spans="1:61" x14ac:dyDescent="0.25">
      <c r="A1010" s="62" t="s">
        <v>556</v>
      </c>
      <c r="B1010" s="62" t="s">
        <v>556</v>
      </c>
      <c r="C1010" s="63"/>
      <c r="D1010" s="64"/>
      <c r="E1010" s="65"/>
      <c r="F1010" s="66"/>
      <c r="G1010" s="63"/>
      <c r="H1010" s="67"/>
      <c r="I1010" s="68"/>
      <c r="J1010" s="68"/>
      <c r="K1010" s="32"/>
      <c r="L1010" s="75">
        <v>1010</v>
      </c>
      <c r="M1010" s="75"/>
      <c r="N1010" s="70"/>
      <c r="O1010" s="77" t="s">
        <v>179</v>
      </c>
      <c r="P1010" s="79">
        <v>45067.01462962963</v>
      </c>
      <c r="Q1010" s="77" t="s">
        <v>2106</v>
      </c>
      <c r="R1010" s="77">
        <v>0</v>
      </c>
      <c r="S1010" s="77">
        <v>0</v>
      </c>
      <c r="T1010" s="77">
        <v>0</v>
      </c>
      <c r="U1010" s="77">
        <v>0</v>
      </c>
      <c r="V1010" s="77">
        <v>555</v>
      </c>
      <c r="W1010" s="82" t="s">
        <v>4790</v>
      </c>
      <c r="X1010" s="77"/>
      <c r="Y1010" s="77"/>
      <c r="Z1010" s="77"/>
      <c r="AA1010" s="77" t="s">
        <v>6762</v>
      </c>
      <c r="AB1010" s="77" t="s">
        <v>7696</v>
      </c>
      <c r="AC1010" s="82" t="s">
        <v>7707</v>
      </c>
      <c r="AD1010" s="77" t="s">
        <v>7745</v>
      </c>
      <c r="AE1010" s="80" t="str">
        <f>HYPERLINK("https://twitter.com/facolommoney/status/1660078217426878464")</f>
        <v>https://twitter.com/facolommoney/status/1660078217426878464</v>
      </c>
      <c r="AF1010" s="79">
        <v>45067.01462962963</v>
      </c>
      <c r="AG1010" s="85">
        <v>45067</v>
      </c>
      <c r="AH1010" s="82" t="s">
        <v>8647</v>
      </c>
      <c r="AI1010" s="77" t="b">
        <v>0</v>
      </c>
      <c r="AJ1010" s="77"/>
      <c r="AK1010" s="77"/>
      <c r="AL1010" s="77"/>
      <c r="AM1010" s="77"/>
      <c r="AN1010" s="77"/>
      <c r="AO1010" s="77"/>
      <c r="AP1010" s="77"/>
      <c r="AQ1010" s="77" t="s">
        <v>11269</v>
      </c>
      <c r="AR1010" s="77"/>
      <c r="AS1010" s="77"/>
      <c r="AT1010" s="77"/>
      <c r="AU1010" s="77"/>
      <c r="AV1010" s="80" t="str">
        <f>HYPERLINK("https://pbs.twimg.com/media/FwnIV1ZWwAIqJYH.jpg")</f>
        <v>https://pbs.twimg.com/media/FwnIV1ZWwAIqJYH.jpg</v>
      </c>
      <c r="AW1010" s="82" t="s">
        <v>13195</v>
      </c>
      <c r="AX1010" s="82" t="s">
        <v>13195</v>
      </c>
      <c r="AY1010" s="77"/>
      <c r="AZ1010" s="82" t="s">
        <v>15804</v>
      </c>
      <c r="BA1010" s="82" t="s">
        <v>15804</v>
      </c>
      <c r="BB1010" s="82" t="s">
        <v>15804</v>
      </c>
      <c r="BC1010" s="82" t="s">
        <v>13195</v>
      </c>
      <c r="BD1010" s="82" t="s">
        <v>16322</v>
      </c>
      <c r="BE1010" s="77"/>
      <c r="BF1010" s="77"/>
      <c r="BG1010" s="77"/>
      <c r="BH1010" s="77"/>
      <c r="BI1010" s="77"/>
    </row>
    <row r="1011" spans="1:61" x14ac:dyDescent="0.25">
      <c r="A1011" s="62" t="s">
        <v>556</v>
      </c>
      <c r="B1011" s="62" t="s">
        <v>556</v>
      </c>
      <c r="C1011" s="63"/>
      <c r="D1011" s="64"/>
      <c r="E1011" s="65"/>
      <c r="F1011" s="66"/>
      <c r="G1011" s="63"/>
      <c r="H1011" s="67"/>
      <c r="I1011" s="68"/>
      <c r="J1011" s="68"/>
      <c r="K1011" s="32"/>
      <c r="L1011" s="75">
        <v>1011</v>
      </c>
      <c r="M1011" s="75"/>
      <c r="N1011" s="70"/>
      <c r="O1011" s="77" t="s">
        <v>179</v>
      </c>
      <c r="P1011" s="79">
        <v>45066.666365740741</v>
      </c>
      <c r="Q1011" s="77" t="s">
        <v>2107</v>
      </c>
      <c r="R1011" s="77">
        <v>0</v>
      </c>
      <c r="S1011" s="77">
        <v>0</v>
      </c>
      <c r="T1011" s="77">
        <v>0</v>
      </c>
      <c r="U1011" s="77">
        <v>0</v>
      </c>
      <c r="V1011" s="77">
        <v>1367</v>
      </c>
      <c r="W1011" s="82" t="s">
        <v>4791</v>
      </c>
      <c r="X1011" s="77"/>
      <c r="Y1011" s="77"/>
      <c r="Z1011" s="77"/>
      <c r="AA1011" s="77" t="s">
        <v>6763</v>
      </c>
      <c r="AB1011" s="77" t="s">
        <v>7696</v>
      </c>
      <c r="AC1011" s="82" t="s">
        <v>7707</v>
      </c>
      <c r="AD1011" s="77" t="s">
        <v>7745</v>
      </c>
      <c r="AE1011" s="80" t="str">
        <f>HYPERLINK("https://twitter.com/facolommoney/status/1659952011788394496")</f>
        <v>https://twitter.com/facolommoney/status/1659952011788394496</v>
      </c>
      <c r="AF1011" s="79">
        <v>45066.666365740741</v>
      </c>
      <c r="AG1011" s="85">
        <v>45066</v>
      </c>
      <c r="AH1011" s="82" t="s">
        <v>8648</v>
      </c>
      <c r="AI1011" s="77" t="b">
        <v>0</v>
      </c>
      <c r="AJ1011" s="77"/>
      <c r="AK1011" s="77"/>
      <c r="AL1011" s="77"/>
      <c r="AM1011" s="77"/>
      <c r="AN1011" s="77"/>
      <c r="AO1011" s="77"/>
      <c r="AP1011" s="77"/>
      <c r="AQ1011" s="77" t="s">
        <v>11270</v>
      </c>
      <c r="AR1011" s="77"/>
      <c r="AS1011" s="77"/>
      <c r="AT1011" s="77"/>
      <c r="AU1011" s="77"/>
      <c r="AV1011" s="80" t="str">
        <f>HYPERLINK("https://pbs.twimg.com/media/FwlVjn_WIAAD2G4.jpg")</f>
        <v>https://pbs.twimg.com/media/FwlVjn_WIAAD2G4.jpg</v>
      </c>
      <c r="AW1011" s="82" t="s">
        <v>13196</v>
      </c>
      <c r="AX1011" s="82" t="s">
        <v>13196</v>
      </c>
      <c r="AY1011" s="77"/>
      <c r="AZ1011" s="82" t="s">
        <v>15804</v>
      </c>
      <c r="BA1011" s="82" t="s">
        <v>15804</v>
      </c>
      <c r="BB1011" s="82" t="s">
        <v>15804</v>
      </c>
      <c r="BC1011" s="82" t="s">
        <v>13196</v>
      </c>
      <c r="BD1011" s="82" t="s">
        <v>16322</v>
      </c>
      <c r="BE1011" s="77"/>
      <c r="BF1011" s="77"/>
      <c r="BG1011" s="77"/>
      <c r="BH1011" s="77"/>
      <c r="BI1011" s="77"/>
    </row>
    <row r="1012" spans="1:61" x14ac:dyDescent="0.25">
      <c r="A1012" s="62" t="s">
        <v>556</v>
      </c>
      <c r="B1012" s="62" t="s">
        <v>556</v>
      </c>
      <c r="C1012" s="63"/>
      <c r="D1012" s="64"/>
      <c r="E1012" s="65"/>
      <c r="F1012" s="66"/>
      <c r="G1012" s="63"/>
      <c r="H1012" s="67"/>
      <c r="I1012" s="68"/>
      <c r="J1012" s="68"/>
      <c r="K1012" s="32"/>
      <c r="L1012" s="75">
        <v>1012</v>
      </c>
      <c r="M1012" s="75"/>
      <c r="N1012" s="70"/>
      <c r="O1012" s="77" t="s">
        <v>179</v>
      </c>
      <c r="P1012" s="79">
        <v>45065.041342592594</v>
      </c>
      <c r="Q1012" s="77" t="s">
        <v>2108</v>
      </c>
      <c r="R1012" s="77">
        <v>0</v>
      </c>
      <c r="S1012" s="77">
        <v>0</v>
      </c>
      <c r="T1012" s="77">
        <v>0</v>
      </c>
      <c r="U1012" s="77">
        <v>0</v>
      </c>
      <c r="V1012" s="77">
        <v>1924</v>
      </c>
      <c r="W1012" s="82" t="s">
        <v>4792</v>
      </c>
      <c r="X1012" s="77"/>
      <c r="Y1012" s="77"/>
      <c r="Z1012" s="77"/>
      <c r="AA1012" s="77" t="s">
        <v>6764</v>
      </c>
      <c r="AB1012" s="77" t="s">
        <v>7696</v>
      </c>
      <c r="AC1012" s="82" t="s">
        <v>7707</v>
      </c>
      <c r="AD1012" s="77" t="s">
        <v>7745</v>
      </c>
      <c r="AE1012" s="80" t="str">
        <f>HYPERLINK("https://twitter.com/facolommoney/status/1659363124242153478")</f>
        <v>https://twitter.com/facolommoney/status/1659363124242153478</v>
      </c>
      <c r="AF1012" s="79">
        <v>45065.041342592594</v>
      </c>
      <c r="AG1012" s="85">
        <v>45065</v>
      </c>
      <c r="AH1012" s="82" t="s">
        <v>8649</v>
      </c>
      <c r="AI1012" s="77" t="b">
        <v>0</v>
      </c>
      <c r="AJ1012" s="77"/>
      <c r="AK1012" s="77"/>
      <c r="AL1012" s="77"/>
      <c r="AM1012" s="77"/>
      <c r="AN1012" s="77"/>
      <c r="AO1012" s="77"/>
      <c r="AP1012" s="77"/>
      <c r="AQ1012" s="77" t="s">
        <v>11271</v>
      </c>
      <c r="AR1012" s="77"/>
      <c r="AS1012" s="77"/>
      <c r="AT1012" s="77"/>
      <c r="AU1012" s="77"/>
      <c r="AV1012" s="80" t="str">
        <f>HYPERLINK("https://pbs.twimg.com/media/Fwc9968XwAY7MOp.jpg")</f>
        <v>https://pbs.twimg.com/media/Fwc9968XwAY7MOp.jpg</v>
      </c>
      <c r="AW1012" s="82" t="s">
        <v>13197</v>
      </c>
      <c r="AX1012" s="82" t="s">
        <v>13197</v>
      </c>
      <c r="AY1012" s="77"/>
      <c r="AZ1012" s="82" t="s">
        <v>15804</v>
      </c>
      <c r="BA1012" s="82" t="s">
        <v>15804</v>
      </c>
      <c r="BB1012" s="82" t="s">
        <v>15804</v>
      </c>
      <c r="BC1012" s="82" t="s">
        <v>13197</v>
      </c>
      <c r="BD1012" s="82" t="s">
        <v>16322</v>
      </c>
      <c r="BE1012" s="77"/>
      <c r="BF1012" s="77"/>
      <c r="BG1012" s="77"/>
      <c r="BH1012" s="77"/>
      <c r="BI1012" s="77"/>
    </row>
    <row r="1013" spans="1:61" x14ac:dyDescent="0.25">
      <c r="A1013" s="62" t="s">
        <v>556</v>
      </c>
      <c r="B1013" s="62" t="s">
        <v>556</v>
      </c>
      <c r="C1013" s="63"/>
      <c r="D1013" s="64"/>
      <c r="E1013" s="65"/>
      <c r="F1013" s="66"/>
      <c r="G1013" s="63"/>
      <c r="H1013" s="67"/>
      <c r="I1013" s="68"/>
      <c r="J1013" s="68"/>
      <c r="K1013" s="32"/>
      <c r="L1013" s="75">
        <v>1013</v>
      </c>
      <c r="M1013" s="75"/>
      <c r="N1013" s="70"/>
      <c r="O1013" s="77" t="s">
        <v>179</v>
      </c>
      <c r="P1013" s="79">
        <v>45064.666620370372</v>
      </c>
      <c r="Q1013" s="77" t="s">
        <v>2109</v>
      </c>
      <c r="R1013" s="77">
        <v>0</v>
      </c>
      <c r="S1013" s="77">
        <v>0</v>
      </c>
      <c r="T1013" s="77">
        <v>0</v>
      </c>
      <c r="U1013" s="77">
        <v>0</v>
      </c>
      <c r="V1013" s="77">
        <v>1387</v>
      </c>
      <c r="W1013" s="82" t="s">
        <v>4782</v>
      </c>
      <c r="X1013" s="77"/>
      <c r="Y1013" s="77"/>
      <c r="Z1013" s="77"/>
      <c r="AA1013" s="77" t="s">
        <v>6765</v>
      </c>
      <c r="AB1013" s="77" t="s">
        <v>7696</v>
      </c>
      <c r="AC1013" s="82" t="s">
        <v>7707</v>
      </c>
      <c r="AD1013" s="77" t="s">
        <v>7745</v>
      </c>
      <c r="AE1013" s="80" t="str">
        <f>HYPERLINK("https://twitter.com/facolommoney/status/1659227328856072195")</f>
        <v>https://twitter.com/facolommoney/status/1659227328856072195</v>
      </c>
      <c r="AF1013" s="79">
        <v>45064.666620370372</v>
      </c>
      <c r="AG1013" s="85">
        <v>45064</v>
      </c>
      <c r="AH1013" s="82" t="s">
        <v>8650</v>
      </c>
      <c r="AI1013" s="77" t="b">
        <v>0</v>
      </c>
      <c r="AJ1013" s="77"/>
      <c r="AK1013" s="77"/>
      <c r="AL1013" s="77"/>
      <c r="AM1013" s="77"/>
      <c r="AN1013" s="77"/>
      <c r="AO1013" s="77"/>
      <c r="AP1013" s="77"/>
      <c r="AQ1013" s="77" t="s">
        <v>11272</v>
      </c>
      <c r="AR1013" s="77"/>
      <c r="AS1013" s="77"/>
      <c r="AT1013" s="77"/>
      <c r="AU1013" s="77"/>
      <c r="AV1013" s="80" t="str">
        <f>HYPERLINK("https://pbs.twimg.com/media/FwbCdlRXgAEEEh2.jpg")</f>
        <v>https://pbs.twimg.com/media/FwbCdlRXgAEEEh2.jpg</v>
      </c>
      <c r="AW1013" s="82" t="s">
        <v>13198</v>
      </c>
      <c r="AX1013" s="82" t="s">
        <v>13198</v>
      </c>
      <c r="AY1013" s="77"/>
      <c r="AZ1013" s="82" t="s">
        <v>15804</v>
      </c>
      <c r="BA1013" s="82" t="s">
        <v>15804</v>
      </c>
      <c r="BB1013" s="82" t="s">
        <v>15804</v>
      </c>
      <c r="BC1013" s="82" t="s">
        <v>13198</v>
      </c>
      <c r="BD1013" s="82" t="s">
        <v>16322</v>
      </c>
      <c r="BE1013" s="77"/>
      <c r="BF1013" s="77"/>
      <c r="BG1013" s="77"/>
      <c r="BH1013" s="77"/>
      <c r="BI1013" s="77"/>
    </row>
    <row r="1014" spans="1:61" x14ac:dyDescent="0.25">
      <c r="A1014" s="62" t="s">
        <v>556</v>
      </c>
      <c r="B1014" s="62" t="s">
        <v>556</v>
      </c>
      <c r="C1014" s="63"/>
      <c r="D1014" s="64"/>
      <c r="E1014" s="65"/>
      <c r="F1014" s="66"/>
      <c r="G1014" s="63"/>
      <c r="H1014" s="67"/>
      <c r="I1014" s="68"/>
      <c r="J1014" s="68"/>
      <c r="K1014" s="32"/>
      <c r="L1014" s="75">
        <v>1014</v>
      </c>
      <c r="M1014" s="75"/>
      <c r="N1014" s="70"/>
      <c r="O1014" s="77" t="s">
        <v>179</v>
      </c>
      <c r="P1014" s="79">
        <v>45108.071273148147</v>
      </c>
      <c r="Q1014" s="77" t="s">
        <v>2110</v>
      </c>
      <c r="R1014" s="77">
        <v>0</v>
      </c>
      <c r="S1014" s="77">
        <v>0</v>
      </c>
      <c r="T1014" s="77">
        <v>0</v>
      </c>
      <c r="U1014" s="77">
        <v>0</v>
      </c>
      <c r="V1014" s="77">
        <v>88</v>
      </c>
      <c r="W1014" s="82" t="s">
        <v>4793</v>
      </c>
      <c r="X1014" s="77"/>
      <c r="Y1014" s="77"/>
      <c r="Z1014" s="77"/>
      <c r="AA1014" s="77" t="s">
        <v>6766</v>
      </c>
      <c r="AB1014" s="77" t="s">
        <v>7697</v>
      </c>
      <c r="AC1014" s="82" t="s">
        <v>7707</v>
      </c>
      <c r="AD1014" s="77" t="s">
        <v>7745</v>
      </c>
      <c r="AE1014" s="80" t="str">
        <f>HYPERLINK("https://twitter.com/facolommoney/status/1674956647335174150")</f>
        <v>https://twitter.com/facolommoney/status/1674956647335174150</v>
      </c>
      <c r="AF1014" s="79">
        <v>45108.071273148147</v>
      </c>
      <c r="AG1014" s="85">
        <v>45108</v>
      </c>
      <c r="AH1014" s="82" t="s">
        <v>8651</v>
      </c>
      <c r="AI1014" s="77" t="b">
        <v>0</v>
      </c>
      <c r="AJ1014" s="77"/>
      <c r="AK1014" s="77"/>
      <c r="AL1014" s="77"/>
      <c r="AM1014" s="77"/>
      <c r="AN1014" s="77"/>
      <c r="AO1014" s="77"/>
      <c r="AP1014" s="77"/>
      <c r="AQ1014" s="77" t="s">
        <v>11273</v>
      </c>
      <c r="AR1014" s="77">
        <v>6499</v>
      </c>
      <c r="AS1014" s="77"/>
      <c r="AT1014" s="77"/>
      <c r="AU1014" s="77">
        <v>19</v>
      </c>
      <c r="AV1014" s="80" t="str">
        <f>HYPERLINK("https://pbs.twimg.com/ext_tw_video_thumb/1674956626996998146/pu/img/Bn3iEa8Rlty8mvr_.jpg")</f>
        <v>https://pbs.twimg.com/ext_tw_video_thumb/1674956626996998146/pu/img/Bn3iEa8Rlty8mvr_.jpg</v>
      </c>
      <c r="AW1014" s="82" t="s">
        <v>13199</v>
      </c>
      <c r="AX1014" s="82" t="s">
        <v>13199</v>
      </c>
      <c r="AY1014" s="77"/>
      <c r="AZ1014" s="82" t="s">
        <v>15804</v>
      </c>
      <c r="BA1014" s="82" t="s">
        <v>15804</v>
      </c>
      <c r="BB1014" s="82" t="s">
        <v>15804</v>
      </c>
      <c r="BC1014" s="82" t="s">
        <v>13199</v>
      </c>
      <c r="BD1014" s="82" t="s">
        <v>16322</v>
      </c>
      <c r="BE1014" s="77"/>
      <c r="BF1014" s="77"/>
      <c r="BG1014" s="77"/>
      <c r="BH1014" s="77"/>
      <c r="BI1014" s="77"/>
    </row>
    <row r="1015" spans="1:61" x14ac:dyDescent="0.25">
      <c r="A1015" s="62" t="s">
        <v>556</v>
      </c>
      <c r="B1015" s="62" t="s">
        <v>556</v>
      </c>
      <c r="C1015" s="63"/>
      <c r="D1015" s="64"/>
      <c r="E1015" s="65"/>
      <c r="F1015" s="66"/>
      <c r="G1015" s="63"/>
      <c r="H1015" s="67"/>
      <c r="I1015" s="68"/>
      <c r="J1015" s="68"/>
      <c r="K1015" s="32"/>
      <c r="L1015" s="75">
        <v>1015</v>
      </c>
      <c r="M1015" s="75"/>
      <c r="N1015" s="70"/>
      <c r="O1015" s="77" t="s">
        <v>179</v>
      </c>
      <c r="P1015" s="79">
        <v>45085.604953703703</v>
      </c>
      <c r="Q1015" s="77" t="s">
        <v>2111</v>
      </c>
      <c r="R1015" s="77">
        <v>0</v>
      </c>
      <c r="S1015" s="77">
        <v>0</v>
      </c>
      <c r="T1015" s="77">
        <v>0</v>
      </c>
      <c r="U1015" s="77">
        <v>0</v>
      </c>
      <c r="V1015" s="77">
        <v>159</v>
      </c>
      <c r="W1015" s="82" t="s">
        <v>4794</v>
      </c>
      <c r="X1015" s="77"/>
      <c r="Y1015" s="77"/>
      <c r="Z1015" s="77"/>
      <c r="AA1015" s="77" t="s">
        <v>6767</v>
      </c>
      <c r="AB1015" s="77" t="s">
        <v>7696</v>
      </c>
      <c r="AC1015" s="82" t="s">
        <v>7707</v>
      </c>
      <c r="AD1015" s="77" t="s">
        <v>7751</v>
      </c>
      <c r="AE1015" s="80" t="str">
        <f>HYPERLINK("https://twitter.com/facolommoney/status/1666815125364551681")</f>
        <v>https://twitter.com/facolommoney/status/1666815125364551681</v>
      </c>
      <c r="AF1015" s="79">
        <v>45085.604953703703</v>
      </c>
      <c r="AG1015" s="85">
        <v>45085</v>
      </c>
      <c r="AH1015" s="82" t="s">
        <v>8652</v>
      </c>
      <c r="AI1015" s="77" t="b">
        <v>0</v>
      </c>
      <c r="AJ1015" s="77"/>
      <c r="AK1015" s="77"/>
      <c r="AL1015" s="77"/>
      <c r="AM1015" s="77"/>
      <c r="AN1015" s="77"/>
      <c r="AO1015" s="77"/>
      <c r="AP1015" s="77"/>
      <c r="AQ1015" s="77" t="s">
        <v>11274</v>
      </c>
      <c r="AR1015" s="77"/>
      <c r="AS1015" s="77"/>
      <c r="AT1015" s="77"/>
      <c r="AU1015" s="77"/>
      <c r="AV1015" s="80" t="str">
        <f>HYPERLINK("https://pbs.twimg.com/media/FyG3hbVaYAA1RiU.jpg")</f>
        <v>https://pbs.twimg.com/media/FyG3hbVaYAA1RiU.jpg</v>
      </c>
      <c r="AW1015" s="82" t="s">
        <v>13200</v>
      </c>
      <c r="AX1015" s="82" t="s">
        <v>13200</v>
      </c>
      <c r="AY1015" s="77"/>
      <c r="AZ1015" s="82" t="s">
        <v>15804</v>
      </c>
      <c r="BA1015" s="82" t="s">
        <v>15804</v>
      </c>
      <c r="BB1015" s="82" t="s">
        <v>15804</v>
      </c>
      <c r="BC1015" s="82" t="s">
        <v>13200</v>
      </c>
      <c r="BD1015" s="82" t="s">
        <v>16322</v>
      </c>
      <c r="BE1015" s="77"/>
      <c r="BF1015" s="77"/>
      <c r="BG1015" s="77"/>
      <c r="BH1015" s="77"/>
      <c r="BI1015" s="77"/>
    </row>
    <row r="1016" spans="1:61" x14ac:dyDescent="0.25">
      <c r="A1016" s="62" t="s">
        <v>556</v>
      </c>
      <c r="B1016" s="62" t="s">
        <v>556</v>
      </c>
      <c r="C1016" s="63"/>
      <c r="D1016" s="64"/>
      <c r="E1016" s="65"/>
      <c r="F1016" s="66"/>
      <c r="G1016" s="63"/>
      <c r="H1016" s="67"/>
      <c r="I1016" s="68"/>
      <c r="J1016" s="68"/>
      <c r="K1016" s="32"/>
      <c r="L1016" s="75">
        <v>1016</v>
      </c>
      <c r="M1016" s="75"/>
      <c r="N1016" s="70"/>
      <c r="O1016" s="77" t="s">
        <v>179</v>
      </c>
      <c r="P1016" s="79">
        <v>45084.862002314818</v>
      </c>
      <c r="Q1016" s="77" t="s">
        <v>2112</v>
      </c>
      <c r="R1016" s="77">
        <v>0</v>
      </c>
      <c r="S1016" s="77">
        <v>1</v>
      </c>
      <c r="T1016" s="77">
        <v>0</v>
      </c>
      <c r="U1016" s="77">
        <v>0</v>
      </c>
      <c r="V1016" s="77">
        <v>268</v>
      </c>
      <c r="W1016" s="82" t="s">
        <v>4795</v>
      </c>
      <c r="X1016" s="77"/>
      <c r="Y1016" s="77"/>
      <c r="Z1016" s="77"/>
      <c r="AA1016" s="77" t="s">
        <v>6768</v>
      </c>
      <c r="AB1016" s="77" t="s">
        <v>7696</v>
      </c>
      <c r="AC1016" s="82" t="s">
        <v>7707</v>
      </c>
      <c r="AD1016" s="77" t="s">
        <v>7745</v>
      </c>
      <c r="AE1016" s="80" t="str">
        <f>HYPERLINK("https://twitter.com/facolommoney/status/1666545888485863424")</f>
        <v>https://twitter.com/facolommoney/status/1666545888485863424</v>
      </c>
      <c r="AF1016" s="79">
        <v>45084.862002314818</v>
      </c>
      <c r="AG1016" s="85">
        <v>45084</v>
      </c>
      <c r="AH1016" s="82" t="s">
        <v>8653</v>
      </c>
      <c r="AI1016" s="77" t="b">
        <v>0</v>
      </c>
      <c r="AJ1016" s="77"/>
      <c r="AK1016" s="77"/>
      <c r="AL1016" s="77"/>
      <c r="AM1016" s="77"/>
      <c r="AN1016" s="77"/>
      <c r="AO1016" s="77"/>
      <c r="AP1016" s="77"/>
      <c r="AQ1016" s="77" t="s">
        <v>11275</v>
      </c>
      <c r="AR1016" s="77"/>
      <c r="AS1016" s="77"/>
      <c r="AT1016" s="77"/>
      <c r="AU1016" s="77"/>
      <c r="AV1016" s="80" t="str">
        <f>HYPERLINK("https://pbs.twimg.com/media/FyDCpxYWwAMmtHs.jpg")</f>
        <v>https://pbs.twimg.com/media/FyDCpxYWwAMmtHs.jpg</v>
      </c>
      <c r="AW1016" s="82" t="s">
        <v>13201</v>
      </c>
      <c r="AX1016" s="82" t="s">
        <v>13201</v>
      </c>
      <c r="AY1016" s="77"/>
      <c r="AZ1016" s="82" t="s">
        <v>15804</v>
      </c>
      <c r="BA1016" s="82" t="s">
        <v>15804</v>
      </c>
      <c r="BB1016" s="82" t="s">
        <v>15804</v>
      </c>
      <c r="BC1016" s="82" t="s">
        <v>13201</v>
      </c>
      <c r="BD1016" s="82" t="s">
        <v>16322</v>
      </c>
      <c r="BE1016" s="77"/>
      <c r="BF1016" s="77"/>
      <c r="BG1016" s="77"/>
      <c r="BH1016" s="77"/>
      <c r="BI1016" s="77"/>
    </row>
    <row r="1017" spans="1:61" x14ac:dyDescent="0.25">
      <c r="A1017" s="62" t="s">
        <v>556</v>
      </c>
      <c r="B1017" s="62" t="s">
        <v>556</v>
      </c>
      <c r="C1017" s="63"/>
      <c r="D1017" s="64"/>
      <c r="E1017" s="65"/>
      <c r="F1017" s="66"/>
      <c r="G1017" s="63"/>
      <c r="H1017" s="67"/>
      <c r="I1017" s="68"/>
      <c r="J1017" s="68"/>
      <c r="K1017" s="32"/>
      <c r="L1017" s="75">
        <v>1017</v>
      </c>
      <c r="M1017" s="75"/>
      <c r="N1017" s="70"/>
      <c r="O1017" s="77" t="s">
        <v>179</v>
      </c>
      <c r="P1017" s="79">
        <v>45084.701006944444</v>
      </c>
      <c r="Q1017" s="77" t="s">
        <v>2113</v>
      </c>
      <c r="R1017" s="77">
        <v>0</v>
      </c>
      <c r="S1017" s="77">
        <v>1</v>
      </c>
      <c r="T1017" s="77">
        <v>0</v>
      </c>
      <c r="U1017" s="77">
        <v>0</v>
      </c>
      <c r="V1017" s="77">
        <v>133</v>
      </c>
      <c r="W1017" s="82" t="s">
        <v>4796</v>
      </c>
      <c r="X1017" s="77"/>
      <c r="Y1017" s="77"/>
      <c r="Z1017" s="77"/>
      <c r="AA1017" s="77" t="s">
        <v>6769</v>
      </c>
      <c r="AB1017" s="77" t="s">
        <v>7696</v>
      </c>
      <c r="AC1017" s="82" t="s">
        <v>7707</v>
      </c>
      <c r="AD1017" s="77" t="s">
        <v>7745</v>
      </c>
      <c r="AE1017" s="80" t="str">
        <f>HYPERLINK("https://twitter.com/facolommoney/status/1666487545864114179")</f>
        <v>https://twitter.com/facolommoney/status/1666487545864114179</v>
      </c>
      <c r="AF1017" s="79">
        <v>45084.701006944444</v>
      </c>
      <c r="AG1017" s="85">
        <v>45084</v>
      </c>
      <c r="AH1017" s="82" t="s">
        <v>8654</v>
      </c>
      <c r="AI1017" s="77" t="b">
        <v>0</v>
      </c>
      <c r="AJ1017" s="77"/>
      <c r="AK1017" s="77"/>
      <c r="AL1017" s="77"/>
      <c r="AM1017" s="77"/>
      <c r="AN1017" s="77"/>
      <c r="AO1017" s="77"/>
      <c r="AP1017" s="77"/>
      <c r="AQ1017" s="77" t="s">
        <v>11276</v>
      </c>
      <c r="AR1017" s="77"/>
      <c r="AS1017" s="77"/>
      <c r="AT1017" s="77"/>
      <c r="AU1017" s="77"/>
      <c r="AV1017" s="80" t="str">
        <f>HYPERLINK("https://pbs.twimg.com/media/FyCNlyAXoAAo6Rj.jpg")</f>
        <v>https://pbs.twimg.com/media/FyCNlyAXoAAo6Rj.jpg</v>
      </c>
      <c r="AW1017" s="82" t="s">
        <v>13202</v>
      </c>
      <c r="AX1017" s="82" t="s">
        <v>13202</v>
      </c>
      <c r="AY1017" s="77"/>
      <c r="AZ1017" s="82" t="s">
        <v>15804</v>
      </c>
      <c r="BA1017" s="82" t="s">
        <v>15804</v>
      </c>
      <c r="BB1017" s="82" t="s">
        <v>15804</v>
      </c>
      <c r="BC1017" s="82" t="s">
        <v>13202</v>
      </c>
      <c r="BD1017" s="82" t="s">
        <v>16322</v>
      </c>
      <c r="BE1017" s="77"/>
      <c r="BF1017" s="77"/>
      <c r="BG1017" s="77"/>
      <c r="BH1017" s="77"/>
      <c r="BI1017" s="77"/>
    </row>
    <row r="1018" spans="1:61" x14ac:dyDescent="0.25">
      <c r="A1018" s="62" t="s">
        <v>556</v>
      </c>
      <c r="B1018" s="62" t="s">
        <v>556</v>
      </c>
      <c r="C1018" s="63"/>
      <c r="D1018" s="64"/>
      <c r="E1018" s="65"/>
      <c r="F1018" s="66"/>
      <c r="G1018" s="63"/>
      <c r="H1018" s="67"/>
      <c r="I1018" s="68"/>
      <c r="J1018" s="68"/>
      <c r="K1018" s="32"/>
      <c r="L1018" s="75">
        <v>1018</v>
      </c>
      <c r="M1018" s="75"/>
      <c r="N1018" s="70"/>
      <c r="O1018" s="77" t="s">
        <v>179</v>
      </c>
      <c r="P1018" s="79">
        <v>45064.022187499999</v>
      </c>
      <c r="Q1018" s="77" t="s">
        <v>2114</v>
      </c>
      <c r="R1018" s="77">
        <v>0</v>
      </c>
      <c r="S1018" s="77">
        <v>0</v>
      </c>
      <c r="T1018" s="77">
        <v>0</v>
      </c>
      <c r="U1018" s="77">
        <v>0</v>
      </c>
      <c r="V1018" s="77">
        <v>1089</v>
      </c>
      <c r="W1018" s="82" t="s">
        <v>4797</v>
      </c>
      <c r="X1018" s="77"/>
      <c r="Y1018" s="77"/>
      <c r="Z1018" s="77"/>
      <c r="AA1018" s="77" t="s">
        <v>6770</v>
      </c>
      <c r="AB1018" s="77" t="s">
        <v>7696</v>
      </c>
      <c r="AC1018" s="82" t="s">
        <v>7707</v>
      </c>
      <c r="AD1018" s="77" t="s">
        <v>7745</v>
      </c>
      <c r="AE1018" s="80" t="str">
        <f>HYPERLINK("https://twitter.com/facolommoney/status/1658993793578807297")</f>
        <v>https://twitter.com/facolommoney/status/1658993793578807297</v>
      </c>
      <c r="AF1018" s="79">
        <v>45064.022187499999</v>
      </c>
      <c r="AG1018" s="85">
        <v>45064</v>
      </c>
      <c r="AH1018" s="82" t="s">
        <v>8655</v>
      </c>
      <c r="AI1018" s="77" t="b">
        <v>0</v>
      </c>
      <c r="AJ1018" s="77"/>
      <c r="AK1018" s="77"/>
      <c r="AL1018" s="77"/>
      <c r="AM1018" s="77"/>
      <c r="AN1018" s="77"/>
      <c r="AO1018" s="77"/>
      <c r="AP1018" s="77"/>
      <c r="AQ1018" s="77" t="s">
        <v>11277</v>
      </c>
      <c r="AR1018" s="77"/>
      <c r="AS1018" s="77"/>
      <c r="AT1018" s="77"/>
      <c r="AU1018" s="77"/>
      <c r="AV1018" s="80" t="str">
        <f>HYPERLINK("https://pbs.twimg.com/media/FwXuEEBX0AAIage.jpg")</f>
        <v>https://pbs.twimg.com/media/FwXuEEBX0AAIage.jpg</v>
      </c>
      <c r="AW1018" s="82" t="s">
        <v>13203</v>
      </c>
      <c r="AX1018" s="82" t="s">
        <v>13203</v>
      </c>
      <c r="AY1018" s="77"/>
      <c r="AZ1018" s="82" t="s">
        <v>15804</v>
      </c>
      <c r="BA1018" s="82" t="s">
        <v>15804</v>
      </c>
      <c r="BB1018" s="82" t="s">
        <v>15804</v>
      </c>
      <c r="BC1018" s="82" t="s">
        <v>13203</v>
      </c>
      <c r="BD1018" s="82" t="s">
        <v>16322</v>
      </c>
      <c r="BE1018" s="77"/>
      <c r="BF1018" s="77"/>
      <c r="BG1018" s="77"/>
      <c r="BH1018" s="77"/>
      <c r="BI1018" s="77"/>
    </row>
    <row r="1019" spans="1:61" x14ac:dyDescent="0.25">
      <c r="A1019" s="62" t="s">
        <v>556</v>
      </c>
      <c r="B1019" s="62" t="s">
        <v>556</v>
      </c>
      <c r="C1019" s="63"/>
      <c r="D1019" s="64"/>
      <c r="E1019" s="65"/>
      <c r="F1019" s="66"/>
      <c r="G1019" s="63"/>
      <c r="H1019" s="67"/>
      <c r="I1019" s="68"/>
      <c r="J1019" s="68"/>
      <c r="K1019" s="32"/>
      <c r="L1019" s="75">
        <v>1019</v>
      </c>
      <c r="M1019" s="75"/>
      <c r="N1019" s="70"/>
      <c r="O1019" s="77" t="s">
        <v>179</v>
      </c>
      <c r="P1019" s="79">
        <v>45063.485763888886</v>
      </c>
      <c r="Q1019" s="77" t="s">
        <v>2115</v>
      </c>
      <c r="R1019" s="77">
        <v>0</v>
      </c>
      <c r="S1019" s="77">
        <v>0</v>
      </c>
      <c r="T1019" s="77">
        <v>0</v>
      </c>
      <c r="U1019" s="77">
        <v>0</v>
      </c>
      <c r="V1019" s="77">
        <v>399</v>
      </c>
      <c r="W1019" s="82" t="s">
        <v>4798</v>
      </c>
      <c r="X1019" s="77"/>
      <c r="Y1019" s="77"/>
      <c r="Z1019" s="77"/>
      <c r="AA1019" s="77" t="s">
        <v>6771</v>
      </c>
      <c r="AB1019" s="77" t="s">
        <v>7696</v>
      </c>
      <c r="AC1019" s="82" t="s">
        <v>7707</v>
      </c>
      <c r="AD1019" s="77" t="s">
        <v>7745</v>
      </c>
      <c r="AE1019" s="80" t="str">
        <f>HYPERLINK("https://twitter.com/facolommoney/status/1658799399110156288")</f>
        <v>https://twitter.com/facolommoney/status/1658799399110156288</v>
      </c>
      <c r="AF1019" s="79">
        <v>45063.485763888886</v>
      </c>
      <c r="AG1019" s="85">
        <v>45063</v>
      </c>
      <c r="AH1019" s="82" t="s">
        <v>8656</v>
      </c>
      <c r="AI1019" s="77" t="b">
        <v>0</v>
      </c>
      <c r="AJ1019" s="77"/>
      <c r="AK1019" s="77"/>
      <c r="AL1019" s="77"/>
      <c r="AM1019" s="77"/>
      <c r="AN1019" s="77"/>
      <c r="AO1019" s="77"/>
      <c r="AP1019" s="77"/>
      <c r="AQ1019" s="77" t="s">
        <v>11278</v>
      </c>
      <c r="AR1019" s="77"/>
      <c r="AS1019" s="77"/>
      <c r="AT1019" s="77"/>
      <c r="AU1019" s="77"/>
      <c r="AV1019" s="80" t="str">
        <f>HYPERLINK("https://pbs.twimg.com/media/FwU9QzzXoAEJ9rH.jpg")</f>
        <v>https://pbs.twimg.com/media/FwU9QzzXoAEJ9rH.jpg</v>
      </c>
      <c r="AW1019" s="82" t="s">
        <v>13204</v>
      </c>
      <c r="AX1019" s="82" t="s">
        <v>13204</v>
      </c>
      <c r="AY1019" s="77"/>
      <c r="AZ1019" s="82" t="s">
        <v>15804</v>
      </c>
      <c r="BA1019" s="82" t="s">
        <v>15804</v>
      </c>
      <c r="BB1019" s="82" t="s">
        <v>15804</v>
      </c>
      <c r="BC1019" s="82" t="s">
        <v>13204</v>
      </c>
      <c r="BD1019" s="82" t="s">
        <v>16322</v>
      </c>
      <c r="BE1019" s="77"/>
      <c r="BF1019" s="77"/>
      <c r="BG1019" s="77"/>
      <c r="BH1019" s="77"/>
      <c r="BI1019" s="77"/>
    </row>
    <row r="1020" spans="1:61" x14ac:dyDescent="0.25">
      <c r="A1020" s="62" t="s">
        <v>556</v>
      </c>
      <c r="B1020" s="62" t="s">
        <v>556</v>
      </c>
      <c r="C1020" s="63"/>
      <c r="D1020" s="64"/>
      <c r="E1020" s="65"/>
      <c r="F1020" s="66"/>
      <c r="G1020" s="63"/>
      <c r="H1020" s="67"/>
      <c r="I1020" s="68"/>
      <c r="J1020" s="68"/>
      <c r="K1020" s="32"/>
      <c r="L1020" s="75">
        <v>1020</v>
      </c>
      <c r="M1020" s="75"/>
      <c r="N1020" s="70"/>
      <c r="O1020" s="77" t="s">
        <v>179</v>
      </c>
      <c r="P1020" s="79">
        <v>45063.01253472222</v>
      </c>
      <c r="Q1020" s="77" t="s">
        <v>2116</v>
      </c>
      <c r="R1020" s="77">
        <v>0</v>
      </c>
      <c r="S1020" s="77">
        <v>0</v>
      </c>
      <c r="T1020" s="77">
        <v>0</v>
      </c>
      <c r="U1020" s="77">
        <v>0</v>
      </c>
      <c r="V1020" s="77">
        <v>995</v>
      </c>
      <c r="W1020" s="82" t="s">
        <v>4799</v>
      </c>
      <c r="X1020" s="77"/>
      <c r="Y1020" s="77"/>
      <c r="Z1020" s="77"/>
      <c r="AA1020" s="77" t="s">
        <v>6772</v>
      </c>
      <c r="AB1020" s="77" t="s">
        <v>7696</v>
      </c>
      <c r="AC1020" s="82" t="s">
        <v>7707</v>
      </c>
      <c r="AD1020" s="77" t="s">
        <v>7745</v>
      </c>
      <c r="AE1020" s="80" t="str">
        <f>HYPERLINK("https://twitter.com/facolommoney/status/1658627908049547265")</f>
        <v>https://twitter.com/facolommoney/status/1658627908049547265</v>
      </c>
      <c r="AF1020" s="79">
        <v>45063.01253472222</v>
      </c>
      <c r="AG1020" s="85">
        <v>45063</v>
      </c>
      <c r="AH1020" s="82" t="s">
        <v>8657</v>
      </c>
      <c r="AI1020" s="77" t="b">
        <v>0</v>
      </c>
      <c r="AJ1020" s="77"/>
      <c r="AK1020" s="77"/>
      <c r="AL1020" s="77"/>
      <c r="AM1020" s="77"/>
      <c r="AN1020" s="77"/>
      <c r="AO1020" s="77"/>
      <c r="AP1020" s="77"/>
      <c r="AQ1020" s="77" t="s">
        <v>11279</v>
      </c>
      <c r="AR1020" s="77"/>
      <c r="AS1020" s="77"/>
      <c r="AT1020" s="77"/>
      <c r="AU1020" s="77"/>
      <c r="AV1020" s="80" t="str">
        <f>HYPERLINK("https://pbs.twimg.com/media/FwShSqTWcAMi5Lq.jpg")</f>
        <v>https://pbs.twimg.com/media/FwShSqTWcAMi5Lq.jpg</v>
      </c>
      <c r="AW1020" s="82" t="s">
        <v>13205</v>
      </c>
      <c r="AX1020" s="82" t="s">
        <v>13205</v>
      </c>
      <c r="AY1020" s="77"/>
      <c r="AZ1020" s="82" t="s">
        <v>15804</v>
      </c>
      <c r="BA1020" s="82" t="s">
        <v>15804</v>
      </c>
      <c r="BB1020" s="82" t="s">
        <v>15804</v>
      </c>
      <c r="BC1020" s="82" t="s">
        <v>13205</v>
      </c>
      <c r="BD1020" s="82" t="s">
        <v>16322</v>
      </c>
      <c r="BE1020" s="77"/>
      <c r="BF1020" s="77"/>
      <c r="BG1020" s="77"/>
      <c r="BH1020" s="77"/>
      <c r="BI1020" s="77"/>
    </row>
    <row r="1021" spans="1:61" x14ac:dyDescent="0.25">
      <c r="A1021" s="62" t="s">
        <v>556</v>
      </c>
      <c r="B1021" s="62" t="s">
        <v>556</v>
      </c>
      <c r="C1021" s="63"/>
      <c r="D1021" s="64"/>
      <c r="E1021" s="65"/>
      <c r="F1021" s="66"/>
      <c r="G1021" s="63"/>
      <c r="H1021" s="67"/>
      <c r="I1021" s="68"/>
      <c r="J1021" s="68"/>
      <c r="K1021" s="32"/>
      <c r="L1021" s="75">
        <v>1021</v>
      </c>
      <c r="M1021" s="75"/>
      <c r="N1021" s="70"/>
      <c r="O1021" s="77" t="s">
        <v>179</v>
      </c>
      <c r="P1021" s="79">
        <v>45062.687893518516</v>
      </c>
      <c r="Q1021" s="77" t="s">
        <v>2117</v>
      </c>
      <c r="R1021" s="77">
        <v>0</v>
      </c>
      <c r="S1021" s="77">
        <v>0</v>
      </c>
      <c r="T1021" s="77">
        <v>0</v>
      </c>
      <c r="U1021" s="77">
        <v>0</v>
      </c>
      <c r="V1021" s="77">
        <v>622</v>
      </c>
      <c r="W1021" s="82" t="s">
        <v>4800</v>
      </c>
      <c r="X1021" s="77"/>
      <c r="Y1021" s="77"/>
      <c r="Z1021" s="77"/>
      <c r="AA1021" s="77" t="s">
        <v>6773</v>
      </c>
      <c r="AB1021" s="77" t="s">
        <v>7696</v>
      </c>
      <c r="AC1021" s="82" t="s">
        <v>7707</v>
      </c>
      <c r="AD1021" s="77" t="s">
        <v>7745</v>
      </c>
      <c r="AE1021" s="80" t="str">
        <f>HYPERLINK("https://twitter.com/facolommoney/status/1658510260502396933")</f>
        <v>https://twitter.com/facolommoney/status/1658510260502396933</v>
      </c>
      <c r="AF1021" s="79">
        <v>45062.687893518516</v>
      </c>
      <c r="AG1021" s="85">
        <v>45062</v>
      </c>
      <c r="AH1021" s="82" t="s">
        <v>8658</v>
      </c>
      <c r="AI1021" s="77" t="b">
        <v>0</v>
      </c>
      <c r="AJ1021" s="77"/>
      <c r="AK1021" s="77"/>
      <c r="AL1021" s="77"/>
      <c r="AM1021" s="77"/>
      <c r="AN1021" s="77"/>
      <c r="AO1021" s="77"/>
      <c r="AP1021" s="77"/>
      <c r="AQ1021" s="77" t="s">
        <v>11280</v>
      </c>
      <c r="AR1021" s="77"/>
      <c r="AS1021" s="77"/>
      <c r="AT1021" s="77"/>
      <c r="AU1021" s="77"/>
      <c r="AV1021" s="80" t="str">
        <f>HYPERLINK("https://pbs.twimg.com/media/FwQ2SspXsAAnHnL.jpg")</f>
        <v>https://pbs.twimg.com/media/FwQ2SspXsAAnHnL.jpg</v>
      </c>
      <c r="AW1021" s="82" t="s">
        <v>13206</v>
      </c>
      <c r="AX1021" s="82" t="s">
        <v>13206</v>
      </c>
      <c r="AY1021" s="77"/>
      <c r="AZ1021" s="82" t="s">
        <v>15804</v>
      </c>
      <c r="BA1021" s="82" t="s">
        <v>15804</v>
      </c>
      <c r="BB1021" s="82" t="s">
        <v>15804</v>
      </c>
      <c r="BC1021" s="82" t="s">
        <v>13206</v>
      </c>
      <c r="BD1021" s="82" t="s">
        <v>16322</v>
      </c>
      <c r="BE1021" s="77"/>
      <c r="BF1021" s="77"/>
      <c r="BG1021" s="77"/>
      <c r="BH1021" s="77"/>
      <c r="BI1021" s="77"/>
    </row>
    <row r="1022" spans="1:61" x14ac:dyDescent="0.25">
      <c r="A1022" s="62" t="s">
        <v>556</v>
      </c>
      <c r="B1022" s="62" t="s">
        <v>556</v>
      </c>
      <c r="C1022" s="63"/>
      <c r="D1022" s="64"/>
      <c r="E1022" s="65"/>
      <c r="F1022" s="66"/>
      <c r="G1022" s="63"/>
      <c r="H1022" s="67"/>
      <c r="I1022" s="68"/>
      <c r="J1022" s="68"/>
      <c r="K1022" s="32"/>
      <c r="L1022" s="75">
        <v>1022</v>
      </c>
      <c r="M1022" s="75"/>
      <c r="N1022" s="70"/>
      <c r="O1022" s="77" t="s">
        <v>179</v>
      </c>
      <c r="P1022" s="79">
        <v>45097.041805555556</v>
      </c>
      <c r="Q1022" s="77" t="s">
        <v>2118</v>
      </c>
      <c r="R1022" s="77">
        <v>0</v>
      </c>
      <c r="S1022" s="77">
        <v>0</v>
      </c>
      <c r="T1022" s="77">
        <v>0</v>
      </c>
      <c r="U1022" s="77">
        <v>0</v>
      </c>
      <c r="V1022" s="77">
        <v>122</v>
      </c>
      <c r="W1022" s="82" t="s">
        <v>4801</v>
      </c>
      <c r="X1022" s="77"/>
      <c r="Y1022" s="77"/>
      <c r="Z1022" s="77"/>
      <c r="AA1022" s="77" t="s">
        <v>6774</v>
      </c>
      <c r="AB1022" s="77" t="s">
        <v>7697</v>
      </c>
      <c r="AC1022" s="82" t="s">
        <v>7707</v>
      </c>
      <c r="AD1022" s="77" t="s">
        <v>7745</v>
      </c>
      <c r="AE1022" s="80" t="str">
        <f>HYPERLINK("https://twitter.com/facolommoney/status/1670959703055056897")</f>
        <v>https://twitter.com/facolommoney/status/1670959703055056897</v>
      </c>
      <c r="AF1022" s="79">
        <v>45097.041805555556</v>
      </c>
      <c r="AG1022" s="85">
        <v>45097</v>
      </c>
      <c r="AH1022" s="82" t="s">
        <v>8659</v>
      </c>
      <c r="AI1022" s="77" t="b">
        <v>0</v>
      </c>
      <c r="AJ1022" s="77"/>
      <c r="AK1022" s="77"/>
      <c r="AL1022" s="77"/>
      <c r="AM1022" s="77"/>
      <c r="AN1022" s="77"/>
      <c r="AO1022" s="77"/>
      <c r="AP1022" s="77"/>
      <c r="AQ1022" s="77" t="s">
        <v>11281</v>
      </c>
      <c r="AR1022" s="77">
        <v>4933</v>
      </c>
      <c r="AS1022" s="77"/>
      <c r="AT1022" s="77"/>
      <c r="AU1022" s="77">
        <v>35</v>
      </c>
      <c r="AV1022" s="80" t="str">
        <f>HYPERLINK("https://pbs.twimg.com/ext_tw_video_thumb/1670959688123392001/pu/img/7mi-Y8tpwahYBFPd.jpg")</f>
        <v>https://pbs.twimg.com/ext_tw_video_thumb/1670959688123392001/pu/img/7mi-Y8tpwahYBFPd.jpg</v>
      </c>
      <c r="AW1022" s="82" t="s">
        <v>13207</v>
      </c>
      <c r="AX1022" s="82" t="s">
        <v>13207</v>
      </c>
      <c r="AY1022" s="77"/>
      <c r="AZ1022" s="82" t="s">
        <v>15804</v>
      </c>
      <c r="BA1022" s="82" t="s">
        <v>15804</v>
      </c>
      <c r="BB1022" s="82" t="s">
        <v>15804</v>
      </c>
      <c r="BC1022" s="82" t="s">
        <v>13207</v>
      </c>
      <c r="BD1022" s="82" t="s">
        <v>16322</v>
      </c>
      <c r="BE1022" s="77"/>
      <c r="BF1022" s="77"/>
      <c r="BG1022" s="77"/>
      <c r="BH1022" s="77"/>
      <c r="BI1022" s="77"/>
    </row>
    <row r="1023" spans="1:61" x14ac:dyDescent="0.25">
      <c r="A1023" s="62" t="s">
        <v>556</v>
      </c>
      <c r="B1023" s="62" t="s">
        <v>556</v>
      </c>
      <c r="C1023" s="63"/>
      <c r="D1023" s="64"/>
      <c r="E1023" s="65"/>
      <c r="F1023" s="66"/>
      <c r="G1023" s="63"/>
      <c r="H1023" s="67"/>
      <c r="I1023" s="68"/>
      <c r="J1023" s="68"/>
      <c r="K1023" s="32"/>
      <c r="L1023" s="75">
        <v>1023</v>
      </c>
      <c r="M1023" s="75"/>
      <c r="N1023" s="70"/>
      <c r="O1023" s="77" t="s">
        <v>179</v>
      </c>
      <c r="P1023" s="79">
        <v>45092.456712962965</v>
      </c>
      <c r="Q1023" s="77" t="s">
        <v>2119</v>
      </c>
      <c r="R1023" s="77">
        <v>0</v>
      </c>
      <c r="S1023" s="77">
        <v>0</v>
      </c>
      <c r="T1023" s="77">
        <v>0</v>
      </c>
      <c r="U1023" s="77">
        <v>0</v>
      </c>
      <c r="V1023" s="77">
        <v>142</v>
      </c>
      <c r="W1023" s="82" t="s">
        <v>4802</v>
      </c>
      <c r="X1023" s="77"/>
      <c r="Y1023" s="77"/>
      <c r="Z1023" s="77"/>
      <c r="AA1023" s="77" t="s">
        <v>6775</v>
      </c>
      <c r="AB1023" s="77" t="s">
        <v>7697</v>
      </c>
      <c r="AC1023" s="82" t="s">
        <v>7707</v>
      </c>
      <c r="AD1023" s="77" t="s">
        <v>7751</v>
      </c>
      <c r="AE1023" s="80" t="str">
        <f>HYPERLINK("https://twitter.com/facolommoney/status/1669298121107488768")</f>
        <v>https://twitter.com/facolommoney/status/1669298121107488768</v>
      </c>
      <c r="AF1023" s="79">
        <v>45092.456712962965</v>
      </c>
      <c r="AG1023" s="85">
        <v>45092</v>
      </c>
      <c r="AH1023" s="82" t="s">
        <v>8660</v>
      </c>
      <c r="AI1023" s="77" t="b">
        <v>0</v>
      </c>
      <c r="AJ1023" s="77"/>
      <c r="AK1023" s="77"/>
      <c r="AL1023" s="77"/>
      <c r="AM1023" s="77"/>
      <c r="AN1023" s="77"/>
      <c r="AO1023" s="77"/>
      <c r="AP1023" s="77"/>
      <c r="AQ1023" s="77" t="s">
        <v>11282</v>
      </c>
      <c r="AR1023" s="77">
        <v>4933</v>
      </c>
      <c r="AS1023" s="77"/>
      <c r="AT1023" s="77"/>
      <c r="AU1023" s="77">
        <v>32</v>
      </c>
      <c r="AV1023" s="80" t="str">
        <f>HYPERLINK("https://pbs.twimg.com/ext_tw_video_thumb/1669298087729168385/pu/img/54IDMSM7vwQ9GHQH.jpg")</f>
        <v>https://pbs.twimg.com/ext_tw_video_thumb/1669298087729168385/pu/img/54IDMSM7vwQ9GHQH.jpg</v>
      </c>
      <c r="AW1023" s="82" t="s">
        <v>13208</v>
      </c>
      <c r="AX1023" s="82" t="s">
        <v>13208</v>
      </c>
      <c r="AY1023" s="77"/>
      <c r="AZ1023" s="82" t="s">
        <v>15804</v>
      </c>
      <c r="BA1023" s="82" t="s">
        <v>15804</v>
      </c>
      <c r="BB1023" s="82" t="s">
        <v>15804</v>
      </c>
      <c r="BC1023" s="82" t="s">
        <v>13208</v>
      </c>
      <c r="BD1023" s="82" t="s">
        <v>16322</v>
      </c>
      <c r="BE1023" s="77"/>
      <c r="BF1023" s="77"/>
      <c r="BG1023" s="77"/>
      <c r="BH1023" s="77"/>
      <c r="BI1023" s="77"/>
    </row>
    <row r="1024" spans="1:61" x14ac:dyDescent="0.25">
      <c r="A1024" s="62" t="s">
        <v>556</v>
      </c>
      <c r="B1024" s="62" t="s">
        <v>556</v>
      </c>
      <c r="C1024" s="63"/>
      <c r="D1024" s="64"/>
      <c r="E1024" s="65"/>
      <c r="F1024" s="66"/>
      <c r="G1024" s="63"/>
      <c r="H1024" s="67"/>
      <c r="I1024" s="68"/>
      <c r="J1024" s="68"/>
      <c r="K1024" s="32"/>
      <c r="L1024" s="75">
        <v>1024</v>
      </c>
      <c r="M1024" s="75"/>
      <c r="N1024" s="70"/>
      <c r="O1024" s="77" t="s">
        <v>179</v>
      </c>
      <c r="P1024" s="79">
        <v>45090.880787037036</v>
      </c>
      <c r="Q1024" s="77" t="s">
        <v>2120</v>
      </c>
      <c r="R1024" s="77">
        <v>0</v>
      </c>
      <c r="S1024" s="77">
        <v>0</v>
      </c>
      <c r="T1024" s="77">
        <v>0</v>
      </c>
      <c r="U1024" s="77">
        <v>0</v>
      </c>
      <c r="V1024" s="77">
        <v>274</v>
      </c>
      <c r="W1024" s="82" t="s">
        <v>4803</v>
      </c>
      <c r="X1024" s="77"/>
      <c r="Y1024" s="77"/>
      <c r="Z1024" s="77"/>
      <c r="AA1024" s="77" t="s">
        <v>6776</v>
      </c>
      <c r="AB1024" s="77" t="s">
        <v>7696</v>
      </c>
      <c r="AC1024" s="82" t="s">
        <v>7707</v>
      </c>
      <c r="AD1024" s="77" t="s">
        <v>7745</v>
      </c>
      <c r="AE1024" s="80" t="str">
        <f>HYPERLINK("https://twitter.com/facolommoney/status/1668727022099607553")</f>
        <v>https://twitter.com/facolommoney/status/1668727022099607553</v>
      </c>
      <c r="AF1024" s="79">
        <v>45090.880787037036</v>
      </c>
      <c r="AG1024" s="85">
        <v>45090</v>
      </c>
      <c r="AH1024" s="82" t="s">
        <v>8661</v>
      </c>
      <c r="AI1024" s="77" t="b">
        <v>0</v>
      </c>
      <c r="AJ1024" s="77"/>
      <c r="AK1024" s="77"/>
      <c r="AL1024" s="77"/>
      <c r="AM1024" s="77"/>
      <c r="AN1024" s="77"/>
      <c r="AO1024" s="77"/>
      <c r="AP1024" s="77"/>
      <c r="AQ1024" s="77" t="s">
        <v>11283</v>
      </c>
      <c r="AR1024" s="77"/>
      <c r="AS1024" s="77"/>
      <c r="AT1024" s="77"/>
      <c r="AU1024" s="77"/>
      <c r="AV1024" s="80" t="str">
        <f>HYPERLINK("https://pbs.twimg.com/media/FyiCYhYXsAUYag-.jpg")</f>
        <v>https://pbs.twimg.com/media/FyiCYhYXsAUYag-.jpg</v>
      </c>
      <c r="AW1024" s="82" t="s">
        <v>13209</v>
      </c>
      <c r="AX1024" s="82" t="s">
        <v>13209</v>
      </c>
      <c r="AY1024" s="77"/>
      <c r="AZ1024" s="82" t="s">
        <v>15804</v>
      </c>
      <c r="BA1024" s="82" t="s">
        <v>15804</v>
      </c>
      <c r="BB1024" s="82" t="s">
        <v>15804</v>
      </c>
      <c r="BC1024" s="82" t="s">
        <v>13209</v>
      </c>
      <c r="BD1024" s="82" t="s">
        <v>16322</v>
      </c>
      <c r="BE1024" s="77"/>
      <c r="BF1024" s="77"/>
      <c r="BG1024" s="77"/>
      <c r="BH1024" s="77"/>
      <c r="BI1024" s="77"/>
    </row>
    <row r="1025" spans="1:61" x14ac:dyDescent="0.25">
      <c r="A1025" s="62" t="s">
        <v>556</v>
      </c>
      <c r="B1025" s="62" t="s">
        <v>556</v>
      </c>
      <c r="C1025" s="63"/>
      <c r="D1025" s="64"/>
      <c r="E1025" s="65"/>
      <c r="F1025" s="66"/>
      <c r="G1025" s="63"/>
      <c r="H1025" s="67"/>
      <c r="I1025" s="68"/>
      <c r="J1025" s="68"/>
      <c r="K1025" s="32"/>
      <c r="L1025" s="75">
        <v>1025</v>
      </c>
      <c r="M1025" s="75"/>
      <c r="N1025" s="70"/>
      <c r="O1025" s="77" t="s">
        <v>179</v>
      </c>
      <c r="P1025" s="79">
        <v>45090.584143518521</v>
      </c>
      <c r="Q1025" s="77" t="s">
        <v>2121</v>
      </c>
      <c r="R1025" s="77">
        <v>0</v>
      </c>
      <c r="S1025" s="77">
        <v>1</v>
      </c>
      <c r="T1025" s="77">
        <v>3</v>
      </c>
      <c r="U1025" s="77">
        <v>0</v>
      </c>
      <c r="V1025" s="77">
        <v>191</v>
      </c>
      <c r="W1025" s="82" t="s">
        <v>4804</v>
      </c>
      <c r="X1025" s="77"/>
      <c r="Y1025" s="77"/>
      <c r="Z1025" s="77"/>
      <c r="AA1025" s="77" t="s">
        <v>6777</v>
      </c>
      <c r="AB1025" s="77" t="s">
        <v>7696</v>
      </c>
      <c r="AC1025" s="82" t="s">
        <v>7707</v>
      </c>
      <c r="AD1025" s="77" t="s">
        <v>7745</v>
      </c>
      <c r="AE1025" s="80" t="str">
        <f>HYPERLINK("https://twitter.com/facolommoney/status/1668619521652056071")</f>
        <v>https://twitter.com/facolommoney/status/1668619521652056071</v>
      </c>
      <c r="AF1025" s="79">
        <v>45090.584143518521</v>
      </c>
      <c r="AG1025" s="85">
        <v>45090</v>
      </c>
      <c r="AH1025" s="82" t="s">
        <v>8662</v>
      </c>
      <c r="AI1025" s="77" t="b">
        <v>0</v>
      </c>
      <c r="AJ1025" s="77"/>
      <c r="AK1025" s="77"/>
      <c r="AL1025" s="77"/>
      <c r="AM1025" s="77"/>
      <c r="AN1025" s="77"/>
      <c r="AO1025" s="77"/>
      <c r="AP1025" s="77"/>
      <c r="AQ1025" s="77" t="s">
        <v>11284</v>
      </c>
      <c r="AR1025" s="77"/>
      <c r="AS1025" s="77"/>
      <c r="AT1025" s="77"/>
      <c r="AU1025" s="77"/>
      <c r="AV1025" s="80" t="str">
        <f>HYPERLINK("https://pbs.twimg.com/media/FyggnJwaEAIXqu4.jpg")</f>
        <v>https://pbs.twimg.com/media/FyggnJwaEAIXqu4.jpg</v>
      </c>
      <c r="AW1025" s="82" t="s">
        <v>13210</v>
      </c>
      <c r="AX1025" s="82" t="s">
        <v>13210</v>
      </c>
      <c r="AY1025" s="77"/>
      <c r="AZ1025" s="82" t="s">
        <v>15804</v>
      </c>
      <c r="BA1025" s="82" t="s">
        <v>15804</v>
      </c>
      <c r="BB1025" s="82" t="s">
        <v>15804</v>
      </c>
      <c r="BC1025" s="82" t="s">
        <v>13210</v>
      </c>
      <c r="BD1025" s="82" t="s">
        <v>16322</v>
      </c>
      <c r="BE1025" s="77"/>
      <c r="BF1025" s="77"/>
      <c r="BG1025" s="77"/>
      <c r="BH1025" s="77"/>
      <c r="BI1025" s="77"/>
    </row>
    <row r="1026" spans="1:61" x14ac:dyDescent="0.25">
      <c r="A1026" s="62" t="s">
        <v>556</v>
      </c>
      <c r="B1026" s="62" t="s">
        <v>556</v>
      </c>
      <c r="C1026" s="63"/>
      <c r="D1026" s="64"/>
      <c r="E1026" s="65"/>
      <c r="F1026" s="66"/>
      <c r="G1026" s="63"/>
      <c r="H1026" s="67"/>
      <c r="I1026" s="68"/>
      <c r="J1026" s="68"/>
      <c r="K1026" s="32"/>
      <c r="L1026" s="75">
        <v>1026</v>
      </c>
      <c r="M1026" s="75"/>
      <c r="N1026" s="70"/>
      <c r="O1026" s="77" t="s">
        <v>179</v>
      </c>
      <c r="P1026" s="79">
        <v>45077.967303240737</v>
      </c>
      <c r="Q1026" s="77" t="s">
        <v>2122</v>
      </c>
      <c r="R1026" s="77">
        <v>0</v>
      </c>
      <c r="S1026" s="77">
        <v>0</v>
      </c>
      <c r="T1026" s="77">
        <v>1</v>
      </c>
      <c r="U1026" s="77">
        <v>0</v>
      </c>
      <c r="V1026" s="77">
        <v>700</v>
      </c>
      <c r="W1026" s="82" t="s">
        <v>4805</v>
      </c>
      <c r="X1026" s="77"/>
      <c r="Y1026" s="77"/>
      <c r="Z1026" s="77"/>
      <c r="AA1026" s="77" t="s">
        <v>6778</v>
      </c>
      <c r="AB1026" s="77" t="s">
        <v>7696</v>
      </c>
      <c r="AC1026" s="82" t="s">
        <v>7707</v>
      </c>
      <c r="AD1026" s="77" t="s">
        <v>7745</v>
      </c>
      <c r="AE1026" s="80" t="str">
        <f>HYPERLINK("https://twitter.com/facolommoney/status/1664047332747272197")</f>
        <v>https://twitter.com/facolommoney/status/1664047332747272197</v>
      </c>
      <c r="AF1026" s="79">
        <v>45077.967303240737</v>
      </c>
      <c r="AG1026" s="85">
        <v>45077</v>
      </c>
      <c r="AH1026" s="82" t="s">
        <v>8663</v>
      </c>
      <c r="AI1026" s="77" t="b">
        <v>0</v>
      </c>
      <c r="AJ1026" s="77"/>
      <c r="AK1026" s="77"/>
      <c r="AL1026" s="77"/>
      <c r="AM1026" s="77"/>
      <c r="AN1026" s="77"/>
      <c r="AO1026" s="77"/>
      <c r="AP1026" s="77"/>
      <c r="AQ1026" s="77" t="s">
        <v>11285</v>
      </c>
      <c r="AR1026" s="77"/>
      <c r="AS1026" s="77"/>
      <c r="AT1026" s="77"/>
      <c r="AU1026" s="77"/>
      <c r="AV1026" s="80" t="str">
        <f>HYPERLINK("https://pbs.twimg.com/media/FxfiOsgWAAA-mwb.jpg")</f>
        <v>https://pbs.twimg.com/media/FxfiOsgWAAA-mwb.jpg</v>
      </c>
      <c r="AW1026" s="82" t="s">
        <v>13211</v>
      </c>
      <c r="AX1026" s="82" t="s">
        <v>13211</v>
      </c>
      <c r="AY1026" s="77"/>
      <c r="AZ1026" s="82" t="s">
        <v>15804</v>
      </c>
      <c r="BA1026" s="82" t="s">
        <v>15804</v>
      </c>
      <c r="BB1026" s="82" t="s">
        <v>15804</v>
      </c>
      <c r="BC1026" s="82" t="s">
        <v>13211</v>
      </c>
      <c r="BD1026" s="82" t="s">
        <v>16322</v>
      </c>
      <c r="BE1026" s="77"/>
      <c r="BF1026" s="77"/>
      <c r="BG1026" s="77"/>
      <c r="BH1026" s="77"/>
      <c r="BI1026" s="77"/>
    </row>
    <row r="1027" spans="1:61" x14ac:dyDescent="0.25">
      <c r="A1027" s="62" t="s">
        <v>556</v>
      </c>
      <c r="B1027" s="62" t="s">
        <v>556</v>
      </c>
      <c r="C1027" s="63"/>
      <c r="D1027" s="64"/>
      <c r="E1027" s="65"/>
      <c r="F1027" s="66"/>
      <c r="G1027" s="63"/>
      <c r="H1027" s="67"/>
      <c r="I1027" s="68"/>
      <c r="J1027" s="68"/>
      <c r="K1027" s="32"/>
      <c r="L1027" s="75">
        <v>1027</v>
      </c>
      <c r="M1027" s="75"/>
      <c r="N1027" s="70"/>
      <c r="O1027" s="77" t="s">
        <v>179</v>
      </c>
      <c r="P1027" s="79">
        <v>45077.849305555559</v>
      </c>
      <c r="Q1027" s="77" t="s">
        <v>2123</v>
      </c>
      <c r="R1027" s="77">
        <v>0</v>
      </c>
      <c r="S1027" s="77">
        <v>1</v>
      </c>
      <c r="T1027" s="77">
        <v>0</v>
      </c>
      <c r="U1027" s="77">
        <v>0</v>
      </c>
      <c r="V1027" s="77">
        <v>504</v>
      </c>
      <c r="W1027" s="82" t="s">
        <v>4806</v>
      </c>
      <c r="X1027" s="77"/>
      <c r="Y1027" s="77"/>
      <c r="Z1027" s="77"/>
      <c r="AA1027" s="77" t="s">
        <v>6779</v>
      </c>
      <c r="AB1027" s="77" t="s">
        <v>7696</v>
      </c>
      <c r="AC1027" s="82" t="s">
        <v>7707</v>
      </c>
      <c r="AD1027" s="77" t="s">
        <v>7745</v>
      </c>
      <c r="AE1027" s="80" t="str">
        <f>HYPERLINK("https://twitter.com/facolommoney/status/1664004571583094784")</f>
        <v>https://twitter.com/facolommoney/status/1664004571583094784</v>
      </c>
      <c r="AF1027" s="79">
        <v>45077.849305555559</v>
      </c>
      <c r="AG1027" s="85">
        <v>45077</v>
      </c>
      <c r="AH1027" s="82" t="s">
        <v>8664</v>
      </c>
      <c r="AI1027" s="77" t="b">
        <v>0</v>
      </c>
      <c r="AJ1027" s="77"/>
      <c r="AK1027" s="77"/>
      <c r="AL1027" s="77"/>
      <c r="AM1027" s="77"/>
      <c r="AN1027" s="77"/>
      <c r="AO1027" s="77"/>
      <c r="AP1027" s="77"/>
      <c r="AQ1027" s="77" t="s">
        <v>11286</v>
      </c>
      <c r="AR1027" s="77"/>
      <c r="AS1027" s="77"/>
      <c r="AT1027" s="77"/>
      <c r="AU1027" s="77"/>
      <c r="AV1027" s="80" t="str">
        <f>HYPERLINK("https://pbs.twimg.com/media/Fxe7VuCWcAMIcJe.jpg")</f>
        <v>https://pbs.twimg.com/media/Fxe7VuCWcAMIcJe.jpg</v>
      </c>
      <c r="AW1027" s="82" t="s">
        <v>13212</v>
      </c>
      <c r="AX1027" s="82" t="s">
        <v>13212</v>
      </c>
      <c r="AY1027" s="77"/>
      <c r="AZ1027" s="82" t="s">
        <v>15804</v>
      </c>
      <c r="BA1027" s="82" t="s">
        <v>15804</v>
      </c>
      <c r="BB1027" s="82" t="s">
        <v>15804</v>
      </c>
      <c r="BC1027" s="82" t="s">
        <v>13212</v>
      </c>
      <c r="BD1027" s="82" t="s">
        <v>16322</v>
      </c>
      <c r="BE1027" s="77"/>
      <c r="BF1027" s="77"/>
      <c r="BG1027" s="77"/>
      <c r="BH1027" s="77"/>
      <c r="BI1027" s="77"/>
    </row>
    <row r="1028" spans="1:61" x14ac:dyDescent="0.25">
      <c r="A1028" s="62" t="s">
        <v>556</v>
      </c>
      <c r="B1028" s="62" t="s">
        <v>556</v>
      </c>
      <c r="C1028" s="63"/>
      <c r="D1028" s="64"/>
      <c r="E1028" s="65"/>
      <c r="F1028" s="66"/>
      <c r="G1028" s="63"/>
      <c r="H1028" s="67"/>
      <c r="I1028" s="68"/>
      <c r="J1028" s="68"/>
      <c r="K1028" s="32"/>
      <c r="L1028" s="75">
        <v>1028</v>
      </c>
      <c r="M1028" s="75"/>
      <c r="N1028" s="70"/>
      <c r="O1028" s="77" t="s">
        <v>179</v>
      </c>
      <c r="P1028" s="79">
        <v>45106.04246527778</v>
      </c>
      <c r="Q1028" s="77" t="s">
        <v>2124</v>
      </c>
      <c r="R1028" s="77">
        <v>0</v>
      </c>
      <c r="S1028" s="77">
        <v>0</v>
      </c>
      <c r="T1028" s="77">
        <v>0</v>
      </c>
      <c r="U1028" s="77">
        <v>0</v>
      </c>
      <c r="V1028" s="77">
        <v>121</v>
      </c>
      <c r="W1028" s="82" t="s">
        <v>4807</v>
      </c>
      <c r="X1028" s="77"/>
      <c r="Y1028" s="77"/>
      <c r="Z1028" s="77"/>
      <c r="AA1028" s="77" t="s">
        <v>6780</v>
      </c>
      <c r="AB1028" s="77" t="s">
        <v>7697</v>
      </c>
      <c r="AC1028" s="82" t="s">
        <v>7707</v>
      </c>
      <c r="AD1028" s="77" t="s">
        <v>7745</v>
      </c>
      <c r="AE1028" s="80" t="str">
        <f>HYPERLINK("https://twitter.com/facolommoney/status/1674221432975360000")</f>
        <v>https://twitter.com/facolommoney/status/1674221432975360000</v>
      </c>
      <c r="AF1028" s="79">
        <v>45106.04246527778</v>
      </c>
      <c r="AG1028" s="85">
        <v>45106</v>
      </c>
      <c r="AH1028" s="82" t="s">
        <v>8665</v>
      </c>
      <c r="AI1028" s="77" t="b">
        <v>0</v>
      </c>
      <c r="AJ1028" s="77"/>
      <c r="AK1028" s="77"/>
      <c r="AL1028" s="77"/>
      <c r="AM1028" s="77"/>
      <c r="AN1028" s="77"/>
      <c r="AO1028" s="77"/>
      <c r="AP1028" s="77"/>
      <c r="AQ1028" s="77" t="s">
        <v>11287</v>
      </c>
      <c r="AR1028" s="77">
        <v>2933</v>
      </c>
      <c r="AS1028" s="77"/>
      <c r="AT1028" s="77"/>
      <c r="AU1028" s="77">
        <v>35</v>
      </c>
      <c r="AV1028" s="80" t="str">
        <f>HYPERLINK("https://pbs.twimg.com/ext_tw_video_thumb/1674221409076224005/pu/img/47LyARPpsydyX8xU.jpg")</f>
        <v>https://pbs.twimg.com/ext_tw_video_thumb/1674221409076224005/pu/img/47LyARPpsydyX8xU.jpg</v>
      </c>
      <c r="AW1028" s="82" t="s">
        <v>13213</v>
      </c>
      <c r="AX1028" s="82" t="s">
        <v>13213</v>
      </c>
      <c r="AY1028" s="77"/>
      <c r="AZ1028" s="82" t="s">
        <v>15804</v>
      </c>
      <c r="BA1028" s="82" t="s">
        <v>15804</v>
      </c>
      <c r="BB1028" s="82" t="s">
        <v>15804</v>
      </c>
      <c r="BC1028" s="82" t="s">
        <v>13213</v>
      </c>
      <c r="BD1028" s="82" t="s">
        <v>16322</v>
      </c>
      <c r="BE1028" s="77"/>
      <c r="BF1028" s="77"/>
      <c r="BG1028" s="77"/>
      <c r="BH1028" s="77"/>
      <c r="BI1028" s="77"/>
    </row>
    <row r="1029" spans="1:61" x14ac:dyDescent="0.25">
      <c r="A1029" s="62" t="s">
        <v>556</v>
      </c>
      <c r="B1029" s="62" t="s">
        <v>556</v>
      </c>
      <c r="C1029" s="63"/>
      <c r="D1029" s="64"/>
      <c r="E1029" s="65"/>
      <c r="F1029" s="66"/>
      <c r="G1029" s="63"/>
      <c r="H1029" s="67"/>
      <c r="I1029" s="68"/>
      <c r="J1029" s="68"/>
      <c r="K1029" s="32"/>
      <c r="L1029" s="75">
        <v>1029</v>
      </c>
      <c r="M1029" s="75"/>
      <c r="N1029" s="70"/>
      <c r="O1029" s="77" t="s">
        <v>179</v>
      </c>
      <c r="P1029" s="79">
        <v>45091.863113425927</v>
      </c>
      <c r="Q1029" s="77" t="s">
        <v>2125</v>
      </c>
      <c r="R1029" s="77">
        <v>0</v>
      </c>
      <c r="S1029" s="77">
        <v>0</v>
      </c>
      <c r="T1029" s="77">
        <v>0</v>
      </c>
      <c r="U1029" s="77">
        <v>0</v>
      </c>
      <c r="V1029" s="77">
        <v>217</v>
      </c>
      <c r="W1029" s="82" t="s">
        <v>4803</v>
      </c>
      <c r="X1029" s="77"/>
      <c r="Y1029" s="77"/>
      <c r="Z1029" s="77"/>
      <c r="AA1029" s="77" t="s">
        <v>6781</v>
      </c>
      <c r="AB1029" s="77" t="s">
        <v>7697</v>
      </c>
      <c r="AC1029" s="82" t="s">
        <v>7707</v>
      </c>
      <c r="AD1029" s="77" t="s">
        <v>7745</v>
      </c>
      <c r="AE1029" s="80" t="str">
        <f>HYPERLINK("https://twitter.com/facolommoney/status/1669083006798012419")</f>
        <v>https://twitter.com/facolommoney/status/1669083006798012419</v>
      </c>
      <c r="AF1029" s="79">
        <v>45091.863113425927</v>
      </c>
      <c r="AG1029" s="85">
        <v>45091</v>
      </c>
      <c r="AH1029" s="82" t="s">
        <v>8666</v>
      </c>
      <c r="AI1029" s="77" t="b">
        <v>0</v>
      </c>
      <c r="AJ1029" s="77"/>
      <c r="AK1029" s="77"/>
      <c r="AL1029" s="77"/>
      <c r="AM1029" s="77"/>
      <c r="AN1029" s="77"/>
      <c r="AO1029" s="77"/>
      <c r="AP1029" s="77"/>
      <c r="AQ1029" s="77" t="s">
        <v>11288</v>
      </c>
      <c r="AR1029" s="77">
        <v>4933</v>
      </c>
      <c r="AS1029" s="77"/>
      <c r="AT1029" s="77"/>
      <c r="AU1029" s="77">
        <v>51</v>
      </c>
      <c r="AV1029" s="80" t="str">
        <f>HYPERLINK("https://pbs.twimg.com/ext_tw_video_thumb/1669082980076093448/pu/img/sfV6jmzne7XqGpSd.jpg")</f>
        <v>https://pbs.twimg.com/ext_tw_video_thumb/1669082980076093448/pu/img/sfV6jmzne7XqGpSd.jpg</v>
      </c>
      <c r="AW1029" s="82" t="s">
        <v>13214</v>
      </c>
      <c r="AX1029" s="82" t="s">
        <v>13214</v>
      </c>
      <c r="AY1029" s="77"/>
      <c r="AZ1029" s="82" t="s">
        <v>15804</v>
      </c>
      <c r="BA1029" s="82" t="s">
        <v>15804</v>
      </c>
      <c r="BB1029" s="82" t="s">
        <v>15804</v>
      </c>
      <c r="BC1029" s="82" t="s">
        <v>13214</v>
      </c>
      <c r="BD1029" s="82" t="s">
        <v>16322</v>
      </c>
      <c r="BE1029" s="77"/>
      <c r="BF1029" s="77"/>
      <c r="BG1029" s="77"/>
      <c r="BH1029" s="77"/>
      <c r="BI1029" s="77"/>
    </row>
    <row r="1030" spans="1:61" x14ac:dyDescent="0.25">
      <c r="A1030" s="62" t="s">
        <v>556</v>
      </c>
      <c r="B1030" s="62" t="s">
        <v>556</v>
      </c>
      <c r="C1030" s="63"/>
      <c r="D1030" s="64"/>
      <c r="E1030" s="65"/>
      <c r="F1030" s="66"/>
      <c r="G1030" s="63"/>
      <c r="H1030" s="67"/>
      <c r="I1030" s="68"/>
      <c r="J1030" s="68"/>
      <c r="K1030" s="32"/>
      <c r="L1030" s="75">
        <v>1030</v>
      </c>
      <c r="M1030" s="75"/>
      <c r="N1030" s="70"/>
      <c r="O1030" s="77" t="s">
        <v>179</v>
      </c>
      <c r="P1030" s="79">
        <v>45091.486284722225</v>
      </c>
      <c r="Q1030" s="77" t="s">
        <v>2126</v>
      </c>
      <c r="R1030" s="77">
        <v>0</v>
      </c>
      <c r="S1030" s="77">
        <v>0</v>
      </c>
      <c r="T1030" s="77">
        <v>0</v>
      </c>
      <c r="U1030" s="77">
        <v>0</v>
      </c>
      <c r="V1030" s="77">
        <v>194</v>
      </c>
      <c r="W1030" s="82" t="s">
        <v>4808</v>
      </c>
      <c r="X1030" s="77"/>
      <c r="Y1030" s="77"/>
      <c r="Z1030" s="77"/>
      <c r="AA1030" s="77" t="s">
        <v>6782</v>
      </c>
      <c r="AB1030" s="77" t="s">
        <v>7697</v>
      </c>
      <c r="AC1030" s="82" t="s">
        <v>7707</v>
      </c>
      <c r="AD1030" s="77" t="s">
        <v>7745</v>
      </c>
      <c r="AE1030" s="80" t="str">
        <f>HYPERLINK("https://twitter.com/facolommoney/status/1668946448770056192")</f>
        <v>https://twitter.com/facolommoney/status/1668946448770056192</v>
      </c>
      <c r="AF1030" s="79">
        <v>45091.486284722225</v>
      </c>
      <c r="AG1030" s="85">
        <v>45091</v>
      </c>
      <c r="AH1030" s="82" t="s">
        <v>8667</v>
      </c>
      <c r="AI1030" s="77" t="b">
        <v>0</v>
      </c>
      <c r="AJ1030" s="77"/>
      <c r="AK1030" s="77"/>
      <c r="AL1030" s="77"/>
      <c r="AM1030" s="77"/>
      <c r="AN1030" s="77"/>
      <c r="AO1030" s="77"/>
      <c r="AP1030" s="77"/>
      <c r="AQ1030" s="77" t="s">
        <v>11289</v>
      </c>
      <c r="AR1030" s="77">
        <v>4933</v>
      </c>
      <c r="AS1030" s="77"/>
      <c r="AT1030" s="77"/>
      <c r="AU1030" s="77">
        <v>55</v>
      </c>
      <c r="AV1030" s="80" t="str">
        <f>HYPERLINK("https://pbs.twimg.com/ext_tw_video_thumb/1668946421892956160/pu/img/SndseRHyZMGKq3T0.jpg")</f>
        <v>https://pbs.twimg.com/ext_tw_video_thumb/1668946421892956160/pu/img/SndseRHyZMGKq3T0.jpg</v>
      </c>
      <c r="AW1030" s="82" t="s">
        <v>13215</v>
      </c>
      <c r="AX1030" s="82" t="s">
        <v>13215</v>
      </c>
      <c r="AY1030" s="77"/>
      <c r="AZ1030" s="82" t="s">
        <v>15804</v>
      </c>
      <c r="BA1030" s="82" t="s">
        <v>15804</v>
      </c>
      <c r="BB1030" s="82" t="s">
        <v>15804</v>
      </c>
      <c r="BC1030" s="82" t="s">
        <v>13215</v>
      </c>
      <c r="BD1030" s="82" t="s">
        <v>16322</v>
      </c>
      <c r="BE1030" s="77"/>
      <c r="BF1030" s="77"/>
      <c r="BG1030" s="77"/>
      <c r="BH1030" s="77"/>
      <c r="BI1030" s="77"/>
    </row>
    <row r="1031" spans="1:61" x14ac:dyDescent="0.25">
      <c r="A1031" s="62" t="s">
        <v>556</v>
      </c>
      <c r="B1031" s="62" t="s">
        <v>556</v>
      </c>
      <c r="C1031" s="63"/>
      <c r="D1031" s="64"/>
      <c r="E1031" s="65"/>
      <c r="F1031" s="66"/>
      <c r="G1031" s="63"/>
      <c r="H1031" s="67"/>
      <c r="I1031" s="68"/>
      <c r="J1031" s="68"/>
      <c r="K1031" s="32"/>
      <c r="L1031" s="75">
        <v>1031</v>
      </c>
      <c r="M1031" s="75"/>
      <c r="N1031" s="70"/>
      <c r="O1031" s="77" t="s">
        <v>179</v>
      </c>
      <c r="P1031" s="79">
        <v>45089.84579861111</v>
      </c>
      <c r="Q1031" s="77" t="s">
        <v>2127</v>
      </c>
      <c r="R1031" s="77">
        <v>0</v>
      </c>
      <c r="S1031" s="77">
        <v>1</v>
      </c>
      <c r="T1031" s="77">
        <v>0</v>
      </c>
      <c r="U1031" s="77">
        <v>0</v>
      </c>
      <c r="V1031" s="77">
        <v>295</v>
      </c>
      <c r="W1031" s="82" t="s">
        <v>4803</v>
      </c>
      <c r="X1031" s="77"/>
      <c r="Y1031" s="77"/>
      <c r="Z1031" s="77"/>
      <c r="AA1031" s="77" t="s">
        <v>6783</v>
      </c>
      <c r="AB1031" s="77" t="s">
        <v>7697</v>
      </c>
      <c r="AC1031" s="82" t="s">
        <v>7707</v>
      </c>
      <c r="AD1031" s="77" t="s">
        <v>7745</v>
      </c>
      <c r="AE1031" s="80" t="str">
        <f>HYPERLINK("https://twitter.com/facolommoney/status/1668351956790697997")</f>
        <v>https://twitter.com/facolommoney/status/1668351956790697997</v>
      </c>
      <c r="AF1031" s="79">
        <v>45089.84579861111</v>
      </c>
      <c r="AG1031" s="85">
        <v>45089</v>
      </c>
      <c r="AH1031" s="82" t="s">
        <v>8668</v>
      </c>
      <c r="AI1031" s="77" t="b">
        <v>0</v>
      </c>
      <c r="AJ1031" s="77"/>
      <c r="AK1031" s="77"/>
      <c r="AL1031" s="77"/>
      <c r="AM1031" s="77"/>
      <c r="AN1031" s="77"/>
      <c r="AO1031" s="77"/>
      <c r="AP1031" s="77"/>
      <c r="AQ1031" s="77" t="s">
        <v>11290</v>
      </c>
      <c r="AR1031" s="77">
        <v>4933</v>
      </c>
      <c r="AS1031" s="77"/>
      <c r="AT1031" s="77"/>
      <c r="AU1031" s="77">
        <v>36</v>
      </c>
      <c r="AV1031" s="80" t="str">
        <f>HYPERLINK("https://pbs.twimg.com/ext_tw_video_thumb/1668351933415841814/pu/img/7PZG1FCmETGPQTNy.jpg")</f>
        <v>https://pbs.twimg.com/ext_tw_video_thumb/1668351933415841814/pu/img/7PZG1FCmETGPQTNy.jpg</v>
      </c>
      <c r="AW1031" s="82" t="s">
        <v>13216</v>
      </c>
      <c r="AX1031" s="82" t="s">
        <v>13216</v>
      </c>
      <c r="AY1031" s="77"/>
      <c r="AZ1031" s="82" t="s">
        <v>15804</v>
      </c>
      <c r="BA1031" s="82" t="s">
        <v>15804</v>
      </c>
      <c r="BB1031" s="82" t="s">
        <v>15804</v>
      </c>
      <c r="BC1031" s="82" t="s">
        <v>13216</v>
      </c>
      <c r="BD1031" s="82" t="s">
        <v>16322</v>
      </c>
      <c r="BE1031" s="77"/>
      <c r="BF1031" s="77"/>
      <c r="BG1031" s="77"/>
      <c r="BH1031" s="77"/>
      <c r="BI1031" s="77"/>
    </row>
    <row r="1032" spans="1:61" x14ac:dyDescent="0.25">
      <c r="A1032" s="62" t="s">
        <v>556</v>
      </c>
      <c r="B1032" s="62" t="s">
        <v>556</v>
      </c>
      <c r="C1032" s="63"/>
      <c r="D1032" s="64"/>
      <c r="E1032" s="65"/>
      <c r="F1032" s="66"/>
      <c r="G1032" s="63"/>
      <c r="H1032" s="67"/>
      <c r="I1032" s="68"/>
      <c r="J1032" s="68"/>
      <c r="K1032" s="32"/>
      <c r="L1032" s="75">
        <v>1032</v>
      </c>
      <c r="M1032" s="75"/>
      <c r="N1032" s="70"/>
      <c r="O1032" s="77" t="s">
        <v>179</v>
      </c>
      <c r="P1032" s="79">
        <v>45088.093333333331</v>
      </c>
      <c r="Q1032" s="77" t="s">
        <v>2128</v>
      </c>
      <c r="R1032" s="77">
        <v>0</v>
      </c>
      <c r="S1032" s="77">
        <v>0</v>
      </c>
      <c r="T1032" s="77">
        <v>0</v>
      </c>
      <c r="U1032" s="77">
        <v>0</v>
      </c>
      <c r="V1032" s="77">
        <v>264</v>
      </c>
      <c r="W1032" s="82" t="s">
        <v>4809</v>
      </c>
      <c r="X1032" s="77"/>
      <c r="Y1032" s="77"/>
      <c r="Z1032" s="77"/>
      <c r="AA1032" s="77" t="s">
        <v>6784</v>
      </c>
      <c r="AB1032" s="77" t="s">
        <v>7696</v>
      </c>
      <c r="AC1032" s="82" t="s">
        <v>7707</v>
      </c>
      <c r="AD1032" s="77" t="s">
        <v>7745</v>
      </c>
      <c r="AE1032" s="80" t="str">
        <f>HYPERLINK("https://twitter.com/facolommoney/status/1667716883225640960")</f>
        <v>https://twitter.com/facolommoney/status/1667716883225640960</v>
      </c>
      <c r="AF1032" s="79">
        <v>45088.093333333331</v>
      </c>
      <c r="AG1032" s="85">
        <v>45088</v>
      </c>
      <c r="AH1032" s="82" t="s">
        <v>8669</v>
      </c>
      <c r="AI1032" s="77" t="b">
        <v>0</v>
      </c>
      <c r="AJ1032" s="77"/>
      <c r="AK1032" s="77"/>
      <c r="AL1032" s="77"/>
      <c r="AM1032" s="77"/>
      <c r="AN1032" s="77"/>
      <c r="AO1032" s="77"/>
      <c r="AP1032" s="77"/>
      <c r="AQ1032" s="77" t="s">
        <v>11291</v>
      </c>
      <c r="AR1032" s="77"/>
      <c r="AS1032" s="77"/>
      <c r="AT1032" s="77"/>
      <c r="AU1032" s="77"/>
      <c r="AV1032" s="80" t="str">
        <f>HYPERLINK("https://pbs.twimg.com/media/FyTrqqgWAAIHXoF.jpg")</f>
        <v>https://pbs.twimg.com/media/FyTrqqgWAAIHXoF.jpg</v>
      </c>
      <c r="AW1032" s="82" t="s">
        <v>13217</v>
      </c>
      <c r="AX1032" s="82" t="s">
        <v>13217</v>
      </c>
      <c r="AY1032" s="77"/>
      <c r="AZ1032" s="82" t="s">
        <v>15804</v>
      </c>
      <c r="BA1032" s="82" t="s">
        <v>15804</v>
      </c>
      <c r="BB1032" s="82" t="s">
        <v>15804</v>
      </c>
      <c r="BC1032" s="82" t="s">
        <v>13217</v>
      </c>
      <c r="BD1032" s="82" t="s">
        <v>16322</v>
      </c>
      <c r="BE1032" s="77"/>
      <c r="BF1032" s="77"/>
      <c r="BG1032" s="77"/>
      <c r="BH1032" s="77"/>
      <c r="BI1032" s="77"/>
    </row>
    <row r="1033" spans="1:61" x14ac:dyDescent="0.25">
      <c r="A1033" s="62" t="s">
        <v>556</v>
      </c>
      <c r="B1033" s="62" t="s">
        <v>556</v>
      </c>
      <c r="C1033" s="63"/>
      <c r="D1033" s="64"/>
      <c r="E1033" s="65"/>
      <c r="F1033" s="66"/>
      <c r="G1033" s="63"/>
      <c r="H1033" s="67"/>
      <c r="I1033" s="68"/>
      <c r="J1033" s="68"/>
      <c r="K1033" s="32"/>
      <c r="L1033" s="75">
        <v>1033</v>
      </c>
      <c r="M1033" s="75"/>
      <c r="N1033" s="70"/>
      <c r="O1033" s="77" t="s">
        <v>179</v>
      </c>
      <c r="P1033" s="79">
        <v>45086.846238425926</v>
      </c>
      <c r="Q1033" s="77" t="s">
        <v>2129</v>
      </c>
      <c r="R1033" s="77">
        <v>0</v>
      </c>
      <c r="S1033" s="77">
        <v>1</v>
      </c>
      <c r="T1033" s="77">
        <v>0</v>
      </c>
      <c r="U1033" s="77">
        <v>0</v>
      </c>
      <c r="V1033" s="77">
        <v>166</v>
      </c>
      <c r="W1033" s="82" t="s">
        <v>4803</v>
      </c>
      <c r="X1033" s="77"/>
      <c r="Y1033" s="77"/>
      <c r="Z1033" s="77"/>
      <c r="AA1033" s="77" t="s">
        <v>6785</v>
      </c>
      <c r="AB1033" s="77" t="s">
        <v>7696</v>
      </c>
      <c r="AC1033" s="82" t="s">
        <v>7707</v>
      </c>
      <c r="AD1033" s="77" t="s">
        <v>7745</v>
      </c>
      <c r="AE1033" s="80" t="str">
        <f>HYPERLINK("https://twitter.com/facolommoney/status/1667264952426549256")</f>
        <v>https://twitter.com/facolommoney/status/1667264952426549256</v>
      </c>
      <c r="AF1033" s="79">
        <v>45086.846238425926</v>
      </c>
      <c r="AG1033" s="85">
        <v>45086</v>
      </c>
      <c r="AH1033" s="82" t="s">
        <v>8670</v>
      </c>
      <c r="AI1033" s="77" t="b">
        <v>0</v>
      </c>
      <c r="AJ1033" s="77"/>
      <c r="AK1033" s="77"/>
      <c r="AL1033" s="77"/>
      <c r="AM1033" s="77"/>
      <c r="AN1033" s="77"/>
      <c r="AO1033" s="77"/>
      <c r="AP1033" s="77"/>
      <c r="AQ1033" s="77" t="s">
        <v>11292</v>
      </c>
      <c r="AR1033" s="77"/>
      <c r="AS1033" s="77"/>
      <c r="AT1033" s="77"/>
      <c r="AU1033" s="77"/>
      <c r="AV1033" s="80" t="str">
        <f>HYPERLINK("https://pbs.twimg.com/media/FyNQo1pWwAAGOw8.jpg")</f>
        <v>https://pbs.twimg.com/media/FyNQo1pWwAAGOw8.jpg</v>
      </c>
      <c r="AW1033" s="82" t="s">
        <v>13218</v>
      </c>
      <c r="AX1033" s="82" t="s">
        <v>13218</v>
      </c>
      <c r="AY1033" s="77"/>
      <c r="AZ1033" s="82" t="s">
        <v>15804</v>
      </c>
      <c r="BA1033" s="82" t="s">
        <v>15804</v>
      </c>
      <c r="BB1033" s="82" t="s">
        <v>15804</v>
      </c>
      <c r="BC1033" s="82" t="s">
        <v>13218</v>
      </c>
      <c r="BD1033" s="82" t="s">
        <v>16322</v>
      </c>
      <c r="BE1033" s="77"/>
      <c r="BF1033" s="77"/>
      <c r="BG1033" s="77"/>
      <c r="BH1033" s="77"/>
      <c r="BI1033" s="77"/>
    </row>
    <row r="1034" spans="1:61" x14ac:dyDescent="0.25">
      <c r="A1034" s="62" t="s">
        <v>557</v>
      </c>
      <c r="B1034" s="62" t="s">
        <v>557</v>
      </c>
      <c r="C1034" s="63"/>
      <c r="D1034" s="64"/>
      <c r="E1034" s="65"/>
      <c r="F1034" s="66"/>
      <c r="G1034" s="63"/>
      <c r="H1034" s="67"/>
      <c r="I1034" s="68"/>
      <c r="J1034" s="68"/>
      <c r="K1034" s="32"/>
      <c r="L1034" s="75">
        <v>1034</v>
      </c>
      <c r="M1034" s="75"/>
      <c r="N1034" s="70"/>
      <c r="O1034" s="77" t="s">
        <v>179</v>
      </c>
      <c r="P1034" s="79">
        <v>45138.542013888888</v>
      </c>
      <c r="Q1034" s="77" t="s">
        <v>2130</v>
      </c>
      <c r="R1034" s="77">
        <v>0</v>
      </c>
      <c r="S1034" s="77">
        <v>0</v>
      </c>
      <c r="T1034" s="77">
        <v>0</v>
      </c>
      <c r="U1034" s="77">
        <v>0</v>
      </c>
      <c r="V1034" s="77">
        <v>20</v>
      </c>
      <c r="W1034" s="82" t="s">
        <v>4810</v>
      </c>
      <c r="X1034" s="77"/>
      <c r="Y1034" s="77"/>
      <c r="Z1034" s="77"/>
      <c r="AA1034" s="77" t="s">
        <v>6786</v>
      </c>
      <c r="AB1034" s="77" t="s">
        <v>7696</v>
      </c>
      <c r="AC1034" s="82" t="s">
        <v>7716</v>
      </c>
      <c r="AD1034" s="77" t="s">
        <v>7745</v>
      </c>
      <c r="AE1034" s="80" t="str">
        <f>HYPERLINK("https://twitter.com/cra_es/status/1685998872571604993")</f>
        <v>https://twitter.com/cra_es/status/1685998872571604993</v>
      </c>
      <c r="AF1034" s="79">
        <v>45138.542013888888</v>
      </c>
      <c r="AG1034" s="85">
        <v>45138</v>
      </c>
      <c r="AH1034" s="82" t="s">
        <v>8671</v>
      </c>
      <c r="AI1034" s="77" t="b">
        <v>0</v>
      </c>
      <c r="AJ1034" s="77"/>
      <c r="AK1034" s="77"/>
      <c r="AL1034" s="77"/>
      <c r="AM1034" s="77"/>
      <c r="AN1034" s="77"/>
      <c r="AO1034" s="77"/>
      <c r="AP1034" s="77"/>
      <c r="AQ1034" s="77" t="s">
        <v>11293</v>
      </c>
      <c r="AR1034" s="77"/>
      <c r="AS1034" s="77"/>
      <c r="AT1034" s="77"/>
      <c r="AU1034" s="77"/>
      <c r="AV1034" s="80" t="str">
        <f>HYPERLINK("https://pbs.twimg.com/media/F2XfCiEXYAEvcYC.jpg")</f>
        <v>https://pbs.twimg.com/media/F2XfCiEXYAEvcYC.jpg</v>
      </c>
      <c r="AW1034" s="82" t="s">
        <v>13219</v>
      </c>
      <c r="AX1034" s="82" t="s">
        <v>13219</v>
      </c>
      <c r="AY1034" s="77"/>
      <c r="AZ1034" s="82" t="s">
        <v>15804</v>
      </c>
      <c r="BA1034" s="82" t="s">
        <v>15804</v>
      </c>
      <c r="BB1034" s="82" t="s">
        <v>15804</v>
      </c>
      <c r="BC1034" s="82" t="s">
        <v>13219</v>
      </c>
      <c r="BD1034" s="77">
        <v>117174657</v>
      </c>
      <c r="BE1034" s="77"/>
      <c r="BF1034" s="77"/>
      <c r="BG1034" s="77"/>
      <c r="BH1034" s="77"/>
      <c r="BI1034" s="77"/>
    </row>
    <row r="1035" spans="1:61" x14ac:dyDescent="0.25">
      <c r="A1035" s="62" t="s">
        <v>558</v>
      </c>
      <c r="B1035" s="62" t="s">
        <v>558</v>
      </c>
      <c r="C1035" s="63"/>
      <c r="D1035" s="64"/>
      <c r="E1035" s="65"/>
      <c r="F1035" s="66"/>
      <c r="G1035" s="63"/>
      <c r="H1035" s="67"/>
      <c r="I1035" s="68"/>
      <c r="J1035" s="68"/>
      <c r="K1035" s="32"/>
      <c r="L1035" s="75">
        <v>1035</v>
      </c>
      <c r="M1035" s="75"/>
      <c r="N1035" s="70"/>
      <c r="O1035" s="77" t="s">
        <v>179</v>
      </c>
      <c r="P1035" s="79">
        <v>44932.094490740739</v>
      </c>
      <c r="Q1035" s="77" t="s">
        <v>2131</v>
      </c>
      <c r="R1035" s="77">
        <v>0</v>
      </c>
      <c r="S1035" s="77">
        <v>0</v>
      </c>
      <c r="T1035" s="77">
        <v>0</v>
      </c>
      <c r="U1035" s="77">
        <v>0</v>
      </c>
      <c r="V1035" s="77">
        <v>60</v>
      </c>
      <c r="W1035" s="82" t="s">
        <v>4811</v>
      </c>
      <c r="X1035" s="77"/>
      <c r="Y1035" s="77"/>
      <c r="Z1035" s="77"/>
      <c r="AA1035" s="77" t="s">
        <v>6787</v>
      </c>
      <c r="AB1035" s="77" t="s">
        <v>7696</v>
      </c>
      <c r="AC1035" s="82" t="s">
        <v>7707</v>
      </c>
      <c r="AD1035" s="77" t="s">
        <v>7745</v>
      </c>
      <c r="AE1035" s="80" t="str">
        <f>HYPERLINK("https://twitter.com/ronysampaioadm/status/1611184797396922369")</f>
        <v>https://twitter.com/ronysampaioadm/status/1611184797396922369</v>
      </c>
      <c r="AF1035" s="79">
        <v>44932.094490740739</v>
      </c>
      <c r="AG1035" s="85">
        <v>44932</v>
      </c>
      <c r="AH1035" s="82" t="s">
        <v>8672</v>
      </c>
      <c r="AI1035" s="77" t="b">
        <v>0</v>
      </c>
      <c r="AJ1035" s="77" t="s">
        <v>10536</v>
      </c>
      <c r="AK1035" s="77" t="s">
        <v>10552</v>
      </c>
      <c r="AL1035" s="77" t="s">
        <v>10555</v>
      </c>
      <c r="AM1035" s="77" t="s">
        <v>10573</v>
      </c>
      <c r="AN1035" s="77" t="s">
        <v>10603</v>
      </c>
      <c r="AO1035" s="77" t="s">
        <v>10634</v>
      </c>
      <c r="AP1035" s="77" t="s">
        <v>10649</v>
      </c>
      <c r="AQ1035" s="77" t="s">
        <v>11294</v>
      </c>
      <c r="AR1035" s="77"/>
      <c r="AS1035" s="77"/>
      <c r="AT1035" s="77"/>
      <c r="AU1035" s="77"/>
      <c r="AV1035" s="80" t="str">
        <f>HYPERLINK("https://pbs.twimg.com/media/FlwUCOZXkAEza0k.png")</f>
        <v>https://pbs.twimg.com/media/FlwUCOZXkAEza0k.png</v>
      </c>
      <c r="AW1035" s="82" t="s">
        <v>13220</v>
      </c>
      <c r="AX1035" s="82" t="s">
        <v>13220</v>
      </c>
      <c r="AY1035" s="77"/>
      <c r="AZ1035" s="82" t="s">
        <v>15804</v>
      </c>
      <c r="BA1035" s="82" t="s">
        <v>15804</v>
      </c>
      <c r="BB1035" s="82" t="s">
        <v>15804</v>
      </c>
      <c r="BC1035" s="82" t="s">
        <v>13220</v>
      </c>
      <c r="BD1035" s="82" t="s">
        <v>16323</v>
      </c>
      <c r="BE1035" s="77"/>
      <c r="BF1035" s="77"/>
      <c r="BG1035" s="77"/>
      <c r="BH1035" s="77"/>
      <c r="BI1035" s="77"/>
    </row>
    <row r="1036" spans="1:61" x14ac:dyDescent="0.25">
      <c r="A1036" s="62" t="s">
        <v>559</v>
      </c>
      <c r="B1036" s="62" t="s">
        <v>559</v>
      </c>
      <c r="C1036" s="63"/>
      <c r="D1036" s="64"/>
      <c r="E1036" s="65"/>
      <c r="F1036" s="66"/>
      <c r="G1036" s="63"/>
      <c r="H1036" s="67"/>
      <c r="I1036" s="68"/>
      <c r="J1036" s="68"/>
      <c r="K1036" s="32"/>
      <c r="L1036" s="75">
        <v>1036</v>
      </c>
      <c r="M1036" s="75"/>
      <c r="N1036" s="70"/>
      <c r="O1036" s="77" t="s">
        <v>179</v>
      </c>
      <c r="P1036" s="79">
        <v>45014.849062499998</v>
      </c>
      <c r="Q1036" s="77" t="s">
        <v>2132</v>
      </c>
      <c r="R1036" s="77">
        <v>0</v>
      </c>
      <c r="S1036" s="77">
        <v>0</v>
      </c>
      <c r="T1036" s="77">
        <v>0</v>
      </c>
      <c r="U1036" s="77">
        <v>0</v>
      </c>
      <c r="V1036" s="77">
        <v>11</v>
      </c>
      <c r="W1036" s="82" t="s">
        <v>4812</v>
      </c>
      <c r="X1036" s="80" t="str">
        <f>HYPERLINK("https://messiasdahora.blogspot.com/2023/03/10-passos-simples-para-gerenciar-suas.html")</f>
        <v>https://messiasdahora.blogspot.com/2023/03/10-passos-simples-para-gerenciar-suas.html</v>
      </c>
      <c r="Y1036" s="77" t="s">
        <v>6001</v>
      </c>
      <c r="Z1036" s="77"/>
      <c r="AA1036" s="77"/>
      <c r="AB1036" s="77"/>
      <c r="AC1036" s="82" t="s">
        <v>7706</v>
      </c>
      <c r="AD1036" s="77" t="s">
        <v>7745</v>
      </c>
      <c r="AE1036" s="80" t="str">
        <f>HYPERLINK("https://twitter.com/messiasdahora/status/1641174050880860163")</f>
        <v>https://twitter.com/messiasdahora/status/1641174050880860163</v>
      </c>
      <c r="AF1036" s="79">
        <v>45014.849062499998</v>
      </c>
      <c r="AG1036" s="85">
        <v>45014</v>
      </c>
      <c r="AH1036" s="82" t="s">
        <v>8673</v>
      </c>
      <c r="AI1036" s="77" t="b">
        <v>0</v>
      </c>
      <c r="AJ1036" s="77"/>
      <c r="AK1036" s="77"/>
      <c r="AL1036" s="77"/>
      <c r="AM1036" s="77"/>
      <c r="AN1036" s="77"/>
      <c r="AO1036" s="77"/>
      <c r="AP1036" s="77"/>
      <c r="AQ1036" s="77"/>
      <c r="AR1036" s="77"/>
      <c r="AS1036" s="77"/>
      <c r="AT1036" s="77"/>
      <c r="AU1036" s="77"/>
      <c r="AV1036" s="80" t="str">
        <f>HYPERLINK("https://pbs.twimg.com/profile_images/1590534754687979522/2pF0QOEz_normal.jpg")</f>
        <v>https://pbs.twimg.com/profile_images/1590534754687979522/2pF0QOEz_normal.jpg</v>
      </c>
      <c r="AW1036" s="82" t="s">
        <v>13221</v>
      </c>
      <c r="AX1036" s="82" t="s">
        <v>13221</v>
      </c>
      <c r="AY1036" s="77"/>
      <c r="AZ1036" s="82" t="s">
        <v>15804</v>
      </c>
      <c r="BA1036" s="82" t="s">
        <v>15804</v>
      </c>
      <c r="BB1036" s="82" t="s">
        <v>15804</v>
      </c>
      <c r="BC1036" s="82" t="s">
        <v>13221</v>
      </c>
      <c r="BD1036" s="77">
        <v>248880596</v>
      </c>
      <c r="BE1036" s="77"/>
      <c r="BF1036" s="77"/>
      <c r="BG1036" s="77"/>
      <c r="BH1036" s="77"/>
      <c r="BI1036" s="77"/>
    </row>
    <row r="1037" spans="1:61" x14ac:dyDescent="0.25">
      <c r="A1037" s="62" t="s">
        <v>560</v>
      </c>
      <c r="B1037" s="62" t="s">
        <v>560</v>
      </c>
      <c r="C1037" s="63"/>
      <c r="D1037" s="64"/>
      <c r="E1037" s="65"/>
      <c r="F1037" s="66"/>
      <c r="G1037" s="63"/>
      <c r="H1037" s="67"/>
      <c r="I1037" s="68"/>
      <c r="J1037" s="68"/>
      <c r="K1037" s="32"/>
      <c r="L1037" s="75">
        <v>1037</v>
      </c>
      <c r="M1037" s="75"/>
      <c r="N1037" s="70"/>
      <c r="O1037" s="77" t="s">
        <v>179</v>
      </c>
      <c r="P1037" s="79">
        <v>45161.56322916667</v>
      </c>
      <c r="Q1037" s="77" t="s">
        <v>2133</v>
      </c>
      <c r="R1037" s="77">
        <v>0</v>
      </c>
      <c r="S1037" s="77">
        <v>0</v>
      </c>
      <c r="T1037" s="77">
        <v>0</v>
      </c>
      <c r="U1037" s="77">
        <v>0</v>
      </c>
      <c r="V1037" s="77">
        <v>32</v>
      </c>
      <c r="W1037" s="82" t="s">
        <v>4813</v>
      </c>
      <c r="X1037" s="77"/>
      <c r="Y1037" s="77"/>
      <c r="Z1037" s="77"/>
      <c r="AA1037" s="77"/>
      <c r="AB1037" s="77"/>
      <c r="AC1037" s="82" t="s">
        <v>7707</v>
      </c>
      <c r="AD1037" s="77" t="s">
        <v>7745</v>
      </c>
      <c r="AE1037" s="80" t="str">
        <f>HYPERLINK("https://twitter.com/pauloro83534636/status/1694341482612748594")</f>
        <v>https://twitter.com/pauloro83534636/status/1694341482612748594</v>
      </c>
      <c r="AF1037" s="79">
        <v>45161.56322916667</v>
      </c>
      <c r="AG1037" s="85">
        <v>45161</v>
      </c>
      <c r="AH1037" s="82" t="s">
        <v>8674</v>
      </c>
      <c r="AI1037" s="77"/>
      <c r="AJ1037" s="77"/>
      <c r="AK1037" s="77"/>
      <c r="AL1037" s="77"/>
      <c r="AM1037" s="77"/>
      <c r="AN1037" s="77"/>
      <c r="AO1037" s="77"/>
      <c r="AP1037" s="77"/>
      <c r="AQ1037" s="77"/>
      <c r="AR1037" s="77"/>
      <c r="AS1037" s="77"/>
      <c r="AT1037" s="77"/>
      <c r="AU1037" s="77"/>
      <c r="AV1037" s="80" t="str">
        <f>HYPERLINK("https://pbs.twimg.com/profile_images/1608911372997332993/Fp8SWGaD_normal.jpg")</f>
        <v>https://pbs.twimg.com/profile_images/1608911372997332993/Fp8SWGaD_normal.jpg</v>
      </c>
      <c r="AW1037" s="82" t="s">
        <v>13222</v>
      </c>
      <c r="AX1037" s="82" t="s">
        <v>13222</v>
      </c>
      <c r="AY1037" s="77"/>
      <c r="AZ1037" s="82" t="s">
        <v>15804</v>
      </c>
      <c r="BA1037" s="82" t="s">
        <v>15804</v>
      </c>
      <c r="BB1037" s="82" t="s">
        <v>15804</v>
      </c>
      <c r="BC1037" s="82" t="s">
        <v>13222</v>
      </c>
      <c r="BD1037" s="82" t="s">
        <v>16324</v>
      </c>
      <c r="BE1037" s="77"/>
      <c r="BF1037" s="77"/>
      <c r="BG1037" s="77"/>
      <c r="BH1037" s="77"/>
      <c r="BI1037" s="77"/>
    </row>
    <row r="1038" spans="1:61" x14ac:dyDescent="0.25">
      <c r="A1038" s="62" t="s">
        <v>561</v>
      </c>
      <c r="B1038" s="62" t="s">
        <v>561</v>
      </c>
      <c r="C1038" s="63"/>
      <c r="D1038" s="64"/>
      <c r="E1038" s="65"/>
      <c r="F1038" s="66"/>
      <c r="G1038" s="63"/>
      <c r="H1038" s="67"/>
      <c r="I1038" s="68"/>
      <c r="J1038" s="68"/>
      <c r="K1038" s="32"/>
      <c r="L1038" s="75">
        <v>1038</v>
      </c>
      <c r="M1038" s="75"/>
      <c r="N1038" s="70"/>
      <c r="O1038" s="77" t="s">
        <v>179</v>
      </c>
      <c r="P1038" s="79">
        <v>45170.759074074071</v>
      </c>
      <c r="Q1038" s="77" t="s">
        <v>2134</v>
      </c>
      <c r="R1038" s="77">
        <v>0</v>
      </c>
      <c r="S1038" s="77">
        <v>0</v>
      </c>
      <c r="T1038" s="77">
        <v>0</v>
      </c>
      <c r="U1038" s="77">
        <v>0</v>
      </c>
      <c r="V1038" s="77">
        <v>24</v>
      </c>
      <c r="W1038" s="82" t="s">
        <v>4814</v>
      </c>
      <c r="X1038" s="80" t="str">
        <f>HYPERLINK("https://www.nossomeio.com.br/estreia-o-nordeste-investing-portal-voltado-para-educacao-financeira-e-investimentos/")</f>
        <v>https://www.nossomeio.com.br/estreia-o-nordeste-investing-portal-voltado-para-educacao-financeira-e-investimentos/</v>
      </c>
      <c r="Y1038" s="77" t="s">
        <v>6002</v>
      </c>
      <c r="Z1038" s="77"/>
      <c r="AA1038" s="77"/>
      <c r="AB1038" s="77"/>
      <c r="AC1038" s="82" t="s">
        <v>7706</v>
      </c>
      <c r="AD1038" s="77" t="s">
        <v>7745</v>
      </c>
      <c r="AE1038" s="80" t="str">
        <f>HYPERLINK("https://twitter.com/nossomeio/status/1697673945321759193")</f>
        <v>https://twitter.com/nossomeio/status/1697673945321759193</v>
      </c>
      <c r="AF1038" s="79">
        <v>45170.759074074071</v>
      </c>
      <c r="AG1038" s="85">
        <v>45170</v>
      </c>
      <c r="AH1038" s="82" t="s">
        <v>8675</v>
      </c>
      <c r="AI1038" s="77" t="b">
        <v>0</v>
      </c>
      <c r="AJ1038" s="77"/>
      <c r="AK1038" s="77"/>
      <c r="AL1038" s="77"/>
      <c r="AM1038" s="77"/>
      <c r="AN1038" s="77"/>
      <c r="AO1038" s="77"/>
      <c r="AP1038" s="77"/>
      <c r="AQ1038" s="77"/>
      <c r="AR1038" s="77"/>
      <c r="AS1038" s="77"/>
      <c r="AT1038" s="77"/>
      <c r="AU1038" s="77"/>
      <c r="AV1038" s="80" t="str">
        <f>HYPERLINK("https://pbs.twimg.com/profile_images/1620494346284924928/tFuzXv3j_normal.jpg")</f>
        <v>https://pbs.twimg.com/profile_images/1620494346284924928/tFuzXv3j_normal.jpg</v>
      </c>
      <c r="AW1038" s="82" t="s">
        <v>13223</v>
      </c>
      <c r="AX1038" s="82" t="s">
        <v>13223</v>
      </c>
      <c r="AY1038" s="77"/>
      <c r="AZ1038" s="82" t="s">
        <v>15804</v>
      </c>
      <c r="BA1038" s="82" t="s">
        <v>15804</v>
      </c>
      <c r="BB1038" s="82" t="s">
        <v>15804</v>
      </c>
      <c r="BC1038" s="82" t="s">
        <v>13223</v>
      </c>
      <c r="BD1038" s="82" t="s">
        <v>16325</v>
      </c>
      <c r="BE1038" s="77"/>
      <c r="BF1038" s="77"/>
      <c r="BG1038" s="77"/>
      <c r="BH1038" s="77"/>
      <c r="BI1038" s="77"/>
    </row>
    <row r="1039" spans="1:61" x14ac:dyDescent="0.25">
      <c r="A1039" s="62" t="s">
        <v>562</v>
      </c>
      <c r="B1039" s="62" t="s">
        <v>562</v>
      </c>
      <c r="C1039" s="63"/>
      <c r="D1039" s="64"/>
      <c r="E1039" s="65"/>
      <c r="F1039" s="66"/>
      <c r="G1039" s="63"/>
      <c r="H1039" s="67"/>
      <c r="I1039" s="68"/>
      <c r="J1039" s="68"/>
      <c r="K1039" s="32"/>
      <c r="L1039" s="75">
        <v>1039</v>
      </c>
      <c r="M1039" s="75"/>
      <c r="N1039" s="70"/>
      <c r="O1039" s="77" t="s">
        <v>179</v>
      </c>
      <c r="P1039" s="79">
        <v>44938.875347222223</v>
      </c>
      <c r="Q1039" s="77" t="s">
        <v>2135</v>
      </c>
      <c r="R1039" s="77">
        <v>1</v>
      </c>
      <c r="S1039" s="77">
        <v>3</v>
      </c>
      <c r="T1039" s="77">
        <v>0</v>
      </c>
      <c r="U1039" s="77">
        <v>0</v>
      </c>
      <c r="V1039" s="77">
        <v>332</v>
      </c>
      <c r="W1039" s="82" t="s">
        <v>4815</v>
      </c>
      <c r="X1039" s="77"/>
      <c r="Y1039" s="77"/>
      <c r="Z1039" s="77"/>
      <c r="AA1039" s="77" t="s">
        <v>6788</v>
      </c>
      <c r="AB1039" s="77" t="s">
        <v>7701</v>
      </c>
      <c r="AC1039" s="82" t="s">
        <v>7706</v>
      </c>
      <c r="AD1039" s="77" t="s">
        <v>7745</v>
      </c>
      <c r="AE1039" s="80" t="str">
        <f>HYPERLINK("https://twitter.com/_defensoriars/status/1613642098506448896")</f>
        <v>https://twitter.com/_defensoriars/status/1613642098506448896</v>
      </c>
      <c r="AF1039" s="79">
        <v>44938.875347222223</v>
      </c>
      <c r="AG1039" s="85">
        <v>44938</v>
      </c>
      <c r="AH1039" s="82" t="s">
        <v>7789</v>
      </c>
      <c r="AI1039" s="77" t="b">
        <v>0</v>
      </c>
      <c r="AJ1039" s="77"/>
      <c r="AK1039" s="77"/>
      <c r="AL1039" s="77"/>
      <c r="AM1039" s="77"/>
      <c r="AN1039" s="77"/>
      <c r="AO1039" s="77"/>
      <c r="AP1039" s="77"/>
      <c r="AQ1039" s="77" t="s">
        <v>11295</v>
      </c>
      <c r="AR1039" s="77"/>
      <c r="AS1039" s="77"/>
      <c r="AT1039" s="77"/>
      <c r="AU1039" s="77"/>
      <c r="AV1039" s="80" t="str">
        <f>HYPERLINK("https://pbs.twimg.com/media/FjY3PO-XwAI5Owq.jpg")</f>
        <v>https://pbs.twimg.com/media/FjY3PO-XwAI5Owq.jpg</v>
      </c>
      <c r="AW1039" s="82" t="s">
        <v>13224</v>
      </c>
      <c r="AX1039" s="82" t="s">
        <v>13224</v>
      </c>
      <c r="AY1039" s="77"/>
      <c r="AZ1039" s="82" t="s">
        <v>15804</v>
      </c>
      <c r="BA1039" s="82" t="s">
        <v>15804</v>
      </c>
      <c r="BB1039" s="82" t="s">
        <v>15804</v>
      </c>
      <c r="BC1039" s="82" t="s">
        <v>13224</v>
      </c>
      <c r="BD1039" s="77">
        <v>731051372</v>
      </c>
      <c r="BE1039" s="77"/>
      <c r="BF1039" s="77"/>
      <c r="BG1039" s="77"/>
      <c r="BH1039" s="77"/>
      <c r="BI1039" s="77"/>
    </row>
    <row r="1040" spans="1:61" x14ac:dyDescent="0.25">
      <c r="A1040" s="62" t="s">
        <v>562</v>
      </c>
      <c r="B1040" s="62" t="s">
        <v>562</v>
      </c>
      <c r="C1040" s="63"/>
      <c r="D1040" s="64"/>
      <c r="E1040" s="65"/>
      <c r="F1040" s="66"/>
      <c r="G1040" s="63"/>
      <c r="H1040" s="67"/>
      <c r="I1040" s="68"/>
      <c r="J1040" s="68"/>
      <c r="K1040" s="32"/>
      <c r="L1040" s="75">
        <v>1040</v>
      </c>
      <c r="M1040" s="75"/>
      <c r="N1040" s="70"/>
      <c r="O1040" s="77" t="s">
        <v>179</v>
      </c>
      <c r="P1040" s="79">
        <v>44956.875358796293</v>
      </c>
      <c r="Q1040" s="77" t="s">
        <v>2136</v>
      </c>
      <c r="R1040" s="77">
        <v>1</v>
      </c>
      <c r="S1040" s="77">
        <v>6</v>
      </c>
      <c r="T1040" s="77">
        <v>0</v>
      </c>
      <c r="U1040" s="77">
        <v>0</v>
      </c>
      <c r="V1040" s="77">
        <v>284</v>
      </c>
      <c r="W1040" s="82" t="s">
        <v>4815</v>
      </c>
      <c r="X1040" s="77"/>
      <c r="Y1040" s="77"/>
      <c r="Z1040" s="77"/>
      <c r="AA1040" s="77" t="s">
        <v>6789</v>
      </c>
      <c r="AB1040" s="77" t="s">
        <v>7697</v>
      </c>
      <c r="AC1040" s="82" t="s">
        <v>7706</v>
      </c>
      <c r="AD1040" s="77" t="s">
        <v>7745</v>
      </c>
      <c r="AE1040" s="80" t="str">
        <f>HYPERLINK("https://twitter.com/_defensoriars/status/1620165082981310477")</f>
        <v>https://twitter.com/_defensoriars/status/1620165082981310477</v>
      </c>
      <c r="AF1040" s="79">
        <v>44956.875358796293</v>
      </c>
      <c r="AG1040" s="85">
        <v>44956</v>
      </c>
      <c r="AH1040" s="82" t="s">
        <v>8676</v>
      </c>
      <c r="AI1040" s="77" t="b">
        <v>0</v>
      </c>
      <c r="AJ1040" s="77"/>
      <c r="AK1040" s="77"/>
      <c r="AL1040" s="77"/>
      <c r="AM1040" s="77"/>
      <c r="AN1040" s="77"/>
      <c r="AO1040" s="77"/>
      <c r="AP1040" s="77"/>
      <c r="AQ1040" s="77" t="s">
        <v>11296</v>
      </c>
      <c r="AR1040" s="77">
        <v>44577</v>
      </c>
      <c r="AS1040" s="77"/>
      <c r="AT1040" s="77"/>
      <c r="AU1040" s="77">
        <v>107</v>
      </c>
      <c r="AV1040" s="80" t="str">
        <f>HYPERLINK("https://pbs.twimg.com/ext_tw_video_thumb/1615436110284394498/pu/img/bZLKdtV0NWVRbkH-.jpg")</f>
        <v>https://pbs.twimg.com/ext_tw_video_thumb/1615436110284394498/pu/img/bZLKdtV0NWVRbkH-.jpg</v>
      </c>
      <c r="AW1040" s="82" t="s">
        <v>13225</v>
      </c>
      <c r="AX1040" s="82" t="s">
        <v>13225</v>
      </c>
      <c r="AY1040" s="77"/>
      <c r="AZ1040" s="82" t="s">
        <v>15804</v>
      </c>
      <c r="BA1040" s="82" t="s">
        <v>15804</v>
      </c>
      <c r="BB1040" s="82" t="s">
        <v>15804</v>
      </c>
      <c r="BC1040" s="82" t="s">
        <v>13225</v>
      </c>
      <c r="BD1040" s="77">
        <v>731051372</v>
      </c>
      <c r="BE1040" s="77"/>
      <c r="BF1040" s="77"/>
      <c r="BG1040" s="77"/>
      <c r="BH1040" s="77"/>
      <c r="BI1040" s="77"/>
    </row>
    <row r="1041" spans="1:61" x14ac:dyDescent="0.25">
      <c r="A1041" s="62" t="s">
        <v>562</v>
      </c>
      <c r="B1041" s="62" t="s">
        <v>562</v>
      </c>
      <c r="C1041" s="63"/>
      <c r="D1041" s="64"/>
      <c r="E1041" s="65"/>
      <c r="F1041" s="66"/>
      <c r="G1041" s="63"/>
      <c r="H1041" s="67"/>
      <c r="I1041" s="68"/>
      <c r="J1041" s="68"/>
      <c r="K1041" s="32"/>
      <c r="L1041" s="75">
        <v>1041</v>
      </c>
      <c r="M1041" s="75"/>
      <c r="N1041" s="70"/>
      <c r="O1041" s="77" t="s">
        <v>179</v>
      </c>
      <c r="P1041" s="79">
        <v>44945.875023148146</v>
      </c>
      <c r="Q1041" s="77" t="s">
        <v>2137</v>
      </c>
      <c r="R1041" s="77">
        <v>0</v>
      </c>
      <c r="S1041" s="77">
        <v>1</v>
      </c>
      <c r="T1041" s="77">
        <v>0</v>
      </c>
      <c r="U1041" s="77">
        <v>0</v>
      </c>
      <c r="V1041" s="77">
        <v>192</v>
      </c>
      <c r="W1041" s="82" t="s">
        <v>4816</v>
      </c>
      <c r="X1041" s="77"/>
      <c r="Y1041" s="77"/>
      <c r="Z1041" s="77"/>
      <c r="AA1041" s="77" t="s">
        <v>6790</v>
      </c>
      <c r="AB1041" s="77" t="s">
        <v>7700</v>
      </c>
      <c r="AC1041" s="82" t="s">
        <v>7706</v>
      </c>
      <c r="AD1041" s="77" t="s">
        <v>7745</v>
      </c>
      <c r="AE1041" s="80" t="str">
        <f>HYPERLINK("https://twitter.com/_defensoriars/status/1616178695147765765")</f>
        <v>https://twitter.com/_defensoriars/status/1616178695147765765</v>
      </c>
      <c r="AF1041" s="79">
        <v>44945.875023148146</v>
      </c>
      <c r="AG1041" s="85">
        <v>44945</v>
      </c>
      <c r="AH1041" s="82" t="s">
        <v>8542</v>
      </c>
      <c r="AI1041" s="77" t="b">
        <v>0</v>
      </c>
      <c r="AJ1041" s="77"/>
      <c r="AK1041" s="77"/>
      <c r="AL1041" s="77"/>
      <c r="AM1041" s="77"/>
      <c r="AN1041" s="77"/>
      <c r="AO1041" s="77"/>
      <c r="AP1041" s="77"/>
      <c r="AQ1041" s="77" t="s">
        <v>11297</v>
      </c>
      <c r="AR1041" s="77"/>
      <c r="AS1041" s="77"/>
      <c r="AT1041" s="77"/>
      <c r="AU1041" s="77"/>
      <c r="AV1041" s="80" t="str">
        <f>HYPERLINK("https://pbs.twimg.com/media/FmDAS9zXwAALNmn.jpg")</f>
        <v>https://pbs.twimg.com/media/FmDAS9zXwAALNmn.jpg</v>
      </c>
      <c r="AW1041" s="82" t="s">
        <v>13226</v>
      </c>
      <c r="AX1041" s="82" t="s">
        <v>13226</v>
      </c>
      <c r="AY1041" s="77"/>
      <c r="AZ1041" s="82" t="s">
        <v>15804</v>
      </c>
      <c r="BA1041" s="82" t="s">
        <v>15804</v>
      </c>
      <c r="BB1041" s="82" t="s">
        <v>15804</v>
      </c>
      <c r="BC1041" s="82" t="s">
        <v>13226</v>
      </c>
      <c r="BD1041" s="77">
        <v>731051372</v>
      </c>
      <c r="BE1041" s="77"/>
      <c r="BF1041" s="77"/>
      <c r="BG1041" s="77"/>
      <c r="BH1041" s="77"/>
      <c r="BI1041" s="77"/>
    </row>
    <row r="1042" spans="1:61" x14ac:dyDescent="0.25">
      <c r="A1042" s="62" t="s">
        <v>562</v>
      </c>
      <c r="B1042" s="62" t="s">
        <v>562</v>
      </c>
      <c r="C1042" s="63"/>
      <c r="D1042" s="64"/>
      <c r="E1042" s="65"/>
      <c r="F1042" s="66"/>
      <c r="G1042" s="63"/>
      <c r="H1042" s="67"/>
      <c r="I1042" s="68"/>
      <c r="J1042" s="68"/>
      <c r="K1042" s="32"/>
      <c r="L1042" s="75">
        <v>1042</v>
      </c>
      <c r="M1042" s="75"/>
      <c r="N1042" s="70"/>
      <c r="O1042" s="77" t="s">
        <v>179</v>
      </c>
      <c r="P1042" s="79">
        <v>44935.875358796293</v>
      </c>
      <c r="Q1042" s="77" t="s">
        <v>2138</v>
      </c>
      <c r="R1042" s="77">
        <v>1</v>
      </c>
      <c r="S1042" s="77">
        <v>1</v>
      </c>
      <c r="T1042" s="77">
        <v>0</v>
      </c>
      <c r="U1042" s="77">
        <v>0</v>
      </c>
      <c r="V1042" s="77">
        <v>247</v>
      </c>
      <c r="W1042" s="82" t="s">
        <v>4815</v>
      </c>
      <c r="X1042" s="77"/>
      <c r="Y1042" s="77"/>
      <c r="Z1042" s="77"/>
      <c r="AA1042" s="77" t="s">
        <v>6791</v>
      </c>
      <c r="AB1042" s="77" t="s">
        <v>7697</v>
      </c>
      <c r="AC1042" s="82" t="s">
        <v>7706</v>
      </c>
      <c r="AD1042" s="77" t="s">
        <v>7745</v>
      </c>
      <c r="AE1042" s="80" t="str">
        <f>HYPERLINK("https://twitter.com/_defensoriars/status/1612554935530409985")</f>
        <v>https://twitter.com/_defensoriars/status/1612554935530409985</v>
      </c>
      <c r="AF1042" s="79">
        <v>44935.875358796293</v>
      </c>
      <c r="AG1042" s="85">
        <v>44935</v>
      </c>
      <c r="AH1042" s="82" t="s">
        <v>8676</v>
      </c>
      <c r="AI1042" s="77" t="b">
        <v>0</v>
      </c>
      <c r="AJ1042" s="77"/>
      <c r="AK1042" s="77"/>
      <c r="AL1042" s="77"/>
      <c r="AM1042" s="77"/>
      <c r="AN1042" s="77"/>
      <c r="AO1042" s="77"/>
      <c r="AP1042" s="77"/>
      <c r="AQ1042" s="77" t="s">
        <v>11298</v>
      </c>
      <c r="AR1042" s="77">
        <v>69803</v>
      </c>
      <c r="AS1042" s="77"/>
      <c r="AT1042" s="77"/>
      <c r="AU1042" s="77">
        <v>87</v>
      </c>
      <c r="AV1042" s="80" t="str">
        <f>HYPERLINK("https://pbs.twimg.com/ext_tw_video_thumb/1600525520294264834/pu/img/dfvnAbVdnRD3KsL1.jpg")</f>
        <v>https://pbs.twimg.com/ext_tw_video_thumb/1600525520294264834/pu/img/dfvnAbVdnRD3KsL1.jpg</v>
      </c>
      <c r="AW1042" s="82" t="s">
        <v>13227</v>
      </c>
      <c r="AX1042" s="82" t="s">
        <v>13227</v>
      </c>
      <c r="AY1042" s="77"/>
      <c r="AZ1042" s="82" t="s">
        <v>15804</v>
      </c>
      <c r="BA1042" s="82" t="s">
        <v>15804</v>
      </c>
      <c r="BB1042" s="82" t="s">
        <v>15804</v>
      </c>
      <c r="BC1042" s="82" t="s">
        <v>13227</v>
      </c>
      <c r="BD1042" s="77">
        <v>731051372</v>
      </c>
      <c r="BE1042" s="77"/>
      <c r="BF1042" s="77"/>
      <c r="BG1042" s="77"/>
      <c r="BH1042" s="77"/>
      <c r="BI1042" s="77"/>
    </row>
    <row r="1043" spans="1:61" x14ac:dyDescent="0.25">
      <c r="A1043" s="62" t="s">
        <v>562</v>
      </c>
      <c r="B1043" s="62" t="s">
        <v>562</v>
      </c>
      <c r="C1043" s="63"/>
      <c r="D1043" s="64"/>
      <c r="E1043" s="65"/>
      <c r="F1043" s="66"/>
      <c r="G1043" s="63"/>
      <c r="H1043" s="67"/>
      <c r="I1043" s="68"/>
      <c r="J1043" s="68"/>
      <c r="K1043" s="32"/>
      <c r="L1043" s="75">
        <v>1043</v>
      </c>
      <c r="M1043" s="75"/>
      <c r="N1043" s="70"/>
      <c r="O1043" s="77" t="s">
        <v>179</v>
      </c>
      <c r="P1043" s="79">
        <v>44931.875011574077</v>
      </c>
      <c r="Q1043" s="77" t="s">
        <v>2139</v>
      </c>
      <c r="R1043" s="77">
        <v>0</v>
      </c>
      <c r="S1043" s="77">
        <v>3</v>
      </c>
      <c r="T1043" s="77">
        <v>0</v>
      </c>
      <c r="U1043" s="77">
        <v>0</v>
      </c>
      <c r="V1043" s="77">
        <v>261</v>
      </c>
      <c r="W1043" s="82" t="s">
        <v>4817</v>
      </c>
      <c r="X1043" s="77"/>
      <c r="Y1043" s="77"/>
      <c r="Z1043" s="77"/>
      <c r="AA1043" s="77" t="s">
        <v>6792</v>
      </c>
      <c r="AB1043" s="77" t="s">
        <v>7698</v>
      </c>
      <c r="AC1043" s="82" t="s">
        <v>7706</v>
      </c>
      <c r="AD1043" s="77" t="s">
        <v>7745</v>
      </c>
      <c r="AE1043" s="80" t="str">
        <f>HYPERLINK("https://twitter.com/_defensoriars/status/1611105261674020864")</f>
        <v>https://twitter.com/_defensoriars/status/1611105261674020864</v>
      </c>
      <c r="AF1043" s="79">
        <v>44931.875011574077</v>
      </c>
      <c r="AG1043" s="85">
        <v>44931</v>
      </c>
      <c r="AH1043" s="82" t="s">
        <v>8547</v>
      </c>
      <c r="AI1043" s="77" t="b">
        <v>0</v>
      </c>
      <c r="AJ1043" s="77"/>
      <c r="AK1043" s="77"/>
      <c r="AL1043" s="77"/>
      <c r="AM1043" s="77"/>
      <c r="AN1043" s="77"/>
      <c r="AO1043" s="77"/>
      <c r="AP1043" s="77"/>
      <c r="AQ1043" s="77" t="s">
        <v>11299</v>
      </c>
      <c r="AR1043" s="77"/>
      <c r="AS1043" s="77"/>
      <c r="AT1043" s="77"/>
      <c r="AU1043" s="77"/>
      <c r="AV1043" s="80" t="str">
        <f>HYPERLINK("https://pbs.twimg.com/media/FjTu6wnXkAEMqQH.jpg")</f>
        <v>https://pbs.twimg.com/media/FjTu6wnXkAEMqQH.jpg</v>
      </c>
      <c r="AW1043" s="82" t="s">
        <v>13228</v>
      </c>
      <c r="AX1043" s="82" t="s">
        <v>13228</v>
      </c>
      <c r="AY1043" s="77"/>
      <c r="AZ1043" s="82" t="s">
        <v>15804</v>
      </c>
      <c r="BA1043" s="82" t="s">
        <v>15804</v>
      </c>
      <c r="BB1043" s="82" t="s">
        <v>15804</v>
      </c>
      <c r="BC1043" s="82" t="s">
        <v>13228</v>
      </c>
      <c r="BD1043" s="77">
        <v>731051372</v>
      </c>
      <c r="BE1043" s="77"/>
      <c r="BF1043" s="77"/>
      <c r="BG1043" s="77"/>
      <c r="BH1043" s="77"/>
      <c r="BI1043" s="77"/>
    </row>
    <row r="1044" spans="1:61" x14ac:dyDescent="0.25">
      <c r="A1044" s="62" t="s">
        <v>562</v>
      </c>
      <c r="B1044" s="62" t="s">
        <v>562</v>
      </c>
      <c r="C1044" s="63"/>
      <c r="D1044" s="64"/>
      <c r="E1044" s="65"/>
      <c r="F1044" s="66"/>
      <c r="G1044" s="63"/>
      <c r="H1044" s="67"/>
      <c r="I1044" s="68"/>
      <c r="J1044" s="68"/>
      <c r="K1044" s="32"/>
      <c r="L1044" s="75">
        <v>1044</v>
      </c>
      <c r="M1044" s="75"/>
      <c r="N1044" s="70"/>
      <c r="O1044" s="77" t="s">
        <v>179</v>
      </c>
      <c r="P1044" s="79">
        <v>44970.875023148146</v>
      </c>
      <c r="Q1044" s="77" t="s">
        <v>2140</v>
      </c>
      <c r="R1044" s="77">
        <v>0</v>
      </c>
      <c r="S1044" s="77">
        <v>2</v>
      </c>
      <c r="T1044" s="77">
        <v>0</v>
      </c>
      <c r="U1044" s="77">
        <v>0</v>
      </c>
      <c r="V1044" s="77">
        <v>303</v>
      </c>
      <c r="W1044" s="82" t="s">
        <v>4815</v>
      </c>
      <c r="X1044" s="77"/>
      <c r="Y1044" s="77"/>
      <c r="Z1044" s="77"/>
      <c r="AA1044" s="77" t="s">
        <v>6793</v>
      </c>
      <c r="AB1044" s="77" t="s">
        <v>7697</v>
      </c>
      <c r="AC1044" s="82" t="s">
        <v>7706</v>
      </c>
      <c r="AD1044" s="77" t="s">
        <v>7745</v>
      </c>
      <c r="AE1044" s="80" t="str">
        <f>HYPERLINK("https://twitter.com/_defensoriars/status/1625238391108300810")</f>
        <v>https://twitter.com/_defensoriars/status/1625238391108300810</v>
      </c>
      <c r="AF1044" s="79">
        <v>44970.875023148146</v>
      </c>
      <c r="AG1044" s="85">
        <v>44970</v>
      </c>
      <c r="AH1044" s="82" t="s">
        <v>8542</v>
      </c>
      <c r="AI1044" s="77" t="b">
        <v>0</v>
      </c>
      <c r="AJ1044" s="77"/>
      <c r="AK1044" s="77"/>
      <c r="AL1044" s="77"/>
      <c r="AM1044" s="77"/>
      <c r="AN1044" s="77"/>
      <c r="AO1044" s="77"/>
      <c r="AP1044" s="77"/>
      <c r="AQ1044" s="77" t="s">
        <v>11300</v>
      </c>
      <c r="AR1044" s="77">
        <v>61694</v>
      </c>
      <c r="AS1044" s="77"/>
      <c r="AT1044" s="77"/>
      <c r="AU1044" s="77">
        <v>83</v>
      </c>
      <c r="AV1044" s="80" t="str">
        <f>HYPERLINK("https://pbs.twimg.com/ext_tw_video_thumb/1624036915430232066/pu/img/XC59S2cxOaSvc8W6.jpg")</f>
        <v>https://pbs.twimg.com/ext_tw_video_thumb/1624036915430232066/pu/img/XC59S2cxOaSvc8W6.jpg</v>
      </c>
      <c r="AW1044" s="82" t="s">
        <v>13229</v>
      </c>
      <c r="AX1044" s="82" t="s">
        <v>13229</v>
      </c>
      <c r="AY1044" s="77"/>
      <c r="AZ1044" s="82" t="s">
        <v>15804</v>
      </c>
      <c r="BA1044" s="82" t="s">
        <v>15804</v>
      </c>
      <c r="BB1044" s="82" t="s">
        <v>15804</v>
      </c>
      <c r="BC1044" s="82" t="s">
        <v>13229</v>
      </c>
      <c r="BD1044" s="77">
        <v>731051372</v>
      </c>
      <c r="BE1044" s="77"/>
      <c r="BF1044" s="77"/>
      <c r="BG1044" s="77"/>
      <c r="BH1044" s="77"/>
      <c r="BI1044" s="77"/>
    </row>
    <row r="1045" spans="1:61" x14ac:dyDescent="0.25">
      <c r="A1045" s="62" t="s">
        <v>562</v>
      </c>
      <c r="B1045" s="62" t="s">
        <v>562</v>
      </c>
      <c r="C1045" s="63"/>
      <c r="D1045" s="64"/>
      <c r="E1045" s="65"/>
      <c r="F1045" s="66"/>
      <c r="G1045" s="63"/>
      <c r="H1045" s="67"/>
      <c r="I1045" s="68"/>
      <c r="J1045" s="68"/>
      <c r="K1045" s="32"/>
      <c r="L1045" s="75">
        <v>1045</v>
      </c>
      <c r="M1045" s="75"/>
      <c r="N1045" s="70"/>
      <c r="O1045" s="77" t="s">
        <v>179</v>
      </c>
      <c r="P1045" s="79">
        <v>44966.875</v>
      </c>
      <c r="Q1045" s="77" t="s">
        <v>2141</v>
      </c>
      <c r="R1045" s="77">
        <v>1</v>
      </c>
      <c r="S1045" s="77">
        <v>3</v>
      </c>
      <c r="T1045" s="77">
        <v>0</v>
      </c>
      <c r="U1045" s="77">
        <v>0</v>
      </c>
      <c r="V1045" s="77">
        <v>242</v>
      </c>
      <c r="W1045" s="82" t="s">
        <v>4818</v>
      </c>
      <c r="X1045" s="77"/>
      <c r="Y1045" s="77"/>
      <c r="Z1045" s="77"/>
      <c r="AA1045" s="77" t="s">
        <v>6794</v>
      </c>
      <c r="AB1045" s="77" t="s">
        <v>7700</v>
      </c>
      <c r="AC1045" s="82" t="s">
        <v>7706</v>
      </c>
      <c r="AD1045" s="77" t="s">
        <v>7745</v>
      </c>
      <c r="AE1045" s="80" t="str">
        <f>HYPERLINK("https://twitter.com/_defensoriars/status/1623788830208798720")</f>
        <v>https://twitter.com/_defensoriars/status/1623788830208798720</v>
      </c>
      <c r="AF1045" s="79">
        <v>44966.875</v>
      </c>
      <c r="AG1045" s="85">
        <v>44966</v>
      </c>
      <c r="AH1045" s="82" t="s">
        <v>8677</v>
      </c>
      <c r="AI1045" s="77" t="b">
        <v>0</v>
      </c>
      <c r="AJ1045" s="77"/>
      <c r="AK1045" s="77"/>
      <c r="AL1045" s="77"/>
      <c r="AM1045" s="77"/>
      <c r="AN1045" s="77"/>
      <c r="AO1045" s="77"/>
      <c r="AP1045" s="77"/>
      <c r="AQ1045" s="77" t="s">
        <v>11301</v>
      </c>
      <c r="AR1045" s="77"/>
      <c r="AS1045" s="77"/>
      <c r="AT1045" s="77"/>
      <c r="AU1045" s="77"/>
      <c r="AV1045" s="80" t="str">
        <f>HYPERLINK("https://pbs.twimg.com/media/Fn5oySiWAAgs_d0.jpg")</f>
        <v>https://pbs.twimg.com/media/Fn5oySiWAAgs_d0.jpg</v>
      </c>
      <c r="AW1045" s="82" t="s">
        <v>13230</v>
      </c>
      <c r="AX1045" s="82" t="s">
        <v>13230</v>
      </c>
      <c r="AY1045" s="77"/>
      <c r="AZ1045" s="82" t="s">
        <v>15804</v>
      </c>
      <c r="BA1045" s="82" t="s">
        <v>15804</v>
      </c>
      <c r="BB1045" s="82" t="s">
        <v>15804</v>
      </c>
      <c r="BC1045" s="82" t="s">
        <v>13230</v>
      </c>
      <c r="BD1045" s="77">
        <v>731051372</v>
      </c>
      <c r="BE1045" s="77"/>
      <c r="BF1045" s="77"/>
      <c r="BG1045" s="77"/>
      <c r="BH1045" s="77"/>
      <c r="BI1045" s="77"/>
    </row>
    <row r="1046" spans="1:61" x14ac:dyDescent="0.25">
      <c r="A1046" s="62" t="s">
        <v>563</v>
      </c>
      <c r="B1046" s="62" t="s">
        <v>1083</v>
      </c>
      <c r="C1046" s="63"/>
      <c r="D1046" s="64"/>
      <c r="E1046" s="65"/>
      <c r="F1046" s="66"/>
      <c r="G1046" s="63"/>
      <c r="H1046" s="67"/>
      <c r="I1046" s="68"/>
      <c r="J1046" s="68"/>
      <c r="K1046" s="32"/>
      <c r="L1046" s="75">
        <v>1046</v>
      </c>
      <c r="M1046" s="75"/>
      <c r="N1046" s="70"/>
      <c r="O1046" s="77" t="s">
        <v>1133</v>
      </c>
      <c r="P1046" s="79">
        <v>44939.623217592591</v>
      </c>
      <c r="Q1046" s="77" t="s">
        <v>2142</v>
      </c>
      <c r="R1046" s="77">
        <v>0</v>
      </c>
      <c r="S1046" s="77">
        <v>0</v>
      </c>
      <c r="T1046" s="77">
        <v>0</v>
      </c>
      <c r="U1046" s="77">
        <v>0</v>
      </c>
      <c r="V1046" s="77">
        <v>61</v>
      </c>
      <c r="W1046" s="82" t="s">
        <v>4819</v>
      </c>
      <c r="X1046" s="77"/>
      <c r="Y1046" s="77"/>
      <c r="Z1046" s="77" t="s">
        <v>6125</v>
      </c>
      <c r="AA1046" s="77" t="s">
        <v>6795</v>
      </c>
      <c r="AB1046" s="77" t="s">
        <v>7697</v>
      </c>
      <c r="AC1046" s="82" t="s">
        <v>7707</v>
      </c>
      <c r="AD1046" s="77" t="s">
        <v>7745</v>
      </c>
      <c r="AE1046" s="80" t="str">
        <f>HYPERLINK("https://twitter.com/umempreendedor/status/1613913116764475392")</f>
        <v>https://twitter.com/umempreendedor/status/1613913116764475392</v>
      </c>
      <c r="AF1046" s="79">
        <v>44939.623217592591</v>
      </c>
      <c r="AG1046" s="85">
        <v>44939</v>
      </c>
      <c r="AH1046" s="82" t="s">
        <v>8678</v>
      </c>
      <c r="AI1046" s="77" t="b">
        <v>0</v>
      </c>
      <c r="AJ1046" s="77"/>
      <c r="AK1046" s="77"/>
      <c r="AL1046" s="77"/>
      <c r="AM1046" s="77"/>
      <c r="AN1046" s="77"/>
      <c r="AO1046" s="77"/>
      <c r="AP1046" s="77"/>
      <c r="AQ1046" s="77" t="s">
        <v>11302</v>
      </c>
      <c r="AR1046" s="77">
        <v>140002</v>
      </c>
      <c r="AS1046" s="77"/>
      <c r="AT1046" s="77"/>
      <c r="AU1046" s="77">
        <v>21</v>
      </c>
      <c r="AV1046" s="80" t="str">
        <f>HYPERLINK("https://pbs.twimg.com/ext_tw_video_thumb/1613901027605880832/pu/img/9uMM4mTxrvx3pRIR.jpg")</f>
        <v>https://pbs.twimg.com/ext_tw_video_thumb/1613901027605880832/pu/img/9uMM4mTxrvx3pRIR.jpg</v>
      </c>
      <c r="AW1046" s="82" t="s">
        <v>13231</v>
      </c>
      <c r="AX1046" s="82" t="s">
        <v>13231</v>
      </c>
      <c r="AY1046" s="77"/>
      <c r="AZ1046" s="82" t="s">
        <v>15804</v>
      </c>
      <c r="BA1046" s="82" t="s">
        <v>15804</v>
      </c>
      <c r="BB1046" s="82" t="s">
        <v>15804</v>
      </c>
      <c r="BC1046" s="82" t="s">
        <v>13231</v>
      </c>
      <c r="BD1046" s="77">
        <v>61106922</v>
      </c>
      <c r="BE1046" s="77"/>
      <c r="BF1046" s="77"/>
      <c r="BG1046" s="77"/>
      <c r="BH1046" s="77"/>
      <c r="BI1046" s="77"/>
    </row>
    <row r="1047" spans="1:61" x14ac:dyDescent="0.25">
      <c r="A1047" s="62" t="s">
        <v>563</v>
      </c>
      <c r="B1047" s="62" t="s">
        <v>1083</v>
      </c>
      <c r="C1047" s="63"/>
      <c r="D1047" s="64"/>
      <c r="E1047" s="65"/>
      <c r="F1047" s="66"/>
      <c r="G1047" s="63"/>
      <c r="H1047" s="67"/>
      <c r="I1047" s="68"/>
      <c r="J1047" s="68"/>
      <c r="K1047" s="32"/>
      <c r="L1047" s="75">
        <v>1047</v>
      </c>
      <c r="M1047" s="75"/>
      <c r="N1047" s="70"/>
      <c r="O1047" s="77" t="s">
        <v>1133</v>
      </c>
      <c r="P1047" s="79">
        <v>44982.857719907406</v>
      </c>
      <c r="Q1047" s="77" t="s">
        <v>2143</v>
      </c>
      <c r="R1047" s="77">
        <v>2</v>
      </c>
      <c r="S1047" s="77">
        <v>1</v>
      </c>
      <c r="T1047" s="77">
        <v>0</v>
      </c>
      <c r="U1047" s="77">
        <v>0</v>
      </c>
      <c r="V1047" s="77">
        <v>31</v>
      </c>
      <c r="W1047" s="82" t="s">
        <v>4820</v>
      </c>
      <c r="X1047" s="77"/>
      <c r="Y1047" s="77"/>
      <c r="Z1047" s="77" t="s">
        <v>6126</v>
      </c>
      <c r="AA1047" s="77" t="s">
        <v>6796</v>
      </c>
      <c r="AB1047" s="77" t="s">
        <v>7696</v>
      </c>
      <c r="AC1047" s="82" t="s">
        <v>7707</v>
      </c>
      <c r="AD1047" s="77" t="s">
        <v>7745</v>
      </c>
      <c r="AE1047" s="80" t="str">
        <f>HYPERLINK("https://twitter.com/umempreendedor/status/1629580773937250305")</f>
        <v>https://twitter.com/umempreendedor/status/1629580773937250305</v>
      </c>
      <c r="AF1047" s="79">
        <v>44982.857719907406</v>
      </c>
      <c r="AG1047" s="85">
        <v>44982</v>
      </c>
      <c r="AH1047" s="82" t="s">
        <v>8679</v>
      </c>
      <c r="AI1047" s="77" t="b">
        <v>0</v>
      </c>
      <c r="AJ1047" s="77"/>
      <c r="AK1047" s="77"/>
      <c r="AL1047" s="77"/>
      <c r="AM1047" s="77"/>
      <c r="AN1047" s="77"/>
      <c r="AO1047" s="77"/>
      <c r="AP1047" s="77"/>
      <c r="AQ1047" s="77" t="s">
        <v>11303</v>
      </c>
      <c r="AR1047" s="77"/>
      <c r="AS1047" s="77"/>
      <c r="AT1047" s="77"/>
      <c r="AU1047" s="77"/>
      <c r="AV1047" s="80" t="str">
        <f>HYPERLINK("https://pbs.twimg.com/media/Fp1vE9qWAAAYpIy.jpg")</f>
        <v>https://pbs.twimg.com/media/Fp1vE9qWAAAYpIy.jpg</v>
      </c>
      <c r="AW1047" s="82" t="s">
        <v>13232</v>
      </c>
      <c r="AX1047" s="82" t="s">
        <v>13232</v>
      </c>
      <c r="AY1047" s="77"/>
      <c r="AZ1047" s="82" t="s">
        <v>15804</v>
      </c>
      <c r="BA1047" s="82" t="s">
        <v>15804</v>
      </c>
      <c r="BB1047" s="82" t="s">
        <v>15804</v>
      </c>
      <c r="BC1047" s="82" t="s">
        <v>13232</v>
      </c>
      <c r="BD1047" s="77">
        <v>61106922</v>
      </c>
      <c r="BE1047" s="77"/>
      <c r="BF1047" s="77"/>
      <c r="BG1047" s="77"/>
      <c r="BH1047" s="77"/>
      <c r="BI1047" s="77"/>
    </row>
    <row r="1048" spans="1:61" x14ac:dyDescent="0.25">
      <c r="A1048" s="62" t="s">
        <v>563</v>
      </c>
      <c r="B1048" s="62" t="s">
        <v>1084</v>
      </c>
      <c r="C1048" s="63"/>
      <c r="D1048" s="64"/>
      <c r="E1048" s="65"/>
      <c r="F1048" s="66"/>
      <c r="G1048" s="63"/>
      <c r="H1048" s="67"/>
      <c r="I1048" s="68"/>
      <c r="J1048" s="68"/>
      <c r="K1048" s="32"/>
      <c r="L1048" s="75">
        <v>1048</v>
      </c>
      <c r="M1048" s="75"/>
      <c r="N1048" s="70"/>
      <c r="O1048" s="77" t="s">
        <v>1133</v>
      </c>
      <c r="P1048" s="79">
        <v>44982.857719907406</v>
      </c>
      <c r="Q1048" s="77" t="s">
        <v>2143</v>
      </c>
      <c r="R1048" s="77">
        <v>2</v>
      </c>
      <c r="S1048" s="77">
        <v>1</v>
      </c>
      <c r="T1048" s="77">
        <v>0</v>
      </c>
      <c r="U1048" s="77">
        <v>0</v>
      </c>
      <c r="V1048" s="77">
        <v>31</v>
      </c>
      <c r="W1048" s="82" t="s">
        <v>4820</v>
      </c>
      <c r="X1048" s="77"/>
      <c r="Y1048" s="77"/>
      <c r="Z1048" s="77" t="s">
        <v>6126</v>
      </c>
      <c r="AA1048" s="77" t="s">
        <v>6796</v>
      </c>
      <c r="AB1048" s="77" t="s">
        <v>7696</v>
      </c>
      <c r="AC1048" s="82" t="s">
        <v>7707</v>
      </c>
      <c r="AD1048" s="77" t="s">
        <v>7745</v>
      </c>
      <c r="AE1048" s="80" t="str">
        <f>HYPERLINK("https://twitter.com/umempreendedor/status/1629580773937250305")</f>
        <v>https://twitter.com/umempreendedor/status/1629580773937250305</v>
      </c>
      <c r="AF1048" s="79">
        <v>44982.857719907406</v>
      </c>
      <c r="AG1048" s="85">
        <v>44982</v>
      </c>
      <c r="AH1048" s="82" t="s">
        <v>8679</v>
      </c>
      <c r="AI1048" s="77" t="b">
        <v>0</v>
      </c>
      <c r="AJ1048" s="77"/>
      <c r="AK1048" s="77"/>
      <c r="AL1048" s="77"/>
      <c r="AM1048" s="77"/>
      <c r="AN1048" s="77"/>
      <c r="AO1048" s="77"/>
      <c r="AP1048" s="77"/>
      <c r="AQ1048" s="77" t="s">
        <v>11303</v>
      </c>
      <c r="AR1048" s="77"/>
      <c r="AS1048" s="77"/>
      <c r="AT1048" s="77"/>
      <c r="AU1048" s="77"/>
      <c r="AV1048" s="80" t="str">
        <f>HYPERLINK("https://pbs.twimg.com/media/Fp1vE9qWAAAYpIy.jpg")</f>
        <v>https://pbs.twimg.com/media/Fp1vE9qWAAAYpIy.jpg</v>
      </c>
      <c r="AW1048" s="82" t="s">
        <v>13232</v>
      </c>
      <c r="AX1048" s="82" t="s">
        <v>13232</v>
      </c>
      <c r="AY1048" s="77"/>
      <c r="AZ1048" s="82" t="s">
        <v>15804</v>
      </c>
      <c r="BA1048" s="82" t="s">
        <v>15804</v>
      </c>
      <c r="BB1048" s="82" t="s">
        <v>15804</v>
      </c>
      <c r="BC1048" s="82" t="s">
        <v>13232</v>
      </c>
      <c r="BD1048" s="77">
        <v>61106922</v>
      </c>
      <c r="BE1048" s="77"/>
      <c r="BF1048" s="77"/>
      <c r="BG1048" s="77"/>
      <c r="BH1048" s="77"/>
      <c r="BI1048" s="77"/>
    </row>
    <row r="1049" spans="1:61" x14ac:dyDescent="0.25">
      <c r="A1049" s="62" t="s">
        <v>563</v>
      </c>
      <c r="B1049" s="62" t="s">
        <v>1085</v>
      </c>
      <c r="C1049" s="63"/>
      <c r="D1049" s="64"/>
      <c r="E1049" s="65"/>
      <c r="F1049" s="66"/>
      <c r="G1049" s="63"/>
      <c r="H1049" s="67"/>
      <c r="I1049" s="68"/>
      <c r="J1049" s="68"/>
      <c r="K1049" s="32"/>
      <c r="L1049" s="75">
        <v>1049</v>
      </c>
      <c r="M1049" s="75"/>
      <c r="N1049" s="70"/>
      <c r="O1049" s="77" t="s">
        <v>1133</v>
      </c>
      <c r="P1049" s="79">
        <v>44939.623217592591</v>
      </c>
      <c r="Q1049" s="77" t="s">
        <v>2142</v>
      </c>
      <c r="R1049" s="77">
        <v>0</v>
      </c>
      <c r="S1049" s="77">
        <v>0</v>
      </c>
      <c r="T1049" s="77">
        <v>0</v>
      </c>
      <c r="U1049" s="77">
        <v>0</v>
      </c>
      <c r="V1049" s="77">
        <v>61</v>
      </c>
      <c r="W1049" s="82" t="s">
        <v>4819</v>
      </c>
      <c r="X1049" s="77"/>
      <c r="Y1049" s="77"/>
      <c r="Z1049" s="77" t="s">
        <v>6125</v>
      </c>
      <c r="AA1049" s="77" t="s">
        <v>6795</v>
      </c>
      <c r="AB1049" s="77" t="s">
        <v>7697</v>
      </c>
      <c r="AC1049" s="82" t="s">
        <v>7707</v>
      </c>
      <c r="AD1049" s="77" t="s">
        <v>7745</v>
      </c>
      <c r="AE1049" s="80" t="str">
        <f>HYPERLINK("https://twitter.com/umempreendedor/status/1613913116764475392")</f>
        <v>https://twitter.com/umempreendedor/status/1613913116764475392</v>
      </c>
      <c r="AF1049" s="79">
        <v>44939.623217592591</v>
      </c>
      <c r="AG1049" s="85">
        <v>44939</v>
      </c>
      <c r="AH1049" s="82" t="s">
        <v>8678</v>
      </c>
      <c r="AI1049" s="77" t="b">
        <v>0</v>
      </c>
      <c r="AJ1049" s="77"/>
      <c r="AK1049" s="77"/>
      <c r="AL1049" s="77"/>
      <c r="AM1049" s="77"/>
      <c r="AN1049" s="77"/>
      <c r="AO1049" s="77"/>
      <c r="AP1049" s="77"/>
      <c r="AQ1049" s="77" t="s">
        <v>11302</v>
      </c>
      <c r="AR1049" s="77">
        <v>140002</v>
      </c>
      <c r="AS1049" s="77"/>
      <c r="AT1049" s="77"/>
      <c r="AU1049" s="77">
        <v>21</v>
      </c>
      <c r="AV1049" s="80" t="str">
        <f>HYPERLINK("https://pbs.twimg.com/ext_tw_video_thumb/1613901027605880832/pu/img/9uMM4mTxrvx3pRIR.jpg")</f>
        <v>https://pbs.twimg.com/ext_tw_video_thumb/1613901027605880832/pu/img/9uMM4mTxrvx3pRIR.jpg</v>
      </c>
      <c r="AW1049" s="82" t="s">
        <v>13231</v>
      </c>
      <c r="AX1049" s="82" t="s">
        <v>13231</v>
      </c>
      <c r="AY1049" s="77"/>
      <c r="AZ1049" s="82" t="s">
        <v>15804</v>
      </c>
      <c r="BA1049" s="82" t="s">
        <v>15804</v>
      </c>
      <c r="BB1049" s="82" t="s">
        <v>15804</v>
      </c>
      <c r="BC1049" s="82" t="s">
        <v>13231</v>
      </c>
      <c r="BD1049" s="77">
        <v>61106922</v>
      </c>
      <c r="BE1049" s="77"/>
      <c r="BF1049" s="77"/>
      <c r="BG1049" s="77"/>
      <c r="BH1049" s="77"/>
      <c r="BI1049" s="77"/>
    </row>
    <row r="1050" spans="1:61" x14ac:dyDescent="0.25">
      <c r="A1050" s="62" t="s">
        <v>563</v>
      </c>
      <c r="B1050" s="62" t="s">
        <v>1086</v>
      </c>
      <c r="C1050" s="63"/>
      <c r="D1050" s="64"/>
      <c r="E1050" s="65"/>
      <c r="F1050" s="66"/>
      <c r="G1050" s="63"/>
      <c r="H1050" s="67"/>
      <c r="I1050" s="68"/>
      <c r="J1050" s="68"/>
      <c r="K1050" s="32"/>
      <c r="L1050" s="75">
        <v>1050</v>
      </c>
      <c r="M1050" s="75"/>
      <c r="N1050" s="70"/>
      <c r="O1050" s="77" t="s">
        <v>1133</v>
      </c>
      <c r="P1050" s="79">
        <v>44939.623217592591</v>
      </c>
      <c r="Q1050" s="77" t="s">
        <v>2142</v>
      </c>
      <c r="R1050" s="77">
        <v>0</v>
      </c>
      <c r="S1050" s="77">
        <v>0</v>
      </c>
      <c r="T1050" s="77">
        <v>0</v>
      </c>
      <c r="U1050" s="77">
        <v>0</v>
      </c>
      <c r="V1050" s="77">
        <v>61</v>
      </c>
      <c r="W1050" s="82" t="s">
        <v>4819</v>
      </c>
      <c r="X1050" s="77"/>
      <c r="Y1050" s="77"/>
      <c r="Z1050" s="77" t="s">
        <v>6125</v>
      </c>
      <c r="AA1050" s="77" t="s">
        <v>6795</v>
      </c>
      <c r="AB1050" s="77" t="s">
        <v>7697</v>
      </c>
      <c r="AC1050" s="82" t="s">
        <v>7707</v>
      </c>
      <c r="AD1050" s="77" t="s">
        <v>7745</v>
      </c>
      <c r="AE1050" s="80" t="str">
        <f>HYPERLINK("https://twitter.com/umempreendedor/status/1613913116764475392")</f>
        <v>https://twitter.com/umempreendedor/status/1613913116764475392</v>
      </c>
      <c r="AF1050" s="79">
        <v>44939.623217592591</v>
      </c>
      <c r="AG1050" s="85">
        <v>44939</v>
      </c>
      <c r="AH1050" s="82" t="s">
        <v>8678</v>
      </c>
      <c r="AI1050" s="77" t="b">
        <v>0</v>
      </c>
      <c r="AJ1050" s="77"/>
      <c r="AK1050" s="77"/>
      <c r="AL1050" s="77"/>
      <c r="AM1050" s="77"/>
      <c r="AN1050" s="77"/>
      <c r="AO1050" s="77"/>
      <c r="AP1050" s="77"/>
      <c r="AQ1050" s="77" t="s">
        <v>11302</v>
      </c>
      <c r="AR1050" s="77">
        <v>140002</v>
      </c>
      <c r="AS1050" s="77"/>
      <c r="AT1050" s="77"/>
      <c r="AU1050" s="77">
        <v>21</v>
      </c>
      <c r="AV1050" s="80" t="str">
        <f>HYPERLINK("https://pbs.twimg.com/ext_tw_video_thumb/1613901027605880832/pu/img/9uMM4mTxrvx3pRIR.jpg")</f>
        <v>https://pbs.twimg.com/ext_tw_video_thumb/1613901027605880832/pu/img/9uMM4mTxrvx3pRIR.jpg</v>
      </c>
      <c r="AW1050" s="82" t="s">
        <v>13231</v>
      </c>
      <c r="AX1050" s="82" t="s">
        <v>13231</v>
      </c>
      <c r="AY1050" s="77"/>
      <c r="AZ1050" s="82" t="s">
        <v>15804</v>
      </c>
      <c r="BA1050" s="82" t="s">
        <v>15804</v>
      </c>
      <c r="BB1050" s="82" t="s">
        <v>15804</v>
      </c>
      <c r="BC1050" s="82" t="s">
        <v>13231</v>
      </c>
      <c r="BD1050" s="77">
        <v>61106922</v>
      </c>
      <c r="BE1050" s="77"/>
      <c r="BF1050" s="77"/>
      <c r="BG1050" s="77"/>
      <c r="BH1050" s="77"/>
      <c r="BI1050" s="77"/>
    </row>
    <row r="1051" spans="1:61" x14ac:dyDescent="0.25">
      <c r="A1051" s="62" t="s">
        <v>563</v>
      </c>
      <c r="B1051" s="62" t="s">
        <v>563</v>
      </c>
      <c r="C1051" s="63"/>
      <c r="D1051" s="64"/>
      <c r="E1051" s="65"/>
      <c r="F1051" s="66"/>
      <c r="G1051" s="63"/>
      <c r="H1051" s="67"/>
      <c r="I1051" s="68"/>
      <c r="J1051" s="68"/>
      <c r="K1051" s="32"/>
      <c r="L1051" s="75">
        <v>1051</v>
      </c>
      <c r="M1051" s="75"/>
      <c r="N1051" s="70"/>
      <c r="O1051" s="77" t="s">
        <v>179</v>
      </c>
      <c r="P1051" s="79">
        <v>44961.741273148145</v>
      </c>
      <c r="Q1051" s="77" t="s">
        <v>2144</v>
      </c>
      <c r="R1051" s="77">
        <v>1</v>
      </c>
      <c r="S1051" s="77">
        <v>0</v>
      </c>
      <c r="T1051" s="77">
        <v>0</v>
      </c>
      <c r="U1051" s="77">
        <v>0</v>
      </c>
      <c r="V1051" s="77">
        <v>37</v>
      </c>
      <c r="W1051" s="82" t="s">
        <v>4821</v>
      </c>
      <c r="X1051" s="80" t="str">
        <f>HYPERLINK("https://twitter.com/JovemPanNews/status/1621920387251453954")</f>
        <v>https://twitter.com/JovemPanNews/status/1621920387251453954</v>
      </c>
      <c r="Y1051" s="77" t="s">
        <v>6062</v>
      </c>
      <c r="Z1051" s="77"/>
      <c r="AA1051" s="77"/>
      <c r="AB1051" s="77"/>
      <c r="AC1051" s="82" t="s">
        <v>7707</v>
      </c>
      <c r="AD1051" s="77" t="s">
        <v>7745</v>
      </c>
      <c r="AE1051" s="80" t="str">
        <f>HYPERLINK("https://twitter.com/umempreendedor/status/1621928432069214210")</f>
        <v>https://twitter.com/umempreendedor/status/1621928432069214210</v>
      </c>
      <c r="AF1051" s="79">
        <v>44961.741273148145</v>
      </c>
      <c r="AG1051" s="85">
        <v>44961</v>
      </c>
      <c r="AH1051" s="82" t="s">
        <v>8680</v>
      </c>
      <c r="AI1051" s="77" t="b">
        <v>0</v>
      </c>
      <c r="AJ1051" s="77"/>
      <c r="AK1051" s="77"/>
      <c r="AL1051" s="77"/>
      <c r="AM1051" s="77"/>
      <c r="AN1051" s="77"/>
      <c r="AO1051" s="77"/>
      <c r="AP1051" s="77"/>
      <c r="AQ1051" s="77"/>
      <c r="AR1051" s="77"/>
      <c r="AS1051" s="77"/>
      <c r="AT1051" s="77"/>
      <c r="AU1051" s="77"/>
      <c r="AV1051" s="80" t="str">
        <f>HYPERLINK("https://pbs.twimg.com/profile_images/1564093946833272833/4RFj0mm__normal.jpg")</f>
        <v>https://pbs.twimg.com/profile_images/1564093946833272833/4RFj0mm__normal.jpg</v>
      </c>
      <c r="AW1051" s="82" t="s">
        <v>13233</v>
      </c>
      <c r="AX1051" s="82" t="s">
        <v>13233</v>
      </c>
      <c r="AY1051" s="77"/>
      <c r="AZ1051" s="82" t="s">
        <v>15804</v>
      </c>
      <c r="BA1051" s="82" t="s">
        <v>15804</v>
      </c>
      <c r="BB1051" s="82" t="s">
        <v>15804</v>
      </c>
      <c r="BC1051" s="82" t="s">
        <v>13233</v>
      </c>
      <c r="BD1051" s="77">
        <v>61106922</v>
      </c>
      <c r="BE1051" s="77"/>
      <c r="BF1051" s="77"/>
      <c r="BG1051" s="77"/>
      <c r="BH1051" s="77"/>
      <c r="BI1051" s="77"/>
    </row>
    <row r="1052" spans="1:61" x14ac:dyDescent="0.25">
      <c r="A1052" s="62" t="s">
        <v>564</v>
      </c>
      <c r="B1052" s="62" t="s">
        <v>564</v>
      </c>
      <c r="C1052" s="63"/>
      <c r="D1052" s="64"/>
      <c r="E1052" s="65"/>
      <c r="F1052" s="66"/>
      <c r="G1052" s="63"/>
      <c r="H1052" s="67"/>
      <c r="I1052" s="68"/>
      <c r="J1052" s="68"/>
      <c r="K1052" s="32"/>
      <c r="L1052" s="75">
        <v>1052</v>
      </c>
      <c r="M1052" s="75"/>
      <c r="N1052" s="70"/>
      <c r="O1052" s="77" t="s">
        <v>179</v>
      </c>
      <c r="P1052" s="79">
        <v>44952.742627314816</v>
      </c>
      <c r="Q1052" s="77" t="s">
        <v>2145</v>
      </c>
      <c r="R1052" s="77">
        <v>0</v>
      </c>
      <c r="S1052" s="77">
        <v>2</v>
      </c>
      <c r="T1052" s="77">
        <v>0</v>
      </c>
      <c r="U1052" s="77">
        <v>0</v>
      </c>
      <c r="V1052" s="77">
        <v>77</v>
      </c>
      <c r="W1052" s="82" t="s">
        <v>4822</v>
      </c>
      <c r="X1052" s="80" t="str">
        <f>HYPERLINK("https://www.terra.com.br/economia/dinheiro-em-dia/videos/educacao-financeira-na-escola-por-que-isso-e-tao-importante,9b2073d0de2b78606fb82b2efcbcdeb65sheiupc.html")</f>
        <v>https://www.terra.com.br/economia/dinheiro-em-dia/videos/educacao-financeira-na-escola-por-que-isso-e-tao-importante,9b2073d0de2b78606fb82b2efcbcdeb65sheiupc.html</v>
      </c>
      <c r="Y1052" s="77" t="s">
        <v>6002</v>
      </c>
      <c r="Z1052" s="77"/>
      <c r="AA1052" s="77"/>
      <c r="AB1052" s="77"/>
      <c r="AC1052" s="82" t="s">
        <v>7706</v>
      </c>
      <c r="AD1052" s="77" t="s">
        <v>7745</v>
      </c>
      <c r="AE1052" s="80" t="str">
        <f>HYPERLINK("https://twitter.com/isaaceducacao/status/1618667431953846272")</f>
        <v>https://twitter.com/isaaceducacao/status/1618667431953846272</v>
      </c>
      <c r="AF1052" s="79">
        <v>44952.742627314816</v>
      </c>
      <c r="AG1052" s="85">
        <v>44952</v>
      </c>
      <c r="AH1052" s="82" t="s">
        <v>8681</v>
      </c>
      <c r="AI1052" s="77" t="b">
        <v>0</v>
      </c>
      <c r="AJ1052" s="77"/>
      <c r="AK1052" s="77"/>
      <c r="AL1052" s="77"/>
      <c r="AM1052" s="77"/>
      <c r="AN1052" s="77"/>
      <c r="AO1052" s="77"/>
      <c r="AP1052" s="77"/>
      <c r="AQ1052" s="77"/>
      <c r="AR1052" s="77"/>
      <c r="AS1052" s="77"/>
      <c r="AT1052" s="77"/>
      <c r="AU1052" s="77"/>
      <c r="AV1052" s="80" t="str">
        <f>HYPERLINK("https://pbs.twimg.com/profile_images/1520016683037040641/AK5F2Ovl_normal.jpg")</f>
        <v>https://pbs.twimg.com/profile_images/1520016683037040641/AK5F2Ovl_normal.jpg</v>
      </c>
      <c r="AW1052" s="82" t="s">
        <v>13234</v>
      </c>
      <c r="AX1052" s="82" t="s">
        <v>13234</v>
      </c>
      <c r="AY1052" s="77"/>
      <c r="AZ1052" s="82" t="s">
        <v>15804</v>
      </c>
      <c r="BA1052" s="82" t="s">
        <v>15804</v>
      </c>
      <c r="BB1052" s="82" t="s">
        <v>15804</v>
      </c>
      <c r="BC1052" s="82" t="s">
        <v>13234</v>
      </c>
      <c r="BD1052" s="82" t="s">
        <v>16326</v>
      </c>
      <c r="BE1052" s="77"/>
      <c r="BF1052" s="77"/>
      <c r="BG1052" s="77"/>
      <c r="BH1052" s="77"/>
      <c r="BI1052" s="77"/>
    </row>
    <row r="1053" spans="1:61" x14ac:dyDescent="0.25">
      <c r="A1053" s="62" t="s">
        <v>564</v>
      </c>
      <c r="B1053" s="62" t="s">
        <v>564</v>
      </c>
      <c r="C1053" s="63"/>
      <c r="D1053" s="64"/>
      <c r="E1053" s="65"/>
      <c r="F1053" s="66"/>
      <c r="G1053" s="63"/>
      <c r="H1053" s="67"/>
      <c r="I1053" s="68"/>
      <c r="J1053" s="68"/>
      <c r="K1053" s="32"/>
      <c r="L1053" s="75">
        <v>1053</v>
      </c>
      <c r="M1053" s="75"/>
      <c r="N1053" s="70"/>
      <c r="O1053" s="77" t="s">
        <v>179</v>
      </c>
      <c r="P1053" s="79">
        <v>45181.791261574072</v>
      </c>
      <c r="Q1053" s="77" t="s">
        <v>2146</v>
      </c>
      <c r="R1053" s="77">
        <v>0</v>
      </c>
      <c r="S1053" s="77">
        <v>1</v>
      </c>
      <c r="T1053" s="77">
        <v>0</v>
      </c>
      <c r="U1053" s="77">
        <v>0</v>
      </c>
      <c r="V1053" s="77">
        <v>18</v>
      </c>
      <c r="W1053" s="82" t="s">
        <v>4823</v>
      </c>
      <c r="X1053" s="80" t="str">
        <f>HYPERLINK("https://www.cnnbrasil.com.br/nacional/educacao-financeira-e-essencial-para-alunos-diz-professora-de-escola-premiada-pelo-bc/")</f>
        <v>https://www.cnnbrasil.com.br/nacional/educacao-financeira-e-essencial-para-alunos-diz-professora-de-escola-premiada-pelo-bc/</v>
      </c>
      <c r="Y1053" s="77" t="s">
        <v>6002</v>
      </c>
      <c r="Z1053" s="77"/>
      <c r="AA1053" s="77"/>
      <c r="AB1053" s="77"/>
      <c r="AC1053" s="82" t="s">
        <v>7706</v>
      </c>
      <c r="AD1053" s="77" t="s">
        <v>7745</v>
      </c>
      <c r="AE1053" s="80" t="str">
        <f>HYPERLINK("https://twitter.com/isaaceducacao/status/1701671877754679536")</f>
        <v>https://twitter.com/isaaceducacao/status/1701671877754679536</v>
      </c>
      <c r="AF1053" s="79">
        <v>45181.791261574072</v>
      </c>
      <c r="AG1053" s="85">
        <v>45181</v>
      </c>
      <c r="AH1053" s="82" t="s">
        <v>8682</v>
      </c>
      <c r="AI1053" s="77" t="b">
        <v>0</v>
      </c>
      <c r="AJ1053" s="77"/>
      <c r="AK1053" s="77"/>
      <c r="AL1053" s="77"/>
      <c r="AM1053" s="77"/>
      <c r="AN1053" s="77"/>
      <c r="AO1053" s="77"/>
      <c r="AP1053" s="77"/>
      <c r="AQ1053" s="77"/>
      <c r="AR1053" s="77"/>
      <c r="AS1053" s="77"/>
      <c r="AT1053" s="77"/>
      <c r="AU1053" s="77"/>
      <c r="AV1053" s="80" t="str">
        <f>HYPERLINK("https://pbs.twimg.com/profile_images/1520016683037040641/AK5F2Ovl_normal.jpg")</f>
        <v>https://pbs.twimg.com/profile_images/1520016683037040641/AK5F2Ovl_normal.jpg</v>
      </c>
      <c r="AW1053" s="82" t="s">
        <v>13235</v>
      </c>
      <c r="AX1053" s="82" t="s">
        <v>13235</v>
      </c>
      <c r="AY1053" s="77"/>
      <c r="AZ1053" s="82" t="s">
        <v>15804</v>
      </c>
      <c r="BA1053" s="82" t="s">
        <v>15804</v>
      </c>
      <c r="BB1053" s="82" t="s">
        <v>15804</v>
      </c>
      <c r="BC1053" s="82" t="s">
        <v>13235</v>
      </c>
      <c r="BD1053" s="82" t="s">
        <v>16326</v>
      </c>
      <c r="BE1053" s="77"/>
      <c r="BF1053" s="77"/>
      <c r="BG1053" s="77"/>
      <c r="BH1053" s="77"/>
      <c r="BI1053" s="77"/>
    </row>
    <row r="1054" spans="1:61" x14ac:dyDescent="0.25">
      <c r="A1054" s="62" t="s">
        <v>565</v>
      </c>
      <c r="B1054" s="62" t="s">
        <v>565</v>
      </c>
      <c r="C1054" s="63"/>
      <c r="D1054" s="64"/>
      <c r="E1054" s="65"/>
      <c r="F1054" s="66"/>
      <c r="G1054" s="63"/>
      <c r="H1054" s="67"/>
      <c r="I1054" s="68"/>
      <c r="J1054" s="68"/>
      <c r="K1054" s="32"/>
      <c r="L1054" s="75">
        <v>1054</v>
      </c>
      <c r="M1054" s="75"/>
      <c r="N1054" s="70"/>
      <c r="O1054" s="77" t="s">
        <v>179</v>
      </c>
      <c r="P1054" s="79">
        <v>45106.129548611112</v>
      </c>
      <c r="Q1054" s="77" t="s">
        <v>2147</v>
      </c>
      <c r="R1054" s="77">
        <v>1</v>
      </c>
      <c r="S1054" s="77">
        <v>1</v>
      </c>
      <c r="T1054" s="77">
        <v>0</v>
      </c>
      <c r="U1054" s="77">
        <v>0</v>
      </c>
      <c r="V1054" s="77">
        <v>45</v>
      </c>
      <c r="W1054" s="82" t="s">
        <v>4824</v>
      </c>
      <c r="X1054" s="80" t="str">
        <f>HYPERLINK("https://ottofinancas.com.br")</f>
        <v>https://ottofinancas.com.br</v>
      </c>
      <c r="Y1054" s="77" t="s">
        <v>6002</v>
      </c>
      <c r="Z1054" s="77"/>
      <c r="AA1054" s="77"/>
      <c r="AB1054" s="77"/>
      <c r="AC1054" s="82" t="s">
        <v>7705</v>
      </c>
      <c r="AD1054" s="77" t="s">
        <v>7745</v>
      </c>
      <c r="AE1054" s="80" t="str">
        <f>HYPERLINK("https://twitter.com/ottofinancas/status/1674252989907755011")</f>
        <v>https://twitter.com/ottofinancas/status/1674252989907755011</v>
      </c>
      <c r="AF1054" s="79">
        <v>45106.129548611112</v>
      </c>
      <c r="AG1054" s="85">
        <v>45106</v>
      </c>
      <c r="AH1054" s="82" t="s">
        <v>8683</v>
      </c>
      <c r="AI1054" s="77" t="b">
        <v>0</v>
      </c>
      <c r="AJ1054" s="77"/>
      <c r="AK1054" s="77"/>
      <c r="AL1054" s="77"/>
      <c r="AM1054" s="77"/>
      <c r="AN1054" s="77"/>
      <c r="AO1054" s="77"/>
      <c r="AP1054" s="77"/>
      <c r="AQ1054" s="77"/>
      <c r="AR1054" s="77"/>
      <c r="AS1054" s="77"/>
      <c r="AT1054" s="77"/>
      <c r="AU1054" s="77"/>
      <c r="AV1054" s="80" t="str">
        <f>HYPERLINK("https://pbs.twimg.com/profile_images/1575858115035205633/gjl2Q21O_normal.jpg")</f>
        <v>https://pbs.twimg.com/profile_images/1575858115035205633/gjl2Q21O_normal.jpg</v>
      </c>
      <c r="AW1054" s="82" t="s">
        <v>13236</v>
      </c>
      <c r="AX1054" s="82" t="s">
        <v>13236</v>
      </c>
      <c r="AY1054" s="77"/>
      <c r="AZ1054" s="82" t="s">
        <v>15804</v>
      </c>
      <c r="BA1054" s="82" t="s">
        <v>15804</v>
      </c>
      <c r="BB1054" s="82" t="s">
        <v>15804</v>
      </c>
      <c r="BC1054" s="82" t="s">
        <v>13236</v>
      </c>
      <c r="BD1054" s="82" t="s">
        <v>16327</v>
      </c>
      <c r="BE1054" s="77"/>
      <c r="BF1054" s="77"/>
      <c r="BG1054" s="77"/>
      <c r="BH1054" s="77"/>
      <c r="BI1054" s="77"/>
    </row>
    <row r="1055" spans="1:61" x14ac:dyDescent="0.25">
      <c r="A1055" s="62" t="s">
        <v>566</v>
      </c>
      <c r="B1055" s="62" t="s">
        <v>566</v>
      </c>
      <c r="C1055" s="63"/>
      <c r="D1055" s="64"/>
      <c r="E1055" s="65"/>
      <c r="F1055" s="66"/>
      <c r="G1055" s="63"/>
      <c r="H1055" s="67"/>
      <c r="I1055" s="68"/>
      <c r="J1055" s="68"/>
      <c r="K1055" s="32"/>
      <c r="L1055" s="75">
        <v>1055</v>
      </c>
      <c r="M1055" s="75"/>
      <c r="N1055" s="70"/>
      <c r="O1055" s="77" t="s">
        <v>179</v>
      </c>
      <c r="P1055" s="79">
        <v>45036.005706018521</v>
      </c>
      <c r="Q1055" s="77" t="s">
        <v>2148</v>
      </c>
      <c r="R1055" s="77">
        <v>0</v>
      </c>
      <c r="S1055" s="77">
        <v>0</v>
      </c>
      <c r="T1055" s="77">
        <v>0</v>
      </c>
      <c r="U1055" s="77">
        <v>0</v>
      </c>
      <c r="V1055" s="77">
        <v>25</v>
      </c>
      <c r="W1055" s="82" t="s">
        <v>4825</v>
      </c>
      <c r="X1055" s="77"/>
      <c r="Y1055" s="77"/>
      <c r="Z1055" s="77"/>
      <c r="AA1055" s="77" t="s">
        <v>6797</v>
      </c>
      <c r="AB1055" s="77" t="s">
        <v>7697</v>
      </c>
      <c r="AC1055" s="82" t="s">
        <v>7706</v>
      </c>
      <c r="AD1055" s="77" t="s">
        <v>7745</v>
      </c>
      <c r="AE1055" s="80" t="str">
        <f>HYPERLINK("https://twitter.com/fabiolo14426262/status/1648840959784804359")</f>
        <v>https://twitter.com/fabiolo14426262/status/1648840959784804359</v>
      </c>
      <c r="AF1055" s="79">
        <v>45036.005706018521</v>
      </c>
      <c r="AG1055" s="85">
        <v>45036</v>
      </c>
      <c r="AH1055" s="82" t="s">
        <v>8684</v>
      </c>
      <c r="AI1055" s="77" t="b">
        <v>0</v>
      </c>
      <c r="AJ1055" s="77"/>
      <c r="AK1055" s="77"/>
      <c r="AL1055" s="77"/>
      <c r="AM1055" s="77"/>
      <c r="AN1055" s="77"/>
      <c r="AO1055" s="77"/>
      <c r="AP1055" s="77"/>
      <c r="AQ1055" s="77" t="s">
        <v>11304</v>
      </c>
      <c r="AR1055" s="77">
        <v>20040</v>
      </c>
      <c r="AS1055" s="77"/>
      <c r="AT1055" s="77"/>
      <c r="AU1055" s="77">
        <v>7</v>
      </c>
      <c r="AV1055" s="80" t="str">
        <f>HYPERLINK("https://pbs.twimg.com/ext_tw_video_thumb/1648840425506054144/pu/img/EDhXlTBJembsdWbZ.jpg")</f>
        <v>https://pbs.twimg.com/ext_tw_video_thumb/1648840425506054144/pu/img/EDhXlTBJembsdWbZ.jpg</v>
      </c>
      <c r="AW1055" s="82" t="s">
        <v>13237</v>
      </c>
      <c r="AX1055" s="82" t="s">
        <v>13237</v>
      </c>
      <c r="AY1055" s="77"/>
      <c r="AZ1055" s="82" t="s">
        <v>15804</v>
      </c>
      <c r="BA1055" s="82" t="s">
        <v>15804</v>
      </c>
      <c r="BB1055" s="82" t="s">
        <v>15804</v>
      </c>
      <c r="BC1055" s="82" t="s">
        <v>13237</v>
      </c>
      <c r="BD1055" s="82" t="s">
        <v>16328</v>
      </c>
      <c r="BE1055" s="77"/>
      <c r="BF1055" s="77"/>
      <c r="BG1055" s="77"/>
      <c r="BH1055" s="77"/>
      <c r="BI1055" s="77"/>
    </row>
    <row r="1056" spans="1:61" x14ac:dyDescent="0.25">
      <c r="A1056" s="62" t="s">
        <v>566</v>
      </c>
      <c r="B1056" s="62" t="s">
        <v>566</v>
      </c>
      <c r="C1056" s="63"/>
      <c r="D1056" s="64"/>
      <c r="E1056" s="65"/>
      <c r="F1056" s="66"/>
      <c r="G1056" s="63"/>
      <c r="H1056" s="67"/>
      <c r="I1056" s="68"/>
      <c r="J1056" s="68"/>
      <c r="K1056" s="32"/>
      <c r="L1056" s="75">
        <v>1056</v>
      </c>
      <c r="M1056" s="75"/>
      <c r="N1056" s="70"/>
      <c r="O1056" s="77" t="s">
        <v>179</v>
      </c>
      <c r="P1056" s="79">
        <v>45061.565648148149</v>
      </c>
      <c r="Q1056" s="77" t="s">
        <v>2149</v>
      </c>
      <c r="R1056" s="77">
        <v>0</v>
      </c>
      <c r="S1056" s="77">
        <v>0</v>
      </c>
      <c r="T1056" s="77">
        <v>0</v>
      </c>
      <c r="U1056" s="77">
        <v>0</v>
      </c>
      <c r="V1056" s="77">
        <v>22</v>
      </c>
      <c r="W1056" s="82" t="s">
        <v>4826</v>
      </c>
      <c r="X1056" s="77"/>
      <c r="Y1056" s="77"/>
      <c r="Z1056" s="77"/>
      <c r="AA1056" s="77"/>
      <c r="AB1056" s="77"/>
      <c r="AC1056" s="82" t="s">
        <v>7706</v>
      </c>
      <c r="AD1056" s="77" t="s">
        <v>7745</v>
      </c>
      <c r="AE1056" s="80" t="str">
        <f>HYPERLINK("https://twitter.com/fabiolo14426262/status/1658103571118694400")</f>
        <v>https://twitter.com/fabiolo14426262/status/1658103571118694400</v>
      </c>
      <c r="AF1056" s="79">
        <v>45061.565648148149</v>
      </c>
      <c r="AG1056" s="85">
        <v>45061</v>
      </c>
      <c r="AH1056" s="82" t="s">
        <v>8685</v>
      </c>
      <c r="AI1056" s="77"/>
      <c r="AJ1056" s="77"/>
      <c r="AK1056" s="77"/>
      <c r="AL1056" s="77"/>
      <c r="AM1056" s="77"/>
      <c r="AN1056" s="77"/>
      <c r="AO1056" s="77"/>
      <c r="AP1056" s="77"/>
      <c r="AQ1056" s="77"/>
      <c r="AR1056" s="77"/>
      <c r="AS1056" s="77"/>
      <c r="AT1056" s="77"/>
      <c r="AU1056" s="77"/>
      <c r="AV1056" s="80" t="str">
        <f>HYPERLINK("https://pbs.twimg.com/profile_images/1643067339947012096/5ciTbP7o_normal.jpg")</f>
        <v>https://pbs.twimg.com/profile_images/1643067339947012096/5ciTbP7o_normal.jpg</v>
      </c>
      <c r="AW1056" s="82" t="s">
        <v>13238</v>
      </c>
      <c r="AX1056" s="82" t="s">
        <v>13238</v>
      </c>
      <c r="AY1056" s="77"/>
      <c r="AZ1056" s="82" t="s">
        <v>15804</v>
      </c>
      <c r="BA1056" s="82" t="s">
        <v>15804</v>
      </c>
      <c r="BB1056" s="82" t="s">
        <v>15804</v>
      </c>
      <c r="BC1056" s="82" t="s">
        <v>13238</v>
      </c>
      <c r="BD1056" s="82" t="s">
        <v>16328</v>
      </c>
      <c r="BE1056" s="77"/>
      <c r="BF1056" s="77"/>
      <c r="BG1056" s="77"/>
      <c r="BH1056" s="77"/>
      <c r="BI1056" s="77"/>
    </row>
    <row r="1057" spans="1:61" x14ac:dyDescent="0.25">
      <c r="A1057" s="62" t="s">
        <v>567</v>
      </c>
      <c r="B1057" s="62" t="s">
        <v>567</v>
      </c>
      <c r="C1057" s="63"/>
      <c r="D1057" s="64"/>
      <c r="E1057" s="65"/>
      <c r="F1057" s="66"/>
      <c r="G1057" s="63"/>
      <c r="H1057" s="67"/>
      <c r="I1057" s="68"/>
      <c r="J1057" s="68"/>
      <c r="K1057" s="32"/>
      <c r="L1057" s="75">
        <v>1057</v>
      </c>
      <c r="M1057" s="75"/>
      <c r="N1057" s="70"/>
      <c r="O1057" s="77" t="s">
        <v>179</v>
      </c>
      <c r="P1057" s="79">
        <v>45097.8125</v>
      </c>
      <c r="Q1057" s="77" t="s">
        <v>2150</v>
      </c>
      <c r="R1057" s="77">
        <v>0</v>
      </c>
      <c r="S1057" s="77">
        <v>0</v>
      </c>
      <c r="T1057" s="77">
        <v>0</v>
      </c>
      <c r="U1057" s="77">
        <v>0</v>
      </c>
      <c r="V1057" s="77">
        <v>7</v>
      </c>
      <c r="W1057" s="82" t="s">
        <v>4827</v>
      </c>
      <c r="X1057" s="77"/>
      <c r="Y1057" s="77"/>
      <c r="Z1057" s="77"/>
      <c r="AA1057" s="77" t="s">
        <v>6798</v>
      </c>
      <c r="AB1057" s="77" t="s">
        <v>7696</v>
      </c>
      <c r="AC1057" s="82" t="s">
        <v>7707</v>
      </c>
      <c r="AD1057" s="77" t="s">
        <v>7752</v>
      </c>
      <c r="AE1057" s="80" t="str">
        <f>HYPERLINK("https://twitter.com/gpsdosnegocios/status/1671238991486545920")</f>
        <v>https://twitter.com/gpsdosnegocios/status/1671238991486545920</v>
      </c>
      <c r="AF1057" s="79">
        <v>45097.8125</v>
      </c>
      <c r="AG1057" s="85">
        <v>45097</v>
      </c>
      <c r="AH1057" s="82" t="s">
        <v>8567</v>
      </c>
      <c r="AI1057" s="77" t="b">
        <v>0</v>
      </c>
      <c r="AJ1057" s="77"/>
      <c r="AK1057" s="77"/>
      <c r="AL1057" s="77"/>
      <c r="AM1057" s="77"/>
      <c r="AN1057" s="77"/>
      <c r="AO1057" s="77"/>
      <c r="AP1057" s="77"/>
      <c r="AQ1057" s="77" t="s">
        <v>11305</v>
      </c>
      <c r="AR1057" s="77"/>
      <c r="AS1057" s="77"/>
      <c r="AT1057" s="77"/>
      <c r="AU1057" s="77"/>
      <c r="AV1057" s="80" t="str">
        <f>HYPERLINK("https://pbs.twimg.com/media/FzFvAaFXgAAShr9.jpg")</f>
        <v>https://pbs.twimg.com/media/FzFvAaFXgAAShr9.jpg</v>
      </c>
      <c r="AW1057" s="82" t="s">
        <v>13239</v>
      </c>
      <c r="AX1057" s="82" t="s">
        <v>13239</v>
      </c>
      <c r="AY1057" s="77"/>
      <c r="AZ1057" s="82" t="s">
        <v>15804</v>
      </c>
      <c r="BA1057" s="82" t="s">
        <v>15804</v>
      </c>
      <c r="BB1057" s="82" t="s">
        <v>15804</v>
      </c>
      <c r="BC1057" s="82" t="s">
        <v>13239</v>
      </c>
      <c r="BD1057" s="82" t="s">
        <v>16329</v>
      </c>
      <c r="BE1057" s="77"/>
      <c r="BF1057" s="77"/>
      <c r="BG1057" s="77"/>
      <c r="BH1057" s="77"/>
      <c r="BI1057" s="77"/>
    </row>
    <row r="1058" spans="1:61" x14ac:dyDescent="0.25">
      <c r="A1058" s="62" t="s">
        <v>567</v>
      </c>
      <c r="B1058" s="62" t="s">
        <v>567</v>
      </c>
      <c r="C1058" s="63"/>
      <c r="D1058" s="64"/>
      <c r="E1058" s="65"/>
      <c r="F1058" s="66"/>
      <c r="G1058" s="63"/>
      <c r="H1058" s="67"/>
      <c r="I1058" s="68"/>
      <c r="J1058" s="68"/>
      <c r="K1058" s="32"/>
      <c r="L1058" s="75">
        <v>1058</v>
      </c>
      <c r="M1058" s="75"/>
      <c r="N1058" s="70"/>
      <c r="O1058" s="77" t="s">
        <v>179</v>
      </c>
      <c r="P1058" s="79">
        <v>45090.947222222225</v>
      </c>
      <c r="Q1058" s="77" t="s">
        <v>2151</v>
      </c>
      <c r="R1058" s="77">
        <v>0</v>
      </c>
      <c r="S1058" s="77">
        <v>0</v>
      </c>
      <c r="T1058" s="77">
        <v>0</v>
      </c>
      <c r="U1058" s="77">
        <v>0</v>
      </c>
      <c r="V1058" s="77">
        <v>6</v>
      </c>
      <c r="W1058" s="82" t="s">
        <v>4828</v>
      </c>
      <c r="X1058" s="77"/>
      <c r="Y1058" s="77"/>
      <c r="Z1058" s="77"/>
      <c r="AA1058" s="77" t="s">
        <v>6799</v>
      </c>
      <c r="AB1058" s="77" t="s">
        <v>7697</v>
      </c>
      <c r="AC1058" s="82" t="s">
        <v>7707</v>
      </c>
      <c r="AD1058" s="77" t="s">
        <v>7745</v>
      </c>
      <c r="AE1058" s="80" t="str">
        <f>HYPERLINK("https://twitter.com/gpsdosnegocios/status/1668751100189761537")</f>
        <v>https://twitter.com/gpsdosnegocios/status/1668751100189761537</v>
      </c>
      <c r="AF1058" s="79">
        <v>45090.947222222225</v>
      </c>
      <c r="AG1058" s="85">
        <v>45090</v>
      </c>
      <c r="AH1058" s="82" t="s">
        <v>8686</v>
      </c>
      <c r="AI1058" s="77" t="b">
        <v>0</v>
      </c>
      <c r="AJ1058" s="77"/>
      <c r="AK1058" s="77"/>
      <c r="AL1058" s="77"/>
      <c r="AM1058" s="77"/>
      <c r="AN1058" s="77"/>
      <c r="AO1058" s="77"/>
      <c r="AP1058" s="77"/>
      <c r="AQ1058" s="77" t="s">
        <v>11306</v>
      </c>
      <c r="AR1058" s="77">
        <v>59519</v>
      </c>
      <c r="AS1058" s="77"/>
      <c r="AT1058" s="77"/>
      <c r="AU1058" s="77">
        <v>1</v>
      </c>
      <c r="AV1058" s="80" t="str">
        <f>HYPERLINK("https://pbs.twimg.com/ext_tw_video_thumb/1668751059844493313/pu/img/xFTDkm1z2yUj73gs.jpg")</f>
        <v>https://pbs.twimg.com/ext_tw_video_thumb/1668751059844493313/pu/img/xFTDkm1z2yUj73gs.jpg</v>
      </c>
      <c r="AW1058" s="82" t="s">
        <v>13240</v>
      </c>
      <c r="AX1058" s="82" t="s">
        <v>13240</v>
      </c>
      <c r="AY1058" s="77"/>
      <c r="AZ1058" s="82" t="s">
        <v>15804</v>
      </c>
      <c r="BA1058" s="82" t="s">
        <v>15804</v>
      </c>
      <c r="BB1058" s="82" t="s">
        <v>15804</v>
      </c>
      <c r="BC1058" s="82" t="s">
        <v>13240</v>
      </c>
      <c r="BD1058" s="82" t="s">
        <v>16329</v>
      </c>
      <c r="BE1058" s="77"/>
      <c r="BF1058" s="77"/>
      <c r="BG1058" s="77"/>
      <c r="BH1058" s="77"/>
      <c r="BI1058" s="77"/>
    </row>
    <row r="1059" spans="1:61" x14ac:dyDescent="0.25">
      <c r="A1059" s="62" t="s">
        <v>568</v>
      </c>
      <c r="B1059" s="62" t="s">
        <v>568</v>
      </c>
      <c r="C1059" s="63"/>
      <c r="D1059" s="64"/>
      <c r="E1059" s="65"/>
      <c r="F1059" s="66"/>
      <c r="G1059" s="63"/>
      <c r="H1059" s="67"/>
      <c r="I1059" s="68"/>
      <c r="J1059" s="68"/>
      <c r="K1059" s="32"/>
      <c r="L1059" s="75">
        <v>1059</v>
      </c>
      <c r="M1059" s="75"/>
      <c r="N1059" s="70"/>
      <c r="O1059" s="77" t="s">
        <v>179</v>
      </c>
      <c r="P1059" s="79">
        <v>44953.976701388892</v>
      </c>
      <c r="Q1059" s="77" t="s">
        <v>2152</v>
      </c>
      <c r="R1059" s="77">
        <v>0</v>
      </c>
      <c r="S1059" s="77">
        <v>0</v>
      </c>
      <c r="T1059" s="77">
        <v>0</v>
      </c>
      <c r="U1059" s="77">
        <v>0</v>
      </c>
      <c r="V1059" s="77">
        <v>5</v>
      </c>
      <c r="W1059" s="82" t="s">
        <v>4829</v>
      </c>
      <c r="X1059" s="80" t="str">
        <f>HYPERLINK("https://lnkd.in/ds_kRjz2")</f>
        <v>https://lnkd.in/ds_kRjz2</v>
      </c>
      <c r="Y1059" s="77" t="s">
        <v>6014</v>
      </c>
      <c r="Z1059" s="77"/>
      <c r="AA1059" s="77"/>
      <c r="AB1059" s="77"/>
      <c r="AC1059" s="82" t="s">
        <v>7720</v>
      </c>
      <c r="AD1059" s="77" t="s">
        <v>7745</v>
      </c>
      <c r="AE1059" s="80" t="str">
        <f>HYPERLINK("https://twitter.com/dtirado1/status/1619114645477892097")</f>
        <v>https://twitter.com/dtirado1/status/1619114645477892097</v>
      </c>
      <c r="AF1059" s="79">
        <v>44953.976701388892</v>
      </c>
      <c r="AG1059" s="85">
        <v>44953</v>
      </c>
      <c r="AH1059" s="82" t="s">
        <v>8687</v>
      </c>
      <c r="AI1059" s="77" t="b">
        <v>0</v>
      </c>
      <c r="AJ1059" s="77"/>
      <c r="AK1059" s="77"/>
      <c r="AL1059" s="77"/>
      <c r="AM1059" s="77"/>
      <c r="AN1059" s="77"/>
      <c r="AO1059" s="77"/>
      <c r="AP1059" s="77"/>
      <c r="AQ1059" s="77"/>
      <c r="AR1059" s="77"/>
      <c r="AS1059" s="77"/>
      <c r="AT1059" s="77"/>
      <c r="AU1059" s="77"/>
      <c r="AV1059" s="80" t="str">
        <f>HYPERLINK("https://pbs.twimg.com/profile_images/1154173733239754753/oDDGSqSc_normal.jpg")</f>
        <v>https://pbs.twimg.com/profile_images/1154173733239754753/oDDGSqSc_normal.jpg</v>
      </c>
      <c r="AW1059" s="82" t="s">
        <v>13241</v>
      </c>
      <c r="AX1059" s="82" t="s">
        <v>13241</v>
      </c>
      <c r="AY1059" s="77"/>
      <c r="AZ1059" s="82" t="s">
        <v>15804</v>
      </c>
      <c r="BA1059" s="82" t="s">
        <v>15804</v>
      </c>
      <c r="BB1059" s="82" t="s">
        <v>15804</v>
      </c>
      <c r="BC1059" s="82" t="s">
        <v>13241</v>
      </c>
      <c r="BD1059" s="77">
        <v>1479787435</v>
      </c>
      <c r="BE1059" s="77"/>
      <c r="BF1059" s="77"/>
      <c r="BG1059" s="77"/>
      <c r="BH1059" s="77"/>
      <c r="BI1059" s="77"/>
    </row>
    <row r="1060" spans="1:61" x14ac:dyDescent="0.25">
      <c r="A1060" s="62" t="s">
        <v>569</v>
      </c>
      <c r="B1060" s="62" t="s">
        <v>569</v>
      </c>
      <c r="C1060" s="63"/>
      <c r="D1060" s="64"/>
      <c r="E1060" s="65"/>
      <c r="F1060" s="66"/>
      <c r="G1060" s="63"/>
      <c r="H1060" s="67"/>
      <c r="I1060" s="68"/>
      <c r="J1060" s="68"/>
      <c r="K1060" s="32"/>
      <c r="L1060" s="75">
        <v>1060</v>
      </c>
      <c r="M1060" s="75"/>
      <c r="N1060" s="70"/>
      <c r="O1060" s="77" t="s">
        <v>179</v>
      </c>
      <c r="P1060" s="79">
        <v>44929.428553240738</v>
      </c>
      <c r="Q1060" s="77" t="s">
        <v>2153</v>
      </c>
      <c r="R1060" s="77">
        <v>0</v>
      </c>
      <c r="S1060" s="77">
        <v>2</v>
      </c>
      <c r="T1060" s="77">
        <v>0</v>
      </c>
      <c r="U1060" s="77">
        <v>0</v>
      </c>
      <c r="V1060" s="77">
        <v>70</v>
      </c>
      <c r="W1060" s="82" t="s">
        <v>4830</v>
      </c>
      <c r="X1060" s="77"/>
      <c r="Y1060" s="77"/>
      <c r="Z1060" s="77"/>
      <c r="AA1060" s="77"/>
      <c r="AB1060" s="77"/>
      <c r="AC1060" s="82" t="s">
        <v>7707</v>
      </c>
      <c r="AD1060" s="77" t="s">
        <v>7745</v>
      </c>
      <c r="AE1060" s="80" t="str">
        <f>HYPERLINK("https://twitter.com/financasup/status/1610218691047702535")</f>
        <v>https://twitter.com/financasup/status/1610218691047702535</v>
      </c>
      <c r="AF1060" s="79">
        <v>44929.428553240738</v>
      </c>
      <c r="AG1060" s="85">
        <v>44929</v>
      </c>
      <c r="AH1060" s="82" t="s">
        <v>8688</v>
      </c>
      <c r="AI1060" s="77"/>
      <c r="AJ1060" s="77"/>
      <c r="AK1060" s="77"/>
      <c r="AL1060" s="77"/>
      <c r="AM1060" s="77"/>
      <c r="AN1060" s="77"/>
      <c r="AO1060" s="77"/>
      <c r="AP1060" s="77"/>
      <c r="AQ1060" s="77"/>
      <c r="AR1060" s="77"/>
      <c r="AS1060" s="77"/>
      <c r="AT1060" s="77"/>
      <c r="AU1060" s="77"/>
      <c r="AV1060" s="80" t="str">
        <f>HYPERLINK("https://pbs.twimg.com/profile_images/1543015489282215938/GkKVAQqe_normal.jpg")</f>
        <v>https://pbs.twimg.com/profile_images/1543015489282215938/GkKVAQqe_normal.jpg</v>
      </c>
      <c r="AW1060" s="82" t="s">
        <v>13242</v>
      </c>
      <c r="AX1060" s="82" t="s">
        <v>13242</v>
      </c>
      <c r="AY1060" s="77"/>
      <c r="AZ1060" s="82" t="s">
        <v>15804</v>
      </c>
      <c r="BA1060" s="82" t="s">
        <v>15804</v>
      </c>
      <c r="BB1060" s="82" t="s">
        <v>15804</v>
      </c>
      <c r="BC1060" s="82" t="s">
        <v>13242</v>
      </c>
      <c r="BD1060" s="82" t="s">
        <v>16330</v>
      </c>
      <c r="BE1060" s="77"/>
      <c r="BF1060" s="77"/>
      <c r="BG1060" s="77"/>
      <c r="BH1060" s="77"/>
      <c r="BI1060" s="77"/>
    </row>
    <row r="1061" spans="1:61" x14ac:dyDescent="0.25">
      <c r="A1061" s="62" t="s">
        <v>569</v>
      </c>
      <c r="B1061" s="62" t="s">
        <v>569</v>
      </c>
      <c r="C1061" s="63"/>
      <c r="D1061" s="64"/>
      <c r="E1061" s="65"/>
      <c r="F1061" s="66"/>
      <c r="G1061" s="63"/>
      <c r="H1061" s="67"/>
      <c r="I1061" s="68"/>
      <c r="J1061" s="68"/>
      <c r="K1061" s="32"/>
      <c r="L1061" s="75">
        <v>1061</v>
      </c>
      <c r="M1061" s="75"/>
      <c r="N1061" s="70"/>
      <c r="O1061" s="77" t="s">
        <v>179</v>
      </c>
      <c r="P1061" s="79">
        <v>44947.551261574074</v>
      </c>
      <c r="Q1061" s="77" t="s">
        <v>2154</v>
      </c>
      <c r="R1061" s="77">
        <v>0</v>
      </c>
      <c r="S1061" s="77">
        <v>0</v>
      </c>
      <c r="T1061" s="77">
        <v>0</v>
      </c>
      <c r="U1061" s="77">
        <v>0</v>
      </c>
      <c r="V1061" s="77">
        <v>37</v>
      </c>
      <c r="W1061" s="82" t="s">
        <v>4830</v>
      </c>
      <c r="X1061" s="77"/>
      <c r="Y1061" s="77"/>
      <c r="Z1061" s="77"/>
      <c r="AA1061" s="77"/>
      <c r="AB1061" s="77"/>
      <c r="AC1061" s="82" t="s">
        <v>7707</v>
      </c>
      <c r="AD1061" s="77" t="s">
        <v>7745</v>
      </c>
      <c r="AE1061" s="80" t="str">
        <f>HYPERLINK("https://twitter.com/financasup/status/1616786141272805379")</f>
        <v>https://twitter.com/financasup/status/1616786141272805379</v>
      </c>
      <c r="AF1061" s="79">
        <v>44947.551261574074</v>
      </c>
      <c r="AG1061" s="85">
        <v>44947</v>
      </c>
      <c r="AH1061" s="82" t="s">
        <v>8689</v>
      </c>
      <c r="AI1061" s="77"/>
      <c r="AJ1061" s="77"/>
      <c r="AK1061" s="77"/>
      <c r="AL1061" s="77"/>
      <c r="AM1061" s="77"/>
      <c r="AN1061" s="77"/>
      <c r="AO1061" s="77"/>
      <c r="AP1061" s="77"/>
      <c r="AQ1061" s="77"/>
      <c r="AR1061" s="77"/>
      <c r="AS1061" s="77"/>
      <c r="AT1061" s="77"/>
      <c r="AU1061" s="77"/>
      <c r="AV1061" s="80" t="str">
        <f>HYPERLINK("https://pbs.twimg.com/profile_images/1543015489282215938/GkKVAQqe_normal.jpg")</f>
        <v>https://pbs.twimg.com/profile_images/1543015489282215938/GkKVAQqe_normal.jpg</v>
      </c>
      <c r="AW1061" s="82" t="s">
        <v>13243</v>
      </c>
      <c r="AX1061" s="82" t="s">
        <v>13243</v>
      </c>
      <c r="AY1061" s="77"/>
      <c r="AZ1061" s="82" t="s">
        <v>15804</v>
      </c>
      <c r="BA1061" s="82" t="s">
        <v>15804</v>
      </c>
      <c r="BB1061" s="82" t="s">
        <v>15804</v>
      </c>
      <c r="BC1061" s="82" t="s">
        <v>13243</v>
      </c>
      <c r="BD1061" s="82" t="s">
        <v>16330</v>
      </c>
      <c r="BE1061" s="77"/>
      <c r="BF1061" s="77"/>
      <c r="BG1061" s="77"/>
      <c r="BH1061" s="77"/>
      <c r="BI1061" s="77"/>
    </row>
    <row r="1062" spans="1:61" x14ac:dyDescent="0.25">
      <c r="A1062" s="62" t="s">
        <v>569</v>
      </c>
      <c r="B1062" s="62" t="s">
        <v>569</v>
      </c>
      <c r="C1062" s="63"/>
      <c r="D1062" s="64"/>
      <c r="E1062" s="65"/>
      <c r="F1062" s="66"/>
      <c r="G1062" s="63"/>
      <c r="H1062" s="67"/>
      <c r="I1062" s="68"/>
      <c r="J1062" s="68"/>
      <c r="K1062" s="32"/>
      <c r="L1062" s="75">
        <v>1062</v>
      </c>
      <c r="M1062" s="75"/>
      <c r="N1062" s="70"/>
      <c r="O1062" s="77" t="s">
        <v>179</v>
      </c>
      <c r="P1062" s="79">
        <v>45114.062789351854</v>
      </c>
      <c r="Q1062" s="77" t="s">
        <v>2155</v>
      </c>
      <c r="R1062" s="77">
        <v>0</v>
      </c>
      <c r="S1062" s="77">
        <v>1</v>
      </c>
      <c r="T1062" s="77">
        <v>0</v>
      </c>
      <c r="U1062" s="77">
        <v>0</v>
      </c>
      <c r="V1062" s="77">
        <v>21</v>
      </c>
      <c r="W1062" s="82" t="s">
        <v>4831</v>
      </c>
      <c r="X1062" s="77"/>
      <c r="Y1062" s="77"/>
      <c r="Z1062" s="77"/>
      <c r="AA1062" s="77"/>
      <c r="AB1062" s="77"/>
      <c r="AC1062" s="82" t="s">
        <v>7707</v>
      </c>
      <c r="AD1062" s="77" t="s">
        <v>7745</v>
      </c>
      <c r="AE1062" s="80" t="str">
        <f>HYPERLINK("https://twitter.com/financasup/status/1677127901773193217")</f>
        <v>https://twitter.com/financasup/status/1677127901773193217</v>
      </c>
      <c r="AF1062" s="79">
        <v>45114.062789351854</v>
      </c>
      <c r="AG1062" s="85">
        <v>45114</v>
      </c>
      <c r="AH1062" s="82" t="s">
        <v>8690</v>
      </c>
      <c r="AI1062" s="77"/>
      <c r="AJ1062" s="77"/>
      <c r="AK1062" s="77"/>
      <c r="AL1062" s="77"/>
      <c r="AM1062" s="77"/>
      <c r="AN1062" s="77"/>
      <c r="AO1062" s="77"/>
      <c r="AP1062" s="77"/>
      <c r="AQ1062" s="77"/>
      <c r="AR1062" s="77"/>
      <c r="AS1062" s="77"/>
      <c r="AT1062" s="77"/>
      <c r="AU1062" s="77"/>
      <c r="AV1062" s="80" t="str">
        <f>HYPERLINK("https://pbs.twimg.com/profile_images/1543015489282215938/GkKVAQqe_normal.jpg")</f>
        <v>https://pbs.twimg.com/profile_images/1543015489282215938/GkKVAQqe_normal.jpg</v>
      </c>
      <c r="AW1062" s="82" t="s">
        <v>13244</v>
      </c>
      <c r="AX1062" s="82" t="s">
        <v>13244</v>
      </c>
      <c r="AY1062" s="77"/>
      <c r="AZ1062" s="82" t="s">
        <v>15804</v>
      </c>
      <c r="BA1062" s="82" t="s">
        <v>15804</v>
      </c>
      <c r="BB1062" s="82" t="s">
        <v>15804</v>
      </c>
      <c r="BC1062" s="82" t="s">
        <v>13244</v>
      </c>
      <c r="BD1062" s="82" t="s">
        <v>16330</v>
      </c>
      <c r="BE1062" s="77"/>
      <c r="BF1062" s="77"/>
      <c r="BG1062" s="77"/>
      <c r="BH1062" s="77"/>
      <c r="BI1062" s="77"/>
    </row>
    <row r="1063" spans="1:61" x14ac:dyDescent="0.25">
      <c r="A1063" s="62" t="s">
        <v>570</v>
      </c>
      <c r="B1063" s="62" t="s">
        <v>570</v>
      </c>
      <c r="C1063" s="63"/>
      <c r="D1063" s="64"/>
      <c r="E1063" s="65"/>
      <c r="F1063" s="66"/>
      <c r="G1063" s="63"/>
      <c r="H1063" s="67"/>
      <c r="I1063" s="68"/>
      <c r="J1063" s="68"/>
      <c r="K1063" s="32"/>
      <c r="L1063" s="75">
        <v>1063</v>
      </c>
      <c r="M1063" s="75"/>
      <c r="N1063" s="70"/>
      <c r="O1063" s="77" t="s">
        <v>179</v>
      </c>
      <c r="P1063" s="79">
        <v>44951.617986111109</v>
      </c>
      <c r="Q1063" s="77" t="s">
        <v>2156</v>
      </c>
      <c r="R1063" s="77">
        <v>0</v>
      </c>
      <c r="S1063" s="77">
        <v>0</v>
      </c>
      <c r="T1063" s="77">
        <v>0</v>
      </c>
      <c r="U1063" s="77">
        <v>0</v>
      </c>
      <c r="V1063" s="77">
        <v>20</v>
      </c>
      <c r="W1063" s="82" t="s">
        <v>4080</v>
      </c>
      <c r="X1063" s="77"/>
      <c r="Y1063" s="77"/>
      <c r="Z1063" s="77"/>
      <c r="AA1063" s="77"/>
      <c r="AB1063" s="77"/>
      <c r="AC1063" s="82" t="s">
        <v>7706</v>
      </c>
      <c r="AD1063" s="77" t="s">
        <v>7745</v>
      </c>
      <c r="AE1063" s="80" t="str">
        <f>HYPERLINK("https://twitter.com/mmartinsandrade/status/1618259874777030658")</f>
        <v>https://twitter.com/mmartinsandrade/status/1618259874777030658</v>
      </c>
      <c r="AF1063" s="79">
        <v>44951.617986111109</v>
      </c>
      <c r="AG1063" s="85">
        <v>44951</v>
      </c>
      <c r="AH1063" s="82" t="s">
        <v>8691</v>
      </c>
      <c r="AI1063" s="77"/>
      <c r="AJ1063" s="77"/>
      <c r="AK1063" s="77"/>
      <c r="AL1063" s="77"/>
      <c r="AM1063" s="77"/>
      <c r="AN1063" s="77"/>
      <c r="AO1063" s="77"/>
      <c r="AP1063" s="77"/>
      <c r="AQ1063" s="77"/>
      <c r="AR1063" s="77"/>
      <c r="AS1063" s="77"/>
      <c r="AT1063" s="77"/>
      <c r="AU1063" s="77"/>
      <c r="AV1063" s="80" t="str">
        <f>HYPERLINK("https://pbs.twimg.com/profile_images/922111564894867456/5x2lYTGT_normal.jpg")</f>
        <v>https://pbs.twimg.com/profile_images/922111564894867456/5x2lYTGT_normal.jpg</v>
      </c>
      <c r="AW1063" s="82" t="s">
        <v>13245</v>
      </c>
      <c r="AX1063" s="82" t="s">
        <v>13245</v>
      </c>
      <c r="AY1063" s="77"/>
      <c r="AZ1063" s="82" t="s">
        <v>15804</v>
      </c>
      <c r="BA1063" s="82" t="s">
        <v>15804</v>
      </c>
      <c r="BB1063" s="82" t="s">
        <v>15804</v>
      </c>
      <c r="BC1063" s="82" t="s">
        <v>13245</v>
      </c>
      <c r="BD1063" s="82" t="s">
        <v>16331</v>
      </c>
      <c r="BE1063" s="77"/>
      <c r="BF1063" s="77"/>
      <c r="BG1063" s="77"/>
      <c r="BH1063" s="77"/>
      <c r="BI1063" s="77"/>
    </row>
    <row r="1064" spans="1:61" x14ac:dyDescent="0.25">
      <c r="A1064" s="62" t="s">
        <v>571</v>
      </c>
      <c r="B1064" s="62" t="s">
        <v>571</v>
      </c>
      <c r="C1064" s="63"/>
      <c r="D1064" s="64"/>
      <c r="E1064" s="65"/>
      <c r="F1064" s="66"/>
      <c r="G1064" s="63"/>
      <c r="H1064" s="67"/>
      <c r="I1064" s="68"/>
      <c r="J1064" s="68"/>
      <c r="K1064" s="32"/>
      <c r="L1064" s="75">
        <v>1064</v>
      </c>
      <c r="M1064" s="75"/>
      <c r="N1064" s="70"/>
      <c r="O1064" s="77" t="s">
        <v>179</v>
      </c>
      <c r="P1064" s="79">
        <v>45008.699178240742</v>
      </c>
      <c r="Q1064" s="77" t="s">
        <v>2157</v>
      </c>
      <c r="R1064" s="77">
        <v>0</v>
      </c>
      <c r="S1064" s="77">
        <v>1</v>
      </c>
      <c r="T1064" s="77">
        <v>0</v>
      </c>
      <c r="U1064" s="77">
        <v>0</v>
      </c>
      <c r="V1064" s="77">
        <v>52</v>
      </c>
      <c r="W1064" s="82" t="s">
        <v>4832</v>
      </c>
      <c r="X1064" s="77"/>
      <c r="Y1064" s="77"/>
      <c r="Z1064" s="77"/>
      <c r="AA1064" s="77" t="s">
        <v>6800</v>
      </c>
      <c r="AB1064" s="77" t="s">
        <v>7698</v>
      </c>
      <c r="AC1064" s="82" t="s">
        <v>7706</v>
      </c>
      <c r="AD1064" s="77" t="s">
        <v>7745</v>
      </c>
      <c r="AE1064" s="80" t="str">
        <f>HYPERLINK("https://twitter.com/senacminas/status/1638945405164462081")</f>
        <v>https://twitter.com/senacminas/status/1638945405164462081</v>
      </c>
      <c r="AF1064" s="79">
        <v>45008.699178240742</v>
      </c>
      <c r="AG1064" s="85">
        <v>45008</v>
      </c>
      <c r="AH1064" s="82" t="s">
        <v>8692</v>
      </c>
      <c r="AI1064" s="77" t="b">
        <v>0</v>
      </c>
      <c r="AJ1064" s="77"/>
      <c r="AK1064" s="77"/>
      <c r="AL1064" s="77"/>
      <c r="AM1064" s="77"/>
      <c r="AN1064" s="77"/>
      <c r="AO1064" s="77"/>
      <c r="AP1064" s="77"/>
      <c r="AQ1064" s="77" t="s">
        <v>11307</v>
      </c>
      <c r="AR1064" s="77"/>
      <c r="AS1064" s="77"/>
      <c r="AT1064" s="77"/>
      <c r="AU1064" s="77"/>
      <c r="AV1064" s="80" t="str">
        <f>HYPERLINK("https://pbs.twimg.com/media/Fr60C86XgAA_j64.jpg")</f>
        <v>https://pbs.twimg.com/media/Fr60C86XgAA_j64.jpg</v>
      </c>
      <c r="AW1064" s="82" t="s">
        <v>13246</v>
      </c>
      <c r="AX1064" s="82" t="s">
        <v>13246</v>
      </c>
      <c r="AY1064" s="77"/>
      <c r="AZ1064" s="82" t="s">
        <v>15804</v>
      </c>
      <c r="BA1064" s="82" t="s">
        <v>15804</v>
      </c>
      <c r="BB1064" s="82" t="s">
        <v>15804</v>
      </c>
      <c r="BC1064" s="82" t="s">
        <v>13246</v>
      </c>
      <c r="BD1064" s="77">
        <v>90272946</v>
      </c>
      <c r="BE1064" s="77"/>
      <c r="BF1064" s="77"/>
      <c r="BG1064" s="77"/>
      <c r="BH1064" s="77"/>
      <c r="BI1064" s="77"/>
    </row>
    <row r="1065" spans="1:61" x14ac:dyDescent="0.25">
      <c r="A1065" s="62" t="s">
        <v>572</v>
      </c>
      <c r="B1065" s="62" t="s">
        <v>572</v>
      </c>
      <c r="C1065" s="63"/>
      <c r="D1065" s="64"/>
      <c r="E1065" s="65"/>
      <c r="F1065" s="66"/>
      <c r="G1065" s="63"/>
      <c r="H1065" s="67"/>
      <c r="I1065" s="68"/>
      <c r="J1065" s="68"/>
      <c r="K1065" s="32"/>
      <c r="L1065" s="75">
        <v>1065</v>
      </c>
      <c r="M1065" s="75"/>
      <c r="N1065" s="70"/>
      <c r="O1065" s="77" t="s">
        <v>179</v>
      </c>
      <c r="P1065" s="79">
        <v>45168.816122685188</v>
      </c>
      <c r="Q1065" s="77" t="s">
        <v>2158</v>
      </c>
      <c r="R1065" s="77">
        <v>0</v>
      </c>
      <c r="S1065" s="77">
        <v>1</v>
      </c>
      <c r="T1065" s="77">
        <v>0</v>
      </c>
      <c r="U1065" s="77">
        <v>0</v>
      </c>
      <c r="V1065" s="77">
        <v>23</v>
      </c>
      <c r="W1065" s="82" t="s">
        <v>4080</v>
      </c>
      <c r="X1065" s="77"/>
      <c r="Y1065" s="77"/>
      <c r="Z1065" s="77"/>
      <c r="AA1065" s="77"/>
      <c r="AB1065" s="77"/>
      <c r="AC1065" s="82" t="s">
        <v>7705</v>
      </c>
      <c r="AD1065" s="77" t="s">
        <v>7745</v>
      </c>
      <c r="AE1065" s="80" t="str">
        <f>HYPERLINK("https://twitter.com/_lehteixeira/status/1696969841872195938")</f>
        <v>https://twitter.com/_lehteixeira/status/1696969841872195938</v>
      </c>
      <c r="AF1065" s="79">
        <v>45168.816122685188</v>
      </c>
      <c r="AG1065" s="85">
        <v>45168</v>
      </c>
      <c r="AH1065" s="82" t="s">
        <v>8693</v>
      </c>
      <c r="AI1065" s="77"/>
      <c r="AJ1065" s="77"/>
      <c r="AK1065" s="77"/>
      <c r="AL1065" s="77"/>
      <c r="AM1065" s="77"/>
      <c r="AN1065" s="77"/>
      <c r="AO1065" s="77"/>
      <c r="AP1065" s="77"/>
      <c r="AQ1065" s="77"/>
      <c r="AR1065" s="77"/>
      <c r="AS1065" s="77"/>
      <c r="AT1065" s="77"/>
      <c r="AU1065" s="77"/>
      <c r="AV1065" s="80" t="str">
        <f>HYPERLINK("https://pbs.twimg.com/profile_images/1591785323847204864/6GgRaxgl_normal.jpg")</f>
        <v>https://pbs.twimg.com/profile_images/1591785323847204864/6GgRaxgl_normal.jpg</v>
      </c>
      <c r="AW1065" s="82" t="s">
        <v>13247</v>
      </c>
      <c r="AX1065" s="82" t="s">
        <v>13247</v>
      </c>
      <c r="AY1065" s="77"/>
      <c r="AZ1065" s="82" t="s">
        <v>15804</v>
      </c>
      <c r="BA1065" s="82" t="s">
        <v>15804</v>
      </c>
      <c r="BB1065" s="82" t="s">
        <v>15804</v>
      </c>
      <c r="BC1065" s="82" t="s">
        <v>13247</v>
      </c>
      <c r="BD1065" s="82" t="s">
        <v>16332</v>
      </c>
      <c r="BE1065" s="77"/>
      <c r="BF1065" s="77"/>
      <c r="BG1065" s="77"/>
      <c r="BH1065" s="77"/>
      <c r="BI1065" s="77"/>
    </row>
    <row r="1066" spans="1:61" x14ac:dyDescent="0.25">
      <c r="A1066" s="62" t="s">
        <v>572</v>
      </c>
      <c r="B1066" s="62" t="s">
        <v>572</v>
      </c>
      <c r="C1066" s="63"/>
      <c r="D1066" s="64"/>
      <c r="E1066" s="65"/>
      <c r="F1066" s="66"/>
      <c r="G1066" s="63"/>
      <c r="H1066" s="67"/>
      <c r="I1066" s="68"/>
      <c r="J1066" s="68"/>
      <c r="K1066" s="32"/>
      <c r="L1066" s="75">
        <v>1066</v>
      </c>
      <c r="M1066" s="75"/>
      <c r="N1066" s="70"/>
      <c r="O1066" s="77" t="s">
        <v>179</v>
      </c>
      <c r="P1066" s="79">
        <v>45168.815474537034</v>
      </c>
      <c r="Q1066" s="77" t="s">
        <v>2159</v>
      </c>
      <c r="R1066" s="77">
        <v>0</v>
      </c>
      <c r="S1066" s="77">
        <v>1</v>
      </c>
      <c r="T1066" s="77">
        <v>0</v>
      </c>
      <c r="U1066" s="77">
        <v>0</v>
      </c>
      <c r="V1066" s="77">
        <v>26</v>
      </c>
      <c r="W1066" s="82" t="s">
        <v>4080</v>
      </c>
      <c r="X1066" s="77"/>
      <c r="Y1066" s="77"/>
      <c r="Z1066" s="77"/>
      <c r="AA1066" s="77"/>
      <c r="AB1066" s="77"/>
      <c r="AC1066" s="82" t="s">
        <v>7705</v>
      </c>
      <c r="AD1066" s="77" t="s">
        <v>7745</v>
      </c>
      <c r="AE1066" s="80" t="str">
        <f>HYPERLINK("https://twitter.com/_lehteixeira/status/1696969609260253529")</f>
        <v>https://twitter.com/_lehteixeira/status/1696969609260253529</v>
      </c>
      <c r="AF1066" s="79">
        <v>45168.815474537034</v>
      </c>
      <c r="AG1066" s="85">
        <v>45168</v>
      </c>
      <c r="AH1066" s="82" t="s">
        <v>8694</v>
      </c>
      <c r="AI1066" s="77"/>
      <c r="AJ1066" s="77"/>
      <c r="AK1066" s="77"/>
      <c r="AL1066" s="77"/>
      <c r="AM1066" s="77"/>
      <c r="AN1066" s="77"/>
      <c r="AO1066" s="77"/>
      <c r="AP1066" s="77"/>
      <c r="AQ1066" s="77"/>
      <c r="AR1066" s="77"/>
      <c r="AS1066" s="77"/>
      <c r="AT1066" s="77"/>
      <c r="AU1066" s="77"/>
      <c r="AV1066" s="80" t="str">
        <f>HYPERLINK("https://pbs.twimg.com/profile_images/1591785323847204864/6GgRaxgl_normal.jpg")</f>
        <v>https://pbs.twimg.com/profile_images/1591785323847204864/6GgRaxgl_normal.jpg</v>
      </c>
      <c r="AW1066" s="82" t="s">
        <v>13248</v>
      </c>
      <c r="AX1066" s="82" t="s">
        <v>13248</v>
      </c>
      <c r="AY1066" s="77"/>
      <c r="AZ1066" s="82" t="s">
        <v>15804</v>
      </c>
      <c r="BA1066" s="82" t="s">
        <v>15804</v>
      </c>
      <c r="BB1066" s="82" t="s">
        <v>15804</v>
      </c>
      <c r="BC1066" s="82" t="s">
        <v>13248</v>
      </c>
      <c r="BD1066" s="82" t="s">
        <v>16332</v>
      </c>
      <c r="BE1066" s="77"/>
      <c r="BF1066" s="77"/>
      <c r="BG1066" s="77"/>
      <c r="BH1066" s="77"/>
      <c r="BI1066" s="77"/>
    </row>
    <row r="1067" spans="1:61" x14ac:dyDescent="0.25">
      <c r="A1067" s="62" t="s">
        <v>572</v>
      </c>
      <c r="B1067" s="62" t="s">
        <v>572</v>
      </c>
      <c r="C1067" s="63"/>
      <c r="D1067" s="64"/>
      <c r="E1067" s="65"/>
      <c r="F1067" s="66"/>
      <c r="G1067" s="63"/>
      <c r="H1067" s="67"/>
      <c r="I1067" s="68"/>
      <c r="J1067" s="68"/>
      <c r="K1067" s="32"/>
      <c r="L1067" s="75">
        <v>1067</v>
      </c>
      <c r="M1067" s="75"/>
      <c r="N1067" s="70"/>
      <c r="O1067" s="77" t="s">
        <v>179</v>
      </c>
      <c r="P1067" s="79">
        <v>45168.814502314817</v>
      </c>
      <c r="Q1067" s="77" t="s">
        <v>2160</v>
      </c>
      <c r="R1067" s="77">
        <v>0</v>
      </c>
      <c r="S1067" s="77">
        <v>1</v>
      </c>
      <c r="T1067" s="77">
        <v>0</v>
      </c>
      <c r="U1067" s="77">
        <v>0</v>
      </c>
      <c r="V1067" s="77">
        <v>30</v>
      </c>
      <c r="W1067" s="82" t="s">
        <v>4080</v>
      </c>
      <c r="X1067" s="77"/>
      <c r="Y1067" s="77"/>
      <c r="Z1067" s="77"/>
      <c r="AA1067" s="77"/>
      <c r="AB1067" s="77"/>
      <c r="AC1067" s="82" t="s">
        <v>7705</v>
      </c>
      <c r="AD1067" s="77" t="s">
        <v>7745</v>
      </c>
      <c r="AE1067" s="80" t="str">
        <f>HYPERLINK("https://twitter.com/_lehteixeira/status/1696969254820536386")</f>
        <v>https://twitter.com/_lehteixeira/status/1696969254820536386</v>
      </c>
      <c r="AF1067" s="79">
        <v>45168.814502314817</v>
      </c>
      <c r="AG1067" s="85">
        <v>45168</v>
      </c>
      <c r="AH1067" s="82" t="s">
        <v>8695</v>
      </c>
      <c r="AI1067" s="77"/>
      <c r="AJ1067" s="77"/>
      <c r="AK1067" s="77"/>
      <c r="AL1067" s="77"/>
      <c r="AM1067" s="77"/>
      <c r="AN1067" s="77"/>
      <c r="AO1067" s="77"/>
      <c r="AP1067" s="77"/>
      <c r="AQ1067" s="77"/>
      <c r="AR1067" s="77"/>
      <c r="AS1067" s="77"/>
      <c r="AT1067" s="77"/>
      <c r="AU1067" s="77"/>
      <c r="AV1067" s="80" t="str">
        <f>HYPERLINK("https://pbs.twimg.com/profile_images/1591785323847204864/6GgRaxgl_normal.jpg")</f>
        <v>https://pbs.twimg.com/profile_images/1591785323847204864/6GgRaxgl_normal.jpg</v>
      </c>
      <c r="AW1067" s="82" t="s">
        <v>13249</v>
      </c>
      <c r="AX1067" s="82" t="s">
        <v>13249</v>
      </c>
      <c r="AY1067" s="77"/>
      <c r="AZ1067" s="82" t="s">
        <v>15804</v>
      </c>
      <c r="BA1067" s="82" t="s">
        <v>15804</v>
      </c>
      <c r="BB1067" s="82" t="s">
        <v>15804</v>
      </c>
      <c r="BC1067" s="82" t="s">
        <v>13249</v>
      </c>
      <c r="BD1067" s="82" t="s">
        <v>16332</v>
      </c>
      <c r="BE1067" s="77"/>
      <c r="BF1067" s="77"/>
      <c r="BG1067" s="77"/>
      <c r="BH1067" s="77"/>
      <c r="BI1067" s="77"/>
    </row>
    <row r="1068" spans="1:61" x14ac:dyDescent="0.25">
      <c r="A1068" s="62" t="s">
        <v>573</v>
      </c>
      <c r="B1068" s="62" t="s">
        <v>573</v>
      </c>
      <c r="C1068" s="63"/>
      <c r="D1068" s="64"/>
      <c r="E1068" s="65"/>
      <c r="F1068" s="66"/>
      <c r="G1068" s="63"/>
      <c r="H1068" s="67"/>
      <c r="I1068" s="68"/>
      <c r="J1068" s="68"/>
      <c r="K1068" s="32"/>
      <c r="L1068" s="75">
        <v>1068</v>
      </c>
      <c r="M1068" s="75"/>
      <c r="N1068" s="70"/>
      <c r="O1068" s="77" t="s">
        <v>179</v>
      </c>
      <c r="P1068" s="79">
        <v>44973.876331018517</v>
      </c>
      <c r="Q1068" s="77" t="s">
        <v>2161</v>
      </c>
      <c r="R1068" s="77">
        <v>0</v>
      </c>
      <c r="S1068" s="77">
        <v>0</v>
      </c>
      <c r="T1068" s="77">
        <v>0</v>
      </c>
      <c r="U1068" s="77">
        <v>0</v>
      </c>
      <c r="V1068" s="77">
        <v>18</v>
      </c>
      <c r="W1068" s="82" t="s">
        <v>4833</v>
      </c>
      <c r="X1068" s="77"/>
      <c r="Y1068" s="77"/>
      <c r="Z1068" s="77"/>
      <c r="AA1068" s="77" t="s">
        <v>6801</v>
      </c>
      <c r="AB1068" s="77" t="s">
        <v>7696</v>
      </c>
      <c r="AC1068" s="82" t="s">
        <v>7707</v>
      </c>
      <c r="AD1068" s="77" t="s">
        <v>7745</v>
      </c>
      <c r="AE1068" s="80" t="str">
        <f>HYPERLINK("https://twitter.com/cleitonfinancas/status/1626326028053319681")</f>
        <v>https://twitter.com/cleitonfinancas/status/1626326028053319681</v>
      </c>
      <c r="AF1068" s="79">
        <v>44973.876331018517</v>
      </c>
      <c r="AG1068" s="85">
        <v>44973</v>
      </c>
      <c r="AH1068" s="82" t="s">
        <v>8696</v>
      </c>
      <c r="AI1068" s="77" t="b">
        <v>0</v>
      </c>
      <c r="AJ1068" s="77"/>
      <c r="AK1068" s="77"/>
      <c r="AL1068" s="77"/>
      <c r="AM1068" s="77"/>
      <c r="AN1068" s="77"/>
      <c r="AO1068" s="77"/>
      <c r="AP1068" s="77"/>
      <c r="AQ1068" s="77" t="s">
        <v>11308</v>
      </c>
      <c r="AR1068" s="77"/>
      <c r="AS1068" s="77"/>
      <c r="AT1068" s="77"/>
      <c r="AU1068" s="77"/>
      <c r="AV1068" s="80" t="str">
        <f>HYPERLINK("https://pbs.twimg.com/media/FpHe50xXoAMAQRw.jpg")</f>
        <v>https://pbs.twimg.com/media/FpHe50xXoAMAQRw.jpg</v>
      </c>
      <c r="AW1068" s="82" t="s">
        <v>13250</v>
      </c>
      <c r="AX1068" s="82" t="s">
        <v>13250</v>
      </c>
      <c r="AY1068" s="77"/>
      <c r="AZ1068" s="82" t="s">
        <v>15804</v>
      </c>
      <c r="BA1068" s="82" t="s">
        <v>15804</v>
      </c>
      <c r="BB1068" s="82" t="s">
        <v>15804</v>
      </c>
      <c r="BC1068" s="82" t="s">
        <v>13250</v>
      </c>
      <c r="BD1068" s="82" t="s">
        <v>16333</v>
      </c>
      <c r="BE1068" s="77"/>
      <c r="BF1068" s="77"/>
      <c r="BG1068" s="77"/>
      <c r="BH1068" s="77"/>
      <c r="BI1068" s="77"/>
    </row>
    <row r="1069" spans="1:61" x14ac:dyDescent="0.25">
      <c r="A1069" s="62" t="s">
        <v>573</v>
      </c>
      <c r="B1069" s="62" t="s">
        <v>573</v>
      </c>
      <c r="C1069" s="63"/>
      <c r="D1069" s="64"/>
      <c r="E1069" s="65"/>
      <c r="F1069" s="66"/>
      <c r="G1069" s="63"/>
      <c r="H1069" s="67"/>
      <c r="I1069" s="68"/>
      <c r="J1069" s="68"/>
      <c r="K1069" s="32"/>
      <c r="L1069" s="75">
        <v>1069</v>
      </c>
      <c r="M1069" s="75"/>
      <c r="N1069" s="70"/>
      <c r="O1069" s="77" t="s">
        <v>179</v>
      </c>
      <c r="P1069" s="79">
        <v>44944.503437500003</v>
      </c>
      <c r="Q1069" s="77" t="s">
        <v>2162</v>
      </c>
      <c r="R1069" s="77">
        <v>0</v>
      </c>
      <c r="S1069" s="77">
        <v>0</v>
      </c>
      <c r="T1069" s="77">
        <v>0</v>
      </c>
      <c r="U1069" s="77">
        <v>0</v>
      </c>
      <c r="V1069" s="77">
        <v>17</v>
      </c>
      <c r="W1069" s="82" t="s">
        <v>4834</v>
      </c>
      <c r="X1069" s="80" t="str">
        <f>HYPERLINK("https://youtu.be/HybaAAjw1s0")</f>
        <v>https://youtu.be/HybaAAjw1s0</v>
      </c>
      <c r="Y1069" s="77" t="s">
        <v>6003</v>
      </c>
      <c r="Z1069" s="77"/>
      <c r="AA1069" s="77"/>
      <c r="AB1069" s="77"/>
      <c r="AC1069" s="82" t="s">
        <v>7707</v>
      </c>
      <c r="AD1069" s="77" t="s">
        <v>7745</v>
      </c>
      <c r="AE1069" s="80" t="str">
        <f>HYPERLINK("https://twitter.com/cleitonfinancas/status/1615681647709663232")</f>
        <v>https://twitter.com/cleitonfinancas/status/1615681647709663232</v>
      </c>
      <c r="AF1069" s="79">
        <v>44944.503437500003</v>
      </c>
      <c r="AG1069" s="85">
        <v>44944</v>
      </c>
      <c r="AH1069" s="82" t="s">
        <v>8697</v>
      </c>
      <c r="AI1069" s="77" t="b">
        <v>0</v>
      </c>
      <c r="AJ1069" s="77"/>
      <c r="AK1069" s="77"/>
      <c r="AL1069" s="77"/>
      <c r="AM1069" s="77"/>
      <c r="AN1069" s="77"/>
      <c r="AO1069" s="77"/>
      <c r="AP1069" s="77"/>
      <c r="AQ1069" s="77"/>
      <c r="AR1069" s="77"/>
      <c r="AS1069" s="77"/>
      <c r="AT1069" s="77"/>
      <c r="AU1069" s="77"/>
      <c r="AV1069" s="80" t="str">
        <f>HYPERLINK("https://pbs.twimg.com/profile_images/1610705889765343243/7C4SraH0_normal.jpg")</f>
        <v>https://pbs.twimg.com/profile_images/1610705889765343243/7C4SraH0_normal.jpg</v>
      </c>
      <c r="AW1069" s="82" t="s">
        <v>13251</v>
      </c>
      <c r="AX1069" s="82" t="s">
        <v>13251</v>
      </c>
      <c r="AY1069" s="77"/>
      <c r="AZ1069" s="82" t="s">
        <v>15804</v>
      </c>
      <c r="BA1069" s="82" t="s">
        <v>15804</v>
      </c>
      <c r="BB1069" s="82" t="s">
        <v>15804</v>
      </c>
      <c r="BC1069" s="82" t="s">
        <v>13251</v>
      </c>
      <c r="BD1069" s="82" t="s">
        <v>16333</v>
      </c>
      <c r="BE1069" s="77"/>
      <c r="BF1069" s="77"/>
      <c r="BG1069" s="77"/>
      <c r="BH1069" s="77"/>
      <c r="BI1069" s="77"/>
    </row>
    <row r="1070" spans="1:61" x14ac:dyDescent="0.25">
      <c r="A1070" s="62" t="s">
        <v>573</v>
      </c>
      <c r="B1070" s="62" t="s">
        <v>573</v>
      </c>
      <c r="C1070" s="63"/>
      <c r="D1070" s="64"/>
      <c r="E1070" s="65"/>
      <c r="F1070" s="66"/>
      <c r="G1070" s="63"/>
      <c r="H1070" s="67"/>
      <c r="I1070" s="68"/>
      <c r="J1070" s="68"/>
      <c r="K1070" s="32"/>
      <c r="L1070" s="75">
        <v>1070</v>
      </c>
      <c r="M1070" s="75"/>
      <c r="N1070" s="70"/>
      <c r="O1070" s="77" t="s">
        <v>179</v>
      </c>
      <c r="P1070" s="79">
        <v>44943.599398148152</v>
      </c>
      <c r="Q1070" s="77" t="s">
        <v>2163</v>
      </c>
      <c r="R1070" s="77">
        <v>0</v>
      </c>
      <c r="S1070" s="77">
        <v>0</v>
      </c>
      <c r="T1070" s="77">
        <v>0</v>
      </c>
      <c r="U1070" s="77">
        <v>0</v>
      </c>
      <c r="V1070" s="77">
        <v>44</v>
      </c>
      <c r="W1070" s="82" t="s">
        <v>4835</v>
      </c>
      <c r="X1070" s="77"/>
      <c r="Y1070" s="77"/>
      <c r="Z1070" s="77"/>
      <c r="AA1070" s="77" t="s">
        <v>6802</v>
      </c>
      <c r="AB1070" s="77" t="s">
        <v>7696</v>
      </c>
      <c r="AC1070" s="82" t="s">
        <v>7707</v>
      </c>
      <c r="AD1070" s="77" t="s">
        <v>7745</v>
      </c>
      <c r="AE1070" s="80" t="str">
        <f>HYPERLINK("https://twitter.com/cleitonfinancas/status/1615354033862066177")</f>
        <v>https://twitter.com/cleitonfinancas/status/1615354033862066177</v>
      </c>
      <c r="AF1070" s="79">
        <v>44943.599398148152</v>
      </c>
      <c r="AG1070" s="85">
        <v>44943</v>
      </c>
      <c r="AH1070" s="82" t="s">
        <v>8698</v>
      </c>
      <c r="AI1070" s="77" t="b">
        <v>0</v>
      </c>
      <c r="AJ1070" s="77"/>
      <c r="AK1070" s="77"/>
      <c r="AL1070" s="77"/>
      <c r="AM1070" s="77"/>
      <c r="AN1070" s="77"/>
      <c r="AO1070" s="77"/>
      <c r="AP1070" s="77"/>
      <c r="AQ1070" s="77" t="s">
        <v>11309</v>
      </c>
      <c r="AR1070" s="77"/>
      <c r="AS1070" s="77"/>
      <c r="AT1070" s="77"/>
      <c r="AU1070" s="77"/>
      <c r="AV1070" s="80" t="str">
        <f>HYPERLINK("https://pbs.twimg.com/media/Fmrj7q2X0AAKHHK.jpg")</f>
        <v>https://pbs.twimg.com/media/Fmrj7q2X0AAKHHK.jpg</v>
      </c>
      <c r="AW1070" s="82" t="s">
        <v>13252</v>
      </c>
      <c r="AX1070" s="82" t="s">
        <v>13252</v>
      </c>
      <c r="AY1070" s="77"/>
      <c r="AZ1070" s="82" t="s">
        <v>15804</v>
      </c>
      <c r="BA1070" s="82" t="s">
        <v>15804</v>
      </c>
      <c r="BB1070" s="82" t="s">
        <v>15804</v>
      </c>
      <c r="BC1070" s="82" t="s">
        <v>13252</v>
      </c>
      <c r="BD1070" s="82" t="s">
        <v>16333</v>
      </c>
      <c r="BE1070" s="77"/>
      <c r="BF1070" s="77"/>
      <c r="BG1070" s="77"/>
      <c r="BH1070" s="77"/>
      <c r="BI1070" s="77"/>
    </row>
    <row r="1071" spans="1:61" x14ac:dyDescent="0.25">
      <c r="A1071" s="62" t="s">
        <v>573</v>
      </c>
      <c r="B1071" s="62" t="s">
        <v>573</v>
      </c>
      <c r="C1071" s="63"/>
      <c r="D1071" s="64"/>
      <c r="E1071" s="65"/>
      <c r="F1071" s="66"/>
      <c r="G1071" s="63"/>
      <c r="H1071" s="67"/>
      <c r="I1071" s="68"/>
      <c r="J1071" s="68"/>
      <c r="K1071" s="32"/>
      <c r="L1071" s="75">
        <v>1071</v>
      </c>
      <c r="M1071" s="75"/>
      <c r="N1071" s="70"/>
      <c r="O1071" s="77" t="s">
        <v>179</v>
      </c>
      <c r="P1071" s="79">
        <v>44943.561342592591</v>
      </c>
      <c r="Q1071" s="77" t="s">
        <v>2164</v>
      </c>
      <c r="R1071" s="77">
        <v>0</v>
      </c>
      <c r="S1071" s="77">
        <v>0</v>
      </c>
      <c r="T1071" s="77">
        <v>0</v>
      </c>
      <c r="U1071" s="77">
        <v>0</v>
      </c>
      <c r="V1071" s="77">
        <v>12</v>
      </c>
      <c r="W1071" s="82" t="s">
        <v>4836</v>
      </c>
      <c r="X1071" s="80" t="str">
        <f>HYPERLINK("https://www.instagram.com/p/CnhItf9OL3L/?igshid=MDJmNzVkMjY=")</f>
        <v>https://www.instagram.com/p/CnhItf9OL3L/?igshid=MDJmNzVkMjY=</v>
      </c>
      <c r="Y1071" s="77" t="s">
        <v>6000</v>
      </c>
      <c r="Z1071" s="77"/>
      <c r="AA1071" s="77"/>
      <c r="AB1071" s="77"/>
      <c r="AC1071" s="82" t="s">
        <v>7707</v>
      </c>
      <c r="AD1071" s="77" t="s">
        <v>7745</v>
      </c>
      <c r="AE1071" s="80" t="str">
        <f>HYPERLINK("https://twitter.com/cleitonfinancas/status/1615340243388866561")</f>
        <v>https://twitter.com/cleitonfinancas/status/1615340243388866561</v>
      </c>
      <c r="AF1071" s="79">
        <v>44943.561342592591</v>
      </c>
      <c r="AG1071" s="85">
        <v>44943</v>
      </c>
      <c r="AH1071" s="82" t="s">
        <v>8699</v>
      </c>
      <c r="AI1071" s="77" t="b">
        <v>0</v>
      </c>
      <c r="AJ1071" s="77"/>
      <c r="AK1071" s="77"/>
      <c r="AL1071" s="77"/>
      <c r="AM1071" s="77"/>
      <c r="AN1071" s="77"/>
      <c r="AO1071" s="77"/>
      <c r="AP1071" s="77"/>
      <c r="AQ1071" s="77"/>
      <c r="AR1071" s="77"/>
      <c r="AS1071" s="77"/>
      <c r="AT1071" s="77"/>
      <c r="AU1071" s="77"/>
      <c r="AV1071" s="80" t="str">
        <f>HYPERLINK("https://pbs.twimg.com/profile_images/1610705889765343243/7C4SraH0_normal.jpg")</f>
        <v>https://pbs.twimg.com/profile_images/1610705889765343243/7C4SraH0_normal.jpg</v>
      </c>
      <c r="AW1071" s="82" t="s">
        <v>13253</v>
      </c>
      <c r="AX1071" s="82" t="s">
        <v>13253</v>
      </c>
      <c r="AY1071" s="77"/>
      <c r="AZ1071" s="82" t="s">
        <v>15804</v>
      </c>
      <c r="BA1071" s="82" t="s">
        <v>15804</v>
      </c>
      <c r="BB1071" s="82" t="s">
        <v>15804</v>
      </c>
      <c r="BC1071" s="82" t="s">
        <v>13253</v>
      </c>
      <c r="BD1071" s="82" t="s">
        <v>16333</v>
      </c>
      <c r="BE1071" s="77"/>
      <c r="BF1071" s="77"/>
      <c r="BG1071" s="77"/>
      <c r="BH1071" s="77"/>
      <c r="BI1071" s="77"/>
    </row>
    <row r="1072" spans="1:61" x14ac:dyDescent="0.25">
      <c r="A1072" s="62" t="s">
        <v>573</v>
      </c>
      <c r="B1072" s="62" t="s">
        <v>573</v>
      </c>
      <c r="C1072" s="63"/>
      <c r="D1072" s="64"/>
      <c r="E1072" s="65"/>
      <c r="F1072" s="66"/>
      <c r="G1072" s="63"/>
      <c r="H1072" s="67"/>
      <c r="I1072" s="68"/>
      <c r="J1072" s="68"/>
      <c r="K1072" s="32"/>
      <c r="L1072" s="75">
        <v>1072</v>
      </c>
      <c r="M1072" s="75"/>
      <c r="N1072" s="70"/>
      <c r="O1072" s="77" t="s">
        <v>179</v>
      </c>
      <c r="P1072" s="79">
        <v>44943.501631944448</v>
      </c>
      <c r="Q1072" s="77" t="s">
        <v>2165</v>
      </c>
      <c r="R1072" s="77">
        <v>0</v>
      </c>
      <c r="S1072" s="77">
        <v>0</v>
      </c>
      <c r="T1072" s="77">
        <v>0</v>
      </c>
      <c r="U1072" s="77">
        <v>0</v>
      </c>
      <c r="V1072" s="77">
        <v>27</v>
      </c>
      <c r="W1072" s="82" t="s">
        <v>4837</v>
      </c>
      <c r="X1072" s="77"/>
      <c r="Y1072" s="77"/>
      <c r="Z1072" s="77"/>
      <c r="AA1072" s="77" t="s">
        <v>6803</v>
      </c>
      <c r="AB1072" s="77" t="s">
        <v>7696</v>
      </c>
      <c r="AC1072" s="82" t="s">
        <v>7707</v>
      </c>
      <c r="AD1072" s="77" t="s">
        <v>7745</v>
      </c>
      <c r="AE1072" s="80" t="str">
        <f>HYPERLINK("https://twitter.com/cleitonfinancas/status/1615318607524683777")</f>
        <v>https://twitter.com/cleitonfinancas/status/1615318607524683777</v>
      </c>
      <c r="AF1072" s="79">
        <v>44943.501631944448</v>
      </c>
      <c r="AG1072" s="85">
        <v>44943</v>
      </c>
      <c r="AH1072" s="82" t="s">
        <v>8700</v>
      </c>
      <c r="AI1072" s="77" t="b">
        <v>0</v>
      </c>
      <c r="AJ1072" s="77"/>
      <c r="AK1072" s="77"/>
      <c r="AL1072" s="77"/>
      <c r="AM1072" s="77"/>
      <c r="AN1072" s="77"/>
      <c r="AO1072" s="77"/>
      <c r="AP1072" s="77"/>
      <c r="AQ1072" s="77" t="s">
        <v>11310</v>
      </c>
      <c r="AR1072" s="77"/>
      <c r="AS1072" s="77"/>
      <c r="AT1072" s="77"/>
      <c r="AU1072" s="77"/>
      <c r="AV1072" s="80" t="str">
        <f>HYPERLINK("https://pbs.twimg.com/media/FmrDtm0WAAMQ3xY.jpg")</f>
        <v>https://pbs.twimg.com/media/FmrDtm0WAAMQ3xY.jpg</v>
      </c>
      <c r="AW1072" s="82" t="s">
        <v>13254</v>
      </c>
      <c r="AX1072" s="82" t="s">
        <v>13254</v>
      </c>
      <c r="AY1072" s="77"/>
      <c r="AZ1072" s="82" t="s">
        <v>15804</v>
      </c>
      <c r="BA1072" s="82" t="s">
        <v>15804</v>
      </c>
      <c r="BB1072" s="82" t="s">
        <v>15804</v>
      </c>
      <c r="BC1072" s="82" t="s">
        <v>13254</v>
      </c>
      <c r="BD1072" s="82" t="s">
        <v>16333</v>
      </c>
      <c r="BE1072" s="77"/>
      <c r="BF1072" s="77"/>
      <c r="BG1072" s="77"/>
      <c r="BH1072" s="77"/>
      <c r="BI1072" s="77"/>
    </row>
    <row r="1073" spans="1:61" x14ac:dyDescent="0.25">
      <c r="A1073" s="62" t="s">
        <v>573</v>
      </c>
      <c r="B1073" s="62" t="s">
        <v>573</v>
      </c>
      <c r="C1073" s="63"/>
      <c r="D1073" s="64"/>
      <c r="E1073" s="65"/>
      <c r="F1073" s="66"/>
      <c r="G1073" s="63"/>
      <c r="H1073" s="67"/>
      <c r="I1073" s="68"/>
      <c r="J1073" s="68"/>
      <c r="K1073" s="32"/>
      <c r="L1073" s="75">
        <v>1073</v>
      </c>
      <c r="M1073" s="75"/>
      <c r="N1073" s="70"/>
      <c r="O1073" s="77" t="s">
        <v>179</v>
      </c>
      <c r="P1073" s="79">
        <v>44943.039166666669</v>
      </c>
      <c r="Q1073" s="77" t="s">
        <v>2166</v>
      </c>
      <c r="R1073" s="77">
        <v>0</v>
      </c>
      <c r="S1073" s="77">
        <v>0</v>
      </c>
      <c r="T1073" s="77">
        <v>0</v>
      </c>
      <c r="U1073" s="77">
        <v>0</v>
      </c>
      <c r="V1073" s="77">
        <v>9</v>
      </c>
      <c r="W1073" s="82" t="s">
        <v>4838</v>
      </c>
      <c r="X1073" s="80" t="str">
        <f>HYPERLINK("https://youtu.be/cGq9bjA1fcM")</f>
        <v>https://youtu.be/cGq9bjA1fcM</v>
      </c>
      <c r="Y1073" s="77" t="s">
        <v>6003</v>
      </c>
      <c r="Z1073" s="77"/>
      <c r="AA1073" s="77"/>
      <c r="AB1073" s="77"/>
      <c r="AC1073" s="82" t="s">
        <v>7707</v>
      </c>
      <c r="AD1073" s="77" t="s">
        <v>7745</v>
      </c>
      <c r="AE1073" s="80" t="str">
        <f>HYPERLINK("https://twitter.com/cleitonfinancas/status/1615151015199739904")</f>
        <v>https://twitter.com/cleitonfinancas/status/1615151015199739904</v>
      </c>
      <c r="AF1073" s="79">
        <v>44943.039166666669</v>
      </c>
      <c r="AG1073" s="85">
        <v>44943</v>
      </c>
      <c r="AH1073" s="82" t="s">
        <v>8701</v>
      </c>
      <c r="AI1073" s="77" t="b">
        <v>0</v>
      </c>
      <c r="AJ1073" s="77"/>
      <c r="AK1073" s="77"/>
      <c r="AL1073" s="77"/>
      <c r="AM1073" s="77"/>
      <c r="AN1073" s="77"/>
      <c r="AO1073" s="77"/>
      <c r="AP1073" s="77"/>
      <c r="AQ1073" s="77"/>
      <c r="AR1073" s="77"/>
      <c r="AS1073" s="77"/>
      <c r="AT1073" s="77"/>
      <c r="AU1073" s="77"/>
      <c r="AV1073" s="80" t="str">
        <f>HYPERLINK("https://pbs.twimg.com/profile_images/1610705889765343243/7C4SraH0_normal.jpg")</f>
        <v>https://pbs.twimg.com/profile_images/1610705889765343243/7C4SraH0_normal.jpg</v>
      </c>
      <c r="AW1073" s="82" t="s">
        <v>13255</v>
      </c>
      <c r="AX1073" s="82" t="s">
        <v>13255</v>
      </c>
      <c r="AY1073" s="77"/>
      <c r="AZ1073" s="82" t="s">
        <v>15804</v>
      </c>
      <c r="BA1073" s="82" t="s">
        <v>15804</v>
      </c>
      <c r="BB1073" s="82" t="s">
        <v>15804</v>
      </c>
      <c r="BC1073" s="82" t="s">
        <v>13255</v>
      </c>
      <c r="BD1073" s="82" t="s">
        <v>16333</v>
      </c>
      <c r="BE1073" s="77"/>
      <c r="BF1073" s="77"/>
      <c r="BG1073" s="77"/>
      <c r="BH1073" s="77"/>
      <c r="BI1073" s="77"/>
    </row>
    <row r="1074" spans="1:61" x14ac:dyDescent="0.25">
      <c r="A1074" s="62" t="s">
        <v>573</v>
      </c>
      <c r="B1074" s="62" t="s">
        <v>573</v>
      </c>
      <c r="C1074" s="63"/>
      <c r="D1074" s="64"/>
      <c r="E1074" s="65"/>
      <c r="F1074" s="66"/>
      <c r="G1074" s="63"/>
      <c r="H1074" s="67"/>
      <c r="I1074" s="68"/>
      <c r="J1074" s="68"/>
      <c r="K1074" s="32"/>
      <c r="L1074" s="75">
        <v>1074</v>
      </c>
      <c r="M1074" s="75"/>
      <c r="N1074" s="70"/>
      <c r="O1074" s="77" t="s">
        <v>179</v>
      </c>
      <c r="P1074" s="79">
        <v>44942.879884259259</v>
      </c>
      <c r="Q1074" s="77" t="s">
        <v>2167</v>
      </c>
      <c r="R1074" s="77">
        <v>0</v>
      </c>
      <c r="S1074" s="77">
        <v>0</v>
      </c>
      <c r="T1074" s="77">
        <v>0</v>
      </c>
      <c r="U1074" s="77">
        <v>0</v>
      </c>
      <c r="V1074" s="77">
        <v>16</v>
      </c>
      <c r="W1074" s="82" t="s">
        <v>4839</v>
      </c>
      <c r="X1074" s="80" t="str">
        <f>HYPERLINK("https://www.instagram.com/reel/CnfM0FGhYYz/?igshid=MDJmNzVkMjY=")</f>
        <v>https://www.instagram.com/reel/CnfM0FGhYYz/?igshid=MDJmNzVkMjY=</v>
      </c>
      <c r="Y1074" s="77" t="s">
        <v>6000</v>
      </c>
      <c r="Z1074" s="77"/>
      <c r="AA1074" s="77"/>
      <c r="AB1074" s="77"/>
      <c r="AC1074" s="82" t="s">
        <v>7707</v>
      </c>
      <c r="AD1074" s="77" t="s">
        <v>7745</v>
      </c>
      <c r="AE1074" s="80" t="str">
        <f>HYPERLINK("https://twitter.com/cleitonfinancas/status/1615093292651126785")</f>
        <v>https://twitter.com/cleitonfinancas/status/1615093292651126785</v>
      </c>
      <c r="AF1074" s="79">
        <v>44942.879884259259</v>
      </c>
      <c r="AG1074" s="85">
        <v>44942</v>
      </c>
      <c r="AH1074" s="82" t="s">
        <v>8702</v>
      </c>
      <c r="AI1074" s="77" t="b">
        <v>0</v>
      </c>
      <c r="AJ1074" s="77"/>
      <c r="AK1074" s="77"/>
      <c r="AL1074" s="77"/>
      <c r="AM1074" s="77"/>
      <c r="AN1074" s="77"/>
      <c r="AO1074" s="77"/>
      <c r="AP1074" s="77"/>
      <c r="AQ1074" s="77"/>
      <c r="AR1074" s="77"/>
      <c r="AS1074" s="77"/>
      <c r="AT1074" s="77"/>
      <c r="AU1074" s="77"/>
      <c r="AV1074" s="80" t="str">
        <f>HYPERLINK("https://pbs.twimg.com/profile_images/1610705889765343243/7C4SraH0_normal.jpg")</f>
        <v>https://pbs.twimg.com/profile_images/1610705889765343243/7C4SraH0_normal.jpg</v>
      </c>
      <c r="AW1074" s="82" t="s">
        <v>13256</v>
      </c>
      <c r="AX1074" s="82" t="s">
        <v>13256</v>
      </c>
      <c r="AY1074" s="77"/>
      <c r="AZ1074" s="82" t="s">
        <v>15804</v>
      </c>
      <c r="BA1074" s="82" t="s">
        <v>15804</v>
      </c>
      <c r="BB1074" s="82" t="s">
        <v>15804</v>
      </c>
      <c r="BC1074" s="82" t="s">
        <v>13256</v>
      </c>
      <c r="BD1074" s="82" t="s">
        <v>16333</v>
      </c>
      <c r="BE1074" s="77"/>
      <c r="BF1074" s="77"/>
      <c r="BG1074" s="77"/>
      <c r="BH1074" s="77"/>
      <c r="BI1074" s="77"/>
    </row>
    <row r="1075" spans="1:61" x14ac:dyDescent="0.25">
      <c r="A1075" s="62" t="s">
        <v>573</v>
      </c>
      <c r="B1075" s="62" t="s">
        <v>573</v>
      </c>
      <c r="C1075" s="63"/>
      <c r="D1075" s="64"/>
      <c r="E1075" s="65"/>
      <c r="F1075" s="66"/>
      <c r="G1075" s="63"/>
      <c r="H1075" s="67"/>
      <c r="I1075" s="68"/>
      <c r="J1075" s="68"/>
      <c r="K1075" s="32"/>
      <c r="L1075" s="75">
        <v>1075</v>
      </c>
      <c r="M1075" s="75"/>
      <c r="N1075" s="70"/>
      <c r="O1075" s="77" t="s">
        <v>179</v>
      </c>
      <c r="P1075" s="79">
        <v>44942.81758101852</v>
      </c>
      <c r="Q1075" s="77" t="s">
        <v>2168</v>
      </c>
      <c r="R1075" s="77">
        <v>0</v>
      </c>
      <c r="S1075" s="77">
        <v>0</v>
      </c>
      <c r="T1075" s="77">
        <v>0</v>
      </c>
      <c r="U1075" s="77">
        <v>0</v>
      </c>
      <c r="V1075" s="77">
        <v>33</v>
      </c>
      <c r="W1075" s="82" t="s">
        <v>4840</v>
      </c>
      <c r="X1075" s="77"/>
      <c r="Y1075" s="77"/>
      <c r="Z1075" s="77"/>
      <c r="AA1075" s="77" t="s">
        <v>6804</v>
      </c>
      <c r="AB1075" s="77" t="s">
        <v>7696</v>
      </c>
      <c r="AC1075" s="82" t="s">
        <v>7707</v>
      </c>
      <c r="AD1075" s="77" t="s">
        <v>7745</v>
      </c>
      <c r="AE1075" s="80" t="str">
        <f>HYPERLINK("https://twitter.com/cleitonfinancas/status/1615070714360631296")</f>
        <v>https://twitter.com/cleitonfinancas/status/1615070714360631296</v>
      </c>
      <c r="AF1075" s="79">
        <v>44942.81758101852</v>
      </c>
      <c r="AG1075" s="85">
        <v>44942</v>
      </c>
      <c r="AH1075" s="82" t="s">
        <v>8703</v>
      </c>
      <c r="AI1075" s="77" t="b">
        <v>0</v>
      </c>
      <c r="AJ1075" s="77"/>
      <c r="AK1075" s="77"/>
      <c r="AL1075" s="77"/>
      <c r="AM1075" s="77"/>
      <c r="AN1075" s="77"/>
      <c r="AO1075" s="77"/>
      <c r="AP1075" s="77"/>
      <c r="AQ1075" s="77" t="s">
        <v>11311</v>
      </c>
      <c r="AR1075" s="77"/>
      <c r="AS1075" s="77"/>
      <c r="AT1075" s="77"/>
      <c r="AU1075" s="77"/>
      <c r="AV1075" s="80" t="str">
        <f>HYPERLINK("https://pbs.twimg.com/media/FmniQUrXwAEHlpG.jpg")</f>
        <v>https://pbs.twimg.com/media/FmniQUrXwAEHlpG.jpg</v>
      </c>
      <c r="AW1075" s="82" t="s">
        <v>13257</v>
      </c>
      <c r="AX1075" s="82" t="s">
        <v>13257</v>
      </c>
      <c r="AY1075" s="77"/>
      <c r="AZ1075" s="82" t="s">
        <v>15804</v>
      </c>
      <c r="BA1075" s="82" t="s">
        <v>15804</v>
      </c>
      <c r="BB1075" s="82" t="s">
        <v>15804</v>
      </c>
      <c r="BC1075" s="82" t="s">
        <v>13257</v>
      </c>
      <c r="BD1075" s="82" t="s">
        <v>16333</v>
      </c>
      <c r="BE1075" s="77"/>
      <c r="BF1075" s="77"/>
      <c r="BG1075" s="77"/>
      <c r="BH1075" s="77"/>
      <c r="BI1075" s="77"/>
    </row>
    <row r="1076" spans="1:61" x14ac:dyDescent="0.25">
      <c r="A1076" s="62" t="s">
        <v>573</v>
      </c>
      <c r="B1076" s="62" t="s">
        <v>573</v>
      </c>
      <c r="C1076" s="63"/>
      <c r="D1076" s="64"/>
      <c r="E1076" s="65"/>
      <c r="F1076" s="66"/>
      <c r="G1076" s="63"/>
      <c r="H1076" s="67"/>
      <c r="I1076" s="68"/>
      <c r="J1076" s="68"/>
      <c r="K1076" s="32"/>
      <c r="L1076" s="75">
        <v>1076</v>
      </c>
      <c r="M1076" s="75"/>
      <c r="N1076" s="70"/>
      <c r="O1076" s="77" t="s">
        <v>179</v>
      </c>
      <c r="P1076" s="79">
        <v>44942.751250000001</v>
      </c>
      <c r="Q1076" s="77" t="s">
        <v>2169</v>
      </c>
      <c r="R1076" s="77">
        <v>0</v>
      </c>
      <c r="S1076" s="77">
        <v>0</v>
      </c>
      <c r="T1076" s="77">
        <v>0</v>
      </c>
      <c r="U1076" s="77">
        <v>0</v>
      </c>
      <c r="V1076" s="77">
        <v>18</v>
      </c>
      <c r="W1076" s="82" t="s">
        <v>4841</v>
      </c>
      <c r="X1076" s="77"/>
      <c r="Y1076" s="77"/>
      <c r="Z1076" s="77"/>
      <c r="AA1076" s="77" t="s">
        <v>6805</v>
      </c>
      <c r="AB1076" s="77" t="s">
        <v>7696</v>
      </c>
      <c r="AC1076" s="82" t="s">
        <v>7707</v>
      </c>
      <c r="AD1076" s="77" t="s">
        <v>7745</v>
      </c>
      <c r="AE1076" s="80" t="str">
        <f>HYPERLINK("https://twitter.com/cleitonfinancas/status/1615046677252939776")</f>
        <v>https://twitter.com/cleitonfinancas/status/1615046677252939776</v>
      </c>
      <c r="AF1076" s="79">
        <v>44942.751250000001</v>
      </c>
      <c r="AG1076" s="85">
        <v>44942</v>
      </c>
      <c r="AH1076" s="82" t="s">
        <v>8704</v>
      </c>
      <c r="AI1076" s="77" t="b">
        <v>0</v>
      </c>
      <c r="AJ1076" s="77"/>
      <c r="AK1076" s="77"/>
      <c r="AL1076" s="77"/>
      <c r="AM1076" s="77"/>
      <c r="AN1076" s="77"/>
      <c r="AO1076" s="77"/>
      <c r="AP1076" s="77"/>
      <c r="AQ1076" s="77" t="s">
        <v>11312</v>
      </c>
      <c r="AR1076" s="77"/>
      <c r="AS1076" s="77"/>
      <c r="AT1076" s="77"/>
      <c r="AU1076" s="77"/>
      <c r="AV1076" s="80" t="str">
        <f>HYPERLINK("https://pbs.twimg.com/media/FmnMZLxXEAwGXTP.jpg")</f>
        <v>https://pbs.twimg.com/media/FmnMZLxXEAwGXTP.jpg</v>
      </c>
      <c r="AW1076" s="82" t="s">
        <v>13258</v>
      </c>
      <c r="AX1076" s="82" t="s">
        <v>13258</v>
      </c>
      <c r="AY1076" s="77"/>
      <c r="AZ1076" s="82" t="s">
        <v>15804</v>
      </c>
      <c r="BA1076" s="82" t="s">
        <v>15804</v>
      </c>
      <c r="BB1076" s="82" t="s">
        <v>15804</v>
      </c>
      <c r="BC1076" s="82" t="s">
        <v>13258</v>
      </c>
      <c r="BD1076" s="82" t="s">
        <v>16333</v>
      </c>
      <c r="BE1076" s="77"/>
      <c r="BF1076" s="77"/>
      <c r="BG1076" s="77"/>
      <c r="BH1076" s="77"/>
      <c r="BI1076" s="77"/>
    </row>
    <row r="1077" spans="1:61" x14ac:dyDescent="0.25">
      <c r="A1077" s="62" t="s">
        <v>573</v>
      </c>
      <c r="B1077" s="62" t="s">
        <v>573</v>
      </c>
      <c r="C1077" s="63"/>
      <c r="D1077" s="64"/>
      <c r="E1077" s="65"/>
      <c r="F1077" s="66"/>
      <c r="G1077" s="63"/>
      <c r="H1077" s="67"/>
      <c r="I1077" s="68"/>
      <c r="J1077" s="68"/>
      <c r="K1077" s="32"/>
      <c r="L1077" s="75">
        <v>1077</v>
      </c>
      <c r="M1077" s="75"/>
      <c r="N1077" s="70"/>
      <c r="O1077" s="77" t="s">
        <v>179</v>
      </c>
      <c r="P1077" s="79">
        <v>44941.920902777776</v>
      </c>
      <c r="Q1077" s="77" t="s">
        <v>2170</v>
      </c>
      <c r="R1077" s="77">
        <v>0</v>
      </c>
      <c r="S1077" s="77">
        <v>0</v>
      </c>
      <c r="T1077" s="77">
        <v>0</v>
      </c>
      <c r="U1077" s="77">
        <v>0</v>
      </c>
      <c r="V1077" s="77">
        <v>12</v>
      </c>
      <c r="W1077" s="82" t="s">
        <v>4842</v>
      </c>
      <c r="X1077" s="80" t="str">
        <f>HYPERLINK("https://youtu.be/DiS6FJ6MGE8")</f>
        <v>https://youtu.be/DiS6FJ6MGE8</v>
      </c>
      <c r="Y1077" s="77" t="s">
        <v>6003</v>
      </c>
      <c r="Z1077" s="77"/>
      <c r="AA1077" s="77"/>
      <c r="AB1077" s="77"/>
      <c r="AC1077" s="82" t="s">
        <v>7707</v>
      </c>
      <c r="AD1077" s="77" t="s">
        <v>7745</v>
      </c>
      <c r="AE1077" s="80" t="str">
        <f>HYPERLINK("https://twitter.com/cleitonfinancas/status/1614745768501415937")</f>
        <v>https://twitter.com/cleitonfinancas/status/1614745768501415937</v>
      </c>
      <c r="AF1077" s="79">
        <v>44941.920902777776</v>
      </c>
      <c r="AG1077" s="85">
        <v>44941</v>
      </c>
      <c r="AH1077" s="82" t="s">
        <v>8705</v>
      </c>
      <c r="AI1077" s="77" t="b">
        <v>0</v>
      </c>
      <c r="AJ1077" s="77"/>
      <c r="AK1077" s="77"/>
      <c r="AL1077" s="77"/>
      <c r="AM1077" s="77"/>
      <c r="AN1077" s="77"/>
      <c r="AO1077" s="77"/>
      <c r="AP1077" s="77"/>
      <c r="AQ1077" s="77"/>
      <c r="AR1077" s="77"/>
      <c r="AS1077" s="77"/>
      <c r="AT1077" s="77"/>
      <c r="AU1077" s="77"/>
      <c r="AV1077" s="80" t="str">
        <f>HYPERLINK("https://pbs.twimg.com/profile_images/1610705889765343243/7C4SraH0_normal.jpg")</f>
        <v>https://pbs.twimg.com/profile_images/1610705889765343243/7C4SraH0_normal.jpg</v>
      </c>
      <c r="AW1077" s="82" t="s">
        <v>13259</v>
      </c>
      <c r="AX1077" s="82" t="s">
        <v>13259</v>
      </c>
      <c r="AY1077" s="77"/>
      <c r="AZ1077" s="82" t="s">
        <v>15804</v>
      </c>
      <c r="BA1077" s="82" t="s">
        <v>15804</v>
      </c>
      <c r="BB1077" s="82" t="s">
        <v>15804</v>
      </c>
      <c r="BC1077" s="82" t="s">
        <v>13259</v>
      </c>
      <c r="BD1077" s="82" t="s">
        <v>16333</v>
      </c>
      <c r="BE1077" s="77"/>
      <c r="BF1077" s="77"/>
      <c r="BG1077" s="77"/>
      <c r="BH1077" s="77"/>
      <c r="BI1077" s="77"/>
    </row>
    <row r="1078" spans="1:61" x14ac:dyDescent="0.25">
      <c r="A1078" s="62" t="s">
        <v>573</v>
      </c>
      <c r="B1078" s="62" t="s">
        <v>573</v>
      </c>
      <c r="C1078" s="63"/>
      <c r="D1078" s="64"/>
      <c r="E1078" s="65"/>
      <c r="F1078" s="66"/>
      <c r="G1078" s="63"/>
      <c r="H1078" s="67"/>
      <c r="I1078" s="68"/>
      <c r="J1078" s="68"/>
      <c r="K1078" s="32"/>
      <c r="L1078" s="75">
        <v>1078</v>
      </c>
      <c r="M1078" s="75"/>
      <c r="N1078" s="70"/>
      <c r="O1078" s="77" t="s">
        <v>179</v>
      </c>
      <c r="P1078" s="79">
        <v>44941.683182870373</v>
      </c>
      <c r="Q1078" s="77" t="s">
        <v>2171</v>
      </c>
      <c r="R1078" s="77">
        <v>0</v>
      </c>
      <c r="S1078" s="77">
        <v>0</v>
      </c>
      <c r="T1078" s="77">
        <v>0</v>
      </c>
      <c r="U1078" s="77">
        <v>0</v>
      </c>
      <c r="V1078" s="77">
        <v>16</v>
      </c>
      <c r="W1078" s="82" t="s">
        <v>4843</v>
      </c>
      <c r="X1078" s="77"/>
      <c r="Y1078" s="77"/>
      <c r="Z1078" s="77"/>
      <c r="AA1078" s="77" t="s">
        <v>6806</v>
      </c>
      <c r="AB1078" s="77" t="s">
        <v>7696</v>
      </c>
      <c r="AC1078" s="82" t="s">
        <v>7707</v>
      </c>
      <c r="AD1078" s="77" t="s">
        <v>7745</v>
      </c>
      <c r="AE1078" s="80" t="str">
        <f>HYPERLINK("https://twitter.com/cleitonfinancas/status/1614659621301506051")</f>
        <v>https://twitter.com/cleitonfinancas/status/1614659621301506051</v>
      </c>
      <c r="AF1078" s="79">
        <v>44941.683182870373</v>
      </c>
      <c r="AG1078" s="85">
        <v>44941</v>
      </c>
      <c r="AH1078" s="82" t="s">
        <v>8706</v>
      </c>
      <c r="AI1078" s="77" t="b">
        <v>0</v>
      </c>
      <c r="AJ1078" s="77"/>
      <c r="AK1078" s="77"/>
      <c r="AL1078" s="77"/>
      <c r="AM1078" s="77"/>
      <c r="AN1078" s="77"/>
      <c r="AO1078" s="77"/>
      <c r="AP1078" s="77"/>
      <c r="AQ1078" s="77" t="s">
        <v>11313</v>
      </c>
      <c r="AR1078" s="77"/>
      <c r="AS1078" s="77"/>
      <c r="AT1078" s="77"/>
      <c r="AU1078" s="77"/>
      <c r="AV1078" s="80" t="str">
        <f>HYPERLINK("https://pbs.twimg.com/media/FmhsXhzWQAETJp3.jpg")</f>
        <v>https://pbs.twimg.com/media/FmhsXhzWQAETJp3.jpg</v>
      </c>
      <c r="AW1078" s="82" t="s">
        <v>13260</v>
      </c>
      <c r="AX1078" s="82" t="s">
        <v>13260</v>
      </c>
      <c r="AY1078" s="77"/>
      <c r="AZ1078" s="82" t="s">
        <v>15804</v>
      </c>
      <c r="BA1078" s="82" t="s">
        <v>15804</v>
      </c>
      <c r="BB1078" s="82" t="s">
        <v>15804</v>
      </c>
      <c r="BC1078" s="82" t="s">
        <v>13260</v>
      </c>
      <c r="BD1078" s="82" t="s">
        <v>16333</v>
      </c>
      <c r="BE1078" s="77"/>
      <c r="BF1078" s="77"/>
      <c r="BG1078" s="77"/>
      <c r="BH1078" s="77"/>
      <c r="BI1078" s="77"/>
    </row>
    <row r="1079" spans="1:61" x14ac:dyDescent="0.25">
      <c r="A1079" s="62" t="s">
        <v>573</v>
      </c>
      <c r="B1079" s="62" t="s">
        <v>573</v>
      </c>
      <c r="C1079" s="63"/>
      <c r="D1079" s="64"/>
      <c r="E1079" s="65"/>
      <c r="F1079" s="66"/>
      <c r="G1079" s="63"/>
      <c r="H1079" s="67"/>
      <c r="I1079" s="68"/>
      <c r="J1079" s="68"/>
      <c r="K1079" s="32"/>
      <c r="L1079" s="75">
        <v>1079</v>
      </c>
      <c r="M1079" s="75"/>
      <c r="N1079" s="70"/>
      <c r="O1079" s="77" t="s">
        <v>179</v>
      </c>
      <c r="P1079" s="79">
        <v>44971.43236111111</v>
      </c>
      <c r="Q1079" s="77" t="s">
        <v>2172</v>
      </c>
      <c r="R1079" s="77">
        <v>0</v>
      </c>
      <c r="S1079" s="77">
        <v>0</v>
      </c>
      <c r="T1079" s="77">
        <v>0</v>
      </c>
      <c r="U1079" s="77">
        <v>0</v>
      </c>
      <c r="V1079" s="77">
        <v>22</v>
      </c>
      <c r="W1079" s="82" t="s">
        <v>4460</v>
      </c>
      <c r="X1079" s="77"/>
      <c r="Y1079" s="77"/>
      <c r="Z1079" s="77"/>
      <c r="AA1079" s="77" t="s">
        <v>6807</v>
      </c>
      <c r="AB1079" s="77" t="s">
        <v>7696</v>
      </c>
      <c r="AC1079" s="82" t="s">
        <v>7707</v>
      </c>
      <c r="AD1079" s="77" t="s">
        <v>7745</v>
      </c>
      <c r="AE1079" s="80" t="str">
        <f>HYPERLINK("https://twitter.com/cleitonfinancas/status/1625440364390653953")</f>
        <v>https://twitter.com/cleitonfinancas/status/1625440364390653953</v>
      </c>
      <c r="AF1079" s="79">
        <v>44971.43236111111</v>
      </c>
      <c r="AG1079" s="85">
        <v>44971</v>
      </c>
      <c r="AH1079" s="82" t="s">
        <v>8707</v>
      </c>
      <c r="AI1079" s="77" t="b">
        <v>0</v>
      </c>
      <c r="AJ1079" s="77"/>
      <c r="AK1079" s="77"/>
      <c r="AL1079" s="77"/>
      <c r="AM1079" s="77"/>
      <c r="AN1079" s="77"/>
      <c r="AO1079" s="77"/>
      <c r="AP1079" s="77"/>
      <c r="AQ1079" s="77" t="s">
        <v>11314</v>
      </c>
      <c r="AR1079" s="77"/>
      <c r="AS1079" s="77"/>
      <c r="AT1079" s="77"/>
      <c r="AU1079" s="77"/>
      <c r="AV1079" s="80" t="str">
        <f>HYPERLINK("https://pbs.twimg.com/media/Fo65ZTVXoAI2W_O.jpg")</f>
        <v>https://pbs.twimg.com/media/Fo65ZTVXoAI2W_O.jpg</v>
      </c>
      <c r="AW1079" s="82" t="s">
        <v>13261</v>
      </c>
      <c r="AX1079" s="82" t="s">
        <v>13261</v>
      </c>
      <c r="AY1079" s="77"/>
      <c r="AZ1079" s="82" t="s">
        <v>15804</v>
      </c>
      <c r="BA1079" s="82" t="s">
        <v>15804</v>
      </c>
      <c r="BB1079" s="82" t="s">
        <v>15804</v>
      </c>
      <c r="BC1079" s="82" t="s">
        <v>13261</v>
      </c>
      <c r="BD1079" s="82" t="s">
        <v>16333</v>
      </c>
      <c r="BE1079" s="77"/>
      <c r="BF1079" s="77"/>
      <c r="BG1079" s="77"/>
      <c r="BH1079" s="77"/>
      <c r="BI1079" s="77"/>
    </row>
    <row r="1080" spans="1:61" x14ac:dyDescent="0.25">
      <c r="A1080" s="62" t="s">
        <v>573</v>
      </c>
      <c r="B1080" s="62" t="s">
        <v>573</v>
      </c>
      <c r="C1080" s="63"/>
      <c r="D1080" s="64"/>
      <c r="E1080" s="65"/>
      <c r="F1080" s="66"/>
      <c r="G1080" s="63"/>
      <c r="H1080" s="67"/>
      <c r="I1080" s="68"/>
      <c r="J1080" s="68"/>
      <c r="K1080" s="32"/>
      <c r="L1080" s="75">
        <v>1080</v>
      </c>
      <c r="M1080" s="75"/>
      <c r="N1080" s="70"/>
      <c r="O1080" s="77" t="s">
        <v>179</v>
      </c>
      <c r="P1080" s="79">
        <v>44969.524618055555</v>
      </c>
      <c r="Q1080" s="77" t="s">
        <v>2173</v>
      </c>
      <c r="R1080" s="77">
        <v>0</v>
      </c>
      <c r="S1080" s="77">
        <v>0</v>
      </c>
      <c r="T1080" s="77">
        <v>0</v>
      </c>
      <c r="U1080" s="77">
        <v>0</v>
      </c>
      <c r="V1080" s="77">
        <v>20</v>
      </c>
      <c r="W1080" s="82" t="s">
        <v>4844</v>
      </c>
      <c r="X1080" s="77"/>
      <c r="Y1080" s="77"/>
      <c r="Z1080" s="77"/>
      <c r="AA1080" s="77" t="s">
        <v>6808</v>
      </c>
      <c r="AB1080" s="77" t="s">
        <v>7696</v>
      </c>
      <c r="AC1080" s="82" t="s">
        <v>7707</v>
      </c>
      <c r="AD1080" s="77" t="s">
        <v>7745</v>
      </c>
      <c r="AE1080" s="80" t="str">
        <f>HYPERLINK("https://twitter.com/cleitonfinancas/status/1624749019275689986")</f>
        <v>https://twitter.com/cleitonfinancas/status/1624749019275689986</v>
      </c>
      <c r="AF1080" s="79">
        <v>44969.524618055555</v>
      </c>
      <c r="AG1080" s="85">
        <v>44969</v>
      </c>
      <c r="AH1080" s="82" t="s">
        <v>8708</v>
      </c>
      <c r="AI1080" s="77" t="b">
        <v>0</v>
      </c>
      <c r="AJ1080" s="77"/>
      <c r="AK1080" s="77"/>
      <c r="AL1080" s="77"/>
      <c r="AM1080" s="77"/>
      <c r="AN1080" s="77"/>
      <c r="AO1080" s="77"/>
      <c r="AP1080" s="77"/>
      <c r="AQ1080" s="77" t="s">
        <v>11315</v>
      </c>
      <c r="AR1080" s="77"/>
      <c r="AS1080" s="77"/>
      <c r="AT1080" s="77"/>
      <c r="AU1080" s="77"/>
      <c r="AV1080" s="80" t="str">
        <f>HYPERLINK("https://pbs.twimg.com/media/FoxEn2KWYAA9tH_.jpg")</f>
        <v>https://pbs.twimg.com/media/FoxEn2KWYAA9tH_.jpg</v>
      </c>
      <c r="AW1080" s="82" t="s">
        <v>13262</v>
      </c>
      <c r="AX1080" s="82" t="s">
        <v>13262</v>
      </c>
      <c r="AY1080" s="77"/>
      <c r="AZ1080" s="82" t="s">
        <v>15804</v>
      </c>
      <c r="BA1080" s="82" t="s">
        <v>15804</v>
      </c>
      <c r="BB1080" s="82" t="s">
        <v>15804</v>
      </c>
      <c r="BC1080" s="82" t="s">
        <v>13262</v>
      </c>
      <c r="BD1080" s="82" t="s">
        <v>16333</v>
      </c>
      <c r="BE1080" s="77"/>
      <c r="BF1080" s="77"/>
      <c r="BG1080" s="77"/>
      <c r="BH1080" s="77"/>
      <c r="BI1080" s="77"/>
    </row>
    <row r="1081" spans="1:61" x14ac:dyDescent="0.25">
      <c r="A1081" s="62" t="s">
        <v>573</v>
      </c>
      <c r="B1081" s="62" t="s">
        <v>573</v>
      </c>
      <c r="C1081" s="63"/>
      <c r="D1081" s="64"/>
      <c r="E1081" s="65"/>
      <c r="F1081" s="66"/>
      <c r="G1081" s="63"/>
      <c r="H1081" s="67"/>
      <c r="I1081" s="68"/>
      <c r="J1081" s="68"/>
      <c r="K1081" s="32"/>
      <c r="L1081" s="75">
        <v>1081</v>
      </c>
      <c r="M1081" s="75"/>
      <c r="N1081" s="70"/>
      <c r="O1081" s="77" t="s">
        <v>179</v>
      </c>
      <c r="P1081" s="79">
        <v>44968.749502314815</v>
      </c>
      <c r="Q1081" s="77" t="s">
        <v>2174</v>
      </c>
      <c r="R1081" s="77">
        <v>0</v>
      </c>
      <c r="S1081" s="77">
        <v>0</v>
      </c>
      <c r="T1081" s="77">
        <v>0</v>
      </c>
      <c r="U1081" s="77">
        <v>0</v>
      </c>
      <c r="V1081" s="77">
        <v>22</v>
      </c>
      <c r="W1081" s="82" t="s">
        <v>4845</v>
      </c>
      <c r="X1081" s="77"/>
      <c r="Y1081" s="77"/>
      <c r="Z1081" s="77"/>
      <c r="AA1081" s="77" t="s">
        <v>6809</v>
      </c>
      <c r="AB1081" s="77" t="s">
        <v>7696</v>
      </c>
      <c r="AC1081" s="82" t="s">
        <v>7707</v>
      </c>
      <c r="AD1081" s="77" t="s">
        <v>7745</v>
      </c>
      <c r="AE1081" s="80" t="str">
        <f>HYPERLINK("https://twitter.com/cleitonfinancas/status/1624468127915421696")</f>
        <v>https://twitter.com/cleitonfinancas/status/1624468127915421696</v>
      </c>
      <c r="AF1081" s="79">
        <v>44968.749502314815</v>
      </c>
      <c r="AG1081" s="85">
        <v>44968</v>
      </c>
      <c r="AH1081" s="82" t="s">
        <v>8709</v>
      </c>
      <c r="AI1081" s="77" t="b">
        <v>0</v>
      </c>
      <c r="AJ1081" s="77"/>
      <c r="AK1081" s="77"/>
      <c r="AL1081" s="77"/>
      <c r="AM1081" s="77"/>
      <c r="AN1081" s="77"/>
      <c r="AO1081" s="77"/>
      <c r="AP1081" s="77"/>
      <c r="AQ1081" s="77" t="s">
        <v>11316</v>
      </c>
      <c r="AR1081" s="77"/>
      <c r="AS1081" s="77"/>
      <c r="AT1081" s="77"/>
      <c r="AU1081" s="77"/>
      <c r="AV1081" s="80" t="str">
        <f>HYPERLINK("https://pbs.twimg.com/media/FotFJzuWYAAKShJ.jpg")</f>
        <v>https://pbs.twimg.com/media/FotFJzuWYAAKShJ.jpg</v>
      </c>
      <c r="AW1081" s="82" t="s">
        <v>13263</v>
      </c>
      <c r="AX1081" s="82" t="s">
        <v>13263</v>
      </c>
      <c r="AY1081" s="77"/>
      <c r="AZ1081" s="82" t="s">
        <v>15804</v>
      </c>
      <c r="BA1081" s="82" t="s">
        <v>15804</v>
      </c>
      <c r="BB1081" s="82" t="s">
        <v>15804</v>
      </c>
      <c r="BC1081" s="82" t="s">
        <v>13263</v>
      </c>
      <c r="BD1081" s="82" t="s">
        <v>16333</v>
      </c>
      <c r="BE1081" s="77"/>
      <c r="BF1081" s="77"/>
      <c r="BG1081" s="77"/>
      <c r="BH1081" s="77"/>
      <c r="BI1081" s="77"/>
    </row>
    <row r="1082" spans="1:61" x14ac:dyDescent="0.25">
      <c r="A1082" s="62" t="s">
        <v>573</v>
      </c>
      <c r="B1082" s="62" t="s">
        <v>573</v>
      </c>
      <c r="C1082" s="63"/>
      <c r="D1082" s="64"/>
      <c r="E1082" s="65"/>
      <c r="F1082" s="66"/>
      <c r="G1082" s="63"/>
      <c r="H1082" s="67"/>
      <c r="I1082" s="68"/>
      <c r="J1082" s="68"/>
      <c r="K1082" s="32"/>
      <c r="L1082" s="75">
        <v>1082</v>
      </c>
      <c r="M1082" s="75"/>
      <c r="N1082" s="70"/>
      <c r="O1082" s="77" t="s">
        <v>179</v>
      </c>
      <c r="P1082" s="79">
        <v>44968.519803240742</v>
      </c>
      <c r="Q1082" s="77" t="s">
        <v>2175</v>
      </c>
      <c r="R1082" s="77">
        <v>0</v>
      </c>
      <c r="S1082" s="77">
        <v>1</v>
      </c>
      <c r="T1082" s="77">
        <v>0</v>
      </c>
      <c r="U1082" s="77">
        <v>0</v>
      </c>
      <c r="V1082" s="77">
        <v>14</v>
      </c>
      <c r="W1082" s="82" t="s">
        <v>4846</v>
      </c>
      <c r="X1082" s="77"/>
      <c r="Y1082" s="77"/>
      <c r="Z1082" s="77"/>
      <c r="AA1082" s="77" t="s">
        <v>6810</v>
      </c>
      <c r="AB1082" s="77" t="s">
        <v>7696</v>
      </c>
      <c r="AC1082" s="82" t="s">
        <v>7707</v>
      </c>
      <c r="AD1082" s="77" t="s">
        <v>7745</v>
      </c>
      <c r="AE1082" s="80" t="str">
        <f>HYPERLINK("https://twitter.com/cleitonfinancas/status/1624384888341164032")</f>
        <v>https://twitter.com/cleitonfinancas/status/1624384888341164032</v>
      </c>
      <c r="AF1082" s="79">
        <v>44968.519803240742</v>
      </c>
      <c r="AG1082" s="85">
        <v>44968</v>
      </c>
      <c r="AH1082" s="82" t="s">
        <v>8710</v>
      </c>
      <c r="AI1082" s="77" t="b">
        <v>0</v>
      </c>
      <c r="AJ1082" s="77"/>
      <c r="AK1082" s="77"/>
      <c r="AL1082" s="77"/>
      <c r="AM1082" s="77"/>
      <c r="AN1082" s="77"/>
      <c r="AO1082" s="77"/>
      <c r="AP1082" s="77"/>
      <c r="AQ1082" s="77" t="s">
        <v>11317</v>
      </c>
      <c r="AR1082" s="77"/>
      <c r="AS1082" s="77"/>
      <c r="AT1082" s="77"/>
      <c r="AU1082" s="77"/>
      <c r="AV1082" s="80" t="str">
        <f>HYPERLINK("https://pbs.twimg.com/media/For5coqWIAISOrc.jpg")</f>
        <v>https://pbs.twimg.com/media/For5coqWIAISOrc.jpg</v>
      </c>
      <c r="AW1082" s="82" t="s">
        <v>13264</v>
      </c>
      <c r="AX1082" s="82" t="s">
        <v>13264</v>
      </c>
      <c r="AY1082" s="77"/>
      <c r="AZ1082" s="82" t="s">
        <v>15804</v>
      </c>
      <c r="BA1082" s="82" t="s">
        <v>15804</v>
      </c>
      <c r="BB1082" s="82" t="s">
        <v>15804</v>
      </c>
      <c r="BC1082" s="82" t="s">
        <v>13264</v>
      </c>
      <c r="BD1082" s="82" t="s">
        <v>16333</v>
      </c>
      <c r="BE1082" s="77"/>
      <c r="BF1082" s="77"/>
      <c r="BG1082" s="77"/>
      <c r="BH1082" s="77"/>
      <c r="BI1082" s="77"/>
    </row>
    <row r="1083" spans="1:61" x14ac:dyDescent="0.25">
      <c r="A1083" s="62" t="s">
        <v>573</v>
      </c>
      <c r="B1083" s="62" t="s">
        <v>573</v>
      </c>
      <c r="C1083" s="63"/>
      <c r="D1083" s="64"/>
      <c r="E1083" s="65"/>
      <c r="F1083" s="66"/>
      <c r="G1083" s="63"/>
      <c r="H1083" s="67"/>
      <c r="I1083" s="68"/>
      <c r="J1083" s="68"/>
      <c r="K1083" s="32"/>
      <c r="L1083" s="75">
        <v>1083</v>
      </c>
      <c r="M1083" s="75"/>
      <c r="N1083" s="70"/>
      <c r="O1083" s="77" t="s">
        <v>179</v>
      </c>
      <c r="P1083" s="79">
        <v>44966.627060185187</v>
      </c>
      <c r="Q1083" s="77" t="s">
        <v>2176</v>
      </c>
      <c r="R1083" s="77">
        <v>0</v>
      </c>
      <c r="S1083" s="77">
        <v>0</v>
      </c>
      <c r="T1083" s="77">
        <v>0</v>
      </c>
      <c r="U1083" s="77">
        <v>0</v>
      </c>
      <c r="V1083" s="77">
        <v>122</v>
      </c>
      <c r="W1083" s="82" t="s">
        <v>4847</v>
      </c>
      <c r="X1083" s="77"/>
      <c r="Y1083" s="77"/>
      <c r="Z1083" s="77"/>
      <c r="AA1083" s="77" t="s">
        <v>6811</v>
      </c>
      <c r="AB1083" s="77" t="s">
        <v>7697</v>
      </c>
      <c r="AC1083" s="82" t="s">
        <v>7707</v>
      </c>
      <c r="AD1083" s="77" t="s">
        <v>7745</v>
      </c>
      <c r="AE1083" s="80" t="str">
        <f>HYPERLINK("https://twitter.com/cleitonfinancas/status/1623698981946634240")</f>
        <v>https://twitter.com/cleitonfinancas/status/1623698981946634240</v>
      </c>
      <c r="AF1083" s="79">
        <v>44966.627060185187</v>
      </c>
      <c r="AG1083" s="85">
        <v>44966</v>
      </c>
      <c r="AH1083" s="82" t="s">
        <v>8711</v>
      </c>
      <c r="AI1083" s="77" t="b">
        <v>0</v>
      </c>
      <c r="AJ1083" s="77"/>
      <c r="AK1083" s="77"/>
      <c r="AL1083" s="77"/>
      <c r="AM1083" s="77"/>
      <c r="AN1083" s="77"/>
      <c r="AO1083" s="77"/>
      <c r="AP1083" s="77"/>
      <c r="AQ1083" s="77" t="s">
        <v>11318</v>
      </c>
      <c r="AR1083" s="77">
        <v>45002</v>
      </c>
      <c r="AS1083" s="77"/>
      <c r="AT1083" s="77"/>
      <c r="AU1083" s="77">
        <v>43</v>
      </c>
      <c r="AV1083" s="80" t="str">
        <f>HYPERLINK("https://pbs.twimg.com/ext_tw_video_thumb/1623698899658502144/pu/img/jX0_pqNiIlsj3s7l.jpg")</f>
        <v>https://pbs.twimg.com/ext_tw_video_thumb/1623698899658502144/pu/img/jX0_pqNiIlsj3s7l.jpg</v>
      </c>
      <c r="AW1083" s="82" t="s">
        <v>13265</v>
      </c>
      <c r="AX1083" s="82" t="s">
        <v>13265</v>
      </c>
      <c r="AY1083" s="77"/>
      <c r="AZ1083" s="82" t="s">
        <v>15804</v>
      </c>
      <c r="BA1083" s="82" t="s">
        <v>15804</v>
      </c>
      <c r="BB1083" s="82" t="s">
        <v>15804</v>
      </c>
      <c r="BC1083" s="82" t="s">
        <v>13265</v>
      </c>
      <c r="BD1083" s="82" t="s">
        <v>16333</v>
      </c>
      <c r="BE1083" s="77"/>
      <c r="BF1083" s="77"/>
      <c r="BG1083" s="77"/>
      <c r="BH1083" s="77"/>
      <c r="BI1083" s="77"/>
    </row>
    <row r="1084" spans="1:61" x14ac:dyDescent="0.25">
      <c r="A1084" s="62" t="s">
        <v>573</v>
      </c>
      <c r="B1084" s="62" t="s">
        <v>573</v>
      </c>
      <c r="C1084" s="63"/>
      <c r="D1084" s="64"/>
      <c r="E1084" s="65"/>
      <c r="F1084" s="66"/>
      <c r="G1084" s="63"/>
      <c r="H1084" s="67"/>
      <c r="I1084" s="68"/>
      <c r="J1084" s="68"/>
      <c r="K1084" s="32"/>
      <c r="L1084" s="75">
        <v>1084</v>
      </c>
      <c r="M1084" s="75"/>
      <c r="N1084" s="70"/>
      <c r="O1084" s="77" t="s">
        <v>179</v>
      </c>
      <c r="P1084" s="79">
        <v>44965.444421296299</v>
      </c>
      <c r="Q1084" s="77" t="s">
        <v>2177</v>
      </c>
      <c r="R1084" s="77">
        <v>0</v>
      </c>
      <c r="S1084" s="77">
        <v>2</v>
      </c>
      <c r="T1084" s="77">
        <v>0</v>
      </c>
      <c r="U1084" s="77">
        <v>0</v>
      </c>
      <c r="V1084" s="77">
        <v>31</v>
      </c>
      <c r="W1084" s="82" t="s">
        <v>4848</v>
      </c>
      <c r="X1084" s="77"/>
      <c r="Y1084" s="77"/>
      <c r="Z1084" s="77"/>
      <c r="AA1084" s="77" t="s">
        <v>6812</v>
      </c>
      <c r="AB1084" s="77" t="s">
        <v>7696</v>
      </c>
      <c r="AC1084" s="82" t="s">
        <v>7707</v>
      </c>
      <c r="AD1084" s="77" t="s">
        <v>7745</v>
      </c>
      <c r="AE1084" s="80" t="str">
        <f>HYPERLINK("https://twitter.com/cleitonfinancas/status/1623270408001622020")</f>
        <v>https://twitter.com/cleitonfinancas/status/1623270408001622020</v>
      </c>
      <c r="AF1084" s="79">
        <v>44965.444421296299</v>
      </c>
      <c r="AG1084" s="85">
        <v>44965</v>
      </c>
      <c r="AH1084" s="82" t="s">
        <v>8712</v>
      </c>
      <c r="AI1084" s="77" t="b">
        <v>0</v>
      </c>
      <c r="AJ1084" s="77"/>
      <c r="AK1084" s="77"/>
      <c r="AL1084" s="77"/>
      <c r="AM1084" s="77"/>
      <c r="AN1084" s="77"/>
      <c r="AO1084" s="77"/>
      <c r="AP1084" s="77"/>
      <c r="AQ1084" s="77" t="s">
        <v>11319</v>
      </c>
      <c r="AR1084" s="77"/>
      <c r="AS1084" s="77"/>
      <c r="AT1084" s="77"/>
      <c r="AU1084" s="77"/>
      <c r="AV1084" s="80" t="str">
        <f>HYPERLINK("https://pbs.twimg.com/media/FocD1V9XgAEnL-G.jpg")</f>
        <v>https://pbs.twimg.com/media/FocD1V9XgAEnL-G.jpg</v>
      </c>
      <c r="AW1084" s="82" t="s">
        <v>13266</v>
      </c>
      <c r="AX1084" s="82" t="s">
        <v>13266</v>
      </c>
      <c r="AY1084" s="77"/>
      <c r="AZ1084" s="82" t="s">
        <v>15804</v>
      </c>
      <c r="BA1084" s="82" t="s">
        <v>15804</v>
      </c>
      <c r="BB1084" s="82" t="s">
        <v>15804</v>
      </c>
      <c r="BC1084" s="82" t="s">
        <v>13266</v>
      </c>
      <c r="BD1084" s="82" t="s">
        <v>16333</v>
      </c>
      <c r="BE1084" s="77"/>
      <c r="BF1084" s="77"/>
      <c r="BG1084" s="77"/>
      <c r="BH1084" s="77"/>
      <c r="BI1084" s="77"/>
    </row>
    <row r="1085" spans="1:61" x14ac:dyDescent="0.25">
      <c r="A1085" s="62" t="s">
        <v>573</v>
      </c>
      <c r="B1085" s="62" t="s">
        <v>573</v>
      </c>
      <c r="C1085" s="63"/>
      <c r="D1085" s="64"/>
      <c r="E1085" s="65"/>
      <c r="F1085" s="66"/>
      <c r="G1085" s="63"/>
      <c r="H1085" s="67"/>
      <c r="I1085" s="68"/>
      <c r="J1085" s="68"/>
      <c r="K1085" s="32"/>
      <c r="L1085" s="75">
        <v>1085</v>
      </c>
      <c r="M1085" s="75"/>
      <c r="N1085" s="70"/>
      <c r="O1085" s="77" t="s">
        <v>179</v>
      </c>
      <c r="P1085" s="79">
        <v>44964.469629629632</v>
      </c>
      <c r="Q1085" s="77" t="s">
        <v>2178</v>
      </c>
      <c r="R1085" s="77">
        <v>0</v>
      </c>
      <c r="S1085" s="77">
        <v>0</v>
      </c>
      <c r="T1085" s="77">
        <v>0</v>
      </c>
      <c r="U1085" s="77">
        <v>0</v>
      </c>
      <c r="V1085" s="77">
        <v>31</v>
      </c>
      <c r="W1085" s="82" t="s">
        <v>4848</v>
      </c>
      <c r="X1085" s="77"/>
      <c r="Y1085" s="77"/>
      <c r="Z1085" s="77"/>
      <c r="AA1085" s="77" t="s">
        <v>6813</v>
      </c>
      <c r="AB1085" s="77" t="s">
        <v>7696</v>
      </c>
      <c r="AC1085" s="82" t="s">
        <v>7707</v>
      </c>
      <c r="AD1085" s="77" t="s">
        <v>7745</v>
      </c>
      <c r="AE1085" s="80" t="str">
        <f>HYPERLINK("https://twitter.com/cleitonfinancas/status/1622917152624848897")</f>
        <v>https://twitter.com/cleitonfinancas/status/1622917152624848897</v>
      </c>
      <c r="AF1085" s="79">
        <v>44964.469629629632</v>
      </c>
      <c r="AG1085" s="85">
        <v>44964</v>
      </c>
      <c r="AH1085" s="82" t="s">
        <v>8713</v>
      </c>
      <c r="AI1085" s="77" t="b">
        <v>0</v>
      </c>
      <c r="AJ1085" s="77"/>
      <c r="AK1085" s="77"/>
      <c r="AL1085" s="77"/>
      <c r="AM1085" s="77"/>
      <c r="AN1085" s="77"/>
      <c r="AO1085" s="77"/>
      <c r="AP1085" s="77"/>
      <c r="AQ1085" s="77" t="s">
        <v>11320</v>
      </c>
      <c r="AR1085" s="77"/>
      <c r="AS1085" s="77"/>
      <c r="AT1085" s="77"/>
      <c r="AU1085" s="77"/>
      <c r="AV1085" s="80" t="str">
        <f>HYPERLINK("https://pbs.twimg.com/media/FoXCjJzXEAAg_13.jpg")</f>
        <v>https://pbs.twimg.com/media/FoXCjJzXEAAg_13.jpg</v>
      </c>
      <c r="AW1085" s="82" t="s">
        <v>13267</v>
      </c>
      <c r="AX1085" s="82" t="s">
        <v>13267</v>
      </c>
      <c r="AY1085" s="77"/>
      <c r="AZ1085" s="82" t="s">
        <v>15804</v>
      </c>
      <c r="BA1085" s="82" t="s">
        <v>15804</v>
      </c>
      <c r="BB1085" s="82" t="s">
        <v>15804</v>
      </c>
      <c r="BC1085" s="82" t="s">
        <v>13267</v>
      </c>
      <c r="BD1085" s="82" t="s">
        <v>16333</v>
      </c>
      <c r="BE1085" s="77"/>
      <c r="BF1085" s="77"/>
      <c r="BG1085" s="77"/>
      <c r="BH1085" s="77"/>
      <c r="BI1085" s="77"/>
    </row>
    <row r="1086" spans="1:61" x14ac:dyDescent="0.25">
      <c r="A1086" s="62" t="s">
        <v>573</v>
      </c>
      <c r="B1086" s="62" t="s">
        <v>573</v>
      </c>
      <c r="C1086" s="63"/>
      <c r="D1086" s="64"/>
      <c r="E1086" s="65"/>
      <c r="F1086" s="66"/>
      <c r="G1086" s="63"/>
      <c r="H1086" s="67"/>
      <c r="I1086" s="68"/>
      <c r="J1086" s="68"/>
      <c r="K1086" s="32"/>
      <c r="L1086" s="75">
        <v>1086</v>
      </c>
      <c r="M1086" s="75"/>
      <c r="N1086" s="70"/>
      <c r="O1086" s="77" t="s">
        <v>179</v>
      </c>
      <c r="P1086" s="79">
        <v>44963.506076388891</v>
      </c>
      <c r="Q1086" s="77" t="s">
        <v>2179</v>
      </c>
      <c r="R1086" s="77">
        <v>0</v>
      </c>
      <c r="S1086" s="77">
        <v>0</v>
      </c>
      <c r="T1086" s="77">
        <v>0</v>
      </c>
      <c r="U1086" s="77">
        <v>0</v>
      </c>
      <c r="V1086" s="77">
        <v>25</v>
      </c>
      <c r="W1086" s="82" t="s">
        <v>4849</v>
      </c>
      <c r="X1086" s="77"/>
      <c r="Y1086" s="77"/>
      <c r="Z1086" s="77"/>
      <c r="AA1086" s="77" t="s">
        <v>6814</v>
      </c>
      <c r="AB1086" s="77" t="s">
        <v>7696</v>
      </c>
      <c r="AC1086" s="82" t="s">
        <v>7707</v>
      </c>
      <c r="AD1086" s="77" t="s">
        <v>7745</v>
      </c>
      <c r="AE1086" s="80" t="str">
        <f>HYPERLINK("https://twitter.com/cleitonfinancas/status/1622567972719009793")</f>
        <v>https://twitter.com/cleitonfinancas/status/1622567972719009793</v>
      </c>
      <c r="AF1086" s="79">
        <v>44963.506076388891</v>
      </c>
      <c r="AG1086" s="85">
        <v>44963</v>
      </c>
      <c r="AH1086" s="82" t="s">
        <v>8714</v>
      </c>
      <c r="AI1086" s="77" t="b">
        <v>0</v>
      </c>
      <c r="AJ1086" s="77"/>
      <c r="AK1086" s="77"/>
      <c r="AL1086" s="77"/>
      <c r="AM1086" s="77"/>
      <c r="AN1086" s="77"/>
      <c r="AO1086" s="77"/>
      <c r="AP1086" s="77"/>
      <c r="AQ1086" s="77" t="s">
        <v>11321</v>
      </c>
      <c r="AR1086" s="77"/>
      <c r="AS1086" s="77"/>
      <c r="AT1086" s="77"/>
      <c r="AU1086" s="77"/>
      <c r="AV1086" s="80" t="str">
        <f>HYPERLINK("https://pbs.twimg.com/media/FoSE-KSXEAASjGB.jpg")</f>
        <v>https://pbs.twimg.com/media/FoSE-KSXEAASjGB.jpg</v>
      </c>
      <c r="AW1086" s="82" t="s">
        <v>13268</v>
      </c>
      <c r="AX1086" s="82" t="s">
        <v>13268</v>
      </c>
      <c r="AY1086" s="77"/>
      <c r="AZ1086" s="82" t="s">
        <v>15804</v>
      </c>
      <c r="BA1086" s="82" t="s">
        <v>15804</v>
      </c>
      <c r="BB1086" s="82" t="s">
        <v>15804</v>
      </c>
      <c r="BC1086" s="82" t="s">
        <v>13268</v>
      </c>
      <c r="BD1086" s="82" t="s">
        <v>16333</v>
      </c>
      <c r="BE1086" s="77"/>
      <c r="BF1086" s="77"/>
      <c r="BG1086" s="77"/>
      <c r="BH1086" s="77"/>
      <c r="BI1086" s="77"/>
    </row>
    <row r="1087" spans="1:61" x14ac:dyDescent="0.25">
      <c r="A1087" s="62" t="s">
        <v>573</v>
      </c>
      <c r="B1087" s="62" t="s">
        <v>573</v>
      </c>
      <c r="C1087" s="63"/>
      <c r="D1087" s="64"/>
      <c r="E1087" s="65"/>
      <c r="F1087" s="66"/>
      <c r="G1087" s="63"/>
      <c r="H1087" s="67"/>
      <c r="I1087" s="68"/>
      <c r="J1087" s="68"/>
      <c r="K1087" s="32"/>
      <c r="L1087" s="75">
        <v>1087</v>
      </c>
      <c r="M1087" s="75"/>
      <c r="N1087" s="70"/>
      <c r="O1087" s="77" t="s">
        <v>179</v>
      </c>
      <c r="P1087" s="79">
        <v>44961.006597222222</v>
      </c>
      <c r="Q1087" s="77" t="s">
        <v>2180</v>
      </c>
      <c r="R1087" s="77">
        <v>0</v>
      </c>
      <c r="S1087" s="77">
        <v>0</v>
      </c>
      <c r="T1087" s="77">
        <v>0</v>
      </c>
      <c r="U1087" s="77">
        <v>0</v>
      </c>
      <c r="V1087" s="77">
        <v>21</v>
      </c>
      <c r="W1087" s="82" t="s">
        <v>4850</v>
      </c>
      <c r="X1087" s="77"/>
      <c r="Y1087" s="77"/>
      <c r="Z1087" s="77"/>
      <c r="AA1087" s="77" t="s">
        <v>6815</v>
      </c>
      <c r="AB1087" s="77" t="s">
        <v>7696</v>
      </c>
      <c r="AC1087" s="82" t="s">
        <v>7707</v>
      </c>
      <c r="AD1087" s="77" t="s">
        <v>7745</v>
      </c>
      <c r="AE1087" s="80" t="str">
        <f>HYPERLINK("https://twitter.com/cleitonfinancas/status/1621662193941975040")</f>
        <v>https://twitter.com/cleitonfinancas/status/1621662193941975040</v>
      </c>
      <c r="AF1087" s="79">
        <v>44961.006597222222</v>
      </c>
      <c r="AG1087" s="85">
        <v>44961</v>
      </c>
      <c r="AH1087" s="82" t="s">
        <v>8715</v>
      </c>
      <c r="AI1087" s="77" t="b">
        <v>0</v>
      </c>
      <c r="AJ1087" s="77"/>
      <c r="AK1087" s="77"/>
      <c r="AL1087" s="77"/>
      <c r="AM1087" s="77"/>
      <c r="AN1087" s="77"/>
      <c r="AO1087" s="77"/>
      <c r="AP1087" s="77"/>
      <c r="AQ1087" s="77" t="s">
        <v>11322</v>
      </c>
      <c r="AR1087" s="77"/>
      <c r="AS1087" s="77"/>
      <c r="AT1087" s="77"/>
      <c r="AU1087" s="77"/>
      <c r="AV1087" s="80" t="str">
        <f>HYPERLINK("https://pbs.twimg.com/media/FoFNK9QWIAIUMRa.jpg")</f>
        <v>https://pbs.twimg.com/media/FoFNK9QWIAIUMRa.jpg</v>
      </c>
      <c r="AW1087" s="82" t="s">
        <v>13269</v>
      </c>
      <c r="AX1087" s="82" t="s">
        <v>13269</v>
      </c>
      <c r="AY1087" s="77"/>
      <c r="AZ1087" s="82" t="s">
        <v>15804</v>
      </c>
      <c r="BA1087" s="82" t="s">
        <v>15804</v>
      </c>
      <c r="BB1087" s="82" t="s">
        <v>15804</v>
      </c>
      <c r="BC1087" s="82" t="s">
        <v>13269</v>
      </c>
      <c r="BD1087" s="82" t="s">
        <v>16333</v>
      </c>
      <c r="BE1087" s="77"/>
      <c r="BF1087" s="77"/>
      <c r="BG1087" s="77"/>
      <c r="BH1087" s="77"/>
      <c r="BI1087" s="77"/>
    </row>
    <row r="1088" spans="1:61" x14ac:dyDescent="0.25">
      <c r="A1088" s="62" t="s">
        <v>573</v>
      </c>
      <c r="B1088" s="62" t="s">
        <v>573</v>
      </c>
      <c r="C1088" s="63"/>
      <c r="D1088" s="64"/>
      <c r="E1088" s="65"/>
      <c r="F1088" s="66"/>
      <c r="G1088" s="63"/>
      <c r="H1088" s="67"/>
      <c r="I1088" s="68"/>
      <c r="J1088" s="68"/>
      <c r="K1088" s="32"/>
      <c r="L1088" s="75">
        <v>1088</v>
      </c>
      <c r="M1088" s="75"/>
      <c r="N1088" s="70"/>
      <c r="O1088" s="77" t="s">
        <v>179</v>
      </c>
      <c r="P1088" s="79">
        <v>44960.466157407405</v>
      </c>
      <c r="Q1088" s="77" t="s">
        <v>2181</v>
      </c>
      <c r="R1088" s="77">
        <v>0</v>
      </c>
      <c r="S1088" s="77">
        <v>0</v>
      </c>
      <c r="T1088" s="77">
        <v>0</v>
      </c>
      <c r="U1088" s="77">
        <v>0</v>
      </c>
      <c r="V1088" s="77">
        <v>9</v>
      </c>
      <c r="W1088" s="82" t="s">
        <v>4851</v>
      </c>
      <c r="X1088" s="80" t="str">
        <f>HYPERLINK("https://cleitonfinancas.com.br/devo-e-nao-quero/")</f>
        <v>https://cleitonfinancas.com.br/devo-e-nao-quero/</v>
      </c>
      <c r="Y1088" s="77" t="s">
        <v>6002</v>
      </c>
      <c r="Z1088" s="77"/>
      <c r="AA1088" s="77"/>
      <c r="AB1088" s="77"/>
      <c r="AC1088" s="82" t="s">
        <v>7707</v>
      </c>
      <c r="AD1088" s="77" t="s">
        <v>7745</v>
      </c>
      <c r="AE1088" s="80" t="str">
        <f>HYPERLINK("https://twitter.com/cleitonfinancas/status/1621466342355345409")</f>
        <v>https://twitter.com/cleitonfinancas/status/1621466342355345409</v>
      </c>
      <c r="AF1088" s="79">
        <v>44960.466157407405</v>
      </c>
      <c r="AG1088" s="85">
        <v>44960</v>
      </c>
      <c r="AH1088" s="82" t="s">
        <v>8716</v>
      </c>
      <c r="AI1088" s="77" t="b">
        <v>0</v>
      </c>
      <c r="AJ1088" s="77"/>
      <c r="AK1088" s="77"/>
      <c r="AL1088" s="77"/>
      <c r="AM1088" s="77"/>
      <c r="AN1088" s="77"/>
      <c r="AO1088" s="77"/>
      <c r="AP1088" s="77"/>
      <c r="AQ1088" s="77"/>
      <c r="AR1088" s="77"/>
      <c r="AS1088" s="77"/>
      <c r="AT1088" s="77"/>
      <c r="AU1088" s="77"/>
      <c r="AV1088" s="80" t="str">
        <f>HYPERLINK("https://pbs.twimg.com/profile_images/1610705889765343243/7C4SraH0_normal.jpg")</f>
        <v>https://pbs.twimg.com/profile_images/1610705889765343243/7C4SraH0_normal.jpg</v>
      </c>
      <c r="AW1088" s="82" t="s">
        <v>13270</v>
      </c>
      <c r="AX1088" s="82" t="s">
        <v>13270</v>
      </c>
      <c r="AY1088" s="77"/>
      <c r="AZ1088" s="82" t="s">
        <v>15804</v>
      </c>
      <c r="BA1088" s="82" t="s">
        <v>15804</v>
      </c>
      <c r="BB1088" s="82" t="s">
        <v>15804</v>
      </c>
      <c r="BC1088" s="82" t="s">
        <v>13270</v>
      </c>
      <c r="BD1088" s="82" t="s">
        <v>16333</v>
      </c>
      <c r="BE1088" s="77"/>
      <c r="BF1088" s="77"/>
      <c r="BG1088" s="77"/>
      <c r="BH1088" s="77"/>
      <c r="BI1088" s="77"/>
    </row>
    <row r="1089" spans="1:61" x14ac:dyDescent="0.25">
      <c r="A1089" s="62" t="s">
        <v>573</v>
      </c>
      <c r="B1089" s="62" t="s">
        <v>573</v>
      </c>
      <c r="C1089" s="63"/>
      <c r="D1089" s="64"/>
      <c r="E1089" s="65"/>
      <c r="F1089" s="66"/>
      <c r="G1089" s="63"/>
      <c r="H1089" s="67"/>
      <c r="I1089" s="68"/>
      <c r="J1089" s="68"/>
      <c r="K1089" s="32"/>
      <c r="L1089" s="75">
        <v>1089</v>
      </c>
      <c r="M1089" s="75"/>
      <c r="N1089" s="70"/>
      <c r="O1089" s="77" t="s">
        <v>179</v>
      </c>
      <c r="P1089" s="79">
        <v>44958.759837962964</v>
      </c>
      <c r="Q1089" s="77" t="s">
        <v>2182</v>
      </c>
      <c r="R1089" s="77">
        <v>0</v>
      </c>
      <c r="S1089" s="77">
        <v>0</v>
      </c>
      <c r="T1089" s="77">
        <v>0</v>
      </c>
      <c r="U1089" s="77">
        <v>0</v>
      </c>
      <c r="V1089" s="77">
        <v>21</v>
      </c>
      <c r="W1089" s="82" t="s">
        <v>4852</v>
      </c>
      <c r="X1089" s="80" t="str">
        <f>HYPERLINK("https://hotmart.com/pt-br/marketplace/produtos/devo-e-nao-quero-pago-quando-puder/Y77566074E")</f>
        <v>https://hotmart.com/pt-br/marketplace/produtos/devo-e-nao-quero-pago-quando-puder/Y77566074E</v>
      </c>
      <c r="Y1089" s="77" t="s">
        <v>6023</v>
      </c>
      <c r="Z1089" s="77"/>
      <c r="AA1089" s="77"/>
      <c r="AB1089" s="77"/>
      <c r="AC1089" s="82" t="s">
        <v>7707</v>
      </c>
      <c r="AD1089" s="77" t="s">
        <v>7745</v>
      </c>
      <c r="AE1089" s="80" t="str">
        <f>HYPERLINK("https://twitter.com/cleitonfinancas/status/1620847994328469504")</f>
        <v>https://twitter.com/cleitonfinancas/status/1620847994328469504</v>
      </c>
      <c r="AF1089" s="79">
        <v>44958.759837962964</v>
      </c>
      <c r="AG1089" s="85">
        <v>44958</v>
      </c>
      <c r="AH1089" s="82" t="s">
        <v>8717</v>
      </c>
      <c r="AI1089" s="77" t="b">
        <v>0</v>
      </c>
      <c r="AJ1089" s="77"/>
      <c r="AK1089" s="77"/>
      <c r="AL1089" s="77"/>
      <c r="AM1089" s="77"/>
      <c r="AN1089" s="77"/>
      <c r="AO1089" s="77"/>
      <c r="AP1089" s="77"/>
      <c r="AQ1089" s="77"/>
      <c r="AR1089" s="77"/>
      <c r="AS1089" s="77"/>
      <c r="AT1089" s="77"/>
      <c r="AU1089" s="77"/>
      <c r="AV1089" s="80" t="str">
        <f>HYPERLINK("https://pbs.twimg.com/profile_images/1610705889765343243/7C4SraH0_normal.jpg")</f>
        <v>https://pbs.twimg.com/profile_images/1610705889765343243/7C4SraH0_normal.jpg</v>
      </c>
      <c r="AW1089" s="82" t="s">
        <v>13271</v>
      </c>
      <c r="AX1089" s="82" t="s">
        <v>13271</v>
      </c>
      <c r="AY1089" s="77"/>
      <c r="AZ1089" s="82" t="s">
        <v>15804</v>
      </c>
      <c r="BA1089" s="82" t="s">
        <v>15804</v>
      </c>
      <c r="BB1089" s="82" t="s">
        <v>15804</v>
      </c>
      <c r="BC1089" s="82" t="s">
        <v>13271</v>
      </c>
      <c r="BD1089" s="82" t="s">
        <v>16333</v>
      </c>
      <c r="BE1089" s="77"/>
      <c r="BF1089" s="77"/>
      <c r="BG1089" s="77"/>
      <c r="BH1089" s="77"/>
      <c r="BI1089" s="77"/>
    </row>
    <row r="1090" spans="1:61" x14ac:dyDescent="0.25">
      <c r="A1090" s="62" t="s">
        <v>573</v>
      </c>
      <c r="B1090" s="62" t="s">
        <v>573</v>
      </c>
      <c r="C1090" s="63"/>
      <c r="D1090" s="64"/>
      <c r="E1090" s="65"/>
      <c r="F1090" s="66"/>
      <c r="G1090" s="63"/>
      <c r="H1090" s="67"/>
      <c r="I1090" s="68"/>
      <c r="J1090" s="68"/>
      <c r="K1090" s="32"/>
      <c r="L1090" s="75">
        <v>1090</v>
      </c>
      <c r="M1090" s="75"/>
      <c r="N1090" s="70"/>
      <c r="O1090" s="77" t="s">
        <v>179</v>
      </c>
      <c r="P1090" s="79">
        <v>44958.435891203706</v>
      </c>
      <c r="Q1090" s="77" t="s">
        <v>2183</v>
      </c>
      <c r="R1090" s="77">
        <v>0</v>
      </c>
      <c r="S1090" s="77">
        <v>0</v>
      </c>
      <c r="T1090" s="77">
        <v>0</v>
      </c>
      <c r="U1090" s="77">
        <v>0</v>
      </c>
      <c r="V1090" s="77">
        <v>12</v>
      </c>
      <c r="W1090" s="82" t="s">
        <v>4853</v>
      </c>
      <c r="X1090" s="77"/>
      <c r="Y1090" s="77"/>
      <c r="Z1090" s="77"/>
      <c r="AA1090" s="77" t="s">
        <v>6816</v>
      </c>
      <c r="AB1090" s="77" t="s">
        <v>7696</v>
      </c>
      <c r="AC1090" s="82" t="s">
        <v>7707</v>
      </c>
      <c r="AD1090" s="77" t="s">
        <v>7745</v>
      </c>
      <c r="AE1090" s="80" t="str">
        <f>HYPERLINK("https://twitter.com/cleitonfinancas/status/1620730602168406020")</f>
        <v>https://twitter.com/cleitonfinancas/status/1620730602168406020</v>
      </c>
      <c r="AF1090" s="79">
        <v>44958.435891203706</v>
      </c>
      <c r="AG1090" s="85">
        <v>44958</v>
      </c>
      <c r="AH1090" s="82" t="s">
        <v>8718</v>
      </c>
      <c r="AI1090" s="77" t="b">
        <v>0</v>
      </c>
      <c r="AJ1090" s="77"/>
      <c r="AK1090" s="77"/>
      <c r="AL1090" s="77"/>
      <c r="AM1090" s="77"/>
      <c r="AN1090" s="77"/>
      <c r="AO1090" s="77"/>
      <c r="AP1090" s="77"/>
      <c r="AQ1090" s="77" t="s">
        <v>11323</v>
      </c>
      <c r="AR1090" s="77"/>
      <c r="AS1090" s="77"/>
      <c r="AT1090" s="77"/>
      <c r="AU1090" s="77"/>
      <c r="AV1090" s="80" t="str">
        <f>HYPERLINK("https://pbs.twimg.com/media/Fn395GNWYAArfhU.jpg")</f>
        <v>https://pbs.twimg.com/media/Fn395GNWYAArfhU.jpg</v>
      </c>
      <c r="AW1090" s="82" t="s">
        <v>13272</v>
      </c>
      <c r="AX1090" s="82" t="s">
        <v>13272</v>
      </c>
      <c r="AY1090" s="77"/>
      <c r="AZ1090" s="82" t="s">
        <v>15804</v>
      </c>
      <c r="BA1090" s="82" t="s">
        <v>15804</v>
      </c>
      <c r="BB1090" s="82" t="s">
        <v>15804</v>
      </c>
      <c r="BC1090" s="82" t="s">
        <v>13272</v>
      </c>
      <c r="BD1090" s="82" t="s">
        <v>16333</v>
      </c>
      <c r="BE1090" s="77"/>
      <c r="BF1090" s="77"/>
      <c r="BG1090" s="77"/>
      <c r="BH1090" s="77"/>
      <c r="BI1090" s="77"/>
    </row>
    <row r="1091" spans="1:61" x14ac:dyDescent="0.25">
      <c r="A1091" s="62" t="s">
        <v>573</v>
      </c>
      <c r="B1091" s="62" t="s">
        <v>573</v>
      </c>
      <c r="C1091" s="63"/>
      <c r="D1091" s="64"/>
      <c r="E1091" s="65"/>
      <c r="F1091" s="66"/>
      <c r="G1091" s="63"/>
      <c r="H1091" s="67"/>
      <c r="I1091" s="68"/>
      <c r="J1091" s="68"/>
      <c r="K1091" s="32"/>
      <c r="L1091" s="75">
        <v>1091</v>
      </c>
      <c r="M1091" s="75"/>
      <c r="N1091" s="70"/>
      <c r="O1091" s="77" t="s">
        <v>179</v>
      </c>
      <c r="P1091" s="79">
        <v>44957.988958333335</v>
      </c>
      <c r="Q1091" s="77" t="s">
        <v>2184</v>
      </c>
      <c r="R1091" s="77">
        <v>0</v>
      </c>
      <c r="S1091" s="77">
        <v>0</v>
      </c>
      <c r="T1091" s="77">
        <v>0</v>
      </c>
      <c r="U1091" s="77">
        <v>0</v>
      </c>
      <c r="V1091" s="77">
        <v>11</v>
      </c>
      <c r="W1091" s="82" t="s">
        <v>4854</v>
      </c>
      <c r="X1091" s="77"/>
      <c r="Y1091" s="77"/>
      <c r="Z1091" s="77"/>
      <c r="AA1091" s="77" t="s">
        <v>6817</v>
      </c>
      <c r="AB1091" s="77" t="s">
        <v>7696</v>
      </c>
      <c r="AC1091" s="82" t="s">
        <v>7707</v>
      </c>
      <c r="AD1091" s="77" t="s">
        <v>7745</v>
      </c>
      <c r="AE1091" s="80" t="str">
        <f>HYPERLINK("https://twitter.com/cleitonfinancas/status/1620568639249485824")</f>
        <v>https://twitter.com/cleitonfinancas/status/1620568639249485824</v>
      </c>
      <c r="AF1091" s="79">
        <v>44957.988958333335</v>
      </c>
      <c r="AG1091" s="85">
        <v>44957</v>
      </c>
      <c r="AH1091" s="82" t="s">
        <v>8719</v>
      </c>
      <c r="AI1091" s="77" t="b">
        <v>0</v>
      </c>
      <c r="AJ1091" s="77"/>
      <c r="AK1091" s="77"/>
      <c r="AL1091" s="77"/>
      <c r="AM1091" s="77"/>
      <c r="AN1091" s="77"/>
      <c r="AO1091" s="77"/>
      <c r="AP1091" s="77"/>
      <c r="AQ1091" s="77" t="s">
        <v>11324</v>
      </c>
      <c r="AR1091" s="77"/>
      <c r="AS1091" s="77"/>
      <c r="AT1091" s="77"/>
      <c r="AU1091" s="77"/>
      <c r="AV1091" s="80" t="str">
        <f>HYPERLINK("https://pbs.twimg.com/media/Fn1qlkhX0AANWIh.jpg")</f>
        <v>https://pbs.twimg.com/media/Fn1qlkhX0AANWIh.jpg</v>
      </c>
      <c r="AW1091" s="82" t="s">
        <v>13273</v>
      </c>
      <c r="AX1091" s="82" t="s">
        <v>13273</v>
      </c>
      <c r="AY1091" s="77"/>
      <c r="AZ1091" s="82" t="s">
        <v>15804</v>
      </c>
      <c r="BA1091" s="82" t="s">
        <v>15804</v>
      </c>
      <c r="BB1091" s="82" t="s">
        <v>15804</v>
      </c>
      <c r="BC1091" s="82" t="s">
        <v>13273</v>
      </c>
      <c r="BD1091" s="82" t="s">
        <v>16333</v>
      </c>
      <c r="BE1091" s="77"/>
      <c r="BF1091" s="77"/>
      <c r="BG1091" s="77"/>
      <c r="BH1091" s="77"/>
      <c r="BI1091" s="77"/>
    </row>
    <row r="1092" spans="1:61" x14ac:dyDescent="0.25">
      <c r="A1092" s="62" t="s">
        <v>573</v>
      </c>
      <c r="B1092" s="62" t="s">
        <v>573</v>
      </c>
      <c r="C1092" s="63"/>
      <c r="D1092" s="64"/>
      <c r="E1092" s="65"/>
      <c r="F1092" s="66"/>
      <c r="G1092" s="63"/>
      <c r="H1092" s="67"/>
      <c r="I1092" s="68"/>
      <c r="J1092" s="68"/>
      <c r="K1092" s="32"/>
      <c r="L1092" s="75">
        <v>1092</v>
      </c>
      <c r="M1092" s="75"/>
      <c r="N1092" s="70"/>
      <c r="O1092" s="77" t="s">
        <v>179</v>
      </c>
      <c r="P1092" s="79">
        <v>44957.900601851848</v>
      </c>
      <c r="Q1092" s="77" t="s">
        <v>2185</v>
      </c>
      <c r="R1092" s="77">
        <v>0</v>
      </c>
      <c r="S1092" s="77">
        <v>0</v>
      </c>
      <c r="T1092" s="77">
        <v>0</v>
      </c>
      <c r="U1092" s="77">
        <v>0</v>
      </c>
      <c r="V1092" s="77">
        <v>55</v>
      </c>
      <c r="W1092" s="82" t="s">
        <v>4855</v>
      </c>
      <c r="X1092" s="77"/>
      <c r="Y1092" s="77"/>
      <c r="Z1092" s="77"/>
      <c r="AA1092" s="77" t="s">
        <v>6818</v>
      </c>
      <c r="AB1092" s="77" t="s">
        <v>7697</v>
      </c>
      <c r="AC1092" s="82" t="s">
        <v>7707</v>
      </c>
      <c r="AD1092" s="77" t="s">
        <v>7745</v>
      </c>
      <c r="AE1092" s="80" t="str">
        <f>HYPERLINK("https://twitter.com/cleitonfinancas/status/1620536617420333056")</f>
        <v>https://twitter.com/cleitonfinancas/status/1620536617420333056</v>
      </c>
      <c r="AF1092" s="79">
        <v>44957.900601851848</v>
      </c>
      <c r="AG1092" s="85">
        <v>44957</v>
      </c>
      <c r="AH1092" s="82" t="s">
        <v>8720</v>
      </c>
      <c r="AI1092" s="77" t="b">
        <v>0</v>
      </c>
      <c r="AJ1092" s="77"/>
      <c r="AK1092" s="77"/>
      <c r="AL1092" s="77"/>
      <c r="AM1092" s="77"/>
      <c r="AN1092" s="77"/>
      <c r="AO1092" s="77"/>
      <c r="AP1092" s="77"/>
      <c r="AQ1092" s="77" t="s">
        <v>11325</v>
      </c>
      <c r="AR1092" s="77">
        <v>13200</v>
      </c>
      <c r="AS1092" s="77"/>
      <c r="AT1092" s="77"/>
      <c r="AU1092" s="77">
        <v>5</v>
      </c>
      <c r="AV1092" s="80" t="str">
        <f>HYPERLINK("https://pbs.twimg.com/ext_tw_video_thumb/1620536563984646145/pu/img/ZitSVYHa-hPtfjph.jpg")</f>
        <v>https://pbs.twimg.com/ext_tw_video_thumb/1620536563984646145/pu/img/ZitSVYHa-hPtfjph.jpg</v>
      </c>
      <c r="AW1092" s="82" t="s">
        <v>13274</v>
      </c>
      <c r="AX1092" s="82" t="s">
        <v>13274</v>
      </c>
      <c r="AY1092" s="77"/>
      <c r="AZ1092" s="82" t="s">
        <v>15804</v>
      </c>
      <c r="BA1092" s="82" t="s">
        <v>15804</v>
      </c>
      <c r="BB1092" s="82" t="s">
        <v>15804</v>
      </c>
      <c r="BC1092" s="82" t="s">
        <v>13274</v>
      </c>
      <c r="BD1092" s="82" t="s">
        <v>16333</v>
      </c>
      <c r="BE1092" s="77"/>
      <c r="BF1092" s="77"/>
      <c r="BG1092" s="77"/>
      <c r="BH1092" s="77"/>
      <c r="BI1092" s="77"/>
    </row>
    <row r="1093" spans="1:61" x14ac:dyDescent="0.25">
      <c r="A1093" s="62" t="s">
        <v>573</v>
      </c>
      <c r="B1093" s="62" t="s">
        <v>573</v>
      </c>
      <c r="C1093" s="63"/>
      <c r="D1093" s="64"/>
      <c r="E1093" s="65"/>
      <c r="F1093" s="66"/>
      <c r="G1093" s="63"/>
      <c r="H1093" s="67"/>
      <c r="I1093" s="68"/>
      <c r="J1093" s="68"/>
      <c r="K1093" s="32"/>
      <c r="L1093" s="75">
        <v>1093</v>
      </c>
      <c r="M1093" s="75"/>
      <c r="N1093" s="70"/>
      <c r="O1093" s="77" t="s">
        <v>179</v>
      </c>
      <c r="P1093" s="79">
        <v>44957.604479166665</v>
      </c>
      <c r="Q1093" s="77" t="s">
        <v>2186</v>
      </c>
      <c r="R1093" s="77">
        <v>0</v>
      </c>
      <c r="S1093" s="77">
        <v>0</v>
      </c>
      <c r="T1093" s="77">
        <v>0</v>
      </c>
      <c r="U1093" s="77">
        <v>0</v>
      </c>
      <c r="V1093" s="77">
        <v>63</v>
      </c>
      <c r="W1093" s="82" t="s">
        <v>4856</v>
      </c>
      <c r="X1093" s="77"/>
      <c r="Y1093" s="77"/>
      <c r="Z1093" s="77"/>
      <c r="AA1093" s="77" t="s">
        <v>6819</v>
      </c>
      <c r="AB1093" s="77" t="s">
        <v>7697</v>
      </c>
      <c r="AC1093" s="82" t="s">
        <v>7707</v>
      </c>
      <c r="AD1093" s="77" t="s">
        <v>7745</v>
      </c>
      <c r="AE1093" s="80" t="str">
        <f>HYPERLINK("https://twitter.com/cleitonfinancas/status/1620429305049395200")</f>
        <v>https://twitter.com/cleitonfinancas/status/1620429305049395200</v>
      </c>
      <c r="AF1093" s="79">
        <v>44957.604479166665</v>
      </c>
      <c r="AG1093" s="85">
        <v>44957</v>
      </c>
      <c r="AH1093" s="82" t="s">
        <v>8721</v>
      </c>
      <c r="AI1093" s="77" t="b">
        <v>0</v>
      </c>
      <c r="AJ1093" s="77"/>
      <c r="AK1093" s="77"/>
      <c r="AL1093" s="77"/>
      <c r="AM1093" s="77"/>
      <c r="AN1093" s="77"/>
      <c r="AO1093" s="77"/>
      <c r="AP1093" s="77"/>
      <c r="AQ1093" s="77" t="s">
        <v>11326</v>
      </c>
      <c r="AR1093" s="77">
        <v>13720</v>
      </c>
      <c r="AS1093" s="77"/>
      <c r="AT1093" s="77"/>
      <c r="AU1093" s="77">
        <v>4</v>
      </c>
      <c r="AV1093" s="80" t="str">
        <f>HYPERLINK("https://pbs.twimg.com/ext_tw_video_thumb/1620429256483274755/pu/img/vFQuviFMqqDlquw9.jpg")</f>
        <v>https://pbs.twimg.com/ext_tw_video_thumb/1620429256483274755/pu/img/vFQuviFMqqDlquw9.jpg</v>
      </c>
      <c r="AW1093" s="82" t="s">
        <v>13275</v>
      </c>
      <c r="AX1093" s="82" t="s">
        <v>13275</v>
      </c>
      <c r="AY1093" s="77"/>
      <c r="AZ1093" s="82" t="s">
        <v>15804</v>
      </c>
      <c r="BA1093" s="82" t="s">
        <v>15804</v>
      </c>
      <c r="BB1093" s="82" t="s">
        <v>15804</v>
      </c>
      <c r="BC1093" s="82" t="s">
        <v>13275</v>
      </c>
      <c r="BD1093" s="82" t="s">
        <v>16333</v>
      </c>
      <c r="BE1093" s="77"/>
      <c r="BF1093" s="77"/>
      <c r="BG1093" s="77"/>
      <c r="BH1093" s="77"/>
      <c r="BI1093" s="77"/>
    </row>
    <row r="1094" spans="1:61" x14ac:dyDescent="0.25">
      <c r="A1094" s="62" t="s">
        <v>573</v>
      </c>
      <c r="B1094" s="62" t="s">
        <v>573</v>
      </c>
      <c r="C1094" s="63"/>
      <c r="D1094" s="64"/>
      <c r="E1094" s="65"/>
      <c r="F1094" s="66"/>
      <c r="G1094" s="63"/>
      <c r="H1094" s="67"/>
      <c r="I1094" s="68"/>
      <c r="J1094" s="68"/>
      <c r="K1094" s="32"/>
      <c r="L1094" s="75">
        <v>1094</v>
      </c>
      <c r="M1094" s="75"/>
      <c r="N1094" s="70"/>
      <c r="O1094" s="77" t="s">
        <v>179</v>
      </c>
      <c r="P1094" s="79">
        <v>44957.496527777781</v>
      </c>
      <c r="Q1094" s="77" t="s">
        <v>2187</v>
      </c>
      <c r="R1094" s="77">
        <v>0</v>
      </c>
      <c r="S1094" s="77">
        <v>0</v>
      </c>
      <c r="T1094" s="77">
        <v>0</v>
      </c>
      <c r="U1094" s="77">
        <v>0</v>
      </c>
      <c r="V1094" s="77">
        <v>9</v>
      </c>
      <c r="W1094" s="82" t="s">
        <v>4857</v>
      </c>
      <c r="X1094" s="77"/>
      <c r="Y1094" s="77"/>
      <c r="Z1094" s="77"/>
      <c r="AA1094" s="77" t="s">
        <v>6820</v>
      </c>
      <c r="AB1094" s="77" t="s">
        <v>7696</v>
      </c>
      <c r="AC1094" s="82" t="s">
        <v>7707</v>
      </c>
      <c r="AD1094" s="77" t="s">
        <v>7745</v>
      </c>
      <c r="AE1094" s="80" t="str">
        <f>HYPERLINK("https://twitter.com/cleitonfinancas/status/1620390184939565057")</f>
        <v>https://twitter.com/cleitonfinancas/status/1620390184939565057</v>
      </c>
      <c r="AF1094" s="79">
        <v>44957.496527777781</v>
      </c>
      <c r="AG1094" s="85">
        <v>44957</v>
      </c>
      <c r="AH1094" s="82" t="s">
        <v>7908</v>
      </c>
      <c r="AI1094" s="77" t="b">
        <v>0</v>
      </c>
      <c r="AJ1094" s="77"/>
      <c r="AK1094" s="77"/>
      <c r="AL1094" s="77"/>
      <c r="AM1094" s="77"/>
      <c r="AN1094" s="77"/>
      <c r="AO1094" s="77"/>
      <c r="AP1094" s="77"/>
      <c r="AQ1094" s="77" t="s">
        <v>11327</v>
      </c>
      <c r="AR1094" s="77"/>
      <c r="AS1094" s="77"/>
      <c r="AT1094" s="77"/>
      <c r="AU1094" s="77"/>
      <c r="AV1094" s="80" t="str">
        <f>HYPERLINK("https://pbs.twimg.com/media/FnzISOwXwAA8d_h.jpg")</f>
        <v>https://pbs.twimg.com/media/FnzISOwXwAA8d_h.jpg</v>
      </c>
      <c r="AW1094" s="82" t="s">
        <v>13276</v>
      </c>
      <c r="AX1094" s="82" t="s">
        <v>13276</v>
      </c>
      <c r="AY1094" s="77"/>
      <c r="AZ1094" s="82" t="s">
        <v>15804</v>
      </c>
      <c r="BA1094" s="82" t="s">
        <v>15804</v>
      </c>
      <c r="BB1094" s="82" t="s">
        <v>15804</v>
      </c>
      <c r="BC1094" s="82" t="s">
        <v>13276</v>
      </c>
      <c r="BD1094" s="82" t="s">
        <v>16333</v>
      </c>
      <c r="BE1094" s="77"/>
      <c r="BF1094" s="77"/>
      <c r="BG1094" s="77"/>
      <c r="BH1094" s="77"/>
      <c r="BI1094" s="77"/>
    </row>
    <row r="1095" spans="1:61" x14ac:dyDescent="0.25">
      <c r="A1095" s="62" t="s">
        <v>573</v>
      </c>
      <c r="B1095" s="62" t="s">
        <v>573</v>
      </c>
      <c r="C1095" s="63"/>
      <c r="D1095" s="64"/>
      <c r="E1095" s="65"/>
      <c r="F1095" s="66"/>
      <c r="G1095" s="63"/>
      <c r="H1095" s="67"/>
      <c r="I1095" s="68"/>
      <c r="J1095" s="68"/>
      <c r="K1095" s="32"/>
      <c r="L1095" s="75">
        <v>1095</v>
      </c>
      <c r="M1095" s="75"/>
      <c r="N1095" s="70"/>
      <c r="O1095" s="77" t="s">
        <v>179</v>
      </c>
      <c r="P1095" s="79">
        <v>44956.921099537038</v>
      </c>
      <c r="Q1095" s="77" t="s">
        <v>2188</v>
      </c>
      <c r="R1095" s="77">
        <v>0</v>
      </c>
      <c r="S1095" s="77">
        <v>0</v>
      </c>
      <c r="T1095" s="77">
        <v>0</v>
      </c>
      <c r="U1095" s="77">
        <v>0</v>
      </c>
      <c r="V1095" s="77">
        <v>9</v>
      </c>
      <c r="W1095" s="82" t="s">
        <v>4857</v>
      </c>
      <c r="X1095" s="77"/>
      <c r="Y1095" s="77"/>
      <c r="Z1095" s="77"/>
      <c r="AA1095" s="77" t="s">
        <v>6821</v>
      </c>
      <c r="AB1095" s="77" t="s">
        <v>7696</v>
      </c>
      <c r="AC1095" s="82" t="s">
        <v>7707</v>
      </c>
      <c r="AD1095" s="77" t="s">
        <v>7745</v>
      </c>
      <c r="AE1095" s="80" t="str">
        <f>HYPERLINK("https://twitter.com/cleitonfinancas/status/1620181658434703360")</f>
        <v>https://twitter.com/cleitonfinancas/status/1620181658434703360</v>
      </c>
      <c r="AF1095" s="79">
        <v>44956.921099537038</v>
      </c>
      <c r="AG1095" s="85">
        <v>44956</v>
      </c>
      <c r="AH1095" s="82" t="s">
        <v>8722</v>
      </c>
      <c r="AI1095" s="77" t="b">
        <v>0</v>
      </c>
      <c r="AJ1095" s="77"/>
      <c r="AK1095" s="77"/>
      <c r="AL1095" s="77"/>
      <c r="AM1095" s="77"/>
      <c r="AN1095" s="77"/>
      <c r="AO1095" s="77"/>
      <c r="AP1095" s="77"/>
      <c r="AQ1095" s="77" t="s">
        <v>11328</v>
      </c>
      <c r="AR1095" s="77"/>
      <c r="AS1095" s="77"/>
      <c r="AT1095" s="77"/>
      <c r="AU1095" s="77"/>
      <c r="AV1095" s="80" t="str">
        <f>HYPERLINK("https://pbs.twimg.com/media/FnwKoZZXwAMn3Pr.jpg")</f>
        <v>https://pbs.twimg.com/media/FnwKoZZXwAMn3Pr.jpg</v>
      </c>
      <c r="AW1095" s="82" t="s">
        <v>13277</v>
      </c>
      <c r="AX1095" s="82" t="s">
        <v>13277</v>
      </c>
      <c r="AY1095" s="77"/>
      <c r="AZ1095" s="82" t="s">
        <v>15804</v>
      </c>
      <c r="BA1095" s="82" t="s">
        <v>15804</v>
      </c>
      <c r="BB1095" s="82" t="s">
        <v>15804</v>
      </c>
      <c r="BC1095" s="82" t="s">
        <v>13277</v>
      </c>
      <c r="BD1095" s="82" t="s">
        <v>16333</v>
      </c>
      <c r="BE1095" s="77"/>
      <c r="BF1095" s="77"/>
      <c r="BG1095" s="77"/>
      <c r="BH1095" s="77"/>
      <c r="BI1095" s="77"/>
    </row>
    <row r="1096" spans="1:61" x14ac:dyDescent="0.25">
      <c r="A1096" s="62" t="s">
        <v>573</v>
      </c>
      <c r="B1096" s="62" t="s">
        <v>573</v>
      </c>
      <c r="C1096" s="63"/>
      <c r="D1096" s="64"/>
      <c r="E1096" s="65"/>
      <c r="F1096" s="66"/>
      <c r="G1096" s="63"/>
      <c r="H1096" s="67"/>
      <c r="I1096" s="68"/>
      <c r="J1096" s="68"/>
      <c r="K1096" s="32"/>
      <c r="L1096" s="75">
        <v>1096</v>
      </c>
      <c r="M1096" s="75"/>
      <c r="N1096" s="70"/>
      <c r="O1096" s="77" t="s">
        <v>179</v>
      </c>
      <c r="P1096" s="79">
        <v>44956.684027777781</v>
      </c>
      <c r="Q1096" s="77" t="s">
        <v>2189</v>
      </c>
      <c r="R1096" s="77">
        <v>0</v>
      </c>
      <c r="S1096" s="77">
        <v>0</v>
      </c>
      <c r="T1096" s="77">
        <v>0</v>
      </c>
      <c r="U1096" s="77">
        <v>0</v>
      </c>
      <c r="V1096" s="77">
        <v>94</v>
      </c>
      <c r="W1096" s="82" t="s">
        <v>4858</v>
      </c>
      <c r="X1096" s="77"/>
      <c r="Y1096" s="77"/>
      <c r="Z1096" s="77"/>
      <c r="AA1096" s="77" t="s">
        <v>6822</v>
      </c>
      <c r="AB1096" s="77" t="s">
        <v>7697</v>
      </c>
      <c r="AC1096" s="82" t="s">
        <v>7707</v>
      </c>
      <c r="AD1096" s="77" t="s">
        <v>7745</v>
      </c>
      <c r="AE1096" s="80" t="str">
        <f>HYPERLINK("https://twitter.com/cleitonfinancas/status/1620095744698114048")</f>
        <v>https://twitter.com/cleitonfinancas/status/1620095744698114048</v>
      </c>
      <c r="AF1096" s="79">
        <v>44956.684027777781</v>
      </c>
      <c r="AG1096" s="85">
        <v>44956</v>
      </c>
      <c r="AH1096" s="82" t="s">
        <v>8723</v>
      </c>
      <c r="AI1096" s="77" t="b">
        <v>0</v>
      </c>
      <c r="AJ1096" s="77"/>
      <c r="AK1096" s="77"/>
      <c r="AL1096" s="77"/>
      <c r="AM1096" s="77"/>
      <c r="AN1096" s="77"/>
      <c r="AO1096" s="77"/>
      <c r="AP1096" s="77"/>
      <c r="AQ1096" s="77" t="s">
        <v>11329</v>
      </c>
      <c r="AR1096" s="77">
        <v>10960</v>
      </c>
      <c r="AS1096" s="77"/>
      <c r="AT1096" s="77"/>
      <c r="AU1096" s="77">
        <v>12</v>
      </c>
      <c r="AV1096" s="80" t="str">
        <f>HYPERLINK("https://pbs.twimg.com/ext_tw_video_thumb/1620095703518248960/pu/img/Qy5Ny9Xj4hJZw4Fi.jpg")</f>
        <v>https://pbs.twimg.com/ext_tw_video_thumb/1620095703518248960/pu/img/Qy5Ny9Xj4hJZw4Fi.jpg</v>
      </c>
      <c r="AW1096" s="82" t="s">
        <v>13278</v>
      </c>
      <c r="AX1096" s="82" t="s">
        <v>13278</v>
      </c>
      <c r="AY1096" s="77"/>
      <c r="AZ1096" s="82" t="s">
        <v>15804</v>
      </c>
      <c r="BA1096" s="82" t="s">
        <v>15804</v>
      </c>
      <c r="BB1096" s="82" t="s">
        <v>15804</v>
      </c>
      <c r="BC1096" s="82" t="s">
        <v>13278</v>
      </c>
      <c r="BD1096" s="82" t="s">
        <v>16333</v>
      </c>
      <c r="BE1096" s="77"/>
      <c r="BF1096" s="77"/>
      <c r="BG1096" s="77"/>
      <c r="BH1096" s="77"/>
      <c r="BI1096" s="77"/>
    </row>
    <row r="1097" spans="1:61" x14ac:dyDescent="0.25">
      <c r="A1097" s="62" t="s">
        <v>573</v>
      </c>
      <c r="B1097" s="62" t="s">
        <v>573</v>
      </c>
      <c r="C1097" s="63"/>
      <c r="D1097" s="64"/>
      <c r="E1097" s="65"/>
      <c r="F1097" s="66"/>
      <c r="G1097" s="63"/>
      <c r="H1097" s="67"/>
      <c r="I1097" s="68"/>
      <c r="J1097" s="68"/>
      <c r="K1097" s="32"/>
      <c r="L1097" s="75">
        <v>1097</v>
      </c>
      <c r="M1097" s="75"/>
      <c r="N1097" s="70"/>
      <c r="O1097" s="77" t="s">
        <v>179</v>
      </c>
      <c r="P1097" s="79">
        <v>44956.555775462963</v>
      </c>
      <c r="Q1097" s="77" t="s">
        <v>2190</v>
      </c>
      <c r="R1097" s="77">
        <v>0</v>
      </c>
      <c r="S1097" s="77">
        <v>0</v>
      </c>
      <c r="T1097" s="77">
        <v>0</v>
      </c>
      <c r="U1097" s="77">
        <v>0</v>
      </c>
      <c r="V1097" s="77">
        <v>28</v>
      </c>
      <c r="W1097" s="82" t="s">
        <v>4859</v>
      </c>
      <c r="X1097" s="77"/>
      <c r="Y1097" s="77"/>
      <c r="Z1097" s="77"/>
      <c r="AA1097" s="77" t="s">
        <v>6823</v>
      </c>
      <c r="AB1097" s="77" t="s">
        <v>7697</v>
      </c>
      <c r="AC1097" s="82" t="s">
        <v>7707</v>
      </c>
      <c r="AD1097" s="77" t="s">
        <v>7746</v>
      </c>
      <c r="AE1097" s="80" t="str">
        <f>HYPERLINK("https://twitter.com/cleitonfinancas/status/1620049270027194368")</f>
        <v>https://twitter.com/cleitonfinancas/status/1620049270027194368</v>
      </c>
      <c r="AF1097" s="79">
        <v>44956.555775462963</v>
      </c>
      <c r="AG1097" s="85">
        <v>44956</v>
      </c>
      <c r="AH1097" s="82" t="s">
        <v>8724</v>
      </c>
      <c r="AI1097" s="77" t="b">
        <v>0</v>
      </c>
      <c r="AJ1097" s="77"/>
      <c r="AK1097" s="77"/>
      <c r="AL1097" s="77"/>
      <c r="AM1097" s="77"/>
      <c r="AN1097" s="77"/>
      <c r="AO1097" s="77"/>
      <c r="AP1097" s="77"/>
      <c r="AQ1097" s="77" t="s">
        <v>11330</v>
      </c>
      <c r="AR1097" s="77">
        <v>11400</v>
      </c>
      <c r="AS1097" s="77"/>
      <c r="AT1097" s="77"/>
      <c r="AU1097" s="77">
        <v>10</v>
      </c>
      <c r="AV1097" s="80" t="str">
        <f>HYPERLINK("https://pbs.twimg.com/ext_tw_video_thumb/1620049205547909120/pu/img/IVbud7qTMFv96dHC.jpg")</f>
        <v>https://pbs.twimg.com/ext_tw_video_thumb/1620049205547909120/pu/img/IVbud7qTMFv96dHC.jpg</v>
      </c>
      <c r="AW1097" s="82" t="s">
        <v>13279</v>
      </c>
      <c r="AX1097" s="82" t="s">
        <v>13279</v>
      </c>
      <c r="AY1097" s="77"/>
      <c r="AZ1097" s="82" t="s">
        <v>15804</v>
      </c>
      <c r="BA1097" s="82" t="s">
        <v>15804</v>
      </c>
      <c r="BB1097" s="82" t="s">
        <v>15804</v>
      </c>
      <c r="BC1097" s="82" t="s">
        <v>13279</v>
      </c>
      <c r="BD1097" s="82" t="s">
        <v>16333</v>
      </c>
      <c r="BE1097" s="77"/>
      <c r="BF1097" s="77"/>
      <c r="BG1097" s="77"/>
      <c r="BH1097" s="77"/>
      <c r="BI1097" s="77"/>
    </row>
    <row r="1098" spans="1:61" x14ac:dyDescent="0.25">
      <c r="A1098" s="62" t="s">
        <v>573</v>
      </c>
      <c r="B1098" s="62" t="s">
        <v>573</v>
      </c>
      <c r="C1098" s="63"/>
      <c r="D1098" s="64"/>
      <c r="E1098" s="65"/>
      <c r="F1098" s="66"/>
      <c r="G1098" s="63"/>
      <c r="H1098" s="67"/>
      <c r="I1098" s="68"/>
      <c r="J1098" s="68"/>
      <c r="K1098" s="32"/>
      <c r="L1098" s="75">
        <v>1098</v>
      </c>
      <c r="M1098" s="75"/>
      <c r="N1098" s="70"/>
      <c r="O1098" s="77" t="s">
        <v>179</v>
      </c>
      <c r="P1098" s="79">
        <v>44956.450590277775</v>
      </c>
      <c r="Q1098" s="77" t="s">
        <v>2191</v>
      </c>
      <c r="R1098" s="77">
        <v>0</v>
      </c>
      <c r="S1098" s="77">
        <v>0</v>
      </c>
      <c r="T1098" s="77">
        <v>0</v>
      </c>
      <c r="U1098" s="77">
        <v>0</v>
      </c>
      <c r="V1098" s="77">
        <v>11</v>
      </c>
      <c r="W1098" s="82" t="s">
        <v>4860</v>
      </c>
      <c r="X1098" s="77"/>
      <c r="Y1098" s="77"/>
      <c r="Z1098" s="77"/>
      <c r="AA1098" s="77" t="s">
        <v>6824</v>
      </c>
      <c r="AB1098" s="77" t="s">
        <v>7696</v>
      </c>
      <c r="AC1098" s="82" t="s">
        <v>7707</v>
      </c>
      <c r="AD1098" s="77" t="s">
        <v>7745</v>
      </c>
      <c r="AE1098" s="80" t="str">
        <f>HYPERLINK("https://twitter.com/cleitonfinancas/status/1620011152016289792")</f>
        <v>https://twitter.com/cleitonfinancas/status/1620011152016289792</v>
      </c>
      <c r="AF1098" s="79">
        <v>44956.450590277775</v>
      </c>
      <c r="AG1098" s="85">
        <v>44956</v>
      </c>
      <c r="AH1098" s="82" t="s">
        <v>8725</v>
      </c>
      <c r="AI1098" s="77" t="b">
        <v>0</v>
      </c>
      <c r="AJ1098" s="77"/>
      <c r="AK1098" s="77"/>
      <c r="AL1098" s="77"/>
      <c r="AM1098" s="77"/>
      <c r="AN1098" s="77"/>
      <c r="AO1098" s="77"/>
      <c r="AP1098" s="77"/>
      <c r="AQ1098" s="77" t="s">
        <v>11331</v>
      </c>
      <c r="AR1098" s="77"/>
      <c r="AS1098" s="77"/>
      <c r="AT1098" s="77"/>
      <c r="AU1098" s="77"/>
      <c r="AV1098" s="80" t="str">
        <f>HYPERLINK("https://pbs.twimg.com/media/FntvjfzXkAAVsrB.jpg")</f>
        <v>https://pbs.twimg.com/media/FntvjfzXkAAVsrB.jpg</v>
      </c>
      <c r="AW1098" s="82" t="s">
        <v>13280</v>
      </c>
      <c r="AX1098" s="82" t="s">
        <v>13280</v>
      </c>
      <c r="AY1098" s="77"/>
      <c r="AZ1098" s="82" t="s">
        <v>15804</v>
      </c>
      <c r="BA1098" s="82" t="s">
        <v>15804</v>
      </c>
      <c r="BB1098" s="82" t="s">
        <v>15804</v>
      </c>
      <c r="BC1098" s="82" t="s">
        <v>13280</v>
      </c>
      <c r="BD1098" s="82" t="s">
        <v>16333</v>
      </c>
      <c r="BE1098" s="77"/>
      <c r="BF1098" s="77"/>
      <c r="BG1098" s="77"/>
      <c r="BH1098" s="77"/>
      <c r="BI1098" s="77"/>
    </row>
    <row r="1099" spans="1:61" x14ac:dyDescent="0.25">
      <c r="A1099" s="62" t="s">
        <v>573</v>
      </c>
      <c r="B1099" s="62" t="s">
        <v>573</v>
      </c>
      <c r="C1099" s="63"/>
      <c r="D1099" s="64"/>
      <c r="E1099" s="65"/>
      <c r="F1099" s="66"/>
      <c r="G1099" s="63"/>
      <c r="H1099" s="67"/>
      <c r="I1099" s="68"/>
      <c r="J1099" s="68"/>
      <c r="K1099" s="32"/>
      <c r="L1099" s="75">
        <v>1099</v>
      </c>
      <c r="M1099" s="75"/>
      <c r="N1099" s="70"/>
      <c r="O1099" s="77" t="s">
        <v>179</v>
      </c>
      <c r="P1099" s="79">
        <v>44955.513298611113</v>
      </c>
      <c r="Q1099" s="77" t="s">
        <v>2192</v>
      </c>
      <c r="R1099" s="77">
        <v>0</v>
      </c>
      <c r="S1099" s="77">
        <v>0</v>
      </c>
      <c r="T1099" s="77">
        <v>0</v>
      </c>
      <c r="U1099" s="77">
        <v>0</v>
      </c>
      <c r="V1099" s="77">
        <v>12</v>
      </c>
      <c r="W1099" s="82" t="s">
        <v>4861</v>
      </c>
      <c r="X1099" s="77"/>
      <c r="Y1099" s="77"/>
      <c r="Z1099" s="77"/>
      <c r="AA1099" s="77" t="s">
        <v>6825</v>
      </c>
      <c r="AB1099" s="77" t="s">
        <v>7696</v>
      </c>
      <c r="AC1099" s="82" t="s">
        <v>7707</v>
      </c>
      <c r="AD1099" s="77" t="s">
        <v>7745</v>
      </c>
      <c r="AE1099" s="80" t="str">
        <f>HYPERLINK("https://twitter.com/cleitonfinancas/status/1619671486524186624")</f>
        <v>https://twitter.com/cleitonfinancas/status/1619671486524186624</v>
      </c>
      <c r="AF1099" s="79">
        <v>44955.513298611113</v>
      </c>
      <c r="AG1099" s="85">
        <v>44955</v>
      </c>
      <c r="AH1099" s="82" t="s">
        <v>8726</v>
      </c>
      <c r="AI1099" s="77" t="b">
        <v>0</v>
      </c>
      <c r="AJ1099" s="77"/>
      <c r="AK1099" s="77"/>
      <c r="AL1099" s="77"/>
      <c r="AM1099" s="77"/>
      <c r="AN1099" s="77"/>
      <c r="AO1099" s="77"/>
      <c r="AP1099" s="77"/>
      <c r="AQ1099" s="77" t="s">
        <v>11332</v>
      </c>
      <c r="AR1099" s="77"/>
      <c r="AS1099" s="77"/>
      <c r="AT1099" s="77"/>
      <c r="AU1099" s="77"/>
      <c r="AV1099" s="80" t="str">
        <f>HYPERLINK("https://pbs.twimg.com/media/Fno6ohkXwAE2teU.jpg")</f>
        <v>https://pbs.twimg.com/media/Fno6ohkXwAE2teU.jpg</v>
      </c>
      <c r="AW1099" s="82" t="s">
        <v>13281</v>
      </c>
      <c r="AX1099" s="82" t="s">
        <v>13281</v>
      </c>
      <c r="AY1099" s="77"/>
      <c r="AZ1099" s="82" t="s">
        <v>15804</v>
      </c>
      <c r="BA1099" s="82" t="s">
        <v>15804</v>
      </c>
      <c r="BB1099" s="82" t="s">
        <v>15804</v>
      </c>
      <c r="BC1099" s="82" t="s">
        <v>13281</v>
      </c>
      <c r="BD1099" s="82" t="s">
        <v>16333</v>
      </c>
      <c r="BE1099" s="77"/>
      <c r="BF1099" s="77"/>
      <c r="BG1099" s="77"/>
      <c r="BH1099" s="77"/>
      <c r="BI1099" s="77"/>
    </row>
    <row r="1100" spans="1:61" x14ac:dyDescent="0.25">
      <c r="A1100" s="62" t="s">
        <v>573</v>
      </c>
      <c r="B1100" s="62" t="s">
        <v>573</v>
      </c>
      <c r="C1100" s="63"/>
      <c r="D1100" s="64"/>
      <c r="E1100" s="65"/>
      <c r="F1100" s="66"/>
      <c r="G1100" s="63"/>
      <c r="H1100" s="67"/>
      <c r="I1100" s="68"/>
      <c r="J1100" s="68"/>
      <c r="K1100" s="32"/>
      <c r="L1100" s="75">
        <v>1100</v>
      </c>
      <c r="M1100" s="75"/>
      <c r="N1100" s="70"/>
      <c r="O1100" s="77" t="s">
        <v>179</v>
      </c>
      <c r="P1100" s="79">
        <v>44953.492395833331</v>
      </c>
      <c r="Q1100" s="77" t="s">
        <v>2193</v>
      </c>
      <c r="R1100" s="77">
        <v>1</v>
      </c>
      <c r="S1100" s="77">
        <v>1</v>
      </c>
      <c r="T1100" s="77">
        <v>0</v>
      </c>
      <c r="U1100" s="77">
        <v>0</v>
      </c>
      <c r="V1100" s="77">
        <v>33</v>
      </c>
      <c r="W1100" s="82" t="s">
        <v>4862</v>
      </c>
      <c r="X1100" s="77"/>
      <c r="Y1100" s="77"/>
      <c r="Z1100" s="77"/>
      <c r="AA1100" s="77" t="s">
        <v>6826</v>
      </c>
      <c r="AB1100" s="77" t="s">
        <v>7696</v>
      </c>
      <c r="AC1100" s="82" t="s">
        <v>7707</v>
      </c>
      <c r="AD1100" s="77" t="s">
        <v>7745</v>
      </c>
      <c r="AE1100" s="80" t="str">
        <f>HYPERLINK("https://twitter.com/cleitonfinancas/status/1618939135649255425")</f>
        <v>https://twitter.com/cleitonfinancas/status/1618939135649255425</v>
      </c>
      <c r="AF1100" s="79">
        <v>44953.492395833331</v>
      </c>
      <c r="AG1100" s="85">
        <v>44953</v>
      </c>
      <c r="AH1100" s="82" t="s">
        <v>8727</v>
      </c>
      <c r="AI1100" s="77" t="b">
        <v>0</v>
      </c>
      <c r="AJ1100" s="77"/>
      <c r="AK1100" s="77"/>
      <c r="AL1100" s="77"/>
      <c r="AM1100" s="77"/>
      <c r="AN1100" s="77"/>
      <c r="AO1100" s="77"/>
      <c r="AP1100" s="77"/>
      <c r="AQ1100" s="77" t="s">
        <v>11333</v>
      </c>
      <c r="AR1100" s="77"/>
      <c r="AS1100" s="77"/>
      <c r="AT1100" s="77"/>
      <c r="AU1100" s="77"/>
      <c r="AV1100" s="80" t="str">
        <f>HYPERLINK("https://pbs.twimg.com/media/FnegkEqWYAInOSm.jpg")</f>
        <v>https://pbs.twimg.com/media/FnegkEqWYAInOSm.jpg</v>
      </c>
      <c r="AW1100" s="82" t="s">
        <v>13282</v>
      </c>
      <c r="AX1100" s="82" t="s">
        <v>13282</v>
      </c>
      <c r="AY1100" s="77"/>
      <c r="AZ1100" s="82" t="s">
        <v>15804</v>
      </c>
      <c r="BA1100" s="82" t="s">
        <v>15804</v>
      </c>
      <c r="BB1100" s="82" t="s">
        <v>15804</v>
      </c>
      <c r="BC1100" s="82" t="s">
        <v>13282</v>
      </c>
      <c r="BD1100" s="82" t="s">
        <v>16333</v>
      </c>
      <c r="BE1100" s="77"/>
      <c r="BF1100" s="77"/>
      <c r="BG1100" s="77"/>
      <c r="BH1100" s="77"/>
      <c r="BI1100" s="77"/>
    </row>
    <row r="1101" spans="1:61" x14ac:dyDescent="0.25">
      <c r="A1101" s="62" t="s">
        <v>573</v>
      </c>
      <c r="B1101" s="62" t="s">
        <v>573</v>
      </c>
      <c r="C1101" s="63"/>
      <c r="D1101" s="64"/>
      <c r="E1101" s="65"/>
      <c r="F1101" s="66"/>
      <c r="G1101" s="63"/>
      <c r="H1101" s="67"/>
      <c r="I1101" s="68"/>
      <c r="J1101" s="68"/>
      <c r="K1101" s="32"/>
      <c r="L1101" s="75">
        <v>1101</v>
      </c>
      <c r="M1101" s="75"/>
      <c r="N1101" s="70"/>
      <c r="O1101" s="77" t="s">
        <v>179</v>
      </c>
      <c r="P1101" s="79">
        <v>44950.941620370373</v>
      </c>
      <c r="Q1101" s="77" t="s">
        <v>2194</v>
      </c>
      <c r="R1101" s="77">
        <v>0</v>
      </c>
      <c r="S1101" s="77">
        <v>0</v>
      </c>
      <c r="T1101" s="77">
        <v>0</v>
      </c>
      <c r="U1101" s="77">
        <v>0</v>
      </c>
      <c r="V1101" s="77">
        <v>16</v>
      </c>
      <c r="W1101" s="82" t="s">
        <v>4863</v>
      </c>
      <c r="X1101" s="77"/>
      <c r="Y1101" s="77"/>
      <c r="Z1101" s="77"/>
      <c r="AA1101" s="77" t="s">
        <v>6827</v>
      </c>
      <c r="AB1101" s="77" t="s">
        <v>7696</v>
      </c>
      <c r="AC1101" s="82" t="s">
        <v>7707</v>
      </c>
      <c r="AD1101" s="77" t="s">
        <v>7745</v>
      </c>
      <c r="AE1101" s="80" t="str">
        <f>HYPERLINK("https://twitter.com/cleitonfinancas/status/1618014765514895365")</f>
        <v>https://twitter.com/cleitonfinancas/status/1618014765514895365</v>
      </c>
      <c r="AF1101" s="79">
        <v>44950.941620370373</v>
      </c>
      <c r="AG1101" s="85">
        <v>44950</v>
      </c>
      <c r="AH1101" s="82" t="s">
        <v>8728</v>
      </c>
      <c r="AI1101" s="77" t="b">
        <v>0</v>
      </c>
      <c r="AJ1101" s="77"/>
      <c r="AK1101" s="77"/>
      <c r="AL1101" s="77"/>
      <c r="AM1101" s="77"/>
      <c r="AN1101" s="77"/>
      <c r="AO1101" s="77"/>
      <c r="AP1101" s="77"/>
      <c r="AQ1101" s="77" t="s">
        <v>11334</v>
      </c>
      <c r="AR1101" s="77"/>
      <c r="AS1101" s="77"/>
      <c r="AT1101" s="77"/>
      <c r="AU1101" s="77"/>
      <c r="AV1101" s="80" t="str">
        <f>HYPERLINK("https://pbs.twimg.com/media/FnRX2oXXkAIs5LY.jpg")</f>
        <v>https://pbs.twimg.com/media/FnRX2oXXkAIs5LY.jpg</v>
      </c>
      <c r="AW1101" s="82" t="s">
        <v>13283</v>
      </c>
      <c r="AX1101" s="82" t="s">
        <v>13283</v>
      </c>
      <c r="AY1101" s="77"/>
      <c r="AZ1101" s="82" t="s">
        <v>15804</v>
      </c>
      <c r="BA1101" s="82" t="s">
        <v>15804</v>
      </c>
      <c r="BB1101" s="82" t="s">
        <v>15804</v>
      </c>
      <c r="BC1101" s="82" t="s">
        <v>13283</v>
      </c>
      <c r="BD1101" s="82" t="s">
        <v>16333</v>
      </c>
      <c r="BE1101" s="77"/>
      <c r="BF1101" s="77"/>
      <c r="BG1101" s="77"/>
      <c r="BH1101" s="77"/>
      <c r="BI1101" s="77"/>
    </row>
    <row r="1102" spans="1:61" x14ac:dyDescent="0.25">
      <c r="A1102" s="62" t="s">
        <v>573</v>
      </c>
      <c r="B1102" s="62" t="s">
        <v>573</v>
      </c>
      <c r="C1102" s="63"/>
      <c r="D1102" s="64"/>
      <c r="E1102" s="65"/>
      <c r="F1102" s="66"/>
      <c r="G1102" s="63"/>
      <c r="H1102" s="67"/>
      <c r="I1102" s="68"/>
      <c r="J1102" s="68"/>
      <c r="K1102" s="32"/>
      <c r="L1102" s="75">
        <v>1102</v>
      </c>
      <c r="M1102" s="75"/>
      <c r="N1102" s="70"/>
      <c r="O1102" s="77" t="s">
        <v>179</v>
      </c>
      <c r="P1102" s="79">
        <v>44950.494259259256</v>
      </c>
      <c r="Q1102" s="77" t="s">
        <v>2195</v>
      </c>
      <c r="R1102" s="77">
        <v>0</v>
      </c>
      <c r="S1102" s="77">
        <v>1</v>
      </c>
      <c r="T1102" s="77">
        <v>0</v>
      </c>
      <c r="U1102" s="77">
        <v>0</v>
      </c>
      <c r="V1102" s="77">
        <v>21</v>
      </c>
      <c r="W1102" s="82" t="s">
        <v>4864</v>
      </c>
      <c r="X1102" s="77"/>
      <c r="Y1102" s="77"/>
      <c r="Z1102" s="77"/>
      <c r="AA1102" s="77" t="s">
        <v>6828</v>
      </c>
      <c r="AB1102" s="77" t="s">
        <v>7696</v>
      </c>
      <c r="AC1102" s="82" t="s">
        <v>7707</v>
      </c>
      <c r="AD1102" s="77" t="s">
        <v>7745</v>
      </c>
      <c r="AE1102" s="80" t="str">
        <f>HYPERLINK("https://twitter.com/cleitonfinancas/status/1617852651059970048")</f>
        <v>https://twitter.com/cleitonfinancas/status/1617852651059970048</v>
      </c>
      <c r="AF1102" s="79">
        <v>44950.494259259256</v>
      </c>
      <c r="AG1102" s="85">
        <v>44950</v>
      </c>
      <c r="AH1102" s="82" t="s">
        <v>8729</v>
      </c>
      <c r="AI1102" s="77" t="b">
        <v>0</v>
      </c>
      <c r="AJ1102" s="77"/>
      <c r="AK1102" s="77"/>
      <c r="AL1102" s="77"/>
      <c r="AM1102" s="77"/>
      <c r="AN1102" s="77"/>
      <c r="AO1102" s="77"/>
      <c r="AP1102" s="77"/>
      <c r="AQ1102" s="77" t="s">
        <v>11335</v>
      </c>
      <c r="AR1102" s="77"/>
      <c r="AS1102" s="77"/>
      <c r="AT1102" s="77"/>
      <c r="AU1102" s="77"/>
      <c r="AV1102" s="80" t="str">
        <f>HYPERLINK("https://pbs.twimg.com/media/FnPEaWGXEAEDhfH.jpg")</f>
        <v>https://pbs.twimg.com/media/FnPEaWGXEAEDhfH.jpg</v>
      </c>
      <c r="AW1102" s="82" t="s">
        <v>13284</v>
      </c>
      <c r="AX1102" s="82" t="s">
        <v>13284</v>
      </c>
      <c r="AY1102" s="77"/>
      <c r="AZ1102" s="82" t="s">
        <v>15804</v>
      </c>
      <c r="BA1102" s="82" t="s">
        <v>15804</v>
      </c>
      <c r="BB1102" s="82" t="s">
        <v>15804</v>
      </c>
      <c r="BC1102" s="82" t="s">
        <v>13284</v>
      </c>
      <c r="BD1102" s="82" t="s">
        <v>16333</v>
      </c>
      <c r="BE1102" s="77"/>
      <c r="BF1102" s="77"/>
      <c r="BG1102" s="77"/>
      <c r="BH1102" s="77"/>
      <c r="BI1102" s="77"/>
    </row>
    <row r="1103" spans="1:61" x14ac:dyDescent="0.25">
      <c r="A1103" s="62" t="s">
        <v>573</v>
      </c>
      <c r="B1103" s="62" t="s">
        <v>573</v>
      </c>
      <c r="C1103" s="63"/>
      <c r="D1103" s="64"/>
      <c r="E1103" s="65"/>
      <c r="F1103" s="66"/>
      <c r="G1103" s="63"/>
      <c r="H1103" s="67"/>
      <c r="I1103" s="68"/>
      <c r="J1103" s="68"/>
      <c r="K1103" s="32"/>
      <c r="L1103" s="75">
        <v>1103</v>
      </c>
      <c r="M1103" s="75"/>
      <c r="N1103" s="70"/>
      <c r="O1103" s="77" t="s">
        <v>179</v>
      </c>
      <c r="P1103" s="79">
        <v>44949.631793981483</v>
      </c>
      <c r="Q1103" s="77" t="s">
        <v>2196</v>
      </c>
      <c r="R1103" s="77">
        <v>0</v>
      </c>
      <c r="S1103" s="77">
        <v>0</v>
      </c>
      <c r="T1103" s="77">
        <v>0</v>
      </c>
      <c r="U1103" s="77">
        <v>0</v>
      </c>
      <c r="V1103" s="77">
        <v>43</v>
      </c>
      <c r="W1103" s="82" t="s">
        <v>4865</v>
      </c>
      <c r="X1103" s="77"/>
      <c r="Y1103" s="77"/>
      <c r="Z1103" s="77"/>
      <c r="AA1103" s="77" t="s">
        <v>6829</v>
      </c>
      <c r="AB1103" s="77" t="s">
        <v>7696</v>
      </c>
      <c r="AC1103" s="82" t="s">
        <v>7707</v>
      </c>
      <c r="AD1103" s="77" t="s">
        <v>7745</v>
      </c>
      <c r="AE1103" s="80" t="str">
        <f>HYPERLINK("https://twitter.com/cleitonfinancas/status/1617540101185376257")</f>
        <v>https://twitter.com/cleitonfinancas/status/1617540101185376257</v>
      </c>
      <c r="AF1103" s="79">
        <v>44949.631793981483</v>
      </c>
      <c r="AG1103" s="85">
        <v>44949</v>
      </c>
      <c r="AH1103" s="82" t="s">
        <v>8730</v>
      </c>
      <c r="AI1103" s="77" t="b">
        <v>0</v>
      </c>
      <c r="AJ1103" s="77"/>
      <c r="AK1103" s="77"/>
      <c r="AL1103" s="77"/>
      <c r="AM1103" s="77"/>
      <c r="AN1103" s="77"/>
      <c r="AO1103" s="77"/>
      <c r="AP1103" s="77"/>
      <c r="AQ1103" s="77" t="s">
        <v>11336</v>
      </c>
      <c r="AR1103" s="77"/>
      <c r="AS1103" s="77"/>
      <c r="AT1103" s="77"/>
      <c r="AU1103" s="77"/>
      <c r="AV1103" s="80" t="str">
        <f>HYPERLINK("https://pbs.twimg.com/media/FnKoJkgX0AIQOre.jpg")</f>
        <v>https://pbs.twimg.com/media/FnKoJkgX0AIQOre.jpg</v>
      </c>
      <c r="AW1103" s="82" t="s">
        <v>13285</v>
      </c>
      <c r="AX1103" s="82" t="s">
        <v>13285</v>
      </c>
      <c r="AY1103" s="77"/>
      <c r="AZ1103" s="82" t="s">
        <v>15804</v>
      </c>
      <c r="BA1103" s="82" t="s">
        <v>15804</v>
      </c>
      <c r="BB1103" s="82" t="s">
        <v>15804</v>
      </c>
      <c r="BC1103" s="82" t="s">
        <v>13285</v>
      </c>
      <c r="BD1103" s="82" t="s">
        <v>16333</v>
      </c>
      <c r="BE1103" s="77"/>
      <c r="BF1103" s="77"/>
      <c r="BG1103" s="77"/>
      <c r="BH1103" s="77"/>
      <c r="BI1103" s="77"/>
    </row>
    <row r="1104" spans="1:61" x14ac:dyDescent="0.25">
      <c r="A1104" s="62" t="s">
        <v>573</v>
      </c>
      <c r="B1104" s="62" t="s">
        <v>573</v>
      </c>
      <c r="C1104" s="63"/>
      <c r="D1104" s="64"/>
      <c r="E1104" s="65"/>
      <c r="F1104" s="66"/>
      <c r="G1104" s="63"/>
      <c r="H1104" s="67"/>
      <c r="I1104" s="68"/>
      <c r="J1104" s="68"/>
      <c r="K1104" s="32"/>
      <c r="L1104" s="75">
        <v>1104</v>
      </c>
      <c r="M1104" s="75"/>
      <c r="N1104" s="70"/>
      <c r="O1104" s="77" t="s">
        <v>179</v>
      </c>
      <c r="P1104" s="79">
        <v>44948.660868055558</v>
      </c>
      <c r="Q1104" s="77" t="s">
        <v>2197</v>
      </c>
      <c r="R1104" s="77">
        <v>0</v>
      </c>
      <c r="S1104" s="77">
        <v>0</v>
      </c>
      <c r="T1104" s="77">
        <v>0</v>
      </c>
      <c r="U1104" s="77">
        <v>0</v>
      </c>
      <c r="V1104" s="77">
        <v>14</v>
      </c>
      <c r="W1104" s="82" t="s">
        <v>4866</v>
      </c>
      <c r="X1104" s="77"/>
      <c r="Y1104" s="77"/>
      <c r="Z1104" s="77"/>
      <c r="AA1104" s="77" t="s">
        <v>6830</v>
      </c>
      <c r="AB1104" s="77" t="s">
        <v>7696</v>
      </c>
      <c r="AC1104" s="82" t="s">
        <v>7707</v>
      </c>
      <c r="AD1104" s="77" t="s">
        <v>7745</v>
      </c>
      <c r="AE1104" s="80" t="str">
        <f>HYPERLINK("https://twitter.com/cleitonfinancas/status/1617188252284321792")</f>
        <v>https://twitter.com/cleitonfinancas/status/1617188252284321792</v>
      </c>
      <c r="AF1104" s="79">
        <v>44948.660868055558</v>
      </c>
      <c r="AG1104" s="85">
        <v>44948</v>
      </c>
      <c r="AH1104" s="82" t="s">
        <v>8731</v>
      </c>
      <c r="AI1104" s="77" t="b">
        <v>0</v>
      </c>
      <c r="AJ1104" s="77"/>
      <c r="AK1104" s="77"/>
      <c r="AL1104" s="77"/>
      <c r="AM1104" s="77"/>
      <c r="AN1104" s="77"/>
      <c r="AO1104" s="77"/>
      <c r="AP1104" s="77"/>
      <c r="AQ1104" s="77" t="s">
        <v>11337</v>
      </c>
      <c r="AR1104" s="77"/>
      <c r="AS1104" s="77"/>
      <c r="AT1104" s="77"/>
      <c r="AU1104" s="77"/>
      <c r="AV1104" s="80" t="str">
        <f>HYPERLINK("https://pbs.twimg.com/media/FnFoJNTWIAAdTrd.jpg")</f>
        <v>https://pbs.twimg.com/media/FnFoJNTWIAAdTrd.jpg</v>
      </c>
      <c r="AW1104" s="82" t="s">
        <v>13286</v>
      </c>
      <c r="AX1104" s="82" t="s">
        <v>13286</v>
      </c>
      <c r="AY1104" s="77"/>
      <c r="AZ1104" s="82" t="s">
        <v>15804</v>
      </c>
      <c r="BA1104" s="82" t="s">
        <v>15804</v>
      </c>
      <c r="BB1104" s="82" t="s">
        <v>15804</v>
      </c>
      <c r="BC1104" s="82" t="s">
        <v>13286</v>
      </c>
      <c r="BD1104" s="82" t="s">
        <v>16333</v>
      </c>
      <c r="BE1104" s="77"/>
      <c r="BF1104" s="77"/>
      <c r="BG1104" s="77"/>
      <c r="BH1104" s="77"/>
      <c r="BI1104" s="77"/>
    </row>
    <row r="1105" spans="1:61" x14ac:dyDescent="0.25">
      <c r="A1105" s="62" t="s">
        <v>574</v>
      </c>
      <c r="B1105" s="62" t="s">
        <v>574</v>
      </c>
      <c r="C1105" s="63"/>
      <c r="D1105" s="64"/>
      <c r="E1105" s="65"/>
      <c r="F1105" s="66"/>
      <c r="G1105" s="63"/>
      <c r="H1105" s="67"/>
      <c r="I1105" s="68"/>
      <c r="J1105" s="68"/>
      <c r="K1105" s="32"/>
      <c r="L1105" s="75">
        <v>1105</v>
      </c>
      <c r="M1105" s="75"/>
      <c r="N1105" s="70"/>
      <c r="O1105" s="77" t="s">
        <v>179</v>
      </c>
      <c r="P1105" s="79">
        <v>44979.642997685187</v>
      </c>
      <c r="Q1105" s="77" t="s">
        <v>2198</v>
      </c>
      <c r="R1105" s="77">
        <v>2</v>
      </c>
      <c r="S1105" s="77">
        <v>5</v>
      </c>
      <c r="T1105" s="77">
        <v>0</v>
      </c>
      <c r="U1105" s="77">
        <v>0</v>
      </c>
      <c r="V1105" s="77">
        <v>215</v>
      </c>
      <c r="W1105" s="82" t="s">
        <v>4867</v>
      </c>
      <c r="X1105" s="77"/>
      <c r="Y1105" s="77"/>
      <c r="Z1105" s="77"/>
      <c r="AA1105" s="77" t="s">
        <v>6831</v>
      </c>
      <c r="AB1105" s="77" t="s">
        <v>7697</v>
      </c>
      <c r="AC1105" s="82" t="s">
        <v>7707</v>
      </c>
      <c r="AD1105" s="77" t="s">
        <v>7745</v>
      </c>
      <c r="AE1105" s="80" t="str">
        <f>HYPERLINK("https://twitter.com/galaoda13/status/1628415797881196546")</f>
        <v>https://twitter.com/galaoda13/status/1628415797881196546</v>
      </c>
      <c r="AF1105" s="79">
        <v>44979.642997685187</v>
      </c>
      <c r="AG1105" s="85">
        <v>44979</v>
      </c>
      <c r="AH1105" s="82" t="s">
        <v>8732</v>
      </c>
      <c r="AI1105" s="77" t="b">
        <v>0</v>
      </c>
      <c r="AJ1105" s="77"/>
      <c r="AK1105" s="77"/>
      <c r="AL1105" s="77"/>
      <c r="AM1105" s="77"/>
      <c r="AN1105" s="77"/>
      <c r="AO1105" s="77"/>
      <c r="AP1105" s="77"/>
      <c r="AQ1105" s="77" t="s">
        <v>11338</v>
      </c>
      <c r="AR1105" s="77">
        <v>89973</v>
      </c>
      <c r="AS1105" s="77"/>
      <c r="AT1105" s="77"/>
      <c r="AU1105" s="77">
        <v>76</v>
      </c>
      <c r="AV1105" s="80" t="str">
        <f>HYPERLINK("https://pbs.twimg.com/ext_tw_video_thumb/1628415722039742468/pu/img/uh88DKFlg4i4I9kM.jpg")</f>
        <v>https://pbs.twimg.com/ext_tw_video_thumb/1628415722039742468/pu/img/uh88DKFlg4i4I9kM.jpg</v>
      </c>
      <c r="AW1105" s="82" t="s">
        <v>13287</v>
      </c>
      <c r="AX1105" s="82" t="s">
        <v>13287</v>
      </c>
      <c r="AY1105" s="77"/>
      <c r="AZ1105" s="82" t="s">
        <v>15804</v>
      </c>
      <c r="BA1105" s="82" t="s">
        <v>15804</v>
      </c>
      <c r="BB1105" s="82" t="s">
        <v>15804</v>
      </c>
      <c r="BC1105" s="82" t="s">
        <v>13287</v>
      </c>
      <c r="BD1105" s="82" t="s">
        <v>16334</v>
      </c>
      <c r="BE1105" s="77"/>
      <c r="BF1105" s="77"/>
      <c r="BG1105" s="77"/>
      <c r="BH1105" s="77"/>
      <c r="BI1105" s="77"/>
    </row>
    <row r="1106" spans="1:61" x14ac:dyDescent="0.25">
      <c r="A1106" s="62" t="s">
        <v>575</v>
      </c>
      <c r="B1106" s="62" t="s">
        <v>964</v>
      </c>
      <c r="C1106" s="63"/>
      <c r="D1106" s="64"/>
      <c r="E1106" s="65"/>
      <c r="F1106" s="66"/>
      <c r="G1106" s="63"/>
      <c r="H1106" s="67"/>
      <c r="I1106" s="68"/>
      <c r="J1106" s="68"/>
      <c r="K1106" s="32"/>
      <c r="L1106" s="75">
        <v>1106</v>
      </c>
      <c r="M1106" s="75"/>
      <c r="N1106" s="70"/>
      <c r="O1106" s="77" t="s">
        <v>1134</v>
      </c>
      <c r="P1106" s="79">
        <v>45174.11074074074</v>
      </c>
      <c r="Q1106" s="77" t="s">
        <v>2199</v>
      </c>
      <c r="R1106" s="77">
        <v>1</v>
      </c>
      <c r="S1106" s="77">
        <v>0</v>
      </c>
      <c r="T1106" s="77">
        <v>0</v>
      </c>
      <c r="U1106" s="77">
        <v>0</v>
      </c>
      <c r="V1106" s="77"/>
      <c r="W1106" s="77"/>
      <c r="X1106" s="77"/>
      <c r="Y1106" s="77"/>
      <c r="Z1106" s="77" t="s">
        <v>964</v>
      </c>
      <c r="AA1106" s="77"/>
      <c r="AB1106" s="77"/>
      <c r="AC1106" s="82" t="s">
        <v>7706</v>
      </c>
      <c r="AD1106" s="77" t="s">
        <v>7745</v>
      </c>
      <c r="AE1106" s="80" t="str">
        <f>HYPERLINK("https://twitter.com/marciocardial/status/1698888546747052488")</f>
        <v>https://twitter.com/marciocardial/status/1698888546747052488</v>
      </c>
      <c r="AF1106" s="79">
        <v>45174.11074074074</v>
      </c>
      <c r="AG1106" s="85">
        <v>45174</v>
      </c>
      <c r="AH1106" s="82" t="s">
        <v>8733</v>
      </c>
      <c r="AI1106" s="77"/>
      <c r="AJ1106" s="77"/>
      <c r="AK1106" s="77"/>
      <c r="AL1106" s="77"/>
      <c r="AM1106" s="77"/>
      <c r="AN1106" s="77"/>
      <c r="AO1106" s="77"/>
      <c r="AP1106" s="77"/>
      <c r="AQ1106" s="77"/>
      <c r="AR1106" s="77"/>
      <c r="AS1106" s="77"/>
      <c r="AT1106" s="77"/>
      <c r="AU1106" s="77"/>
      <c r="AV1106" s="80" t="str">
        <f>HYPERLINK("https://pbs.twimg.com/profile_images/1226875451/marcio_normal.jpg")</f>
        <v>https://pbs.twimg.com/profile_images/1226875451/marcio_normal.jpg</v>
      </c>
      <c r="AW1106" s="82" t="s">
        <v>13288</v>
      </c>
      <c r="AX1106" s="82" t="s">
        <v>13288</v>
      </c>
      <c r="AY1106" s="77"/>
      <c r="AZ1106" s="82" t="s">
        <v>15804</v>
      </c>
      <c r="BA1106" s="82" t="s">
        <v>15804</v>
      </c>
      <c r="BB1106" s="82" t="s">
        <v>14651</v>
      </c>
      <c r="BC1106" s="82" t="s">
        <v>14651</v>
      </c>
      <c r="BD1106" s="77">
        <v>243455310</v>
      </c>
      <c r="BE1106" s="77"/>
      <c r="BF1106" s="77"/>
      <c r="BG1106" s="77"/>
      <c r="BH1106" s="77"/>
      <c r="BI1106" s="77"/>
    </row>
    <row r="1107" spans="1:61" x14ac:dyDescent="0.25">
      <c r="A1107" s="62" t="s">
        <v>576</v>
      </c>
      <c r="B1107" s="62" t="s">
        <v>905</v>
      </c>
      <c r="C1107" s="63"/>
      <c r="D1107" s="64"/>
      <c r="E1107" s="65"/>
      <c r="F1107" s="66"/>
      <c r="G1107" s="63"/>
      <c r="H1107" s="67"/>
      <c r="I1107" s="68"/>
      <c r="J1107" s="68"/>
      <c r="K1107" s="32"/>
      <c r="L1107" s="75">
        <v>1107</v>
      </c>
      <c r="M1107" s="75"/>
      <c r="N1107" s="70"/>
      <c r="O1107" s="77" t="s">
        <v>1134</v>
      </c>
      <c r="P1107" s="79">
        <v>45173.471539351849</v>
      </c>
      <c r="Q1107" s="77" t="s">
        <v>2200</v>
      </c>
      <c r="R1107" s="77">
        <v>1</v>
      </c>
      <c r="S1107" s="77">
        <v>0</v>
      </c>
      <c r="T1107" s="77">
        <v>0</v>
      </c>
      <c r="U1107" s="77">
        <v>0</v>
      </c>
      <c r="V1107" s="77"/>
      <c r="W1107" s="77"/>
      <c r="X1107" s="77"/>
      <c r="Y1107" s="77"/>
      <c r="Z1107" s="77" t="s">
        <v>905</v>
      </c>
      <c r="AA1107" s="77"/>
      <c r="AB1107" s="77"/>
      <c r="AC1107" s="82" t="s">
        <v>7706</v>
      </c>
      <c r="AD1107" s="77" t="s">
        <v>7745</v>
      </c>
      <c r="AE1107" s="80" t="str">
        <f>HYPERLINK("https://twitter.com/valdemar_hoque/status/1698656910709227527")</f>
        <v>https://twitter.com/valdemar_hoque/status/1698656910709227527</v>
      </c>
      <c r="AF1107" s="79">
        <v>45173.471539351849</v>
      </c>
      <c r="AG1107" s="85">
        <v>45173</v>
      </c>
      <c r="AH1107" s="82" t="s">
        <v>8734</v>
      </c>
      <c r="AI1107" s="77" t="b">
        <v>1</v>
      </c>
      <c r="AJ1107" s="77"/>
      <c r="AK1107" s="77"/>
      <c r="AL1107" s="77"/>
      <c r="AM1107" s="77"/>
      <c r="AN1107" s="77"/>
      <c r="AO1107" s="77"/>
      <c r="AP1107" s="77"/>
      <c r="AQ1107" s="77"/>
      <c r="AR1107" s="77"/>
      <c r="AS1107" s="77"/>
      <c r="AT1107" s="77"/>
      <c r="AU1107" s="77"/>
      <c r="AV1107" s="80" t="str">
        <f>HYPERLINK("https://pbs.twimg.com/profile_images/1682878647684988928/OiqQ3FAN_normal.jpg")</f>
        <v>https://pbs.twimg.com/profile_images/1682878647684988928/OiqQ3FAN_normal.jpg</v>
      </c>
      <c r="AW1107" s="82" t="s">
        <v>13289</v>
      </c>
      <c r="AX1107" s="82" t="s">
        <v>13289</v>
      </c>
      <c r="AY1107" s="77"/>
      <c r="AZ1107" s="82" t="s">
        <v>15804</v>
      </c>
      <c r="BA1107" s="82" t="s">
        <v>15804</v>
      </c>
      <c r="BB1107" s="82" t="s">
        <v>14468</v>
      </c>
      <c r="BC1107" s="82" t="s">
        <v>14468</v>
      </c>
      <c r="BD1107" s="82" t="s">
        <v>16335</v>
      </c>
      <c r="BE1107" s="77"/>
      <c r="BF1107" s="77"/>
      <c r="BG1107" s="77"/>
      <c r="BH1107" s="77"/>
      <c r="BI1107" s="77"/>
    </row>
    <row r="1108" spans="1:61" x14ac:dyDescent="0.25">
      <c r="A1108" s="62" t="s">
        <v>577</v>
      </c>
      <c r="B1108" s="62" t="s">
        <v>577</v>
      </c>
      <c r="C1108" s="63"/>
      <c r="D1108" s="64"/>
      <c r="E1108" s="65"/>
      <c r="F1108" s="66"/>
      <c r="G1108" s="63"/>
      <c r="H1108" s="67"/>
      <c r="I1108" s="68"/>
      <c r="J1108" s="68"/>
      <c r="K1108" s="32"/>
      <c r="L1108" s="75">
        <v>1108</v>
      </c>
      <c r="M1108" s="75"/>
      <c r="N1108" s="70"/>
      <c r="O1108" s="77" t="s">
        <v>179</v>
      </c>
      <c r="P1108" s="79">
        <v>45051.514988425923</v>
      </c>
      <c r="Q1108" s="77" t="s">
        <v>2201</v>
      </c>
      <c r="R1108" s="77">
        <v>0</v>
      </c>
      <c r="S1108" s="77">
        <v>0</v>
      </c>
      <c r="T1108" s="77">
        <v>0</v>
      </c>
      <c r="U1108" s="77">
        <v>0</v>
      </c>
      <c r="V1108" s="77">
        <v>11</v>
      </c>
      <c r="W1108" s="82" t="s">
        <v>4868</v>
      </c>
      <c r="X1108" s="80" t="str">
        <f>HYPERLINK("https://portalfinancaspessoais.com.br/?p=1434")</f>
        <v>https://portalfinancaspessoais.com.br/?p=1434</v>
      </c>
      <c r="Y1108" s="77" t="s">
        <v>6002</v>
      </c>
      <c r="Z1108" s="77"/>
      <c r="AA1108" s="77" t="s">
        <v>6832</v>
      </c>
      <c r="AB1108" s="77" t="s">
        <v>7696</v>
      </c>
      <c r="AC1108" s="82" t="s">
        <v>7710</v>
      </c>
      <c r="AD1108" s="77" t="s">
        <v>7745</v>
      </c>
      <c r="AE1108" s="80" t="str">
        <f>HYPERLINK("https://twitter.com/financasportal/status/1654461336523268097")</f>
        <v>https://twitter.com/financasportal/status/1654461336523268097</v>
      </c>
      <c r="AF1108" s="79">
        <v>45051.514988425923</v>
      </c>
      <c r="AG1108" s="85">
        <v>45051</v>
      </c>
      <c r="AH1108" s="82" t="s">
        <v>8735</v>
      </c>
      <c r="AI1108" s="77" t="b">
        <v>0</v>
      </c>
      <c r="AJ1108" s="77"/>
      <c r="AK1108" s="77"/>
      <c r="AL1108" s="77"/>
      <c r="AM1108" s="77"/>
      <c r="AN1108" s="77"/>
      <c r="AO1108" s="77"/>
      <c r="AP1108" s="77"/>
      <c r="AQ1108" s="77" t="s">
        <v>11339</v>
      </c>
      <c r="AR1108" s="77"/>
      <c r="AS1108" s="77"/>
      <c r="AT1108" s="77"/>
      <c r="AU1108" s="77"/>
      <c r="AV1108" s="80" t="str">
        <f>HYPERLINK("https://pbs.twimg.com/media/FvXT0WMWYAMK1fh.jpg")</f>
        <v>https://pbs.twimg.com/media/FvXT0WMWYAMK1fh.jpg</v>
      </c>
      <c r="AW1108" s="82" t="s">
        <v>13290</v>
      </c>
      <c r="AX1108" s="82" t="s">
        <v>13290</v>
      </c>
      <c r="AY1108" s="77"/>
      <c r="AZ1108" s="82" t="s">
        <v>15804</v>
      </c>
      <c r="BA1108" s="82" t="s">
        <v>15804</v>
      </c>
      <c r="BB1108" s="82" t="s">
        <v>15804</v>
      </c>
      <c r="BC1108" s="82" t="s">
        <v>13290</v>
      </c>
      <c r="BD1108" s="82" t="s">
        <v>16336</v>
      </c>
      <c r="BE1108" s="77"/>
      <c r="BF1108" s="77"/>
      <c r="BG1108" s="77"/>
      <c r="BH1108" s="77"/>
      <c r="BI1108" s="77"/>
    </row>
    <row r="1109" spans="1:61" x14ac:dyDescent="0.25">
      <c r="A1109" s="62" t="s">
        <v>577</v>
      </c>
      <c r="B1109" s="62" t="s">
        <v>577</v>
      </c>
      <c r="C1109" s="63"/>
      <c r="D1109" s="64"/>
      <c r="E1109" s="65"/>
      <c r="F1109" s="66"/>
      <c r="G1109" s="63"/>
      <c r="H1109" s="67"/>
      <c r="I1109" s="68"/>
      <c r="J1109" s="68"/>
      <c r="K1109" s="32"/>
      <c r="L1109" s="75">
        <v>1109</v>
      </c>
      <c r="M1109" s="75"/>
      <c r="N1109" s="70"/>
      <c r="O1109" s="77" t="s">
        <v>179</v>
      </c>
      <c r="P1109" s="79">
        <v>45047.539756944447</v>
      </c>
      <c r="Q1109" s="77" t="s">
        <v>2202</v>
      </c>
      <c r="R1109" s="77">
        <v>0</v>
      </c>
      <c r="S1109" s="77">
        <v>0</v>
      </c>
      <c r="T1109" s="77">
        <v>0</v>
      </c>
      <c r="U1109" s="77">
        <v>0</v>
      </c>
      <c r="V1109" s="77">
        <v>11</v>
      </c>
      <c r="W1109" s="82" t="s">
        <v>4868</v>
      </c>
      <c r="X1109" s="80" t="str">
        <f>HYPERLINK("https://portalfinancaspessoais.com.br/?p=1409")</f>
        <v>https://portalfinancaspessoais.com.br/?p=1409</v>
      </c>
      <c r="Y1109" s="77" t="s">
        <v>6002</v>
      </c>
      <c r="Z1109" s="77"/>
      <c r="AA1109" s="77" t="s">
        <v>6833</v>
      </c>
      <c r="AB1109" s="77" t="s">
        <v>7696</v>
      </c>
      <c r="AC1109" s="82" t="s">
        <v>7710</v>
      </c>
      <c r="AD1109" s="77" t="s">
        <v>7745</v>
      </c>
      <c r="AE1109" s="80" t="str">
        <f>HYPERLINK("https://twitter.com/financasportal/status/1653020758950436864")</f>
        <v>https://twitter.com/financasportal/status/1653020758950436864</v>
      </c>
      <c r="AF1109" s="79">
        <v>45047.539756944447</v>
      </c>
      <c r="AG1109" s="85">
        <v>45047</v>
      </c>
      <c r="AH1109" s="82" t="s">
        <v>8736</v>
      </c>
      <c r="AI1109" s="77" t="b">
        <v>0</v>
      </c>
      <c r="AJ1109" s="77"/>
      <c r="AK1109" s="77"/>
      <c r="AL1109" s="77"/>
      <c r="AM1109" s="77"/>
      <c r="AN1109" s="77"/>
      <c r="AO1109" s="77"/>
      <c r="AP1109" s="77"/>
      <c r="AQ1109" s="77" t="s">
        <v>11340</v>
      </c>
      <c r="AR1109" s="77"/>
      <c r="AS1109" s="77"/>
      <c r="AT1109" s="77"/>
      <c r="AU1109" s="77"/>
      <c r="AV1109" s="80" t="str">
        <f>HYPERLINK("https://pbs.twimg.com/media/FvC1nsJX0AAkoMx.jpg")</f>
        <v>https://pbs.twimg.com/media/FvC1nsJX0AAkoMx.jpg</v>
      </c>
      <c r="AW1109" s="82" t="s">
        <v>13291</v>
      </c>
      <c r="AX1109" s="82" t="s">
        <v>13291</v>
      </c>
      <c r="AY1109" s="77"/>
      <c r="AZ1109" s="82" t="s">
        <v>15804</v>
      </c>
      <c r="BA1109" s="82" t="s">
        <v>15804</v>
      </c>
      <c r="BB1109" s="82" t="s">
        <v>15804</v>
      </c>
      <c r="BC1109" s="82" t="s">
        <v>13291</v>
      </c>
      <c r="BD1109" s="82" t="s">
        <v>16336</v>
      </c>
      <c r="BE1109" s="77"/>
      <c r="BF1109" s="77"/>
      <c r="BG1109" s="77"/>
      <c r="BH1109" s="77"/>
      <c r="BI1109" s="77"/>
    </row>
    <row r="1110" spans="1:61" x14ac:dyDescent="0.25">
      <c r="A1110" s="62" t="s">
        <v>577</v>
      </c>
      <c r="B1110" s="62" t="s">
        <v>577</v>
      </c>
      <c r="C1110" s="63"/>
      <c r="D1110" s="64"/>
      <c r="E1110" s="65"/>
      <c r="F1110" s="66"/>
      <c r="G1110" s="63"/>
      <c r="H1110" s="67"/>
      <c r="I1110" s="68"/>
      <c r="J1110" s="68"/>
      <c r="K1110" s="32"/>
      <c r="L1110" s="75">
        <v>1110</v>
      </c>
      <c r="M1110" s="75"/>
      <c r="N1110" s="70"/>
      <c r="O1110" s="77" t="s">
        <v>179</v>
      </c>
      <c r="P1110" s="79">
        <v>45042.521087962959</v>
      </c>
      <c r="Q1110" s="77" t="s">
        <v>2203</v>
      </c>
      <c r="R1110" s="77">
        <v>0</v>
      </c>
      <c r="S1110" s="77">
        <v>0</v>
      </c>
      <c r="T1110" s="77">
        <v>0</v>
      </c>
      <c r="U1110" s="77">
        <v>0</v>
      </c>
      <c r="V1110" s="77">
        <v>9</v>
      </c>
      <c r="W1110" s="82" t="s">
        <v>4868</v>
      </c>
      <c r="X1110" s="80" t="str">
        <f>HYPERLINK("https://portalfinancaspessoais.com.br/?p=1327")</f>
        <v>https://portalfinancaspessoais.com.br/?p=1327</v>
      </c>
      <c r="Y1110" s="77" t="s">
        <v>6002</v>
      </c>
      <c r="Z1110" s="77"/>
      <c r="AA1110" s="77" t="s">
        <v>6834</v>
      </c>
      <c r="AB1110" s="77" t="s">
        <v>7696</v>
      </c>
      <c r="AC1110" s="82" t="s">
        <v>7710</v>
      </c>
      <c r="AD1110" s="77" t="s">
        <v>7745</v>
      </c>
      <c r="AE1110" s="80" t="str">
        <f>HYPERLINK("https://twitter.com/financasportal/status/1651202055724232705")</f>
        <v>https://twitter.com/financasportal/status/1651202055724232705</v>
      </c>
      <c r="AF1110" s="79">
        <v>45042.521087962959</v>
      </c>
      <c r="AG1110" s="85">
        <v>45042</v>
      </c>
      <c r="AH1110" s="82" t="s">
        <v>8737</v>
      </c>
      <c r="AI1110" s="77" t="b">
        <v>0</v>
      </c>
      <c r="AJ1110" s="77"/>
      <c r="AK1110" s="77"/>
      <c r="AL1110" s="77"/>
      <c r="AM1110" s="77"/>
      <c r="AN1110" s="77"/>
      <c r="AO1110" s="77"/>
      <c r="AP1110" s="77"/>
      <c r="AQ1110" s="77" t="s">
        <v>11341</v>
      </c>
      <c r="AR1110" s="77"/>
      <c r="AS1110" s="77"/>
      <c r="AT1110" s="77"/>
      <c r="AU1110" s="77"/>
      <c r="AV1110" s="80" t="str">
        <f>HYPERLINK("https://pbs.twimg.com/media/Fuo_hPHWAAMTcyN.jpg")</f>
        <v>https://pbs.twimg.com/media/Fuo_hPHWAAMTcyN.jpg</v>
      </c>
      <c r="AW1110" s="82" t="s">
        <v>13292</v>
      </c>
      <c r="AX1110" s="82" t="s">
        <v>13292</v>
      </c>
      <c r="AY1110" s="77"/>
      <c r="AZ1110" s="82" t="s">
        <v>15804</v>
      </c>
      <c r="BA1110" s="82" t="s">
        <v>15804</v>
      </c>
      <c r="BB1110" s="82" t="s">
        <v>15804</v>
      </c>
      <c r="BC1110" s="82" t="s">
        <v>13292</v>
      </c>
      <c r="BD1110" s="82" t="s">
        <v>16336</v>
      </c>
      <c r="BE1110" s="77"/>
      <c r="BF1110" s="77"/>
      <c r="BG1110" s="77"/>
      <c r="BH1110" s="77"/>
      <c r="BI1110" s="77"/>
    </row>
    <row r="1111" spans="1:61" x14ac:dyDescent="0.25">
      <c r="A1111" s="62" t="s">
        <v>577</v>
      </c>
      <c r="B1111" s="62" t="s">
        <v>577</v>
      </c>
      <c r="C1111" s="63"/>
      <c r="D1111" s="64"/>
      <c r="E1111" s="65"/>
      <c r="F1111" s="66"/>
      <c r="G1111" s="63"/>
      <c r="H1111" s="67"/>
      <c r="I1111" s="68"/>
      <c r="J1111" s="68"/>
      <c r="K1111" s="32"/>
      <c r="L1111" s="75">
        <v>1111</v>
      </c>
      <c r="M1111" s="75"/>
      <c r="N1111" s="70"/>
      <c r="O1111" s="77" t="s">
        <v>179</v>
      </c>
      <c r="P1111" s="79">
        <v>45041.523333333331</v>
      </c>
      <c r="Q1111" s="77" t="s">
        <v>2204</v>
      </c>
      <c r="R1111" s="77">
        <v>0</v>
      </c>
      <c r="S1111" s="77">
        <v>0</v>
      </c>
      <c r="T1111" s="77">
        <v>0</v>
      </c>
      <c r="U1111" s="77">
        <v>0</v>
      </c>
      <c r="V1111" s="77">
        <v>9</v>
      </c>
      <c r="W1111" s="82" t="s">
        <v>4868</v>
      </c>
      <c r="X1111" s="80" t="str">
        <f>HYPERLINK("https://portalfinancaspessoais.com.br/?p=1331")</f>
        <v>https://portalfinancaspessoais.com.br/?p=1331</v>
      </c>
      <c r="Y1111" s="77" t="s">
        <v>6002</v>
      </c>
      <c r="Z1111" s="77"/>
      <c r="AA1111" s="77" t="s">
        <v>6835</v>
      </c>
      <c r="AB1111" s="77" t="s">
        <v>7696</v>
      </c>
      <c r="AC1111" s="82" t="s">
        <v>7710</v>
      </c>
      <c r="AD1111" s="77" t="s">
        <v>7745</v>
      </c>
      <c r="AE1111" s="80" t="str">
        <f>HYPERLINK("https://twitter.com/financasportal/status/1650840480282705922")</f>
        <v>https://twitter.com/financasportal/status/1650840480282705922</v>
      </c>
      <c r="AF1111" s="79">
        <v>45041.523333333331</v>
      </c>
      <c r="AG1111" s="85">
        <v>45041</v>
      </c>
      <c r="AH1111" s="82" t="s">
        <v>8738</v>
      </c>
      <c r="AI1111" s="77" t="b">
        <v>0</v>
      </c>
      <c r="AJ1111" s="77"/>
      <c r="AK1111" s="77"/>
      <c r="AL1111" s="77"/>
      <c r="AM1111" s="77"/>
      <c r="AN1111" s="77"/>
      <c r="AO1111" s="77"/>
      <c r="AP1111" s="77"/>
      <c r="AQ1111" s="77" t="s">
        <v>11342</v>
      </c>
      <c r="AR1111" s="77"/>
      <c r="AS1111" s="77"/>
      <c r="AT1111" s="77"/>
      <c r="AU1111" s="77"/>
      <c r="AV1111" s="80" t="str">
        <f>HYPERLINK("https://pbs.twimg.com/media/Fuj2qzNX0AA1EeM.jpg")</f>
        <v>https://pbs.twimg.com/media/Fuj2qzNX0AA1EeM.jpg</v>
      </c>
      <c r="AW1111" s="82" t="s">
        <v>13293</v>
      </c>
      <c r="AX1111" s="82" t="s">
        <v>13293</v>
      </c>
      <c r="AY1111" s="77"/>
      <c r="AZ1111" s="82" t="s">
        <v>15804</v>
      </c>
      <c r="BA1111" s="82" t="s">
        <v>15804</v>
      </c>
      <c r="BB1111" s="82" t="s">
        <v>15804</v>
      </c>
      <c r="BC1111" s="82" t="s">
        <v>13293</v>
      </c>
      <c r="BD1111" s="82" t="s">
        <v>16336</v>
      </c>
      <c r="BE1111" s="77"/>
      <c r="BF1111" s="77"/>
      <c r="BG1111" s="77"/>
      <c r="BH1111" s="77"/>
      <c r="BI1111" s="77"/>
    </row>
    <row r="1112" spans="1:61" x14ac:dyDescent="0.25">
      <c r="A1112" s="62" t="s">
        <v>577</v>
      </c>
      <c r="B1112" s="62" t="s">
        <v>577</v>
      </c>
      <c r="C1112" s="63"/>
      <c r="D1112" s="64"/>
      <c r="E1112" s="65"/>
      <c r="F1112" s="66"/>
      <c r="G1112" s="63"/>
      <c r="H1112" s="67"/>
      <c r="I1112" s="68"/>
      <c r="J1112" s="68"/>
      <c r="K1112" s="32"/>
      <c r="L1112" s="75">
        <v>1112</v>
      </c>
      <c r="M1112" s="75"/>
      <c r="N1112" s="70"/>
      <c r="O1112" s="77" t="s">
        <v>179</v>
      </c>
      <c r="P1112" s="79">
        <v>45033.518622685187</v>
      </c>
      <c r="Q1112" s="77" t="s">
        <v>2205</v>
      </c>
      <c r="R1112" s="77">
        <v>0</v>
      </c>
      <c r="S1112" s="77">
        <v>0</v>
      </c>
      <c r="T1112" s="77">
        <v>0</v>
      </c>
      <c r="U1112" s="77">
        <v>0</v>
      </c>
      <c r="V1112" s="77">
        <v>11</v>
      </c>
      <c r="W1112" s="82" t="s">
        <v>4869</v>
      </c>
      <c r="X1112" s="80" t="str">
        <f>HYPERLINK("https://portalfinancaspessoais.com.br/?p=1285")</f>
        <v>https://portalfinancaspessoais.com.br/?p=1285</v>
      </c>
      <c r="Y1112" s="77" t="s">
        <v>6002</v>
      </c>
      <c r="Z1112" s="77"/>
      <c r="AA1112" s="77" t="s">
        <v>6836</v>
      </c>
      <c r="AB1112" s="77" t="s">
        <v>7696</v>
      </c>
      <c r="AC1112" s="82" t="s">
        <v>7710</v>
      </c>
      <c r="AD1112" s="77" t="s">
        <v>7745</v>
      </c>
      <c r="AE1112" s="80" t="str">
        <f>HYPERLINK("https://twitter.com/financasportal/status/1647939669944946688")</f>
        <v>https://twitter.com/financasportal/status/1647939669944946688</v>
      </c>
      <c r="AF1112" s="79">
        <v>45033.518622685187</v>
      </c>
      <c r="AG1112" s="85">
        <v>45033</v>
      </c>
      <c r="AH1112" s="82" t="s">
        <v>8739</v>
      </c>
      <c r="AI1112" s="77" t="b">
        <v>0</v>
      </c>
      <c r="AJ1112" s="77"/>
      <c r="AK1112" s="77"/>
      <c r="AL1112" s="77"/>
      <c r="AM1112" s="77"/>
      <c r="AN1112" s="77"/>
      <c r="AO1112" s="77"/>
      <c r="AP1112" s="77"/>
      <c r="AQ1112" s="77" t="s">
        <v>11343</v>
      </c>
      <c r="AR1112" s="77"/>
      <c r="AS1112" s="77"/>
      <c r="AT1112" s="77"/>
      <c r="AU1112" s="77"/>
      <c r="AV1112" s="80" t="str">
        <f>HYPERLINK("https://pbs.twimg.com/media/Ft6oZbgWIAEACUf.jpg")</f>
        <v>https://pbs.twimg.com/media/Ft6oZbgWIAEACUf.jpg</v>
      </c>
      <c r="AW1112" s="82" t="s">
        <v>13294</v>
      </c>
      <c r="AX1112" s="82" t="s">
        <v>13294</v>
      </c>
      <c r="AY1112" s="77"/>
      <c r="AZ1112" s="82" t="s">
        <v>15804</v>
      </c>
      <c r="BA1112" s="82" t="s">
        <v>15804</v>
      </c>
      <c r="BB1112" s="82" t="s">
        <v>15804</v>
      </c>
      <c r="BC1112" s="82" t="s">
        <v>13294</v>
      </c>
      <c r="BD1112" s="82" t="s">
        <v>16336</v>
      </c>
      <c r="BE1112" s="77"/>
      <c r="BF1112" s="77"/>
      <c r="BG1112" s="77"/>
      <c r="BH1112" s="77"/>
      <c r="BI1112" s="77"/>
    </row>
    <row r="1113" spans="1:61" x14ac:dyDescent="0.25">
      <c r="A1113" s="62" t="s">
        <v>577</v>
      </c>
      <c r="B1113" s="62" t="s">
        <v>577</v>
      </c>
      <c r="C1113" s="63"/>
      <c r="D1113" s="64"/>
      <c r="E1113" s="65"/>
      <c r="F1113" s="66"/>
      <c r="G1113" s="63"/>
      <c r="H1113" s="67"/>
      <c r="I1113" s="68"/>
      <c r="J1113" s="68"/>
      <c r="K1113" s="32"/>
      <c r="L1113" s="75">
        <v>1113</v>
      </c>
      <c r="M1113" s="75"/>
      <c r="N1113" s="70"/>
      <c r="O1113" s="77" t="s">
        <v>179</v>
      </c>
      <c r="P1113" s="79">
        <v>45111.519525462965</v>
      </c>
      <c r="Q1113" s="77" t="s">
        <v>2206</v>
      </c>
      <c r="R1113" s="77">
        <v>0</v>
      </c>
      <c r="S1113" s="77">
        <v>0</v>
      </c>
      <c r="T1113" s="77">
        <v>0</v>
      </c>
      <c r="U1113" s="77">
        <v>0</v>
      </c>
      <c r="V1113" s="77">
        <v>2</v>
      </c>
      <c r="W1113" s="82" t="s">
        <v>4870</v>
      </c>
      <c r="X1113" s="80" t="str">
        <f>HYPERLINK("https://portalfinancaspessoais.com.br/?p=2105")</f>
        <v>https://portalfinancaspessoais.com.br/?p=2105</v>
      </c>
      <c r="Y1113" s="77" t="s">
        <v>6002</v>
      </c>
      <c r="Z1113" s="77"/>
      <c r="AA1113" s="77" t="s">
        <v>6837</v>
      </c>
      <c r="AB1113" s="77" t="s">
        <v>7696</v>
      </c>
      <c r="AC1113" s="82" t="s">
        <v>7710</v>
      </c>
      <c r="AD1113" s="77" t="s">
        <v>7745</v>
      </c>
      <c r="AE1113" s="80" t="str">
        <f>HYPERLINK("https://twitter.com/financasportal/status/1676206253339443200")</f>
        <v>https://twitter.com/financasportal/status/1676206253339443200</v>
      </c>
      <c r="AF1113" s="79">
        <v>45111.519525462965</v>
      </c>
      <c r="AG1113" s="85">
        <v>45111</v>
      </c>
      <c r="AH1113" s="82" t="s">
        <v>8740</v>
      </c>
      <c r="AI1113" s="77" t="b">
        <v>0</v>
      </c>
      <c r="AJ1113" s="77"/>
      <c r="AK1113" s="77"/>
      <c r="AL1113" s="77"/>
      <c r="AM1113" s="77"/>
      <c r="AN1113" s="77"/>
      <c r="AO1113" s="77"/>
      <c r="AP1113" s="77"/>
      <c r="AQ1113" s="77" t="s">
        <v>11344</v>
      </c>
      <c r="AR1113" s="77"/>
      <c r="AS1113" s="77"/>
      <c r="AT1113" s="77"/>
      <c r="AU1113" s="77"/>
      <c r="AV1113" s="80" t="str">
        <f>HYPERLINK("https://pbs.twimg.com/media/F0MUtF_XwAATcEG.jpg")</f>
        <v>https://pbs.twimg.com/media/F0MUtF_XwAATcEG.jpg</v>
      </c>
      <c r="AW1113" s="82" t="s">
        <v>13295</v>
      </c>
      <c r="AX1113" s="82" t="s">
        <v>13295</v>
      </c>
      <c r="AY1113" s="77"/>
      <c r="AZ1113" s="82" t="s">
        <v>15804</v>
      </c>
      <c r="BA1113" s="82" t="s">
        <v>15804</v>
      </c>
      <c r="BB1113" s="82" t="s">
        <v>15804</v>
      </c>
      <c r="BC1113" s="82" t="s">
        <v>13295</v>
      </c>
      <c r="BD1113" s="82" t="s">
        <v>16336</v>
      </c>
      <c r="BE1113" s="77"/>
      <c r="BF1113" s="77"/>
      <c r="BG1113" s="77"/>
      <c r="BH1113" s="77"/>
      <c r="BI1113" s="77"/>
    </row>
    <row r="1114" spans="1:61" x14ac:dyDescent="0.25">
      <c r="A1114" s="62" t="s">
        <v>577</v>
      </c>
      <c r="B1114" s="62" t="s">
        <v>577</v>
      </c>
      <c r="C1114" s="63"/>
      <c r="D1114" s="64"/>
      <c r="E1114" s="65"/>
      <c r="F1114" s="66"/>
      <c r="G1114" s="63"/>
      <c r="H1114" s="67"/>
      <c r="I1114" s="68"/>
      <c r="J1114" s="68"/>
      <c r="K1114" s="32"/>
      <c r="L1114" s="75">
        <v>1114</v>
      </c>
      <c r="M1114" s="75"/>
      <c r="N1114" s="70"/>
      <c r="O1114" s="77" t="s">
        <v>179</v>
      </c>
      <c r="P1114" s="79">
        <v>45076.530810185184</v>
      </c>
      <c r="Q1114" s="77" t="s">
        <v>2207</v>
      </c>
      <c r="R1114" s="77">
        <v>0</v>
      </c>
      <c r="S1114" s="77">
        <v>0</v>
      </c>
      <c r="T1114" s="77">
        <v>0</v>
      </c>
      <c r="U1114" s="77">
        <v>0</v>
      </c>
      <c r="V1114" s="77">
        <v>38</v>
      </c>
      <c r="W1114" s="82" t="s">
        <v>4868</v>
      </c>
      <c r="X1114" s="80" t="str">
        <f>HYPERLINK("https://portalfinancaspessoais.com.br/?p=1666")</f>
        <v>https://portalfinancaspessoais.com.br/?p=1666</v>
      </c>
      <c r="Y1114" s="77" t="s">
        <v>6002</v>
      </c>
      <c r="Z1114" s="77"/>
      <c r="AA1114" s="77" t="s">
        <v>6838</v>
      </c>
      <c r="AB1114" s="77" t="s">
        <v>7696</v>
      </c>
      <c r="AC1114" s="82" t="s">
        <v>7710</v>
      </c>
      <c r="AD1114" s="77" t="s">
        <v>7745</v>
      </c>
      <c r="AE1114" s="80" t="str">
        <f>HYPERLINK("https://twitter.com/financasportal/status/1663526764419727360")</f>
        <v>https://twitter.com/financasportal/status/1663526764419727360</v>
      </c>
      <c r="AF1114" s="79">
        <v>45076.530810185184</v>
      </c>
      <c r="AG1114" s="85">
        <v>45076</v>
      </c>
      <c r="AH1114" s="82" t="s">
        <v>8741</v>
      </c>
      <c r="AI1114" s="77" t="b">
        <v>0</v>
      </c>
      <c r="AJ1114" s="77"/>
      <c r="AK1114" s="77"/>
      <c r="AL1114" s="77"/>
      <c r="AM1114" s="77"/>
      <c r="AN1114" s="77"/>
      <c r="AO1114" s="77"/>
      <c r="AP1114" s="77"/>
      <c r="AQ1114" s="77" t="s">
        <v>11345</v>
      </c>
      <c r="AR1114" s="77"/>
      <c r="AS1114" s="77"/>
      <c r="AT1114" s="77"/>
      <c r="AU1114" s="77"/>
      <c r="AV1114" s="80" t="str">
        <f>HYPERLINK("https://pbs.twimg.com/media/FxYIxunWAAIa5v_.jpg")</f>
        <v>https://pbs.twimg.com/media/FxYIxunWAAIa5v_.jpg</v>
      </c>
      <c r="AW1114" s="82" t="s">
        <v>13296</v>
      </c>
      <c r="AX1114" s="82" t="s">
        <v>13296</v>
      </c>
      <c r="AY1114" s="77"/>
      <c r="AZ1114" s="82" t="s">
        <v>15804</v>
      </c>
      <c r="BA1114" s="82" t="s">
        <v>15804</v>
      </c>
      <c r="BB1114" s="82" t="s">
        <v>15804</v>
      </c>
      <c r="BC1114" s="82" t="s">
        <v>13296</v>
      </c>
      <c r="BD1114" s="82" t="s">
        <v>16336</v>
      </c>
      <c r="BE1114" s="77"/>
      <c r="BF1114" s="77"/>
      <c r="BG1114" s="77"/>
      <c r="BH1114" s="77"/>
      <c r="BI1114" s="77"/>
    </row>
    <row r="1115" spans="1:61" x14ac:dyDescent="0.25">
      <c r="A1115" s="62" t="s">
        <v>577</v>
      </c>
      <c r="B1115" s="62" t="s">
        <v>577</v>
      </c>
      <c r="C1115" s="63"/>
      <c r="D1115" s="64"/>
      <c r="E1115" s="65"/>
      <c r="F1115" s="66"/>
      <c r="G1115" s="63"/>
      <c r="H1115" s="67"/>
      <c r="I1115" s="68"/>
      <c r="J1115" s="68"/>
      <c r="K1115" s="32"/>
      <c r="L1115" s="75">
        <v>1115</v>
      </c>
      <c r="M1115" s="75"/>
      <c r="N1115" s="70"/>
      <c r="O1115" s="77" t="s">
        <v>179</v>
      </c>
      <c r="P1115" s="79">
        <v>45075.56863425926</v>
      </c>
      <c r="Q1115" s="77" t="s">
        <v>2208</v>
      </c>
      <c r="R1115" s="77">
        <v>0</v>
      </c>
      <c r="S1115" s="77">
        <v>0</v>
      </c>
      <c r="T1115" s="77">
        <v>0</v>
      </c>
      <c r="U1115" s="77">
        <v>0</v>
      </c>
      <c r="V1115" s="77">
        <v>21</v>
      </c>
      <c r="W1115" s="82" t="s">
        <v>4868</v>
      </c>
      <c r="X1115" s="80" t="str">
        <f>HYPERLINK("https://portalfinancaspessoais.com.br/como-fazer-investimentos-inteligentes/")</f>
        <v>https://portalfinancaspessoais.com.br/como-fazer-investimentos-inteligentes/</v>
      </c>
      <c r="Y1115" s="77" t="s">
        <v>6002</v>
      </c>
      <c r="Z1115" s="77"/>
      <c r="AA1115" s="77" t="s">
        <v>6839</v>
      </c>
      <c r="AB1115" s="77" t="s">
        <v>7696</v>
      </c>
      <c r="AC1115" s="82" t="s">
        <v>7710</v>
      </c>
      <c r="AD1115" s="77" t="s">
        <v>7745</v>
      </c>
      <c r="AE1115" s="80" t="str">
        <f>HYPERLINK("https://twitter.com/financasportal/status/1663178086106406912")</f>
        <v>https://twitter.com/financasportal/status/1663178086106406912</v>
      </c>
      <c r="AF1115" s="79">
        <v>45075.56863425926</v>
      </c>
      <c r="AG1115" s="85">
        <v>45075</v>
      </c>
      <c r="AH1115" s="82" t="s">
        <v>8742</v>
      </c>
      <c r="AI1115" s="77" t="b">
        <v>0</v>
      </c>
      <c r="AJ1115" s="77"/>
      <c r="AK1115" s="77"/>
      <c r="AL1115" s="77"/>
      <c r="AM1115" s="77"/>
      <c r="AN1115" s="77"/>
      <c r="AO1115" s="77"/>
      <c r="AP1115" s="77"/>
      <c r="AQ1115" s="77" t="s">
        <v>11346</v>
      </c>
      <c r="AR1115" s="77"/>
      <c r="AS1115" s="77"/>
      <c r="AT1115" s="77"/>
      <c r="AU1115" s="77"/>
      <c r="AV1115" s="80" t="str">
        <f>HYPERLINK("https://pbs.twimg.com/media/FxTLp-cXgAA1RX3.jpg")</f>
        <v>https://pbs.twimg.com/media/FxTLp-cXgAA1RX3.jpg</v>
      </c>
      <c r="AW1115" s="82" t="s">
        <v>13297</v>
      </c>
      <c r="AX1115" s="82" t="s">
        <v>13297</v>
      </c>
      <c r="AY1115" s="77"/>
      <c r="AZ1115" s="82" t="s">
        <v>15804</v>
      </c>
      <c r="BA1115" s="82" t="s">
        <v>15804</v>
      </c>
      <c r="BB1115" s="82" t="s">
        <v>15804</v>
      </c>
      <c r="BC1115" s="82" t="s">
        <v>13297</v>
      </c>
      <c r="BD1115" s="82" t="s">
        <v>16336</v>
      </c>
      <c r="BE1115" s="77"/>
      <c r="BF1115" s="77"/>
      <c r="BG1115" s="77"/>
      <c r="BH1115" s="77"/>
      <c r="BI1115" s="77"/>
    </row>
    <row r="1116" spans="1:61" x14ac:dyDescent="0.25">
      <c r="A1116" s="62" t="s">
        <v>577</v>
      </c>
      <c r="B1116" s="62" t="s">
        <v>577</v>
      </c>
      <c r="C1116" s="63"/>
      <c r="D1116" s="64"/>
      <c r="E1116" s="65"/>
      <c r="F1116" s="66"/>
      <c r="G1116" s="63"/>
      <c r="H1116" s="67"/>
      <c r="I1116" s="68"/>
      <c r="J1116" s="68"/>
      <c r="K1116" s="32"/>
      <c r="L1116" s="75">
        <v>1116</v>
      </c>
      <c r="M1116" s="75"/>
      <c r="N1116" s="70"/>
      <c r="O1116" s="77" t="s">
        <v>179</v>
      </c>
      <c r="P1116" s="79">
        <v>45075.528113425928</v>
      </c>
      <c r="Q1116" s="77" t="s">
        <v>2209</v>
      </c>
      <c r="R1116" s="77">
        <v>0</v>
      </c>
      <c r="S1116" s="77">
        <v>0</v>
      </c>
      <c r="T1116" s="77">
        <v>0</v>
      </c>
      <c r="U1116" s="77">
        <v>0</v>
      </c>
      <c r="V1116" s="77">
        <v>21</v>
      </c>
      <c r="W1116" s="82" t="s">
        <v>4868</v>
      </c>
      <c r="X1116" s="80" t="str">
        <f>HYPERLINK("https://portalfinancaspessoais.com.br/?p=1651")</f>
        <v>https://portalfinancaspessoais.com.br/?p=1651</v>
      </c>
      <c r="Y1116" s="77" t="s">
        <v>6002</v>
      </c>
      <c r="Z1116" s="77"/>
      <c r="AA1116" s="77" t="s">
        <v>6840</v>
      </c>
      <c r="AB1116" s="77" t="s">
        <v>7696</v>
      </c>
      <c r="AC1116" s="82" t="s">
        <v>7710</v>
      </c>
      <c r="AD1116" s="77" t="s">
        <v>7745</v>
      </c>
      <c r="AE1116" s="80" t="str">
        <f>HYPERLINK("https://twitter.com/financasportal/status/1663163400858357760")</f>
        <v>https://twitter.com/financasportal/status/1663163400858357760</v>
      </c>
      <c r="AF1116" s="79">
        <v>45075.528113425928</v>
      </c>
      <c r="AG1116" s="85">
        <v>45075</v>
      </c>
      <c r="AH1116" s="82" t="s">
        <v>8743</v>
      </c>
      <c r="AI1116" s="77" t="b">
        <v>0</v>
      </c>
      <c r="AJ1116" s="77"/>
      <c r="AK1116" s="77"/>
      <c r="AL1116" s="77"/>
      <c r="AM1116" s="77"/>
      <c r="AN1116" s="77"/>
      <c r="AO1116" s="77"/>
      <c r="AP1116" s="77"/>
      <c r="AQ1116" s="77" t="s">
        <v>11347</v>
      </c>
      <c r="AR1116" s="77"/>
      <c r="AS1116" s="77"/>
      <c r="AT1116" s="77"/>
      <c r="AU1116" s="77"/>
      <c r="AV1116" s="80" t="str">
        <f>HYPERLINK("https://pbs.twimg.com/media/FxS-TLtWcAkD--s.jpg")</f>
        <v>https://pbs.twimg.com/media/FxS-TLtWcAkD--s.jpg</v>
      </c>
      <c r="AW1116" s="82" t="s">
        <v>13298</v>
      </c>
      <c r="AX1116" s="82" t="s">
        <v>13298</v>
      </c>
      <c r="AY1116" s="77"/>
      <c r="AZ1116" s="82" t="s">
        <v>15804</v>
      </c>
      <c r="BA1116" s="82" t="s">
        <v>15804</v>
      </c>
      <c r="BB1116" s="82" t="s">
        <v>15804</v>
      </c>
      <c r="BC1116" s="82" t="s">
        <v>13298</v>
      </c>
      <c r="BD1116" s="82" t="s">
        <v>16336</v>
      </c>
      <c r="BE1116" s="77"/>
      <c r="BF1116" s="77"/>
      <c r="BG1116" s="77"/>
      <c r="BH1116" s="77"/>
      <c r="BI1116" s="77"/>
    </row>
    <row r="1117" spans="1:61" x14ac:dyDescent="0.25">
      <c r="A1117" s="62" t="s">
        <v>577</v>
      </c>
      <c r="B1117" s="62" t="s">
        <v>577</v>
      </c>
      <c r="C1117" s="63"/>
      <c r="D1117" s="64"/>
      <c r="E1117" s="65"/>
      <c r="F1117" s="66"/>
      <c r="G1117" s="63"/>
      <c r="H1117" s="67"/>
      <c r="I1117" s="68"/>
      <c r="J1117" s="68"/>
      <c r="K1117" s="32"/>
      <c r="L1117" s="75">
        <v>1117</v>
      </c>
      <c r="M1117" s="75"/>
      <c r="N1117" s="70"/>
      <c r="O1117" s="77" t="s">
        <v>179</v>
      </c>
      <c r="P1117" s="79">
        <v>45072.530428240738</v>
      </c>
      <c r="Q1117" s="77" t="s">
        <v>2210</v>
      </c>
      <c r="R1117" s="77">
        <v>0</v>
      </c>
      <c r="S1117" s="77">
        <v>0</v>
      </c>
      <c r="T1117" s="77">
        <v>0</v>
      </c>
      <c r="U1117" s="77">
        <v>0</v>
      </c>
      <c r="V1117" s="77">
        <v>18</v>
      </c>
      <c r="W1117" s="82" t="s">
        <v>4871</v>
      </c>
      <c r="X1117" s="80" t="str">
        <f>HYPERLINK("https://portalfinancaspessoais.com.br/?p=1618")</f>
        <v>https://portalfinancaspessoais.com.br/?p=1618</v>
      </c>
      <c r="Y1117" s="77" t="s">
        <v>6002</v>
      </c>
      <c r="Z1117" s="77"/>
      <c r="AA1117" s="77" t="s">
        <v>6841</v>
      </c>
      <c r="AB1117" s="77" t="s">
        <v>7696</v>
      </c>
      <c r="AC1117" s="82" t="s">
        <v>7710</v>
      </c>
      <c r="AD1117" s="77" t="s">
        <v>7745</v>
      </c>
      <c r="AE1117" s="80" t="str">
        <f>HYPERLINK("https://twitter.com/financasportal/status/1662077074704674819")</f>
        <v>https://twitter.com/financasportal/status/1662077074704674819</v>
      </c>
      <c r="AF1117" s="79">
        <v>45072.530428240738</v>
      </c>
      <c r="AG1117" s="85">
        <v>45072</v>
      </c>
      <c r="AH1117" s="82" t="s">
        <v>8744</v>
      </c>
      <c r="AI1117" s="77" t="b">
        <v>0</v>
      </c>
      <c r="AJ1117" s="77"/>
      <c r="AK1117" s="77"/>
      <c r="AL1117" s="77"/>
      <c r="AM1117" s="77"/>
      <c r="AN1117" s="77"/>
      <c r="AO1117" s="77"/>
      <c r="AP1117" s="77"/>
      <c r="AQ1117" s="77" t="s">
        <v>11348</v>
      </c>
      <c r="AR1117" s="77"/>
      <c r="AS1117" s="77"/>
      <c r="AT1117" s="77"/>
      <c r="AU1117" s="77"/>
      <c r="AV1117" s="80" t="str">
        <f>HYPERLINK("https://pbs.twimg.com/media/FxDiSmpXsAADGJv.jpg")</f>
        <v>https://pbs.twimg.com/media/FxDiSmpXsAADGJv.jpg</v>
      </c>
      <c r="AW1117" s="82" t="s">
        <v>13299</v>
      </c>
      <c r="AX1117" s="82" t="s">
        <v>13299</v>
      </c>
      <c r="AY1117" s="77"/>
      <c r="AZ1117" s="82" t="s">
        <v>15804</v>
      </c>
      <c r="BA1117" s="82" t="s">
        <v>15804</v>
      </c>
      <c r="BB1117" s="82" t="s">
        <v>15804</v>
      </c>
      <c r="BC1117" s="82" t="s">
        <v>13299</v>
      </c>
      <c r="BD1117" s="82" t="s">
        <v>16336</v>
      </c>
      <c r="BE1117" s="77"/>
      <c r="BF1117" s="77"/>
      <c r="BG1117" s="77"/>
      <c r="BH1117" s="77"/>
      <c r="BI1117" s="77"/>
    </row>
    <row r="1118" spans="1:61" x14ac:dyDescent="0.25">
      <c r="A1118" s="62" t="s">
        <v>577</v>
      </c>
      <c r="B1118" s="62" t="s">
        <v>577</v>
      </c>
      <c r="C1118" s="63"/>
      <c r="D1118" s="64"/>
      <c r="E1118" s="65"/>
      <c r="F1118" s="66"/>
      <c r="G1118" s="63"/>
      <c r="H1118" s="67"/>
      <c r="I1118" s="68"/>
      <c r="J1118" s="68"/>
      <c r="K1118" s="32"/>
      <c r="L1118" s="75">
        <v>1118</v>
      </c>
      <c r="M1118" s="75"/>
      <c r="N1118" s="70"/>
      <c r="O1118" s="77" t="s">
        <v>179</v>
      </c>
      <c r="P1118" s="79">
        <v>45037.5390625</v>
      </c>
      <c r="Q1118" s="77" t="s">
        <v>2211</v>
      </c>
      <c r="R1118" s="77">
        <v>0</v>
      </c>
      <c r="S1118" s="77">
        <v>0</v>
      </c>
      <c r="T1118" s="77">
        <v>0</v>
      </c>
      <c r="U1118" s="77">
        <v>0</v>
      </c>
      <c r="V1118" s="77">
        <v>3</v>
      </c>
      <c r="W1118" s="82" t="s">
        <v>4868</v>
      </c>
      <c r="X1118" s="80" t="str">
        <f>HYPERLINK("https://portalfinancaspessoais.com.br/?p=1258")</f>
        <v>https://portalfinancaspessoais.com.br/?p=1258</v>
      </c>
      <c r="Y1118" s="77" t="s">
        <v>6002</v>
      </c>
      <c r="Z1118" s="77"/>
      <c r="AA1118" s="77" t="s">
        <v>6842</v>
      </c>
      <c r="AB1118" s="77" t="s">
        <v>7696</v>
      </c>
      <c r="AC1118" s="82" t="s">
        <v>7710</v>
      </c>
      <c r="AD1118" s="77" t="s">
        <v>7745</v>
      </c>
      <c r="AE1118" s="80" t="str">
        <f>HYPERLINK("https://twitter.com/financasportal/status/1649396628111982592")</f>
        <v>https://twitter.com/financasportal/status/1649396628111982592</v>
      </c>
      <c r="AF1118" s="79">
        <v>45037.5390625</v>
      </c>
      <c r="AG1118" s="85">
        <v>45037</v>
      </c>
      <c r="AH1118" s="82" t="s">
        <v>8745</v>
      </c>
      <c r="AI1118" s="77" t="b">
        <v>0</v>
      </c>
      <c r="AJ1118" s="77"/>
      <c r="AK1118" s="77"/>
      <c r="AL1118" s="77"/>
      <c r="AM1118" s="77"/>
      <c r="AN1118" s="77"/>
      <c r="AO1118" s="77"/>
      <c r="AP1118" s="77"/>
      <c r="AQ1118" s="77" t="s">
        <v>11349</v>
      </c>
      <c r="AR1118" s="77"/>
      <c r="AS1118" s="77"/>
      <c r="AT1118" s="77"/>
      <c r="AU1118" s="77"/>
      <c r="AV1118" s="80" t="str">
        <f>HYPERLINK("https://pbs.twimg.com/media/FuPVfjGXwA0z1Db.jpg")</f>
        <v>https://pbs.twimg.com/media/FuPVfjGXwA0z1Db.jpg</v>
      </c>
      <c r="AW1118" s="82" t="s">
        <v>13300</v>
      </c>
      <c r="AX1118" s="82" t="s">
        <v>13300</v>
      </c>
      <c r="AY1118" s="77"/>
      <c r="AZ1118" s="82" t="s">
        <v>15804</v>
      </c>
      <c r="BA1118" s="82" t="s">
        <v>15804</v>
      </c>
      <c r="BB1118" s="82" t="s">
        <v>15804</v>
      </c>
      <c r="BC1118" s="82" t="s">
        <v>13300</v>
      </c>
      <c r="BD1118" s="82" t="s">
        <v>16336</v>
      </c>
      <c r="BE1118" s="77"/>
      <c r="BF1118" s="77"/>
      <c r="BG1118" s="77"/>
      <c r="BH1118" s="77"/>
      <c r="BI1118" s="77"/>
    </row>
    <row r="1119" spans="1:61" x14ac:dyDescent="0.25">
      <c r="A1119" s="62" t="s">
        <v>577</v>
      </c>
      <c r="B1119" s="62" t="s">
        <v>577</v>
      </c>
      <c r="C1119" s="63"/>
      <c r="D1119" s="64"/>
      <c r="E1119" s="65"/>
      <c r="F1119" s="66"/>
      <c r="G1119" s="63"/>
      <c r="H1119" s="67"/>
      <c r="I1119" s="68"/>
      <c r="J1119" s="68"/>
      <c r="K1119" s="32"/>
      <c r="L1119" s="75">
        <v>1119</v>
      </c>
      <c r="M1119" s="75"/>
      <c r="N1119" s="70"/>
      <c r="O1119" s="77" t="s">
        <v>179</v>
      </c>
      <c r="P1119" s="79">
        <v>45036.539583333331</v>
      </c>
      <c r="Q1119" s="77" t="s">
        <v>2212</v>
      </c>
      <c r="R1119" s="77">
        <v>0</v>
      </c>
      <c r="S1119" s="77">
        <v>0</v>
      </c>
      <c r="T1119" s="77">
        <v>0</v>
      </c>
      <c r="U1119" s="77">
        <v>0</v>
      </c>
      <c r="V1119" s="77">
        <v>1</v>
      </c>
      <c r="W1119" s="82" t="s">
        <v>4868</v>
      </c>
      <c r="X1119" s="80" t="str">
        <f>HYPERLINK("https://portalfinancaspessoais.com.br/?p=1256")</f>
        <v>https://portalfinancaspessoais.com.br/?p=1256</v>
      </c>
      <c r="Y1119" s="77" t="s">
        <v>6002</v>
      </c>
      <c r="Z1119" s="77"/>
      <c r="AA1119" s="77" t="s">
        <v>6843</v>
      </c>
      <c r="AB1119" s="77" t="s">
        <v>7696</v>
      </c>
      <c r="AC1119" s="82" t="s">
        <v>7710</v>
      </c>
      <c r="AD1119" s="77" t="s">
        <v>7745</v>
      </c>
      <c r="AE1119" s="80" t="str">
        <f>HYPERLINK("https://twitter.com/financasportal/status/1649034431976407041")</f>
        <v>https://twitter.com/financasportal/status/1649034431976407041</v>
      </c>
      <c r="AF1119" s="79">
        <v>45036.539583333331</v>
      </c>
      <c r="AG1119" s="85">
        <v>45036</v>
      </c>
      <c r="AH1119" s="82" t="s">
        <v>8746</v>
      </c>
      <c r="AI1119" s="77" t="b">
        <v>0</v>
      </c>
      <c r="AJ1119" s="77"/>
      <c r="AK1119" s="77"/>
      <c r="AL1119" s="77"/>
      <c r="AM1119" s="77"/>
      <c r="AN1119" s="77"/>
      <c r="AO1119" s="77"/>
      <c r="AP1119" s="77"/>
      <c r="AQ1119" s="77" t="s">
        <v>11350</v>
      </c>
      <c r="AR1119" s="77"/>
      <c r="AS1119" s="77"/>
      <c r="AT1119" s="77"/>
      <c r="AU1119" s="77"/>
      <c r="AV1119" s="80" t="str">
        <f>HYPERLINK("https://pbs.twimg.com/media/FuKME5_WYAE75gt.jpg")</f>
        <v>https://pbs.twimg.com/media/FuKME5_WYAE75gt.jpg</v>
      </c>
      <c r="AW1119" s="82" t="s">
        <v>13301</v>
      </c>
      <c r="AX1119" s="82" t="s">
        <v>13301</v>
      </c>
      <c r="AY1119" s="77"/>
      <c r="AZ1119" s="82" t="s">
        <v>15804</v>
      </c>
      <c r="BA1119" s="82" t="s">
        <v>15804</v>
      </c>
      <c r="BB1119" s="82" t="s">
        <v>15804</v>
      </c>
      <c r="BC1119" s="82" t="s">
        <v>13301</v>
      </c>
      <c r="BD1119" s="82" t="s">
        <v>16336</v>
      </c>
      <c r="BE1119" s="77"/>
      <c r="BF1119" s="77"/>
      <c r="BG1119" s="77"/>
      <c r="BH1119" s="77"/>
      <c r="BI1119" s="77"/>
    </row>
    <row r="1120" spans="1:61" x14ac:dyDescent="0.25">
      <c r="A1120" s="62" t="s">
        <v>577</v>
      </c>
      <c r="B1120" s="62" t="s">
        <v>577</v>
      </c>
      <c r="C1120" s="63"/>
      <c r="D1120" s="64"/>
      <c r="E1120" s="65"/>
      <c r="F1120" s="66"/>
      <c r="G1120" s="63"/>
      <c r="H1120" s="67"/>
      <c r="I1120" s="68"/>
      <c r="J1120" s="68"/>
      <c r="K1120" s="32"/>
      <c r="L1120" s="75">
        <v>1120</v>
      </c>
      <c r="M1120" s="75"/>
      <c r="N1120" s="70"/>
      <c r="O1120" s="77" t="s">
        <v>179</v>
      </c>
      <c r="P1120" s="79">
        <v>45035.517708333333</v>
      </c>
      <c r="Q1120" s="77" t="s">
        <v>2213</v>
      </c>
      <c r="R1120" s="77">
        <v>0</v>
      </c>
      <c r="S1120" s="77">
        <v>1</v>
      </c>
      <c r="T1120" s="77">
        <v>0</v>
      </c>
      <c r="U1120" s="77">
        <v>0</v>
      </c>
      <c r="V1120" s="77">
        <v>19</v>
      </c>
      <c r="W1120" s="82" t="s">
        <v>4868</v>
      </c>
      <c r="X1120" s="80" t="str">
        <f>HYPERLINK("https://portalfinancaspessoais.com.br/?p=1303")</f>
        <v>https://portalfinancaspessoais.com.br/?p=1303</v>
      </c>
      <c r="Y1120" s="77" t="s">
        <v>6002</v>
      </c>
      <c r="Z1120" s="77"/>
      <c r="AA1120" s="77" t="s">
        <v>6844</v>
      </c>
      <c r="AB1120" s="77" t="s">
        <v>7696</v>
      </c>
      <c r="AC1120" s="82" t="s">
        <v>7710</v>
      </c>
      <c r="AD1120" s="77" t="s">
        <v>7745</v>
      </c>
      <c r="AE1120" s="80" t="str">
        <f>HYPERLINK("https://twitter.com/financasportal/status/1648664113910894592")</f>
        <v>https://twitter.com/financasportal/status/1648664113910894592</v>
      </c>
      <c r="AF1120" s="79">
        <v>45035.517708333333</v>
      </c>
      <c r="AG1120" s="85">
        <v>45035</v>
      </c>
      <c r="AH1120" s="82" t="s">
        <v>8747</v>
      </c>
      <c r="AI1120" s="77" t="b">
        <v>0</v>
      </c>
      <c r="AJ1120" s="77"/>
      <c r="AK1120" s="77"/>
      <c r="AL1120" s="77"/>
      <c r="AM1120" s="77"/>
      <c r="AN1120" s="77"/>
      <c r="AO1120" s="77"/>
      <c r="AP1120" s="77"/>
      <c r="AQ1120" s="77" t="s">
        <v>11351</v>
      </c>
      <c r="AR1120" s="77"/>
      <c r="AS1120" s="77"/>
      <c r="AT1120" s="77"/>
      <c r="AU1120" s="77"/>
      <c r="AV1120" s="80" t="str">
        <f>HYPERLINK("https://pbs.twimg.com/media/FuE7RlSWcAE498o.jpg")</f>
        <v>https://pbs.twimg.com/media/FuE7RlSWcAE498o.jpg</v>
      </c>
      <c r="AW1120" s="82" t="s">
        <v>13302</v>
      </c>
      <c r="AX1120" s="82" t="s">
        <v>13302</v>
      </c>
      <c r="AY1120" s="77"/>
      <c r="AZ1120" s="82" t="s">
        <v>15804</v>
      </c>
      <c r="BA1120" s="82" t="s">
        <v>15804</v>
      </c>
      <c r="BB1120" s="82" t="s">
        <v>15804</v>
      </c>
      <c r="BC1120" s="82" t="s">
        <v>13302</v>
      </c>
      <c r="BD1120" s="82" t="s">
        <v>16336</v>
      </c>
      <c r="BE1120" s="77"/>
      <c r="BF1120" s="77"/>
      <c r="BG1120" s="77"/>
      <c r="BH1120" s="77"/>
      <c r="BI1120" s="77"/>
    </row>
    <row r="1121" spans="1:61" x14ac:dyDescent="0.25">
      <c r="A1121" s="62" t="s">
        <v>577</v>
      </c>
      <c r="B1121" s="62" t="s">
        <v>577</v>
      </c>
      <c r="C1121" s="63"/>
      <c r="D1121" s="64"/>
      <c r="E1121" s="65"/>
      <c r="F1121" s="66"/>
      <c r="G1121" s="63"/>
      <c r="H1121" s="67"/>
      <c r="I1121" s="68"/>
      <c r="J1121" s="68"/>
      <c r="K1121" s="32"/>
      <c r="L1121" s="75">
        <v>1121</v>
      </c>
      <c r="M1121" s="75"/>
      <c r="N1121" s="70"/>
      <c r="O1121" s="77" t="s">
        <v>179</v>
      </c>
      <c r="P1121" s="79">
        <v>45034.547268518516</v>
      </c>
      <c r="Q1121" s="77" t="s">
        <v>2214</v>
      </c>
      <c r="R1121" s="77">
        <v>0</v>
      </c>
      <c r="S1121" s="77">
        <v>1</v>
      </c>
      <c r="T1121" s="77">
        <v>0</v>
      </c>
      <c r="U1121" s="77">
        <v>0</v>
      </c>
      <c r="V1121" s="77">
        <v>12</v>
      </c>
      <c r="W1121" s="82" t="s">
        <v>4868</v>
      </c>
      <c r="X1121" s="80" t="str">
        <f>HYPERLINK("https://portalfinancaspessoais.com.br/?p=1266")</f>
        <v>https://portalfinancaspessoais.com.br/?p=1266</v>
      </c>
      <c r="Y1121" s="77" t="s">
        <v>6002</v>
      </c>
      <c r="Z1121" s="77"/>
      <c r="AA1121" s="77" t="s">
        <v>6845</v>
      </c>
      <c r="AB1121" s="77" t="s">
        <v>7696</v>
      </c>
      <c r="AC1121" s="82" t="s">
        <v>7710</v>
      </c>
      <c r="AD1121" s="77" t="s">
        <v>7745</v>
      </c>
      <c r="AE1121" s="80" t="str">
        <f>HYPERLINK("https://twitter.com/financasportal/status/1648312439350476803")</f>
        <v>https://twitter.com/financasportal/status/1648312439350476803</v>
      </c>
      <c r="AF1121" s="79">
        <v>45034.547268518516</v>
      </c>
      <c r="AG1121" s="85">
        <v>45034</v>
      </c>
      <c r="AH1121" s="82" t="s">
        <v>8748</v>
      </c>
      <c r="AI1121" s="77" t="b">
        <v>0</v>
      </c>
      <c r="AJ1121" s="77"/>
      <c r="AK1121" s="77"/>
      <c r="AL1121" s="77"/>
      <c r="AM1121" s="77"/>
      <c r="AN1121" s="77"/>
      <c r="AO1121" s="77"/>
      <c r="AP1121" s="77"/>
      <c r="AQ1121" s="77" t="s">
        <v>11352</v>
      </c>
      <c r="AR1121" s="77"/>
      <c r="AS1121" s="77"/>
      <c r="AT1121" s="77"/>
      <c r="AU1121" s="77"/>
      <c r="AV1121" s="80" t="str">
        <f>HYPERLINK("https://pbs.twimg.com/media/Ft_7bdaXsAACyj-.jpg")</f>
        <v>https://pbs.twimg.com/media/Ft_7bdaXsAACyj-.jpg</v>
      </c>
      <c r="AW1121" s="82" t="s">
        <v>13303</v>
      </c>
      <c r="AX1121" s="82" t="s">
        <v>13303</v>
      </c>
      <c r="AY1121" s="77"/>
      <c r="AZ1121" s="82" t="s">
        <v>15804</v>
      </c>
      <c r="BA1121" s="82" t="s">
        <v>15804</v>
      </c>
      <c r="BB1121" s="82" t="s">
        <v>15804</v>
      </c>
      <c r="BC1121" s="82" t="s">
        <v>13303</v>
      </c>
      <c r="BD1121" s="82" t="s">
        <v>16336</v>
      </c>
      <c r="BE1121" s="77"/>
      <c r="BF1121" s="77"/>
      <c r="BG1121" s="77"/>
      <c r="BH1121" s="77"/>
      <c r="BI1121" s="77"/>
    </row>
    <row r="1122" spans="1:61" x14ac:dyDescent="0.25">
      <c r="A1122" s="62" t="s">
        <v>577</v>
      </c>
      <c r="B1122" s="62" t="s">
        <v>577</v>
      </c>
      <c r="C1122" s="63"/>
      <c r="D1122" s="64"/>
      <c r="E1122" s="65"/>
      <c r="F1122" s="66"/>
      <c r="G1122" s="63"/>
      <c r="H1122" s="67"/>
      <c r="I1122" s="68"/>
      <c r="J1122" s="68"/>
      <c r="K1122" s="32"/>
      <c r="L1122" s="75">
        <v>1122</v>
      </c>
      <c r="M1122" s="75"/>
      <c r="N1122" s="70"/>
      <c r="O1122" s="77" t="s">
        <v>179</v>
      </c>
      <c r="P1122" s="79">
        <v>45092.503194444442</v>
      </c>
      <c r="Q1122" s="77" t="s">
        <v>2215</v>
      </c>
      <c r="R1122" s="77">
        <v>0</v>
      </c>
      <c r="S1122" s="77">
        <v>0</v>
      </c>
      <c r="T1122" s="77">
        <v>0</v>
      </c>
      <c r="U1122" s="77">
        <v>0</v>
      </c>
      <c r="V1122" s="77">
        <v>4</v>
      </c>
      <c r="W1122" s="82" t="s">
        <v>4868</v>
      </c>
      <c r="X1122" s="80" t="str">
        <f>HYPERLINK("https://portalfinancaspessoais.com.br/?p=2051")</f>
        <v>https://portalfinancaspessoais.com.br/?p=2051</v>
      </c>
      <c r="Y1122" s="77" t="s">
        <v>6002</v>
      </c>
      <c r="Z1122" s="77"/>
      <c r="AA1122" s="77" t="s">
        <v>6846</v>
      </c>
      <c r="AB1122" s="77" t="s">
        <v>7696</v>
      </c>
      <c r="AC1122" s="82" t="s">
        <v>7710</v>
      </c>
      <c r="AD1122" s="77" t="s">
        <v>7745</v>
      </c>
      <c r="AE1122" s="80" t="str">
        <f>HYPERLINK("https://twitter.com/financasportal/status/1669314966132850691")</f>
        <v>https://twitter.com/financasportal/status/1669314966132850691</v>
      </c>
      <c r="AF1122" s="79">
        <v>45092.503194444442</v>
      </c>
      <c r="AG1122" s="85">
        <v>45092</v>
      </c>
      <c r="AH1122" s="82" t="s">
        <v>8749</v>
      </c>
      <c r="AI1122" s="77" t="b">
        <v>0</v>
      </c>
      <c r="AJ1122" s="77"/>
      <c r="AK1122" s="77"/>
      <c r="AL1122" s="77"/>
      <c r="AM1122" s="77"/>
      <c r="AN1122" s="77"/>
      <c r="AO1122" s="77"/>
      <c r="AP1122" s="77"/>
      <c r="AQ1122" s="77" t="s">
        <v>11353</v>
      </c>
      <c r="AR1122" s="77"/>
      <c r="AS1122" s="77"/>
      <c r="AT1122" s="77"/>
      <c r="AU1122" s="77"/>
      <c r="AV1122" s="80" t="str">
        <f>HYPERLINK("https://pbs.twimg.com/media/FyqZHYNX0AAEzw6.jpg")</f>
        <v>https://pbs.twimg.com/media/FyqZHYNX0AAEzw6.jpg</v>
      </c>
      <c r="AW1122" s="82" t="s">
        <v>13304</v>
      </c>
      <c r="AX1122" s="82" t="s">
        <v>13304</v>
      </c>
      <c r="AY1122" s="77"/>
      <c r="AZ1122" s="82" t="s">
        <v>15804</v>
      </c>
      <c r="BA1122" s="82" t="s">
        <v>15804</v>
      </c>
      <c r="BB1122" s="82" t="s">
        <v>15804</v>
      </c>
      <c r="BC1122" s="82" t="s">
        <v>13304</v>
      </c>
      <c r="BD1122" s="82" t="s">
        <v>16336</v>
      </c>
      <c r="BE1122" s="77"/>
      <c r="BF1122" s="77"/>
      <c r="BG1122" s="77"/>
      <c r="BH1122" s="77"/>
      <c r="BI1122" s="77"/>
    </row>
    <row r="1123" spans="1:61" x14ac:dyDescent="0.25">
      <c r="A1123" s="62" t="s">
        <v>577</v>
      </c>
      <c r="B1123" s="62" t="s">
        <v>577</v>
      </c>
      <c r="C1123" s="63"/>
      <c r="D1123" s="64"/>
      <c r="E1123" s="65"/>
      <c r="F1123" s="66"/>
      <c r="G1123" s="63"/>
      <c r="H1123" s="67"/>
      <c r="I1123" s="68"/>
      <c r="J1123" s="68"/>
      <c r="K1123" s="32"/>
      <c r="L1123" s="75">
        <v>1123</v>
      </c>
      <c r="M1123" s="75"/>
      <c r="N1123" s="70"/>
      <c r="O1123" s="77" t="s">
        <v>179</v>
      </c>
      <c r="P1123" s="79">
        <v>45090.542037037034</v>
      </c>
      <c r="Q1123" s="77" t="s">
        <v>2216</v>
      </c>
      <c r="R1123" s="77">
        <v>0</v>
      </c>
      <c r="S1123" s="77">
        <v>0</v>
      </c>
      <c r="T1123" s="77">
        <v>0</v>
      </c>
      <c r="U1123" s="77">
        <v>0</v>
      </c>
      <c r="V1123" s="77">
        <v>4</v>
      </c>
      <c r="W1123" s="82" t="s">
        <v>4872</v>
      </c>
      <c r="X1123" s="80" t="str">
        <f>HYPERLINK("https://portalfinancaspessoais.com.br/?p=1462")</f>
        <v>https://portalfinancaspessoais.com.br/?p=1462</v>
      </c>
      <c r="Y1123" s="77" t="s">
        <v>6002</v>
      </c>
      <c r="Z1123" s="77"/>
      <c r="AA1123" s="77" t="s">
        <v>6847</v>
      </c>
      <c r="AB1123" s="77" t="s">
        <v>7696</v>
      </c>
      <c r="AC1123" s="82" t="s">
        <v>7710</v>
      </c>
      <c r="AD1123" s="77" t="s">
        <v>7745</v>
      </c>
      <c r="AE1123" s="80" t="str">
        <f>HYPERLINK("https://twitter.com/financasportal/status/1668604264023826432")</f>
        <v>https://twitter.com/financasportal/status/1668604264023826432</v>
      </c>
      <c r="AF1123" s="79">
        <v>45090.542037037034</v>
      </c>
      <c r="AG1123" s="85">
        <v>45090</v>
      </c>
      <c r="AH1123" s="82" t="s">
        <v>8750</v>
      </c>
      <c r="AI1123" s="77" t="b">
        <v>0</v>
      </c>
      <c r="AJ1123" s="77"/>
      <c r="AK1123" s="77"/>
      <c r="AL1123" s="77"/>
      <c r="AM1123" s="77"/>
      <c r="AN1123" s="77"/>
      <c r="AO1123" s="77"/>
      <c r="AP1123" s="77"/>
      <c r="AQ1123" s="77" t="s">
        <v>11354</v>
      </c>
      <c r="AR1123" s="77"/>
      <c r="AS1123" s="77"/>
      <c r="AT1123" s="77"/>
      <c r="AU1123" s="77"/>
      <c r="AV1123" s="80" t="str">
        <f>HYPERLINK("https://pbs.twimg.com/media/FygSvCiWAAA-Quu.jpg")</f>
        <v>https://pbs.twimg.com/media/FygSvCiWAAA-Quu.jpg</v>
      </c>
      <c r="AW1123" s="82" t="s">
        <v>13305</v>
      </c>
      <c r="AX1123" s="82" t="s">
        <v>13305</v>
      </c>
      <c r="AY1123" s="77"/>
      <c r="AZ1123" s="82" t="s">
        <v>15804</v>
      </c>
      <c r="BA1123" s="82" t="s">
        <v>15804</v>
      </c>
      <c r="BB1123" s="82" t="s">
        <v>15804</v>
      </c>
      <c r="BC1123" s="82" t="s">
        <v>13305</v>
      </c>
      <c r="BD1123" s="82" t="s">
        <v>16336</v>
      </c>
      <c r="BE1123" s="77"/>
      <c r="BF1123" s="77"/>
      <c r="BG1123" s="77"/>
      <c r="BH1123" s="77"/>
      <c r="BI1123" s="77"/>
    </row>
    <row r="1124" spans="1:61" x14ac:dyDescent="0.25">
      <c r="A1124" s="62" t="s">
        <v>577</v>
      </c>
      <c r="B1124" s="62" t="s">
        <v>577</v>
      </c>
      <c r="C1124" s="63"/>
      <c r="D1124" s="64"/>
      <c r="E1124" s="65"/>
      <c r="F1124" s="66"/>
      <c r="G1124" s="63"/>
      <c r="H1124" s="67"/>
      <c r="I1124" s="68"/>
      <c r="J1124" s="68"/>
      <c r="K1124" s="32"/>
      <c r="L1124" s="75">
        <v>1124</v>
      </c>
      <c r="M1124" s="75"/>
      <c r="N1124" s="70"/>
      <c r="O1124" s="77" t="s">
        <v>179</v>
      </c>
      <c r="P1124" s="79">
        <v>45077.536134259259</v>
      </c>
      <c r="Q1124" s="77" t="s">
        <v>2217</v>
      </c>
      <c r="R1124" s="77">
        <v>0</v>
      </c>
      <c r="S1124" s="77">
        <v>0</v>
      </c>
      <c r="T1124" s="77">
        <v>0</v>
      </c>
      <c r="U1124" s="77">
        <v>0</v>
      </c>
      <c r="V1124" s="77">
        <v>26</v>
      </c>
      <c r="W1124" s="82" t="s">
        <v>4868</v>
      </c>
      <c r="X1124" s="80" t="str">
        <f>HYPERLINK("https://portalfinancaspessoais.com.br/?p=1671")</f>
        <v>https://portalfinancaspessoais.com.br/?p=1671</v>
      </c>
      <c r="Y1124" s="77" t="s">
        <v>6002</v>
      </c>
      <c r="Z1124" s="77"/>
      <c r="AA1124" s="77" t="s">
        <v>6848</v>
      </c>
      <c r="AB1124" s="77" t="s">
        <v>7696</v>
      </c>
      <c r="AC1124" s="82" t="s">
        <v>7710</v>
      </c>
      <c r="AD1124" s="77" t="s">
        <v>7745</v>
      </c>
      <c r="AE1124" s="80" t="str">
        <f>HYPERLINK("https://twitter.com/financasportal/status/1663891085309902851")</f>
        <v>https://twitter.com/financasportal/status/1663891085309902851</v>
      </c>
      <c r="AF1124" s="79">
        <v>45077.536134259259</v>
      </c>
      <c r="AG1124" s="85">
        <v>45077</v>
      </c>
      <c r="AH1124" s="82" t="s">
        <v>8751</v>
      </c>
      <c r="AI1124" s="77" t="b">
        <v>0</v>
      </c>
      <c r="AJ1124" s="77"/>
      <c r="AK1124" s="77"/>
      <c r="AL1124" s="77"/>
      <c r="AM1124" s="77"/>
      <c r="AN1124" s="77"/>
      <c r="AO1124" s="77"/>
      <c r="AP1124" s="77"/>
      <c r="AQ1124" s="77" t="s">
        <v>11355</v>
      </c>
      <c r="AR1124" s="77"/>
      <c r="AS1124" s="77"/>
      <c r="AT1124" s="77"/>
      <c r="AU1124" s="77"/>
      <c r="AV1124" s="80" t="str">
        <f>HYPERLINK("https://pbs.twimg.com/media/FxdUH-nWcAEn-xt.jpg")</f>
        <v>https://pbs.twimg.com/media/FxdUH-nWcAEn-xt.jpg</v>
      </c>
      <c r="AW1124" s="82" t="s">
        <v>13306</v>
      </c>
      <c r="AX1124" s="82" t="s">
        <v>13306</v>
      </c>
      <c r="AY1124" s="77"/>
      <c r="AZ1124" s="82" t="s">
        <v>15804</v>
      </c>
      <c r="BA1124" s="82" t="s">
        <v>15804</v>
      </c>
      <c r="BB1124" s="82" t="s">
        <v>15804</v>
      </c>
      <c r="BC1124" s="82" t="s">
        <v>13306</v>
      </c>
      <c r="BD1124" s="82" t="s">
        <v>16336</v>
      </c>
      <c r="BE1124" s="77"/>
      <c r="BF1124" s="77"/>
      <c r="BG1124" s="77"/>
      <c r="BH1124" s="77"/>
      <c r="BI1124" s="77"/>
    </row>
    <row r="1125" spans="1:61" x14ac:dyDescent="0.25">
      <c r="A1125" s="62" t="s">
        <v>577</v>
      </c>
      <c r="B1125" s="62" t="s">
        <v>577</v>
      </c>
      <c r="C1125" s="63"/>
      <c r="D1125" s="64"/>
      <c r="E1125" s="65"/>
      <c r="F1125" s="66"/>
      <c r="G1125" s="63"/>
      <c r="H1125" s="67"/>
      <c r="I1125" s="68"/>
      <c r="J1125" s="68"/>
      <c r="K1125" s="32"/>
      <c r="L1125" s="75">
        <v>1125</v>
      </c>
      <c r="M1125" s="75"/>
      <c r="N1125" s="70"/>
      <c r="O1125" s="77" t="s">
        <v>179</v>
      </c>
      <c r="P1125" s="79">
        <v>45070.523090277777</v>
      </c>
      <c r="Q1125" s="77" t="s">
        <v>2218</v>
      </c>
      <c r="R1125" s="77">
        <v>0</v>
      </c>
      <c r="S1125" s="77">
        <v>0</v>
      </c>
      <c r="T1125" s="77">
        <v>0</v>
      </c>
      <c r="U1125" s="77">
        <v>0</v>
      </c>
      <c r="V1125" s="77">
        <v>25</v>
      </c>
      <c r="W1125" s="82" t="s">
        <v>4870</v>
      </c>
      <c r="X1125" s="80" t="str">
        <f>HYPERLINK("https://portalfinancaspessoais.com.br/?p=1614")</f>
        <v>https://portalfinancaspessoais.com.br/?p=1614</v>
      </c>
      <c r="Y1125" s="77" t="s">
        <v>6002</v>
      </c>
      <c r="Z1125" s="77"/>
      <c r="AA1125" s="77" t="s">
        <v>6849</v>
      </c>
      <c r="AB1125" s="77" t="s">
        <v>7696</v>
      </c>
      <c r="AC1125" s="82" t="s">
        <v>7710</v>
      </c>
      <c r="AD1125" s="77" t="s">
        <v>7745</v>
      </c>
      <c r="AE1125" s="80" t="str">
        <f>HYPERLINK("https://twitter.com/financasportal/status/1661349642133446658")</f>
        <v>https://twitter.com/financasportal/status/1661349642133446658</v>
      </c>
      <c r="AF1125" s="79">
        <v>45070.523090277777</v>
      </c>
      <c r="AG1125" s="85">
        <v>45070</v>
      </c>
      <c r="AH1125" s="82" t="s">
        <v>8752</v>
      </c>
      <c r="AI1125" s="77" t="b">
        <v>0</v>
      </c>
      <c r="AJ1125" s="77"/>
      <c r="AK1125" s="77"/>
      <c r="AL1125" s="77"/>
      <c r="AM1125" s="77"/>
      <c r="AN1125" s="77"/>
      <c r="AO1125" s="77"/>
      <c r="AP1125" s="77"/>
      <c r="AQ1125" s="77" t="s">
        <v>11356</v>
      </c>
      <c r="AR1125" s="77"/>
      <c r="AS1125" s="77"/>
      <c r="AT1125" s="77"/>
      <c r="AU1125" s="77"/>
      <c r="AV1125" s="80" t="str">
        <f>HYPERLINK("https://pbs.twimg.com/media/Fw5MshqXgAAncyf.jpg")</f>
        <v>https://pbs.twimg.com/media/Fw5MshqXgAAncyf.jpg</v>
      </c>
      <c r="AW1125" s="82" t="s">
        <v>13307</v>
      </c>
      <c r="AX1125" s="82" t="s">
        <v>13307</v>
      </c>
      <c r="AY1125" s="77"/>
      <c r="AZ1125" s="82" t="s">
        <v>15804</v>
      </c>
      <c r="BA1125" s="82" t="s">
        <v>15804</v>
      </c>
      <c r="BB1125" s="82" t="s">
        <v>15804</v>
      </c>
      <c r="BC1125" s="82" t="s">
        <v>13307</v>
      </c>
      <c r="BD1125" s="82" t="s">
        <v>16336</v>
      </c>
      <c r="BE1125" s="77"/>
      <c r="BF1125" s="77"/>
      <c r="BG1125" s="77"/>
      <c r="BH1125" s="77"/>
      <c r="BI1125" s="77"/>
    </row>
    <row r="1126" spans="1:61" x14ac:dyDescent="0.25">
      <c r="A1126" s="62" t="s">
        <v>577</v>
      </c>
      <c r="B1126" s="62" t="s">
        <v>577</v>
      </c>
      <c r="C1126" s="63"/>
      <c r="D1126" s="64"/>
      <c r="E1126" s="65"/>
      <c r="F1126" s="66"/>
      <c r="G1126" s="63"/>
      <c r="H1126" s="67"/>
      <c r="I1126" s="68"/>
      <c r="J1126" s="68"/>
      <c r="K1126" s="32"/>
      <c r="L1126" s="75">
        <v>1126</v>
      </c>
      <c r="M1126" s="75"/>
      <c r="N1126" s="70"/>
      <c r="O1126" s="77" t="s">
        <v>179</v>
      </c>
      <c r="P1126" s="79">
        <v>45050.51258101852</v>
      </c>
      <c r="Q1126" s="77" t="s">
        <v>2219</v>
      </c>
      <c r="R1126" s="77">
        <v>0</v>
      </c>
      <c r="S1126" s="77">
        <v>0</v>
      </c>
      <c r="T1126" s="77">
        <v>0</v>
      </c>
      <c r="U1126" s="77">
        <v>0</v>
      </c>
      <c r="V1126" s="77">
        <v>16</v>
      </c>
      <c r="W1126" s="82" t="s">
        <v>4868</v>
      </c>
      <c r="X1126" s="80" t="str">
        <f>HYPERLINK("https://portalfinancaspessoais.com.br/?p=1429")</f>
        <v>https://portalfinancaspessoais.com.br/?p=1429</v>
      </c>
      <c r="Y1126" s="77" t="s">
        <v>6002</v>
      </c>
      <c r="Z1126" s="77"/>
      <c r="AA1126" s="77" t="s">
        <v>6850</v>
      </c>
      <c r="AB1126" s="77" t="s">
        <v>7696</v>
      </c>
      <c r="AC1126" s="82" t="s">
        <v>7710</v>
      </c>
      <c r="AD1126" s="77" t="s">
        <v>7745</v>
      </c>
      <c r="AE1126" s="80" t="str">
        <f>HYPERLINK("https://twitter.com/financasportal/status/1654098075193950213")</f>
        <v>https://twitter.com/financasportal/status/1654098075193950213</v>
      </c>
      <c r="AF1126" s="79">
        <v>45050.51258101852</v>
      </c>
      <c r="AG1126" s="85">
        <v>45050</v>
      </c>
      <c r="AH1126" s="82" t="s">
        <v>8753</v>
      </c>
      <c r="AI1126" s="77" t="b">
        <v>0</v>
      </c>
      <c r="AJ1126" s="77"/>
      <c r="AK1126" s="77"/>
      <c r="AL1126" s="77"/>
      <c r="AM1126" s="77"/>
      <c r="AN1126" s="77"/>
      <c r="AO1126" s="77"/>
      <c r="AP1126" s="77"/>
      <c r="AQ1126" s="77" t="s">
        <v>11357</v>
      </c>
      <c r="AR1126" s="77"/>
      <c r="AS1126" s="77"/>
      <c r="AT1126" s="77"/>
      <c r="AU1126" s="77"/>
      <c r="AV1126" s="80" t="str">
        <f>HYPERLINK("https://pbs.twimg.com/media/FvSJbwZXoAYIWdO.jpg")</f>
        <v>https://pbs.twimg.com/media/FvSJbwZXoAYIWdO.jpg</v>
      </c>
      <c r="AW1126" s="82" t="s">
        <v>13308</v>
      </c>
      <c r="AX1126" s="82" t="s">
        <v>13308</v>
      </c>
      <c r="AY1126" s="77"/>
      <c r="AZ1126" s="82" t="s">
        <v>15804</v>
      </c>
      <c r="BA1126" s="82" t="s">
        <v>15804</v>
      </c>
      <c r="BB1126" s="82" t="s">
        <v>15804</v>
      </c>
      <c r="BC1126" s="82" t="s">
        <v>13308</v>
      </c>
      <c r="BD1126" s="82" t="s">
        <v>16336</v>
      </c>
      <c r="BE1126" s="77"/>
      <c r="BF1126" s="77"/>
      <c r="BG1126" s="77"/>
      <c r="BH1126" s="77"/>
      <c r="BI1126" s="77"/>
    </row>
    <row r="1127" spans="1:61" x14ac:dyDescent="0.25">
      <c r="A1127" s="62" t="s">
        <v>577</v>
      </c>
      <c r="B1127" s="62" t="s">
        <v>577</v>
      </c>
      <c r="C1127" s="63"/>
      <c r="D1127" s="64"/>
      <c r="E1127" s="65"/>
      <c r="F1127" s="66"/>
      <c r="G1127" s="63"/>
      <c r="H1127" s="67"/>
      <c r="I1127" s="68"/>
      <c r="J1127" s="68"/>
      <c r="K1127" s="32"/>
      <c r="L1127" s="75">
        <v>1127</v>
      </c>
      <c r="M1127" s="75"/>
      <c r="N1127" s="70"/>
      <c r="O1127" s="77" t="s">
        <v>179</v>
      </c>
      <c r="P1127" s="79">
        <v>45044.52034722222</v>
      </c>
      <c r="Q1127" s="77" t="s">
        <v>2220</v>
      </c>
      <c r="R1127" s="77">
        <v>0</v>
      </c>
      <c r="S1127" s="77">
        <v>0</v>
      </c>
      <c r="T1127" s="77">
        <v>0</v>
      </c>
      <c r="U1127" s="77">
        <v>0</v>
      </c>
      <c r="V1127" s="77">
        <v>12</v>
      </c>
      <c r="W1127" s="82" t="s">
        <v>4869</v>
      </c>
      <c r="X1127" s="80" t="str">
        <f>HYPERLINK("https://portalfinancaspessoais.com.br/?p=1177")</f>
        <v>https://portalfinancaspessoais.com.br/?p=1177</v>
      </c>
      <c r="Y1127" s="77" t="s">
        <v>6002</v>
      </c>
      <c r="Z1127" s="77"/>
      <c r="AA1127" s="77" t="s">
        <v>6851</v>
      </c>
      <c r="AB1127" s="77" t="s">
        <v>7696</v>
      </c>
      <c r="AC1127" s="82" t="s">
        <v>7710</v>
      </c>
      <c r="AD1127" s="77" t="s">
        <v>7745</v>
      </c>
      <c r="AE1127" s="80" t="str">
        <f>HYPERLINK("https://twitter.com/financasportal/status/1651926563363995650")</f>
        <v>https://twitter.com/financasportal/status/1651926563363995650</v>
      </c>
      <c r="AF1127" s="79">
        <v>45044.52034722222</v>
      </c>
      <c r="AG1127" s="85">
        <v>45044</v>
      </c>
      <c r="AH1127" s="82" t="s">
        <v>8754</v>
      </c>
      <c r="AI1127" s="77" t="b">
        <v>0</v>
      </c>
      <c r="AJ1127" s="77"/>
      <c r="AK1127" s="77"/>
      <c r="AL1127" s="77"/>
      <c r="AM1127" s="77"/>
      <c r="AN1127" s="77"/>
      <c r="AO1127" s="77"/>
      <c r="AP1127" s="77"/>
      <c r="AQ1127" s="77" t="s">
        <v>11358</v>
      </c>
      <c r="AR1127" s="77"/>
      <c r="AS1127" s="77"/>
      <c r="AT1127" s="77"/>
      <c r="AU1127" s="77"/>
      <c r="AV1127" s="80" t="str">
        <f>HYPERLINK("https://pbs.twimg.com/media/FuzSdKXWAAAyqdI.jpg")</f>
        <v>https://pbs.twimg.com/media/FuzSdKXWAAAyqdI.jpg</v>
      </c>
      <c r="AW1127" s="82" t="s">
        <v>13309</v>
      </c>
      <c r="AX1127" s="82" t="s">
        <v>13309</v>
      </c>
      <c r="AY1127" s="77"/>
      <c r="AZ1127" s="82" t="s">
        <v>15804</v>
      </c>
      <c r="BA1127" s="82" t="s">
        <v>15804</v>
      </c>
      <c r="BB1127" s="82" t="s">
        <v>15804</v>
      </c>
      <c r="BC1127" s="82" t="s">
        <v>13309</v>
      </c>
      <c r="BD1127" s="82" t="s">
        <v>16336</v>
      </c>
      <c r="BE1127" s="77"/>
      <c r="BF1127" s="77"/>
      <c r="BG1127" s="77"/>
      <c r="BH1127" s="77"/>
      <c r="BI1127" s="77"/>
    </row>
    <row r="1128" spans="1:61" x14ac:dyDescent="0.25">
      <c r="A1128" s="62" t="s">
        <v>577</v>
      </c>
      <c r="B1128" s="62" t="s">
        <v>577</v>
      </c>
      <c r="C1128" s="63"/>
      <c r="D1128" s="64"/>
      <c r="E1128" s="65"/>
      <c r="F1128" s="66"/>
      <c r="G1128" s="63"/>
      <c r="H1128" s="67"/>
      <c r="I1128" s="68"/>
      <c r="J1128" s="68"/>
      <c r="K1128" s="32"/>
      <c r="L1128" s="75">
        <v>1128</v>
      </c>
      <c r="M1128" s="75"/>
      <c r="N1128" s="70"/>
      <c r="O1128" s="77" t="s">
        <v>179</v>
      </c>
      <c r="P1128" s="79">
        <v>45043.526608796295</v>
      </c>
      <c r="Q1128" s="77" t="s">
        <v>2221</v>
      </c>
      <c r="R1128" s="77">
        <v>0</v>
      </c>
      <c r="S1128" s="77">
        <v>0</v>
      </c>
      <c r="T1128" s="77">
        <v>0</v>
      </c>
      <c r="U1128" s="77">
        <v>0</v>
      </c>
      <c r="V1128" s="77">
        <v>7</v>
      </c>
      <c r="W1128" s="82" t="s">
        <v>4868</v>
      </c>
      <c r="X1128" s="80" t="str">
        <f>HYPERLINK("https://portalfinancaspessoais.com.br/?p=1179")</f>
        <v>https://portalfinancaspessoais.com.br/?p=1179</v>
      </c>
      <c r="Y1128" s="77" t="s">
        <v>6002</v>
      </c>
      <c r="Z1128" s="77"/>
      <c r="AA1128" s="77" t="s">
        <v>6852</v>
      </c>
      <c r="AB1128" s="77" t="s">
        <v>7696</v>
      </c>
      <c r="AC1128" s="82" t="s">
        <v>7710</v>
      </c>
      <c r="AD1128" s="77" t="s">
        <v>7745</v>
      </c>
      <c r="AE1128" s="80" t="str">
        <f>HYPERLINK("https://twitter.com/financasportal/status/1651566445728333824")</f>
        <v>https://twitter.com/financasportal/status/1651566445728333824</v>
      </c>
      <c r="AF1128" s="79">
        <v>45043.526608796295</v>
      </c>
      <c r="AG1128" s="85">
        <v>45043</v>
      </c>
      <c r="AH1128" s="82" t="s">
        <v>8755</v>
      </c>
      <c r="AI1128" s="77" t="b">
        <v>0</v>
      </c>
      <c r="AJ1128" s="77"/>
      <c r="AK1128" s="77"/>
      <c r="AL1128" s="77"/>
      <c r="AM1128" s="77"/>
      <c r="AN1128" s="77"/>
      <c r="AO1128" s="77"/>
      <c r="AP1128" s="77"/>
      <c r="AQ1128" s="77" t="s">
        <v>11359</v>
      </c>
      <c r="AR1128" s="77"/>
      <c r="AS1128" s="77"/>
      <c r="AT1128" s="77"/>
      <c r="AU1128" s="77"/>
      <c r="AV1128" s="80" t="str">
        <f>HYPERLINK("https://pbs.twimg.com/media/FuuK7jrXwAAuptl.jpg")</f>
        <v>https://pbs.twimg.com/media/FuuK7jrXwAAuptl.jpg</v>
      </c>
      <c r="AW1128" s="82" t="s">
        <v>13310</v>
      </c>
      <c r="AX1128" s="82" t="s">
        <v>13310</v>
      </c>
      <c r="AY1128" s="77"/>
      <c r="AZ1128" s="82" t="s">
        <v>15804</v>
      </c>
      <c r="BA1128" s="82" t="s">
        <v>15804</v>
      </c>
      <c r="BB1128" s="82" t="s">
        <v>15804</v>
      </c>
      <c r="BC1128" s="82" t="s">
        <v>13310</v>
      </c>
      <c r="BD1128" s="82" t="s">
        <v>16336</v>
      </c>
      <c r="BE1128" s="77"/>
      <c r="BF1128" s="77"/>
      <c r="BG1128" s="77"/>
      <c r="BH1128" s="77"/>
      <c r="BI1128" s="77"/>
    </row>
    <row r="1129" spans="1:61" x14ac:dyDescent="0.25">
      <c r="A1129" s="62" t="s">
        <v>577</v>
      </c>
      <c r="B1129" s="62" t="s">
        <v>577</v>
      </c>
      <c r="C1129" s="63"/>
      <c r="D1129" s="64"/>
      <c r="E1129" s="65"/>
      <c r="F1129" s="66"/>
      <c r="G1129" s="63"/>
      <c r="H1129" s="67"/>
      <c r="I1129" s="68"/>
      <c r="J1129" s="68"/>
      <c r="K1129" s="32"/>
      <c r="L1129" s="75">
        <v>1129</v>
      </c>
      <c r="M1129" s="75"/>
      <c r="N1129" s="70"/>
      <c r="O1129" s="77" t="s">
        <v>179</v>
      </c>
      <c r="P1129" s="79">
        <v>45030.512928240743</v>
      </c>
      <c r="Q1129" s="77" t="s">
        <v>2222</v>
      </c>
      <c r="R1129" s="77">
        <v>0</v>
      </c>
      <c r="S1129" s="77">
        <v>0</v>
      </c>
      <c r="T1129" s="77">
        <v>0</v>
      </c>
      <c r="U1129" s="77">
        <v>0</v>
      </c>
      <c r="V1129" s="77">
        <v>3</v>
      </c>
      <c r="W1129" s="82" t="s">
        <v>4871</v>
      </c>
      <c r="X1129" s="80" t="str">
        <f>HYPERLINK("https://portalfinancaspessoais.com.br/a-importancia-da-seguranca-financeira-e-como-alcanca-la/")</f>
        <v>https://portalfinancaspessoais.com.br/a-importancia-da-seguranca-financeira-e-como-alcanca-la/</v>
      </c>
      <c r="Y1129" s="77" t="s">
        <v>6002</v>
      </c>
      <c r="Z1129" s="77"/>
      <c r="AA1129" s="77" t="s">
        <v>6853</v>
      </c>
      <c r="AB1129" s="77" t="s">
        <v>7696</v>
      </c>
      <c r="AC1129" s="82" t="s">
        <v>7710</v>
      </c>
      <c r="AD1129" s="77" t="s">
        <v>7745</v>
      </c>
      <c r="AE1129" s="80" t="str">
        <f>HYPERLINK("https://twitter.com/financasportal/status/1646850442960199680")</f>
        <v>https://twitter.com/financasportal/status/1646850442960199680</v>
      </c>
      <c r="AF1129" s="79">
        <v>45030.512928240743</v>
      </c>
      <c r="AG1129" s="85">
        <v>45030</v>
      </c>
      <c r="AH1129" s="82" t="s">
        <v>8756</v>
      </c>
      <c r="AI1129" s="77" t="b">
        <v>0</v>
      </c>
      <c r="AJ1129" s="77"/>
      <c r="AK1129" s="77"/>
      <c r="AL1129" s="77"/>
      <c r="AM1129" s="77"/>
      <c r="AN1129" s="77"/>
      <c r="AO1129" s="77"/>
      <c r="AP1129" s="77"/>
      <c r="AQ1129" s="77" t="s">
        <v>11360</v>
      </c>
      <c r="AR1129" s="77"/>
      <c r="AS1129" s="77"/>
      <c r="AT1129" s="77"/>
      <c r="AU1129" s="77"/>
      <c r="AV1129" s="80" t="str">
        <f>HYPERLINK("https://pbs.twimg.com/media/FtrJwCHXsAEhVRs.jpg")</f>
        <v>https://pbs.twimg.com/media/FtrJwCHXsAEhVRs.jpg</v>
      </c>
      <c r="AW1129" s="82" t="s">
        <v>13311</v>
      </c>
      <c r="AX1129" s="82" t="s">
        <v>13311</v>
      </c>
      <c r="AY1129" s="77"/>
      <c r="AZ1129" s="82" t="s">
        <v>15804</v>
      </c>
      <c r="BA1129" s="82" t="s">
        <v>15804</v>
      </c>
      <c r="BB1129" s="82" t="s">
        <v>15804</v>
      </c>
      <c r="BC1129" s="82" t="s">
        <v>13311</v>
      </c>
      <c r="BD1129" s="82" t="s">
        <v>16336</v>
      </c>
      <c r="BE1129" s="77"/>
      <c r="BF1129" s="77"/>
      <c r="BG1129" s="77"/>
      <c r="BH1129" s="77"/>
      <c r="BI1129" s="77"/>
    </row>
    <row r="1130" spans="1:61" x14ac:dyDescent="0.25">
      <c r="A1130" s="62" t="s">
        <v>577</v>
      </c>
      <c r="B1130" s="62" t="s">
        <v>577</v>
      </c>
      <c r="C1130" s="63"/>
      <c r="D1130" s="64"/>
      <c r="E1130" s="65"/>
      <c r="F1130" s="66"/>
      <c r="G1130" s="63"/>
      <c r="H1130" s="67"/>
      <c r="I1130" s="68"/>
      <c r="J1130" s="68"/>
      <c r="K1130" s="32"/>
      <c r="L1130" s="75">
        <v>1130</v>
      </c>
      <c r="M1130" s="75"/>
      <c r="N1130" s="70"/>
      <c r="O1130" s="77" t="s">
        <v>179</v>
      </c>
      <c r="P1130" s="79">
        <v>45029.747673611113</v>
      </c>
      <c r="Q1130" s="77" t="s">
        <v>2223</v>
      </c>
      <c r="R1130" s="77">
        <v>0</v>
      </c>
      <c r="S1130" s="77">
        <v>0</v>
      </c>
      <c r="T1130" s="77">
        <v>0</v>
      </c>
      <c r="U1130" s="77">
        <v>0</v>
      </c>
      <c r="V1130" s="77">
        <v>14</v>
      </c>
      <c r="W1130" s="82" t="s">
        <v>4873</v>
      </c>
      <c r="X1130" s="80" t="str">
        <f>HYPERLINK("https://portalfinancaspessoais.com.br/evolucao-das-taxas-de-juros-em-contas-de-poupanca/")</f>
        <v>https://portalfinancaspessoais.com.br/evolucao-das-taxas-de-juros-em-contas-de-poupanca/</v>
      </c>
      <c r="Y1130" s="77" t="s">
        <v>6002</v>
      </c>
      <c r="Z1130" s="77"/>
      <c r="AA1130" s="77" t="s">
        <v>6854</v>
      </c>
      <c r="AB1130" s="77" t="s">
        <v>7696</v>
      </c>
      <c r="AC1130" s="82" t="s">
        <v>7710</v>
      </c>
      <c r="AD1130" s="77" t="s">
        <v>7745</v>
      </c>
      <c r="AE1130" s="80" t="str">
        <f>HYPERLINK("https://twitter.com/financasportal/status/1646573123561553936")</f>
        <v>https://twitter.com/financasportal/status/1646573123561553936</v>
      </c>
      <c r="AF1130" s="79">
        <v>45029.747673611113</v>
      </c>
      <c r="AG1130" s="85">
        <v>45029</v>
      </c>
      <c r="AH1130" s="82" t="s">
        <v>8757</v>
      </c>
      <c r="AI1130" s="77" t="b">
        <v>0</v>
      </c>
      <c r="AJ1130" s="77"/>
      <c r="AK1130" s="77"/>
      <c r="AL1130" s="77"/>
      <c r="AM1130" s="77"/>
      <c r="AN1130" s="77"/>
      <c r="AO1130" s="77"/>
      <c r="AP1130" s="77"/>
      <c r="AQ1130" s="77" t="s">
        <v>11361</v>
      </c>
      <c r="AR1130" s="77"/>
      <c r="AS1130" s="77"/>
      <c r="AT1130" s="77"/>
      <c r="AU1130" s="77"/>
      <c r="AV1130" s="80" t="str">
        <f>HYPERLINK("https://pbs.twimg.com/media/FtnNh8rWAAAN9nq.jpg")</f>
        <v>https://pbs.twimg.com/media/FtnNh8rWAAAN9nq.jpg</v>
      </c>
      <c r="AW1130" s="82" t="s">
        <v>13312</v>
      </c>
      <c r="AX1130" s="82" t="s">
        <v>13312</v>
      </c>
      <c r="AY1130" s="77"/>
      <c r="AZ1130" s="82" t="s">
        <v>15804</v>
      </c>
      <c r="BA1130" s="82" t="s">
        <v>15804</v>
      </c>
      <c r="BB1130" s="82" t="s">
        <v>15804</v>
      </c>
      <c r="BC1130" s="82" t="s">
        <v>13312</v>
      </c>
      <c r="BD1130" s="82" t="s">
        <v>16336</v>
      </c>
      <c r="BE1130" s="77"/>
      <c r="BF1130" s="77"/>
      <c r="BG1130" s="77"/>
      <c r="BH1130" s="77"/>
      <c r="BI1130" s="77"/>
    </row>
    <row r="1131" spans="1:61" x14ac:dyDescent="0.25">
      <c r="A1131" s="62" t="s">
        <v>577</v>
      </c>
      <c r="B1131" s="62" t="s">
        <v>577</v>
      </c>
      <c r="C1131" s="63"/>
      <c r="D1131" s="64"/>
      <c r="E1131" s="65"/>
      <c r="F1131" s="66"/>
      <c r="G1131" s="63"/>
      <c r="H1131" s="67"/>
      <c r="I1131" s="68"/>
      <c r="J1131" s="68"/>
      <c r="K1131" s="32"/>
      <c r="L1131" s="75">
        <v>1131</v>
      </c>
      <c r="M1131" s="75"/>
      <c r="N1131" s="70"/>
      <c r="O1131" s="77" t="s">
        <v>179</v>
      </c>
      <c r="P1131" s="79">
        <v>45029.741041666668</v>
      </c>
      <c r="Q1131" s="77" t="s">
        <v>2224</v>
      </c>
      <c r="R1131" s="77">
        <v>0</v>
      </c>
      <c r="S1131" s="77">
        <v>0</v>
      </c>
      <c r="T1131" s="77">
        <v>0</v>
      </c>
      <c r="U1131" s="77">
        <v>0</v>
      </c>
      <c r="V1131" s="77">
        <v>7</v>
      </c>
      <c r="W1131" s="82" t="s">
        <v>4874</v>
      </c>
      <c r="X1131" s="80" t="str">
        <f>HYPERLINK("https://portalfinancaspessoais.com.br/truques-para-economizar-dinheiro-para-uma-vida-frugal/")</f>
        <v>https://portalfinancaspessoais.com.br/truques-para-economizar-dinheiro-para-uma-vida-frugal/</v>
      </c>
      <c r="Y1131" s="77" t="s">
        <v>6002</v>
      </c>
      <c r="Z1131" s="77"/>
      <c r="AA1131" s="77" t="s">
        <v>6855</v>
      </c>
      <c r="AB1131" s="77" t="s">
        <v>7696</v>
      </c>
      <c r="AC1131" s="82" t="s">
        <v>7710</v>
      </c>
      <c r="AD1131" s="77" t="s">
        <v>7745</v>
      </c>
      <c r="AE1131" s="80" t="str">
        <f>HYPERLINK("https://twitter.com/financasportal/status/1646570721013891072")</f>
        <v>https://twitter.com/financasportal/status/1646570721013891072</v>
      </c>
      <c r="AF1131" s="79">
        <v>45029.741041666668</v>
      </c>
      <c r="AG1131" s="85">
        <v>45029</v>
      </c>
      <c r="AH1131" s="82" t="s">
        <v>8758</v>
      </c>
      <c r="AI1131" s="77" t="b">
        <v>0</v>
      </c>
      <c r="AJ1131" s="77"/>
      <c r="AK1131" s="77"/>
      <c r="AL1131" s="77"/>
      <c r="AM1131" s="77"/>
      <c r="AN1131" s="77"/>
      <c r="AO1131" s="77"/>
      <c r="AP1131" s="77"/>
      <c r="AQ1131" s="77" t="s">
        <v>11362</v>
      </c>
      <c r="AR1131" s="77"/>
      <c r="AS1131" s="77"/>
      <c r="AT1131" s="77"/>
      <c r="AU1131" s="77"/>
      <c r="AV1131" s="80" t="str">
        <f>HYPERLINK("https://pbs.twimg.com/media/FtnLWDUXoAERTxV.jpg")</f>
        <v>https://pbs.twimg.com/media/FtnLWDUXoAERTxV.jpg</v>
      </c>
      <c r="AW1131" s="82" t="s">
        <v>13313</v>
      </c>
      <c r="AX1131" s="82" t="s">
        <v>13313</v>
      </c>
      <c r="AY1131" s="77"/>
      <c r="AZ1131" s="82" t="s">
        <v>15804</v>
      </c>
      <c r="BA1131" s="82" t="s">
        <v>15804</v>
      </c>
      <c r="BB1131" s="82" t="s">
        <v>15804</v>
      </c>
      <c r="BC1131" s="82" t="s">
        <v>13313</v>
      </c>
      <c r="BD1131" s="82" t="s">
        <v>16336</v>
      </c>
      <c r="BE1131" s="77"/>
      <c r="BF1131" s="77"/>
      <c r="BG1131" s="77"/>
      <c r="BH1131" s="77"/>
      <c r="BI1131" s="77"/>
    </row>
    <row r="1132" spans="1:61" x14ac:dyDescent="0.25">
      <c r="A1132" s="62" t="s">
        <v>577</v>
      </c>
      <c r="B1132" s="62" t="s">
        <v>577</v>
      </c>
      <c r="C1132" s="63"/>
      <c r="D1132" s="64"/>
      <c r="E1132" s="65"/>
      <c r="F1132" s="66"/>
      <c r="G1132" s="63"/>
      <c r="H1132" s="67"/>
      <c r="I1132" s="68"/>
      <c r="J1132" s="68"/>
      <c r="K1132" s="32"/>
      <c r="L1132" s="75">
        <v>1132</v>
      </c>
      <c r="M1132" s="75"/>
      <c r="N1132" s="70"/>
      <c r="O1132" s="77" t="s">
        <v>179</v>
      </c>
      <c r="P1132" s="79">
        <v>45029.691134259258</v>
      </c>
      <c r="Q1132" s="77" t="s">
        <v>2225</v>
      </c>
      <c r="R1132" s="77">
        <v>0</v>
      </c>
      <c r="S1132" s="77">
        <v>0</v>
      </c>
      <c r="T1132" s="77">
        <v>0</v>
      </c>
      <c r="U1132" s="77">
        <v>0</v>
      </c>
      <c r="V1132" s="77">
        <v>2</v>
      </c>
      <c r="W1132" s="82" t="s">
        <v>4874</v>
      </c>
      <c r="X1132" s="80" t="str">
        <f>HYPERLINK("https://portalfinancaspessoais.com.br/truques-para-economizar-dinheiro-para-uma-vida-frugal/")</f>
        <v>https://portalfinancaspessoais.com.br/truques-para-economizar-dinheiro-para-uma-vida-frugal/</v>
      </c>
      <c r="Y1132" s="77" t="s">
        <v>6002</v>
      </c>
      <c r="Z1132" s="77"/>
      <c r="AA1132" s="77" t="s">
        <v>6856</v>
      </c>
      <c r="AB1132" s="77" t="s">
        <v>7696</v>
      </c>
      <c r="AC1132" s="82" t="s">
        <v>7710</v>
      </c>
      <c r="AD1132" s="77" t="s">
        <v>7745</v>
      </c>
      <c r="AE1132" s="80" t="str">
        <f>HYPERLINK("https://twitter.com/financasportal/status/1646552636810723354")</f>
        <v>https://twitter.com/financasportal/status/1646552636810723354</v>
      </c>
      <c r="AF1132" s="79">
        <v>45029.691134259258</v>
      </c>
      <c r="AG1132" s="85">
        <v>45029</v>
      </c>
      <c r="AH1132" s="82" t="s">
        <v>8759</v>
      </c>
      <c r="AI1132" s="77" t="b">
        <v>0</v>
      </c>
      <c r="AJ1132" s="77"/>
      <c r="AK1132" s="77"/>
      <c r="AL1132" s="77"/>
      <c r="AM1132" s="77"/>
      <c r="AN1132" s="77"/>
      <c r="AO1132" s="77"/>
      <c r="AP1132" s="77"/>
      <c r="AQ1132" s="77" t="s">
        <v>11363</v>
      </c>
      <c r="AR1132" s="77"/>
      <c r="AS1132" s="77"/>
      <c r="AT1132" s="77"/>
      <c r="AU1132" s="77"/>
      <c r="AV1132" s="80" t="str">
        <f>HYPERLINK("https://pbs.twimg.com/media/Ftm65aJX0AAxadJ.jpg")</f>
        <v>https://pbs.twimg.com/media/Ftm65aJX0AAxadJ.jpg</v>
      </c>
      <c r="AW1132" s="82" t="s">
        <v>13314</v>
      </c>
      <c r="AX1132" s="82" t="s">
        <v>13314</v>
      </c>
      <c r="AY1132" s="77"/>
      <c r="AZ1132" s="82" t="s">
        <v>15804</v>
      </c>
      <c r="BA1132" s="82" t="s">
        <v>15804</v>
      </c>
      <c r="BB1132" s="82" t="s">
        <v>15804</v>
      </c>
      <c r="BC1132" s="82" t="s">
        <v>13314</v>
      </c>
      <c r="BD1132" s="82" t="s">
        <v>16336</v>
      </c>
      <c r="BE1132" s="77"/>
      <c r="BF1132" s="77"/>
      <c r="BG1132" s="77"/>
      <c r="BH1132" s="77"/>
      <c r="BI1132" s="77"/>
    </row>
    <row r="1133" spans="1:61" x14ac:dyDescent="0.25">
      <c r="A1133" s="62" t="s">
        <v>577</v>
      </c>
      <c r="B1133" s="62" t="s">
        <v>577</v>
      </c>
      <c r="C1133" s="63"/>
      <c r="D1133" s="64"/>
      <c r="E1133" s="65"/>
      <c r="F1133" s="66"/>
      <c r="G1133" s="63"/>
      <c r="H1133" s="67"/>
      <c r="I1133" s="68"/>
      <c r="J1133" s="68"/>
      <c r="K1133" s="32"/>
      <c r="L1133" s="75">
        <v>1133</v>
      </c>
      <c r="M1133" s="75"/>
      <c r="N1133" s="70"/>
      <c r="O1133" s="77" t="s">
        <v>179</v>
      </c>
      <c r="P1133" s="79">
        <v>45028.764745370368</v>
      </c>
      <c r="Q1133" s="77" t="s">
        <v>2226</v>
      </c>
      <c r="R1133" s="77">
        <v>0</v>
      </c>
      <c r="S1133" s="77">
        <v>0</v>
      </c>
      <c r="T1133" s="77">
        <v>0</v>
      </c>
      <c r="U1133" s="77">
        <v>0</v>
      </c>
      <c r="V1133" s="77">
        <v>8</v>
      </c>
      <c r="W1133" s="82" t="s">
        <v>4873</v>
      </c>
      <c r="X1133" s="80" t="str">
        <f>HYPERLINK("https://portalfinancaspessoais.com.br/?p=1217")</f>
        <v>https://portalfinancaspessoais.com.br/?p=1217</v>
      </c>
      <c r="Y1133" s="77" t="s">
        <v>6002</v>
      </c>
      <c r="Z1133" s="77"/>
      <c r="AA1133" s="77" t="s">
        <v>6857</v>
      </c>
      <c r="AB1133" s="77" t="s">
        <v>7696</v>
      </c>
      <c r="AC1133" s="82" t="s">
        <v>7710</v>
      </c>
      <c r="AD1133" s="77" t="s">
        <v>7745</v>
      </c>
      <c r="AE1133" s="80" t="str">
        <f>HYPERLINK("https://twitter.com/financasportal/status/1646216924341100573")</f>
        <v>https://twitter.com/financasportal/status/1646216924341100573</v>
      </c>
      <c r="AF1133" s="79">
        <v>45028.764745370368</v>
      </c>
      <c r="AG1133" s="85">
        <v>45028</v>
      </c>
      <c r="AH1133" s="82" t="s">
        <v>8760</v>
      </c>
      <c r="AI1133" s="77" t="b">
        <v>0</v>
      </c>
      <c r="AJ1133" s="77"/>
      <c r="AK1133" s="77"/>
      <c r="AL1133" s="77"/>
      <c r="AM1133" s="77"/>
      <c r="AN1133" s="77"/>
      <c r="AO1133" s="77"/>
      <c r="AP1133" s="77"/>
      <c r="AQ1133" s="77" t="s">
        <v>11364</v>
      </c>
      <c r="AR1133" s="77"/>
      <c r="AS1133" s="77"/>
      <c r="AT1133" s="77"/>
      <c r="AU1133" s="77"/>
      <c r="AV1133" s="80" t="str">
        <f>HYPERLINK("https://pbs.twimg.com/media/FtiJkagXgAAntg7.jpg")</f>
        <v>https://pbs.twimg.com/media/FtiJkagXgAAntg7.jpg</v>
      </c>
      <c r="AW1133" s="82" t="s">
        <v>13315</v>
      </c>
      <c r="AX1133" s="82" t="s">
        <v>13315</v>
      </c>
      <c r="AY1133" s="77"/>
      <c r="AZ1133" s="82" t="s">
        <v>15804</v>
      </c>
      <c r="BA1133" s="82" t="s">
        <v>15804</v>
      </c>
      <c r="BB1133" s="82" t="s">
        <v>15804</v>
      </c>
      <c r="BC1133" s="82" t="s">
        <v>13315</v>
      </c>
      <c r="BD1133" s="82" t="s">
        <v>16336</v>
      </c>
      <c r="BE1133" s="77"/>
      <c r="BF1133" s="77"/>
      <c r="BG1133" s="77"/>
      <c r="BH1133" s="77"/>
      <c r="BI1133" s="77"/>
    </row>
    <row r="1134" spans="1:61" x14ac:dyDescent="0.25">
      <c r="A1134" s="62" t="s">
        <v>577</v>
      </c>
      <c r="B1134" s="62" t="s">
        <v>577</v>
      </c>
      <c r="C1134" s="63"/>
      <c r="D1134" s="64"/>
      <c r="E1134" s="65"/>
      <c r="F1134" s="66"/>
      <c r="G1134" s="63"/>
      <c r="H1134" s="67"/>
      <c r="I1134" s="68"/>
      <c r="J1134" s="68"/>
      <c r="K1134" s="32"/>
      <c r="L1134" s="75">
        <v>1134</v>
      </c>
      <c r="M1134" s="75"/>
      <c r="N1134" s="70"/>
      <c r="O1134" s="77" t="s">
        <v>179</v>
      </c>
      <c r="P1134" s="79">
        <v>45110.511770833335</v>
      </c>
      <c r="Q1134" s="77" t="s">
        <v>2227</v>
      </c>
      <c r="R1134" s="77">
        <v>0</v>
      </c>
      <c r="S1134" s="77">
        <v>0</v>
      </c>
      <c r="T1134" s="77">
        <v>0</v>
      </c>
      <c r="U1134" s="77">
        <v>0</v>
      </c>
      <c r="V1134" s="77">
        <v>10</v>
      </c>
      <c r="W1134" s="82" t="s">
        <v>4868</v>
      </c>
      <c r="X1134" s="80" t="str">
        <f>HYPERLINK("https://portalfinancaspessoais.com.br/?p=2094")</f>
        <v>https://portalfinancaspessoais.com.br/?p=2094</v>
      </c>
      <c r="Y1134" s="77" t="s">
        <v>6002</v>
      </c>
      <c r="Z1134" s="77"/>
      <c r="AA1134" s="77" t="s">
        <v>6858</v>
      </c>
      <c r="AB1134" s="77" t="s">
        <v>7696</v>
      </c>
      <c r="AC1134" s="82" t="s">
        <v>7710</v>
      </c>
      <c r="AD1134" s="77" t="s">
        <v>7745</v>
      </c>
      <c r="AE1134" s="80" t="str">
        <f>HYPERLINK("https://twitter.com/financasportal/status/1675841051800530946")</f>
        <v>https://twitter.com/financasportal/status/1675841051800530946</v>
      </c>
      <c r="AF1134" s="79">
        <v>45110.511770833335</v>
      </c>
      <c r="AG1134" s="85">
        <v>45110</v>
      </c>
      <c r="AH1134" s="82" t="s">
        <v>8761</v>
      </c>
      <c r="AI1134" s="77" t="b">
        <v>0</v>
      </c>
      <c r="AJ1134" s="77"/>
      <c r="AK1134" s="77"/>
      <c r="AL1134" s="77"/>
      <c r="AM1134" s="77"/>
      <c r="AN1134" s="77"/>
      <c r="AO1134" s="77"/>
      <c r="AP1134" s="77"/>
      <c r="AQ1134" s="77" t="s">
        <v>11365</v>
      </c>
      <c r="AR1134" s="77"/>
      <c r="AS1134" s="77"/>
      <c r="AT1134" s="77"/>
      <c r="AU1134" s="77"/>
      <c r="AV1134" s="80" t="str">
        <f>HYPERLINK("https://pbs.twimg.com/media/F0HIjllX0AUts9Q.jpg")</f>
        <v>https://pbs.twimg.com/media/F0HIjllX0AUts9Q.jpg</v>
      </c>
      <c r="AW1134" s="82" t="s">
        <v>13316</v>
      </c>
      <c r="AX1134" s="82" t="s">
        <v>13316</v>
      </c>
      <c r="AY1134" s="77"/>
      <c r="AZ1134" s="82" t="s">
        <v>15804</v>
      </c>
      <c r="BA1134" s="82" t="s">
        <v>15804</v>
      </c>
      <c r="BB1134" s="82" t="s">
        <v>15804</v>
      </c>
      <c r="BC1134" s="82" t="s">
        <v>13316</v>
      </c>
      <c r="BD1134" s="82" t="s">
        <v>16336</v>
      </c>
      <c r="BE1134" s="77"/>
      <c r="BF1134" s="77"/>
      <c r="BG1134" s="77"/>
      <c r="BH1134" s="77"/>
      <c r="BI1134" s="77"/>
    </row>
    <row r="1135" spans="1:61" x14ac:dyDescent="0.25">
      <c r="A1135" s="62" t="s">
        <v>577</v>
      </c>
      <c r="B1135" s="62" t="s">
        <v>577</v>
      </c>
      <c r="C1135" s="63"/>
      <c r="D1135" s="64"/>
      <c r="E1135" s="65"/>
      <c r="F1135" s="66"/>
      <c r="G1135" s="63"/>
      <c r="H1135" s="67"/>
      <c r="I1135" s="68"/>
      <c r="J1135" s="68"/>
      <c r="K1135" s="32"/>
      <c r="L1135" s="75">
        <v>1135</v>
      </c>
      <c r="M1135" s="75"/>
      <c r="N1135" s="70"/>
      <c r="O1135" s="77" t="s">
        <v>179</v>
      </c>
      <c r="P1135" s="79">
        <v>45091.519965277781</v>
      </c>
      <c r="Q1135" s="77" t="s">
        <v>2228</v>
      </c>
      <c r="R1135" s="77">
        <v>0</v>
      </c>
      <c r="S1135" s="77">
        <v>0</v>
      </c>
      <c r="T1135" s="77">
        <v>0</v>
      </c>
      <c r="U1135" s="77">
        <v>0</v>
      </c>
      <c r="V1135" s="77">
        <v>3</v>
      </c>
      <c r="W1135" s="82" t="s">
        <v>4868</v>
      </c>
      <c r="X1135" s="80" t="str">
        <f>HYPERLINK("https://portalfinancaspessoais.com.br/?p=1153")</f>
        <v>https://portalfinancaspessoais.com.br/?p=1153</v>
      </c>
      <c r="Y1135" s="77" t="s">
        <v>6002</v>
      </c>
      <c r="Z1135" s="77"/>
      <c r="AA1135" s="77" t="s">
        <v>6859</v>
      </c>
      <c r="AB1135" s="77" t="s">
        <v>7696</v>
      </c>
      <c r="AC1135" s="82" t="s">
        <v>7710</v>
      </c>
      <c r="AD1135" s="77" t="s">
        <v>7745</v>
      </c>
      <c r="AE1135" s="80" t="str">
        <f>HYPERLINK("https://twitter.com/financasportal/status/1668958654970699776")</f>
        <v>https://twitter.com/financasportal/status/1668958654970699776</v>
      </c>
      <c r="AF1135" s="79">
        <v>45091.519965277781</v>
      </c>
      <c r="AG1135" s="85">
        <v>45091</v>
      </c>
      <c r="AH1135" s="82" t="s">
        <v>8762</v>
      </c>
      <c r="AI1135" s="77" t="b">
        <v>0</v>
      </c>
      <c r="AJ1135" s="77"/>
      <c r="AK1135" s="77"/>
      <c r="AL1135" s="77"/>
      <c r="AM1135" s="77"/>
      <c r="AN1135" s="77"/>
      <c r="AO1135" s="77"/>
      <c r="AP1135" s="77"/>
      <c r="AQ1135" s="77" t="s">
        <v>11366</v>
      </c>
      <c r="AR1135" s="77"/>
      <c r="AS1135" s="77"/>
      <c r="AT1135" s="77"/>
      <c r="AU1135" s="77"/>
      <c r="AV1135" s="80" t="str">
        <f>HYPERLINK("https://pbs.twimg.com/media/FylVDXrWcAAoymb.jpg")</f>
        <v>https://pbs.twimg.com/media/FylVDXrWcAAoymb.jpg</v>
      </c>
      <c r="AW1135" s="82" t="s">
        <v>13317</v>
      </c>
      <c r="AX1135" s="82" t="s">
        <v>13317</v>
      </c>
      <c r="AY1135" s="77"/>
      <c r="AZ1135" s="82" t="s">
        <v>15804</v>
      </c>
      <c r="BA1135" s="82" t="s">
        <v>15804</v>
      </c>
      <c r="BB1135" s="82" t="s">
        <v>15804</v>
      </c>
      <c r="BC1135" s="82" t="s">
        <v>13317</v>
      </c>
      <c r="BD1135" s="82" t="s">
        <v>16336</v>
      </c>
      <c r="BE1135" s="77"/>
      <c r="BF1135" s="77"/>
      <c r="BG1135" s="77"/>
      <c r="BH1135" s="77"/>
      <c r="BI1135" s="77"/>
    </row>
    <row r="1136" spans="1:61" x14ac:dyDescent="0.25">
      <c r="A1136" s="62" t="s">
        <v>577</v>
      </c>
      <c r="B1136" s="62" t="s">
        <v>577</v>
      </c>
      <c r="C1136" s="63"/>
      <c r="D1136" s="64"/>
      <c r="E1136" s="65"/>
      <c r="F1136" s="66"/>
      <c r="G1136" s="63"/>
      <c r="H1136" s="67"/>
      <c r="I1136" s="68"/>
      <c r="J1136" s="68"/>
      <c r="K1136" s="32"/>
      <c r="L1136" s="75">
        <v>1136</v>
      </c>
      <c r="M1136" s="75"/>
      <c r="N1136" s="70"/>
      <c r="O1136" s="77" t="s">
        <v>179</v>
      </c>
      <c r="P1136" s="79">
        <v>45089.525034722225</v>
      </c>
      <c r="Q1136" s="77" t="s">
        <v>2229</v>
      </c>
      <c r="R1136" s="77">
        <v>0</v>
      </c>
      <c r="S1136" s="77">
        <v>0</v>
      </c>
      <c r="T1136" s="77">
        <v>0</v>
      </c>
      <c r="U1136" s="77">
        <v>0</v>
      </c>
      <c r="V1136" s="77">
        <v>7</v>
      </c>
      <c r="W1136" s="82" t="s">
        <v>4871</v>
      </c>
      <c r="X1136" s="80" t="str">
        <f>HYPERLINK("https://portalfinancaspessoais.com.br/?p=2026")</f>
        <v>https://portalfinancaspessoais.com.br/?p=2026</v>
      </c>
      <c r="Y1136" s="77" t="s">
        <v>6002</v>
      </c>
      <c r="Z1136" s="77"/>
      <c r="AA1136" s="77" t="s">
        <v>6860</v>
      </c>
      <c r="AB1136" s="77" t="s">
        <v>7696</v>
      </c>
      <c r="AC1136" s="82" t="s">
        <v>7710</v>
      </c>
      <c r="AD1136" s="77" t="s">
        <v>7745</v>
      </c>
      <c r="AE1136" s="80" t="str">
        <f>HYPERLINK("https://twitter.com/financasportal/status/1668235716877230080")</f>
        <v>https://twitter.com/financasportal/status/1668235716877230080</v>
      </c>
      <c r="AF1136" s="79">
        <v>45089.525034722225</v>
      </c>
      <c r="AG1136" s="85">
        <v>45089</v>
      </c>
      <c r="AH1136" s="82" t="s">
        <v>8763</v>
      </c>
      <c r="AI1136" s="77" t="b">
        <v>0</v>
      </c>
      <c r="AJ1136" s="77"/>
      <c r="AK1136" s="77"/>
      <c r="AL1136" s="77"/>
      <c r="AM1136" s="77"/>
      <c r="AN1136" s="77"/>
      <c r="AO1136" s="77"/>
      <c r="AP1136" s="77"/>
      <c r="AQ1136" s="77" t="s">
        <v>11367</v>
      </c>
      <c r="AR1136" s="77"/>
      <c r="AS1136" s="77"/>
      <c r="AT1136" s="77"/>
      <c r="AU1136" s="77"/>
      <c r="AV1136" s="80" t="str">
        <f>HYPERLINK("https://pbs.twimg.com/media/FybDi0tWYAEuumf.jpg")</f>
        <v>https://pbs.twimg.com/media/FybDi0tWYAEuumf.jpg</v>
      </c>
      <c r="AW1136" s="82" t="s">
        <v>13318</v>
      </c>
      <c r="AX1136" s="82" t="s">
        <v>13318</v>
      </c>
      <c r="AY1136" s="77"/>
      <c r="AZ1136" s="82" t="s">
        <v>15804</v>
      </c>
      <c r="BA1136" s="82" t="s">
        <v>15804</v>
      </c>
      <c r="BB1136" s="82" t="s">
        <v>15804</v>
      </c>
      <c r="BC1136" s="82" t="s">
        <v>13318</v>
      </c>
      <c r="BD1136" s="82" t="s">
        <v>16336</v>
      </c>
      <c r="BE1136" s="77"/>
      <c r="BF1136" s="77"/>
      <c r="BG1136" s="77"/>
      <c r="BH1136" s="77"/>
      <c r="BI1136" s="77"/>
    </row>
    <row r="1137" spans="1:61" x14ac:dyDescent="0.25">
      <c r="A1137" s="62" t="s">
        <v>577</v>
      </c>
      <c r="B1137" s="62" t="s">
        <v>577</v>
      </c>
      <c r="C1137" s="63"/>
      <c r="D1137" s="64"/>
      <c r="E1137" s="65"/>
      <c r="F1137" s="66"/>
      <c r="G1137" s="63"/>
      <c r="H1137" s="67"/>
      <c r="I1137" s="68"/>
      <c r="J1137" s="68"/>
      <c r="K1137" s="32"/>
      <c r="L1137" s="75">
        <v>1137</v>
      </c>
      <c r="M1137" s="75"/>
      <c r="N1137" s="70"/>
      <c r="O1137" s="77" t="s">
        <v>179</v>
      </c>
      <c r="P1137" s="79">
        <v>45049.510162037041</v>
      </c>
      <c r="Q1137" s="77" t="s">
        <v>2230</v>
      </c>
      <c r="R1137" s="77">
        <v>0</v>
      </c>
      <c r="S1137" s="77">
        <v>0</v>
      </c>
      <c r="T1137" s="77">
        <v>0</v>
      </c>
      <c r="U1137" s="77">
        <v>0</v>
      </c>
      <c r="V1137" s="77">
        <v>11</v>
      </c>
      <c r="W1137" s="82" t="s">
        <v>4868</v>
      </c>
      <c r="X1137" s="80" t="str">
        <f>HYPERLINK("https://portalfinancaspessoais.com.br/?p=1424")</f>
        <v>https://portalfinancaspessoais.com.br/?p=1424</v>
      </c>
      <c r="Y1137" s="77" t="s">
        <v>6002</v>
      </c>
      <c r="Z1137" s="77"/>
      <c r="AA1137" s="77" t="s">
        <v>6861</v>
      </c>
      <c r="AB1137" s="77" t="s">
        <v>7696</v>
      </c>
      <c r="AC1137" s="82" t="s">
        <v>7710</v>
      </c>
      <c r="AD1137" s="77" t="s">
        <v>7745</v>
      </c>
      <c r="AE1137" s="80" t="str">
        <f>HYPERLINK("https://twitter.com/financasportal/status/1653734810953695233")</f>
        <v>https://twitter.com/financasportal/status/1653734810953695233</v>
      </c>
      <c r="AF1137" s="79">
        <v>45049.510162037041</v>
      </c>
      <c r="AG1137" s="85">
        <v>45049</v>
      </c>
      <c r="AH1137" s="82" t="s">
        <v>8764</v>
      </c>
      <c r="AI1137" s="77" t="b">
        <v>0</v>
      </c>
      <c r="AJ1137" s="77"/>
      <c r="AK1137" s="77"/>
      <c r="AL1137" s="77"/>
      <c r="AM1137" s="77"/>
      <c r="AN1137" s="77"/>
      <c r="AO1137" s="77"/>
      <c r="AP1137" s="77"/>
      <c r="AQ1137" s="77" t="s">
        <v>11368</v>
      </c>
      <c r="AR1137" s="77"/>
      <c r="AS1137" s="77"/>
      <c r="AT1137" s="77"/>
      <c r="AU1137" s="77"/>
      <c r="AV1137" s="80" t="str">
        <f>HYPERLINK("https://pbs.twimg.com/media/FvM_DBxX0AI1sTr.jpg")</f>
        <v>https://pbs.twimg.com/media/FvM_DBxX0AI1sTr.jpg</v>
      </c>
      <c r="AW1137" s="82" t="s">
        <v>13319</v>
      </c>
      <c r="AX1137" s="82" t="s">
        <v>13319</v>
      </c>
      <c r="AY1137" s="77"/>
      <c r="AZ1137" s="82" t="s">
        <v>15804</v>
      </c>
      <c r="BA1137" s="82" t="s">
        <v>15804</v>
      </c>
      <c r="BB1137" s="82" t="s">
        <v>15804</v>
      </c>
      <c r="BC1137" s="82" t="s">
        <v>13319</v>
      </c>
      <c r="BD1137" s="82" t="s">
        <v>16336</v>
      </c>
      <c r="BE1137" s="77"/>
      <c r="BF1137" s="77"/>
      <c r="BG1137" s="77"/>
      <c r="BH1137" s="77"/>
      <c r="BI1137" s="77"/>
    </row>
    <row r="1138" spans="1:61" x14ac:dyDescent="0.25">
      <c r="A1138" s="62" t="s">
        <v>577</v>
      </c>
      <c r="B1138" s="62" t="s">
        <v>577</v>
      </c>
      <c r="C1138" s="63"/>
      <c r="D1138" s="64"/>
      <c r="E1138" s="65"/>
      <c r="F1138" s="66"/>
      <c r="G1138" s="63"/>
      <c r="H1138" s="67"/>
      <c r="I1138" s="68"/>
      <c r="J1138" s="68"/>
      <c r="K1138" s="32"/>
      <c r="L1138" s="75">
        <v>1138</v>
      </c>
      <c r="M1138" s="75"/>
      <c r="N1138" s="70"/>
      <c r="O1138" s="77" t="s">
        <v>179</v>
      </c>
      <c r="P1138" s="79">
        <v>45048.505682870367</v>
      </c>
      <c r="Q1138" s="77" t="s">
        <v>2231</v>
      </c>
      <c r="R1138" s="77">
        <v>0</v>
      </c>
      <c r="S1138" s="77">
        <v>0</v>
      </c>
      <c r="T1138" s="77">
        <v>0</v>
      </c>
      <c r="U1138" s="77">
        <v>0</v>
      </c>
      <c r="V1138" s="77">
        <v>15</v>
      </c>
      <c r="W1138" s="82" t="s">
        <v>4871</v>
      </c>
      <c r="X1138" s="80" t="str">
        <f>HYPERLINK("https://portalfinancaspessoais.com.br/?p=1419")</f>
        <v>https://portalfinancaspessoais.com.br/?p=1419</v>
      </c>
      <c r="Y1138" s="77" t="s">
        <v>6002</v>
      </c>
      <c r="Z1138" s="77"/>
      <c r="AA1138" s="77" t="s">
        <v>6862</v>
      </c>
      <c r="AB1138" s="77" t="s">
        <v>7696</v>
      </c>
      <c r="AC1138" s="82" t="s">
        <v>7710</v>
      </c>
      <c r="AD1138" s="77" t="s">
        <v>7745</v>
      </c>
      <c r="AE1138" s="80" t="str">
        <f>HYPERLINK("https://twitter.com/financasportal/status/1653370800198565892")</f>
        <v>https://twitter.com/financasportal/status/1653370800198565892</v>
      </c>
      <c r="AF1138" s="79">
        <v>45048.505682870367</v>
      </c>
      <c r="AG1138" s="85">
        <v>45048</v>
      </c>
      <c r="AH1138" s="82" t="s">
        <v>8765</v>
      </c>
      <c r="AI1138" s="77" t="b">
        <v>0</v>
      </c>
      <c r="AJ1138" s="77"/>
      <c r="AK1138" s="77"/>
      <c r="AL1138" s="77"/>
      <c r="AM1138" s="77"/>
      <c r="AN1138" s="77"/>
      <c r="AO1138" s="77"/>
      <c r="AP1138" s="77"/>
      <c r="AQ1138" s="77" t="s">
        <v>11369</v>
      </c>
      <c r="AR1138" s="77"/>
      <c r="AS1138" s="77"/>
      <c r="AT1138" s="77"/>
      <c r="AU1138" s="77"/>
      <c r="AV1138" s="80" t="str">
        <f>HYPERLINK("https://pbs.twimg.com/media/FvHz-0FXgAE_BYh.jpg")</f>
        <v>https://pbs.twimg.com/media/FvHz-0FXgAE_BYh.jpg</v>
      </c>
      <c r="AW1138" s="82" t="s">
        <v>13320</v>
      </c>
      <c r="AX1138" s="82" t="s">
        <v>13320</v>
      </c>
      <c r="AY1138" s="77"/>
      <c r="AZ1138" s="82" t="s">
        <v>15804</v>
      </c>
      <c r="BA1138" s="82" t="s">
        <v>15804</v>
      </c>
      <c r="BB1138" s="82" t="s">
        <v>15804</v>
      </c>
      <c r="BC1138" s="82" t="s">
        <v>13320</v>
      </c>
      <c r="BD1138" s="82" t="s">
        <v>16336</v>
      </c>
      <c r="BE1138" s="77"/>
      <c r="BF1138" s="77"/>
      <c r="BG1138" s="77"/>
      <c r="BH1138" s="77"/>
      <c r="BI1138" s="77"/>
    </row>
    <row r="1139" spans="1:61" x14ac:dyDescent="0.25">
      <c r="A1139" s="62" t="s">
        <v>577</v>
      </c>
      <c r="B1139" s="62" t="s">
        <v>577</v>
      </c>
      <c r="C1139" s="63"/>
      <c r="D1139" s="64"/>
      <c r="E1139" s="65"/>
      <c r="F1139" s="66"/>
      <c r="G1139" s="63"/>
      <c r="H1139" s="67"/>
      <c r="I1139" s="68"/>
      <c r="J1139" s="68"/>
      <c r="K1139" s="32"/>
      <c r="L1139" s="75">
        <v>1139</v>
      </c>
      <c r="M1139" s="75"/>
      <c r="N1139" s="70"/>
      <c r="O1139" s="77" t="s">
        <v>179</v>
      </c>
      <c r="P1139" s="79">
        <v>45040.540625000001</v>
      </c>
      <c r="Q1139" s="77" t="s">
        <v>2232</v>
      </c>
      <c r="R1139" s="77">
        <v>0</v>
      </c>
      <c r="S1139" s="77">
        <v>0</v>
      </c>
      <c r="T1139" s="77">
        <v>0</v>
      </c>
      <c r="U1139" s="77">
        <v>0</v>
      </c>
      <c r="V1139" s="77">
        <v>7</v>
      </c>
      <c r="W1139" s="82" t="s">
        <v>4868</v>
      </c>
      <c r="X1139" s="80" t="str">
        <f>HYPERLINK("https://portalfinancaspessoais.com.br/?p=1338")</f>
        <v>https://portalfinancaspessoais.com.br/?p=1338</v>
      </c>
      <c r="Y1139" s="77" t="s">
        <v>6002</v>
      </c>
      <c r="Z1139" s="77"/>
      <c r="AA1139" s="77" t="s">
        <v>6863</v>
      </c>
      <c r="AB1139" s="77" t="s">
        <v>7696</v>
      </c>
      <c r="AC1139" s="82" t="s">
        <v>7710</v>
      </c>
      <c r="AD1139" s="77" t="s">
        <v>7745</v>
      </c>
      <c r="AE1139" s="80" t="str">
        <f>HYPERLINK("https://twitter.com/financasportal/status/1650484357767864321")</f>
        <v>https://twitter.com/financasportal/status/1650484357767864321</v>
      </c>
      <c r="AF1139" s="79">
        <v>45040.540625000001</v>
      </c>
      <c r="AG1139" s="85">
        <v>45040</v>
      </c>
      <c r="AH1139" s="82" t="s">
        <v>8766</v>
      </c>
      <c r="AI1139" s="77" t="b">
        <v>0</v>
      </c>
      <c r="AJ1139" s="77"/>
      <c r="AK1139" s="77"/>
      <c r="AL1139" s="77"/>
      <c r="AM1139" s="77"/>
      <c r="AN1139" s="77"/>
      <c r="AO1139" s="77"/>
      <c r="AP1139" s="77"/>
      <c r="AQ1139" s="77" t="s">
        <v>11370</v>
      </c>
      <c r="AR1139" s="77"/>
      <c r="AS1139" s="77"/>
      <c r="AT1139" s="77"/>
      <c r="AU1139" s="77"/>
      <c r="AV1139" s="80" t="str">
        <f>HYPERLINK("https://pbs.twimg.com/media/FueyxuJXsAInqlA.jpg")</f>
        <v>https://pbs.twimg.com/media/FueyxuJXsAInqlA.jpg</v>
      </c>
      <c r="AW1139" s="82" t="s">
        <v>13321</v>
      </c>
      <c r="AX1139" s="82" t="s">
        <v>13321</v>
      </c>
      <c r="AY1139" s="77"/>
      <c r="AZ1139" s="82" t="s">
        <v>15804</v>
      </c>
      <c r="BA1139" s="82" t="s">
        <v>15804</v>
      </c>
      <c r="BB1139" s="82" t="s">
        <v>15804</v>
      </c>
      <c r="BC1139" s="82" t="s">
        <v>13321</v>
      </c>
      <c r="BD1139" s="82" t="s">
        <v>16336</v>
      </c>
      <c r="BE1139" s="77"/>
      <c r="BF1139" s="77"/>
      <c r="BG1139" s="77"/>
      <c r="BH1139" s="77"/>
      <c r="BI1139" s="77"/>
    </row>
    <row r="1140" spans="1:61" x14ac:dyDescent="0.25">
      <c r="A1140" s="62" t="s">
        <v>577</v>
      </c>
      <c r="B1140" s="62" t="s">
        <v>577</v>
      </c>
      <c r="C1140" s="63"/>
      <c r="D1140" s="64"/>
      <c r="E1140" s="65"/>
      <c r="F1140" s="66"/>
      <c r="G1140" s="63"/>
      <c r="H1140" s="67"/>
      <c r="I1140" s="68"/>
      <c r="J1140" s="68"/>
      <c r="K1140" s="32"/>
      <c r="L1140" s="75">
        <v>1140</v>
      </c>
      <c r="M1140" s="75"/>
      <c r="N1140" s="70"/>
      <c r="O1140" s="77" t="s">
        <v>179</v>
      </c>
      <c r="P1140" s="79">
        <v>45119.504594907405</v>
      </c>
      <c r="Q1140" s="77" t="s">
        <v>2233</v>
      </c>
      <c r="R1140" s="77">
        <v>0</v>
      </c>
      <c r="S1140" s="77">
        <v>0</v>
      </c>
      <c r="T1140" s="77">
        <v>0</v>
      </c>
      <c r="U1140" s="77">
        <v>0</v>
      </c>
      <c r="V1140" s="77">
        <v>10</v>
      </c>
      <c r="W1140" s="82" t="s">
        <v>4870</v>
      </c>
      <c r="X1140" s="80" t="str">
        <f>HYPERLINK("https://portalfinancaspessoais.com.br/?p=2126")</f>
        <v>https://portalfinancaspessoais.com.br/?p=2126</v>
      </c>
      <c r="Y1140" s="77" t="s">
        <v>6002</v>
      </c>
      <c r="Z1140" s="77"/>
      <c r="AA1140" s="77" t="s">
        <v>6864</v>
      </c>
      <c r="AB1140" s="77" t="s">
        <v>7696</v>
      </c>
      <c r="AC1140" s="82" t="s">
        <v>7710</v>
      </c>
      <c r="AD1140" s="77" t="s">
        <v>7745</v>
      </c>
      <c r="AE1140" s="80" t="str">
        <f>HYPERLINK("https://twitter.com/financasportal/status/1679099943162634241")</f>
        <v>https://twitter.com/financasportal/status/1679099943162634241</v>
      </c>
      <c r="AF1140" s="79">
        <v>45119.504594907405</v>
      </c>
      <c r="AG1140" s="85">
        <v>45119</v>
      </c>
      <c r="AH1140" s="82" t="s">
        <v>8767</v>
      </c>
      <c r="AI1140" s="77" t="b">
        <v>0</v>
      </c>
      <c r="AJ1140" s="77"/>
      <c r="AK1140" s="77"/>
      <c r="AL1140" s="77"/>
      <c r="AM1140" s="77"/>
      <c r="AN1140" s="77"/>
      <c r="AO1140" s="77"/>
      <c r="AP1140" s="77"/>
      <c r="AQ1140" s="77" t="s">
        <v>11371</v>
      </c>
      <c r="AR1140" s="77"/>
      <c r="AS1140" s="77"/>
      <c r="AT1140" s="77"/>
      <c r="AU1140" s="77"/>
      <c r="AV1140" s="80" t="str">
        <f>HYPERLINK("https://pbs.twimg.com/media/F01cgB1WIAAh1JX.jpg")</f>
        <v>https://pbs.twimg.com/media/F01cgB1WIAAh1JX.jpg</v>
      </c>
      <c r="AW1140" s="82" t="s">
        <v>13322</v>
      </c>
      <c r="AX1140" s="82" t="s">
        <v>13322</v>
      </c>
      <c r="AY1140" s="77"/>
      <c r="AZ1140" s="82" t="s">
        <v>15804</v>
      </c>
      <c r="BA1140" s="82" t="s">
        <v>15804</v>
      </c>
      <c r="BB1140" s="82" t="s">
        <v>15804</v>
      </c>
      <c r="BC1140" s="82" t="s">
        <v>13322</v>
      </c>
      <c r="BD1140" s="82" t="s">
        <v>16336</v>
      </c>
      <c r="BE1140" s="77"/>
      <c r="BF1140" s="77"/>
      <c r="BG1140" s="77"/>
      <c r="BH1140" s="77"/>
      <c r="BI1140" s="77"/>
    </row>
    <row r="1141" spans="1:61" x14ac:dyDescent="0.25">
      <c r="A1141" s="62" t="s">
        <v>577</v>
      </c>
      <c r="B1141" s="62" t="s">
        <v>577</v>
      </c>
      <c r="C1141" s="63"/>
      <c r="D1141" s="64"/>
      <c r="E1141" s="65"/>
      <c r="F1141" s="66"/>
      <c r="G1141" s="63"/>
      <c r="H1141" s="67"/>
      <c r="I1141" s="68"/>
      <c r="J1141" s="68"/>
      <c r="K1141" s="32"/>
      <c r="L1141" s="75">
        <v>1141</v>
      </c>
      <c r="M1141" s="75"/>
      <c r="N1141" s="70"/>
      <c r="O1141" s="77" t="s">
        <v>179</v>
      </c>
      <c r="P1141" s="79">
        <v>45118.539513888885</v>
      </c>
      <c r="Q1141" s="77" t="s">
        <v>2234</v>
      </c>
      <c r="R1141" s="77">
        <v>0</v>
      </c>
      <c r="S1141" s="77">
        <v>0</v>
      </c>
      <c r="T1141" s="77">
        <v>0</v>
      </c>
      <c r="U1141" s="77">
        <v>0</v>
      </c>
      <c r="V1141" s="77">
        <v>8</v>
      </c>
      <c r="W1141" s="82" t="s">
        <v>4871</v>
      </c>
      <c r="X1141" s="80" t="str">
        <f>HYPERLINK("https://portalfinancaspessoais.com.br/?p=2122")</f>
        <v>https://portalfinancaspessoais.com.br/?p=2122</v>
      </c>
      <c r="Y1141" s="77" t="s">
        <v>6002</v>
      </c>
      <c r="Z1141" s="77"/>
      <c r="AA1141" s="77" t="s">
        <v>6865</v>
      </c>
      <c r="AB1141" s="77" t="s">
        <v>7696</v>
      </c>
      <c r="AC1141" s="82" t="s">
        <v>7710</v>
      </c>
      <c r="AD1141" s="77" t="s">
        <v>7745</v>
      </c>
      <c r="AE1141" s="80" t="str">
        <f>HYPERLINK("https://twitter.com/financasportal/status/1678750208811778050")</f>
        <v>https://twitter.com/financasportal/status/1678750208811778050</v>
      </c>
      <c r="AF1141" s="79">
        <v>45118.539513888885</v>
      </c>
      <c r="AG1141" s="85">
        <v>45118</v>
      </c>
      <c r="AH1141" s="82" t="s">
        <v>8768</v>
      </c>
      <c r="AI1141" s="77" t="b">
        <v>0</v>
      </c>
      <c r="AJ1141" s="77"/>
      <c r="AK1141" s="77"/>
      <c r="AL1141" s="77"/>
      <c r="AM1141" s="77"/>
      <c r="AN1141" s="77"/>
      <c r="AO1141" s="77"/>
      <c r="AP1141" s="77"/>
      <c r="AQ1141" s="77" t="s">
        <v>11372</v>
      </c>
      <c r="AR1141" s="77"/>
      <c r="AS1141" s="77"/>
      <c r="AT1141" s="77"/>
      <c r="AU1141" s="77"/>
      <c r="AV1141" s="80" t="str">
        <f>HYPERLINK("https://pbs.twimg.com/media/F0weavkWIAAKZoM.jpg")</f>
        <v>https://pbs.twimg.com/media/F0weavkWIAAKZoM.jpg</v>
      </c>
      <c r="AW1141" s="82" t="s">
        <v>13323</v>
      </c>
      <c r="AX1141" s="82" t="s">
        <v>13323</v>
      </c>
      <c r="AY1141" s="77"/>
      <c r="AZ1141" s="82" t="s">
        <v>15804</v>
      </c>
      <c r="BA1141" s="82" t="s">
        <v>15804</v>
      </c>
      <c r="BB1141" s="82" t="s">
        <v>15804</v>
      </c>
      <c r="BC1141" s="82" t="s">
        <v>13323</v>
      </c>
      <c r="BD1141" s="82" t="s">
        <v>16336</v>
      </c>
      <c r="BE1141" s="77"/>
      <c r="BF1141" s="77"/>
      <c r="BG1141" s="77"/>
      <c r="BH1141" s="77"/>
      <c r="BI1141" s="77"/>
    </row>
    <row r="1142" spans="1:61" x14ac:dyDescent="0.25">
      <c r="A1142" s="62" t="s">
        <v>577</v>
      </c>
      <c r="B1142" s="62" t="s">
        <v>577</v>
      </c>
      <c r="C1142" s="63"/>
      <c r="D1142" s="64"/>
      <c r="E1142" s="65"/>
      <c r="F1142" s="66"/>
      <c r="G1142" s="63"/>
      <c r="H1142" s="67"/>
      <c r="I1142" s="68"/>
      <c r="J1142" s="68"/>
      <c r="K1142" s="32"/>
      <c r="L1142" s="75">
        <v>1142</v>
      </c>
      <c r="M1142" s="75"/>
      <c r="N1142" s="70"/>
      <c r="O1142" s="77" t="s">
        <v>179</v>
      </c>
      <c r="P1142" s="79">
        <v>45056.521111111113</v>
      </c>
      <c r="Q1142" s="77" t="s">
        <v>2235</v>
      </c>
      <c r="R1142" s="77">
        <v>0</v>
      </c>
      <c r="S1142" s="77">
        <v>0</v>
      </c>
      <c r="T1142" s="77">
        <v>0</v>
      </c>
      <c r="U1142" s="77">
        <v>0</v>
      </c>
      <c r="V1142" s="77">
        <v>12</v>
      </c>
      <c r="W1142" s="82" t="s">
        <v>4868</v>
      </c>
      <c r="X1142" s="80" t="str">
        <f>HYPERLINK("https://portalfinancaspessoais.com.br/?p=1491")</f>
        <v>https://portalfinancaspessoais.com.br/?p=1491</v>
      </c>
      <c r="Y1142" s="77" t="s">
        <v>6002</v>
      </c>
      <c r="Z1142" s="77"/>
      <c r="AA1142" s="77" t="s">
        <v>6866</v>
      </c>
      <c r="AB1142" s="77" t="s">
        <v>7696</v>
      </c>
      <c r="AC1142" s="82" t="s">
        <v>7710</v>
      </c>
      <c r="AD1142" s="77" t="s">
        <v>7745</v>
      </c>
      <c r="AE1142" s="80" t="str">
        <f>HYPERLINK("https://twitter.com/financasportal/status/1656275494348701696")</f>
        <v>https://twitter.com/financasportal/status/1656275494348701696</v>
      </c>
      <c r="AF1142" s="79">
        <v>45056.521111111113</v>
      </c>
      <c r="AG1142" s="85">
        <v>45056</v>
      </c>
      <c r="AH1142" s="82" t="s">
        <v>8769</v>
      </c>
      <c r="AI1142" s="77" t="b">
        <v>0</v>
      </c>
      <c r="AJ1142" s="77"/>
      <c r="AK1142" s="77"/>
      <c r="AL1142" s="77"/>
      <c r="AM1142" s="77"/>
      <c r="AN1142" s="77"/>
      <c r="AO1142" s="77"/>
      <c r="AP1142" s="77"/>
      <c r="AQ1142" s="77" t="s">
        <v>11373</v>
      </c>
      <c r="AR1142" s="77"/>
      <c r="AS1142" s="77"/>
      <c r="AT1142" s="77"/>
      <c r="AU1142" s="77"/>
      <c r="AV1142" s="80" t="str">
        <f>HYPERLINK("https://pbs.twimg.com/media/FvxFyOWXsAAStx2.jpg")</f>
        <v>https://pbs.twimg.com/media/FvxFyOWXsAAStx2.jpg</v>
      </c>
      <c r="AW1142" s="82" t="s">
        <v>13324</v>
      </c>
      <c r="AX1142" s="82" t="s">
        <v>13324</v>
      </c>
      <c r="AY1142" s="77"/>
      <c r="AZ1142" s="82" t="s">
        <v>15804</v>
      </c>
      <c r="BA1142" s="82" t="s">
        <v>15804</v>
      </c>
      <c r="BB1142" s="82" t="s">
        <v>15804</v>
      </c>
      <c r="BC1142" s="82" t="s">
        <v>13324</v>
      </c>
      <c r="BD1142" s="82" t="s">
        <v>16336</v>
      </c>
      <c r="BE1142" s="77"/>
      <c r="BF1142" s="77"/>
      <c r="BG1142" s="77"/>
      <c r="BH1142" s="77"/>
      <c r="BI1142" s="77"/>
    </row>
    <row r="1143" spans="1:61" x14ac:dyDescent="0.25">
      <c r="A1143" s="62" t="s">
        <v>577</v>
      </c>
      <c r="B1143" s="62" t="s">
        <v>577</v>
      </c>
      <c r="C1143" s="63"/>
      <c r="D1143" s="64"/>
      <c r="E1143" s="65"/>
      <c r="F1143" s="66"/>
      <c r="G1143" s="63"/>
      <c r="H1143" s="67"/>
      <c r="I1143" s="68"/>
      <c r="J1143" s="68"/>
      <c r="K1143" s="32"/>
      <c r="L1143" s="75">
        <v>1143</v>
      </c>
      <c r="M1143" s="75"/>
      <c r="N1143" s="70"/>
      <c r="O1143" s="77" t="s">
        <v>179</v>
      </c>
      <c r="P1143" s="79">
        <v>45055.518645833334</v>
      </c>
      <c r="Q1143" s="77" t="s">
        <v>2236</v>
      </c>
      <c r="R1143" s="77">
        <v>0</v>
      </c>
      <c r="S1143" s="77">
        <v>0</v>
      </c>
      <c r="T1143" s="77">
        <v>0</v>
      </c>
      <c r="U1143" s="77">
        <v>0</v>
      </c>
      <c r="V1143" s="77">
        <v>6</v>
      </c>
      <c r="W1143" s="82" t="s">
        <v>4868</v>
      </c>
      <c r="X1143" s="80" t="str">
        <f>HYPERLINK("https://portalfinancaspessoais.com.br/?p=1485")</f>
        <v>https://portalfinancaspessoais.com.br/?p=1485</v>
      </c>
      <c r="Y1143" s="77" t="s">
        <v>6002</v>
      </c>
      <c r="Z1143" s="77"/>
      <c r="AA1143" s="77" t="s">
        <v>6867</v>
      </c>
      <c r="AB1143" s="77" t="s">
        <v>7696</v>
      </c>
      <c r="AC1143" s="82" t="s">
        <v>7710</v>
      </c>
      <c r="AD1143" s="77" t="s">
        <v>7745</v>
      </c>
      <c r="AE1143" s="80" t="str">
        <f>HYPERLINK("https://twitter.com/financasportal/status/1655912212630757377")</f>
        <v>https://twitter.com/financasportal/status/1655912212630757377</v>
      </c>
      <c r="AF1143" s="79">
        <v>45055.518645833334</v>
      </c>
      <c r="AG1143" s="85">
        <v>45055</v>
      </c>
      <c r="AH1143" s="82" t="s">
        <v>8770</v>
      </c>
      <c r="AI1143" s="77" t="b">
        <v>0</v>
      </c>
      <c r="AJ1143" s="77"/>
      <c r="AK1143" s="77"/>
      <c r="AL1143" s="77"/>
      <c r="AM1143" s="77"/>
      <c r="AN1143" s="77"/>
      <c r="AO1143" s="77"/>
      <c r="AP1143" s="77"/>
      <c r="AQ1143" s="77" t="s">
        <v>11374</v>
      </c>
      <c r="AR1143" s="77"/>
      <c r="AS1143" s="77"/>
      <c r="AT1143" s="77"/>
      <c r="AU1143" s="77"/>
      <c r="AV1143" s="80" t="str">
        <f>HYPERLINK("https://pbs.twimg.com/media/Fvr7YeGXwAEAoBr.jpg")</f>
        <v>https://pbs.twimg.com/media/Fvr7YeGXwAEAoBr.jpg</v>
      </c>
      <c r="AW1143" s="82" t="s">
        <v>13325</v>
      </c>
      <c r="AX1143" s="82" t="s">
        <v>13325</v>
      </c>
      <c r="AY1143" s="77"/>
      <c r="AZ1143" s="82" t="s">
        <v>15804</v>
      </c>
      <c r="BA1143" s="82" t="s">
        <v>15804</v>
      </c>
      <c r="BB1143" s="82" t="s">
        <v>15804</v>
      </c>
      <c r="BC1143" s="82" t="s">
        <v>13325</v>
      </c>
      <c r="BD1143" s="82" t="s">
        <v>16336</v>
      </c>
      <c r="BE1143" s="77"/>
      <c r="BF1143" s="77"/>
      <c r="BG1143" s="77"/>
      <c r="BH1143" s="77"/>
      <c r="BI1143" s="77"/>
    </row>
    <row r="1144" spans="1:61" x14ac:dyDescent="0.25">
      <c r="A1144" s="62" t="s">
        <v>577</v>
      </c>
      <c r="B1144" s="62" t="s">
        <v>577</v>
      </c>
      <c r="C1144" s="63"/>
      <c r="D1144" s="64"/>
      <c r="E1144" s="65"/>
      <c r="F1144" s="66"/>
      <c r="G1144" s="63"/>
      <c r="H1144" s="67"/>
      <c r="I1144" s="68"/>
      <c r="J1144" s="68"/>
      <c r="K1144" s="32"/>
      <c r="L1144" s="75">
        <v>1144</v>
      </c>
      <c r="M1144" s="75"/>
      <c r="N1144" s="70"/>
      <c r="O1144" s="77" t="s">
        <v>179</v>
      </c>
      <c r="P1144" s="79">
        <v>45054.513553240744</v>
      </c>
      <c r="Q1144" s="77" t="s">
        <v>2237</v>
      </c>
      <c r="R1144" s="77">
        <v>0</v>
      </c>
      <c r="S1144" s="77">
        <v>0</v>
      </c>
      <c r="T1144" s="77">
        <v>0</v>
      </c>
      <c r="U1144" s="77">
        <v>0</v>
      </c>
      <c r="V1144" s="77">
        <v>6</v>
      </c>
      <c r="W1144" s="82" t="s">
        <v>4868</v>
      </c>
      <c r="X1144" s="80" t="str">
        <f>HYPERLINK("https://portalfinancaspessoais.com.br/?p=1479")</f>
        <v>https://portalfinancaspessoais.com.br/?p=1479</v>
      </c>
      <c r="Y1144" s="77" t="s">
        <v>6002</v>
      </c>
      <c r="Z1144" s="77"/>
      <c r="AA1144" s="77" t="s">
        <v>6868</v>
      </c>
      <c r="AB1144" s="77" t="s">
        <v>7696</v>
      </c>
      <c r="AC1144" s="82" t="s">
        <v>7710</v>
      </c>
      <c r="AD1144" s="77" t="s">
        <v>7745</v>
      </c>
      <c r="AE1144" s="80" t="str">
        <f>HYPERLINK("https://twitter.com/financasportal/status/1655547981104283649")</f>
        <v>https://twitter.com/financasportal/status/1655547981104283649</v>
      </c>
      <c r="AF1144" s="79">
        <v>45054.513553240744</v>
      </c>
      <c r="AG1144" s="85">
        <v>45054</v>
      </c>
      <c r="AH1144" s="82" t="s">
        <v>8771</v>
      </c>
      <c r="AI1144" s="77" t="b">
        <v>0</v>
      </c>
      <c r="AJ1144" s="77"/>
      <c r="AK1144" s="77"/>
      <c r="AL1144" s="77"/>
      <c r="AM1144" s="77"/>
      <c r="AN1144" s="77"/>
      <c r="AO1144" s="77"/>
      <c r="AP1144" s="77"/>
      <c r="AQ1144" s="77" t="s">
        <v>11375</v>
      </c>
      <c r="AR1144" s="77"/>
      <c r="AS1144" s="77"/>
      <c r="AT1144" s="77"/>
      <c r="AU1144" s="77"/>
      <c r="AV1144" s="80" t="str">
        <f>HYPERLINK("https://pbs.twimg.com/media/FvmwHY0XoAkdfRx.jpg")</f>
        <v>https://pbs.twimg.com/media/FvmwHY0XoAkdfRx.jpg</v>
      </c>
      <c r="AW1144" s="82" t="s">
        <v>13326</v>
      </c>
      <c r="AX1144" s="82" t="s">
        <v>13326</v>
      </c>
      <c r="AY1144" s="77"/>
      <c r="AZ1144" s="82" t="s">
        <v>15804</v>
      </c>
      <c r="BA1144" s="82" t="s">
        <v>15804</v>
      </c>
      <c r="BB1144" s="82" t="s">
        <v>15804</v>
      </c>
      <c r="BC1144" s="82" t="s">
        <v>13326</v>
      </c>
      <c r="BD1144" s="82" t="s">
        <v>16336</v>
      </c>
      <c r="BE1144" s="77"/>
      <c r="BF1144" s="77"/>
      <c r="BG1144" s="77"/>
      <c r="BH1144" s="77"/>
      <c r="BI1144" s="77"/>
    </row>
    <row r="1145" spans="1:61" x14ac:dyDescent="0.25">
      <c r="A1145" s="62" t="s">
        <v>577</v>
      </c>
      <c r="B1145" s="62" t="s">
        <v>577</v>
      </c>
      <c r="C1145" s="63"/>
      <c r="D1145" s="64"/>
      <c r="E1145" s="65"/>
      <c r="F1145" s="66"/>
      <c r="G1145" s="63"/>
      <c r="H1145" s="67"/>
      <c r="I1145" s="68"/>
      <c r="J1145" s="68"/>
      <c r="K1145" s="32"/>
      <c r="L1145" s="75">
        <v>1145</v>
      </c>
      <c r="M1145" s="75"/>
      <c r="N1145" s="70"/>
      <c r="O1145" s="77" t="s">
        <v>179</v>
      </c>
      <c r="P1145" s="79">
        <v>45117.534479166665</v>
      </c>
      <c r="Q1145" s="77" t="s">
        <v>2238</v>
      </c>
      <c r="R1145" s="77">
        <v>0</v>
      </c>
      <c r="S1145" s="77">
        <v>0</v>
      </c>
      <c r="T1145" s="77">
        <v>0</v>
      </c>
      <c r="U1145" s="77">
        <v>0</v>
      </c>
      <c r="V1145" s="77">
        <v>14</v>
      </c>
      <c r="W1145" s="82" t="s">
        <v>4868</v>
      </c>
      <c r="X1145" s="80" t="str">
        <f>HYPERLINK("https://portalfinancaspessoais.com.br/?p=2117")</f>
        <v>https://portalfinancaspessoais.com.br/?p=2117</v>
      </c>
      <c r="Y1145" s="77" t="s">
        <v>6002</v>
      </c>
      <c r="Z1145" s="77"/>
      <c r="AA1145" s="77" t="s">
        <v>6869</v>
      </c>
      <c r="AB1145" s="77" t="s">
        <v>7696</v>
      </c>
      <c r="AC1145" s="82" t="s">
        <v>7710</v>
      </c>
      <c r="AD1145" s="77" t="s">
        <v>7745</v>
      </c>
      <c r="AE1145" s="80" t="str">
        <f>HYPERLINK("https://twitter.com/financasportal/status/1678385997111754756")</f>
        <v>https://twitter.com/financasportal/status/1678385997111754756</v>
      </c>
      <c r="AF1145" s="79">
        <v>45117.534479166665</v>
      </c>
      <c r="AG1145" s="85">
        <v>45117</v>
      </c>
      <c r="AH1145" s="82" t="s">
        <v>8772</v>
      </c>
      <c r="AI1145" s="77" t="b">
        <v>0</v>
      </c>
      <c r="AJ1145" s="77"/>
      <c r="AK1145" s="77"/>
      <c r="AL1145" s="77"/>
      <c r="AM1145" s="77"/>
      <c r="AN1145" s="77"/>
      <c r="AO1145" s="77"/>
      <c r="AP1145" s="77"/>
      <c r="AQ1145" s="77" t="s">
        <v>11376</v>
      </c>
      <c r="AR1145" s="77"/>
      <c r="AS1145" s="77"/>
      <c r="AT1145" s="77"/>
      <c r="AU1145" s="77"/>
      <c r="AV1145" s="80" t="str">
        <f>HYPERLINK("https://pbs.twimg.com/media/F0rTK6NWYAED9lx.jpg")</f>
        <v>https://pbs.twimg.com/media/F0rTK6NWYAED9lx.jpg</v>
      </c>
      <c r="AW1145" s="82" t="s">
        <v>13327</v>
      </c>
      <c r="AX1145" s="82" t="s">
        <v>13327</v>
      </c>
      <c r="AY1145" s="77"/>
      <c r="AZ1145" s="82" t="s">
        <v>15804</v>
      </c>
      <c r="BA1145" s="82" t="s">
        <v>15804</v>
      </c>
      <c r="BB1145" s="82" t="s">
        <v>15804</v>
      </c>
      <c r="BC1145" s="82" t="s">
        <v>13327</v>
      </c>
      <c r="BD1145" s="82" t="s">
        <v>16336</v>
      </c>
      <c r="BE1145" s="77"/>
      <c r="BF1145" s="77"/>
      <c r="BG1145" s="77"/>
      <c r="BH1145" s="77"/>
      <c r="BI1145" s="77"/>
    </row>
    <row r="1146" spans="1:61" x14ac:dyDescent="0.25">
      <c r="A1146" s="62" t="s">
        <v>577</v>
      </c>
      <c r="B1146" s="62" t="s">
        <v>577</v>
      </c>
      <c r="C1146" s="63"/>
      <c r="D1146" s="64"/>
      <c r="E1146" s="65"/>
      <c r="F1146" s="66"/>
      <c r="G1146" s="63"/>
      <c r="H1146" s="67"/>
      <c r="I1146" s="68"/>
      <c r="J1146" s="68"/>
      <c r="K1146" s="32"/>
      <c r="L1146" s="75">
        <v>1146</v>
      </c>
      <c r="M1146" s="75"/>
      <c r="N1146" s="70"/>
      <c r="O1146" s="77" t="s">
        <v>179</v>
      </c>
      <c r="P1146" s="79">
        <v>45093.504386574074</v>
      </c>
      <c r="Q1146" s="77" t="s">
        <v>2239</v>
      </c>
      <c r="R1146" s="77">
        <v>0</v>
      </c>
      <c r="S1146" s="77">
        <v>0</v>
      </c>
      <c r="T1146" s="77">
        <v>0</v>
      </c>
      <c r="U1146" s="77">
        <v>0</v>
      </c>
      <c r="V1146" s="77">
        <v>9</v>
      </c>
      <c r="W1146" s="82" t="s">
        <v>4871</v>
      </c>
      <c r="X1146" s="80" t="str">
        <f>HYPERLINK("https://portalfinancaspessoais.com.br/?p=2056")</f>
        <v>https://portalfinancaspessoais.com.br/?p=2056</v>
      </c>
      <c r="Y1146" s="77" t="s">
        <v>6002</v>
      </c>
      <c r="Z1146" s="77"/>
      <c r="AA1146" s="77" t="s">
        <v>6870</v>
      </c>
      <c r="AB1146" s="77" t="s">
        <v>7696</v>
      </c>
      <c r="AC1146" s="82" t="s">
        <v>7710</v>
      </c>
      <c r="AD1146" s="77" t="s">
        <v>7745</v>
      </c>
      <c r="AE1146" s="80" t="str">
        <f>HYPERLINK("https://twitter.com/financasportal/status/1669677783230947329")</f>
        <v>https://twitter.com/financasportal/status/1669677783230947329</v>
      </c>
      <c r="AF1146" s="79">
        <v>45093.504386574074</v>
      </c>
      <c r="AG1146" s="85">
        <v>45093</v>
      </c>
      <c r="AH1146" s="82" t="s">
        <v>8773</v>
      </c>
      <c r="AI1146" s="77" t="b">
        <v>0</v>
      </c>
      <c r="AJ1146" s="77"/>
      <c r="AK1146" s="77"/>
      <c r="AL1146" s="77"/>
      <c r="AM1146" s="77"/>
      <c r="AN1146" s="77"/>
      <c r="AO1146" s="77"/>
      <c r="AP1146" s="77"/>
      <c r="AQ1146" s="77" t="s">
        <v>11377</v>
      </c>
      <c r="AR1146" s="77"/>
      <c r="AS1146" s="77"/>
      <c r="AT1146" s="77"/>
      <c r="AU1146" s="77"/>
      <c r="AV1146" s="80" t="str">
        <f>HYPERLINK("https://pbs.twimg.com/media/FyvjGHaWYAIpjRl.jpg")</f>
        <v>https://pbs.twimg.com/media/FyvjGHaWYAIpjRl.jpg</v>
      </c>
      <c r="AW1146" s="82" t="s">
        <v>13328</v>
      </c>
      <c r="AX1146" s="82" t="s">
        <v>13328</v>
      </c>
      <c r="AY1146" s="77"/>
      <c r="AZ1146" s="82" t="s">
        <v>15804</v>
      </c>
      <c r="BA1146" s="82" t="s">
        <v>15804</v>
      </c>
      <c r="BB1146" s="82" t="s">
        <v>15804</v>
      </c>
      <c r="BC1146" s="82" t="s">
        <v>13328</v>
      </c>
      <c r="BD1146" s="82" t="s">
        <v>16336</v>
      </c>
      <c r="BE1146" s="77"/>
      <c r="BF1146" s="77"/>
      <c r="BG1146" s="77"/>
      <c r="BH1146" s="77"/>
      <c r="BI1146" s="77"/>
    </row>
    <row r="1147" spans="1:61" x14ac:dyDescent="0.25">
      <c r="A1147" s="62" t="s">
        <v>577</v>
      </c>
      <c r="B1147" s="62" t="s">
        <v>577</v>
      </c>
      <c r="C1147" s="63"/>
      <c r="D1147" s="64"/>
      <c r="E1147" s="65"/>
      <c r="F1147" s="66"/>
      <c r="G1147" s="63"/>
      <c r="H1147" s="67"/>
      <c r="I1147" s="68"/>
      <c r="J1147" s="68"/>
      <c r="K1147" s="32"/>
      <c r="L1147" s="75">
        <v>1147</v>
      </c>
      <c r="M1147" s="75"/>
      <c r="N1147" s="70"/>
      <c r="O1147" s="77" t="s">
        <v>179</v>
      </c>
      <c r="P1147" s="79">
        <v>45080.859803240739</v>
      </c>
      <c r="Q1147" s="77" t="s">
        <v>2240</v>
      </c>
      <c r="R1147" s="77">
        <v>0</v>
      </c>
      <c r="S1147" s="77">
        <v>0</v>
      </c>
      <c r="T1147" s="77">
        <v>0</v>
      </c>
      <c r="U1147" s="77">
        <v>0</v>
      </c>
      <c r="V1147" s="77">
        <v>25</v>
      </c>
      <c r="W1147" s="82" t="s">
        <v>4871</v>
      </c>
      <c r="X1147" s="80" t="str">
        <f>HYPERLINK("https://portalfinancaspessoais.com.br/?p=2008")</f>
        <v>https://portalfinancaspessoais.com.br/?p=2008</v>
      </c>
      <c r="Y1147" s="77" t="s">
        <v>6002</v>
      </c>
      <c r="Z1147" s="77"/>
      <c r="AA1147" s="77" t="s">
        <v>6871</v>
      </c>
      <c r="AB1147" s="77" t="s">
        <v>7696</v>
      </c>
      <c r="AC1147" s="82" t="s">
        <v>7710</v>
      </c>
      <c r="AD1147" s="77" t="s">
        <v>7745</v>
      </c>
      <c r="AE1147" s="80" t="str">
        <f>HYPERLINK("https://twitter.com/financasportal/status/1665095538717466624")</f>
        <v>https://twitter.com/financasportal/status/1665095538717466624</v>
      </c>
      <c r="AF1147" s="79">
        <v>45080.859803240739</v>
      </c>
      <c r="AG1147" s="85">
        <v>45080</v>
      </c>
      <c r="AH1147" s="82" t="s">
        <v>8774</v>
      </c>
      <c r="AI1147" s="77" t="b">
        <v>0</v>
      </c>
      <c r="AJ1147" s="77"/>
      <c r="AK1147" s="77"/>
      <c r="AL1147" s="77"/>
      <c r="AM1147" s="77"/>
      <c r="AN1147" s="77"/>
      <c r="AO1147" s="77"/>
      <c r="AP1147" s="77"/>
      <c r="AQ1147" s="77" t="s">
        <v>11378</v>
      </c>
      <c r="AR1147" s="77"/>
      <c r="AS1147" s="77"/>
      <c r="AT1147" s="77"/>
      <c r="AU1147" s="77"/>
      <c r="AV1147" s="80" t="str">
        <f>HYPERLINK("https://pbs.twimg.com/media/FxubkaKWAAAVdGi.jpg")</f>
        <v>https://pbs.twimg.com/media/FxubkaKWAAAVdGi.jpg</v>
      </c>
      <c r="AW1147" s="82" t="s">
        <v>13329</v>
      </c>
      <c r="AX1147" s="82" t="s">
        <v>13329</v>
      </c>
      <c r="AY1147" s="77"/>
      <c r="AZ1147" s="82" t="s">
        <v>15804</v>
      </c>
      <c r="BA1147" s="82" t="s">
        <v>15804</v>
      </c>
      <c r="BB1147" s="82" t="s">
        <v>15804</v>
      </c>
      <c r="BC1147" s="82" t="s">
        <v>13329</v>
      </c>
      <c r="BD1147" s="82" t="s">
        <v>16336</v>
      </c>
      <c r="BE1147" s="77"/>
      <c r="BF1147" s="77"/>
      <c r="BG1147" s="77"/>
      <c r="BH1147" s="77"/>
      <c r="BI1147" s="77"/>
    </row>
    <row r="1148" spans="1:61" x14ac:dyDescent="0.25">
      <c r="A1148" s="62" t="s">
        <v>577</v>
      </c>
      <c r="B1148" s="62" t="s">
        <v>577</v>
      </c>
      <c r="C1148" s="63"/>
      <c r="D1148" s="64"/>
      <c r="E1148" s="65"/>
      <c r="F1148" s="66"/>
      <c r="G1148" s="63"/>
      <c r="H1148" s="67"/>
      <c r="I1148" s="68"/>
      <c r="J1148" s="68"/>
      <c r="K1148" s="32"/>
      <c r="L1148" s="75">
        <v>1148</v>
      </c>
      <c r="M1148" s="75"/>
      <c r="N1148" s="70"/>
      <c r="O1148" s="77" t="s">
        <v>179</v>
      </c>
      <c r="P1148" s="79">
        <v>45080.815324074072</v>
      </c>
      <c r="Q1148" s="77" t="s">
        <v>2241</v>
      </c>
      <c r="R1148" s="77">
        <v>0</v>
      </c>
      <c r="S1148" s="77">
        <v>0</v>
      </c>
      <c r="T1148" s="77">
        <v>0</v>
      </c>
      <c r="U1148" s="77">
        <v>0</v>
      </c>
      <c r="V1148" s="77">
        <v>23</v>
      </c>
      <c r="W1148" s="82" t="s">
        <v>4875</v>
      </c>
      <c r="X1148" s="80" t="str">
        <f>HYPERLINK("https://portalfinancaspessoais.com.br/domine-o-tesouro-direto/")</f>
        <v>https://portalfinancaspessoais.com.br/domine-o-tesouro-direto/</v>
      </c>
      <c r="Y1148" s="77" t="s">
        <v>6002</v>
      </c>
      <c r="Z1148" s="77"/>
      <c r="AA1148" s="77" t="s">
        <v>6872</v>
      </c>
      <c r="AB1148" s="77" t="s">
        <v>7696</v>
      </c>
      <c r="AC1148" s="82" t="s">
        <v>7710</v>
      </c>
      <c r="AD1148" s="77" t="s">
        <v>7745</v>
      </c>
      <c r="AE1148" s="80" t="str">
        <f>HYPERLINK("https://twitter.com/financasportal/status/1665079419847729153")</f>
        <v>https://twitter.com/financasportal/status/1665079419847729153</v>
      </c>
      <c r="AF1148" s="79">
        <v>45080.815324074072</v>
      </c>
      <c r="AG1148" s="85">
        <v>45080</v>
      </c>
      <c r="AH1148" s="82" t="s">
        <v>8775</v>
      </c>
      <c r="AI1148" s="77" t="b">
        <v>0</v>
      </c>
      <c r="AJ1148" s="77"/>
      <c r="AK1148" s="77"/>
      <c r="AL1148" s="77"/>
      <c r="AM1148" s="77"/>
      <c r="AN1148" s="77"/>
      <c r="AO1148" s="77"/>
      <c r="AP1148" s="77"/>
      <c r="AQ1148" s="77" t="s">
        <v>11379</v>
      </c>
      <c r="AR1148" s="77"/>
      <c r="AS1148" s="77"/>
      <c r="AT1148" s="77"/>
      <c r="AU1148" s="77"/>
      <c r="AV1148" s="80" t="str">
        <f>HYPERLINK("https://pbs.twimg.com/media/FxuM6KWWwAAQH6_.jpg")</f>
        <v>https://pbs.twimg.com/media/FxuM6KWWwAAQH6_.jpg</v>
      </c>
      <c r="AW1148" s="82" t="s">
        <v>13330</v>
      </c>
      <c r="AX1148" s="82" t="s">
        <v>13330</v>
      </c>
      <c r="AY1148" s="77"/>
      <c r="AZ1148" s="82" t="s">
        <v>15804</v>
      </c>
      <c r="BA1148" s="82" t="s">
        <v>15804</v>
      </c>
      <c r="BB1148" s="82" t="s">
        <v>15804</v>
      </c>
      <c r="BC1148" s="82" t="s">
        <v>13330</v>
      </c>
      <c r="BD1148" s="82" t="s">
        <v>16336</v>
      </c>
      <c r="BE1148" s="77"/>
      <c r="BF1148" s="77"/>
      <c r="BG1148" s="77"/>
      <c r="BH1148" s="77"/>
      <c r="BI1148" s="77"/>
    </row>
    <row r="1149" spans="1:61" x14ac:dyDescent="0.25">
      <c r="A1149" s="62" t="s">
        <v>577</v>
      </c>
      <c r="B1149" s="62" t="s">
        <v>577</v>
      </c>
      <c r="C1149" s="63"/>
      <c r="D1149" s="64"/>
      <c r="E1149" s="65"/>
      <c r="F1149" s="66"/>
      <c r="G1149" s="63"/>
      <c r="H1149" s="67"/>
      <c r="I1149" s="68"/>
      <c r="J1149" s="68"/>
      <c r="K1149" s="32"/>
      <c r="L1149" s="75">
        <v>1149</v>
      </c>
      <c r="M1149" s="75"/>
      <c r="N1149" s="70"/>
      <c r="O1149" s="77" t="s">
        <v>179</v>
      </c>
      <c r="P1149" s="79">
        <v>45079.507060185184</v>
      </c>
      <c r="Q1149" s="77" t="s">
        <v>2242</v>
      </c>
      <c r="R1149" s="77">
        <v>0</v>
      </c>
      <c r="S1149" s="77">
        <v>0</v>
      </c>
      <c r="T1149" s="77">
        <v>0</v>
      </c>
      <c r="U1149" s="77">
        <v>0</v>
      </c>
      <c r="V1149" s="77">
        <v>9</v>
      </c>
      <c r="W1149" s="82" t="s">
        <v>4870</v>
      </c>
      <c r="X1149" s="80" t="str">
        <f>HYPERLINK("https://portalfinancaspessoais.com.br/?p=1682")</f>
        <v>https://portalfinancaspessoais.com.br/?p=1682</v>
      </c>
      <c r="Y1149" s="77" t="s">
        <v>6002</v>
      </c>
      <c r="Z1149" s="77"/>
      <c r="AA1149" s="77" t="s">
        <v>6873</v>
      </c>
      <c r="AB1149" s="77" t="s">
        <v>7696</v>
      </c>
      <c r="AC1149" s="82" t="s">
        <v>7710</v>
      </c>
      <c r="AD1149" s="77" t="s">
        <v>7745</v>
      </c>
      <c r="AE1149" s="80" t="str">
        <f>HYPERLINK("https://twitter.com/financasportal/status/1664605321187172353")</f>
        <v>https://twitter.com/financasportal/status/1664605321187172353</v>
      </c>
      <c r="AF1149" s="79">
        <v>45079.507060185184</v>
      </c>
      <c r="AG1149" s="85">
        <v>45079</v>
      </c>
      <c r="AH1149" s="82" t="s">
        <v>8776</v>
      </c>
      <c r="AI1149" s="77" t="b">
        <v>0</v>
      </c>
      <c r="AJ1149" s="77"/>
      <c r="AK1149" s="77"/>
      <c r="AL1149" s="77"/>
      <c r="AM1149" s="77"/>
      <c r="AN1149" s="77"/>
      <c r="AO1149" s="77"/>
      <c r="AP1149" s="77"/>
      <c r="AQ1149" s="77" t="s">
        <v>11380</v>
      </c>
      <c r="AR1149" s="77"/>
      <c r="AS1149" s="77"/>
      <c r="AT1149" s="77"/>
      <c r="AU1149" s="77"/>
      <c r="AV1149" s="80" t="str">
        <f>HYPERLINK("https://pbs.twimg.com/media/Fxndt_gWYAITpZH.jpg")</f>
        <v>https://pbs.twimg.com/media/Fxndt_gWYAITpZH.jpg</v>
      </c>
      <c r="AW1149" s="82" t="s">
        <v>13331</v>
      </c>
      <c r="AX1149" s="82" t="s">
        <v>13331</v>
      </c>
      <c r="AY1149" s="77"/>
      <c r="AZ1149" s="82" t="s">
        <v>15804</v>
      </c>
      <c r="BA1149" s="82" t="s">
        <v>15804</v>
      </c>
      <c r="BB1149" s="82" t="s">
        <v>15804</v>
      </c>
      <c r="BC1149" s="82" t="s">
        <v>13331</v>
      </c>
      <c r="BD1149" s="82" t="s">
        <v>16336</v>
      </c>
      <c r="BE1149" s="77"/>
      <c r="BF1149" s="77"/>
      <c r="BG1149" s="77"/>
      <c r="BH1149" s="77"/>
      <c r="BI1149" s="77"/>
    </row>
    <row r="1150" spans="1:61" x14ac:dyDescent="0.25">
      <c r="A1150" s="62" t="s">
        <v>577</v>
      </c>
      <c r="B1150" s="62" t="s">
        <v>577</v>
      </c>
      <c r="C1150" s="63"/>
      <c r="D1150" s="64"/>
      <c r="E1150" s="65"/>
      <c r="F1150" s="66"/>
      <c r="G1150" s="63"/>
      <c r="H1150" s="67"/>
      <c r="I1150" s="68"/>
      <c r="J1150" s="68"/>
      <c r="K1150" s="32"/>
      <c r="L1150" s="75">
        <v>1150</v>
      </c>
      <c r="M1150" s="75"/>
      <c r="N1150" s="70"/>
      <c r="O1150" s="77" t="s">
        <v>179</v>
      </c>
      <c r="P1150" s="79">
        <v>45078.501875000002</v>
      </c>
      <c r="Q1150" s="77" t="s">
        <v>2243</v>
      </c>
      <c r="R1150" s="77">
        <v>0</v>
      </c>
      <c r="S1150" s="77">
        <v>0</v>
      </c>
      <c r="T1150" s="77">
        <v>0</v>
      </c>
      <c r="U1150" s="77">
        <v>0</v>
      </c>
      <c r="V1150" s="77">
        <v>29</v>
      </c>
      <c r="W1150" s="82" t="s">
        <v>4868</v>
      </c>
      <c r="X1150" s="80" t="str">
        <f>HYPERLINK("https://portalfinancaspessoais.com.br/?p=1676")</f>
        <v>https://portalfinancaspessoais.com.br/?p=1676</v>
      </c>
      <c r="Y1150" s="77" t="s">
        <v>6002</v>
      </c>
      <c r="Z1150" s="77"/>
      <c r="AA1150" s="77" t="s">
        <v>6874</v>
      </c>
      <c r="AB1150" s="77" t="s">
        <v>7696</v>
      </c>
      <c r="AC1150" s="82" t="s">
        <v>7710</v>
      </c>
      <c r="AD1150" s="77" t="s">
        <v>7745</v>
      </c>
      <c r="AE1150" s="80" t="str">
        <f>HYPERLINK("https://twitter.com/financasportal/status/1664241053875019778")</f>
        <v>https://twitter.com/financasportal/status/1664241053875019778</v>
      </c>
      <c r="AF1150" s="79">
        <v>45078.501875000002</v>
      </c>
      <c r="AG1150" s="85">
        <v>45078</v>
      </c>
      <c r="AH1150" s="82" t="s">
        <v>8777</v>
      </c>
      <c r="AI1150" s="77" t="b">
        <v>0</v>
      </c>
      <c r="AJ1150" s="77"/>
      <c r="AK1150" s="77"/>
      <c r="AL1150" s="77"/>
      <c r="AM1150" s="77"/>
      <c r="AN1150" s="77"/>
      <c r="AO1150" s="77"/>
      <c r="AP1150" s="77"/>
      <c r="AQ1150" s="77" t="s">
        <v>11381</v>
      </c>
      <c r="AR1150" s="77"/>
      <c r="AS1150" s="77"/>
      <c r="AT1150" s="77"/>
      <c r="AU1150" s="77"/>
      <c r="AV1150" s="80" t="str">
        <f>HYPERLINK("https://pbs.twimg.com/media/FxiSa13WAAMZsGg.jpg")</f>
        <v>https://pbs.twimg.com/media/FxiSa13WAAMZsGg.jpg</v>
      </c>
      <c r="AW1150" s="82" t="s">
        <v>13332</v>
      </c>
      <c r="AX1150" s="82" t="s">
        <v>13332</v>
      </c>
      <c r="AY1150" s="77"/>
      <c r="AZ1150" s="82" t="s">
        <v>15804</v>
      </c>
      <c r="BA1150" s="82" t="s">
        <v>15804</v>
      </c>
      <c r="BB1150" s="82" t="s">
        <v>15804</v>
      </c>
      <c r="BC1150" s="82" t="s">
        <v>13332</v>
      </c>
      <c r="BD1150" s="82" t="s">
        <v>16336</v>
      </c>
      <c r="BE1150" s="77"/>
      <c r="BF1150" s="77"/>
      <c r="BG1150" s="77"/>
      <c r="BH1150" s="77"/>
      <c r="BI1150" s="77"/>
    </row>
    <row r="1151" spans="1:61" x14ac:dyDescent="0.25">
      <c r="A1151" s="62" t="s">
        <v>577</v>
      </c>
      <c r="B1151" s="62" t="s">
        <v>577</v>
      </c>
      <c r="C1151" s="63"/>
      <c r="D1151" s="64"/>
      <c r="E1151" s="65"/>
      <c r="F1151" s="66"/>
      <c r="G1151" s="63"/>
      <c r="H1151" s="67"/>
      <c r="I1151" s="68"/>
      <c r="J1151" s="68"/>
      <c r="K1151" s="32"/>
      <c r="L1151" s="75">
        <v>1151</v>
      </c>
      <c r="M1151" s="75"/>
      <c r="N1151" s="70"/>
      <c r="O1151" s="77" t="s">
        <v>179</v>
      </c>
      <c r="P1151" s="79">
        <v>45058.532835648148</v>
      </c>
      <c r="Q1151" s="77" t="s">
        <v>2244</v>
      </c>
      <c r="R1151" s="77">
        <v>0</v>
      </c>
      <c r="S1151" s="77">
        <v>0</v>
      </c>
      <c r="T1151" s="77">
        <v>0</v>
      </c>
      <c r="U1151" s="77">
        <v>0</v>
      </c>
      <c r="V1151" s="77">
        <v>8</v>
      </c>
      <c r="W1151" s="82" t="s">
        <v>4868</v>
      </c>
      <c r="X1151" s="80" t="str">
        <f>HYPERLINK("https://portalfinancaspessoais.com.br/?p=1505")</f>
        <v>https://portalfinancaspessoais.com.br/?p=1505</v>
      </c>
      <c r="Y1151" s="77" t="s">
        <v>6002</v>
      </c>
      <c r="Z1151" s="77"/>
      <c r="AA1151" s="77" t="s">
        <v>6875</v>
      </c>
      <c r="AB1151" s="77" t="s">
        <v>7696</v>
      </c>
      <c r="AC1151" s="82" t="s">
        <v>7710</v>
      </c>
      <c r="AD1151" s="77" t="s">
        <v>7745</v>
      </c>
      <c r="AE1151" s="80" t="str">
        <f>HYPERLINK("https://twitter.com/financasportal/status/1657004519606173696")</f>
        <v>https://twitter.com/financasportal/status/1657004519606173696</v>
      </c>
      <c r="AF1151" s="79">
        <v>45058.532835648148</v>
      </c>
      <c r="AG1151" s="85">
        <v>45058</v>
      </c>
      <c r="AH1151" s="82" t="s">
        <v>8778</v>
      </c>
      <c r="AI1151" s="77" t="b">
        <v>0</v>
      </c>
      <c r="AJ1151" s="77"/>
      <c r="AK1151" s="77"/>
      <c r="AL1151" s="77"/>
      <c r="AM1151" s="77"/>
      <c r="AN1151" s="77"/>
      <c r="AO1151" s="77"/>
      <c r="AP1151" s="77"/>
      <c r="AQ1151" s="77" t="s">
        <v>11382</v>
      </c>
      <c r="AR1151" s="77"/>
      <c r="AS1151" s="77"/>
      <c r="AT1151" s="77"/>
      <c r="AU1151" s="77"/>
      <c r="AV1151" s="80" t="str">
        <f>HYPERLINK("https://pbs.twimg.com/media/Fv7c1GyWcAAf9OG.jpg")</f>
        <v>https://pbs.twimg.com/media/Fv7c1GyWcAAf9OG.jpg</v>
      </c>
      <c r="AW1151" s="82" t="s">
        <v>13333</v>
      </c>
      <c r="AX1151" s="82" t="s">
        <v>13333</v>
      </c>
      <c r="AY1151" s="77"/>
      <c r="AZ1151" s="82" t="s">
        <v>15804</v>
      </c>
      <c r="BA1151" s="82" t="s">
        <v>15804</v>
      </c>
      <c r="BB1151" s="82" t="s">
        <v>15804</v>
      </c>
      <c r="BC1151" s="82" t="s">
        <v>13333</v>
      </c>
      <c r="BD1151" s="82" t="s">
        <v>16336</v>
      </c>
      <c r="BE1151" s="77"/>
      <c r="BF1151" s="77"/>
      <c r="BG1151" s="77"/>
      <c r="BH1151" s="77"/>
      <c r="BI1151" s="77"/>
    </row>
    <row r="1152" spans="1:61" x14ac:dyDescent="0.25">
      <c r="A1152" s="62" t="s">
        <v>577</v>
      </c>
      <c r="B1152" s="62" t="s">
        <v>577</v>
      </c>
      <c r="C1152" s="63"/>
      <c r="D1152" s="64"/>
      <c r="E1152" s="65"/>
      <c r="F1152" s="66"/>
      <c r="G1152" s="63"/>
      <c r="H1152" s="67"/>
      <c r="I1152" s="68"/>
      <c r="J1152" s="68"/>
      <c r="K1152" s="32"/>
      <c r="L1152" s="75">
        <v>1152</v>
      </c>
      <c r="M1152" s="75"/>
      <c r="N1152" s="70"/>
      <c r="O1152" s="77" t="s">
        <v>179</v>
      </c>
      <c r="P1152" s="79">
        <v>45057.530358796299</v>
      </c>
      <c r="Q1152" s="77" t="s">
        <v>2245</v>
      </c>
      <c r="R1152" s="77">
        <v>0</v>
      </c>
      <c r="S1152" s="77">
        <v>0</v>
      </c>
      <c r="T1152" s="77">
        <v>0</v>
      </c>
      <c r="U1152" s="77">
        <v>0</v>
      </c>
      <c r="V1152" s="77">
        <v>6</v>
      </c>
      <c r="W1152" s="82" t="s">
        <v>4868</v>
      </c>
      <c r="X1152" s="80" t="str">
        <f>HYPERLINK("https://portalfinancaspessoais.com.br/?p=1497")</f>
        <v>https://portalfinancaspessoais.com.br/?p=1497</v>
      </c>
      <c r="Y1152" s="77" t="s">
        <v>6002</v>
      </c>
      <c r="Z1152" s="77"/>
      <c r="AA1152" s="77" t="s">
        <v>6876</v>
      </c>
      <c r="AB1152" s="77" t="s">
        <v>7696</v>
      </c>
      <c r="AC1152" s="82" t="s">
        <v>7710</v>
      </c>
      <c r="AD1152" s="77" t="s">
        <v>7745</v>
      </c>
      <c r="AE1152" s="80" t="str">
        <f>HYPERLINK("https://twitter.com/financasportal/status/1656641233131909120")</f>
        <v>https://twitter.com/financasportal/status/1656641233131909120</v>
      </c>
      <c r="AF1152" s="79">
        <v>45057.530358796299</v>
      </c>
      <c r="AG1152" s="85">
        <v>45057</v>
      </c>
      <c r="AH1152" s="82" t="s">
        <v>8779</v>
      </c>
      <c r="AI1152" s="77" t="b">
        <v>0</v>
      </c>
      <c r="AJ1152" s="77"/>
      <c r="AK1152" s="77"/>
      <c r="AL1152" s="77"/>
      <c r="AM1152" s="77"/>
      <c r="AN1152" s="77"/>
      <c r="AO1152" s="77"/>
      <c r="AP1152" s="77"/>
      <c r="AQ1152" s="77" t="s">
        <v>11383</v>
      </c>
      <c r="AR1152" s="77"/>
      <c r="AS1152" s="77"/>
      <c r="AT1152" s="77"/>
      <c r="AU1152" s="77"/>
      <c r="AV1152" s="80" t="str">
        <f>HYPERLINK("https://pbs.twimg.com/media/Fv2SbDcXsAMOfBK.jpg")</f>
        <v>https://pbs.twimg.com/media/Fv2SbDcXsAMOfBK.jpg</v>
      </c>
      <c r="AW1152" s="82" t="s">
        <v>13334</v>
      </c>
      <c r="AX1152" s="82" t="s">
        <v>13334</v>
      </c>
      <c r="AY1152" s="77"/>
      <c r="AZ1152" s="82" t="s">
        <v>15804</v>
      </c>
      <c r="BA1152" s="82" t="s">
        <v>15804</v>
      </c>
      <c r="BB1152" s="82" t="s">
        <v>15804</v>
      </c>
      <c r="BC1152" s="82" t="s">
        <v>13334</v>
      </c>
      <c r="BD1152" s="82" t="s">
        <v>16336</v>
      </c>
      <c r="BE1152" s="77"/>
      <c r="BF1152" s="77"/>
      <c r="BG1152" s="77"/>
      <c r="BH1152" s="77"/>
      <c r="BI1152" s="77"/>
    </row>
    <row r="1153" spans="1:61" x14ac:dyDescent="0.25">
      <c r="A1153" s="62" t="s">
        <v>577</v>
      </c>
      <c r="B1153" s="62" t="s">
        <v>577</v>
      </c>
      <c r="C1153" s="63"/>
      <c r="D1153" s="64"/>
      <c r="E1153" s="65"/>
      <c r="F1153" s="66"/>
      <c r="G1153" s="63"/>
      <c r="H1153" s="67"/>
      <c r="I1153" s="68"/>
      <c r="J1153" s="68"/>
      <c r="K1153" s="32"/>
      <c r="L1153" s="75">
        <v>1153</v>
      </c>
      <c r="M1153" s="75"/>
      <c r="N1153" s="70"/>
      <c r="O1153" s="77" t="s">
        <v>179</v>
      </c>
      <c r="P1153" s="79">
        <v>45121.511076388888</v>
      </c>
      <c r="Q1153" s="77" t="s">
        <v>2246</v>
      </c>
      <c r="R1153" s="77">
        <v>0</v>
      </c>
      <c r="S1153" s="77">
        <v>0</v>
      </c>
      <c r="T1153" s="77">
        <v>0</v>
      </c>
      <c r="U1153" s="77">
        <v>0</v>
      </c>
      <c r="V1153" s="77">
        <v>9</v>
      </c>
      <c r="W1153" s="82" t="s">
        <v>4870</v>
      </c>
      <c r="X1153" s="80" t="str">
        <f>HYPERLINK("https://portalfinancaspessoais.com.br/?p=2137")</f>
        <v>https://portalfinancaspessoais.com.br/?p=2137</v>
      </c>
      <c r="Y1153" s="77" t="s">
        <v>6002</v>
      </c>
      <c r="Z1153" s="77"/>
      <c r="AA1153" s="77" t="s">
        <v>6877</v>
      </c>
      <c r="AB1153" s="77" t="s">
        <v>7696</v>
      </c>
      <c r="AC1153" s="82" t="s">
        <v>7710</v>
      </c>
      <c r="AD1153" s="77" t="s">
        <v>7745</v>
      </c>
      <c r="AE1153" s="80" t="str">
        <f>HYPERLINK("https://twitter.com/financasportal/status/1679827067091779586")</f>
        <v>https://twitter.com/financasportal/status/1679827067091779586</v>
      </c>
      <c r="AF1153" s="79">
        <v>45121.511076388888</v>
      </c>
      <c r="AG1153" s="85">
        <v>45121</v>
      </c>
      <c r="AH1153" s="82" t="s">
        <v>8780</v>
      </c>
      <c r="AI1153" s="77" t="b">
        <v>0</v>
      </c>
      <c r="AJ1153" s="77"/>
      <c r="AK1153" s="77"/>
      <c r="AL1153" s="77"/>
      <c r="AM1153" s="77"/>
      <c r="AN1153" s="77"/>
      <c r="AO1153" s="77"/>
      <c r="AP1153" s="77"/>
      <c r="AQ1153" s="77" t="s">
        <v>11384</v>
      </c>
      <c r="AR1153" s="77"/>
      <c r="AS1153" s="77"/>
      <c r="AT1153" s="77"/>
      <c r="AU1153" s="77"/>
      <c r="AV1153" s="80" t="str">
        <f>HYPERLINK("https://pbs.twimg.com/media/F0_x0NxX0AAqSzx.jpg")</f>
        <v>https://pbs.twimg.com/media/F0_x0NxX0AAqSzx.jpg</v>
      </c>
      <c r="AW1153" s="82" t="s">
        <v>13335</v>
      </c>
      <c r="AX1153" s="82" t="s">
        <v>13335</v>
      </c>
      <c r="AY1153" s="77"/>
      <c r="AZ1153" s="82" t="s">
        <v>15804</v>
      </c>
      <c r="BA1153" s="82" t="s">
        <v>15804</v>
      </c>
      <c r="BB1153" s="82" t="s">
        <v>15804</v>
      </c>
      <c r="BC1153" s="82" t="s">
        <v>13335</v>
      </c>
      <c r="BD1153" s="82" t="s">
        <v>16336</v>
      </c>
      <c r="BE1153" s="77"/>
      <c r="BF1153" s="77"/>
      <c r="BG1153" s="77"/>
      <c r="BH1153" s="77"/>
      <c r="BI1153" s="77"/>
    </row>
    <row r="1154" spans="1:61" x14ac:dyDescent="0.25">
      <c r="A1154" s="62" t="s">
        <v>577</v>
      </c>
      <c r="B1154" s="62" t="s">
        <v>577</v>
      </c>
      <c r="C1154" s="63"/>
      <c r="D1154" s="64"/>
      <c r="E1154" s="65"/>
      <c r="F1154" s="66"/>
      <c r="G1154" s="63"/>
      <c r="H1154" s="67"/>
      <c r="I1154" s="68"/>
      <c r="J1154" s="68"/>
      <c r="K1154" s="32"/>
      <c r="L1154" s="75">
        <v>1154</v>
      </c>
      <c r="M1154" s="75"/>
      <c r="N1154" s="70"/>
      <c r="O1154" s="77" t="s">
        <v>179</v>
      </c>
      <c r="P1154" s="79">
        <v>45120.50571759259</v>
      </c>
      <c r="Q1154" s="77" t="s">
        <v>2247</v>
      </c>
      <c r="R1154" s="77">
        <v>0</v>
      </c>
      <c r="S1154" s="77">
        <v>0</v>
      </c>
      <c r="T1154" s="77">
        <v>0</v>
      </c>
      <c r="U1154" s="77">
        <v>0</v>
      </c>
      <c r="V1154" s="77">
        <v>18</v>
      </c>
      <c r="W1154" s="82" t="s">
        <v>4871</v>
      </c>
      <c r="X1154" s="80" t="str">
        <f>HYPERLINK("https://portalfinancaspessoais.com.br/?p=2131")</f>
        <v>https://portalfinancaspessoais.com.br/?p=2131</v>
      </c>
      <c r="Y1154" s="77" t="s">
        <v>6002</v>
      </c>
      <c r="Z1154" s="77"/>
      <c r="AA1154" s="77" t="s">
        <v>6878</v>
      </c>
      <c r="AB1154" s="77" t="s">
        <v>7696</v>
      </c>
      <c r="AC1154" s="82" t="s">
        <v>7710</v>
      </c>
      <c r="AD1154" s="77" t="s">
        <v>7745</v>
      </c>
      <c r="AE1154" s="80" t="str">
        <f>HYPERLINK("https://twitter.com/financasportal/status/1679462738496561159")</f>
        <v>https://twitter.com/financasportal/status/1679462738496561159</v>
      </c>
      <c r="AF1154" s="79">
        <v>45120.50571759259</v>
      </c>
      <c r="AG1154" s="85">
        <v>45120</v>
      </c>
      <c r="AH1154" s="82" t="s">
        <v>8781</v>
      </c>
      <c r="AI1154" s="77" t="b">
        <v>0</v>
      </c>
      <c r="AJ1154" s="77"/>
      <c r="AK1154" s="77"/>
      <c r="AL1154" s="77"/>
      <c r="AM1154" s="77"/>
      <c r="AN1154" s="77"/>
      <c r="AO1154" s="77"/>
      <c r="AP1154" s="77"/>
      <c r="AQ1154" s="77" t="s">
        <v>11385</v>
      </c>
      <c r="AR1154" s="77"/>
      <c r="AS1154" s="77"/>
      <c r="AT1154" s="77"/>
      <c r="AU1154" s="77"/>
      <c r="AV1154" s="80" t="str">
        <f>HYPERLINK("https://pbs.twimg.com/media/F06mdf3WAAEVS7W.jpg")</f>
        <v>https://pbs.twimg.com/media/F06mdf3WAAEVS7W.jpg</v>
      </c>
      <c r="AW1154" s="82" t="s">
        <v>13336</v>
      </c>
      <c r="AX1154" s="82" t="s">
        <v>13336</v>
      </c>
      <c r="AY1154" s="77"/>
      <c r="AZ1154" s="82" t="s">
        <v>15804</v>
      </c>
      <c r="BA1154" s="82" t="s">
        <v>15804</v>
      </c>
      <c r="BB1154" s="82" t="s">
        <v>15804</v>
      </c>
      <c r="BC1154" s="82" t="s">
        <v>13336</v>
      </c>
      <c r="BD1154" s="82" t="s">
        <v>16336</v>
      </c>
      <c r="BE1154" s="77"/>
      <c r="BF1154" s="77"/>
      <c r="BG1154" s="77"/>
      <c r="BH1154" s="77"/>
      <c r="BI1154" s="77"/>
    </row>
    <row r="1155" spans="1:61" x14ac:dyDescent="0.25">
      <c r="A1155" s="62" t="s">
        <v>577</v>
      </c>
      <c r="B1155" s="62" t="s">
        <v>577</v>
      </c>
      <c r="C1155" s="63"/>
      <c r="D1155" s="64"/>
      <c r="E1155" s="65"/>
      <c r="F1155" s="66"/>
      <c r="G1155" s="63"/>
      <c r="H1155" s="67"/>
      <c r="I1155" s="68"/>
      <c r="J1155" s="68"/>
      <c r="K1155" s="32"/>
      <c r="L1155" s="75">
        <v>1155</v>
      </c>
      <c r="M1155" s="75"/>
      <c r="N1155" s="70"/>
      <c r="O1155" s="77" t="s">
        <v>179</v>
      </c>
      <c r="P1155" s="79">
        <v>45084.505949074075</v>
      </c>
      <c r="Q1155" s="77" t="s">
        <v>2248</v>
      </c>
      <c r="R1155" s="77">
        <v>0</v>
      </c>
      <c r="S1155" s="77">
        <v>0</v>
      </c>
      <c r="T1155" s="77">
        <v>0</v>
      </c>
      <c r="U1155" s="77">
        <v>0</v>
      </c>
      <c r="V1155" s="77">
        <v>15</v>
      </c>
      <c r="W1155" s="82" t="s">
        <v>4869</v>
      </c>
      <c r="X1155" s="80" t="str">
        <f>HYPERLINK("https://portalfinancaspessoais.com.br/?p=1736")</f>
        <v>https://portalfinancaspessoais.com.br/?p=1736</v>
      </c>
      <c r="Y1155" s="77" t="s">
        <v>6002</v>
      </c>
      <c r="Z1155" s="77"/>
      <c r="AA1155" s="77" t="s">
        <v>6879</v>
      </c>
      <c r="AB1155" s="77" t="s">
        <v>7696</v>
      </c>
      <c r="AC1155" s="82" t="s">
        <v>7710</v>
      </c>
      <c r="AD1155" s="77" t="s">
        <v>7745</v>
      </c>
      <c r="AE1155" s="80" t="str">
        <f>HYPERLINK("https://twitter.com/financasportal/status/1666416860059803648")</f>
        <v>https://twitter.com/financasportal/status/1666416860059803648</v>
      </c>
      <c r="AF1155" s="79">
        <v>45084.505949074075</v>
      </c>
      <c r="AG1155" s="85">
        <v>45084</v>
      </c>
      <c r="AH1155" s="82" t="s">
        <v>8782</v>
      </c>
      <c r="AI1155" s="77" t="b">
        <v>0</v>
      </c>
      <c r="AJ1155" s="77"/>
      <c r="AK1155" s="77"/>
      <c r="AL1155" s="77"/>
      <c r="AM1155" s="77"/>
      <c r="AN1155" s="77"/>
      <c r="AO1155" s="77"/>
      <c r="AP1155" s="77"/>
      <c r="AQ1155" s="77" t="s">
        <v>11386</v>
      </c>
      <c r="AR1155" s="77"/>
      <c r="AS1155" s="77"/>
      <c r="AT1155" s="77"/>
      <c r="AU1155" s="77"/>
      <c r="AV1155" s="80" t="str">
        <f>HYPERLINK("https://pbs.twimg.com/media/FyBNTbTXoAA6JGE.jpg")</f>
        <v>https://pbs.twimg.com/media/FyBNTbTXoAA6JGE.jpg</v>
      </c>
      <c r="AW1155" s="82" t="s">
        <v>13337</v>
      </c>
      <c r="AX1155" s="82" t="s">
        <v>13337</v>
      </c>
      <c r="AY1155" s="77"/>
      <c r="AZ1155" s="82" t="s">
        <v>15804</v>
      </c>
      <c r="BA1155" s="82" t="s">
        <v>15804</v>
      </c>
      <c r="BB1155" s="82" t="s">
        <v>15804</v>
      </c>
      <c r="BC1155" s="82" t="s">
        <v>13337</v>
      </c>
      <c r="BD1155" s="82" t="s">
        <v>16336</v>
      </c>
      <c r="BE1155" s="77"/>
      <c r="BF1155" s="77"/>
      <c r="BG1155" s="77"/>
      <c r="BH1155" s="77"/>
      <c r="BI1155" s="77"/>
    </row>
    <row r="1156" spans="1:61" x14ac:dyDescent="0.25">
      <c r="A1156" s="62" t="s">
        <v>577</v>
      </c>
      <c r="B1156" s="62" t="s">
        <v>577</v>
      </c>
      <c r="C1156" s="63"/>
      <c r="D1156" s="64"/>
      <c r="E1156" s="65"/>
      <c r="F1156" s="66"/>
      <c r="G1156" s="63"/>
      <c r="H1156" s="67"/>
      <c r="I1156" s="68"/>
      <c r="J1156" s="68"/>
      <c r="K1156" s="32"/>
      <c r="L1156" s="75">
        <v>1156</v>
      </c>
      <c r="M1156" s="75"/>
      <c r="N1156" s="70"/>
      <c r="O1156" s="77" t="s">
        <v>179</v>
      </c>
      <c r="P1156" s="79">
        <v>45083.539212962962</v>
      </c>
      <c r="Q1156" s="77" t="s">
        <v>2249</v>
      </c>
      <c r="R1156" s="77">
        <v>0</v>
      </c>
      <c r="S1156" s="77">
        <v>0</v>
      </c>
      <c r="T1156" s="77">
        <v>0</v>
      </c>
      <c r="U1156" s="77">
        <v>0</v>
      </c>
      <c r="V1156" s="77">
        <v>5</v>
      </c>
      <c r="W1156" s="82" t="s">
        <v>4868</v>
      </c>
      <c r="X1156" s="80" t="str">
        <f>HYPERLINK("https://portalfinancaspessoais.com.br/?p=1728")</f>
        <v>https://portalfinancaspessoais.com.br/?p=1728</v>
      </c>
      <c r="Y1156" s="77" t="s">
        <v>6002</v>
      </c>
      <c r="Z1156" s="77"/>
      <c r="AA1156" s="77" t="s">
        <v>6880</v>
      </c>
      <c r="AB1156" s="77" t="s">
        <v>7696</v>
      </c>
      <c r="AC1156" s="82" t="s">
        <v>7710</v>
      </c>
      <c r="AD1156" s="77" t="s">
        <v>7745</v>
      </c>
      <c r="AE1156" s="80" t="str">
        <f>HYPERLINK("https://twitter.com/financasportal/status/1666066527257341954")</f>
        <v>https://twitter.com/financasportal/status/1666066527257341954</v>
      </c>
      <c r="AF1156" s="79">
        <v>45083.539212962962</v>
      </c>
      <c r="AG1156" s="85">
        <v>45083</v>
      </c>
      <c r="AH1156" s="82" t="s">
        <v>8783</v>
      </c>
      <c r="AI1156" s="77" t="b">
        <v>0</v>
      </c>
      <c r="AJ1156" s="77"/>
      <c r="AK1156" s="77"/>
      <c r="AL1156" s="77"/>
      <c r="AM1156" s="77"/>
      <c r="AN1156" s="77"/>
      <c r="AO1156" s="77"/>
      <c r="AP1156" s="77"/>
      <c r="AQ1156" s="77" t="s">
        <v>11387</v>
      </c>
      <c r="AR1156" s="77"/>
      <c r="AS1156" s="77"/>
      <c r="AT1156" s="77"/>
      <c r="AU1156" s="77"/>
      <c r="AV1156" s="80" t="str">
        <f>HYPERLINK("https://pbs.twimg.com/media/Fx8OrYWXgAAPVhT.jpg")</f>
        <v>https://pbs.twimg.com/media/Fx8OrYWXgAAPVhT.jpg</v>
      </c>
      <c r="AW1156" s="82" t="s">
        <v>13338</v>
      </c>
      <c r="AX1156" s="82" t="s">
        <v>13338</v>
      </c>
      <c r="AY1156" s="77"/>
      <c r="AZ1156" s="82" t="s">
        <v>15804</v>
      </c>
      <c r="BA1156" s="82" t="s">
        <v>15804</v>
      </c>
      <c r="BB1156" s="82" t="s">
        <v>15804</v>
      </c>
      <c r="BC1156" s="82" t="s">
        <v>13338</v>
      </c>
      <c r="BD1156" s="82" t="s">
        <v>16336</v>
      </c>
      <c r="BE1156" s="77"/>
      <c r="BF1156" s="77"/>
      <c r="BG1156" s="77"/>
      <c r="BH1156" s="77"/>
      <c r="BI1156" s="77"/>
    </row>
    <row r="1157" spans="1:61" x14ac:dyDescent="0.25">
      <c r="A1157" s="62" t="s">
        <v>577</v>
      </c>
      <c r="B1157" s="62" t="s">
        <v>577</v>
      </c>
      <c r="C1157" s="63"/>
      <c r="D1157" s="64"/>
      <c r="E1157" s="65"/>
      <c r="F1157" s="66"/>
      <c r="G1157" s="63"/>
      <c r="H1157" s="67"/>
      <c r="I1157" s="68"/>
      <c r="J1157" s="68"/>
      <c r="K1157" s="32"/>
      <c r="L1157" s="75">
        <v>1157</v>
      </c>
      <c r="M1157" s="75"/>
      <c r="N1157" s="70"/>
      <c r="O1157" s="77" t="s">
        <v>179</v>
      </c>
      <c r="P1157" s="79">
        <v>45082.528877314813</v>
      </c>
      <c r="Q1157" s="77" t="s">
        <v>2250</v>
      </c>
      <c r="R1157" s="77">
        <v>0</v>
      </c>
      <c r="S1157" s="77">
        <v>0</v>
      </c>
      <c r="T1157" s="77">
        <v>0</v>
      </c>
      <c r="U1157" s="77">
        <v>0</v>
      </c>
      <c r="V1157" s="77">
        <v>7</v>
      </c>
      <c r="W1157" s="82" t="s">
        <v>4869</v>
      </c>
      <c r="X1157" s="80" t="str">
        <f>HYPERLINK("https://portalfinancaspessoais.com.br/?p=1722")</f>
        <v>https://portalfinancaspessoais.com.br/?p=1722</v>
      </c>
      <c r="Y1157" s="77" t="s">
        <v>6002</v>
      </c>
      <c r="Z1157" s="77"/>
      <c r="AA1157" s="77" t="s">
        <v>6881</v>
      </c>
      <c r="AB1157" s="77" t="s">
        <v>7696</v>
      </c>
      <c r="AC1157" s="82" t="s">
        <v>7710</v>
      </c>
      <c r="AD1157" s="77" t="s">
        <v>7745</v>
      </c>
      <c r="AE1157" s="80" t="str">
        <f>HYPERLINK("https://twitter.com/financasportal/status/1665700394092118016")</f>
        <v>https://twitter.com/financasportal/status/1665700394092118016</v>
      </c>
      <c r="AF1157" s="79">
        <v>45082.528877314813</v>
      </c>
      <c r="AG1157" s="85">
        <v>45082</v>
      </c>
      <c r="AH1157" s="82" t="s">
        <v>8784</v>
      </c>
      <c r="AI1157" s="77" t="b">
        <v>0</v>
      </c>
      <c r="AJ1157" s="77"/>
      <c r="AK1157" s="77"/>
      <c r="AL1157" s="77"/>
      <c r="AM1157" s="77"/>
      <c r="AN1157" s="77"/>
      <c r="AO1157" s="77"/>
      <c r="AP1157" s="77"/>
      <c r="AQ1157" s="77" t="s">
        <v>11388</v>
      </c>
      <c r="AR1157" s="77"/>
      <c r="AS1157" s="77"/>
      <c r="AT1157" s="77"/>
      <c r="AU1157" s="77"/>
      <c r="AV1157" s="80" t="str">
        <f>HYPERLINK("https://pbs.twimg.com/media/Fx3Brm7WcAIOSrZ.jpg")</f>
        <v>https://pbs.twimg.com/media/Fx3Brm7WcAIOSrZ.jpg</v>
      </c>
      <c r="AW1157" s="82" t="s">
        <v>13339</v>
      </c>
      <c r="AX1157" s="82" t="s">
        <v>13339</v>
      </c>
      <c r="AY1157" s="77"/>
      <c r="AZ1157" s="82" t="s">
        <v>15804</v>
      </c>
      <c r="BA1157" s="82" t="s">
        <v>15804</v>
      </c>
      <c r="BB1157" s="82" t="s">
        <v>15804</v>
      </c>
      <c r="BC1157" s="82" t="s">
        <v>13339</v>
      </c>
      <c r="BD1157" s="82" t="s">
        <v>16336</v>
      </c>
      <c r="BE1157" s="77"/>
      <c r="BF1157" s="77"/>
      <c r="BG1157" s="77"/>
      <c r="BH1157" s="77"/>
      <c r="BI1157" s="77"/>
    </row>
    <row r="1158" spans="1:61" x14ac:dyDescent="0.25">
      <c r="A1158" s="62" t="s">
        <v>577</v>
      </c>
      <c r="B1158" s="62" t="s">
        <v>577</v>
      </c>
      <c r="C1158" s="63"/>
      <c r="D1158" s="64"/>
      <c r="E1158" s="65"/>
      <c r="F1158" s="66"/>
      <c r="G1158" s="63"/>
      <c r="H1158" s="67"/>
      <c r="I1158" s="68"/>
      <c r="J1158" s="68"/>
      <c r="K1158" s="32"/>
      <c r="L1158" s="75">
        <v>1158</v>
      </c>
      <c r="M1158" s="75"/>
      <c r="N1158" s="70"/>
      <c r="O1158" s="77" t="s">
        <v>179</v>
      </c>
      <c r="P1158" s="79">
        <v>45068.511817129627</v>
      </c>
      <c r="Q1158" s="77" t="s">
        <v>2251</v>
      </c>
      <c r="R1158" s="77">
        <v>0</v>
      </c>
      <c r="S1158" s="77">
        <v>0</v>
      </c>
      <c r="T1158" s="77">
        <v>0</v>
      </c>
      <c r="U1158" s="77">
        <v>0</v>
      </c>
      <c r="V1158" s="77">
        <v>15</v>
      </c>
      <c r="W1158" s="82" t="s">
        <v>4871</v>
      </c>
      <c r="X1158" s="80" t="str">
        <f>HYPERLINK("https://portalfinancaspessoais.com.br/?p=1609")</f>
        <v>https://portalfinancaspessoais.com.br/?p=1609</v>
      </c>
      <c r="Y1158" s="77" t="s">
        <v>6002</v>
      </c>
      <c r="Z1158" s="77"/>
      <c r="AA1158" s="77" t="s">
        <v>6882</v>
      </c>
      <c r="AB1158" s="77" t="s">
        <v>7696</v>
      </c>
      <c r="AC1158" s="82" t="s">
        <v>7710</v>
      </c>
      <c r="AD1158" s="77" t="s">
        <v>7745</v>
      </c>
      <c r="AE1158" s="80" t="str">
        <f>HYPERLINK("https://twitter.com/financasportal/status/1660620781951365120")</f>
        <v>https://twitter.com/financasportal/status/1660620781951365120</v>
      </c>
      <c r="AF1158" s="79">
        <v>45068.511817129627</v>
      </c>
      <c r="AG1158" s="85">
        <v>45068</v>
      </c>
      <c r="AH1158" s="82" t="s">
        <v>8785</v>
      </c>
      <c r="AI1158" s="77" t="b">
        <v>0</v>
      </c>
      <c r="AJ1158" s="77"/>
      <c r="AK1158" s="77"/>
      <c r="AL1158" s="77"/>
      <c r="AM1158" s="77"/>
      <c r="AN1158" s="77"/>
      <c r="AO1158" s="77"/>
      <c r="AP1158" s="77"/>
      <c r="AQ1158" s="77" t="s">
        <v>11389</v>
      </c>
      <c r="AR1158" s="77"/>
      <c r="AS1158" s="77"/>
      <c r="AT1158" s="77"/>
      <c r="AU1158" s="77"/>
      <c r="AV1158" s="80" t="str">
        <f>HYPERLINK("https://pbs.twimg.com/media/Fwu1zSQWIAEUXgp.jpg")</f>
        <v>https://pbs.twimg.com/media/Fwu1zSQWIAEUXgp.jpg</v>
      </c>
      <c r="AW1158" s="82" t="s">
        <v>13340</v>
      </c>
      <c r="AX1158" s="82" t="s">
        <v>13340</v>
      </c>
      <c r="AY1158" s="77"/>
      <c r="AZ1158" s="82" t="s">
        <v>15804</v>
      </c>
      <c r="BA1158" s="82" t="s">
        <v>15804</v>
      </c>
      <c r="BB1158" s="82" t="s">
        <v>15804</v>
      </c>
      <c r="BC1158" s="82" t="s">
        <v>13340</v>
      </c>
      <c r="BD1158" s="82" t="s">
        <v>16336</v>
      </c>
      <c r="BE1158" s="77"/>
      <c r="BF1158" s="77"/>
      <c r="BG1158" s="77"/>
      <c r="BH1158" s="77"/>
      <c r="BI1158" s="77"/>
    </row>
    <row r="1159" spans="1:61" x14ac:dyDescent="0.25">
      <c r="A1159" s="62" t="s">
        <v>577</v>
      </c>
      <c r="B1159" s="62" t="s">
        <v>577</v>
      </c>
      <c r="C1159" s="63"/>
      <c r="D1159" s="64"/>
      <c r="E1159" s="65"/>
      <c r="F1159" s="66"/>
      <c r="G1159" s="63"/>
      <c r="H1159" s="67"/>
      <c r="I1159" s="68"/>
      <c r="J1159" s="68"/>
      <c r="K1159" s="32"/>
      <c r="L1159" s="75">
        <v>1159</v>
      </c>
      <c r="M1159" s="75"/>
      <c r="N1159" s="70"/>
      <c r="O1159" s="77" t="s">
        <v>179</v>
      </c>
      <c r="P1159" s="79">
        <v>45065.504907407405</v>
      </c>
      <c r="Q1159" s="77" t="s">
        <v>2252</v>
      </c>
      <c r="R1159" s="77">
        <v>0</v>
      </c>
      <c r="S1159" s="77">
        <v>0</v>
      </c>
      <c r="T1159" s="77">
        <v>0</v>
      </c>
      <c r="U1159" s="77">
        <v>0</v>
      </c>
      <c r="V1159" s="77">
        <v>4</v>
      </c>
      <c r="W1159" s="82" t="s">
        <v>4870</v>
      </c>
      <c r="X1159" s="80" t="str">
        <f>HYPERLINK("https://portalfinancaspessoais.com.br/?p=1551")</f>
        <v>https://portalfinancaspessoais.com.br/?p=1551</v>
      </c>
      <c r="Y1159" s="77" t="s">
        <v>6002</v>
      </c>
      <c r="Z1159" s="77"/>
      <c r="AA1159" s="77" t="s">
        <v>6883</v>
      </c>
      <c r="AB1159" s="77" t="s">
        <v>7696</v>
      </c>
      <c r="AC1159" s="82" t="s">
        <v>7710</v>
      </c>
      <c r="AD1159" s="77" t="s">
        <v>7745</v>
      </c>
      <c r="AE1159" s="80" t="str">
        <f>HYPERLINK("https://twitter.com/financasportal/status/1659531114401112065")</f>
        <v>https://twitter.com/financasportal/status/1659531114401112065</v>
      </c>
      <c r="AF1159" s="79">
        <v>45065.504907407405</v>
      </c>
      <c r="AG1159" s="85">
        <v>45065</v>
      </c>
      <c r="AH1159" s="82" t="s">
        <v>8786</v>
      </c>
      <c r="AI1159" s="77" t="b">
        <v>0</v>
      </c>
      <c r="AJ1159" s="77"/>
      <c r="AK1159" s="77"/>
      <c r="AL1159" s="77"/>
      <c r="AM1159" s="77"/>
      <c r="AN1159" s="77"/>
      <c r="AO1159" s="77"/>
      <c r="AP1159" s="77"/>
      <c r="AQ1159" s="77" t="s">
        <v>11390</v>
      </c>
      <c r="AR1159" s="77"/>
      <c r="AS1159" s="77"/>
      <c r="AT1159" s="77"/>
      <c r="AU1159" s="77"/>
      <c r="AV1159" s="80" t="str">
        <f>HYPERLINK("https://pbs.twimg.com/media/FwfWwSJXsAIpWkX.jpg")</f>
        <v>https://pbs.twimg.com/media/FwfWwSJXsAIpWkX.jpg</v>
      </c>
      <c r="AW1159" s="82" t="s">
        <v>13341</v>
      </c>
      <c r="AX1159" s="82" t="s">
        <v>13341</v>
      </c>
      <c r="AY1159" s="77"/>
      <c r="AZ1159" s="82" t="s">
        <v>15804</v>
      </c>
      <c r="BA1159" s="82" t="s">
        <v>15804</v>
      </c>
      <c r="BB1159" s="82" t="s">
        <v>15804</v>
      </c>
      <c r="BC1159" s="82" t="s">
        <v>13341</v>
      </c>
      <c r="BD1159" s="82" t="s">
        <v>16336</v>
      </c>
      <c r="BE1159" s="77"/>
      <c r="BF1159" s="77"/>
      <c r="BG1159" s="77"/>
      <c r="BH1159" s="77"/>
      <c r="BI1159" s="77"/>
    </row>
    <row r="1160" spans="1:61" x14ac:dyDescent="0.25">
      <c r="A1160" s="62" t="s">
        <v>577</v>
      </c>
      <c r="B1160" s="62" t="s">
        <v>577</v>
      </c>
      <c r="C1160" s="63"/>
      <c r="D1160" s="64"/>
      <c r="E1160" s="65"/>
      <c r="F1160" s="66"/>
      <c r="G1160" s="63"/>
      <c r="H1160" s="67"/>
      <c r="I1160" s="68"/>
      <c r="J1160" s="68"/>
      <c r="K1160" s="32"/>
      <c r="L1160" s="75">
        <v>1160</v>
      </c>
      <c r="M1160" s="75"/>
      <c r="N1160" s="70"/>
      <c r="O1160" s="77" t="s">
        <v>179</v>
      </c>
      <c r="P1160" s="79">
        <v>45125.499166666668</v>
      </c>
      <c r="Q1160" s="77" t="s">
        <v>2253</v>
      </c>
      <c r="R1160" s="77">
        <v>0</v>
      </c>
      <c r="S1160" s="77">
        <v>0</v>
      </c>
      <c r="T1160" s="77">
        <v>0</v>
      </c>
      <c r="U1160" s="77">
        <v>0</v>
      </c>
      <c r="V1160" s="77">
        <v>8</v>
      </c>
      <c r="W1160" s="82" t="s">
        <v>4868</v>
      </c>
      <c r="X1160" s="80" t="str">
        <f>HYPERLINK("https://portalfinancaspessoais.com.br/?p=2151")</f>
        <v>https://portalfinancaspessoais.com.br/?p=2151</v>
      </c>
      <c r="Y1160" s="77" t="s">
        <v>6002</v>
      </c>
      <c r="Z1160" s="77"/>
      <c r="AA1160" s="77" t="s">
        <v>6884</v>
      </c>
      <c r="AB1160" s="77" t="s">
        <v>7696</v>
      </c>
      <c r="AC1160" s="82" t="s">
        <v>7710</v>
      </c>
      <c r="AD1160" s="77" t="s">
        <v>7745</v>
      </c>
      <c r="AE1160" s="80" t="str">
        <f>HYPERLINK("https://twitter.com/financasportal/status/1681272305148624896")</f>
        <v>https://twitter.com/financasportal/status/1681272305148624896</v>
      </c>
      <c r="AF1160" s="79">
        <v>45125.499166666668</v>
      </c>
      <c r="AG1160" s="85">
        <v>45125</v>
      </c>
      <c r="AH1160" s="82" t="s">
        <v>8787</v>
      </c>
      <c r="AI1160" s="77" t="b">
        <v>0</v>
      </c>
      <c r="AJ1160" s="77"/>
      <c r="AK1160" s="77"/>
      <c r="AL1160" s="77"/>
      <c r="AM1160" s="77"/>
      <c r="AN1160" s="77"/>
      <c r="AO1160" s="77"/>
      <c r="AP1160" s="77"/>
      <c r="AQ1160" s="77" t="s">
        <v>11391</v>
      </c>
      <c r="AR1160" s="77"/>
      <c r="AS1160" s="77"/>
      <c r="AT1160" s="77"/>
      <c r="AU1160" s="77"/>
      <c r="AV1160" s="80" t="str">
        <f>HYPERLINK("https://pbs.twimg.com/media/F1UUQH6WcAcp9vQ.jpg")</f>
        <v>https://pbs.twimg.com/media/F1UUQH6WcAcp9vQ.jpg</v>
      </c>
      <c r="AW1160" s="82" t="s">
        <v>13342</v>
      </c>
      <c r="AX1160" s="82" t="s">
        <v>13342</v>
      </c>
      <c r="AY1160" s="77"/>
      <c r="AZ1160" s="82" t="s">
        <v>15804</v>
      </c>
      <c r="BA1160" s="82" t="s">
        <v>15804</v>
      </c>
      <c r="BB1160" s="82" t="s">
        <v>15804</v>
      </c>
      <c r="BC1160" s="82" t="s">
        <v>13342</v>
      </c>
      <c r="BD1160" s="82" t="s">
        <v>16336</v>
      </c>
      <c r="BE1160" s="77"/>
      <c r="BF1160" s="77"/>
      <c r="BG1160" s="77"/>
      <c r="BH1160" s="77"/>
      <c r="BI1160" s="77"/>
    </row>
    <row r="1161" spans="1:61" x14ac:dyDescent="0.25">
      <c r="A1161" s="62" t="s">
        <v>577</v>
      </c>
      <c r="B1161" s="62" t="s">
        <v>577</v>
      </c>
      <c r="C1161" s="63"/>
      <c r="D1161" s="64"/>
      <c r="E1161" s="65"/>
      <c r="F1161" s="66"/>
      <c r="G1161" s="63"/>
      <c r="H1161" s="67"/>
      <c r="I1161" s="68"/>
      <c r="J1161" s="68"/>
      <c r="K1161" s="32"/>
      <c r="L1161" s="75">
        <v>1161</v>
      </c>
      <c r="M1161" s="75"/>
      <c r="N1161" s="70"/>
      <c r="O1161" s="77" t="s">
        <v>179</v>
      </c>
      <c r="P1161" s="79">
        <v>45107.518333333333</v>
      </c>
      <c r="Q1161" s="77" t="s">
        <v>2254</v>
      </c>
      <c r="R1161" s="77">
        <v>0</v>
      </c>
      <c r="S1161" s="77">
        <v>0</v>
      </c>
      <c r="T1161" s="77">
        <v>0</v>
      </c>
      <c r="U1161" s="77">
        <v>0</v>
      </c>
      <c r="V1161" s="77">
        <v>24</v>
      </c>
      <c r="W1161" s="82" t="s">
        <v>4871</v>
      </c>
      <c r="X1161" s="80" t="str">
        <f>HYPERLINK("https://portalfinancaspessoais.com.br/?p=2083")</f>
        <v>https://portalfinancaspessoais.com.br/?p=2083</v>
      </c>
      <c r="Y1161" s="77" t="s">
        <v>6002</v>
      </c>
      <c r="Z1161" s="77"/>
      <c r="AA1161" s="77" t="s">
        <v>6885</v>
      </c>
      <c r="AB1161" s="77" t="s">
        <v>7696</v>
      </c>
      <c r="AC1161" s="82" t="s">
        <v>7710</v>
      </c>
      <c r="AD1161" s="77" t="s">
        <v>7745</v>
      </c>
      <c r="AE1161" s="80" t="str">
        <f>HYPERLINK("https://twitter.com/financasportal/status/1674756266286039042")</f>
        <v>https://twitter.com/financasportal/status/1674756266286039042</v>
      </c>
      <c r="AF1161" s="79">
        <v>45107.518333333333</v>
      </c>
      <c r="AG1161" s="85">
        <v>45107</v>
      </c>
      <c r="AH1161" s="82" t="s">
        <v>8788</v>
      </c>
      <c r="AI1161" s="77" t="b">
        <v>0</v>
      </c>
      <c r="AJ1161" s="77"/>
      <c r="AK1161" s="77"/>
      <c r="AL1161" s="77"/>
      <c r="AM1161" s="77"/>
      <c r="AN1161" s="77"/>
      <c r="AO1161" s="77"/>
      <c r="AP1161" s="77"/>
      <c r="AQ1161" s="77" t="s">
        <v>11392</v>
      </c>
      <c r="AR1161" s="77"/>
      <c r="AS1161" s="77"/>
      <c r="AT1161" s="77"/>
      <c r="AU1161" s="77"/>
      <c r="AV1161" s="80" t="str">
        <f>HYPERLINK("https://pbs.twimg.com/media/Fz3t8wcXgAAXYDX.jpg")</f>
        <v>https://pbs.twimg.com/media/Fz3t8wcXgAAXYDX.jpg</v>
      </c>
      <c r="AW1161" s="82" t="s">
        <v>13343</v>
      </c>
      <c r="AX1161" s="82" t="s">
        <v>13343</v>
      </c>
      <c r="AY1161" s="77"/>
      <c r="AZ1161" s="82" t="s">
        <v>15804</v>
      </c>
      <c r="BA1161" s="82" t="s">
        <v>15804</v>
      </c>
      <c r="BB1161" s="82" t="s">
        <v>15804</v>
      </c>
      <c r="BC1161" s="82" t="s">
        <v>13343</v>
      </c>
      <c r="BD1161" s="82" t="s">
        <v>16336</v>
      </c>
      <c r="BE1161" s="77"/>
      <c r="BF1161" s="77"/>
      <c r="BG1161" s="77"/>
      <c r="BH1161" s="77"/>
      <c r="BI1161" s="77"/>
    </row>
    <row r="1162" spans="1:61" x14ac:dyDescent="0.25">
      <c r="A1162" s="62" t="s">
        <v>577</v>
      </c>
      <c r="B1162" s="62" t="s">
        <v>577</v>
      </c>
      <c r="C1162" s="63"/>
      <c r="D1162" s="64"/>
      <c r="E1162" s="65"/>
      <c r="F1162" s="66"/>
      <c r="G1162" s="63"/>
      <c r="H1162" s="67"/>
      <c r="I1162" s="68"/>
      <c r="J1162" s="68"/>
      <c r="K1162" s="32"/>
      <c r="L1162" s="75">
        <v>1162</v>
      </c>
      <c r="M1162" s="75"/>
      <c r="N1162" s="70"/>
      <c r="O1162" s="77" t="s">
        <v>179</v>
      </c>
      <c r="P1162" s="79">
        <v>45106.556342592594</v>
      </c>
      <c r="Q1162" s="77" t="s">
        <v>2255</v>
      </c>
      <c r="R1162" s="77">
        <v>0</v>
      </c>
      <c r="S1162" s="77">
        <v>0</v>
      </c>
      <c r="T1162" s="77">
        <v>0</v>
      </c>
      <c r="U1162" s="77">
        <v>0</v>
      </c>
      <c r="V1162" s="77">
        <v>9</v>
      </c>
      <c r="W1162" s="82" t="s">
        <v>4870</v>
      </c>
      <c r="X1162" s="80" t="str">
        <f>HYPERLINK("https://portalfinancaspessoais.com.br/empresas-como-escolas-de-financas-pessoais/")</f>
        <v>https://portalfinancaspessoais.com.br/empresas-como-escolas-de-financas-pessoais/</v>
      </c>
      <c r="Y1162" s="77" t="s">
        <v>6002</v>
      </c>
      <c r="Z1162" s="77"/>
      <c r="AA1162" s="77" t="s">
        <v>6886</v>
      </c>
      <c r="AB1162" s="77" t="s">
        <v>7696</v>
      </c>
      <c r="AC1162" s="82" t="s">
        <v>7710</v>
      </c>
      <c r="AD1162" s="77" t="s">
        <v>7745</v>
      </c>
      <c r="AE1162" s="80" t="str">
        <f>HYPERLINK("https://twitter.com/financasportal/status/1674407653022347271")</f>
        <v>https://twitter.com/financasportal/status/1674407653022347271</v>
      </c>
      <c r="AF1162" s="79">
        <v>45106.556342592594</v>
      </c>
      <c r="AG1162" s="85">
        <v>45106</v>
      </c>
      <c r="AH1162" s="82" t="s">
        <v>8789</v>
      </c>
      <c r="AI1162" s="77" t="b">
        <v>0</v>
      </c>
      <c r="AJ1162" s="77"/>
      <c r="AK1162" s="77"/>
      <c r="AL1162" s="77"/>
      <c r="AM1162" s="77"/>
      <c r="AN1162" s="77"/>
      <c r="AO1162" s="77"/>
      <c r="AP1162" s="77"/>
      <c r="AQ1162" s="77" t="s">
        <v>11393</v>
      </c>
      <c r="AR1162" s="77"/>
      <c r="AS1162" s="77"/>
      <c r="AT1162" s="77"/>
      <c r="AU1162" s="77"/>
      <c r="AV1162" s="80" t="str">
        <f>HYPERLINK("https://pbs.twimg.com/media/Fzyw4yAaIAMny4E.jpg")</f>
        <v>https://pbs.twimg.com/media/Fzyw4yAaIAMny4E.jpg</v>
      </c>
      <c r="AW1162" s="82" t="s">
        <v>13344</v>
      </c>
      <c r="AX1162" s="82" t="s">
        <v>13344</v>
      </c>
      <c r="AY1162" s="77"/>
      <c r="AZ1162" s="82" t="s">
        <v>15804</v>
      </c>
      <c r="BA1162" s="82" t="s">
        <v>15804</v>
      </c>
      <c r="BB1162" s="82" t="s">
        <v>15804</v>
      </c>
      <c r="BC1162" s="82" t="s">
        <v>13344</v>
      </c>
      <c r="BD1162" s="82" t="s">
        <v>16336</v>
      </c>
      <c r="BE1162" s="77"/>
      <c r="BF1162" s="77"/>
      <c r="BG1162" s="77"/>
      <c r="BH1162" s="77"/>
      <c r="BI1162" s="77"/>
    </row>
    <row r="1163" spans="1:61" x14ac:dyDescent="0.25">
      <c r="A1163" s="62" t="s">
        <v>577</v>
      </c>
      <c r="B1163" s="62" t="s">
        <v>577</v>
      </c>
      <c r="C1163" s="63"/>
      <c r="D1163" s="64"/>
      <c r="E1163" s="65"/>
      <c r="F1163" s="66"/>
      <c r="G1163" s="63"/>
      <c r="H1163" s="67"/>
      <c r="I1163" s="68"/>
      <c r="J1163" s="68"/>
      <c r="K1163" s="32"/>
      <c r="L1163" s="75">
        <v>1163</v>
      </c>
      <c r="M1163" s="75"/>
      <c r="N1163" s="70"/>
      <c r="O1163" s="77" t="s">
        <v>179</v>
      </c>
      <c r="P1163" s="79">
        <v>45086.524907407409</v>
      </c>
      <c r="Q1163" s="77" t="s">
        <v>2256</v>
      </c>
      <c r="R1163" s="77">
        <v>0</v>
      </c>
      <c r="S1163" s="77">
        <v>0</v>
      </c>
      <c r="T1163" s="77">
        <v>0</v>
      </c>
      <c r="U1163" s="77">
        <v>0</v>
      </c>
      <c r="V1163" s="77">
        <v>11</v>
      </c>
      <c r="W1163" s="82" t="s">
        <v>4876</v>
      </c>
      <c r="X1163" s="80" t="str">
        <f>HYPERLINK("https://portalfinancaspessoais.com.br/?p=1461")</f>
        <v>https://portalfinancaspessoais.com.br/?p=1461</v>
      </c>
      <c r="Y1163" s="77" t="s">
        <v>6002</v>
      </c>
      <c r="Z1163" s="77"/>
      <c r="AA1163" s="77" t="s">
        <v>6887</v>
      </c>
      <c r="AB1163" s="77" t="s">
        <v>7696</v>
      </c>
      <c r="AC1163" s="82" t="s">
        <v>7710</v>
      </c>
      <c r="AD1163" s="77" t="s">
        <v>7745</v>
      </c>
      <c r="AE1163" s="80" t="str">
        <f>HYPERLINK("https://twitter.com/financasportal/status/1667148505494831104")</f>
        <v>https://twitter.com/financasportal/status/1667148505494831104</v>
      </c>
      <c r="AF1163" s="79">
        <v>45086.524907407409</v>
      </c>
      <c r="AG1163" s="85">
        <v>45086</v>
      </c>
      <c r="AH1163" s="82" t="s">
        <v>8790</v>
      </c>
      <c r="AI1163" s="77" t="b">
        <v>0</v>
      </c>
      <c r="AJ1163" s="77"/>
      <c r="AK1163" s="77"/>
      <c r="AL1163" s="77"/>
      <c r="AM1163" s="77"/>
      <c r="AN1163" s="77"/>
      <c r="AO1163" s="77"/>
      <c r="AP1163" s="77"/>
      <c r="AQ1163" s="77" t="s">
        <v>11394</v>
      </c>
      <c r="AR1163" s="77"/>
      <c r="AS1163" s="77"/>
      <c r="AT1163" s="77"/>
      <c r="AU1163" s="77"/>
      <c r="AV1163" s="80" t="str">
        <f>HYPERLINK("https://pbs.twimg.com/media/FyLmuv5WAAIgfey.jpg")</f>
        <v>https://pbs.twimg.com/media/FyLmuv5WAAIgfey.jpg</v>
      </c>
      <c r="AW1163" s="82" t="s">
        <v>13345</v>
      </c>
      <c r="AX1163" s="82" t="s">
        <v>13345</v>
      </c>
      <c r="AY1163" s="77"/>
      <c r="AZ1163" s="82" t="s">
        <v>15804</v>
      </c>
      <c r="BA1163" s="82" t="s">
        <v>15804</v>
      </c>
      <c r="BB1163" s="82" t="s">
        <v>15804</v>
      </c>
      <c r="BC1163" s="82" t="s">
        <v>13345</v>
      </c>
      <c r="BD1163" s="82" t="s">
        <v>16336</v>
      </c>
      <c r="BE1163" s="77"/>
      <c r="BF1163" s="77"/>
      <c r="BG1163" s="77"/>
      <c r="BH1163" s="77"/>
      <c r="BI1163" s="77"/>
    </row>
    <row r="1164" spans="1:61" x14ac:dyDescent="0.25">
      <c r="A1164" s="62" t="s">
        <v>577</v>
      </c>
      <c r="B1164" s="62" t="s">
        <v>577</v>
      </c>
      <c r="C1164" s="63"/>
      <c r="D1164" s="64"/>
      <c r="E1164" s="65"/>
      <c r="F1164" s="66"/>
      <c r="G1164" s="63"/>
      <c r="H1164" s="67"/>
      <c r="I1164" s="68"/>
      <c r="J1164" s="68"/>
      <c r="K1164" s="32"/>
      <c r="L1164" s="75">
        <v>1164</v>
      </c>
      <c r="M1164" s="75"/>
      <c r="N1164" s="70"/>
      <c r="O1164" s="77" t="s">
        <v>179</v>
      </c>
      <c r="P1164" s="79">
        <v>45086.015925925924</v>
      </c>
      <c r="Q1164" s="77" t="s">
        <v>2257</v>
      </c>
      <c r="R1164" s="77">
        <v>0</v>
      </c>
      <c r="S1164" s="77">
        <v>0</v>
      </c>
      <c r="T1164" s="77">
        <v>0</v>
      </c>
      <c r="U1164" s="77">
        <v>0</v>
      </c>
      <c r="V1164" s="77">
        <v>9</v>
      </c>
      <c r="W1164" s="82" t="s">
        <v>4868</v>
      </c>
      <c r="X1164" s="80" t="str">
        <f>HYPERLINK("https://portalfinancaspessoais.com.br/economizar-nas-compras-de-supermercado/")</f>
        <v>https://portalfinancaspessoais.com.br/economizar-nas-compras-de-supermercado/</v>
      </c>
      <c r="Y1164" s="77" t="s">
        <v>6002</v>
      </c>
      <c r="Z1164" s="77"/>
      <c r="AA1164" s="77" t="s">
        <v>6888</v>
      </c>
      <c r="AB1164" s="77" t="s">
        <v>7696</v>
      </c>
      <c r="AC1164" s="82" t="s">
        <v>7710</v>
      </c>
      <c r="AD1164" s="77" t="s">
        <v>7745</v>
      </c>
      <c r="AE1164" s="80" t="str">
        <f>HYPERLINK("https://twitter.com/financasportal/status/1666964055368560640")</f>
        <v>https://twitter.com/financasportal/status/1666964055368560640</v>
      </c>
      <c r="AF1164" s="79">
        <v>45086.015925925924</v>
      </c>
      <c r="AG1164" s="85">
        <v>45086</v>
      </c>
      <c r="AH1164" s="82" t="s">
        <v>8791</v>
      </c>
      <c r="AI1164" s="77" t="b">
        <v>0</v>
      </c>
      <c r="AJ1164" s="77"/>
      <c r="AK1164" s="77"/>
      <c r="AL1164" s="77"/>
      <c r="AM1164" s="77"/>
      <c r="AN1164" s="77"/>
      <c r="AO1164" s="77"/>
      <c r="AP1164" s="77"/>
      <c r="AQ1164" s="77" t="s">
        <v>11395</v>
      </c>
      <c r="AR1164" s="77"/>
      <c r="AS1164" s="77"/>
      <c r="AT1164" s="77"/>
      <c r="AU1164" s="77"/>
      <c r="AV1164" s="80" t="str">
        <f>HYPERLINK("https://pbs.twimg.com/media/FyI--UYWYAAHCRZ.jpg")</f>
        <v>https://pbs.twimg.com/media/FyI--UYWYAAHCRZ.jpg</v>
      </c>
      <c r="AW1164" s="82" t="s">
        <v>13346</v>
      </c>
      <c r="AX1164" s="82" t="s">
        <v>13346</v>
      </c>
      <c r="AY1164" s="77"/>
      <c r="AZ1164" s="82" t="s">
        <v>15804</v>
      </c>
      <c r="BA1164" s="82" t="s">
        <v>15804</v>
      </c>
      <c r="BB1164" s="82" t="s">
        <v>15804</v>
      </c>
      <c r="BC1164" s="82" t="s">
        <v>13346</v>
      </c>
      <c r="BD1164" s="82" t="s">
        <v>16336</v>
      </c>
      <c r="BE1164" s="77"/>
      <c r="BF1164" s="77"/>
      <c r="BG1164" s="77"/>
      <c r="BH1164" s="77"/>
      <c r="BI1164" s="77"/>
    </row>
    <row r="1165" spans="1:61" x14ac:dyDescent="0.25">
      <c r="A1165" s="62" t="s">
        <v>577</v>
      </c>
      <c r="B1165" s="62" t="s">
        <v>577</v>
      </c>
      <c r="C1165" s="63"/>
      <c r="D1165" s="64"/>
      <c r="E1165" s="65"/>
      <c r="F1165" s="66"/>
      <c r="G1165" s="63"/>
      <c r="H1165" s="67"/>
      <c r="I1165" s="68"/>
      <c r="J1165" s="68"/>
      <c r="K1165" s="32"/>
      <c r="L1165" s="75">
        <v>1165</v>
      </c>
      <c r="M1165" s="75"/>
      <c r="N1165" s="70"/>
      <c r="O1165" s="77" t="s">
        <v>179</v>
      </c>
      <c r="P1165" s="79">
        <v>45085.525405092594</v>
      </c>
      <c r="Q1165" s="77" t="s">
        <v>2258</v>
      </c>
      <c r="R1165" s="77">
        <v>0</v>
      </c>
      <c r="S1165" s="77">
        <v>1</v>
      </c>
      <c r="T1165" s="77">
        <v>0</v>
      </c>
      <c r="U1165" s="77">
        <v>0</v>
      </c>
      <c r="V1165" s="77">
        <v>17</v>
      </c>
      <c r="W1165" s="82" t="s">
        <v>4869</v>
      </c>
      <c r="X1165" s="80" t="str">
        <f>HYPERLINK("https://portalfinancaspessoais.com.br/?p=1476")</f>
        <v>https://portalfinancaspessoais.com.br/?p=1476</v>
      </c>
      <c r="Y1165" s="77" t="s">
        <v>6002</v>
      </c>
      <c r="Z1165" s="77"/>
      <c r="AA1165" s="77" t="s">
        <v>6889</v>
      </c>
      <c r="AB1165" s="77" t="s">
        <v>7696</v>
      </c>
      <c r="AC1165" s="82" t="s">
        <v>7710</v>
      </c>
      <c r="AD1165" s="77" t="s">
        <v>7745</v>
      </c>
      <c r="AE1165" s="80" t="str">
        <f>HYPERLINK("https://twitter.com/financasportal/status/1666786298277900292")</f>
        <v>https://twitter.com/financasportal/status/1666786298277900292</v>
      </c>
      <c r="AF1165" s="79">
        <v>45085.525405092594</v>
      </c>
      <c r="AG1165" s="85">
        <v>45085</v>
      </c>
      <c r="AH1165" s="82" t="s">
        <v>8792</v>
      </c>
      <c r="AI1165" s="77" t="b">
        <v>0</v>
      </c>
      <c r="AJ1165" s="77"/>
      <c r="AK1165" s="77"/>
      <c r="AL1165" s="77"/>
      <c r="AM1165" s="77"/>
      <c r="AN1165" s="77"/>
      <c r="AO1165" s="77"/>
      <c r="AP1165" s="77"/>
      <c r="AQ1165" s="77" t="s">
        <v>11396</v>
      </c>
      <c r="AR1165" s="77"/>
      <c r="AS1165" s="77"/>
      <c r="AT1165" s="77"/>
      <c r="AU1165" s="77"/>
      <c r="AV1165" s="80" t="str">
        <f>HYPERLINK("https://pbs.twimg.com/media/FyGdTkbWYAI6HPY.jpg")</f>
        <v>https://pbs.twimg.com/media/FyGdTkbWYAI6HPY.jpg</v>
      </c>
      <c r="AW1165" s="82" t="s">
        <v>13347</v>
      </c>
      <c r="AX1165" s="82" t="s">
        <v>13347</v>
      </c>
      <c r="AY1165" s="77"/>
      <c r="AZ1165" s="82" t="s">
        <v>15804</v>
      </c>
      <c r="BA1165" s="82" t="s">
        <v>15804</v>
      </c>
      <c r="BB1165" s="82" t="s">
        <v>15804</v>
      </c>
      <c r="BC1165" s="82" t="s">
        <v>13347</v>
      </c>
      <c r="BD1165" s="82" t="s">
        <v>16336</v>
      </c>
      <c r="BE1165" s="77"/>
      <c r="BF1165" s="77"/>
      <c r="BG1165" s="77"/>
      <c r="BH1165" s="77"/>
      <c r="BI1165" s="77"/>
    </row>
    <row r="1166" spans="1:61" x14ac:dyDescent="0.25">
      <c r="A1166" s="62" t="s">
        <v>577</v>
      </c>
      <c r="B1166" s="62" t="s">
        <v>577</v>
      </c>
      <c r="C1166" s="63"/>
      <c r="D1166" s="64"/>
      <c r="E1166" s="65"/>
      <c r="F1166" s="66"/>
      <c r="G1166" s="63"/>
      <c r="H1166" s="67"/>
      <c r="I1166" s="68"/>
      <c r="J1166" s="68"/>
      <c r="K1166" s="32"/>
      <c r="L1166" s="75">
        <v>1166</v>
      </c>
      <c r="M1166" s="75"/>
      <c r="N1166" s="70"/>
      <c r="O1166" s="77" t="s">
        <v>179</v>
      </c>
      <c r="P1166" s="79">
        <v>45063.539699074077</v>
      </c>
      <c r="Q1166" s="77" t="s">
        <v>2259</v>
      </c>
      <c r="R1166" s="77">
        <v>0</v>
      </c>
      <c r="S1166" s="77">
        <v>0</v>
      </c>
      <c r="T1166" s="77">
        <v>0</v>
      </c>
      <c r="U1166" s="77">
        <v>0</v>
      </c>
      <c r="V1166" s="77">
        <v>3</v>
      </c>
      <c r="W1166" s="82" t="s">
        <v>4868</v>
      </c>
      <c r="X1166" s="80" t="str">
        <f>HYPERLINK("https://portalfinancaspessoais.com.br/?p=1545")</f>
        <v>https://portalfinancaspessoais.com.br/?p=1545</v>
      </c>
      <c r="Y1166" s="77" t="s">
        <v>6002</v>
      </c>
      <c r="Z1166" s="77"/>
      <c r="AA1166" s="77" t="s">
        <v>6890</v>
      </c>
      <c r="AB1166" s="77" t="s">
        <v>7696</v>
      </c>
      <c r="AC1166" s="82" t="s">
        <v>7710</v>
      </c>
      <c r="AD1166" s="77" t="s">
        <v>7745</v>
      </c>
      <c r="AE1166" s="80" t="str">
        <f>HYPERLINK("https://twitter.com/financasportal/status/1658818944260620290")</f>
        <v>https://twitter.com/financasportal/status/1658818944260620290</v>
      </c>
      <c r="AF1166" s="79">
        <v>45063.539699074077</v>
      </c>
      <c r="AG1166" s="85">
        <v>45063</v>
      </c>
      <c r="AH1166" s="82" t="s">
        <v>8793</v>
      </c>
      <c r="AI1166" s="77" t="b">
        <v>0</v>
      </c>
      <c r="AJ1166" s="77"/>
      <c r="AK1166" s="77"/>
      <c r="AL1166" s="77"/>
      <c r="AM1166" s="77"/>
      <c r="AN1166" s="77"/>
      <c r="AO1166" s="77"/>
      <c r="AP1166" s="77"/>
      <c r="AQ1166" s="77" t="s">
        <v>11397</v>
      </c>
      <c r="AR1166" s="77"/>
      <c r="AS1166" s="77"/>
      <c r="AT1166" s="77"/>
      <c r="AU1166" s="77"/>
      <c r="AV1166" s="80" t="str">
        <f>HYPERLINK("https://pbs.twimg.com/media/FwVPChJXsAA49yV.jpg")</f>
        <v>https://pbs.twimg.com/media/FwVPChJXsAA49yV.jpg</v>
      </c>
      <c r="AW1166" s="82" t="s">
        <v>13348</v>
      </c>
      <c r="AX1166" s="82" t="s">
        <v>13348</v>
      </c>
      <c r="AY1166" s="77"/>
      <c r="AZ1166" s="82" t="s">
        <v>15804</v>
      </c>
      <c r="BA1166" s="82" t="s">
        <v>15804</v>
      </c>
      <c r="BB1166" s="82" t="s">
        <v>15804</v>
      </c>
      <c r="BC1166" s="82" t="s">
        <v>13348</v>
      </c>
      <c r="BD1166" s="82" t="s">
        <v>16336</v>
      </c>
      <c r="BE1166" s="77"/>
      <c r="BF1166" s="77"/>
      <c r="BG1166" s="77"/>
      <c r="BH1166" s="77"/>
      <c r="BI1166" s="77"/>
    </row>
    <row r="1167" spans="1:61" x14ac:dyDescent="0.25">
      <c r="A1167" s="62" t="s">
        <v>577</v>
      </c>
      <c r="B1167" s="62" t="s">
        <v>577</v>
      </c>
      <c r="C1167" s="63"/>
      <c r="D1167" s="64"/>
      <c r="E1167" s="65"/>
      <c r="F1167" s="66"/>
      <c r="G1167" s="63"/>
      <c r="H1167" s="67"/>
      <c r="I1167" s="68"/>
      <c r="J1167" s="68"/>
      <c r="K1167" s="32"/>
      <c r="L1167" s="75">
        <v>1167</v>
      </c>
      <c r="M1167" s="75"/>
      <c r="N1167" s="70"/>
      <c r="O1167" s="77" t="s">
        <v>179</v>
      </c>
      <c r="P1167" s="79">
        <v>45061.506678240738</v>
      </c>
      <c r="Q1167" s="77" t="s">
        <v>2260</v>
      </c>
      <c r="R1167" s="77">
        <v>0</v>
      </c>
      <c r="S1167" s="77">
        <v>0</v>
      </c>
      <c r="T1167" s="77">
        <v>0</v>
      </c>
      <c r="U1167" s="77">
        <v>0</v>
      </c>
      <c r="V1167" s="77">
        <v>12</v>
      </c>
      <c r="W1167" s="82" t="s">
        <v>4870</v>
      </c>
      <c r="X1167" s="80" t="str">
        <f>HYPERLINK("https://portalfinancaspessoais.com.br/?p=1540")</f>
        <v>https://portalfinancaspessoais.com.br/?p=1540</v>
      </c>
      <c r="Y1167" s="77" t="s">
        <v>6002</v>
      </c>
      <c r="Z1167" s="77"/>
      <c r="AA1167" s="77" t="s">
        <v>6891</v>
      </c>
      <c r="AB1167" s="77" t="s">
        <v>7696</v>
      </c>
      <c r="AC1167" s="82" t="s">
        <v>7710</v>
      </c>
      <c r="AD1167" s="77" t="s">
        <v>7745</v>
      </c>
      <c r="AE1167" s="80" t="str">
        <f>HYPERLINK("https://twitter.com/financasportal/status/1658082203769741317")</f>
        <v>https://twitter.com/financasportal/status/1658082203769741317</v>
      </c>
      <c r="AF1167" s="79">
        <v>45061.506678240738</v>
      </c>
      <c r="AG1167" s="85">
        <v>45061</v>
      </c>
      <c r="AH1167" s="82" t="s">
        <v>8794</v>
      </c>
      <c r="AI1167" s="77" t="b">
        <v>0</v>
      </c>
      <c r="AJ1167" s="77"/>
      <c r="AK1167" s="77"/>
      <c r="AL1167" s="77"/>
      <c r="AM1167" s="77"/>
      <c r="AN1167" s="77"/>
      <c r="AO1167" s="77"/>
      <c r="AP1167" s="77"/>
      <c r="AQ1167" s="77" t="s">
        <v>11398</v>
      </c>
      <c r="AR1167" s="77"/>
      <c r="AS1167" s="77"/>
      <c r="AT1167" s="77"/>
      <c r="AU1167" s="77"/>
      <c r="AV1167" s="80" t="str">
        <f>HYPERLINK("https://pbs.twimg.com/media/FwKw-lMWIAUGAf1.jpg")</f>
        <v>https://pbs.twimg.com/media/FwKw-lMWIAUGAf1.jpg</v>
      </c>
      <c r="AW1167" s="82" t="s">
        <v>13349</v>
      </c>
      <c r="AX1167" s="82" t="s">
        <v>13349</v>
      </c>
      <c r="AY1167" s="77"/>
      <c r="AZ1167" s="82" t="s">
        <v>15804</v>
      </c>
      <c r="BA1167" s="82" t="s">
        <v>15804</v>
      </c>
      <c r="BB1167" s="82" t="s">
        <v>15804</v>
      </c>
      <c r="BC1167" s="82" t="s">
        <v>13349</v>
      </c>
      <c r="BD1167" s="82" t="s">
        <v>16336</v>
      </c>
      <c r="BE1167" s="77"/>
      <c r="BF1167" s="77"/>
      <c r="BG1167" s="77"/>
      <c r="BH1167" s="77"/>
      <c r="BI1167" s="77"/>
    </row>
    <row r="1168" spans="1:61" x14ac:dyDescent="0.25">
      <c r="A1168" s="62" t="s">
        <v>578</v>
      </c>
      <c r="B1168" s="62" t="s">
        <v>578</v>
      </c>
      <c r="C1168" s="63"/>
      <c r="D1168" s="64"/>
      <c r="E1168" s="65"/>
      <c r="F1168" s="66"/>
      <c r="G1168" s="63"/>
      <c r="H1168" s="67"/>
      <c r="I1168" s="68"/>
      <c r="J1168" s="68"/>
      <c r="K1168" s="32"/>
      <c r="L1168" s="75">
        <v>1168</v>
      </c>
      <c r="M1168" s="75"/>
      <c r="N1168" s="70"/>
      <c r="O1168" s="77" t="s">
        <v>179</v>
      </c>
      <c r="P1168" s="79">
        <v>44991.750277777777</v>
      </c>
      <c r="Q1168" s="77" t="s">
        <v>2261</v>
      </c>
      <c r="R1168" s="77">
        <v>0</v>
      </c>
      <c r="S1168" s="77">
        <v>0</v>
      </c>
      <c r="T1168" s="77">
        <v>0</v>
      </c>
      <c r="U1168" s="77">
        <v>0</v>
      </c>
      <c r="V1168" s="77">
        <v>5</v>
      </c>
      <c r="W1168" s="82" t="s">
        <v>4877</v>
      </c>
      <c r="X1168" s="80" t="str">
        <f>HYPERLINK("https://linkbio.co/5022315Tqqb6Q")</f>
        <v>https://linkbio.co/5022315Tqqb6Q</v>
      </c>
      <c r="Y1168" s="77" t="s">
        <v>6063</v>
      </c>
      <c r="Z1168" s="77"/>
      <c r="AA1168" s="77" t="s">
        <v>6892</v>
      </c>
      <c r="AB1168" s="77" t="s">
        <v>7696</v>
      </c>
      <c r="AC1168" s="82" t="s">
        <v>7708</v>
      </c>
      <c r="AD1168" s="77" t="s">
        <v>7745</v>
      </c>
      <c r="AE1168" s="80" t="str">
        <f>HYPERLINK("https://twitter.com/gynbanco/status/1632803330245140482")</f>
        <v>https://twitter.com/gynbanco/status/1632803330245140482</v>
      </c>
      <c r="AF1168" s="79">
        <v>44991.750277777777</v>
      </c>
      <c r="AG1168" s="85">
        <v>44991</v>
      </c>
      <c r="AH1168" s="82" t="s">
        <v>8795</v>
      </c>
      <c r="AI1168" s="77" t="b">
        <v>0</v>
      </c>
      <c r="AJ1168" s="77"/>
      <c r="AK1168" s="77"/>
      <c r="AL1168" s="77"/>
      <c r="AM1168" s="77"/>
      <c r="AN1168" s="77"/>
      <c r="AO1168" s="77"/>
      <c r="AP1168" s="77"/>
      <c r="AQ1168" s="77" t="s">
        <v>11399</v>
      </c>
      <c r="AR1168" s="77"/>
      <c r="AS1168" s="77"/>
      <c r="AT1168" s="77"/>
      <c r="AU1168" s="77"/>
      <c r="AV1168" s="80" t="str">
        <f>HYPERLINK("https://pbs.twimg.com/media/Fqjh-bBXsAAsqEi.jpg")</f>
        <v>https://pbs.twimg.com/media/Fqjh-bBXsAAsqEi.jpg</v>
      </c>
      <c r="AW1168" s="82" t="s">
        <v>13350</v>
      </c>
      <c r="AX1168" s="82" t="s">
        <v>13350</v>
      </c>
      <c r="AY1168" s="77"/>
      <c r="AZ1168" s="82" t="s">
        <v>15804</v>
      </c>
      <c r="BA1168" s="82" t="s">
        <v>15804</v>
      </c>
      <c r="BB1168" s="82" t="s">
        <v>15804</v>
      </c>
      <c r="BC1168" s="82" t="s">
        <v>13350</v>
      </c>
      <c r="BD1168" s="82" t="s">
        <v>16337</v>
      </c>
      <c r="BE1168" s="77"/>
      <c r="BF1168" s="77"/>
      <c r="BG1168" s="77"/>
      <c r="BH1168" s="77"/>
      <c r="BI1168" s="77"/>
    </row>
    <row r="1169" spans="1:61" x14ac:dyDescent="0.25">
      <c r="A1169" s="62" t="s">
        <v>578</v>
      </c>
      <c r="B1169" s="62" t="s">
        <v>578</v>
      </c>
      <c r="C1169" s="63"/>
      <c r="D1169" s="64"/>
      <c r="E1169" s="65"/>
      <c r="F1169" s="66"/>
      <c r="G1169" s="63"/>
      <c r="H1169" s="67"/>
      <c r="I1169" s="68"/>
      <c r="J1169" s="68"/>
      <c r="K1169" s="32"/>
      <c r="L1169" s="75">
        <v>1169</v>
      </c>
      <c r="M1169" s="75"/>
      <c r="N1169" s="70"/>
      <c r="O1169" s="77" t="s">
        <v>179</v>
      </c>
      <c r="P1169" s="79">
        <v>44987.795532407406</v>
      </c>
      <c r="Q1169" s="77" t="s">
        <v>2262</v>
      </c>
      <c r="R1169" s="77">
        <v>0</v>
      </c>
      <c r="S1169" s="77">
        <v>0</v>
      </c>
      <c r="T1169" s="77">
        <v>0</v>
      </c>
      <c r="U1169" s="77">
        <v>0</v>
      </c>
      <c r="V1169" s="77">
        <v>22</v>
      </c>
      <c r="W1169" s="82" t="s">
        <v>4878</v>
      </c>
      <c r="X1169" s="77"/>
      <c r="Y1169" s="77"/>
      <c r="Z1169" s="77"/>
      <c r="AA1169" s="77" t="s">
        <v>6893</v>
      </c>
      <c r="AB1169" s="77" t="s">
        <v>7697</v>
      </c>
      <c r="AC1169" s="82" t="s">
        <v>7708</v>
      </c>
      <c r="AD1169" s="77" t="s">
        <v>7745</v>
      </c>
      <c r="AE1169" s="80" t="str">
        <f>HYPERLINK("https://twitter.com/gynbanco/status/1631370176695246862")</f>
        <v>https://twitter.com/gynbanco/status/1631370176695246862</v>
      </c>
      <c r="AF1169" s="79">
        <v>44987.795532407406</v>
      </c>
      <c r="AG1169" s="85">
        <v>44987</v>
      </c>
      <c r="AH1169" s="82" t="s">
        <v>8796</v>
      </c>
      <c r="AI1169" s="77" t="b">
        <v>0</v>
      </c>
      <c r="AJ1169" s="77"/>
      <c r="AK1169" s="77"/>
      <c r="AL1169" s="77"/>
      <c r="AM1169" s="77"/>
      <c r="AN1169" s="77"/>
      <c r="AO1169" s="77"/>
      <c r="AP1169" s="77"/>
      <c r="AQ1169" s="77" t="s">
        <v>11400</v>
      </c>
      <c r="AR1169" s="77">
        <v>10000</v>
      </c>
      <c r="AS1169" s="77"/>
      <c r="AT1169" s="77"/>
      <c r="AU1169" s="77">
        <v>2</v>
      </c>
      <c r="AV1169" s="80" t="str">
        <f>HYPERLINK("https://pbs.twimg.com/ext_tw_video_thumb/1631370131417755649/pu/img/Dca4KtC32r_bZXAA.jpg")</f>
        <v>https://pbs.twimg.com/ext_tw_video_thumb/1631370131417755649/pu/img/Dca4KtC32r_bZXAA.jpg</v>
      </c>
      <c r="AW1169" s="82" t="s">
        <v>13351</v>
      </c>
      <c r="AX1169" s="82" t="s">
        <v>13351</v>
      </c>
      <c r="AY1169" s="77"/>
      <c r="AZ1169" s="82" t="s">
        <v>15804</v>
      </c>
      <c r="BA1169" s="82" t="s">
        <v>15804</v>
      </c>
      <c r="BB1169" s="82" t="s">
        <v>15804</v>
      </c>
      <c r="BC1169" s="82" t="s">
        <v>13351</v>
      </c>
      <c r="BD1169" s="82" t="s">
        <v>16337</v>
      </c>
      <c r="BE1169" s="77"/>
      <c r="BF1169" s="77"/>
      <c r="BG1169" s="77"/>
      <c r="BH1169" s="77"/>
      <c r="BI1169" s="77"/>
    </row>
    <row r="1170" spans="1:61" x14ac:dyDescent="0.25">
      <c r="A1170" s="62" t="s">
        <v>579</v>
      </c>
      <c r="B1170" s="62" t="s">
        <v>579</v>
      </c>
      <c r="C1170" s="63"/>
      <c r="D1170" s="64"/>
      <c r="E1170" s="65"/>
      <c r="F1170" s="66"/>
      <c r="G1170" s="63"/>
      <c r="H1170" s="67"/>
      <c r="I1170" s="68"/>
      <c r="J1170" s="68"/>
      <c r="K1170" s="32"/>
      <c r="L1170" s="75">
        <v>1170</v>
      </c>
      <c r="M1170" s="75"/>
      <c r="N1170" s="70"/>
      <c r="O1170" s="77" t="s">
        <v>179</v>
      </c>
      <c r="P1170" s="79">
        <v>45031.649768518517</v>
      </c>
      <c r="Q1170" s="77" t="s">
        <v>2263</v>
      </c>
      <c r="R1170" s="77">
        <v>0</v>
      </c>
      <c r="S1170" s="77">
        <v>0</v>
      </c>
      <c r="T1170" s="77">
        <v>0</v>
      </c>
      <c r="U1170" s="77">
        <v>0</v>
      </c>
      <c r="V1170" s="77">
        <v>28</v>
      </c>
      <c r="W1170" s="82" t="s">
        <v>4879</v>
      </c>
      <c r="X1170" s="77"/>
      <c r="Y1170" s="77"/>
      <c r="Z1170" s="77"/>
      <c r="AA1170" s="77" t="s">
        <v>6894</v>
      </c>
      <c r="AB1170" s="77" t="s">
        <v>7697</v>
      </c>
      <c r="AC1170" s="82" t="s">
        <v>7705</v>
      </c>
      <c r="AD1170" s="77" t="s">
        <v>7745</v>
      </c>
      <c r="AE1170" s="80" t="str">
        <f>HYPERLINK("https://twitter.com/mostbillion/status/1647262422762176512")</f>
        <v>https://twitter.com/mostbillion/status/1647262422762176512</v>
      </c>
      <c r="AF1170" s="79">
        <v>45031.649768518517</v>
      </c>
      <c r="AG1170" s="85">
        <v>45031</v>
      </c>
      <c r="AH1170" s="82" t="s">
        <v>8797</v>
      </c>
      <c r="AI1170" s="77" t="b">
        <v>0</v>
      </c>
      <c r="AJ1170" s="77"/>
      <c r="AK1170" s="77"/>
      <c r="AL1170" s="77"/>
      <c r="AM1170" s="77"/>
      <c r="AN1170" s="77"/>
      <c r="AO1170" s="77"/>
      <c r="AP1170" s="77"/>
      <c r="AQ1170" s="77" t="s">
        <v>11401</v>
      </c>
      <c r="AR1170" s="77">
        <v>45000</v>
      </c>
      <c r="AS1170" s="77"/>
      <c r="AT1170" s="77"/>
      <c r="AU1170" s="77">
        <v>5</v>
      </c>
      <c r="AV1170" s="80" t="str">
        <f>HYPERLINK("https://pbs.twimg.com/ext_tw_video_thumb/1647262165240369153/pu/img/BnZeK_YHhURoWzur.jpg")</f>
        <v>https://pbs.twimg.com/ext_tw_video_thumb/1647262165240369153/pu/img/BnZeK_YHhURoWzur.jpg</v>
      </c>
      <c r="AW1170" s="82" t="s">
        <v>13352</v>
      </c>
      <c r="AX1170" s="82" t="s">
        <v>13352</v>
      </c>
      <c r="AY1170" s="77"/>
      <c r="AZ1170" s="82" t="s">
        <v>15804</v>
      </c>
      <c r="BA1170" s="82" t="s">
        <v>15804</v>
      </c>
      <c r="BB1170" s="82" t="s">
        <v>15804</v>
      </c>
      <c r="BC1170" s="82" t="s">
        <v>13352</v>
      </c>
      <c r="BD1170" s="82" t="s">
        <v>16338</v>
      </c>
      <c r="BE1170" s="77"/>
      <c r="BF1170" s="77"/>
      <c r="BG1170" s="77"/>
      <c r="BH1170" s="77"/>
      <c r="BI1170" s="77"/>
    </row>
    <row r="1171" spans="1:61" x14ac:dyDescent="0.25">
      <c r="A1171" s="62" t="s">
        <v>580</v>
      </c>
      <c r="B1171" s="62" t="s">
        <v>580</v>
      </c>
      <c r="C1171" s="63"/>
      <c r="D1171" s="64"/>
      <c r="E1171" s="65"/>
      <c r="F1171" s="66"/>
      <c r="G1171" s="63"/>
      <c r="H1171" s="67"/>
      <c r="I1171" s="68"/>
      <c r="J1171" s="68"/>
      <c r="K1171" s="32"/>
      <c r="L1171" s="75">
        <v>1171</v>
      </c>
      <c r="M1171" s="75"/>
      <c r="N1171" s="70"/>
      <c r="O1171" s="77" t="s">
        <v>179</v>
      </c>
      <c r="P1171" s="79">
        <v>44999.546655092592</v>
      </c>
      <c r="Q1171" s="77" t="s">
        <v>2264</v>
      </c>
      <c r="R1171" s="77">
        <v>0</v>
      </c>
      <c r="S1171" s="77">
        <v>1</v>
      </c>
      <c r="T1171" s="77">
        <v>0</v>
      </c>
      <c r="U1171" s="77">
        <v>0</v>
      </c>
      <c r="V1171" s="77">
        <v>160</v>
      </c>
      <c r="W1171" s="82" t="s">
        <v>4080</v>
      </c>
      <c r="X1171" s="77"/>
      <c r="Y1171" s="77"/>
      <c r="Z1171" s="77"/>
      <c r="AA1171" s="77"/>
      <c r="AB1171" s="77"/>
      <c r="AC1171" s="82" t="s">
        <v>7705</v>
      </c>
      <c r="AD1171" s="77" t="s">
        <v>7745</v>
      </c>
      <c r="AE1171" s="80" t="str">
        <f>HYPERLINK("https://twitter.com/teddyvicker/status/1635628643274866688")</f>
        <v>https://twitter.com/teddyvicker/status/1635628643274866688</v>
      </c>
      <c r="AF1171" s="79">
        <v>44999.546655092592</v>
      </c>
      <c r="AG1171" s="85">
        <v>44999</v>
      </c>
      <c r="AH1171" s="82" t="s">
        <v>8798</v>
      </c>
      <c r="AI1171" s="77"/>
      <c r="AJ1171" s="77"/>
      <c r="AK1171" s="77"/>
      <c r="AL1171" s="77"/>
      <c r="AM1171" s="77"/>
      <c r="AN1171" s="77"/>
      <c r="AO1171" s="77"/>
      <c r="AP1171" s="77"/>
      <c r="AQ1171" s="77"/>
      <c r="AR1171" s="77"/>
      <c r="AS1171" s="77"/>
      <c r="AT1171" s="77"/>
      <c r="AU1171" s="77"/>
      <c r="AV1171" s="80" t="str">
        <f>HYPERLINK("https://pbs.twimg.com/profile_images/1676036156532588544/V50YD_UJ_normal.jpg")</f>
        <v>https://pbs.twimg.com/profile_images/1676036156532588544/V50YD_UJ_normal.jpg</v>
      </c>
      <c r="AW1171" s="82" t="s">
        <v>13353</v>
      </c>
      <c r="AX1171" s="82" t="s">
        <v>13353</v>
      </c>
      <c r="AY1171" s="77"/>
      <c r="AZ1171" s="82" t="s">
        <v>15804</v>
      </c>
      <c r="BA1171" s="82" t="s">
        <v>15804</v>
      </c>
      <c r="BB1171" s="82" t="s">
        <v>15804</v>
      </c>
      <c r="BC1171" s="82" t="s">
        <v>13353</v>
      </c>
      <c r="BD1171" s="82" t="s">
        <v>16339</v>
      </c>
      <c r="BE1171" s="77"/>
      <c r="BF1171" s="77"/>
      <c r="BG1171" s="77"/>
      <c r="BH1171" s="77"/>
      <c r="BI1171" s="77"/>
    </row>
    <row r="1172" spans="1:61" x14ac:dyDescent="0.25">
      <c r="A1172" s="62" t="s">
        <v>581</v>
      </c>
      <c r="B1172" s="62" t="s">
        <v>581</v>
      </c>
      <c r="C1172" s="63"/>
      <c r="D1172" s="64"/>
      <c r="E1172" s="65"/>
      <c r="F1172" s="66"/>
      <c r="G1172" s="63"/>
      <c r="H1172" s="67"/>
      <c r="I1172" s="68"/>
      <c r="J1172" s="68"/>
      <c r="K1172" s="32"/>
      <c r="L1172" s="75">
        <v>1172</v>
      </c>
      <c r="M1172" s="75"/>
      <c r="N1172" s="70"/>
      <c r="O1172" s="77" t="s">
        <v>1132</v>
      </c>
      <c r="P1172" s="79">
        <v>45066.750625000001</v>
      </c>
      <c r="Q1172" s="77" t="s">
        <v>2265</v>
      </c>
      <c r="R1172" s="77">
        <v>0</v>
      </c>
      <c r="S1172" s="77">
        <v>0</v>
      </c>
      <c r="T1172" s="77">
        <v>1</v>
      </c>
      <c r="U1172" s="77">
        <v>0</v>
      </c>
      <c r="V1172" s="77">
        <v>2</v>
      </c>
      <c r="W1172" s="82" t="s">
        <v>4880</v>
      </c>
      <c r="X1172" s="80" t="str">
        <f>HYPERLINK("https://amzn.to/3q2e55z")</f>
        <v>https://amzn.to/3q2e55z</v>
      </c>
      <c r="Y1172" s="77" t="s">
        <v>6043</v>
      </c>
      <c r="Z1172" s="77"/>
      <c r="AA1172" s="77"/>
      <c r="AB1172" s="77"/>
      <c r="AC1172" s="82" t="s">
        <v>7706</v>
      </c>
      <c r="AD1172" s="77" t="s">
        <v>7745</v>
      </c>
      <c r="AE1172" s="80" t="str">
        <f>HYPERLINK("https://twitter.com/bnbcryptobonus/status/1659982545365213184")</f>
        <v>https://twitter.com/bnbcryptobonus/status/1659982545365213184</v>
      </c>
      <c r="AF1172" s="79">
        <v>45066.750625000001</v>
      </c>
      <c r="AG1172" s="85">
        <v>45066</v>
      </c>
      <c r="AH1172" s="82" t="s">
        <v>8799</v>
      </c>
      <c r="AI1172" s="77" t="b">
        <v>0</v>
      </c>
      <c r="AJ1172" s="77"/>
      <c r="AK1172" s="77"/>
      <c r="AL1172" s="77"/>
      <c r="AM1172" s="77"/>
      <c r="AN1172" s="77"/>
      <c r="AO1172" s="77"/>
      <c r="AP1172" s="77"/>
      <c r="AQ1172" s="77"/>
      <c r="AR1172" s="77"/>
      <c r="AS1172" s="77"/>
      <c r="AT1172" s="77"/>
      <c r="AU1172" s="77"/>
      <c r="AV1172" s="80" t="str">
        <f>HYPERLINK("https://pbs.twimg.com/profile_images/1492977674234519560/yOUkfALr_normal.jpg")</f>
        <v>https://pbs.twimg.com/profile_images/1492977674234519560/yOUkfALr_normal.jpg</v>
      </c>
      <c r="AW1172" s="82" t="s">
        <v>13354</v>
      </c>
      <c r="AX1172" s="82" t="s">
        <v>15312</v>
      </c>
      <c r="AY1172" s="82" t="s">
        <v>15731</v>
      </c>
      <c r="AZ1172" s="82" t="s">
        <v>15869</v>
      </c>
      <c r="BA1172" s="82" t="s">
        <v>15804</v>
      </c>
      <c r="BB1172" s="82" t="s">
        <v>15804</v>
      </c>
      <c r="BC1172" s="82" t="s">
        <v>15869</v>
      </c>
      <c r="BD1172" s="82" t="s">
        <v>15731</v>
      </c>
      <c r="BE1172" s="77"/>
      <c r="BF1172" s="77"/>
      <c r="BG1172" s="77"/>
      <c r="BH1172" s="77"/>
      <c r="BI1172" s="77"/>
    </row>
    <row r="1173" spans="1:61" x14ac:dyDescent="0.25">
      <c r="A1173" s="62" t="s">
        <v>582</v>
      </c>
      <c r="B1173" s="62" t="s">
        <v>582</v>
      </c>
      <c r="C1173" s="63"/>
      <c r="D1173" s="64"/>
      <c r="E1173" s="65"/>
      <c r="F1173" s="66"/>
      <c r="G1173" s="63"/>
      <c r="H1173" s="67"/>
      <c r="I1173" s="68"/>
      <c r="J1173" s="68"/>
      <c r="K1173" s="32"/>
      <c r="L1173" s="75">
        <v>1173</v>
      </c>
      <c r="M1173" s="75"/>
      <c r="N1173" s="70"/>
      <c r="O1173" s="77" t="s">
        <v>179</v>
      </c>
      <c r="P1173" s="79">
        <v>45073.53087962963</v>
      </c>
      <c r="Q1173" s="77" t="s">
        <v>2266</v>
      </c>
      <c r="R1173" s="77">
        <v>0</v>
      </c>
      <c r="S1173" s="77">
        <v>0</v>
      </c>
      <c r="T1173" s="77">
        <v>0</v>
      </c>
      <c r="U1173" s="77">
        <v>0</v>
      </c>
      <c r="V1173" s="77">
        <v>37</v>
      </c>
      <c r="W1173" s="82" t="s">
        <v>4881</v>
      </c>
      <c r="X1173" s="77"/>
      <c r="Y1173" s="77"/>
      <c r="Z1173" s="77"/>
      <c r="AA1173" s="77" t="s">
        <v>6895</v>
      </c>
      <c r="AB1173" s="77" t="s">
        <v>7697</v>
      </c>
      <c r="AC1173" s="82" t="s">
        <v>7707</v>
      </c>
      <c r="AD1173" s="77" t="s">
        <v>7746</v>
      </c>
      <c r="AE1173" s="80" t="str">
        <f>HYPERLINK("https://twitter.com/stimperapp/status/1662439626529800194")</f>
        <v>https://twitter.com/stimperapp/status/1662439626529800194</v>
      </c>
      <c r="AF1173" s="79">
        <v>45073.53087962963</v>
      </c>
      <c r="AG1173" s="85">
        <v>45073</v>
      </c>
      <c r="AH1173" s="82" t="s">
        <v>8800</v>
      </c>
      <c r="AI1173" s="77" t="b">
        <v>0</v>
      </c>
      <c r="AJ1173" s="77"/>
      <c r="AK1173" s="77"/>
      <c r="AL1173" s="77"/>
      <c r="AM1173" s="77"/>
      <c r="AN1173" s="77"/>
      <c r="AO1173" s="77"/>
      <c r="AP1173" s="77"/>
      <c r="AQ1173" s="77" t="s">
        <v>11402</v>
      </c>
      <c r="AR1173" s="77">
        <v>14033</v>
      </c>
      <c r="AS1173" s="77"/>
      <c r="AT1173" s="77"/>
      <c r="AU1173" s="77">
        <v>12</v>
      </c>
      <c r="AV1173" s="80" t="str">
        <f>HYPERLINK("https://pbs.twimg.com/ext_tw_video_thumb/1662439591998115840/pu/img/qDTt8qHXBMESzvCn.jpg")</f>
        <v>https://pbs.twimg.com/ext_tw_video_thumb/1662439591998115840/pu/img/qDTt8qHXBMESzvCn.jpg</v>
      </c>
      <c r="AW1173" s="82" t="s">
        <v>13355</v>
      </c>
      <c r="AX1173" s="82" t="s">
        <v>13355</v>
      </c>
      <c r="AY1173" s="77"/>
      <c r="AZ1173" s="82" t="s">
        <v>15804</v>
      </c>
      <c r="BA1173" s="82" t="s">
        <v>15804</v>
      </c>
      <c r="BB1173" s="82" t="s">
        <v>15804</v>
      </c>
      <c r="BC1173" s="82" t="s">
        <v>13355</v>
      </c>
      <c r="BD1173" s="82" t="s">
        <v>16340</v>
      </c>
      <c r="BE1173" s="77"/>
      <c r="BF1173" s="77"/>
      <c r="BG1173" s="77"/>
      <c r="BH1173" s="77"/>
      <c r="BI1173" s="77"/>
    </row>
    <row r="1174" spans="1:61" x14ac:dyDescent="0.25">
      <c r="A1174" s="62" t="s">
        <v>583</v>
      </c>
      <c r="B1174" s="62" t="s">
        <v>583</v>
      </c>
      <c r="C1174" s="63"/>
      <c r="D1174" s="64"/>
      <c r="E1174" s="65"/>
      <c r="F1174" s="66"/>
      <c r="G1174" s="63"/>
      <c r="H1174" s="67"/>
      <c r="I1174" s="68"/>
      <c r="J1174" s="68"/>
      <c r="K1174" s="32"/>
      <c r="L1174" s="75">
        <v>1174</v>
      </c>
      <c r="M1174" s="75"/>
      <c r="N1174" s="70"/>
      <c r="O1174" s="77" t="s">
        <v>1133</v>
      </c>
      <c r="P1174" s="79">
        <v>44937.998344907406</v>
      </c>
      <c r="Q1174" s="77" t="s">
        <v>2267</v>
      </c>
      <c r="R1174" s="77">
        <v>0</v>
      </c>
      <c r="S1174" s="77">
        <v>2</v>
      </c>
      <c r="T1174" s="77">
        <v>0</v>
      </c>
      <c r="U1174" s="77">
        <v>1</v>
      </c>
      <c r="V1174" s="77">
        <v>154</v>
      </c>
      <c r="W1174" s="82" t="s">
        <v>4882</v>
      </c>
      <c r="X1174" s="77"/>
      <c r="Y1174" s="77"/>
      <c r="Z1174" s="77" t="s">
        <v>583</v>
      </c>
      <c r="AA1174" s="77" t="s">
        <v>6896</v>
      </c>
      <c r="AB1174" s="77" t="s">
        <v>7696</v>
      </c>
      <c r="AC1174" s="82" t="s">
        <v>7705</v>
      </c>
      <c r="AD1174" s="77" t="s">
        <v>7745</v>
      </c>
      <c r="AE1174" s="80" t="str">
        <f>HYPERLINK("https://twitter.com/alfainvestidor1/status/1613324279948447745")</f>
        <v>https://twitter.com/alfainvestidor1/status/1613324279948447745</v>
      </c>
      <c r="AF1174" s="79">
        <v>44937.998344907406</v>
      </c>
      <c r="AG1174" s="85">
        <v>44937</v>
      </c>
      <c r="AH1174" s="82" t="s">
        <v>8801</v>
      </c>
      <c r="AI1174" s="77" t="b">
        <v>0</v>
      </c>
      <c r="AJ1174" s="77"/>
      <c r="AK1174" s="77"/>
      <c r="AL1174" s="77"/>
      <c r="AM1174" s="77"/>
      <c r="AN1174" s="77"/>
      <c r="AO1174" s="77"/>
      <c r="AP1174" s="77"/>
      <c r="AQ1174" s="77" t="s">
        <v>11403</v>
      </c>
      <c r="AR1174" s="77"/>
      <c r="AS1174" s="77"/>
      <c r="AT1174" s="77"/>
      <c r="AU1174" s="77"/>
      <c r="AV1174" s="80" t="str">
        <f>HYPERLINK("https://pbs.twimg.com/media/FmOt4G9WAAItoo7.jpg")</f>
        <v>https://pbs.twimg.com/media/FmOt4G9WAAItoo7.jpg</v>
      </c>
      <c r="AW1174" s="82" t="s">
        <v>13356</v>
      </c>
      <c r="AX1174" s="82" t="s">
        <v>13356</v>
      </c>
      <c r="AY1174" s="77"/>
      <c r="AZ1174" s="82" t="s">
        <v>15804</v>
      </c>
      <c r="BA1174" s="82" t="s">
        <v>15804</v>
      </c>
      <c r="BB1174" s="82" t="s">
        <v>15804</v>
      </c>
      <c r="BC1174" s="82" t="s">
        <v>13356</v>
      </c>
      <c r="BD1174" s="82" t="s">
        <v>16341</v>
      </c>
      <c r="BE1174" s="77"/>
      <c r="BF1174" s="77"/>
      <c r="BG1174" s="77"/>
      <c r="BH1174" s="77"/>
      <c r="BI1174" s="77"/>
    </row>
    <row r="1175" spans="1:61" x14ac:dyDescent="0.25">
      <c r="A1175" s="62" t="s">
        <v>583</v>
      </c>
      <c r="B1175" s="62" t="s">
        <v>583</v>
      </c>
      <c r="C1175" s="63"/>
      <c r="D1175" s="64"/>
      <c r="E1175" s="65"/>
      <c r="F1175" s="66"/>
      <c r="G1175" s="63"/>
      <c r="H1175" s="67"/>
      <c r="I1175" s="68"/>
      <c r="J1175" s="68"/>
      <c r="K1175" s="32"/>
      <c r="L1175" s="75">
        <v>1175</v>
      </c>
      <c r="M1175" s="75"/>
      <c r="N1175" s="70"/>
      <c r="O1175" s="77" t="s">
        <v>179</v>
      </c>
      <c r="P1175" s="79">
        <v>44943.777962962966</v>
      </c>
      <c r="Q1175" s="77" t="s">
        <v>2268</v>
      </c>
      <c r="R1175" s="77">
        <v>0</v>
      </c>
      <c r="S1175" s="77">
        <v>4</v>
      </c>
      <c r="T1175" s="77">
        <v>0</v>
      </c>
      <c r="U1175" s="77">
        <v>1</v>
      </c>
      <c r="V1175" s="77">
        <v>172</v>
      </c>
      <c r="W1175" s="82" t="s">
        <v>4883</v>
      </c>
      <c r="X1175" s="77"/>
      <c r="Y1175" s="77"/>
      <c r="Z1175" s="77"/>
      <c r="AA1175" s="77" t="s">
        <v>6897</v>
      </c>
      <c r="AB1175" s="77" t="s">
        <v>7697</v>
      </c>
      <c r="AC1175" s="82" t="s">
        <v>7705</v>
      </c>
      <c r="AD1175" s="77" t="s">
        <v>7745</v>
      </c>
      <c r="AE1175" s="80" t="str">
        <f>HYPERLINK("https://twitter.com/alfainvestidor1/status/1615418745522126848")</f>
        <v>https://twitter.com/alfainvestidor1/status/1615418745522126848</v>
      </c>
      <c r="AF1175" s="79">
        <v>44943.777962962966</v>
      </c>
      <c r="AG1175" s="85">
        <v>44943</v>
      </c>
      <c r="AH1175" s="82" t="s">
        <v>8802</v>
      </c>
      <c r="AI1175" s="77" t="b">
        <v>0</v>
      </c>
      <c r="AJ1175" s="77"/>
      <c r="AK1175" s="77"/>
      <c r="AL1175" s="77"/>
      <c r="AM1175" s="77"/>
      <c r="AN1175" s="77"/>
      <c r="AO1175" s="77"/>
      <c r="AP1175" s="77"/>
      <c r="AQ1175" s="77" t="s">
        <v>11404</v>
      </c>
      <c r="AR1175" s="77">
        <v>45008</v>
      </c>
      <c r="AS1175" s="77"/>
      <c r="AT1175" s="77"/>
      <c r="AU1175" s="77">
        <v>46</v>
      </c>
      <c r="AV1175" s="80" t="str">
        <f>HYPERLINK("https://pbs.twimg.com/ext_tw_video_thumb/1615418682133385246/pu/img/UkMDTBaSUlv5p0kA.jpg")</f>
        <v>https://pbs.twimg.com/ext_tw_video_thumb/1615418682133385246/pu/img/UkMDTBaSUlv5p0kA.jpg</v>
      </c>
      <c r="AW1175" s="82" t="s">
        <v>13357</v>
      </c>
      <c r="AX1175" s="82" t="s">
        <v>13357</v>
      </c>
      <c r="AY1175" s="77"/>
      <c r="AZ1175" s="82" t="s">
        <v>15804</v>
      </c>
      <c r="BA1175" s="82" t="s">
        <v>15804</v>
      </c>
      <c r="BB1175" s="82" t="s">
        <v>15804</v>
      </c>
      <c r="BC1175" s="82" t="s">
        <v>13357</v>
      </c>
      <c r="BD1175" s="82" t="s">
        <v>16341</v>
      </c>
      <c r="BE1175" s="77"/>
      <c r="BF1175" s="77"/>
      <c r="BG1175" s="77"/>
      <c r="BH1175" s="77"/>
      <c r="BI1175" s="77"/>
    </row>
    <row r="1176" spans="1:61" x14ac:dyDescent="0.25">
      <c r="A1176" s="62" t="s">
        <v>584</v>
      </c>
      <c r="B1176" s="62" t="s">
        <v>583</v>
      </c>
      <c r="C1176" s="63"/>
      <c r="D1176" s="64"/>
      <c r="E1176" s="65"/>
      <c r="F1176" s="66"/>
      <c r="G1176" s="63"/>
      <c r="H1176" s="67"/>
      <c r="I1176" s="68"/>
      <c r="J1176" s="68"/>
      <c r="K1176" s="32"/>
      <c r="L1176" s="75">
        <v>1176</v>
      </c>
      <c r="M1176" s="75"/>
      <c r="N1176" s="70"/>
      <c r="O1176" s="77" t="s">
        <v>1133</v>
      </c>
      <c r="P1176" s="79">
        <v>44933.682060185187</v>
      </c>
      <c r="Q1176" s="77" t="s">
        <v>2269</v>
      </c>
      <c r="R1176" s="77">
        <v>0</v>
      </c>
      <c r="S1176" s="77">
        <v>1</v>
      </c>
      <c r="T1176" s="77">
        <v>0</v>
      </c>
      <c r="U1176" s="77">
        <v>0</v>
      </c>
      <c r="V1176" s="77">
        <v>37</v>
      </c>
      <c r="W1176" s="82" t="s">
        <v>4884</v>
      </c>
      <c r="X1176" s="77"/>
      <c r="Y1176" s="77"/>
      <c r="Z1176" s="77" t="s">
        <v>583</v>
      </c>
      <c r="AA1176" s="77"/>
      <c r="AB1176" s="77"/>
      <c r="AC1176" s="82" t="s">
        <v>7705</v>
      </c>
      <c r="AD1176" s="77" t="s">
        <v>7751</v>
      </c>
      <c r="AE1176" s="80" t="str">
        <f>HYPERLINK("https://twitter.com/carlos_domini/status/1611760111369785344")</f>
        <v>https://twitter.com/carlos_domini/status/1611760111369785344</v>
      </c>
      <c r="AF1176" s="79">
        <v>44933.682060185187</v>
      </c>
      <c r="AG1176" s="85">
        <v>44933</v>
      </c>
      <c r="AH1176" s="82" t="s">
        <v>8803</v>
      </c>
      <c r="AI1176" s="77"/>
      <c r="AJ1176" s="77"/>
      <c r="AK1176" s="77"/>
      <c r="AL1176" s="77"/>
      <c r="AM1176" s="77"/>
      <c r="AN1176" s="77"/>
      <c r="AO1176" s="77"/>
      <c r="AP1176" s="77"/>
      <c r="AQ1176" s="77"/>
      <c r="AR1176" s="77"/>
      <c r="AS1176" s="77"/>
      <c r="AT1176" s="77"/>
      <c r="AU1176" s="77"/>
      <c r="AV1176" s="80" t="str">
        <f>HYPERLINK("https://pbs.twimg.com/profile_images/1108562049829879808/lzMX_Y8h_normal.jpg")</f>
        <v>https://pbs.twimg.com/profile_images/1108562049829879808/lzMX_Y8h_normal.jpg</v>
      </c>
      <c r="AW1176" s="82" t="s">
        <v>13358</v>
      </c>
      <c r="AX1176" s="82" t="s">
        <v>13358</v>
      </c>
      <c r="AY1176" s="77"/>
      <c r="AZ1176" s="82" t="s">
        <v>15804</v>
      </c>
      <c r="BA1176" s="82" t="s">
        <v>15804</v>
      </c>
      <c r="BB1176" s="82" t="s">
        <v>15804</v>
      </c>
      <c r="BC1176" s="82" t="s">
        <v>13358</v>
      </c>
      <c r="BD1176" s="77">
        <v>487144994</v>
      </c>
      <c r="BE1176" s="77"/>
      <c r="BF1176" s="77"/>
      <c r="BG1176" s="77"/>
      <c r="BH1176" s="77"/>
      <c r="BI1176" s="77"/>
    </row>
    <row r="1177" spans="1:61" x14ac:dyDescent="0.25">
      <c r="A1177" s="62" t="s">
        <v>585</v>
      </c>
      <c r="B1177" s="62" t="s">
        <v>585</v>
      </c>
      <c r="C1177" s="63"/>
      <c r="D1177" s="64"/>
      <c r="E1177" s="65"/>
      <c r="F1177" s="66"/>
      <c r="G1177" s="63"/>
      <c r="H1177" s="67"/>
      <c r="I1177" s="68"/>
      <c r="J1177" s="68"/>
      <c r="K1177" s="32"/>
      <c r="L1177" s="75">
        <v>1177</v>
      </c>
      <c r="M1177" s="75"/>
      <c r="N1177" s="70"/>
      <c r="O1177" s="77" t="s">
        <v>179</v>
      </c>
      <c r="P1177" s="79">
        <v>45025.090300925927</v>
      </c>
      <c r="Q1177" s="77" t="s">
        <v>2270</v>
      </c>
      <c r="R1177" s="77">
        <v>0</v>
      </c>
      <c r="S1177" s="77">
        <v>2</v>
      </c>
      <c r="T1177" s="77">
        <v>0</v>
      </c>
      <c r="U1177" s="77">
        <v>0</v>
      </c>
      <c r="V1177" s="77">
        <v>588</v>
      </c>
      <c r="W1177" s="82" t="s">
        <v>4885</v>
      </c>
      <c r="X1177" s="77"/>
      <c r="Y1177" s="77"/>
      <c r="Z1177" s="77"/>
      <c r="AA1177" s="77" t="s">
        <v>6898</v>
      </c>
      <c r="AB1177" s="77" t="s">
        <v>7696</v>
      </c>
      <c r="AC1177" s="82" t="s">
        <v>7707</v>
      </c>
      <c r="AD1177" s="77" t="s">
        <v>7745</v>
      </c>
      <c r="AE1177" s="80" t="str">
        <f>HYPERLINK("https://twitter.com/eabs86/status/1644885350634991618")</f>
        <v>https://twitter.com/eabs86/status/1644885350634991618</v>
      </c>
      <c r="AF1177" s="79">
        <v>45025.090300925927</v>
      </c>
      <c r="AG1177" s="85">
        <v>45025</v>
      </c>
      <c r="AH1177" s="82" t="s">
        <v>8804</v>
      </c>
      <c r="AI1177" s="77" t="b">
        <v>0</v>
      </c>
      <c r="AJ1177" s="77"/>
      <c r="AK1177" s="77"/>
      <c r="AL1177" s="77"/>
      <c r="AM1177" s="77"/>
      <c r="AN1177" s="77"/>
      <c r="AO1177" s="77"/>
      <c r="AP1177" s="77"/>
      <c r="AQ1177" s="77" t="s">
        <v>11405</v>
      </c>
      <c r="AR1177" s="77"/>
      <c r="AS1177" s="77"/>
      <c r="AT1177" s="77"/>
      <c r="AU1177" s="77"/>
      <c r="AV1177" s="80" t="str">
        <f>HYPERLINK("https://pbs.twimg.com/media/FtPOgirXsAA5h_V.png")</f>
        <v>https://pbs.twimg.com/media/FtPOgirXsAA5h_V.png</v>
      </c>
      <c r="AW1177" s="82" t="s">
        <v>13359</v>
      </c>
      <c r="AX1177" s="82" t="s">
        <v>13359</v>
      </c>
      <c r="AY1177" s="77"/>
      <c r="AZ1177" s="82" t="s">
        <v>15804</v>
      </c>
      <c r="BA1177" s="82" t="s">
        <v>15804</v>
      </c>
      <c r="BB1177" s="82" t="s">
        <v>15804</v>
      </c>
      <c r="BC1177" s="82" t="s">
        <v>13359</v>
      </c>
      <c r="BD1177" s="77">
        <v>224813432</v>
      </c>
      <c r="BE1177" s="77"/>
      <c r="BF1177" s="77"/>
      <c r="BG1177" s="77"/>
      <c r="BH1177" s="77"/>
      <c r="BI1177" s="77"/>
    </row>
    <row r="1178" spans="1:61" x14ac:dyDescent="0.25">
      <c r="A1178" s="62" t="s">
        <v>586</v>
      </c>
      <c r="B1178" s="62" t="s">
        <v>586</v>
      </c>
      <c r="C1178" s="63"/>
      <c r="D1178" s="64"/>
      <c r="E1178" s="65"/>
      <c r="F1178" s="66"/>
      <c r="G1178" s="63"/>
      <c r="H1178" s="67"/>
      <c r="I1178" s="68"/>
      <c r="J1178" s="68"/>
      <c r="K1178" s="32"/>
      <c r="L1178" s="75">
        <v>1178</v>
      </c>
      <c r="M1178" s="75"/>
      <c r="N1178" s="70"/>
      <c r="O1178" s="77" t="s">
        <v>179</v>
      </c>
      <c r="P1178" s="79">
        <v>44929.739699074074</v>
      </c>
      <c r="Q1178" s="77" t="s">
        <v>2271</v>
      </c>
      <c r="R1178" s="77">
        <v>0</v>
      </c>
      <c r="S1178" s="77">
        <v>0</v>
      </c>
      <c r="T1178" s="77">
        <v>0</v>
      </c>
      <c r="U1178" s="77">
        <v>0</v>
      </c>
      <c r="V1178" s="77">
        <v>22</v>
      </c>
      <c r="W1178" s="82" t="s">
        <v>4886</v>
      </c>
      <c r="X1178" s="77"/>
      <c r="Y1178" s="77"/>
      <c r="Z1178" s="77"/>
      <c r="AA1178" s="77"/>
      <c r="AB1178" s="77"/>
      <c r="AC1178" s="82" t="s">
        <v>7705</v>
      </c>
      <c r="AD1178" s="77" t="s">
        <v>7745</v>
      </c>
      <c r="AE1178" s="80" t="str">
        <f>HYPERLINK("https://twitter.com/beltrameotavio/status/1610331450024382466")</f>
        <v>https://twitter.com/beltrameotavio/status/1610331450024382466</v>
      </c>
      <c r="AF1178" s="79">
        <v>44929.739699074074</v>
      </c>
      <c r="AG1178" s="85">
        <v>44929</v>
      </c>
      <c r="AH1178" s="82" t="s">
        <v>8805</v>
      </c>
      <c r="AI1178" s="77"/>
      <c r="AJ1178" s="77"/>
      <c r="AK1178" s="77"/>
      <c r="AL1178" s="77"/>
      <c r="AM1178" s="77"/>
      <c r="AN1178" s="77"/>
      <c r="AO1178" s="77"/>
      <c r="AP1178" s="77"/>
      <c r="AQ1178" s="77"/>
      <c r="AR1178" s="77"/>
      <c r="AS1178" s="77"/>
      <c r="AT1178" s="77"/>
      <c r="AU1178" s="77"/>
      <c r="AV1178" s="80" t="str">
        <f>HYPERLINK("https://pbs.twimg.com/profile_images/1598823224434884615/lhIKa3T__normal.jpg")</f>
        <v>https://pbs.twimg.com/profile_images/1598823224434884615/lhIKa3T__normal.jpg</v>
      </c>
      <c r="AW1178" s="82" t="s">
        <v>13360</v>
      </c>
      <c r="AX1178" s="82" t="s">
        <v>13360</v>
      </c>
      <c r="AY1178" s="77"/>
      <c r="AZ1178" s="82" t="s">
        <v>15804</v>
      </c>
      <c r="BA1178" s="82" t="s">
        <v>15804</v>
      </c>
      <c r="BB1178" s="82" t="s">
        <v>15804</v>
      </c>
      <c r="BC1178" s="82" t="s">
        <v>13360</v>
      </c>
      <c r="BD1178" s="82" t="s">
        <v>16342</v>
      </c>
      <c r="BE1178" s="77"/>
      <c r="BF1178" s="77"/>
      <c r="BG1178" s="77"/>
      <c r="BH1178" s="77"/>
      <c r="BI1178" s="77"/>
    </row>
    <row r="1179" spans="1:61" x14ac:dyDescent="0.25">
      <c r="A1179" s="62" t="s">
        <v>587</v>
      </c>
      <c r="B1179" s="62" t="s">
        <v>587</v>
      </c>
      <c r="C1179" s="63"/>
      <c r="D1179" s="64"/>
      <c r="E1179" s="65"/>
      <c r="F1179" s="66"/>
      <c r="G1179" s="63"/>
      <c r="H1179" s="67"/>
      <c r="I1179" s="68"/>
      <c r="J1179" s="68"/>
      <c r="K1179" s="32"/>
      <c r="L1179" s="75">
        <v>1179</v>
      </c>
      <c r="M1179" s="75"/>
      <c r="N1179" s="70"/>
      <c r="O1179" s="77" t="s">
        <v>179</v>
      </c>
      <c r="P1179" s="79">
        <v>45062.48196759259</v>
      </c>
      <c r="Q1179" s="77" t="s">
        <v>2272</v>
      </c>
      <c r="R1179" s="77">
        <v>0</v>
      </c>
      <c r="S1179" s="77">
        <v>1</v>
      </c>
      <c r="T1179" s="77">
        <v>0</v>
      </c>
      <c r="U1179" s="77">
        <v>0</v>
      </c>
      <c r="V1179" s="77">
        <v>22</v>
      </c>
      <c r="W1179" s="82" t="s">
        <v>4887</v>
      </c>
      <c r="X1179" s="77"/>
      <c r="Y1179" s="77"/>
      <c r="Z1179" s="77"/>
      <c r="AA1179" s="77" t="s">
        <v>6899</v>
      </c>
      <c r="AB1179" s="77" t="s">
        <v>7696</v>
      </c>
      <c r="AC1179" s="82" t="s">
        <v>7705</v>
      </c>
      <c r="AD1179" s="77" t="s">
        <v>7745</v>
      </c>
      <c r="AE1179" s="80" t="str">
        <f>HYPERLINK("https://twitter.com/igor_vieiraa/status/1658435634506104832")</f>
        <v>https://twitter.com/igor_vieiraa/status/1658435634506104832</v>
      </c>
      <c r="AF1179" s="79">
        <v>45062.48196759259</v>
      </c>
      <c r="AG1179" s="85">
        <v>45062</v>
      </c>
      <c r="AH1179" s="82" t="s">
        <v>8806</v>
      </c>
      <c r="AI1179" s="77" t="b">
        <v>0</v>
      </c>
      <c r="AJ1179" s="77"/>
      <c r="AK1179" s="77"/>
      <c r="AL1179" s="77"/>
      <c r="AM1179" s="77"/>
      <c r="AN1179" s="77"/>
      <c r="AO1179" s="77"/>
      <c r="AP1179" s="77"/>
      <c r="AQ1179" s="77" t="s">
        <v>11406</v>
      </c>
      <c r="AR1179" s="77"/>
      <c r="AS1179" s="77"/>
      <c r="AT1179" s="77"/>
      <c r="AU1179" s="77"/>
      <c r="AV1179" s="80" t="str">
        <f>HYPERLINK("https://pbs.twimg.com/media/FwPyarYXsAIKtHm.jpg")</f>
        <v>https://pbs.twimg.com/media/FwPyarYXsAIKtHm.jpg</v>
      </c>
      <c r="AW1179" s="82" t="s">
        <v>13361</v>
      </c>
      <c r="AX1179" s="82" t="s">
        <v>13361</v>
      </c>
      <c r="AY1179" s="77"/>
      <c r="AZ1179" s="82" t="s">
        <v>15804</v>
      </c>
      <c r="BA1179" s="82" t="s">
        <v>15804</v>
      </c>
      <c r="BB1179" s="82" t="s">
        <v>15804</v>
      </c>
      <c r="BC1179" s="82" t="s">
        <v>13361</v>
      </c>
      <c r="BD1179" s="77">
        <v>292867857</v>
      </c>
      <c r="BE1179" s="77"/>
      <c r="BF1179" s="77"/>
      <c r="BG1179" s="77"/>
      <c r="BH1179" s="77"/>
      <c r="BI1179" s="77"/>
    </row>
    <row r="1180" spans="1:61" x14ac:dyDescent="0.25">
      <c r="A1180" s="62" t="s">
        <v>587</v>
      </c>
      <c r="B1180" s="62" t="s">
        <v>587</v>
      </c>
      <c r="C1180" s="63"/>
      <c r="D1180" s="64"/>
      <c r="E1180" s="65"/>
      <c r="F1180" s="66"/>
      <c r="G1180" s="63"/>
      <c r="H1180" s="67"/>
      <c r="I1180" s="68"/>
      <c r="J1180" s="68"/>
      <c r="K1180" s="32"/>
      <c r="L1180" s="75">
        <v>1180</v>
      </c>
      <c r="M1180" s="75"/>
      <c r="N1180" s="70"/>
      <c r="O1180" s="77" t="s">
        <v>179</v>
      </c>
      <c r="P1180" s="79">
        <v>45067.960532407407</v>
      </c>
      <c r="Q1180" s="77" t="s">
        <v>2273</v>
      </c>
      <c r="R1180" s="77">
        <v>0</v>
      </c>
      <c r="S1180" s="77">
        <v>1</v>
      </c>
      <c r="T1180" s="77">
        <v>0</v>
      </c>
      <c r="U1180" s="77">
        <v>0</v>
      </c>
      <c r="V1180" s="77">
        <v>53</v>
      </c>
      <c r="W1180" s="82" t="s">
        <v>4888</v>
      </c>
      <c r="X1180" s="77"/>
      <c r="Y1180" s="77"/>
      <c r="Z1180" s="77"/>
      <c r="AA1180" s="77" t="s">
        <v>6900</v>
      </c>
      <c r="AB1180" s="77" t="s">
        <v>7697</v>
      </c>
      <c r="AC1180" s="82" t="s">
        <v>7705</v>
      </c>
      <c r="AD1180" s="77" t="s">
        <v>7745</v>
      </c>
      <c r="AE1180" s="80" t="str">
        <f>HYPERLINK("https://twitter.com/igor_vieiraa/status/1660421001073549313")</f>
        <v>https://twitter.com/igor_vieiraa/status/1660421001073549313</v>
      </c>
      <c r="AF1180" s="79">
        <v>45067.960532407407</v>
      </c>
      <c r="AG1180" s="85">
        <v>45067</v>
      </c>
      <c r="AH1180" s="82" t="s">
        <v>8807</v>
      </c>
      <c r="AI1180" s="77" t="b">
        <v>0</v>
      </c>
      <c r="AJ1180" s="77" t="s">
        <v>10537</v>
      </c>
      <c r="AK1180" s="77" t="s">
        <v>10552</v>
      </c>
      <c r="AL1180" s="77" t="s">
        <v>10555</v>
      </c>
      <c r="AM1180" s="77" t="s">
        <v>10574</v>
      </c>
      <c r="AN1180" s="77" t="s">
        <v>10604</v>
      </c>
      <c r="AO1180" s="77" t="s">
        <v>10635</v>
      </c>
      <c r="AP1180" s="77" t="s">
        <v>10649</v>
      </c>
      <c r="AQ1180" s="77" t="s">
        <v>11407</v>
      </c>
      <c r="AR1180" s="77">
        <v>59944</v>
      </c>
      <c r="AS1180" s="77"/>
      <c r="AT1180" s="77"/>
      <c r="AU1180" s="77">
        <v>16</v>
      </c>
      <c r="AV1180" s="80" t="str">
        <f>HYPERLINK("https://pbs.twimg.com/ext_tw_video_thumb/1660420956861485058/pu/img/u9DionHS4L6jk1pB.jpg")</f>
        <v>https://pbs.twimg.com/ext_tw_video_thumb/1660420956861485058/pu/img/u9DionHS4L6jk1pB.jpg</v>
      </c>
      <c r="AW1180" s="82" t="s">
        <v>13362</v>
      </c>
      <c r="AX1180" s="82" t="s">
        <v>13362</v>
      </c>
      <c r="AY1180" s="77"/>
      <c r="AZ1180" s="82" t="s">
        <v>15804</v>
      </c>
      <c r="BA1180" s="82" t="s">
        <v>15804</v>
      </c>
      <c r="BB1180" s="82" t="s">
        <v>15804</v>
      </c>
      <c r="BC1180" s="82" t="s">
        <v>13362</v>
      </c>
      <c r="BD1180" s="77">
        <v>292867857</v>
      </c>
      <c r="BE1180" s="77"/>
      <c r="BF1180" s="77"/>
      <c r="BG1180" s="77"/>
      <c r="BH1180" s="77"/>
      <c r="BI1180" s="77"/>
    </row>
    <row r="1181" spans="1:61" x14ac:dyDescent="0.25">
      <c r="A1181" s="62" t="s">
        <v>587</v>
      </c>
      <c r="B1181" s="62" t="s">
        <v>587</v>
      </c>
      <c r="C1181" s="63"/>
      <c r="D1181" s="64"/>
      <c r="E1181" s="65"/>
      <c r="F1181" s="66"/>
      <c r="G1181" s="63"/>
      <c r="H1181" s="67"/>
      <c r="I1181" s="68"/>
      <c r="J1181" s="68"/>
      <c r="K1181" s="32"/>
      <c r="L1181" s="75">
        <v>1181</v>
      </c>
      <c r="M1181" s="75"/>
      <c r="N1181" s="70"/>
      <c r="O1181" s="77" t="s">
        <v>179</v>
      </c>
      <c r="P1181" s="79">
        <v>45067.829745370371</v>
      </c>
      <c r="Q1181" s="77" t="s">
        <v>2274</v>
      </c>
      <c r="R1181" s="77">
        <v>0</v>
      </c>
      <c r="S1181" s="77">
        <v>1</v>
      </c>
      <c r="T1181" s="77">
        <v>0</v>
      </c>
      <c r="U1181" s="77">
        <v>0</v>
      </c>
      <c r="V1181" s="77">
        <v>22</v>
      </c>
      <c r="W1181" s="82" t="s">
        <v>4889</v>
      </c>
      <c r="X1181" s="77"/>
      <c r="Y1181" s="77"/>
      <c r="Z1181" s="77"/>
      <c r="AA1181" s="77" t="s">
        <v>6901</v>
      </c>
      <c r="AB1181" s="77" t="s">
        <v>7697</v>
      </c>
      <c r="AC1181" s="82" t="s">
        <v>7705</v>
      </c>
      <c r="AD1181" s="77" t="s">
        <v>7745</v>
      </c>
      <c r="AE1181" s="80" t="str">
        <f>HYPERLINK("https://twitter.com/igor_vieiraa/status/1660373604557570049")</f>
        <v>https://twitter.com/igor_vieiraa/status/1660373604557570049</v>
      </c>
      <c r="AF1181" s="79">
        <v>45067.829745370371</v>
      </c>
      <c r="AG1181" s="85">
        <v>45067</v>
      </c>
      <c r="AH1181" s="82" t="s">
        <v>8808</v>
      </c>
      <c r="AI1181" s="77" t="b">
        <v>0</v>
      </c>
      <c r="AJ1181" s="77" t="s">
        <v>10537</v>
      </c>
      <c r="AK1181" s="77" t="s">
        <v>10552</v>
      </c>
      <c r="AL1181" s="77" t="s">
        <v>10555</v>
      </c>
      <c r="AM1181" s="77" t="s">
        <v>10574</v>
      </c>
      <c r="AN1181" s="77" t="s">
        <v>10604</v>
      </c>
      <c r="AO1181" s="77" t="s">
        <v>10635</v>
      </c>
      <c r="AP1181" s="77" t="s">
        <v>10649</v>
      </c>
      <c r="AQ1181" s="77" t="s">
        <v>11408</v>
      </c>
      <c r="AR1181" s="77">
        <v>60008</v>
      </c>
      <c r="AS1181" s="77"/>
      <c r="AT1181" s="77"/>
      <c r="AU1181" s="77">
        <v>6</v>
      </c>
      <c r="AV1181" s="80" t="str">
        <f>HYPERLINK("https://pbs.twimg.com/ext_tw_video_thumb/1660373558973943808/pu/img/48UKz7M5oCrvpss5.jpg")</f>
        <v>https://pbs.twimg.com/ext_tw_video_thumb/1660373558973943808/pu/img/48UKz7M5oCrvpss5.jpg</v>
      </c>
      <c r="AW1181" s="82" t="s">
        <v>13363</v>
      </c>
      <c r="AX1181" s="82" t="s">
        <v>13363</v>
      </c>
      <c r="AY1181" s="77"/>
      <c r="AZ1181" s="82" t="s">
        <v>15804</v>
      </c>
      <c r="BA1181" s="82" t="s">
        <v>15804</v>
      </c>
      <c r="BB1181" s="82" t="s">
        <v>15804</v>
      </c>
      <c r="BC1181" s="82" t="s">
        <v>13363</v>
      </c>
      <c r="BD1181" s="77">
        <v>292867857</v>
      </c>
      <c r="BE1181" s="77"/>
      <c r="BF1181" s="77"/>
      <c r="BG1181" s="77"/>
      <c r="BH1181" s="77"/>
      <c r="BI1181" s="77"/>
    </row>
    <row r="1182" spans="1:61" x14ac:dyDescent="0.25">
      <c r="A1182" s="62" t="s">
        <v>587</v>
      </c>
      <c r="B1182" s="62" t="s">
        <v>587</v>
      </c>
      <c r="C1182" s="63"/>
      <c r="D1182" s="64"/>
      <c r="E1182" s="65"/>
      <c r="F1182" s="66"/>
      <c r="G1182" s="63"/>
      <c r="H1182" s="67"/>
      <c r="I1182" s="68"/>
      <c r="J1182" s="68"/>
      <c r="K1182" s="32"/>
      <c r="L1182" s="75">
        <v>1182</v>
      </c>
      <c r="M1182" s="75"/>
      <c r="N1182" s="70"/>
      <c r="O1182" s="77" t="s">
        <v>179</v>
      </c>
      <c r="P1182" s="79">
        <v>45069.696967592594</v>
      </c>
      <c r="Q1182" s="77" t="s">
        <v>2275</v>
      </c>
      <c r="R1182" s="77">
        <v>0</v>
      </c>
      <c r="S1182" s="77">
        <v>1</v>
      </c>
      <c r="T1182" s="77">
        <v>0</v>
      </c>
      <c r="U1182" s="77">
        <v>0</v>
      </c>
      <c r="V1182" s="77">
        <v>8</v>
      </c>
      <c r="W1182" s="82" t="s">
        <v>4890</v>
      </c>
      <c r="X1182" s="77"/>
      <c r="Y1182" s="77"/>
      <c r="Z1182" s="77"/>
      <c r="AA1182" s="77" t="s">
        <v>6902</v>
      </c>
      <c r="AB1182" s="77" t="s">
        <v>7696</v>
      </c>
      <c r="AC1182" s="82" t="s">
        <v>7705</v>
      </c>
      <c r="AD1182" s="77" t="s">
        <v>7745</v>
      </c>
      <c r="AE1182" s="80" t="str">
        <f>HYPERLINK("https://twitter.com/igor_vieiraa/status/1661050265485688849")</f>
        <v>https://twitter.com/igor_vieiraa/status/1661050265485688849</v>
      </c>
      <c r="AF1182" s="79">
        <v>45069.696967592594</v>
      </c>
      <c r="AG1182" s="85">
        <v>45069</v>
      </c>
      <c r="AH1182" s="82" t="s">
        <v>8809</v>
      </c>
      <c r="AI1182" s="77" t="b">
        <v>0</v>
      </c>
      <c r="AJ1182" s="77"/>
      <c r="AK1182" s="77"/>
      <c r="AL1182" s="77"/>
      <c r="AM1182" s="77"/>
      <c r="AN1182" s="77"/>
      <c r="AO1182" s="77"/>
      <c r="AP1182" s="77"/>
      <c r="AQ1182" s="77" t="s">
        <v>11409</v>
      </c>
      <c r="AR1182" s="77"/>
      <c r="AS1182" s="77"/>
      <c r="AT1182" s="77"/>
      <c r="AU1182" s="77"/>
      <c r="AV1182" s="80" t="str">
        <f>HYPERLINK("https://pbs.twimg.com/media/Fw08ZblXwAsBnIT.jpg")</f>
        <v>https://pbs.twimg.com/media/Fw08ZblXwAsBnIT.jpg</v>
      </c>
      <c r="AW1182" s="82" t="s">
        <v>13364</v>
      </c>
      <c r="AX1182" s="82" t="s">
        <v>13364</v>
      </c>
      <c r="AY1182" s="77"/>
      <c r="AZ1182" s="82" t="s">
        <v>15804</v>
      </c>
      <c r="BA1182" s="82" t="s">
        <v>15804</v>
      </c>
      <c r="BB1182" s="82" t="s">
        <v>15804</v>
      </c>
      <c r="BC1182" s="82" t="s">
        <v>13364</v>
      </c>
      <c r="BD1182" s="77">
        <v>292867857</v>
      </c>
      <c r="BE1182" s="77"/>
      <c r="BF1182" s="77"/>
      <c r="BG1182" s="77"/>
      <c r="BH1182" s="77"/>
      <c r="BI1182" s="77"/>
    </row>
    <row r="1183" spans="1:61" x14ac:dyDescent="0.25">
      <c r="A1183" s="62" t="s">
        <v>587</v>
      </c>
      <c r="B1183" s="62" t="s">
        <v>587</v>
      </c>
      <c r="C1183" s="63"/>
      <c r="D1183" s="64"/>
      <c r="E1183" s="65"/>
      <c r="F1183" s="66"/>
      <c r="G1183" s="63"/>
      <c r="H1183" s="67"/>
      <c r="I1183" s="68"/>
      <c r="J1183" s="68"/>
      <c r="K1183" s="32"/>
      <c r="L1183" s="75">
        <v>1183</v>
      </c>
      <c r="M1183" s="75"/>
      <c r="N1183" s="70"/>
      <c r="O1183" s="77" t="s">
        <v>179</v>
      </c>
      <c r="P1183" s="79">
        <v>45102.972974537035</v>
      </c>
      <c r="Q1183" s="77" t="s">
        <v>2276</v>
      </c>
      <c r="R1183" s="77">
        <v>0</v>
      </c>
      <c r="S1183" s="77">
        <v>1</v>
      </c>
      <c r="T1183" s="77">
        <v>0</v>
      </c>
      <c r="U1183" s="77">
        <v>0</v>
      </c>
      <c r="V1183" s="77">
        <v>38</v>
      </c>
      <c r="W1183" s="82" t="s">
        <v>4891</v>
      </c>
      <c r="X1183" s="77"/>
      <c r="Y1183" s="77"/>
      <c r="Z1183" s="77"/>
      <c r="AA1183" s="77" t="s">
        <v>6903</v>
      </c>
      <c r="AB1183" s="77" t="s">
        <v>7696</v>
      </c>
      <c r="AC1183" s="82" t="s">
        <v>7705</v>
      </c>
      <c r="AD1183" s="77" t="s">
        <v>7745</v>
      </c>
      <c r="AE1183" s="80" t="str">
        <f>HYPERLINK("https://twitter.com/igor_vieiraa/status/1673109084608798721")</f>
        <v>https://twitter.com/igor_vieiraa/status/1673109084608798721</v>
      </c>
      <c r="AF1183" s="79">
        <v>45102.972974537035</v>
      </c>
      <c r="AG1183" s="85">
        <v>45102</v>
      </c>
      <c r="AH1183" s="82" t="s">
        <v>8810</v>
      </c>
      <c r="AI1183" s="77" t="b">
        <v>0</v>
      </c>
      <c r="AJ1183" s="77"/>
      <c r="AK1183" s="77"/>
      <c r="AL1183" s="77"/>
      <c r="AM1183" s="77"/>
      <c r="AN1183" s="77"/>
      <c r="AO1183" s="77"/>
      <c r="AP1183" s="77"/>
      <c r="AQ1183" s="77" t="s">
        <v>11410</v>
      </c>
      <c r="AR1183" s="77"/>
      <c r="AS1183" s="77"/>
      <c r="AT1183" s="77"/>
      <c r="AU1183" s="77"/>
      <c r="AV1183" s="80" t="str">
        <f>HYPERLINK("https://pbs.twimg.com/media/FzgT14iWAAAst8r.jpg")</f>
        <v>https://pbs.twimg.com/media/FzgT14iWAAAst8r.jpg</v>
      </c>
      <c r="AW1183" s="82" t="s">
        <v>13365</v>
      </c>
      <c r="AX1183" s="82" t="s">
        <v>13365</v>
      </c>
      <c r="AY1183" s="77"/>
      <c r="AZ1183" s="82" t="s">
        <v>15804</v>
      </c>
      <c r="BA1183" s="82" t="s">
        <v>15804</v>
      </c>
      <c r="BB1183" s="82" t="s">
        <v>15804</v>
      </c>
      <c r="BC1183" s="82" t="s">
        <v>13365</v>
      </c>
      <c r="BD1183" s="77">
        <v>292867857</v>
      </c>
      <c r="BE1183" s="77"/>
      <c r="BF1183" s="77"/>
      <c r="BG1183" s="77"/>
      <c r="BH1183" s="77"/>
      <c r="BI1183" s="77"/>
    </row>
    <row r="1184" spans="1:61" x14ac:dyDescent="0.25">
      <c r="A1184" s="62" t="s">
        <v>588</v>
      </c>
      <c r="B1184" s="62" t="s">
        <v>588</v>
      </c>
      <c r="C1184" s="63"/>
      <c r="D1184" s="64"/>
      <c r="E1184" s="65"/>
      <c r="F1184" s="66"/>
      <c r="G1184" s="63"/>
      <c r="H1184" s="67"/>
      <c r="I1184" s="68"/>
      <c r="J1184" s="68"/>
      <c r="K1184" s="32"/>
      <c r="L1184" s="75">
        <v>1184</v>
      </c>
      <c r="M1184" s="75"/>
      <c r="N1184" s="70"/>
      <c r="O1184" s="77" t="s">
        <v>1132</v>
      </c>
      <c r="P1184" s="79">
        <v>44998.739722222221</v>
      </c>
      <c r="Q1184" s="77" t="s">
        <v>2277</v>
      </c>
      <c r="R1184" s="77">
        <v>0</v>
      </c>
      <c r="S1184" s="77">
        <v>0</v>
      </c>
      <c r="T1184" s="77">
        <v>1</v>
      </c>
      <c r="U1184" s="77">
        <v>0</v>
      </c>
      <c r="V1184" s="77">
        <v>33</v>
      </c>
      <c r="W1184" s="82" t="s">
        <v>4282</v>
      </c>
      <c r="X1184" s="77"/>
      <c r="Y1184" s="77"/>
      <c r="Z1184" s="77"/>
      <c r="AA1184" s="77"/>
      <c r="AB1184" s="77"/>
      <c r="AC1184" s="82" t="s">
        <v>7706</v>
      </c>
      <c r="AD1184" s="77" t="s">
        <v>7745</v>
      </c>
      <c r="AE1184" s="80" t="str">
        <f>HYPERLINK("https://twitter.com/futureproof_wma/status/1635336219155648514")</f>
        <v>https://twitter.com/futureproof_wma/status/1635336219155648514</v>
      </c>
      <c r="AF1184" s="79">
        <v>44998.739722222221</v>
      </c>
      <c r="AG1184" s="85">
        <v>44998</v>
      </c>
      <c r="AH1184" s="82" t="s">
        <v>8811</v>
      </c>
      <c r="AI1184" s="77"/>
      <c r="AJ1184" s="77"/>
      <c r="AK1184" s="77"/>
      <c r="AL1184" s="77"/>
      <c r="AM1184" s="77"/>
      <c r="AN1184" s="77"/>
      <c r="AO1184" s="77"/>
      <c r="AP1184" s="77"/>
      <c r="AQ1184" s="77"/>
      <c r="AR1184" s="77"/>
      <c r="AS1184" s="77"/>
      <c r="AT1184" s="77"/>
      <c r="AU1184" s="77"/>
      <c r="AV1184" s="80" t="str">
        <f>HYPERLINK("https://pbs.twimg.com/profile_images/1467928353193746440/s8MgFaKK_normal.jpg")</f>
        <v>https://pbs.twimg.com/profile_images/1467928353193746440/s8MgFaKK_normal.jpg</v>
      </c>
      <c r="AW1184" s="82" t="s">
        <v>13366</v>
      </c>
      <c r="AX1184" s="82" t="s">
        <v>15313</v>
      </c>
      <c r="AY1184" s="82" t="s">
        <v>15732</v>
      </c>
      <c r="AZ1184" s="82" t="s">
        <v>15313</v>
      </c>
      <c r="BA1184" s="82" t="s">
        <v>15804</v>
      </c>
      <c r="BB1184" s="82" t="s">
        <v>15804</v>
      </c>
      <c r="BC1184" s="82" t="s">
        <v>15313</v>
      </c>
      <c r="BD1184" s="82" t="s">
        <v>15732</v>
      </c>
      <c r="BE1184" s="77"/>
      <c r="BF1184" s="77"/>
      <c r="BG1184" s="77"/>
      <c r="BH1184" s="77"/>
      <c r="BI1184" s="77"/>
    </row>
    <row r="1185" spans="1:61" x14ac:dyDescent="0.25">
      <c r="A1185" s="62" t="s">
        <v>589</v>
      </c>
      <c r="B1185" s="62" t="s">
        <v>589</v>
      </c>
      <c r="C1185" s="63"/>
      <c r="D1185" s="64"/>
      <c r="E1185" s="65"/>
      <c r="F1185" s="66"/>
      <c r="G1185" s="63"/>
      <c r="H1185" s="67"/>
      <c r="I1185" s="68"/>
      <c r="J1185" s="68"/>
      <c r="K1185" s="32"/>
      <c r="L1185" s="75">
        <v>1185</v>
      </c>
      <c r="M1185" s="75"/>
      <c r="N1185" s="70"/>
      <c r="O1185" s="77" t="s">
        <v>179</v>
      </c>
      <c r="P1185" s="79">
        <v>45105.892418981479</v>
      </c>
      <c r="Q1185" s="77" t="s">
        <v>2278</v>
      </c>
      <c r="R1185" s="77">
        <v>0</v>
      </c>
      <c r="S1185" s="77">
        <v>0</v>
      </c>
      <c r="T1185" s="77">
        <v>0</v>
      </c>
      <c r="U1185" s="77">
        <v>0</v>
      </c>
      <c r="V1185" s="77">
        <v>7</v>
      </c>
      <c r="W1185" s="82" t="s">
        <v>4892</v>
      </c>
      <c r="X1185" s="77"/>
      <c r="Y1185" s="77"/>
      <c r="Z1185" s="77"/>
      <c r="AA1185" s="77"/>
      <c r="AB1185" s="77"/>
      <c r="AC1185" s="82" t="s">
        <v>7707</v>
      </c>
      <c r="AD1185" s="77" t="s">
        <v>7745</v>
      </c>
      <c r="AE1185" s="80" t="str">
        <f>HYPERLINK("https://twitter.com/inflamando/status/1674167056940269568")</f>
        <v>https://twitter.com/inflamando/status/1674167056940269568</v>
      </c>
      <c r="AF1185" s="79">
        <v>45105.892418981479</v>
      </c>
      <c r="AG1185" s="85">
        <v>45105</v>
      </c>
      <c r="AH1185" s="82" t="s">
        <v>8812</v>
      </c>
      <c r="AI1185" s="77"/>
      <c r="AJ1185" s="77"/>
      <c r="AK1185" s="77"/>
      <c r="AL1185" s="77"/>
      <c r="AM1185" s="77"/>
      <c r="AN1185" s="77"/>
      <c r="AO1185" s="77"/>
      <c r="AP1185" s="77"/>
      <c r="AQ1185" s="77"/>
      <c r="AR1185" s="77"/>
      <c r="AS1185" s="77"/>
      <c r="AT1185" s="77"/>
      <c r="AU1185" s="77"/>
      <c r="AV1185" s="80" t="str">
        <f>HYPERLINK("https://pbs.twimg.com/profile_images/1673450626372583427/_aqv0UWt_normal.jpg")</f>
        <v>https://pbs.twimg.com/profile_images/1673450626372583427/_aqv0UWt_normal.jpg</v>
      </c>
      <c r="AW1185" s="82" t="s">
        <v>13367</v>
      </c>
      <c r="AX1185" s="82" t="s">
        <v>13367</v>
      </c>
      <c r="AY1185" s="77"/>
      <c r="AZ1185" s="82" t="s">
        <v>15804</v>
      </c>
      <c r="BA1185" s="82" t="s">
        <v>15804</v>
      </c>
      <c r="BB1185" s="82" t="s">
        <v>15804</v>
      </c>
      <c r="BC1185" s="82" t="s">
        <v>13367</v>
      </c>
      <c r="BD1185" s="82" t="s">
        <v>16343</v>
      </c>
      <c r="BE1185" s="77"/>
      <c r="BF1185" s="77"/>
      <c r="BG1185" s="77"/>
      <c r="BH1185" s="77"/>
      <c r="BI1185" s="77"/>
    </row>
    <row r="1186" spans="1:61" x14ac:dyDescent="0.25">
      <c r="A1186" s="62" t="s">
        <v>590</v>
      </c>
      <c r="B1186" s="62" t="s">
        <v>590</v>
      </c>
      <c r="C1186" s="63"/>
      <c r="D1186" s="64"/>
      <c r="E1186" s="65"/>
      <c r="F1186" s="66"/>
      <c r="G1186" s="63"/>
      <c r="H1186" s="67"/>
      <c r="I1186" s="68"/>
      <c r="J1186" s="68"/>
      <c r="K1186" s="32"/>
      <c r="L1186" s="75">
        <v>1186</v>
      </c>
      <c r="M1186" s="75"/>
      <c r="N1186" s="70"/>
      <c r="O1186" s="77" t="s">
        <v>179</v>
      </c>
      <c r="P1186" s="79">
        <v>44929.896180555559</v>
      </c>
      <c r="Q1186" s="77" t="s">
        <v>2279</v>
      </c>
      <c r="R1186" s="77">
        <v>0</v>
      </c>
      <c r="S1186" s="77">
        <v>1</v>
      </c>
      <c r="T1186" s="77">
        <v>0</v>
      </c>
      <c r="U1186" s="77">
        <v>0</v>
      </c>
      <c r="V1186" s="77">
        <v>383</v>
      </c>
      <c r="W1186" s="82" t="s">
        <v>4160</v>
      </c>
      <c r="X1186" s="80" t="str">
        <f>HYPERLINK("https://www.jornaldocomercio.com/economia/2023/01/879493-organizacao-financeira-e-essencial-para-comecar-o-ano-recomendam-especialistas.html")</f>
        <v>https://www.jornaldocomercio.com/economia/2023/01/879493-organizacao-financeira-e-essencial-para-comecar-o-ano-recomendam-especialistas.html</v>
      </c>
      <c r="Y1186" s="77" t="s">
        <v>6064</v>
      </c>
      <c r="Z1186" s="77"/>
      <c r="AA1186" s="77"/>
      <c r="AB1186" s="77"/>
      <c r="AC1186" s="82" t="s">
        <v>7731</v>
      </c>
      <c r="AD1186" s="77" t="s">
        <v>7745</v>
      </c>
      <c r="AE1186" s="80" t="str">
        <f>HYPERLINK("https://twitter.com/jc_rs/status/1610388156393689089")</f>
        <v>https://twitter.com/jc_rs/status/1610388156393689089</v>
      </c>
      <c r="AF1186" s="79">
        <v>44929.896180555559</v>
      </c>
      <c r="AG1186" s="85">
        <v>44929</v>
      </c>
      <c r="AH1186" s="82" t="s">
        <v>8318</v>
      </c>
      <c r="AI1186" s="77" t="b">
        <v>0</v>
      </c>
      <c r="AJ1186" s="77"/>
      <c r="AK1186" s="77"/>
      <c r="AL1186" s="77"/>
      <c r="AM1186" s="77"/>
      <c r="AN1186" s="77"/>
      <c r="AO1186" s="77"/>
      <c r="AP1186" s="77"/>
      <c r="AQ1186" s="77"/>
      <c r="AR1186" s="77"/>
      <c r="AS1186" s="77"/>
      <c r="AT1186" s="77"/>
      <c r="AU1186" s="77"/>
      <c r="AV1186" s="80" t="str">
        <f>HYPERLINK("https://pbs.twimg.com/profile_images/1531317937075806210/7oEvwlvr_normal.jpg")</f>
        <v>https://pbs.twimg.com/profile_images/1531317937075806210/7oEvwlvr_normal.jpg</v>
      </c>
      <c r="AW1186" s="82" t="s">
        <v>13368</v>
      </c>
      <c r="AX1186" s="82" t="s">
        <v>13368</v>
      </c>
      <c r="AY1186" s="77"/>
      <c r="AZ1186" s="82" t="s">
        <v>15804</v>
      </c>
      <c r="BA1186" s="82" t="s">
        <v>15804</v>
      </c>
      <c r="BB1186" s="82" t="s">
        <v>15804</v>
      </c>
      <c r="BC1186" s="82" t="s">
        <v>13368</v>
      </c>
      <c r="BD1186" s="77">
        <v>17118982</v>
      </c>
      <c r="BE1186" s="77"/>
      <c r="BF1186" s="77"/>
      <c r="BG1186" s="77"/>
      <c r="BH1186" s="77"/>
      <c r="BI1186" s="77"/>
    </row>
    <row r="1187" spans="1:61" x14ac:dyDescent="0.25">
      <c r="A1187" s="62" t="s">
        <v>590</v>
      </c>
      <c r="B1187" s="62" t="s">
        <v>590</v>
      </c>
      <c r="C1187" s="63"/>
      <c r="D1187" s="64"/>
      <c r="E1187" s="65"/>
      <c r="F1187" s="66"/>
      <c r="G1187" s="63"/>
      <c r="H1187" s="67"/>
      <c r="I1187" s="68"/>
      <c r="J1187" s="68"/>
      <c r="K1187" s="32"/>
      <c r="L1187" s="75">
        <v>1187</v>
      </c>
      <c r="M1187" s="75"/>
      <c r="N1187" s="70"/>
      <c r="O1187" s="77" t="s">
        <v>179</v>
      </c>
      <c r="P1187" s="79">
        <v>45151.847222222219</v>
      </c>
      <c r="Q1187" s="77" t="s">
        <v>2280</v>
      </c>
      <c r="R1187" s="77">
        <v>1</v>
      </c>
      <c r="S1187" s="77">
        <v>0</v>
      </c>
      <c r="T1187" s="77">
        <v>0</v>
      </c>
      <c r="U1187" s="77">
        <v>0</v>
      </c>
      <c r="V1187" s="77">
        <v>346</v>
      </c>
      <c r="W1187" s="82" t="s">
        <v>4160</v>
      </c>
      <c r="X1187" s="80" t="str">
        <f>HYPERLINK("https://www.jornaldocomercio.com/economia/2023/08/1118996-serasa-na-estrada-negocia-mais-de-2-mil-dividas-em-porto-alegre.html")</f>
        <v>https://www.jornaldocomercio.com/economia/2023/08/1118996-serasa-na-estrada-negocia-mais-de-2-mil-dividas-em-porto-alegre.html</v>
      </c>
      <c r="Y1187" s="77" t="s">
        <v>6064</v>
      </c>
      <c r="Z1187" s="77"/>
      <c r="AA1187" s="77"/>
      <c r="AB1187" s="77"/>
      <c r="AC1187" s="82" t="s">
        <v>7713</v>
      </c>
      <c r="AD1187" s="77" t="s">
        <v>7745</v>
      </c>
      <c r="AE1187" s="80" t="str">
        <f>HYPERLINK("https://twitter.com/jc_rs/status/1690820518574788608")</f>
        <v>https://twitter.com/jc_rs/status/1690820518574788608</v>
      </c>
      <c r="AF1187" s="79">
        <v>45151.847222222219</v>
      </c>
      <c r="AG1187" s="85">
        <v>45151</v>
      </c>
      <c r="AH1187" s="82" t="s">
        <v>8813</v>
      </c>
      <c r="AI1187" s="77" t="b">
        <v>0</v>
      </c>
      <c r="AJ1187" s="77"/>
      <c r="AK1187" s="77"/>
      <c r="AL1187" s="77"/>
      <c r="AM1187" s="77"/>
      <c r="AN1187" s="77"/>
      <c r="AO1187" s="77"/>
      <c r="AP1187" s="77"/>
      <c r="AQ1187" s="77"/>
      <c r="AR1187" s="77"/>
      <c r="AS1187" s="77"/>
      <c r="AT1187" s="77"/>
      <c r="AU1187" s="77"/>
      <c r="AV1187" s="80" t="str">
        <f>HYPERLINK("https://pbs.twimg.com/profile_images/1531317937075806210/7oEvwlvr_normal.jpg")</f>
        <v>https://pbs.twimg.com/profile_images/1531317937075806210/7oEvwlvr_normal.jpg</v>
      </c>
      <c r="AW1187" s="82" t="s">
        <v>13369</v>
      </c>
      <c r="AX1187" s="82" t="s">
        <v>13369</v>
      </c>
      <c r="AY1187" s="77"/>
      <c r="AZ1187" s="82" t="s">
        <v>15804</v>
      </c>
      <c r="BA1187" s="82" t="s">
        <v>15804</v>
      </c>
      <c r="BB1187" s="82" t="s">
        <v>15804</v>
      </c>
      <c r="BC1187" s="82" t="s">
        <v>13369</v>
      </c>
      <c r="BD1187" s="77">
        <v>17118982</v>
      </c>
      <c r="BE1187" s="77"/>
      <c r="BF1187" s="77"/>
      <c r="BG1187" s="77"/>
      <c r="BH1187" s="77"/>
      <c r="BI1187" s="77"/>
    </row>
    <row r="1188" spans="1:61" x14ac:dyDescent="0.25">
      <c r="A1188" s="62" t="s">
        <v>590</v>
      </c>
      <c r="B1188" s="62" t="s">
        <v>590</v>
      </c>
      <c r="C1188" s="63"/>
      <c r="D1188" s="64"/>
      <c r="E1188" s="65"/>
      <c r="F1188" s="66"/>
      <c r="G1188" s="63"/>
      <c r="H1188" s="67"/>
      <c r="I1188" s="68"/>
      <c r="J1188" s="68"/>
      <c r="K1188" s="32"/>
      <c r="L1188" s="75">
        <v>1188</v>
      </c>
      <c r="M1188" s="75"/>
      <c r="N1188" s="70"/>
      <c r="O1188" s="77" t="s">
        <v>179</v>
      </c>
      <c r="P1188" s="79">
        <v>45152.847222222219</v>
      </c>
      <c r="Q1188" s="77" t="s">
        <v>2281</v>
      </c>
      <c r="R1188" s="77">
        <v>0</v>
      </c>
      <c r="S1188" s="77">
        <v>0</v>
      </c>
      <c r="T1188" s="77">
        <v>0</v>
      </c>
      <c r="U1188" s="77">
        <v>0</v>
      </c>
      <c r="V1188" s="77">
        <v>245</v>
      </c>
      <c r="W1188" s="82" t="s">
        <v>4160</v>
      </c>
      <c r="X1188" s="80" t="str">
        <f>HYPERLINK("https://www.jornaldocomercio.com/economia/2023/08/1119101-pix-e-o-meio-de-pagamento-mais-usado-por-todas-as-geracoes-mostra-pesquisa.html")</f>
        <v>https://www.jornaldocomercio.com/economia/2023/08/1119101-pix-e-o-meio-de-pagamento-mais-usado-por-todas-as-geracoes-mostra-pesquisa.html</v>
      </c>
      <c r="Y1188" s="77" t="s">
        <v>6064</v>
      </c>
      <c r="Z1188" s="77"/>
      <c r="AA1188" s="77"/>
      <c r="AB1188" s="77"/>
      <c r="AC1188" s="82" t="s">
        <v>7713</v>
      </c>
      <c r="AD1188" s="77" t="s">
        <v>7745</v>
      </c>
      <c r="AE1188" s="80" t="str">
        <f>HYPERLINK("https://twitter.com/jc_rs/status/1691182906486513664")</f>
        <v>https://twitter.com/jc_rs/status/1691182906486513664</v>
      </c>
      <c r="AF1188" s="79">
        <v>45152.847222222219</v>
      </c>
      <c r="AG1188" s="85">
        <v>45152</v>
      </c>
      <c r="AH1188" s="82" t="s">
        <v>8813</v>
      </c>
      <c r="AI1188" s="77" t="b">
        <v>0</v>
      </c>
      <c r="AJ1188" s="77"/>
      <c r="AK1188" s="77"/>
      <c r="AL1188" s="77"/>
      <c r="AM1188" s="77"/>
      <c r="AN1188" s="77"/>
      <c r="AO1188" s="77"/>
      <c r="AP1188" s="77"/>
      <c r="AQ1188" s="77"/>
      <c r="AR1188" s="77"/>
      <c r="AS1188" s="77"/>
      <c r="AT1188" s="77"/>
      <c r="AU1188" s="77"/>
      <c r="AV1188" s="80" t="str">
        <f>HYPERLINK("https://pbs.twimg.com/profile_images/1531317937075806210/7oEvwlvr_normal.jpg")</f>
        <v>https://pbs.twimg.com/profile_images/1531317937075806210/7oEvwlvr_normal.jpg</v>
      </c>
      <c r="AW1188" s="82" t="s">
        <v>13370</v>
      </c>
      <c r="AX1188" s="82" t="s">
        <v>13370</v>
      </c>
      <c r="AY1188" s="77"/>
      <c r="AZ1188" s="82" t="s">
        <v>15804</v>
      </c>
      <c r="BA1188" s="82" t="s">
        <v>15804</v>
      </c>
      <c r="BB1188" s="82" t="s">
        <v>15804</v>
      </c>
      <c r="BC1188" s="82" t="s">
        <v>13370</v>
      </c>
      <c r="BD1188" s="77">
        <v>17118982</v>
      </c>
      <c r="BE1188" s="77"/>
      <c r="BF1188" s="77"/>
      <c r="BG1188" s="77"/>
      <c r="BH1188" s="77"/>
      <c r="BI1188" s="77"/>
    </row>
    <row r="1189" spans="1:61" x14ac:dyDescent="0.25">
      <c r="A1189" s="62" t="s">
        <v>591</v>
      </c>
      <c r="B1189" s="62" t="s">
        <v>591</v>
      </c>
      <c r="C1189" s="63"/>
      <c r="D1189" s="64"/>
      <c r="E1189" s="65"/>
      <c r="F1189" s="66"/>
      <c r="G1189" s="63"/>
      <c r="H1189" s="67"/>
      <c r="I1189" s="68"/>
      <c r="J1189" s="68"/>
      <c r="K1189" s="32"/>
      <c r="L1189" s="75">
        <v>1189</v>
      </c>
      <c r="M1189" s="75"/>
      <c r="N1189" s="70"/>
      <c r="O1189" s="77" t="s">
        <v>179</v>
      </c>
      <c r="P1189" s="79">
        <v>44973.639803240738</v>
      </c>
      <c r="Q1189" s="77" t="s">
        <v>2282</v>
      </c>
      <c r="R1189" s="77">
        <v>0</v>
      </c>
      <c r="S1189" s="77">
        <v>0</v>
      </c>
      <c r="T1189" s="77">
        <v>0</v>
      </c>
      <c r="U1189" s="77">
        <v>0</v>
      </c>
      <c r="V1189" s="77">
        <v>87</v>
      </c>
      <c r="W1189" s="82" t="s">
        <v>4893</v>
      </c>
      <c r="X1189" s="77"/>
      <c r="Y1189" s="77"/>
      <c r="Z1189" s="77"/>
      <c r="AA1189" s="77" t="s">
        <v>6904</v>
      </c>
      <c r="AB1189" s="77" t="s">
        <v>7697</v>
      </c>
      <c r="AC1189" s="82" t="s">
        <v>7705</v>
      </c>
      <c r="AD1189" s="77" t="s">
        <v>7745</v>
      </c>
      <c r="AE1189" s="80" t="str">
        <f>HYPERLINK("https://twitter.com/agathac79501121/status/1626240314838249473")</f>
        <v>https://twitter.com/agathac79501121/status/1626240314838249473</v>
      </c>
      <c r="AF1189" s="79">
        <v>44973.639803240738</v>
      </c>
      <c r="AG1189" s="85">
        <v>44973</v>
      </c>
      <c r="AH1189" s="82" t="s">
        <v>8814</v>
      </c>
      <c r="AI1189" s="77" t="b">
        <v>0</v>
      </c>
      <c r="AJ1189" s="77" t="s">
        <v>10538</v>
      </c>
      <c r="AK1189" s="77" t="s">
        <v>10552</v>
      </c>
      <c r="AL1189" s="77" t="s">
        <v>10555</v>
      </c>
      <c r="AM1189" s="77" t="s">
        <v>10575</v>
      </c>
      <c r="AN1189" s="77" t="s">
        <v>10605</v>
      </c>
      <c r="AO1189" s="77" t="s">
        <v>10636</v>
      </c>
      <c r="AP1189" s="77" t="s">
        <v>10649</v>
      </c>
      <c r="AQ1189" s="77" t="s">
        <v>11411</v>
      </c>
      <c r="AR1189" s="77">
        <v>8433</v>
      </c>
      <c r="AS1189" s="77"/>
      <c r="AT1189" s="77"/>
      <c r="AU1189" s="77">
        <v>24</v>
      </c>
      <c r="AV1189" s="80" t="str">
        <f>HYPERLINK("https://pbs.twimg.com/ext_tw_video_thumb/1626240279153094656/pu/img/WqpBvGUeabWXu7Bd.jpg")</f>
        <v>https://pbs.twimg.com/ext_tw_video_thumb/1626240279153094656/pu/img/WqpBvGUeabWXu7Bd.jpg</v>
      </c>
      <c r="AW1189" s="82" t="s">
        <v>13371</v>
      </c>
      <c r="AX1189" s="82" t="s">
        <v>13371</v>
      </c>
      <c r="AY1189" s="77"/>
      <c r="AZ1189" s="82" t="s">
        <v>15804</v>
      </c>
      <c r="BA1189" s="82" t="s">
        <v>15804</v>
      </c>
      <c r="BB1189" s="82" t="s">
        <v>15804</v>
      </c>
      <c r="BC1189" s="82" t="s">
        <v>13371</v>
      </c>
      <c r="BD1189" s="82" t="s">
        <v>16344</v>
      </c>
      <c r="BE1189" s="77"/>
      <c r="BF1189" s="77"/>
      <c r="BG1189" s="77"/>
      <c r="BH1189" s="77"/>
      <c r="BI1189" s="77"/>
    </row>
    <row r="1190" spans="1:61" x14ac:dyDescent="0.25">
      <c r="A1190" s="62" t="s">
        <v>592</v>
      </c>
      <c r="B1190" s="62" t="s">
        <v>592</v>
      </c>
      <c r="C1190" s="63"/>
      <c r="D1190" s="64"/>
      <c r="E1190" s="65"/>
      <c r="F1190" s="66"/>
      <c r="G1190" s="63"/>
      <c r="H1190" s="67"/>
      <c r="I1190" s="68"/>
      <c r="J1190" s="68"/>
      <c r="K1190" s="32"/>
      <c r="L1190" s="75">
        <v>1190</v>
      </c>
      <c r="M1190" s="75"/>
      <c r="N1190" s="70"/>
      <c r="O1190" s="77" t="s">
        <v>1132</v>
      </c>
      <c r="P1190" s="79">
        <v>45097.02480324074</v>
      </c>
      <c r="Q1190" s="77" t="s">
        <v>2283</v>
      </c>
      <c r="R1190" s="77">
        <v>0</v>
      </c>
      <c r="S1190" s="77">
        <v>0</v>
      </c>
      <c r="T1190" s="77">
        <v>1</v>
      </c>
      <c r="U1190" s="77">
        <v>0</v>
      </c>
      <c r="V1190" s="77">
        <v>5</v>
      </c>
      <c r="W1190" s="82" t="s">
        <v>4894</v>
      </c>
      <c r="X1190" s="77"/>
      <c r="Y1190" s="77"/>
      <c r="Z1190" s="77"/>
      <c r="AA1190" s="77"/>
      <c r="AB1190" s="77"/>
      <c r="AC1190" s="82" t="s">
        <v>7705</v>
      </c>
      <c r="AD1190" s="77" t="s">
        <v>7745</v>
      </c>
      <c r="AE1190" s="80" t="str">
        <f>HYPERLINK("https://twitter.com/anderson_crc/status/1670953541077172228")</f>
        <v>https://twitter.com/anderson_crc/status/1670953541077172228</v>
      </c>
      <c r="AF1190" s="79">
        <v>45097.02480324074</v>
      </c>
      <c r="AG1190" s="85">
        <v>45097</v>
      </c>
      <c r="AH1190" s="82" t="s">
        <v>8815</v>
      </c>
      <c r="AI1190" s="77"/>
      <c r="AJ1190" s="77"/>
      <c r="AK1190" s="77"/>
      <c r="AL1190" s="77"/>
      <c r="AM1190" s="77"/>
      <c r="AN1190" s="77"/>
      <c r="AO1190" s="77"/>
      <c r="AP1190" s="77"/>
      <c r="AQ1190" s="77"/>
      <c r="AR1190" s="77"/>
      <c r="AS1190" s="77"/>
      <c r="AT1190" s="77"/>
      <c r="AU1190" s="77"/>
      <c r="AV1190" s="80" t="str">
        <f>HYPERLINK("https://pbs.twimg.com/profile_images/1661415324963438609/oGmKrDd6_normal.jpg")</f>
        <v>https://pbs.twimg.com/profile_images/1661415324963438609/oGmKrDd6_normal.jpg</v>
      </c>
      <c r="AW1190" s="82" t="s">
        <v>13372</v>
      </c>
      <c r="AX1190" s="82" t="s">
        <v>13373</v>
      </c>
      <c r="AY1190" s="82" t="s">
        <v>15733</v>
      </c>
      <c r="AZ1190" s="82" t="s">
        <v>15870</v>
      </c>
      <c r="BA1190" s="82" t="s">
        <v>15804</v>
      </c>
      <c r="BB1190" s="82" t="s">
        <v>15804</v>
      </c>
      <c r="BC1190" s="82" t="s">
        <v>15870</v>
      </c>
      <c r="BD1190" s="77">
        <v>4211523209</v>
      </c>
      <c r="BE1190" s="77"/>
      <c r="BF1190" s="77"/>
      <c r="BG1190" s="77"/>
      <c r="BH1190" s="77"/>
      <c r="BI1190" s="77"/>
    </row>
    <row r="1191" spans="1:61" x14ac:dyDescent="0.25">
      <c r="A1191" s="62" t="s">
        <v>592</v>
      </c>
      <c r="B1191" s="62" t="s">
        <v>592</v>
      </c>
      <c r="C1191" s="63"/>
      <c r="D1191" s="64"/>
      <c r="E1191" s="65"/>
      <c r="F1191" s="66"/>
      <c r="G1191" s="63"/>
      <c r="H1191" s="67"/>
      <c r="I1191" s="68"/>
      <c r="J1191" s="68"/>
      <c r="K1191" s="32"/>
      <c r="L1191" s="75">
        <v>1191</v>
      </c>
      <c r="M1191" s="75"/>
      <c r="N1191" s="70"/>
      <c r="O1191" s="77" t="s">
        <v>179</v>
      </c>
      <c r="P1191" s="79">
        <v>45097.024756944447</v>
      </c>
      <c r="Q1191" s="77" t="s">
        <v>2284</v>
      </c>
      <c r="R1191" s="77">
        <v>0</v>
      </c>
      <c r="S1191" s="77">
        <v>0</v>
      </c>
      <c r="T1191" s="77">
        <v>1</v>
      </c>
      <c r="U1191" s="77">
        <v>0</v>
      </c>
      <c r="V1191" s="77">
        <v>10</v>
      </c>
      <c r="W1191" s="82" t="s">
        <v>4895</v>
      </c>
      <c r="X1191" s="77"/>
      <c r="Y1191" s="77"/>
      <c r="Z1191" s="77"/>
      <c r="AA1191" s="77"/>
      <c r="AB1191" s="77"/>
      <c r="AC1191" s="82" t="s">
        <v>7705</v>
      </c>
      <c r="AD1191" s="77" t="s">
        <v>7745</v>
      </c>
      <c r="AE1191" s="80" t="str">
        <f>HYPERLINK("https://twitter.com/anderson_crc/status/1670953523272462337")</f>
        <v>https://twitter.com/anderson_crc/status/1670953523272462337</v>
      </c>
      <c r="AF1191" s="79">
        <v>45097.024756944447</v>
      </c>
      <c r="AG1191" s="85">
        <v>45097</v>
      </c>
      <c r="AH1191" s="82" t="s">
        <v>8816</v>
      </c>
      <c r="AI1191" s="77"/>
      <c r="AJ1191" s="77"/>
      <c r="AK1191" s="77"/>
      <c r="AL1191" s="77"/>
      <c r="AM1191" s="77"/>
      <c r="AN1191" s="77"/>
      <c r="AO1191" s="77"/>
      <c r="AP1191" s="77"/>
      <c r="AQ1191" s="77"/>
      <c r="AR1191" s="77"/>
      <c r="AS1191" s="77"/>
      <c r="AT1191" s="77"/>
      <c r="AU1191" s="77"/>
      <c r="AV1191" s="80" t="str">
        <f>HYPERLINK("https://pbs.twimg.com/profile_images/1661415324963438609/oGmKrDd6_normal.jpg")</f>
        <v>https://pbs.twimg.com/profile_images/1661415324963438609/oGmKrDd6_normal.jpg</v>
      </c>
      <c r="AW1191" s="82" t="s">
        <v>13373</v>
      </c>
      <c r="AX1191" s="82" t="s">
        <v>13373</v>
      </c>
      <c r="AY1191" s="77"/>
      <c r="AZ1191" s="82" t="s">
        <v>15804</v>
      </c>
      <c r="BA1191" s="82" t="s">
        <v>15804</v>
      </c>
      <c r="BB1191" s="82" t="s">
        <v>15804</v>
      </c>
      <c r="BC1191" s="82" t="s">
        <v>13373</v>
      </c>
      <c r="BD1191" s="77">
        <v>4211523209</v>
      </c>
      <c r="BE1191" s="77"/>
      <c r="BF1191" s="77"/>
      <c r="BG1191" s="77"/>
      <c r="BH1191" s="77"/>
      <c r="BI1191" s="77"/>
    </row>
    <row r="1192" spans="1:61" x14ac:dyDescent="0.25">
      <c r="A1192" s="62" t="s">
        <v>593</v>
      </c>
      <c r="B1192" s="62" t="s">
        <v>593</v>
      </c>
      <c r="C1192" s="63"/>
      <c r="D1192" s="64"/>
      <c r="E1192" s="65"/>
      <c r="F1192" s="66"/>
      <c r="G1192" s="63"/>
      <c r="H1192" s="67"/>
      <c r="I1192" s="68"/>
      <c r="J1192" s="68"/>
      <c r="K1192" s="32"/>
      <c r="L1192" s="75">
        <v>1192</v>
      </c>
      <c r="M1192" s="75"/>
      <c r="N1192" s="70"/>
      <c r="O1192" s="77" t="s">
        <v>179</v>
      </c>
      <c r="P1192" s="79">
        <v>45079.636203703703</v>
      </c>
      <c r="Q1192" s="77" t="s">
        <v>2285</v>
      </c>
      <c r="R1192" s="77">
        <v>0</v>
      </c>
      <c r="S1192" s="77">
        <v>0</v>
      </c>
      <c r="T1192" s="77">
        <v>0</v>
      </c>
      <c r="U1192" s="77">
        <v>0</v>
      </c>
      <c r="V1192" s="77">
        <v>9</v>
      </c>
      <c r="W1192" s="82" t="s">
        <v>4896</v>
      </c>
      <c r="X1192" s="80" t="str">
        <f>HYPERLINK("https://www.instagram.com/reel/Cs_X1TErYoG/?igshid=MTc4MmM1YmI2Ng==")</f>
        <v>https://www.instagram.com/reel/Cs_X1TErYoG/?igshid=MTc4MmM1YmI2Ng==</v>
      </c>
      <c r="Y1192" s="77" t="s">
        <v>6000</v>
      </c>
      <c r="Z1192" s="77"/>
      <c r="AA1192" s="77"/>
      <c r="AB1192" s="77"/>
      <c r="AC1192" s="82" t="s">
        <v>7707</v>
      </c>
      <c r="AD1192" s="77" t="s">
        <v>7745</v>
      </c>
      <c r="AE1192" s="80" t="str">
        <f>HYPERLINK("https://twitter.com/iberezanski/status/1664652122191720450")</f>
        <v>https://twitter.com/iberezanski/status/1664652122191720450</v>
      </c>
      <c r="AF1192" s="79">
        <v>45079.636203703703</v>
      </c>
      <c r="AG1192" s="85">
        <v>45079</v>
      </c>
      <c r="AH1192" s="82" t="s">
        <v>8817</v>
      </c>
      <c r="AI1192" s="77" t="b">
        <v>0</v>
      </c>
      <c r="AJ1192" s="77"/>
      <c r="AK1192" s="77"/>
      <c r="AL1192" s="77"/>
      <c r="AM1192" s="77"/>
      <c r="AN1192" s="77"/>
      <c r="AO1192" s="77"/>
      <c r="AP1192" s="77"/>
      <c r="AQ1192" s="77"/>
      <c r="AR1192" s="77"/>
      <c r="AS1192" s="77"/>
      <c r="AT1192" s="77"/>
      <c r="AU1192" s="77"/>
      <c r="AV1192" s="80" t="str">
        <f>HYPERLINK("https://pbs.twimg.com/profile_images/1667326263093067777/r3PmTWr2_normal.jpg")</f>
        <v>https://pbs.twimg.com/profile_images/1667326263093067777/r3PmTWr2_normal.jpg</v>
      </c>
      <c r="AW1192" s="82" t="s">
        <v>13374</v>
      </c>
      <c r="AX1192" s="82" t="s">
        <v>13374</v>
      </c>
      <c r="AY1192" s="77"/>
      <c r="AZ1192" s="82" t="s">
        <v>15804</v>
      </c>
      <c r="BA1192" s="82" t="s">
        <v>15804</v>
      </c>
      <c r="BB1192" s="82" t="s">
        <v>15804</v>
      </c>
      <c r="BC1192" s="82" t="s">
        <v>13374</v>
      </c>
      <c r="BD1192" s="82" t="s">
        <v>16345</v>
      </c>
      <c r="BE1192" s="77"/>
      <c r="BF1192" s="77"/>
      <c r="BG1192" s="77"/>
      <c r="BH1192" s="77"/>
      <c r="BI1192" s="77"/>
    </row>
    <row r="1193" spans="1:61" x14ac:dyDescent="0.25">
      <c r="A1193" s="62" t="s">
        <v>593</v>
      </c>
      <c r="B1193" s="62" t="s">
        <v>593</v>
      </c>
      <c r="C1193" s="63"/>
      <c r="D1193" s="64"/>
      <c r="E1193" s="65"/>
      <c r="F1193" s="66"/>
      <c r="G1193" s="63"/>
      <c r="H1193" s="67"/>
      <c r="I1193" s="68"/>
      <c r="J1193" s="68"/>
      <c r="K1193" s="32"/>
      <c r="L1193" s="75">
        <v>1193</v>
      </c>
      <c r="M1193" s="75"/>
      <c r="N1193" s="70"/>
      <c r="O1193" s="77" t="s">
        <v>179</v>
      </c>
      <c r="P1193" s="79">
        <v>45106.583703703705</v>
      </c>
      <c r="Q1193" s="77" t="s">
        <v>2286</v>
      </c>
      <c r="R1193" s="77">
        <v>0</v>
      </c>
      <c r="S1193" s="77">
        <v>0</v>
      </c>
      <c r="T1193" s="77">
        <v>0</v>
      </c>
      <c r="U1193" s="77">
        <v>0</v>
      </c>
      <c r="V1193" s="77">
        <v>6</v>
      </c>
      <c r="W1193" s="82" t="s">
        <v>4897</v>
      </c>
      <c r="X1193" s="80" t="str">
        <f>HYPERLINK("https://www.instagram.com/reel/CuE5-xAuoJg/?igshid=MTc4MmM1YmI2Ng==")</f>
        <v>https://www.instagram.com/reel/CuE5-xAuoJg/?igshid=MTc4MmM1YmI2Ng==</v>
      </c>
      <c r="Y1193" s="77" t="s">
        <v>6000</v>
      </c>
      <c r="Z1193" s="77"/>
      <c r="AA1193" s="77"/>
      <c r="AB1193" s="77"/>
      <c r="AC1193" s="82" t="s">
        <v>7707</v>
      </c>
      <c r="AD1193" s="77" t="s">
        <v>7745</v>
      </c>
      <c r="AE1193" s="80" t="str">
        <f>HYPERLINK("https://twitter.com/iberezanski/status/1674417568663375875")</f>
        <v>https://twitter.com/iberezanski/status/1674417568663375875</v>
      </c>
      <c r="AF1193" s="79">
        <v>45106.583703703705</v>
      </c>
      <c r="AG1193" s="85">
        <v>45106</v>
      </c>
      <c r="AH1193" s="82" t="s">
        <v>8818</v>
      </c>
      <c r="AI1193" s="77" t="b">
        <v>0</v>
      </c>
      <c r="AJ1193" s="77"/>
      <c r="AK1193" s="77"/>
      <c r="AL1193" s="77"/>
      <c r="AM1193" s="77"/>
      <c r="AN1193" s="77"/>
      <c r="AO1193" s="77"/>
      <c r="AP1193" s="77"/>
      <c r="AQ1193" s="77"/>
      <c r="AR1193" s="77"/>
      <c r="AS1193" s="77"/>
      <c r="AT1193" s="77"/>
      <c r="AU1193" s="77"/>
      <c r="AV1193" s="80" t="str">
        <f>HYPERLINK("https://pbs.twimg.com/profile_images/1667326263093067777/r3PmTWr2_normal.jpg")</f>
        <v>https://pbs.twimg.com/profile_images/1667326263093067777/r3PmTWr2_normal.jpg</v>
      </c>
      <c r="AW1193" s="82" t="s">
        <v>13375</v>
      </c>
      <c r="AX1193" s="82" t="s">
        <v>13375</v>
      </c>
      <c r="AY1193" s="77"/>
      <c r="AZ1193" s="82" t="s">
        <v>15804</v>
      </c>
      <c r="BA1193" s="82" t="s">
        <v>15804</v>
      </c>
      <c r="BB1193" s="82" t="s">
        <v>15804</v>
      </c>
      <c r="BC1193" s="82" t="s">
        <v>13375</v>
      </c>
      <c r="BD1193" s="82" t="s">
        <v>16345</v>
      </c>
      <c r="BE1193" s="77"/>
      <c r="BF1193" s="77"/>
      <c r="BG1193" s="77"/>
      <c r="BH1193" s="77"/>
      <c r="BI1193" s="77"/>
    </row>
    <row r="1194" spans="1:61" x14ac:dyDescent="0.25">
      <c r="A1194" s="62" t="s">
        <v>593</v>
      </c>
      <c r="B1194" s="62" t="s">
        <v>593</v>
      </c>
      <c r="C1194" s="63"/>
      <c r="D1194" s="64"/>
      <c r="E1194" s="65"/>
      <c r="F1194" s="66"/>
      <c r="G1194" s="63"/>
      <c r="H1194" s="67"/>
      <c r="I1194" s="68"/>
      <c r="J1194" s="68"/>
      <c r="K1194" s="32"/>
      <c r="L1194" s="75">
        <v>1194</v>
      </c>
      <c r="M1194" s="75"/>
      <c r="N1194" s="70"/>
      <c r="O1194" s="77" t="s">
        <v>179</v>
      </c>
      <c r="P1194" s="79">
        <v>45113.629849537036</v>
      </c>
      <c r="Q1194" s="77" t="s">
        <v>2287</v>
      </c>
      <c r="R1194" s="77">
        <v>0</v>
      </c>
      <c r="S1194" s="77">
        <v>0</v>
      </c>
      <c r="T1194" s="77">
        <v>0</v>
      </c>
      <c r="U1194" s="77">
        <v>0</v>
      </c>
      <c r="V1194" s="77">
        <v>4</v>
      </c>
      <c r="W1194" s="82" t="s">
        <v>4898</v>
      </c>
      <c r="X1194" s="80" t="str">
        <f>HYPERLINK("https://www.instagram.com/reel/CuW6x0LRRVB/?igshid=MTc4MmM1YmI2Ng==")</f>
        <v>https://www.instagram.com/reel/CuW6x0LRRVB/?igshid=MTc4MmM1YmI2Ng==</v>
      </c>
      <c r="Y1194" s="77" t="s">
        <v>6000</v>
      </c>
      <c r="Z1194" s="77"/>
      <c r="AA1194" s="77"/>
      <c r="AB1194" s="77"/>
      <c r="AC1194" s="82" t="s">
        <v>7707</v>
      </c>
      <c r="AD1194" s="77" t="s">
        <v>7745</v>
      </c>
      <c r="AE1194" s="80" t="str">
        <f>HYPERLINK("https://twitter.com/iberezanski/status/1676971007402446850")</f>
        <v>https://twitter.com/iberezanski/status/1676971007402446850</v>
      </c>
      <c r="AF1194" s="79">
        <v>45113.629849537036</v>
      </c>
      <c r="AG1194" s="85">
        <v>45113</v>
      </c>
      <c r="AH1194" s="82" t="s">
        <v>8819</v>
      </c>
      <c r="AI1194" s="77" t="b">
        <v>0</v>
      </c>
      <c r="AJ1194" s="77"/>
      <c r="AK1194" s="77"/>
      <c r="AL1194" s="77"/>
      <c r="AM1194" s="77"/>
      <c r="AN1194" s="77"/>
      <c r="AO1194" s="77"/>
      <c r="AP1194" s="77"/>
      <c r="AQ1194" s="77"/>
      <c r="AR1194" s="77"/>
      <c r="AS1194" s="77"/>
      <c r="AT1194" s="77"/>
      <c r="AU1194" s="77"/>
      <c r="AV1194" s="80" t="str">
        <f>HYPERLINK("https://pbs.twimg.com/profile_images/1667326263093067777/r3PmTWr2_normal.jpg")</f>
        <v>https://pbs.twimg.com/profile_images/1667326263093067777/r3PmTWr2_normal.jpg</v>
      </c>
      <c r="AW1194" s="82" t="s">
        <v>13376</v>
      </c>
      <c r="AX1194" s="82" t="s">
        <v>13376</v>
      </c>
      <c r="AY1194" s="77"/>
      <c r="AZ1194" s="82" t="s">
        <v>15804</v>
      </c>
      <c r="BA1194" s="82" t="s">
        <v>15804</v>
      </c>
      <c r="BB1194" s="82" t="s">
        <v>15804</v>
      </c>
      <c r="BC1194" s="82" t="s">
        <v>13376</v>
      </c>
      <c r="BD1194" s="82" t="s">
        <v>16345</v>
      </c>
      <c r="BE1194" s="77"/>
      <c r="BF1194" s="77"/>
      <c r="BG1194" s="77"/>
      <c r="BH1194" s="77"/>
      <c r="BI1194" s="77"/>
    </row>
    <row r="1195" spans="1:61" x14ac:dyDescent="0.25">
      <c r="A1195" s="62" t="s">
        <v>593</v>
      </c>
      <c r="B1195" s="62" t="s">
        <v>593</v>
      </c>
      <c r="C1195" s="63"/>
      <c r="D1195" s="64"/>
      <c r="E1195" s="65"/>
      <c r="F1195" s="66"/>
      <c r="G1195" s="63"/>
      <c r="H1195" s="67"/>
      <c r="I1195" s="68"/>
      <c r="J1195" s="68"/>
      <c r="K1195" s="32"/>
      <c r="L1195" s="75">
        <v>1195</v>
      </c>
      <c r="M1195" s="75"/>
      <c r="N1195" s="70"/>
      <c r="O1195" s="77" t="s">
        <v>179</v>
      </c>
      <c r="P1195" s="79">
        <v>45127.58693287037</v>
      </c>
      <c r="Q1195" s="77" t="s">
        <v>2288</v>
      </c>
      <c r="R1195" s="77">
        <v>0</v>
      </c>
      <c r="S1195" s="77">
        <v>0</v>
      </c>
      <c r="T1195" s="77">
        <v>0</v>
      </c>
      <c r="U1195" s="77">
        <v>0</v>
      </c>
      <c r="V1195" s="77">
        <v>21</v>
      </c>
      <c r="W1195" s="82" t="s">
        <v>4899</v>
      </c>
      <c r="X1195" s="77"/>
      <c r="Y1195" s="77"/>
      <c r="Z1195" s="77"/>
      <c r="AA1195" s="77"/>
      <c r="AB1195" s="77"/>
      <c r="AC1195" s="82" t="s">
        <v>7707</v>
      </c>
      <c r="AD1195" s="77" t="s">
        <v>7745</v>
      </c>
      <c r="AE1195" s="80" t="str">
        <f>HYPERLINK("https://twitter.com/iberezanski/status/1682028883410059271")</f>
        <v>https://twitter.com/iberezanski/status/1682028883410059271</v>
      </c>
      <c r="AF1195" s="79">
        <v>45127.58693287037</v>
      </c>
      <c r="AG1195" s="85">
        <v>45127</v>
      </c>
      <c r="AH1195" s="82" t="s">
        <v>8820</v>
      </c>
      <c r="AI1195" s="77"/>
      <c r="AJ1195" s="77"/>
      <c r="AK1195" s="77"/>
      <c r="AL1195" s="77"/>
      <c r="AM1195" s="77"/>
      <c r="AN1195" s="77"/>
      <c r="AO1195" s="77"/>
      <c r="AP1195" s="77"/>
      <c r="AQ1195" s="77"/>
      <c r="AR1195" s="77"/>
      <c r="AS1195" s="77"/>
      <c r="AT1195" s="77"/>
      <c r="AU1195" s="77"/>
      <c r="AV1195" s="80" t="str">
        <f>HYPERLINK("https://pbs.twimg.com/profile_images/1667326263093067777/r3PmTWr2_normal.jpg")</f>
        <v>https://pbs.twimg.com/profile_images/1667326263093067777/r3PmTWr2_normal.jpg</v>
      </c>
      <c r="AW1195" s="82" t="s">
        <v>13377</v>
      </c>
      <c r="AX1195" s="82" t="s">
        <v>13377</v>
      </c>
      <c r="AY1195" s="77"/>
      <c r="AZ1195" s="82" t="s">
        <v>15804</v>
      </c>
      <c r="BA1195" s="82" t="s">
        <v>15804</v>
      </c>
      <c r="BB1195" s="82" t="s">
        <v>15804</v>
      </c>
      <c r="BC1195" s="82" t="s">
        <v>13377</v>
      </c>
      <c r="BD1195" s="82" t="s">
        <v>16345</v>
      </c>
      <c r="BE1195" s="77"/>
      <c r="BF1195" s="77"/>
      <c r="BG1195" s="77"/>
      <c r="BH1195" s="77"/>
      <c r="BI1195" s="77"/>
    </row>
    <row r="1196" spans="1:61" x14ac:dyDescent="0.25">
      <c r="A1196" s="62" t="s">
        <v>593</v>
      </c>
      <c r="B1196" s="62" t="s">
        <v>593</v>
      </c>
      <c r="C1196" s="63"/>
      <c r="D1196" s="64"/>
      <c r="E1196" s="65"/>
      <c r="F1196" s="66"/>
      <c r="G1196" s="63"/>
      <c r="H1196" s="67"/>
      <c r="I1196" s="68"/>
      <c r="J1196" s="68"/>
      <c r="K1196" s="32"/>
      <c r="L1196" s="75">
        <v>1196</v>
      </c>
      <c r="M1196" s="75"/>
      <c r="N1196" s="70"/>
      <c r="O1196" s="77" t="s">
        <v>179</v>
      </c>
      <c r="P1196" s="79">
        <v>45086.650405092594</v>
      </c>
      <c r="Q1196" s="77" t="s">
        <v>2289</v>
      </c>
      <c r="R1196" s="77">
        <v>0</v>
      </c>
      <c r="S1196" s="77">
        <v>0</v>
      </c>
      <c r="T1196" s="77">
        <v>0</v>
      </c>
      <c r="U1196" s="77">
        <v>0</v>
      </c>
      <c r="V1196" s="77">
        <v>6</v>
      </c>
      <c r="W1196" s="82" t="s">
        <v>4900</v>
      </c>
      <c r="X1196" s="80" t="str">
        <f>HYPERLINK("https://www.instagram.com/reel/CtRZEBpP9rU/?igshid=MTc4MmM1YmI2Ng==")</f>
        <v>https://www.instagram.com/reel/CtRZEBpP9rU/?igshid=MTc4MmM1YmI2Ng==</v>
      </c>
      <c r="Y1196" s="77" t="s">
        <v>6000</v>
      </c>
      <c r="Z1196" s="77"/>
      <c r="AA1196" s="77"/>
      <c r="AB1196" s="77"/>
      <c r="AC1196" s="82" t="s">
        <v>7707</v>
      </c>
      <c r="AD1196" s="77" t="s">
        <v>7745</v>
      </c>
      <c r="AE1196" s="80" t="str">
        <f>HYPERLINK("https://twitter.com/iberezanski/status/1667193982483308544")</f>
        <v>https://twitter.com/iberezanski/status/1667193982483308544</v>
      </c>
      <c r="AF1196" s="79">
        <v>45086.650405092594</v>
      </c>
      <c r="AG1196" s="85">
        <v>45086</v>
      </c>
      <c r="AH1196" s="82" t="s">
        <v>8821</v>
      </c>
      <c r="AI1196" s="77" t="b">
        <v>0</v>
      </c>
      <c r="AJ1196" s="77"/>
      <c r="AK1196" s="77"/>
      <c r="AL1196" s="77"/>
      <c r="AM1196" s="77"/>
      <c r="AN1196" s="77"/>
      <c r="AO1196" s="77"/>
      <c r="AP1196" s="77"/>
      <c r="AQ1196" s="77"/>
      <c r="AR1196" s="77"/>
      <c r="AS1196" s="77"/>
      <c r="AT1196" s="77"/>
      <c r="AU1196" s="77"/>
      <c r="AV1196" s="80" t="str">
        <f>HYPERLINK("https://pbs.twimg.com/profile_images/1667326263093067777/r3PmTWr2_normal.jpg")</f>
        <v>https://pbs.twimg.com/profile_images/1667326263093067777/r3PmTWr2_normal.jpg</v>
      </c>
      <c r="AW1196" s="82" t="s">
        <v>13378</v>
      </c>
      <c r="AX1196" s="82" t="s">
        <v>13378</v>
      </c>
      <c r="AY1196" s="77"/>
      <c r="AZ1196" s="82" t="s">
        <v>15804</v>
      </c>
      <c r="BA1196" s="82" t="s">
        <v>15804</v>
      </c>
      <c r="BB1196" s="82" t="s">
        <v>15804</v>
      </c>
      <c r="BC1196" s="82" t="s">
        <v>13378</v>
      </c>
      <c r="BD1196" s="82" t="s">
        <v>16345</v>
      </c>
      <c r="BE1196" s="77"/>
      <c r="BF1196" s="77"/>
      <c r="BG1196" s="77"/>
      <c r="BH1196" s="77"/>
      <c r="BI1196" s="77"/>
    </row>
    <row r="1197" spans="1:61" x14ac:dyDescent="0.25">
      <c r="A1197" s="62" t="s">
        <v>593</v>
      </c>
      <c r="B1197" s="62" t="s">
        <v>593</v>
      </c>
      <c r="C1197" s="63"/>
      <c r="D1197" s="64"/>
      <c r="E1197" s="65"/>
      <c r="F1197" s="66"/>
      <c r="G1197" s="63"/>
      <c r="H1197" s="67"/>
      <c r="I1197" s="68"/>
      <c r="J1197" s="68"/>
      <c r="K1197" s="32"/>
      <c r="L1197" s="75">
        <v>1197</v>
      </c>
      <c r="M1197" s="75"/>
      <c r="N1197" s="70"/>
      <c r="O1197" s="77" t="s">
        <v>179</v>
      </c>
      <c r="P1197" s="79">
        <v>45153.582129629627</v>
      </c>
      <c r="Q1197" s="77" t="s">
        <v>2290</v>
      </c>
      <c r="R1197" s="77">
        <v>0</v>
      </c>
      <c r="S1197" s="77">
        <v>0</v>
      </c>
      <c r="T1197" s="77">
        <v>0</v>
      </c>
      <c r="U1197" s="77">
        <v>0</v>
      </c>
      <c r="V1197" s="77">
        <v>1</v>
      </c>
      <c r="W1197" s="82" t="s">
        <v>4901</v>
      </c>
      <c r="X1197" s="77"/>
      <c r="Y1197" s="77"/>
      <c r="Z1197" s="77"/>
      <c r="AA1197" s="77"/>
      <c r="AB1197" s="77"/>
      <c r="AC1197" s="82" t="s">
        <v>7707</v>
      </c>
      <c r="AD1197" s="77" t="s">
        <v>7745</v>
      </c>
      <c r="AE1197" s="80" t="str">
        <f>HYPERLINK("https://twitter.com/iberezanski/status/1691449228579811328")</f>
        <v>https://twitter.com/iberezanski/status/1691449228579811328</v>
      </c>
      <c r="AF1197" s="79">
        <v>45153.582129629627</v>
      </c>
      <c r="AG1197" s="85">
        <v>45153</v>
      </c>
      <c r="AH1197" s="82" t="s">
        <v>8822</v>
      </c>
      <c r="AI1197" s="77"/>
      <c r="AJ1197" s="77"/>
      <c r="AK1197" s="77"/>
      <c r="AL1197" s="77"/>
      <c r="AM1197" s="77"/>
      <c r="AN1197" s="77"/>
      <c r="AO1197" s="77"/>
      <c r="AP1197" s="77"/>
      <c r="AQ1197" s="77"/>
      <c r="AR1197" s="77"/>
      <c r="AS1197" s="77"/>
      <c r="AT1197" s="77"/>
      <c r="AU1197" s="77"/>
      <c r="AV1197" s="80" t="str">
        <f>HYPERLINK("https://pbs.twimg.com/profile_images/1667326263093067777/r3PmTWr2_normal.jpg")</f>
        <v>https://pbs.twimg.com/profile_images/1667326263093067777/r3PmTWr2_normal.jpg</v>
      </c>
      <c r="AW1197" s="82" t="s">
        <v>13379</v>
      </c>
      <c r="AX1197" s="82" t="s">
        <v>13379</v>
      </c>
      <c r="AY1197" s="77"/>
      <c r="AZ1197" s="82" t="s">
        <v>15804</v>
      </c>
      <c r="BA1197" s="82" t="s">
        <v>15804</v>
      </c>
      <c r="BB1197" s="82" t="s">
        <v>15804</v>
      </c>
      <c r="BC1197" s="82" t="s">
        <v>13379</v>
      </c>
      <c r="BD1197" s="82" t="s">
        <v>16345</v>
      </c>
      <c r="BE1197" s="77"/>
      <c r="BF1197" s="77"/>
      <c r="BG1197" s="77"/>
      <c r="BH1197" s="77"/>
      <c r="BI1197" s="77"/>
    </row>
    <row r="1198" spans="1:61" x14ac:dyDescent="0.25">
      <c r="A1198" s="62" t="s">
        <v>593</v>
      </c>
      <c r="B1198" s="62" t="s">
        <v>593</v>
      </c>
      <c r="C1198" s="63"/>
      <c r="D1198" s="64"/>
      <c r="E1198" s="65"/>
      <c r="F1198" s="66"/>
      <c r="G1198" s="63"/>
      <c r="H1198" s="67"/>
      <c r="I1198" s="68"/>
      <c r="J1198" s="68"/>
      <c r="K1198" s="32"/>
      <c r="L1198" s="75">
        <v>1198</v>
      </c>
      <c r="M1198" s="75"/>
      <c r="N1198" s="70"/>
      <c r="O1198" s="77" t="s">
        <v>179</v>
      </c>
      <c r="P1198" s="79">
        <v>45146.592303240737</v>
      </c>
      <c r="Q1198" s="77" t="s">
        <v>2291</v>
      </c>
      <c r="R1198" s="77">
        <v>0</v>
      </c>
      <c r="S1198" s="77">
        <v>0</v>
      </c>
      <c r="T1198" s="77">
        <v>0</v>
      </c>
      <c r="U1198" s="77">
        <v>0</v>
      </c>
      <c r="V1198" s="77">
        <v>76</v>
      </c>
      <c r="W1198" s="82" t="s">
        <v>4902</v>
      </c>
      <c r="X1198" s="80" t="str">
        <f>HYPERLINK("https://www.instagram.com/reel/Cvr6EsHOqmr/?igshid=MTc4MmM1YmI2Ng==")</f>
        <v>https://www.instagram.com/reel/Cvr6EsHOqmr/?igshid=MTc4MmM1YmI2Ng==</v>
      </c>
      <c r="Y1198" s="77" t="s">
        <v>6000</v>
      </c>
      <c r="Z1198" s="77"/>
      <c r="AA1198" s="77"/>
      <c r="AB1198" s="77"/>
      <c r="AC1198" s="82" t="s">
        <v>7707</v>
      </c>
      <c r="AD1198" s="77" t="s">
        <v>7745</v>
      </c>
      <c r="AE1198" s="80" t="str">
        <f>HYPERLINK("https://twitter.com/iberezanski/status/1688916201152606211")</f>
        <v>https://twitter.com/iberezanski/status/1688916201152606211</v>
      </c>
      <c r="AF1198" s="79">
        <v>45146.592303240737</v>
      </c>
      <c r="AG1198" s="85">
        <v>45146</v>
      </c>
      <c r="AH1198" s="82" t="s">
        <v>8823</v>
      </c>
      <c r="AI1198" s="77" t="b">
        <v>0</v>
      </c>
      <c r="AJ1198" s="77"/>
      <c r="AK1198" s="77"/>
      <c r="AL1198" s="77"/>
      <c r="AM1198" s="77"/>
      <c r="AN1198" s="77"/>
      <c r="AO1198" s="77"/>
      <c r="AP1198" s="77"/>
      <c r="AQ1198" s="77"/>
      <c r="AR1198" s="77"/>
      <c r="AS1198" s="77"/>
      <c r="AT1198" s="77"/>
      <c r="AU1198" s="77"/>
      <c r="AV1198" s="80" t="str">
        <f>HYPERLINK("https://pbs.twimg.com/profile_images/1667326263093067777/r3PmTWr2_normal.jpg")</f>
        <v>https://pbs.twimg.com/profile_images/1667326263093067777/r3PmTWr2_normal.jpg</v>
      </c>
      <c r="AW1198" s="82" t="s">
        <v>13380</v>
      </c>
      <c r="AX1198" s="82" t="s">
        <v>13380</v>
      </c>
      <c r="AY1198" s="77"/>
      <c r="AZ1198" s="82" t="s">
        <v>15804</v>
      </c>
      <c r="BA1198" s="82" t="s">
        <v>15804</v>
      </c>
      <c r="BB1198" s="82" t="s">
        <v>15804</v>
      </c>
      <c r="BC1198" s="82" t="s">
        <v>13380</v>
      </c>
      <c r="BD1198" s="82" t="s">
        <v>16345</v>
      </c>
      <c r="BE1198" s="77"/>
      <c r="BF1198" s="77"/>
      <c r="BG1198" s="77"/>
      <c r="BH1198" s="77"/>
      <c r="BI1198" s="77"/>
    </row>
    <row r="1199" spans="1:61" x14ac:dyDescent="0.25">
      <c r="A1199" s="62" t="s">
        <v>594</v>
      </c>
      <c r="B1199" s="62" t="s">
        <v>594</v>
      </c>
      <c r="C1199" s="63"/>
      <c r="D1199" s="64"/>
      <c r="E1199" s="65"/>
      <c r="F1199" s="66"/>
      <c r="G1199" s="63"/>
      <c r="H1199" s="67"/>
      <c r="I1199" s="68"/>
      <c r="J1199" s="68"/>
      <c r="K1199" s="32"/>
      <c r="L1199" s="75">
        <v>1199</v>
      </c>
      <c r="M1199" s="75"/>
      <c r="N1199" s="70"/>
      <c r="O1199" s="77" t="s">
        <v>179</v>
      </c>
      <c r="P1199" s="79">
        <v>45086.940532407411</v>
      </c>
      <c r="Q1199" s="77" t="s">
        <v>2292</v>
      </c>
      <c r="R1199" s="77">
        <v>3</v>
      </c>
      <c r="S1199" s="77">
        <v>3</v>
      </c>
      <c r="T1199" s="77">
        <v>0</v>
      </c>
      <c r="U1199" s="77">
        <v>0</v>
      </c>
      <c r="V1199" s="77">
        <v>125</v>
      </c>
      <c r="W1199" s="82" t="s">
        <v>4903</v>
      </c>
      <c r="X1199" s="77"/>
      <c r="Y1199" s="77"/>
      <c r="Z1199" s="77"/>
      <c r="AA1199" s="77" t="s">
        <v>6905</v>
      </c>
      <c r="AB1199" s="77" t="s">
        <v>7696</v>
      </c>
      <c r="AC1199" s="82" t="s">
        <v>7706</v>
      </c>
      <c r="AD1199" s="77" t="s">
        <v>7745</v>
      </c>
      <c r="AE1199" s="80" t="str">
        <f>HYPERLINK("https://twitter.com/robertaleitao11/status/1667299123886804994")</f>
        <v>https://twitter.com/robertaleitao11/status/1667299123886804994</v>
      </c>
      <c r="AF1199" s="79">
        <v>45086.940532407411</v>
      </c>
      <c r="AG1199" s="85">
        <v>45086</v>
      </c>
      <c r="AH1199" s="82" t="s">
        <v>8824</v>
      </c>
      <c r="AI1199" s="77" t="b">
        <v>0</v>
      </c>
      <c r="AJ1199" s="77"/>
      <c r="AK1199" s="77"/>
      <c r="AL1199" s="77"/>
      <c r="AM1199" s="77"/>
      <c r="AN1199" s="77"/>
      <c r="AO1199" s="77"/>
      <c r="AP1199" s="77"/>
      <c r="AQ1199" s="77" t="s">
        <v>11412</v>
      </c>
      <c r="AR1199" s="77"/>
      <c r="AS1199" s="77"/>
      <c r="AT1199" s="77"/>
      <c r="AU1199" s="77"/>
      <c r="AV1199" s="80" t="str">
        <f>HYPERLINK("https://pbs.twimg.com/media/FyNvrBFWYAE_4KY.jpg")</f>
        <v>https://pbs.twimg.com/media/FyNvrBFWYAE_4KY.jpg</v>
      </c>
      <c r="AW1199" s="82" t="s">
        <v>13381</v>
      </c>
      <c r="AX1199" s="82" t="s">
        <v>13381</v>
      </c>
      <c r="AY1199" s="77"/>
      <c r="AZ1199" s="82" t="s">
        <v>15804</v>
      </c>
      <c r="BA1199" s="82" t="s">
        <v>15804</v>
      </c>
      <c r="BB1199" s="82" t="s">
        <v>15804</v>
      </c>
      <c r="BC1199" s="82" t="s">
        <v>13381</v>
      </c>
      <c r="BD1199" s="77">
        <v>308866922</v>
      </c>
      <c r="BE1199" s="77"/>
      <c r="BF1199" s="77"/>
      <c r="BG1199" s="77"/>
      <c r="BH1199" s="77"/>
      <c r="BI1199" s="77"/>
    </row>
    <row r="1200" spans="1:61" x14ac:dyDescent="0.25">
      <c r="A1200" s="62" t="s">
        <v>595</v>
      </c>
      <c r="B1200" s="62" t="s">
        <v>595</v>
      </c>
      <c r="C1200" s="63"/>
      <c r="D1200" s="64"/>
      <c r="E1200" s="65"/>
      <c r="F1200" s="66"/>
      <c r="G1200" s="63"/>
      <c r="H1200" s="67"/>
      <c r="I1200" s="68"/>
      <c r="J1200" s="68"/>
      <c r="K1200" s="32"/>
      <c r="L1200" s="75">
        <v>1200</v>
      </c>
      <c r="M1200" s="75"/>
      <c r="N1200" s="70"/>
      <c r="O1200" s="77" t="s">
        <v>179</v>
      </c>
      <c r="P1200" s="79">
        <v>44945.692314814813</v>
      </c>
      <c r="Q1200" s="77" t="s">
        <v>2293</v>
      </c>
      <c r="R1200" s="77">
        <v>0</v>
      </c>
      <c r="S1200" s="77">
        <v>0</v>
      </c>
      <c r="T1200" s="77">
        <v>0</v>
      </c>
      <c r="U1200" s="77">
        <v>0</v>
      </c>
      <c r="V1200" s="77">
        <v>15</v>
      </c>
      <c r="W1200" s="82" t="s">
        <v>4904</v>
      </c>
      <c r="X1200" s="77"/>
      <c r="Y1200" s="77"/>
      <c r="Z1200" s="77"/>
      <c r="AA1200" s="77"/>
      <c r="AB1200" s="77"/>
      <c r="AC1200" s="82" t="s">
        <v>7706</v>
      </c>
      <c r="AD1200" s="77" t="s">
        <v>7745</v>
      </c>
      <c r="AE1200" s="80" t="str">
        <f>HYPERLINK("https://twitter.com/maniam_podcast/status/1616112483802173440")</f>
        <v>https://twitter.com/maniam_podcast/status/1616112483802173440</v>
      </c>
      <c r="AF1200" s="79">
        <v>44945.692314814813</v>
      </c>
      <c r="AG1200" s="85">
        <v>44945</v>
      </c>
      <c r="AH1200" s="82" t="s">
        <v>8825</v>
      </c>
      <c r="AI1200" s="77"/>
      <c r="AJ1200" s="77"/>
      <c r="AK1200" s="77"/>
      <c r="AL1200" s="77"/>
      <c r="AM1200" s="77"/>
      <c r="AN1200" s="77"/>
      <c r="AO1200" s="77"/>
      <c r="AP1200" s="77"/>
      <c r="AQ1200" s="77"/>
      <c r="AR1200" s="77"/>
      <c r="AS1200" s="77"/>
      <c r="AT1200" s="77"/>
      <c r="AU1200" s="77"/>
      <c r="AV1200" s="80" t="str">
        <f>HYPERLINK("https://pbs.twimg.com/profile_images/1649855069355909121/SaNTSIuQ_normal.jpg")</f>
        <v>https://pbs.twimg.com/profile_images/1649855069355909121/SaNTSIuQ_normal.jpg</v>
      </c>
      <c r="AW1200" s="82" t="s">
        <v>13382</v>
      </c>
      <c r="AX1200" s="82" t="s">
        <v>13382</v>
      </c>
      <c r="AY1200" s="77"/>
      <c r="AZ1200" s="82" t="s">
        <v>15804</v>
      </c>
      <c r="BA1200" s="82" t="s">
        <v>15804</v>
      </c>
      <c r="BB1200" s="82" t="s">
        <v>15804</v>
      </c>
      <c r="BC1200" s="82" t="s">
        <v>13382</v>
      </c>
      <c r="BD1200" s="82" t="s">
        <v>16346</v>
      </c>
      <c r="BE1200" s="77"/>
      <c r="BF1200" s="77"/>
      <c r="BG1200" s="77"/>
      <c r="BH1200" s="77"/>
      <c r="BI1200" s="77"/>
    </row>
    <row r="1201" spans="1:61" x14ac:dyDescent="0.25">
      <c r="A1201" s="62" t="s">
        <v>595</v>
      </c>
      <c r="B1201" s="62" t="s">
        <v>595</v>
      </c>
      <c r="C1201" s="63"/>
      <c r="D1201" s="64"/>
      <c r="E1201" s="65"/>
      <c r="F1201" s="66"/>
      <c r="G1201" s="63"/>
      <c r="H1201" s="67"/>
      <c r="I1201" s="68"/>
      <c r="J1201" s="68"/>
      <c r="K1201" s="32"/>
      <c r="L1201" s="75">
        <v>1201</v>
      </c>
      <c r="M1201" s="75"/>
      <c r="N1201" s="70"/>
      <c r="O1201" s="77" t="s">
        <v>179</v>
      </c>
      <c r="P1201" s="79">
        <v>44945.660370370373</v>
      </c>
      <c r="Q1201" s="77" t="s">
        <v>2294</v>
      </c>
      <c r="R1201" s="77">
        <v>0</v>
      </c>
      <c r="S1201" s="77">
        <v>0</v>
      </c>
      <c r="T1201" s="77">
        <v>0</v>
      </c>
      <c r="U1201" s="77">
        <v>0</v>
      </c>
      <c r="V1201" s="77">
        <v>12</v>
      </c>
      <c r="W1201" s="82" t="s">
        <v>4905</v>
      </c>
      <c r="X1201" s="77"/>
      <c r="Y1201" s="77"/>
      <c r="Z1201" s="77"/>
      <c r="AA1201" s="77"/>
      <c r="AB1201" s="77"/>
      <c r="AC1201" s="82" t="s">
        <v>7706</v>
      </c>
      <c r="AD1201" s="77" t="s">
        <v>7747</v>
      </c>
      <c r="AE1201" s="80" t="str">
        <f>HYPERLINK("https://twitter.com/maniam_podcast/status/1616100906973466627")</f>
        <v>https://twitter.com/maniam_podcast/status/1616100906973466627</v>
      </c>
      <c r="AF1201" s="79">
        <v>44945.660370370373</v>
      </c>
      <c r="AG1201" s="85">
        <v>44945</v>
      </c>
      <c r="AH1201" s="82" t="s">
        <v>8826</v>
      </c>
      <c r="AI1201" s="77"/>
      <c r="AJ1201" s="77"/>
      <c r="AK1201" s="77"/>
      <c r="AL1201" s="77"/>
      <c r="AM1201" s="77"/>
      <c r="AN1201" s="77"/>
      <c r="AO1201" s="77"/>
      <c r="AP1201" s="77"/>
      <c r="AQ1201" s="77"/>
      <c r="AR1201" s="77"/>
      <c r="AS1201" s="77"/>
      <c r="AT1201" s="77"/>
      <c r="AU1201" s="77"/>
      <c r="AV1201" s="80" t="str">
        <f>HYPERLINK("https://pbs.twimg.com/profile_images/1649855069355909121/SaNTSIuQ_normal.jpg")</f>
        <v>https://pbs.twimg.com/profile_images/1649855069355909121/SaNTSIuQ_normal.jpg</v>
      </c>
      <c r="AW1201" s="82" t="s">
        <v>13383</v>
      </c>
      <c r="AX1201" s="82" t="s">
        <v>13383</v>
      </c>
      <c r="AY1201" s="77"/>
      <c r="AZ1201" s="82" t="s">
        <v>15804</v>
      </c>
      <c r="BA1201" s="82" t="s">
        <v>15804</v>
      </c>
      <c r="BB1201" s="82" t="s">
        <v>15804</v>
      </c>
      <c r="BC1201" s="82" t="s">
        <v>13383</v>
      </c>
      <c r="BD1201" s="82" t="s">
        <v>16346</v>
      </c>
      <c r="BE1201" s="77"/>
      <c r="BF1201" s="77"/>
      <c r="BG1201" s="77"/>
      <c r="BH1201" s="77"/>
      <c r="BI1201" s="77"/>
    </row>
    <row r="1202" spans="1:61" x14ac:dyDescent="0.25">
      <c r="A1202" s="62" t="s">
        <v>595</v>
      </c>
      <c r="B1202" s="62" t="s">
        <v>595</v>
      </c>
      <c r="C1202" s="63"/>
      <c r="D1202" s="64"/>
      <c r="E1202" s="65"/>
      <c r="F1202" s="66"/>
      <c r="G1202" s="63"/>
      <c r="H1202" s="67"/>
      <c r="I1202" s="68"/>
      <c r="J1202" s="68"/>
      <c r="K1202" s="32"/>
      <c r="L1202" s="75">
        <v>1202</v>
      </c>
      <c r="M1202" s="75"/>
      <c r="N1202" s="70"/>
      <c r="O1202" s="77" t="s">
        <v>179</v>
      </c>
      <c r="P1202" s="79">
        <v>44945.658321759256</v>
      </c>
      <c r="Q1202" s="77" t="s">
        <v>2295</v>
      </c>
      <c r="R1202" s="77">
        <v>0</v>
      </c>
      <c r="S1202" s="77">
        <v>0</v>
      </c>
      <c r="T1202" s="77">
        <v>0</v>
      </c>
      <c r="U1202" s="77">
        <v>0</v>
      </c>
      <c r="V1202" s="77">
        <v>17</v>
      </c>
      <c r="W1202" s="82" t="s">
        <v>4905</v>
      </c>
      <c r="X1202" s="77"/>
      <c r="Y1202" s="77"/>
      <c r="Z1202" s="77"/>
      <c r="AA1202" s="77"/>
      <c r="AB1202" s="77"/>
      <c r="AC1202" s="82" t="s">
        <v>7706</v>
      </c>
      <c r="AD1202" s="77" t="s">
        <v>7745</v>
      </c>
      <c r="AE1202" s="80" t="str">
        <f>HYPERLINK("https://twitter.com/maniam_podcast/status/1616100163470196736")</f>
        <v>https://twitter.com/maniam_podcast/status/1616100163470196736</v>
      </c>
      <c r="AF1202" s="79">
        <v>44945.658321759256</v>
      </c>
      <c r="AG1202" s="85">
        <v>44945</v>
      </c>
      <c r="AH1202" s="82" t="s">
        <v>8827</v>
      </c>
      <c r="AI1202" s="77"/>
      <c r="AJ1202" s="77"/>
      <c r="AK1202" s="77"/>
      <c r="AL1202" s="77"/>
      <c r="AM1202" s="77"/>
      <c r="AN1202" s="77"/>
      <c r="AO1202" s="77"/>
      <c r="AP1202" s="77"/>
      <c r="AQ1202" s="77"/>
      <c r="AR1202" s="77"/>
      <c r="AS1202" s="77"/>
      <c r="AT1202" s="77"/>
      <c r="AU1202" s="77"/>
      <c r="AV1202" s="80" t="str">
        <f>HYPERLINK("https://pbs.twimg.com/profile_images/1649855069355909121/SaNTSIuQ_normal.jpg")</f>
        <v>https://pbs.twimg.com/profile_images/1649855069355909121/SaNTSIuQ_normal.jpg</v>
      </c>
      <c r="AW1202" s="82" t="s">
        <v>13384</v>
      </c>
      <c r="AX1202" s="82" t="s">
        <v>13384</v>
      </c>
      <c r="AY1202" s="77"/>
      <c r="AZ1202" s="82" t="s">
        <v>15804</v>
      </c>
      <c r="BA1202" s="82" t="s">
        <v>15804</v>
      </c>
      <c r="BB1202" s="82" t="s">
        <v>15804</v>
      </c>
      <c r="BC1202" s="82" t="s">
        <v>13384</v>
      </c>
      <c r="BD1202" s="82" t="s">
        <v>16346</v>
      </c>
      <c r="BE1202" s="77"/>
      <c r="BF1202" s="77"/>
      <c r="BG1202" s="77"/>
      <c r="BH1202" s="77"/>
      <c r="BI1202" s="77"/>
    </row>
    <row r="1203" spans="1:61" x14ac:dyDescent="0.25">
      <c r="A1203" s="62" t="s">
        <v>596</v>
      </c>
      <c r="B1203" s="62" t="s">
        <v>596</v>
      </c>
      <c r="C1203" s="63"/>
      <c r="D1203" s="64"/>
      <c r="E1203" s="65"/>
      <c r="F1203" s="66"/>
      <c r="G1203" s="63"/>
      <c r="H1203" s="67"/>
      <c r="I1203" s="68"/>
      <c r="J1203" s="68"/>
      <c r="K1203" s="32"/>
      <c r="L1203" s="75">
        <v>1203</v>
      </c>
      <c r="M1203" s="75"/>
      <c r="N1203" s="70"/>
      <c r="O1203" s="77" t="s">
        <v>179</v>
      </c>
      <c r="P1203" s="79">
        <v>45111.729687500003</v>
      </c>
      <c r="Q1203" s="77" t="s">
        <v>2296</v>
      </c>
      <c r="R1203" s="77">
        <v>0</v>
      </c>
      <c r="S1203" s="77">
        <v>0</v>
      </c>
      <c r="T1203" s="77">
        <v>0</v>
      </c>
      <c r="U1203" s="77">
        <v>0</v>
      </c>
      <c r="V1203" s="77">
        <v>2</v>
      </c>
      <c r="W1203" s="82" t="s">
        <v>4906</v>
      </c>
      <c r="X1203" s="80" t="str">
        <f>HYPERLINK("http://fluir.ibgtaubate.com.br")</f>
        <v>http://fluir.ibgtaubate.com.br</v>
      </c>
      <c r="Y1203" s="77" t="s">
        <v>6002</v>
      </c>
      <c r="Z1203" s="77"/>
      <c r="AA1203" s="77" t="s">
        <v>6906</v>
      </c>
      <c r="AB1203" s="77" t="s">
        <v>7696</v>
      </c>
      <c r="AC1203" s="82" t="s">
        <v>7708</v>
      </c>
      <c r="AD1203" s="77" t="s">
        <v>7745</v>
      </c>
      <c r="AE1203" s="80" t="str">
        <f>HYPERLINK("https://twitter.com/fluir_ibg/status/1676282412207054858")</f>
        <v>https://twitter.com/fluir_ibg/status/1676282412207054858</v>
      </c>
      <c r="AF1203" s="79">
        <v>45111.729687500003</v>
      </c>
      <c r="AG1203" s="85">
        <v>45111</v>
      </c>
      <c r="AH1203" s="82" t="s">
        <v>8828</v>
      </c>
      <c r="AI1203" s="77" t="b">
        <v>0</v>
      </c>
      <c r="AJ1203" s="77"/>
      <c r="AK1203" s="77"/>
      <c r="AL1203" s="77"/>
      <c r="AM1203" s="77"/>
      <c r="AN1203" s="77"/>
      <c r="AO1203" s="77"/>
      <c r="AP1203" s="77"/>
      <c r="AQ1203" s="77" t="s">
        <v>11413</v>
      </c>
      <c r="AR1203" s="77"/>
      <c r="AS1203" s="77"/>
      <c r="AT1203" s="77"/>
      <c r="AU1203" s="77"/>
      <c r="AV1203" s="80" t="str">
        <f>HYPERLINK("https://pbs.twimg.com/media/F0NZ-G4WIAIe2Tk.jpg")</f>
        <v>https://pbs.twimg.com/media/F0NZ-G4WIAIe2Tk.jpg</v>
      </c>
      <c r="AW1203" s="82" t="s">
        <v>13385</v>
      </c>
      <c r="AX1203" s="82" t="s">
        <v>13385</v>
      </c>
      <c r="AY1203" s="77"/>
      <c r="AZ1203" s="82" t="s">
        <v>15804</v>
      </c>
      <c r="BA1203" s="82" t="s">
        <v>15804</v>
      </c>
      <c r="BB1203" s="82" t="s">
        <v>15804</v>
      </c>
      <c r="BC1203" s="82" t="s">
        <v>13385</v>
      </c>
      <c r="BD1203" s="82" t="s">
        <v>16347</v>
      </c>
      <c r="BE1203" s="77"/>
      <c r="BF1203" s="77"/>
      <c r="BG1203" s="77"/>
      <c r="BH1203" s="77"/>
      <c r="BI1203" s="77"/>
    </row>
    <row r="1204" spans="1:61" x14ac:dyDescent="0.25">
      <c r="A1204" s="62" t="s">
        <v>597</v>
      </c>
      <c r="B1204" s="62" t="s">
        <v>597</v>
      </c>
      <c r="C1204" s="63"/>
      <c r="D1204" s="64"/>
      <c r="E1204" s="65"/>
      <c r="F1204" s="66"/>
      <c r="G1204" s="63"/>
      <c r="H1204" s="67"/>
      <c r="I1204" s="68"/>
      <c r="J1204" s="68"/>
      <c r="K1204" s="32"/>
      <c r="L1204" s="75">
        <v>1204</v>
      </c>
      <c r="M1204" s="75"/>
      <c r="N1204" s="70"/>
      <c r="O1204" s="77" t="s">
        <v>179</v>
      </c>
      <c r="P1204" s="79">
        <v>45145.486215277779</v>
      </c>
      <c r="Q1204" s="77" t="s">
        <v>2297</v>
      </c>
      <c r="R1204" s="77">
        <v>0</v>
      </c>
      <c r="S1204" s="77">
        <v>0</v>
      </c>
      <c r="T1204" s="77">
        <v>0</v>
      </c>
      <c r="U1204" s="77">
        <v>0</v>
      </c>
      <c r="V1204" s="77">
        <v>12</v>
      </c>
      <c r="W1204" s="82" t="s">
        <v>4907</v>
      </c>
      <c r="X1204" s="80" t="str">
        <f>HYPERLINK("https://pay.kiwify.com.br/Ny4jtvJ")</f>
        <v>https://pay.kiwify.com.br/Ny4jtvJ</v>
      </c>
      <c r="Y1204" s="77" t="s">
        <v>6002</v>
      </c>
      <c r="Z1204" s="77"/>
      <c r="AA1204" s="77" t="s">
        <v>6907</v>
      </c>
      <c r="AB1204" s="77" t="s">
        <v>7696</v>
      </c>
      <c r="AC1204" s="82" t="s">
        <v>7707</v>
      </c>
      <c r="AD1204" s="77" t="s">
        <v>7745</v>
      </c>
      <c r="AE1204" s="80" t="str">
        <f>HYPERLINK("https://twitter.com/dav49057david/status/1688515368325693440")</f>
        <v>https://twitter.com/dav49057david/status/1688515368325693440</v>
      </c>
      <c r="AF1204" s="79">
        <v>45145.486215277779</v>
      </c>
      <c r="AG1204" s="85">
        <v>45145</v>
      </c>
      <c r="AH1204" s="82" t="s">
        <v>8829</v>
      </c>
      <c r="AI1204" s="77" t="b">
        <v>0</v>
      </c>
      <c r="AJ1204" s="77"/>
      <c r="AK1204" s="77"/>
      <c r="AL1204" s="77"/>
      <c r="AM1204" s="77"/>
      <c r="AN1204" s="77"/>
      <c r="AO1204" s="77"/>
      <c r="AP1204" s="77"/>
      <c r="AQ1204" s="77" t="s">
        <v>11414</v>
      </c>
      <c r="AR1204" s="77"/>
      <c r="AS1204" s="77"/>
      <c r="AT1204" s="77"/>
      <c r="AU1204" s="77"/>
      <c r="AV1204" s="80" t="str">
        <f>HYPERLINK("https://pbs.twimg.com/media/F27Px10X0AAopYJ.jpg")</f>
        <v>https://pbs.twimg.com/media/F27Px10X0AAopYJ.jpg</v>
      </c>
      <c r="AW1204" s="82" t="s">
        <v>13386</v>
      </c>
      <c r="AX1204" s="82" t="s">
        <v>13386</v>
      </c>
      <c r="AY1204" s="77"/>
      <c r="AZ1204" s="82" t="s">
        <v>15804</v>
      </c>
      <c r="BA1204" s="82" t="s">
        <v>15804</v>
      </c>
      <c r="BB1204" s="82" t="s">
        <v>15804</v>
      </c>
      <c r="BC1204" s="82" t="s">
        <v>13386</v>
      </c>
      <c r="BD1204" s="82" t="s">
        <v>16348</v>
      </c>
      <c r="BE1204" s="77"/>
      <c r="BF1204" s="77"/>
      <c r="BG1204" s="77"/>
      <c r="BH1204" s="77"/>
      <c r="BI1204" s="77"/>
    </row>
    <row r="1205" spans="1:61" x14ac:dyDescent="0.25">
      <c r="A1205" s="62" t="s">
        <v>598</v>
      </c>
      <c r="B1205" s="62" t="s">
        <v>598</v>
      </c>
      <c r="C1205" s="63"/>
      <c r="D1205" s="64"/>
      <c r="E1205" s="65"/>
      <c r="F1205" s="66"/>
      <c r="G1205" s="63"/>
      <c r="H1205" s="67"/>
      <c r="I1205" s="68"/>
      <c r="J1205" s="68"/>
      <c r="K1205" s="32"/>
      <c r="L1205" s="75">
        <v>1205</v>
      </c>
      <c r="M1205" s="75"/>
      <c r="N1205" s="70"/>
      <c r="O1205" s="77" t="s">
        <v>179</v>
      </c>
      <c r="P1205" s="79">
        <v>45113.552453703705</v>
      </c>
      <c r="Q1205" s="77" t="s">
        <v>2298</v>
      </c>
      <c r="R1205" s="77">
        <v>0</v>
      </c>
      <c r="S1205" s="77">
        <v>1</v>
      </c>
      <c r="T1205" s="77">
        <v>0</v>
      </c>
      <c r="U1205" s="77">
        <v>0</v>
      </c>
      <c r="V1205" s="77">
        <v>58</v>
      </c>
      <c r="W1205" s="82" t="s">
        <v>4908</v>
      </c>
      <c r="X1205" s="77"/>
      <c r="Y1205" s="77"/>
      <c r="Z1205" s="77"/>
      <c r="AA1205" s="77" t="s">
        <v>6908</v>
      </c>
      <c r="AB1205" s="77" t="s">
        <v>7697</v>
      </c>
      <c r="AC1205" s="82" t="s">
        <v>7706</v>
      </c>
      <c r="AD1205" s="77" t="s">
        <v>7745</v>
      </c>
      <c r="AE1205" s="80" t="str">
        <f>HYPERLINK("https://twitter.com/leomorban/status/1676942959076421634")</f>
        <v>https://twitter.com/leomorban/status/1676942959076421634</v>
      </c>
      <c r="AF1205" s="79">
        <v>45113.552453703705</v>
      </c>
      <c r="AG1205" s="85">
        <v>45113</v>
      </c>
      <c r="AH1205" s="82" t="s">
        <v>8830</v>
      </c>
      <c r="AI1205" s="77" t="b">
        <v>0</v>
      </c>
      <c r="AJ1205" s="77"/>
      <c r="AK1205" s="77"/>
      <c r="AL1205" s="77"/>
      <c r="AM1205" s="77"/>
      <c r="AN1205" s="77"/>
      <c r="AO1205" s="77"/>
      <c r="AP1205" s="77"/>
      <c r="AQ1205" s="77" t="s">
        <v>11415</v>
      </c>
      <c r="AR1205" s="77">
        <v>58633</v>
      </c>
      <c r="AS1205" s="77"/>
      <c r="AT1205" s="77"/>
      <c r="AU1205" s="77">
        <v>20</v>
      </c>
      <c r="AV1205" s="80" t="str">
        <f>HYPERLINK("https://pbs.twimg.com/ext_tw_video_thumb/1676942781061775361/pu/img/mG_c81_Z3jsNTtnn.jpg")</f>
        <v>https://pbs.twimg.com/ext_tw_video_thumb/1676942781061775361/pu/img/mG_c81_Z3jsNTtnn.jpg</v>
      </c>
      <c r="AW1205" s="82" t="s">
        <v>13387</v>
      </c>
      <c r="AX1205" s="82" t="s">
        <v>13387</v>
      </c>
      <c r="AY1205" s="77"/>
      <c r="AZ1205" s="82" t="s">
        <v>15804</v>
      </c>
      <c r="BA1205" s="82" t="s">
        <v>15804</v>
      </c>
      <c r="BB1205" s="82" t="s">
        <v>15804</v>
      </c>
      <c r="BC1205" s="82" t="s">
        <v>13387</v>
      </c>
      <c r="BD1205" s="77">
        <v>307533855</v>
      </c>
      <c r="BE1205" s="77"/>
      <c r="BF1205" s="77"/>
      <c r="BG1205" s="77"/>
      <c r="BH1205" s="77"/>
      <c r="BI1205" s="77"/>
    </row>
    <row r="1206" spans="1:61" x14ac:dyDescent="0.25">
      <c r="A1206" s="62" t="s">
        <v>599</v>
      </c>
      <c r="B1206" s="62" t="s">
        <v>599</v>
      </c>
      <c r="C1206" s="63"/>
      <c r="D1206" s="64"/>
      <c r="E1206" s="65"/>
      <c r="F1206" s="66"/>
      <c r="G1206" s="63"/>
      <c r="H1206" s="67"/>
      <c r="I1206" s="68"/>
      <c r="J1206" s="68"/>
      <c r="K1206" s="32"/>
      <c r="L1206" s="75">
        <v>1206</v>
      </c>
      <c r="M1206" s="75"/>
      <c r="N1206" s="70"/>
      <c r="O1206" s="77" t="s">
        <v>179</v>
      </c>
      <c r="P1206" s="79">
        <v>44967.684166666666</v>
      </c>
      <c r="Q1206" s="77" t="s">
        <v>2299</v>
      </c>
      <c r="R1206" s="77">
        <v>0</v>
      </c>
      <c r="S1206" s="77">
        <v>1</v>
      </c>
      <c r="T1206" s="77">
        <v>1</v>
      </c>
      <c r="U1206" s="77">
        <v>0</v>
      </c>
      <c r="V1206" s="77">
        <v>16</v>
      </c>
      <c r="W1206" s="82" t="s">
        <v>4147</v>
      </c>
      <c r="X1206" s="77"/>
      <c r="Y1206" s="77"/>
      <c r="Z1206" s="77"/>
      <c r="AA1206" s="77"/>
      <c r="AB1206" s="77"/>
      <c r="AC1206" s="82" t="s">
        <v>7707</v>
      </c>
      <c r="AD1206" s="77" t="s">
        <v>7745</v>
      </c>
      <c r="AE1206" s="80" t="str">
        <f>HYPERLINK("https://twitter.com/tretacripto/status/1624082065019789313")</f>
        <v>https://twitter.com/tretacripto/status/1624082065019789313</v>
      </c>
      <c r="AF1206" s="79">
        <v>44967.684166666666</v>
      </c>
      <c r="AG1206" s="85">
        <v>44967</v>
      </c>
      <c r="AH1206" s="82" t="s">
        <v>8831</v>
      </c>
      <c r="AI1206" s="77"/>
      <c r="AJ1206" s="77"/>
      <c r="AK1206" s="77"/>
      <c r="AL1206" s="77"/>
      <c r="AM1206" s="77"/>
      <c r="AN1206" s="77"/>
      <c r="AO1206" s="77"/>
      <c r="AP1206" s="77"/>
      <c r="AQ1206" s="77"/>
      <c r="AR1206" s="77"/>
      <c r="AS1206" s="77"/>
      <c r="AT1206" s="77"/>
      <c r="AU1206" s="77"/>
      <c r="AV1206" s="80" t="str">
        <f>HYPERLINK("https://pbs.twimg.com/profile_images/1637540539015872517/LLOu0MEf_normal.jpg")</f>
        <v>https://pbs.twimg.com/profile_images/1637540539015872517/LLOu0MEf_normal.jpg</v>
      </c>
      <c r="AW1206" s="82" t="s">
        <v>13388</v>
      </c>
      <c r="AX1206" s="82" t="s">
        <v>13388</v>
      </c>
      <c r="AY1206" s="77"/>
      <c r="AZ1206" s="82" t="s">
        <v>15804</v>
      </c>
      <c r="BA1206" s="82" t="s">
        <v>15804</v>
      </c>
      <c r="BB1206" s="82" t="s">
        <v>15804</v>
      </c>
      <c r="BC1206" s="82" t="s">
        <v>13388</v>
      </c>
      <c r="BD1206" s="82" t="s">
        <v>16349</v>
      </c>
      <c r="BE1206" s="77"/>
      <c r="BF1206" s="77"/>
      <c r="BG1206" s="77"/>
      <c r="BH1206" s="77"/>
      <c r="BI1206" s="77"/>
    </row>
    <row r="1207" spans="1:61" x14ac:dyDescent="0.25">
      <c r="A1207" s="62" t="s">
        <v>600</v>
      </c>
      <c r="B1207" s="62" t="s">
        <v>600</v>
      </c>
      <c r="C1207" s="63"/>
      <c r="D1207" s="64"/>
      <c r="E1207" s="65"/>
      <c r="F1207" s="66"/>
      <c r="G1207" s="63"/>
      <c r="H1207" s="67"/>
      <c r="I1207" s="68"/>
      <c r="J1207" s="68"/>
      <c r="K1207" s="32"/>
      <c r="L1207" s="75">
        <v>1207</v>
      </c>
      <c r="M1207" s="75"/>
      <c r="N1207" s="70"/>
      <c r="O1207" s="77" t="s">
        <v>179</v>
      </c>
      <c r="P1207" s="79">
        <v>45135.80945601852</v>
      </c>
      <c r="Q1207" s="77" t="s">
        <v>2300</v>
      </c>
      <c r="R1207" s="77">
        <v>0</v>
      </c>
      <c r="S1207" s="77">
        <v>0</v>
      </c>
      <c r="T1207" s="77">
        <v>0</v>
      </c>
      <c r="U1207" s="77">
        <v>0</v>
      </c>
      <c r="V1207" s="77">
        <v>63</v>
      </c>
      <c r="W1207" s="82" t="s">
        <v>4097</v>
      </c>
      <c r="X1207" s="77"/>
      <c r="Y1207" s="77"/>
      <c r="Z1207" s="77"/>
      <c r="AA1207" s="77" t="s">
        <v>6909</v>
      </c>
      <c r="AB1207" s="77" t="s">
        <v>7697</v>
      </c>
      <c r="AC1207" s="82" t="s">
        <v>7705</v>
      </c>
      <c r="AD1207" s="77" t="s">
        <v>7745</v>
      </c>
      <c r="AE1207" s="80" t="str">
        <f>HYPERLINK("https://twitter.com/gabriels_gouvea/status/1685008626866393088")</f>
        <v>https://twitter.com/gabriels_gouvea/status/1685008626866393088</v>
      </c>
      <c r="AF1207" s="79">
        <v>45135.80945601852</v>
      </c>
      <c r="AG1207" s="85">
        <v>45135</v>
      </c>
      <c r="AH1207" s="82" t="s">
        <v>8832</v>
      </c>
      <c r="AI1207" s="77" t="b">
        <v>0</v>
      </c>
      <c r="AJ1207" s="77"/>
      <c r="AK1207" s="77"/>
      <c r="AL1207" s="77"/>
      <c r="AM1207" s="77"/>
      <c r="AN1207" s="77"/>
      <c r="AO1207" s="77"/>
      <c r="AP1207" s="77"/>
      <c r="AQ1207" s="77" t="s">
        <v>11416</v>
      </c>
      <c r="AR1207" s="77">
        <v>84666</v>
      </c>
      <c r="AS1207" s="77"/>
      <c r="AT1207" s="77"/>
      <c r="AU1207" s="77">
        <v>18</v>
      </c>
      <c r="AV1207" s="80" t="str">
        <f>HYPERLINK("https://pbs.twimg.com/ext_tw_video_thumb/1685008540807704578/pu/img/8RUAnWzJ-ZBCaoct.jpg")</f>
        <v>https://pbs.twimg.com/ext_tw_video_thumb/1685008540807704578/pu/img/8RUAnWzJ-ZBCaoct.jpg</v>
      </c>
      <c r="AW1207" s="82" t="s">
        <v>13389</v>
      </c>
      <c r="AX1207" s="82" t="s">
        <v>13389</v>
      </c>
      <c r="AY1207" s="77"/>
      <c r="AZ1207" s="82" t="s">
        <v>15804</v>
      </c>
      <c r="BA1207" s="82" t="s">
        <v>15804</v>
      </c>
      <c r="BB1207" s="82" t="s">
        <v>15804</v>
      </c>
      <c r="BC1207" s="82" t="s">
        <v>13389</v>
      </c>
      <c r="BD1207" s="82" t="s">
        <v>16350</v>
      </c>
      <c r="BE1207" s="77"/>
      <c r="BF1207" s="77"/>
      <c r="BG1207" s="77"/>
      <c r="BH1207" s="77"/>
      <c r="BI1207" s="77"/>
    </row>
    <row r="1208" spans="1:61" x14ac:dyDescent="0.25">
      <c r="A1208" s="62" t="s">
        <v>600</v>
      </c>
      <c r="B1208" s="62" t="s">
        <v>600</v>
      </c>
      <c r="C1208" s="63"/>
      <c r="D1208" s="64"/>
      <c r="E1208" s="65"/>
      <c r="F1208" s="66"/>
      <c r="G1208" s="63"/>
      <c r="H1208" s="67"/>
      <c r="I1208" s="68"/>
      <c r="J1208" s="68"/>
      <c r="K1208" s="32"/>
      <c r="L1208" s="75">
        <v>1208</v>
      </c>
      <c r="M1208" s="75"/>
      <c r="N1208" s="70"/>
      <c r="O1208" s="77" t="s">
        <v>179</v>
      </c>
      <c r="P1208" s="79">
        <v>45126.764872685184</v>
      </c>
      <c r="Q1208" s="77" t="s">
        <v>2301</v>
      </c>
      <c r="R1208" s="77">
        <v>0</v>
      </c>
      <c r="S1208" s="77">
        <v>0</v>
      </c>
      <c r="T1208" s="77">
        <v>0</v>
      </c>
      <c r="U1208" s="77">
        <v>0</v>
      </c>
      <c r="V1208" s="77">
        <v>69</v>
      </c>
      <c r="W1208" s="82" t="s">
        <v>4097</v>
      </c>
      <c r="X1208" s="77"/>
      <c r="Y1208" s="77"/>
      <c r="Z1208" s="77"/>
      <c r="AA1208" s="77" t="s">
        <v>6910</v>
      </c>
      <c r="AB1208" s="77" t="s">
        <v>7697</v>
      </c>
      <c r="AC1208" s="82" t="s">
        <v>7705</v>
      </c>
      <c r="AD1208" s="77" t="s">
        <v>7745</v>
      </c>
      <c r="AE1208" s="80" t="str">
        <f>HYPERLINK("https://twitter.com/gabriels_gouvea/status/1681730979029762063")</f>
        <v>https://twitter.com/gabriels_gouvea/status/1681730979029762063</v>
      </c>
      <c r="AF1208" s="79">
        <v>45126.764872685184</v>
      </c>
      <c r="AG1208" s="85">
        <v>45126</v>
      </c>
      <c r="AH1208" s="82" t="s">
        <v>8833</v>
      </c>
      <c r="AI1208" s="77" t="b">
        <v>0</v>
      </c>
      <c r="AJ1208" s="77"/>
      <c r="AK1208" s="77"/>
      <c r="AL1208" s="77"/>
      <c r="AM1208" s="77"/>
      <c r="AN1208" s="77"/>
      <c r="AO1208" s="77"/>
      <c r="AP1208" s="77"/>
      <c r="AQ1208" s="77" t="s">
        <v>11417</v>
      </c>
      <c r="AR1208" s="77">
        <v>31966</v>
      </c>
      <c r="AS1208" s="77"/>
      <c r="AT1208" s="77"/>
      <c r="AU1208" s="77">
        <v>15</v>
      </c>
      <c r="AV1208" s="80" t="str">
        <f>HYPERLINK("https://pbs.twimg.com/ext_tw_video_thumb/1681730922901544961/pu/img/jJfYiodjkgCFeeHP.jpg")</f>
        <v>https://pbs.twimg.com/ext_tw_video_thumb/1681730922901544961/pu/img/jJfYiodjkgCFeeHP.jpg</v>
      </c>
      <c r="AW1208" s="82" t="s">
        <v>13390</v>
      </c>
      <c r="AX1208" s="82" t="s">
        <v>13390</v>
      </c>
      <c r="AY1208" s="77"/>
      <c r="AZ1208" s="82" t="s">
        <v>15804</v>
      </c>
      <c r="BA1208" s="82" t="s">
        <v>15804</v>
      </c>
      <c r="BB1208" s="82" t="s">
        <v>15804</v>
      </c>
      <c r="BC1208" s="82" t="s">
        <v>13390</v>
      </c>
      <c r="BD1208" s="82" t="s">
        <v>16350</v>
      </c>
      <c r="BE1208" s="77"/>
      <c r="BF1208" s="77"/>
      <c r="BG1208" s="77"/>
      <c r="BH1208" s="77"/>
      <c r="BI1208" s="77"/>
    </row>
    <row r="1209" spans="1:61" x14ac:dyDescent="0.25">
      <c r="A1209" s="62" t="s">
        <v>600</v>
      </c>
      <c r="B1209" s="62" t="s">
        <v>600</v>
      </c>
      <c r="C1209" s="63"/>
      <c r="D1209" s="64"/>
      <c r="E1209" s="65"/>
      <c r="F1209" s="66"/>
      <c r="G1209" s="63"/>
      <c r="H1209" s="67"/>
      <c r="I1209" s="68"/>
      <c r="J1209" s="68"/>
      <c r="K1209" s="32"/>
      <c r="L1209" s="75">
        <v>1209</v>
      </c>
      <c r="M1209" s="75"/>
      <c r="N1209" s="70"/>
      <c r="O1209" s="77" t="s">
        <v>179</v>
      </c>
      <c r="P1209" s="79">
        <v>45114.936076388891</v>
      </c>
      <c r="Q1209" s="77" t="s">
        <v>2302</v>
      </c>
      <c r="R1209" s="77">
        <v>0</v>
      </c>
      <c r="S1209" s="77">
        <v>1</v>
      </c>
      <c r="T1209" s="77">
        <v>0</v>
      </c>
      <c r="U1209" s="77">
        <v>0</v>
      </c>
      <c r="V1209" s="77">
        <v>61</v>
      </c>
      <c r="W1209" s="82" t="s">
        <v>4097</v>
      </c>
      <c r="X1209" s="77"/>
      <c r="Y1209" s="77"/>
      <c r="Z1209" s="77"/>
      <c r="AA1209" s="77" t="s">
        <v>6911</v>
      </c>
      <c r="AB1209" s="77" t="s">
        <v>7697</v>
      </c>
      <c r="AC1209" s="82" t="s">
        <v>7705</v>
      </c>
      <c r="AD1209" s="77" t="s">
        <v>7745</v>
      </c>
      <c r="AE1209" s="80" t="str">
        <f>HYPERLINK("https://twitter.com/gabriels_gouvea/status/1677444369870204929")</f>
        <v>https://twitter.com/gabriels_gouvea/status/1677444369870204929</v>
      </c>
      <c r="AF1209" s="79">
        <v>45114.936076388891</v>
      </c>
      <c r="AG1209" s="85">
        <v>45114</v>
      </c>
      <c r="AH1209" s="82" t="s">
        <v>8834</v>
      </c>
      <c r="AI1209" s="77" t="b">
        <v>0</v>
      </c>
      <c r="AJ1209" s="77"/>
      <c r="AK1209" s="77"/>
      <c r="AL1209" s="77"/>
      <c r="AM1209" s="77"/>
      <c r="AN1209" s="77"/>
      <c r="AO1209" s="77"/>
      <c r="AP1209" s="77"/>
      <c r="AQ1209" s="77" t="s">
        <v>11418</v>
      </c>
      <c r="AR1209" s="77">
        <v>87066</v>
      </c>
      <c r="AS1209" s="77"/>
      <c r="AT1209" s="77"/>
      <c r="AU1209" s="77">
        <v>19</v>
      </c>
      <c r="AV1209" s="80" t="str">
        <f>HYPERLINK("https://pbs.twimg.com/ext_tw_video_thumb/1677444259127984128/pu/img/RQsEjzUzJAliqLBv.jpg")</f>
        <v>https://pbs.twimg.com/ext_tw_video_thumb/1677444259127984128/pu/img/RQsEjzUzJAliqLBv.jpg</v>
      </c>
      <c r="AW1209" s="82" t="s">
        <v>13391</v>
      </c>
      <c r="AX1209" s="82" t="s">
        <v>13391</v>
      </c>
      <c r="AY1209" s="77"/>
      <c r="AZ1209" s="82" t="s">
        <v>15804</v>
      </c>
      <c r="BA1209" s="82" t="s">
        <v>15804</v>
      </c>
      <c r="BB1209" s="82" t="s">
        <v>15804</v>
      </c>
      <c r="BC1209" s="82" t="s">
        <v>13391</v>
      </c>
      <c r="BD1209" s="82" t="s">
        <v>16350</v>
      </c>
      <c r="BE1209" s="77"/>
      <c r="BF1209" s="77"/>
      <c r="BG1209" s="77"/>
      <c r="BH1209" s="77"/>
      <c r="BI1209" s="77"/>
    </row>
    <row r="1210" spans="1:61" x14ac:dyDescent="0.25">
      <c r="A1210" s="62" t="s">
        <v>600</v>
      </c>
      <c r="B1210" s="62" t="s">
        <v>600</v>
      </c>
      <c r="C1210" s="63"/>
      <c r="D1210" s="64"/>
      <c r="E1210" s="65"/>
      <c r="F1210" s="66"/>
      <c r="G1210" s="63"/>
      <c r="H1210" s="67"/>
      <c r="I1210" s="68"/>
      <c r="J1210" s="68"/>
      <c r="K1210" s="32"/>
      <c r="L1210" s="75">
        <v>1210</v>
      </c>
      <c r="M1210" s="75"/>
      <c r="N1210" s="70"/>
      <c r="O1210" s="77" t="s">
        <v>179</v>
      </c>
      <c r="P1210" s="79">
        <v>45138.961597222224</v>
      </c>
      <c r="Q1210" s="77" t="s">
        <v>2303</v>
      </c>
      <c r="R1210" s="77">
        <v>0</v>
      </c>
      <c r="S1210" s="77">
        <v>0</v>
      </c>
      <c r="T1210" s="77">
        <v>0</v>
      </c>
      <c r="U1210" s="77">
        <v>0</v>
      </c>
      <c r="V1210" s="77">
        <v>35</v>
      </c>
      <c r="W1210" s="82" t="s">
        <v>4909</v>
      </c>
      <c r="X1210" s="77"/>
      <c r="Y1210" s="77"/>
      <c r="Z1210" s="77"/>
      <c r="AA1210" s="77" t="s">
        <v>6912</v>
      </c>
      <c r="AB1210" s="77" t="s">
        <v>7697</v>
      </c>
      <c r="AC1210" s="82" t="s">
        <v>7705</v>
      </c>
      <c r="AD1210" s="77" t="s">
        <v>7745</v>
      </c>
      <c r="AE1210" s="80" t="str">
        <f>HYPERLINK("https://twitter.com/gabriels_gouvea/status/1686150927474978816")</f>
        <v>https://twitter.com/gabriels_gouvea/status/1686150927474978816</v>
      </c>
      <c r="AF1210" s="79">
        <v>45138.961597222224</v>
      </c>
      <c r="AG1210" s="85">
        <v>45138</v>
      </c>
      <c r="AH1210" s="82" t="s">
        <v>8835</v>
      </c>
      <c r="AI1210" s="77" t="b">
        <v>0</v>
      </c>
      <c r="AJ1210" s="77"/>
      <c r="AK1210" s="77"/>
      <c r="AL1210" s="77"/>
      <c r="AM1210" s="77"/>
      <c r="AN1210" s="77"/>
      <c r="AO1210" s="77"/>
      <c r="AP1210" s="77"/>
      <c r="AQ1210" s="77" t="s">
        <v>11419</v>
      </c>
      <c r="AR1210" s="77">
        <v>36600</v>
      </c>
      <c r="AS1210" s="77"/>
      <c r="AT1210" s="77"/>
      <c r="AU1210" s="77">
        <v>11</v>
      </c>
      <c r="AV1210" s="80" t="str">
        <f>HYPERLINK("https://pbs.twimg.com/ext_tw_video_thumb/1686150868574343168/pu/img/wZm0hCQE8UPyzUzo.jpg")</f>
        <v>https://pbs.twimg.com/ext_tw_video_thumb/1686150868574343168/pu/img/wZm0hCQE8UPyzUzo.jpg</v>
      </c>
      <c r="AW1210" s="82" t="s">
        <v>13392</v>
      </c>
      <c r="AX1210" s="82" t="s">
        <v>13392</v>
      </c>
      <c r="AY1210" s="77"/>
      <c r="AZ1210" s="82" t="s">
        <v>15804</v>
      </c>
      <c r="BA1210" s="82" t="s">
        <v>15804</v>
      </c>
      <c r="BB1210" s="82" t="s">
        <v>15804</v>
      </c>
      <c r="BC1210" s="82" t="s">
        <v>13392</v>
      </c>
      <c r="BD1210" s="82" t="s">
        <v>16350</v>
      </c>
      <c r="BE1210" s="77"/>
      <c r="BF1210" s="77"/>
      <c r="BG1210" s="77"/>
      <c r="BH1210" s="77"/>
      <c r="BI1210" s="77"/>
    </row>
    <row r="1211" spans="1:61" x14ac:dyDescent="0.25">
      <c r="A1211" s="62" t="s">
        <v>600</v>
      </c>
      <c r="B1211" s="62" t="s">
        <v>600</v>
      </c>
      <c r="C1211" s="63"/>
      <c r="D1211" s="64"/>
      <c r="E1211" s="65"/>
      <c r="F1211" s="66"/>
      <c r="G1211" s="63"/>
      <c r="H1211" s="67"/>
      <c r="I1211" s="68"/>
      <c r="J1211" s="68"/>
      <c r="K1211" s="32"/>
      <c r="L1211" s="75">
        <v>1211</v>
      </c>
      <c r="M1211" s="75"/>
      <c r="N1211" s="70"/>
      <c r="O1211" s="77" t="s">
        <v>179</v>
      </c>
      <c r="P1211" s="79">
        <v>45117.579282407409</v>
      </c>
      <c r="Q1211" s="77" t="s">
        <v>2304</v>
      </c>
      <c r="R1211" s="77">
        <v>0</v>
      </c>
      <c r="S1211" s="77">
        <v>1</v>
      </c>
      <c r="T1211" s="77">
        <v>0</v>
      </c>
      <c r="U1211" s="77">
        <v>0</v>
      </c>
      <c r="V1211" s="77">
        <v>90</v>
      </c>
      <c r="W1211" s="82" t="s">
        <v>4910</v>
      </c>
      <c r="X1211" s="77"/>
      <c r="Y1211" s="77"/>
      <c r="Z1211" s="77"/>
      <c r="AA1211" s="77" t="s">
        <v>6913</v>
      </c>
      <c r="AB1211" s="77" t="s">
        <v>7697</v>
      </c>
      <c r="AC1211" s="82" t="s">
        <v>7705</v>
      </c>
      <c r="AD1211" s="77" t="s">
        <v>7745</v>
      </c>
      <c r="AE1211" s="80" t="str">
        <f>HYPERLINK("https://twitter.com/gabriels_gouvea/status/1678402233224839168")</f>
        <v>https://twitter.com/gabriels_gouvea/status/1678402233224839168</v>
      </c>
      <c r="AF1211" s="79">
        <v>45117.579282407409</v>
      </c>
      <c r="AG1211" s="85">
        <v>45117</v>
      </c>
      <c r="AH1211" s="82" t="s">
        <v>8836</v>
      </c>
      <c r="AI1211" s="77" t="b">
        <v>0</v>
      </c>
      <c r="AJ1211" s="77"/>
      <c r="AK1211" s="77"/>
      <c r="AL1211" s="77"/>
      <c r="AM1211" s="77"/>
      <c r="AN1211" s="77"/>
      <c r="AO1211" s="77"/>
      <c r="AP1211" s="77"/>
      <c r="AQ1211" s="77" t="s">
        <v>11420</v>
      </c>
      <c r="AR1211" s="77">
        <v>51233</v>
      </c>
      <c r="AS1211" s="77"/>
      <c r="AT1211" s="77"/>
      <c r="AU1211" s="77">
        <v>28</v>
      </c>
      <c r="AV1211" s="80" t="str">
        <f>HYPERLINK("https://pbs.twimg.com/ext_tw_video_thumb/1678402120138072065/pu/img/x9Cf_q0af-Q6n1c_.jpg")</f>
        <v>https://pbs.twimg.com/ext_tw_video_thumb/1678402120138072065/pu/img/x9Cf_q0af-Q6n1c_.jpg</v>
      </c>
      <c r="AW1211" s="82" t="s">
        <v>13393</v>
      </c>
      <c r="AX1211" s="82" t="s">
        <v>13393</v>
      </c>
      <c r="AY1211" s="77"/>
      <c r="AZ1211" s="82" t="s">
        <v>15804</v>
      </c>
      <c r="BA1211" s="82" t="s">
        <v>15804</v>
      </c>
      <c r="BB1211" s="82" t="s">
        <v>15804</v>
      </c>
      <c r="BC1211" s="82" t="s">
        <v>13393</v>
      </c>
      <c r="BD1211" s="82" t="s">
        <v>16350</v>
      </c>
      <c r="BE1211" s="77"/>
      <c r="BF1211" s="77"/>
      <c r="BG1211" s="77"/>
      <c r="BH1211" s="77"/>
      <c r="BI1211" s="77"/>
    </row>
    <row r="1212" spans="1:61" x14ac:dyDescent="0.25">
      <c r="A1212" s="62" t="s">
        <v>600</v>
      </c>
      <c r="B1212" s="62" t="s">
        <v>600</v>
      </c>
      <c r="C1212" s="63"/>
      <c r="D1212" s="64"/>
      <c r="E1212" s="65"/>
      <c r="F1212" s="66"/>
      <c r="G1212" s="63"/>
      <c r="H1212" s="67"/>
      <c r="I1212" s="68"/>
      <c r="J1212" s="68"/>
      <c r="K1212" s="32"/>
      <c r="L1212" s="75">
        <v>1212</v>
      </c>
      <c r="M1212" s="75"/>
      <c r="N1212" s="70"/>
      <c r="O1212" s="77" t="s">
        <v>179</v>
      </c>
      <c r="P1212" s="79">
        <v>45116.91988425926</v>
      </c>
      <c r="Q1212" s="77" t="s">
        <v>2305</v>
      </c>
      <c r="R1212" s="77">
        <v>0</v>
      </c>
      <c r="S1212" s="77">
        <v>1</v>
      </c>
      <c r="T1212" s="77">
        <v>0</v>
      </c>
      <c r="U1212" s="77">
        <v>0</v>
      </c>
      <c r="V1212" s="77">
        <v>22</v>
      </c>
      <c r="W1212" s="82" t="s">
        <v>4097</v>
      </c>
      <c r="X1212" s="77"/>
      <c r="Y1212" s="77"/>
      <c r="Z1212" s="77"/>
      <c r="AA1212" s="77" t="s">
        <v>6914</v>
      </c>
      <c r="AB1212" s="77" t="s">
        <v>7697</v>
      </c>
      <c r="AC1212" s="82" t="s">
        <v>7705</v>
      </c>
      <c r="AD1212" s="77" t="s">
        <v>7751</v>
      </c>
      <c r="AE1212" s="80" t="str">
        <f>HYPERLINK("https://twitter.com/gabriels_gouvea/status/1678163276952227842")</f>
        <v>https://twitter.com/gabriels_gouvea/status/1678163276952227842</v>
      </c>
      <c r="AF1212" s="79">
        <v>45116.91988425926</v>
      </c>
      <c r="AG1212" s="85">
        <v>45116</v>
      </c>
      <c r="AH1212" s="82" t="s">
        <v>8837</v>
      </c>
      <c r="AI1212" s="77" t="b">
        <v>0</v>
      </c>
      <c r="AJ1212" s="77"/>
      <c r="AK1212" s="77"/>
      <c r="AL1212" s="77"/>
      <c r="AM1212" s="77"/>
      <c r="AN1212" s="77"/>
      <c r="AO1212" s="77"/>
      <c r="AP1212" s="77"/>
      <c r="AQ1212" s="77" t="s">
        <v>11421</v>
      </c>
      <c r="AR1212" s="77">
        <v>60000</v>
      </c>
      <c r="AS1212" s="77"/>
      <c r="AT1212" s="77"/>
      <c r="AU1212" s="77">
        <v>6</v>
      </c>
      <c r="AV1212" s="80" t="str">
        <f>HYPERLINK("https://pbs.twimg.com/ext_tw_video_thumb/1678163190851465216/pu/img/K7YU9XdQehput9J5.jpg")</f>
        <v>https://pbs.twimg.com/ext_tw_video_thumb/1678163190851465216/pu/img/K7YU9XdQehput9J5.jpg</v>
      </c>
      <c r="AW1212" s="82" t="s">
        <v>13394</v>
      </c>
      <c r="AX1212" s="82" t="s">
        <v>13394</v>
      </c>
      <c r="AY1212" s="77"/>
      <c r="AZ1212" s="82" t="s">
        <v>15804</v>
      </c>
      <c r="BA1212" s="82" t="s">
        <v>15804</v>
      </c>
      <c r="BB1212" s="82" t="s">
        <v>15804</v>
      </c>
      <c r="BC1212" s="82" t="s">
        <v>13394</v>
      </c>
      <c r="BD1212" s="82" t="s">
        <v>16350</v>
      </c>
      <c r="BE1212" s="77"/>
      <c r="BF1212" s="77"/>
      <c r="BG1212" s="77"/>
      <c r="BH1212" s="77"/>
      <c r="BI1212" s="77"/>
    </row>
    <row r="1213" spans="1:61" x14ac:dyDescent="0.25">
      <c r="A1213" s="62" t="s">
        <v>600</v>
      </c>
      <c r="B1213" s="62" t="s">
        <v>600</v>
      </c>
      <c r="C1213" s="63"/>
      <c r="D1213" s="64"/>
      <c r="E1213" s="65"/>
      <c r="F1213" s="66"/>
      <c r="G1213" s="63"/>
      <c r="H1213" s="67"/>
      <c r="I1213" s="68"/>
      <c r="J1213" s="68"/>
      <c r="K1213" s="32"/>
      <c r="L1213" s="75">
        <v>1213</v>
      </c>
      <c r="M1213" s="75"/>
      <c r="N1213" s="70"/>
      <c r="O1213" s="77" t="s">
        <v>179</v>
      </c>
      <c r="P1213" s="79">
        <v>45116.891886574071</v>
      </c>
      <c r="Q1213" s="77" t="s">
        <v>2306</v>
      </c>
      <c r="R1213" s="77">
        <v>0</v>
      </c>
      <c r="S1213" s="77">
        <v>0</v>
      </c>
      <c r="T1213" s="77">
        <v>0</v>
      </c>
      <c r="U1213" s="77">
        <v>0</v>
      </c>
      <c r="V1213" s="77">
        <v>55</v>
      </c>
      <c r="W1213" s="82" t="s">
        <v>4097</v>
      </c>
      <c r="X1213" s="77"/>
      <c r="Y1213" s="77"/>
      <c r="Z1213" s="77"/>
      <c r="AA1213" s="77" t="s">
        <v>6915</v>
      </c>
      <c r="AB1213" s="77" t="s">
        <v>7697</v>
      </c>
      <c r="AC1213" s="82" t="s">
        <v>7705</v>
      </c>
      <c r="AD1213" s="77" t="s">
        <v>7745</v>
      </c>
      <c r="AE1213" s="80" t="str">
        <f>HYPERLINK("https://twitter.com/gabriels_gouvea/status/1678153129920004099")</f>
        <v>https://twitter.com/gabriels_gouvea/status/1678153129920004099</v>
      </c>
      <c r="AF1213" s="79">
        <v>45116.891886574071</v>
      </c>
      <c r="AG1213" s="85">
        <v>45116</v>
      </c>
      <c r="AH1213" s="82" t="s">
        <v>8838</v>
      </c>
      <c r="AI1213" s="77" t="b">
        <v>0</v>
      </c>
      <c r="AJ1213" s="77"/>
      <c r="AK1213" s="77"/>
      <c r="AL1213" s="77"/>
      <c r="AM1213" s="77"/>
      <c r="AN1213" s="77"/>
      <c r="AO1213" s="77"/>
      <c r="AP1213" s="77"/>
      <c r="AQ1213" s="77" t="s">
        <v>11422</v>
      </c>
      <c r="AR1213" s="77">
        <v>53833</v>
      </c>
      <c r="AS1213" s="77"/>
      <c r="AT1213" s="77"/>
      <c r="AU1213" s="77">
        <v>19</v>
      </c>
      <c r="AV1213" s="80" t="str">
        <f>HYPERLINK("https://pbs.twimg.com/ext_tw_video_thumb/1678153036634501121/pu/img/gtgsw6F9wmYkdwnv.jpg")</f>
        <v>https://pbs.twimg.com/ext_tw_video_thumb/1678153036634501121/pu/img/gtgsw6F9wmYkdwnv.jpg</v>
      </c>
      <c r="AW1213" s="82" t="s">
        <v>13395</v>
      </c>
      <c r="AX1213" s="82" t="s">
        <v>13395</v>
      </c>
      <c r="AY1213" s="77"/>
      <c r="AZ1213" s="82" t="s">
        <v>15804</v>
      </c>
      <c r="BA1213" s="82" t="s">
        <v>15804</v>
      </c>
      <c r="BB1213" s="82" t="s">
        <v>15804</v>
      </c>
      <c r="BC1213" s="82" t="s">
        <v>13395</v>
      </c>
      <c r="BD1213" s="82" t="s">
        <v>16350</v>
      </c>
      <c r="BE1213" s="77"/>
      <c r="BF1213" s="77"/>
      <c r="BG1213" s="77"/>
      <c r="BH1213" s="77"/>
      <c r="BI1213" s="77"/>
    </row>
    <row r="1214" spans="1:61" x14ac:dyDescent="0.25">
      <c r="A1214" s="62" t="s">
        <v>600</v>
      </c>
      <c r="B1214" s="62" t="s">
        <v>600</v>
      </c>
      <c r="C1214" s="63"/>
      <c r="D1214" s="64"/>
      <c r="E1214" s="65"/>
      <c r="F1214" s="66"/>
      <c r="G1214" s="63"/>
      <c r="H1214" s="67"/>
      <c r="I1214" s="68"/>
      <c r="J1214" s="68"/>
      <c r="K1214" s="32"/>
      <c r="L1214" s="75">
        <v>1214</v>
      </c>
      <c r="M1214" s="75"/>
      <c r="N1214" s="70"/>
      <c r="O1214" s="77" t="s">
        <v>179</v>
      </c>
      <c r="P1214" s="79">
        <v>45116.773321759261</v>
      </c>
      <c r="Q1214" s="77" t="s">
        <v>2307</v>
      </c>
      <c r="R1214" s="77">
        <v>0</v>
      </c>
      <c r="S1214" s="77">
        <v>0</v>
      </c>
      <c r="T1214" s="77">
        <v>0</v>
      </c>
      <c r="U1214" s="77">
        <v>0</v>
      </c>
      <c r="V1214" s="77">
        <v>42</v>
      </c>
      <c r="W1214" s="82" t="s">
        <v>4105</v>
      </c>
      <c r="X1214" s="77"/>
      <c r="Y1214" s="77"/>
      <c r="Z1214" s="77"/>
      <c r="AA1214" s="77" t="s">
        <v>6916</v>
      </c>
      <c r="AB1214" s="77" t="s">
        <v>7697</v>
      </c>
      <c r="AC1214" s="82" t="s">
        <v>7705</v>
      </c>
      <c r="AD1214" s="77" t="s">
        <v>7745</v>
      </c>
      <c r="AE1214" s="80" t="str">
        <f>HYPERLINK("https://twitter.com/gabriels_gouvea/status/1678110163579043840")</f>
        <v>https://twitter.com/gabriels_gouvea/status/1678110163579043840</v>
      </c>
      <c r="AF1214" s="79">
        <v>45116.773321759261</v>
      </c>
      <c r="AG1214" s="85">
        <v>45116</v>
      </c>
      <c r="AH1214" s="82" t="s">
        <v>8839</v>
      </c>
      <c r="AI1214" s="77" t="b">
        <v>0</v>
      </c>
      <c r="AJ1214" s="77"/>
      <c r="AK1214" s="77"/>
      <c r="AL1214" s="77"/>
      <c r="AM1214" s="77"/>
      <c r="AN1214" s="77"/>
      <c r="AO1214" s="77"/>
      <c r="AP1214" s="77"/>
      <c r="AQ1214" s="77" t="s">
        <v>11423</v>
      </c>
      <c r="AR1214" s="77">
        <v>52533</v>
      </c>
      <c r="AS1214" s="77"/>
      <c r="AT1214" s="77"/>
      <c r="AU1214" s="77">
        <v>15</v>
      </c>
      <c r="AV1214" s="80" t="str">
        <f>HYPERLINK("https://pbs.twimg.com/ext_tw_video_thumb/1678110070842744833/pu/img/GDSpPP6nQF43xWNA.jpg")</f>
        <v>https://pbs.twimg.com/ext_tw_video_thumb/1678110070842744833/pu/img/GDSpPP6nQF43xWNA.jpg</v>
      </c>
      <c r="AW1214" s="82" t="s">
        <v>13396</v>
      </c>
      <c r="AX1214" s="82" t="s">
        <v>13396</v>
      </c>
      <c r="AY1214" s="77"/>
      <c r="AZ1214" s="82" t="s">
        <v>15804</v>
      </c>
      <c r="BA1214" s="82" t="s">
        <v>15804</v>
      </c>
      <c r="BB1214" s="82" t="s">
        <v>15804</v>
      </c>
      <c r="BC1214" s="82" t="s">
        <v>13396</v>
      </c>
      <c r="BD1214" s="82" t="s">
        <v>16350</v>
      </c>
      <c r="BE1214" s="77"/>
      <c r="BF1214" s="77"/>
      <c r="BG1214" s="77"/>
      <c r="BH1214" s="77"/>
      <c r="BI1214" s="77"/>
    </row>
    <row r="1215" spans="1:61" x14ac:dyDescent="0.25">
      <c r="A1215" s="62" t="s">
        <v>600</v>
      </c>
      <c r="B1215" s="62" t="s">
        <v>600</v>
      </c>
      <c r="C1215" s="63"/>
      <c r="D1215" s="64"/>
      <c r="E1215" s="65"/>
      <c r="F1215" s="66"/>
      <c r="G1215" s="63"/>
      <c r="H1215" s="67"/>
      <c r="I1215" s="68"/>
      <c r="J1215" s="68"/>
      <c r="K1215" s="32"/>
      <c r="L1215" s="75">
        <v>1215</v>
      </c>
      <c r="M1215" s="75"/>
      <c r="N1215" s="70"/>
      <c r="O1215" s="77" t="s">
        <v>179</v>
      </c>
      <c r="P1215" s="79">
        <v>45116.749907407408</v>
      </c>
      <c r="Q1215" s="77" t="s">
        <v>2308</v>
      </c>
      <c r="R1215" s="77">
        <v>0</v>
      </c>
      <c r="S1215" s="77">
        <v>1</v>
      </c>
      <c r="T1215" s="77">
        <v>0</v>
      </c>
      <c r="U1215" s="77">
        <v>0</v>
      </c>
      <c r="V1215" s="77">
        <v>46</v>
      </c>
      <c r="W1215" s="82" t="s">
        <v>4105</v>
      </c>
      <c r="X1215" s="77"/>
      <c r="Y1215" s="77"/>
      <c r="Z1215" s="77"/>
      <c r="AA1215" s="77" t="s">
        <v>6917</v>
      </c>
      <c r="AB1215" s="77" t="s">
        <v>7697</v>
      </c>
      <c r="AC1215" s="82" t="s">
        <v>7705</v>
      </c>
      <c r="AD1215" s="77" t="s">
        <v>7745</v>
      </c>
      <c r="AE1215" s="80" t="str">
        <f>HYPERLINK("https://twitter.com/gabriels_gouvea/status/1678101678128496640")</f>
        <v>https://twitter.com/gabriels_gouvea/status/1678101678128496640</v>
      </c>
      <c r="AF1215" s="79">
        <v>45116.749907407408</v>
      </c>
      <c r="AG1215" s="85">
        <v>45116</v>
      </c>
      <c r="AH1215" s="82" t="s">
        <v>8840</v>
      </c>
      <c r="AI1215" s="77" t="b">
        <v>0</v>
      </c>
      <c r="AJ1215" s="77"/>
      <c r="AK1215" s="77"/>
      <c r="AL1215" s="77"/>
      <c r="AM1215" s="77"/>
      <c r="AN1215" s="77"/>
      <c r="AO1215" s="77"/>
      <c r="AP1215" s="77"/>
      <c r="AQ1215" s="77" t="s">
        <v>11424</v>
      </c>
      <c r="AR1215" s="77">
        <v>52900</v>
      </c>
      <c r="AS1215" s="77"/>
      <c r="AT1215" s="77"/>
      <c r="AU1215" s="77">
        <v>11</v>
      </c>
      <c r="AV1215" s="80" t="str">
        <f>HYPERLINK("https://pbs.twimg.com/ext_tw_video_thumb/1678101582276173825/pu/img/nE4MSW-eern-TmrV.jpg")</f>
        <v>https://pbs.twimg.com/ext_tw_video_thumb/1678101582276173825/pu/img/nE4MSW-eern-TmrV.jpg</v>
      </c>
      <c r="AW1215" s="82" t="s">
        <v>13397</v>
      </c>
      <c r="AX1215" s="82" t="s">
        <v>13397</v>
      </c>
      <c r="AY1215" s="77"/>
      <c r="AZ1215" s="82" t="s">
        <v>15804</v>
      </c>
      <c r="BA1215" s="82" t="s">
        <v>15804</v>
      </c>
      <c r="BB1215" s="82" t="s">
        <v>15804</v>
      </c>
      <c r="BC1215" s="82" t="s">
        <v>13397</v>
      </c>
      <c r="BD1215" s="82" t="s">
        <v>16350</v>
      </c>
      <c r="BE1215" s="77"/>
      <c r="BF1215" s="77"/>
      <c r="BG1215" s="77"/>
      <c r="BH1215" s="77"/>
      <c r="BI1215" s="77"/>
    </row>
    <row r="1216" spans="1:61" x14ac:dyDescent="0.25">
      <c r="A1216" s="62" t="s">
        <v>600</v>
      </c>
      <c r="B1216" s="62" t="s">
        <v>600</v>
      </c>
      <c r="C1216" s="63"/>
      <c r="D1216" s="64"/>
      <c r="E1216" s="65"/>
      <c r="F1216" s="66"/>
      <c r="G1216" s="63"/>
      <c r="H1216" s="67"/>
      <c r="I1216" s="68"/>
      <c r="J1216" s="68"/>
      <c r="K1216" s="32"/>
      <c r="L1216" s="75">
        <v>1216</v>
      </c>
      <c r="M1216" s="75"/>
      <c r="N1216" s="70"/>
      <c r="O1216" s="77" t="s">
        <v>179</v>
      </c>
      <c r="P1216" s="79">
        <v>45116.688703703701</v>
      </c>
      <c r="Q1216" s="77" t="s">
        <v>2309</v>
      </c>
      <c r="R1216" s="77">
        <v>0</v>
      </c>
      <c r="S1216" s="77">
        <v>1</v>
      </c>
      <c r="T1216" s="77">
        <v>0</v>
      </c>
      <c r="U1216" s="77">
        <v>0</v>
      </c>
      <c r="V1216" s="77">
        <v>12</v>
      </c>
      <c r="W1216" s="82" t="s">
        <v>4097</v>
      </c>
      <c r="X1216" s="80" t="str">
        <f>HYPERLINK("https://youtu.be/JxaWkXC0V2E")</f>
        <v>https://youtu.be/JxaWkXC0V2E</v>
      </c>
      <c r="Y1216" s="77" t="s">
        <v>6003</v>
      </c>
      <c r="Z1216" s="77"/>
      <c r="AA1216" s="77" t="s">
        <v>6918</v>
      </c>
      <c r="AB1216" s="77" t="s">
        <v>7696</v>
      </c>
      <c r="AC1216" s="82" t="s">
        <v>7705</v>
      </c>
      <c r="AD1216" s="77" t="s">
        <v>7745</v>
      </c>
      <c r="AE1216" s="80" t="str">
        <f>HYPERLINK("https://twitter.com/gabriels_gouvea/status/1678079500226011141")</f>
        <v>https://twitter.com/gabriels_gouvea/status/1678079500226011141</v>
      </c>
      <c r="AF1216" s="79">
        <v>45116.688703703701</v>
      </c>
      <c r="AG1216" s="85">
        <v>45116</v>
      </c>
      <c r="AH1216" s="82" t="s">
        <v>8841</v>
      </c>
      <c r="AI1216" s="77" t="b">
        <v>0</v>
      </c>
      <c r="AJ1216" s="77"/>
      <c r="AK1216" s="77"/>
      <c r="AL1216" s="77"/>
      <c r="AM1216" s="77"/>
      <c r="AN1216" s="77"/>
      <c r="AO1216" s="77"/>
      <c r="AP1216" s="77"/>
      <c r="AQ1216" s="77" t="s">
        <v>11425</v>
      </c>
      <c r="AR1216" s="77"/>
      <c r="AS1216" s="77"/>
      <c r="AT1216" s="77"/>
      <c r="AU1216" s="77"/>
      <c r="AV1216" s="80" t="str">
        <f>HYPERLINK("https://pbs.twimg.com/media/F0m8aFeWYAA5VGm.jpg")</f>
        <v>https://pbs.twimg.com/media/F0m8aFeWYAA5VGm.jpg</v>
      </c>
      <c r="AW1216" s="82" t="s">
        <v>13398</v>
      </c>
      <c r="AX1216" s="82" t="s">
        <v>13398</v>
      </c>
      <c r="AY1216" s="77"/>
      <c r="AZ1216" s="82" t="s">
        <v>15804</v>
      </c>
      <c r="BA1216" s="82" t="s">
        <v>15804</v>
      </c>
      <c r="BB1216" s="82" t="s">
        <v>15804</v>
      </c>
      <c r="BC1216" s="82" t="s">
        <v>13398</v>
      </c>
      <c r="BD1216" s="82" t="s">
        <v>16350</v>
      </c>
      <c r="BE1216" s="77"/>
      <c r="BF1216" s="77"/>
      <c r="BG1216" s="77"/>
      <c r="BH1216" s="77"/>
      <c r="BI1216" s="77"/>
    </row>
    <row r="1217" spans="1:61" x14ac:dyDescent="0.25">
      <c r="A1217" s="62" t="s">
        <v>600</v>
      </c>
      <c r="B1217" s="62" t="s">
        <v>600</v>
      </c>
      <c r="C1217" s="63"/>
      <c r="D1217" s="64"/>
      <c r="E1217" s="65"/>
      <c r="F1217" s="66"/>
      <c r="G1217" s="63"/>
      <c r="H1217" s="67"/>
      <c r="I1217" s="68"/>
      <c r="J1217" s="68"/>
      <c r="K1217" s="32"/>
      <c r="L1217" s="75">
        <v>1217</v>
      </c>
      <c r="M1217" s="75"/>
      <c r="N1217" s="70"/>
      <c r="O1217" s="77" t="s">
        <v>179</v>
      </c>
      <c r="P1217" s="79">
        <v>45146.634212962963</v>
      </c>
      <c r="Q1217" s="77" t="s">
        <v>2310</v>
      </c>
      <c r="R1217" s="77">
        <v>0</v>
      </c>
      <c r="S1217" s="77">
        <v>0</v>
      </c>
      <c r="T1217" s="77">
        <v>0</v>
      </c>
      <c r="U1217" s="77">
        <v>0</v>
      </c>
      <c r="V1217" s="77">
        <v>32</v>
      </c>
      <c r="W1217" s="82" t="s">
        <v>4097</v>
      </c>
      <c r="X1217" s="77"/>
      <c r="Y1217" s="77"/>
      <c r="Z1217" s="77"/>
      <c r="AA1217" s="77" t="s">
        <v>6919</v>
      </c>
      <c r="AB1217" s="77" t="s">
        <v>7697</v>
      </c>
      <c r="AC1217" s="82" t="s">
        <v>7705</v>
      </c>
      <c r="AD1217" s="77" t="s">
        <v>7745</v>
      </c>
      <c r="AE1217" s="80" t="str">
        <f>HYPERLINK("https://twitter.com/gabriels_gouvea/status/1688931390220378113")</f>
        <v>https://twitter.com/gabriels_gouvea/status/1688931390220378113</v>
      </c>
      <c r="AF1217" s="79">
        <v>45146.634212962963</v>
      </c>
      <c r="AG1217" s="85">
        <v>45146</v>
      </c>
      <c r="AH1217" s="82" t="s">
        <v>8842</v>
      </c>
      <c r="AI1217" s="77" t="b">
        <v>0</v>
      </c>
      <c r="AJ1217" s="77"/>
      <c r="AK1217" s="77"/>
      <c r="AL1217" s="77"/>
      <c r="AM1217" s="77"/>
      <c r="AN1217" s="77"/>
      <c r="AO1217" s="77"/>
      <c r="AP1217" s="77"/>
      <c r="AQ1217" s="77" t="s">
        <v>11426</v>
      </c>
      <c r="AR1217" s="77">
        <v>52666</v>
      </c>
      <c r="AS1217" s="77"/>
      <c r="AT1217" s="77"/>
      <c r="AU1217" s="77">
        <v>8</v>
      </c>
      <c r="AV1217" s="80" t="str">
        <f>HYPERLINK("https://pbs.twimg.com/ext_tw_video_thumb/1688931342564683776/pu/img/KMD6CXv-2PCSZuWf.jpg")</f>
        <v>https://pbs.twimg.com/ext_tw_video_thumb/1688931342564683776/pu/img/KMD6CXv-2PCSZuWf.jpg</v>
      </c>
      <c r="AW1217" s="82" t="s">
        <v>13399</v>
      </c>
      <c r="AX1217" s="82" t="s">
        <v>13399</v>
      </c>
      <c r="AY1217" s="77"/>
      <c r="AZ1217" s="82" t="s">
        <v>15804</v>
      </c>
      <c r="BA1217" s="82" t="s">
        <v>15804</v>
      </c>
      <c r="BB1217" s="82" t="s">
        <v>15804</v>
      </c>
      <c r="BC1217" s="82" t="s">
        <v>13399</v>
      </c>
      <c r="BD1217" s="82" t="s">
        <v>16350</v>
      </c>
      <c r="BE1217" s="77"/>
      <c r="BF1217" s="77"/>
      <c r="BG1217" s="77"/>
      <c r="BH1217" s="77"/>
      <c r="BI1217" s="77"/>
    </row>
    <row r="1218" spans="1:61" x14ac:dyDescent="0.25">
      <c r="A1218" s="62" t="s">
        <v>600</v>
      </c>
      <c r="B1218" s="62" t="s">
        <v>600</v>
      </c>
      <c r="C1218" s="63"/>
      <c r="D1218" s="64"/>
      <c r="E1218" s="65"/>
      <c r="F1218" s="66"/>
      <c r="G1218" s="63"/>
      <c r="H1218" s="67"/>
      <c r="I1218" s="68"/>
      <c r="J1218" s="68"/>
      <c r="K1218" s="32"/>
      <c r="L1218" s="75">
        <v>1218</v>
      </c>
      <c r="M1218" s="75"/>
      <c r="N1218" s="70"/>
      <c r="O1218" s="77" t="s">
        <v>179</v>
      </c>
      <c r="P1218" s="79">
        <v>45146.600682870368</v>
      </c>
      <c r="Q1218" s="77" t="s">
        <v>2311</v>
      </c>
      <c r="R1218" s="77">
        <v>0</v>
      </c>
      <c r="S1218" s="77">
        <v>0</v>
      </c>
      <c r="T1218" s="77">
        <v>0</v>
      </c>
      <c r="U1218" s="77">
        <v>0</v>
      </c>
      <c r="V1218" s="77">
        <v>38</v>
      </c>
      <c r="W1218" s="82" t="s">
        <v>4097</v>
      </c>
      <c r="X1218" s="77"/>
      <c r="Y1218" s="77"/>
      <c r="Z1218" s="77"/>
      <c r="AA1218" s="77" t="s">
        <v>6920</v>
      </c>
      <c r="AB1218" s="77" t="s">
        <v>7697</v>
      </c>
      <c r="AC1218" s="82" t="s">
        <v>7705</v>
      </c>
      <c r="AD1218" s="77" t="s">
        <v>7745</v>
      </c>
      <c r="AE1218" s="80" t="str">
        <f>HYPERLINK("https://twitter.com/gabriels_gouvea/status/1688919238562738176")</f>
        <v>https://twitter.com/gabriels_gouvea/status/1688919238562738176</v>
      </c>
      <c r="AF1218" s="79">
        <v>45146.600682870368</v>
      </c>
      <c r="AG1218" s="85">
        <v>45146</v>
      </c>
      <c r="AH1218" s="82" t="s">
        <v>8843</v>
      </c>
      <c r="AI1218" s="77" t="b">
        <v>0</v>
      </c>
      <c r="AJ1218" s="77"/>
      <c r="AK1218" s="77"/>
      <c r="AL1218" s="77"/>
      <c r="AM1218" s="77"/>
      <c r="AN1218" s="77"/>
      <c r="AO1218" s="77"/>
      <c r="AP1218" s="77"/>
      <c r="AQ1218" s="77" t="s">
        <v>11427</v>
      </c>
      <c r="AR1218" s="77">
        <v>51933</v>
      </c>
      <c r="AS1218" s="77"/>
      <c r="AT1218" s="77"/>
      <c r="AU1218" s="77">
        <v>17</v>
      </c>
      <c r="AV1218" s="80" t="str">
        <f>HYPERLINK("https://pbs.twimg.com/ext_tw_video_thumb/1688919133944160258/pu/img/OSx05my6uLWwYCMC.jpg")</f>
        <v>https://pbs.twimg.com/ext_tw_video_thumb/1688919133944160258/pu/img/OSx05my6uLWwYCMC.jpg</v>
      </c>
      <c r="AW1218" s="82" t="s">
        <v>13400</v>
      </c>
      <c r="AX1218" s="82" t="s">
        <v>13400</v>
      </c>
      <c r="AY1218" s="77"/>
      <c r="AZ1218" s="82" t="s">
        <v>15804</v>
      </c>
      <c r="BA1218" s="82" t="s">
        <v>15804</v>
      </c>
      <c r="BB1218" s="82" t="s">
        <v>15804</v>
      </c>
      <c r="BC1218" s="82" t="s">
        <v>13400</v>
      </c>
      <c r="BD1218" s="82" t="s">
        <v>16350</v>
      </c>
      <c r="BE1218" s="77"/>
      <c r="BF1218" s="77"/>
      <c r="BG1218" s="77"/>
      <c r="BH1218" s="77"/>
      <c r="BI1218" s="77"/>
    </row>
    <row r="1219" spans="1:61" x14ac:dyDescent="0.25">
      <c r="A1219" s="62" t="s">
        <v>600</v>
      </c>
      <c r="B1219" s="62" t="s">
        <v>600</v>
      </c>
      <c r="C1219" s="63"/>
      <c r="D1219" s="64"/>
      <c r="E1219" s="65"/>
      <c r="F1219" s="66"/>
      <c r="G1219" s="63"/>
      <c r="H1219" s="67"/>
      <c r="I1219" s="68"/>
      <c r="J1219" s="68"/>
      <c r="K1219" s="32"/>
      <c r="L1219" s="75">
        <v>1219</v>
      </c>
      <c r="M1219" s="75"/>
      <c r="N1219" s="70"/>
      <c r="O1219" s="77" t="s">
        <v>179</v>
      </c>
      <c r="P1219" s="79">
        <v>45138.007847222223</v>
      </c>
      <c r="Q1219" s="77" t="s">
        <v>2312</v>
      </c>
      <c r="R1219" s="77">
        <v>0</v>
      </c>
      <c r="S1219" s="77">
        <v>0</v>
      </c>
      <c r="T1219" s="77">
        <v>0</v>
      </c>
      <c r="U1219" s="77">
        <v>0</v>
      </c>
      <c r="V1219" s="77">
        <v>41</v>
      </c>
      <c r="W1219" s="82" t="s">
        <v>4911</v>
      </c>
      <c r="X1219" s="80" t="str">
        <f>HYPERLINK("https://youtu.be/zHaxEWsy51I")</f>
        <v>https://youtu.be/zHaxEWsy51I</v>
      </c>
      <c r="Y1219" s="77" t="s">
        <v>6003</v>
      </c>
      <c r="Z1219" s="77"/>
      <c r="AA1219" s="77" t="s">
        <v>6921</v>
      </c>
      <c r="AB1219" s="77" t="s">
        <v>7696</v>
      </c>
      <c r="AC1219" s="82" t="s">
        <v>7705</v>
      </c>
      <c r="AD1219" s="77" t="s">
        <v>7745</v>
      </c>
      <c r="AE1219" s="80" t="str">
        <f>HYPERLINK("https://twitter.com/gabriels_gouvea/status/1685805298949226496")</f>
        <v>https://twitter.com/gabriels_gouvea/status/1685805298949226496</v>
      </c>
      <c r="AF1219" s="79">
        <v>45138.007847222223</v>
      </c>
      <c r="AG1219" s="85">
        <v>45138</v>
      </c>
      <c r="AH1219" s="82" t="s">
        <v>8844</v>
      </c>
      <c r="AI1219" s="77" t="b">
        <v>0</v>
      </c>
      <c r="AJ1219" s="77"/>
      <c r="AK1219" s="77"/>
      <c r="AL1219" s="77"/>
      <c r="AM1219" s="77"/>
      <c r="AN1219" s="77"/>
      <c r="AO1219" s="77"/>
      <c r="AP1219" s="77"/>
      <c r="AQ1219" s="77" t="s">
        <v>11428</v>
      </c>
      <c r="AR1219" s="77"/>
      <c r="AS1219" s="77"/>
      <c r="AT1219" s="77"/>
      <c r="AU1219" s="77"/>
      <c r="AV1219" s="80" t="str">
        <f>HYPERLINK("https://pbs.twimg.com/media/F2Uu-0xXcAAPMHO.jpg")</f>
        <v>https://pbs.twimg.com/media/F2Uu-0xXcAAPMHO.jpg</v>
      </c>
      <c r="AW1219" s="82" t="s">
        <v>13401</v>
      </c>
      <c r="AX1219" s="82" t="s">
        <v>13401</v>
      </c>
      <c r="AY1219" s="77"/>
      <c r="AZ1219" s="82" t="s">
        <v>15804</v>
      </c>
      <c r="BA1219" s="82" t="s">
        <v>15804</v>
      </c>
      <c r="BB1219" s="82" t="s">
        <v>15804</v>
      </c>
      <c r="BC1219" s="82" t="s">
        <v>13401</v>
      </c>
      <c r="BD1219" s="82" t="s">
        <v>16350</v>
      </c>
      <c r="BE1219" s="77"/>
      <c r="BF1219" s="77"/>
      <c r="BG1219" s="77"/>
      <c r="BH1219" s="77"/>
      <c r="BI1219" s="77"/>
    </row>
    <row r="1220" spans="1:61" x14ac:dyDescent="0.25">
      <c r="A1220" s="62" t="s">
        <v>600</v>
      </c>
      <c r="B1220" s="62" t="s">
        <v>600</v>
      </c>
      <c r="C1220" s="63"/>
      <c r="D1220" s="64"/>
      <c r="E1220" s="65"/>
      <c r="F1220" s="66"/>
      <c r="G1220" s="63"/>
      <c r="H1220" s="67"/>
      <c r="I1220" s="68"/>
      <c r="J1220" s="68"/>
      <c r="K1220" s="32"/>
      <c r="L1220" s="75">
        <v>1220</v>
      </c>
      <c r="M1220" s="75"/>
      <c r="N1220" s="70"/>
      <c r="O1220" s="77" t="s">
        <v>179</v>
      </c>
      <c r="P1220" s="79">
        <v>45130.037986111114</v>
      </c>
      <c r="Q1220" s="77" t="s">
        <v>2313</v>
      </c>
      <c r="R1220" s="77">
        <v>0</v>
      </c>
      <c r="S1220" s="77">
        <v>1</v>
      </c>
      <c r="T1220" s="77">
        <v>0</v>
      </c>
      <c r="U1220" s="77">
        <v>0</v>
      </c>
      <c r="V1220" s="77">
        <v>160</v>
      </c>
      <c r="W1220" s="82" t="s">
        <v>4909</v>
      </c>
      <c r="X1220" s="77"/>
      <c r="Y1220" s="77"/>
      <c r="Z1220" s="77"/>
      <c r="AA1220" s="77" t="s">
        <v>6922</v>
      </c>
      <c r="AB1220" s="77" t="s">
        <v>7697</v>
      </c>
      <c r="AC1220" s="82" t="s">
        <v>7705</v>
      </c>
      <c r="AD1220" s="77" t="s">
        <v>7745</v>
      </c>
      <c r="AE1220" s="80" t="str">
        <f>HYPERLINK("https://twitter.com/gabriels_gouvea/status/1682917118893780993")</f>
        <v>https://twitter.com/gabriels_gouvea/status/1682917118893780993</v>
      </c>
      <c r="AF1220" s="79">
        <v>45130.037986111114</v>
      </c>
      <c r="AG1220" s="85">
        <v>45130</v>
      </c>
      <c r="AH1220" s="82" t="s">
        <v>8845</v>
      </c>
      <c r="AI1220" s="77" t="b">
        <v>0</v>
      </c>
      <c r="AJ1220" s="77"/>
      <c r="AK1220" s="77"/>
      <c r="AL1220" s="77"/>
      <c r="AM1220" s="77"/>
      <c r="AN1220" s="77"/>
      <c r="AO1220" s="77"/>
      <c r="AP1220" s="77"/>
      <c r="AQ1220" s="77" t="s">
        <v>11429</v>
      </c>
      <c r="AR1220" s="77">
        <v>104766</v>
      </c>
      <c r="AS1220" s="77"/>
      <c r="AT1220" s="77"/>
      <c r="AU1220" s="77">
        <v>48</v>
      </c>
      <c r="AV1220" s="80" t="str">
        <f>HYPERLINK("https://pbs.twimg.com/ext_tw_video_thumb/1682916964996464640/pu/img/IGgSY3ztiLjzevom.jpg")</f>
        <v>https://pbs.twimg.com/ext_tw_video_thumb/1682916964996464640/pu/img/IGgSY3ztiLjzevom.jpg</v>
      </c>
      <c r="AW1220" s="82" t="s">
        <v>13402</v>
      </c>
      <c r="AX1220" s="82" t="s">
        <v>13402</v>
      </c>
      <c r="AY1220" s="77"/>
      <c r="AZ1220" s="82" t="s">
        <v>15804</v>
      </c>
      <c r="BA1220" s="82" t="s">
        <v>15804</v>
      </c>
      <c r="BB1220" s="82" t="s">
        <v>15804</v>
      </c>
      <c r="BC1220" s="82" t="s">
        <v>13402</v>
      </c>
      <c r="BD1220" s="82" t="s">
        <v>16350</v>
      </c>
      <c r="BE1220" s="77"/>
      <c r="BF1220" s="77"/>
      <c r="BG1220" s="77"/>
      <c r="BH1220" s="77"/>
      <c r="BI1220" s="77"/>
    </row>
    <row r="1221" spans="1:61" x14ac:dyDescent="0.25">
      <c r="A1221" s="62" t="s">
        <v>600</v>
      </c>
      <c r="B1221" s="62" t="s">
        <v>600</v>
      </c>
      <c r="C1221" s="63"/>
      <c r="D1221" s="64"/>
      <c r="E1221" s="65"/>
      <c r="F1221" s="66"/>
      <c r="G1221" s="63"/>
      <c r="H1221" s="67"/>
      <c r="I1221" s="68"/>
      <c r="J1221" s="68"/>
      <c r="K1221" s="32"/>
      <c r="L1221" s="75">
        <v>1221</v>
      </c>
      <c r="M1221" s="75"/>
      <c r="N1221" s="70"/>
      <c r="O1221" s="77" t="s">
        <v>179</v>
      </c>
      <c r="P1221" s="79">
        <v>45160.782650462963</v>
      </c>
      <c r="Q1221" s="77" t="s">
        <v>2314</v>
      </c>
      <c r="R1221" s="77">
        <v>0</v>
      </c>
      <c r="S1221" s="77">
        <v>0</v>
      </c>
      <c r="T1221" s="77">
        <v>0</v>
      </c>
      <c r="U1221" s="77">
        <v>0</v>
      </c>
      <c r="V1221" s="77">
        <v>40</v>
      </c>
      <c r="W1221" s="82" t="s">
        <v>4910</v>
      </c>
      <c r="X1221" s="77"/>
      <c r="Y1221" s="77"/>
      <c r="Z1221" s="77"/>
      <c r="AA1221" s="77" t="s">
        <v>6923</v>
      </c>
      <c r="AB1221" s="77" t="s">
        <v>7697</v>
      </c>
      <c r="AC1221" s="82" t="s">
        <v>7705</v>
      </c>
      <c r="AD1221" s="77" t="s">
        <v>7745</v>
      </c>
      <c r="AE1221" s="80" t="str">
        <f>HYPERLINK("https://twitter.com/gabriels_gouvea/status/1694058611272507676")</f>
        <v>https://twitter.com/gabriels_gouvea/status/1694058611272507676</v>
      </c>
      <c r="AF1221" s="79">
        <v>45160.782650462963</v>
      </c>
      <c r="AG1221" s="85">
        <v>45160</v>
      </c>
      <c r="AH1221" s="82" t="s">
        <v>8846</v>
      </c>
      <c r="AI1221" s="77" t="b">
        <v>0</v>
      </c>
      <c r="AJ1221" s="77"/>
      <c r="AK1221" s="77"/>
      <c r="AL1221" s="77"/>
      <c r="AM1221" s="77"/>
      <c r="AN1221" s="77"/>
      <c r="AO1221" s="77"/>
      <c r="AP1221" s="77"/>
      <c r="AQ1221" s="77" t="s">
        <v>11430</v>
      </c>
      <c r="AR1221" s="77">
        <v>60000</v>
      </c>
      <c r="AS1221" s="77"/>
      <c r="AT1221" s="77"/>
      <c r="AU1221" s="77">
        <v>16</v>
      </c>
      <c r="AV1221" s="80" t="str">
        <f>HYPERLINK("https://pbs.twimg.com/ext_tw_video_thumb/1694058516091133955/pu/img/IDPWCkNs3lwegN6L.jpg")</f>
        <v>https://pbs.twimg.com/ext_tw_video_thumb/1694058516091133955/pu/img/IDPWCkNs3lwegN6L.jpg</v>
      </c>
      <c r="AW1221" s="82" t="s">
        <v>13403</v>
      </c>
      <c r="AX1221" s="82" t="s">
        <v>13403</v>
      </c>
      <c r="AY1221" s="77"/>
      <c r="AZ1221" s="82" t="s">
        <v>15804</v>
      </c>
      <c r="BA1221" s="82" t="s">
        <v>15804</v>
      </c>
      <c r="BB1221" s="82" t="s">
        <v>15804</v>
      </c>
      <c r="BC1221" s="82" t="s">
        <v>13403</v>
      </c>
      <c r="BD1221" s="82" t="s">
        <v>16350</v>
      </c>
      <c r="BE1221" s="77"/>
      <c r="BF1221" s="77"/>
      <c r="BG1221" s="77"/>
      <c r="BH1221" s="77"/>
      <c r="BI1221" s="77"/>
    </row>
    <row r="1222" spans="1:61" x14ac:dyDescent="0.25">
      <c r="A1222" s="62" t="s">
        <v>600</v>
      </c>
      <c r="B1222" s="62" t="s">
        <v>600</v>
      </c>
      <c r="C1222" s="63"/>
      <c r="D1222" s="64"/>
      <c r="E1222" s="65"/>
      <c r="F1222" s="66"/>
      <c r="G1222" s="63"/>
      <c r="H1222" s="67"/>
      <c r="I1222" s="68"/>
      <c r="J1222" s="68"/>
      <c r="K1222" s="32"/>
      <c r="L1222" s="75">
        <v>1222</v>
      </c>
      <c r="M1222" s="75"/>
      <c r="N1222" s="70"/>
      <c r="O1222" s="77" t="s">
        <v>179</v>
      </c>
      <c r="P1222" s="79">
        <v>45146.898368055554</v>
      </c>
      <c r="Q1222" s="77" t="s">
        <v>2315</v>
      </c>
      <c r="R1222" s="77">
        <v>0</v>
      </c>
      <c r="S1222" s="77">
        <v>0</v>
      </c>
      <c r="T1222" s="77">
        <v>0</v>
      </c>
      <c r="U1222" s="77">
        <v>0</v>
      </c>
      <c r="V1222" s="77">
        <v>58</v>
      </c>
      <c r="W1222" s="82" t="s">
        <v>4097</v>
      </c>
      <c r="X1222" s="77"/>
      <c r="Y1222" s="77"/>
      <c r="Z1222" s="77"/>
      <c r="AA1222" s="77" t="s">
        <v>6924</v>
      </c>
      <c r="AB1222" s="77" t="s">
        <v>7697</v>
      </c>
      <c r="AC1222" s="82" t="s">
        <v>7705</v>
      </c>
      <c r="AD1222" s="77" t="s">
        <v>7747</v>
      </c>
      <c r="AE1222" s="80" t="str">
        <f>HYPERLINK("https://twitter.com/gabriels_gouvea/status/1689027116459868160")</f>
        <v>https://twitter.com/gabriels_gouvea/status/1689027116459868160</v>
      </c>
      <c r="AF1222" s="79">
        <v>45146.898368055554</v>
      </c>
      <c r="AG1222" s="85">
        <v>45146</v>
      </c>
      <c r="AH1222" s="82" t="s">
        <v>8847</v>
      </c>
      <c r="AI1222" s="77" t="b">
        <v>0</v>
      </c>
      <c r="AJ1222" s="77"/>
      <c r="AK1222" s="77"/>
      <c r="AL1222" s="77"/>
      <c r="AM1222" s="77"/>
      <c r="AN1222" s="77"/>
      <c r="AO1222" s="77"/>
      <c r="AP1222" s="77"/>
      <c r="AQ1222" s="77" t="s">
        <v>11431</v>
      </c>
      <c r="AR1222" s="77">
        <v>55566</v>
      </c>
      <c r="AS1222" s="77"/>
      <c r="AT1222" s="77"/>
      <c r="AU1222" s="77">
        <v>15</v>
      </c>
      <c r="AV1222" s="80" t="str">
        <f>HYPERLINK("https://pbs.twimg.com/ext_tw_video_thumb/1689027040601677825/pu/img/77hILMR02qFmtNDA.jpg")</f>
        <v>https://pbs.twimg.com/ext_tw_video_thumb/1689027040601677825/pu/img/77hILMR02qFmtNDA.jpg</v>
      </c>
      <c r="AW1222" s="82" t="s">
        <v>13404</v>
      </c>
      <c r="AX1222" s="82" t="s">
        <v>13404</v>
      </c>
      <c r="AY1222" s="77"/>
      <c r="AZ1222" s="82" t="s">
        <v>15804</v>
      </c>
      <c r="BA1222" s="82" t="s">
        <v>15804</v>
      </c>
      <c r="BB1222" s="82" t="s">
        <v>15804</v>
      </c>
      <c r="BC1222" s="82" t="s">
        <v>13404</v>
      </c>
      <c r="BD1222" s="82" t="s">
        <v>16350</v>
      </c>
      <c r="BE1222" s="77"/>
      <c r="BF1222" s="77"/>
      <c r="BG1222" s="77"/>
      <c r="BH1222" s="77"/>
      <c r="BI1222" s="77"/>
    </row>
    <row r="1223" spans="1:61" x14ac:dyDescent="0.25">
      <c r="A1223" s="62" t="s">
        <v>600</v>
      </c>
      <c r="B1223" s="62" t="s">
        <v>600</v>
      </c>
      <c r="C1223" s="63"/>
      <c r="D1223" s="64"/>
      <c r="E1223" s="65"/>
      <c r="F1223" s="66"/>
      <c r="G1223" s="63"/>
      <c r="H1223" s="67"/>
      <c r="I1223" s="68"/>
      <c r="J1223" s="68"/>
      <c r="K1223" s="32"/>
      <c r="L1223" s="75">
        <v>1223</v>
      </c>
      <c r="M1223" s="75"/>
      <c r="N1223" s="70"/>
      <c r="O1223" s="77" t="s">
        <v>179</v>
      </c>
      <c r="P1223" s="79">
        <v>45146.662662037037</v>
      </c>
      <c r="Q1223" s="77" t="s">
        <v>2316</v>
      </c>
      <c r="R1223" s="77">
        <v>0</v>
      </c>
      <c r="S1223" s="77">
        <v>0</v>
      </c>
      <c r="T1223" s="77">
        <v>0</v>
      </c>
      <c r="U1223" s="77">
        <v>0</v>
      </c>
      <c r="V1223" s="77">
        <v>15</v>
      </c>
      <c r="W1223" s="82" t="s">
        <v>4097</v>
      </c>
      <c r="X1223" s="77"/>
      <c r="Y1223" s="77"/>
      <c r="Z1223" s="77"/>
      <c r="AA1223" s="77" t="s">
        <v>6925</v>
      </c>
      <c r="AB1223" s="77" t="s">
        <v>7697</v>
      </c>
      <c r="AC1223" s="82" t="s">
        <v>7705</v>
      </c>
      <c r="AD1223" s="77" t="s">
        <v>7751</v>
      </c>
      <c r="AE1223" s="80" t="str">
        <f>HYPERLINK("https://twitter.com/gabriels_gouvea/status/1688941699836284928")</f>
        <v>https://twitter.com/gabriels_gouvea/status/1688941699836284928</v>
      </c>
      <c r="AF1223" s="79">
        <v>45146.662662037037</v>
      </c>
      <c r="AG1223" s="85">
        <v>45146</v>
      </c>
      <c r="AH1223" s="82" t="s">
        <v>8848</v>
      </c>
      <c r="AI1223" s="77" t="b">
        <v>0</v>
      </c>
      <c r="AJ1223" s="77"/>
      <c r="AK1223" s="77"/>
      <c r="AL1223" s="77"/>
      <c r="AM1223" s="77"/>
      <c r="AN1223" s="77"/>
      <c r="AO1223" s="77"/>
      <c r="AP1223" s="77"/>
      <c r="AQ1223" s="77" t="s">
        <v>11432</v>
      </c>
      <c r="AR1223" s="77">
        <v>60000</v>
      </c>
      <c r="AS1223" s="77"/>
      <c r="AT1223" s="77"/>
      <c r="AU1223" s="77">
        <v>2</v>
      </c>
      <c r="AV1223" s="80" t="str">
        <f>HYPERLINK("https://pbs.twimg.com/ext_tw_video_thumb/1688941613274353664/pu/img/m9s1CkXx8OXqXfVQ.jpg")</f>
        <v>https://pbs.twimg.com/ext_tw_video_thumb/1688941613274353664/pu/img/m9s1CkXx8OXqXfVQ.jpg</v>
      </c>
      <c r="AW1223" s="82" t="s">
        <v>13405</v>
      </c>
      <c r="AX1223" s="82" t="s">
        <v>13405</v>
      </c>
      <c r="AY1223" s="77"/>
      <c r="AZ1223" s="82" t="s">
        <v>15804</v>
      </c>
      <c r="BA1223" s="82" t="s">
        <v>15804</v>
      </c>
      <c r="BB1223" s="82" t="s">
        <v>15804</v>
      </c>
      <c r="BC1223" s="82" t="s">
        <v>13405</v>
      </c>
      <c r="BD1223" s="82" t="s">
        <v>16350</v>
      </c>
      <c r="BE1223" s="77"/>
      <c r="BF1223" s="77"/>
      <c r="BG1223" s="77"/>
      <c r="BH1223" s="77"/>
      <c r="BI1223" s="77"/>
    </row>
    <row r="1224" spans="1:61" x14ac:dyDescent="0.25">
      <c r="A1224" s="62" t="s">
        <v>600</v>
      </c>
      <c r="B1224" s="62" t="s">
        <v>600</v>
      </c>
      <c r="C1224" s="63"/>
      <c r="D1224" s="64"/>
      <c r="E1224" s="65"/>
      <c r="F1224" s="66"/>
      <c r="G1224" s="63"/>
      <c r="H1224" s="67"/>
      <c r="I1224" s="68"/>
      <c r="J1224" s="68"/>
      <c r="K1224" s="32"/>
      <c r="L1224" s="75">
        <v>1224</v>
      </c>
      <c r="M1224" s="75"/>
      <c r="N1224" s="70"/>
      <c r="O1224" s="77" t="s">
        <v>179</v>
      </c>
      <c r="P1224" s="79">
        <v>45139.989722222221</v>
      </c>
      <c r="Q1224" s="77" t="s">
        <v>2317</v>
      </c>
      <c r="R1224" s="77">
        <v>0</v>
      </c>
      <c r="S1224" s="77">
        <v>0</v>
      </c>
      <c r="T1224" s="77">
        <v>0</v>
      </c>
      <c r="U1224" s="77">
        <v>0</v>
      </c>
      <c r="V1224" s="77">
        <v>18</v>
      </c>
      <c r="W1224" s="82" t="s">
        <v>4909</v>
      </c>
      <c r="X1224" s="80" t="str">
        <f>HYPERLINK("https://youtu.be/Q329V9v24lg")</f>
        <v>https://youtu.be/Q329V9v24lg</v>
      </c>
      <c r="Y1224" s="77" t="s">
        <v>6003</v>
      </c>
      <c r="Z1224" s="77"/>
      <c r="AA1224" s="77" t="s">
        <v>6926</v>
      </c>
      <c r="AB1224" s="77" t="s">
        <v>7696</v>
      </c>
      <c r="AC1224" s="82" t="s">
        <v>7705</v>
      </c>
      <c r="AD1224" s="77" t="s">
        <v>7745</v>
      </c>
      <c r="AE1224" s="80" t="str">
        <f>HYPERLINK("https://twitter.com/gabriels_gouvea/status/1686523503858556929")</f>
        <v>https://twitter.com/gabriels_gouvea/status/1686523503858556929</v>
      </c>
      <c r="AF1224" s="79">
        <v>45139.989722222221</v>
      </c>
      <c r="AG1224" s="85">
        <v>45139</v>
      </c>
      <c r="AH1224" s="82" t="s">
        <v>8849</v>
      </c>
      <c r="AI1224" s="77" t="b">
        <v>0</v>
      </c>
      <c r="AJ1224" s="77"/>
      <c r="AK1224" s="77"/>
      <c r="AL1224" s="77"/>
      <c r="AM1224" s="77"/>
      <c r="AN1224" s="77"/>
      <c r="AO1224" s="77"/>
      <c r="AP1224" s="77"/>
      <c r="AQ1224" s="77" t="s">
        <v>11433</v>
      </c>
      <c r="AR1224" s="77"/>
      <c r="AS1224" s="77"/>
      <c r="AT1224" s="77"/>
      <c r="AU1224" s="77"/>
      <c r="AV1224" s="80" t="str">
        <f>HYPERLINK("https://pbs.twimg.com/media/F2e8L47XsAAo7OA.jpg")</f>
        <v>https://pbs.twimg.com/media/F2e8L47XsAAo7OA.jpg</v>
      </c>
      <c r="AW1224" s="82" t="s">
        <v>13406</v>
      </c>
      <c r="AX1224" s="82" t="s">
        <v>13406</v>
      </c>
      <c r="AY1224" s="77"/>
      <c r="AZ1224" s="82" t="s">
        <v>15804</v>
      </c>
      <c r="BA1224" s="82" t="s">
        <v>15804</v>
      </c>
      <c r="BB1224" s="82" t="s">
        <v>15804</v>
      </c>
      <c r="BC1224" s="82" t="s">
        <v>13406</v>
      </c>
      <c r="BD1224" s="82" t="s">
        <v>16350</v>
      </c>
      <c r="BE1224" s="77"/>
      <c r="BF1224" s="77"/>
      <c r="BG1224" s="77"/>
      <c r="BH1224" s="77"/>
      <c r="BI1224" s="77"/>
    </row>
    <row r="1225" spans="1:61" x14ac:dyDescent="0.25">
      <c r="A1225" s="62" t="s">
        <v>600</v>
      </c>
      <c r="B1225" s="62" t="s">
        <v>600</v>
      </c>
      <c r="C1225" s="63"/>
      <c r="D1225" s="64"/>
      <c r="E1225" s="65"/>
      <c r="F1225" s="66"/>
      <c r="G1225" s="63"/>
      <c r="H1225" s="67"/>
      <c r="I1225" s="68"/>
      <c r="J1225" s="68"/>
      <c r="K1225" s="32"/>
      <c r="L1225" s="75">
        <v>1225</v>
      </c>
      <c r="M1225" s="75"/>
      <c r="N1225" s="70"/>
      <c r="O1225" s="77" t="s">
        <v>179</v>
      </c>
      <c r="P1225" s="79">
        <v>45124.962708333333</v>
      </c>
      <c r="Q1225" s="77" t="s">
        <v>2318</v>
      </c>
      <c r="R1225" s="77">
        <v>0</v>
      </c>
      <c r="S1225" s="77">
        <v>0</v>
      </c>
      <c r="T1225" s="77">
        <v>0</v>
      </c>
      <c r="U1225" s="77">
        <v>0</v>
      </c>
      <c r="V1225" s="77">
        <v>25</v>
      </c>
      <c r="W1225" s="82" t="s">
        <v>4097</v>
      </c>
      <c r="X1225" s="77"/>
      <c r="Y1225" s="77"/>
      <c r="Z1225" s="77"/>
      <c r="AA1225" s="77" t="s">
        <v>6927</v>
      </c>
      <c r="AB1225" s="77" t="s">
        <v>7697</v>
      </c>
      <c r="AC1225" s="82" t="s">
        <v>7705</v>
      </c>
      <c r="AD1225" s="77" t="s">
        <v>7751</v>
      </c>
      <c r="AE1225" s="80" t="str">
        <f>HYPERLINK("https://twitter.com/gabriels_gouvea/status/1681077898495524864")</f>
        <v>https://twitter.com/gabriels_gouvea/status/1681077898495524864</v>
      </c>
      <c r="AF1225" s="79">
        <v>45124.962708333333</v>
      </c>
      <c r="AG1225" s="85">
        <v>45124</v>
      </c>
      <c r="AH1225" s="82" t="s">
        <v>8850</v>
      </c>
      <c r="AI1225" s="77" t="b">
        <v>0</v>
      </c>
      <c r="AJ1225" s="77"/>
      <c r="AK1225" s="77"/>
      <c r="AL1225" s="77"/>
      <c r="AM1225" s="77"/>
      <c r="AN1225" s="77"/>
      <c r="AO1225" s="77"/>
      <c r="AP1225" s="77"/>
      <c r="AQ1225" s="77" t="s">
        <v>11434</v>
      </c>
      <c r="AR1225" s="77">
        <v>56566</v>
      </c>
      <c r="AS1225" s="77"/>
      <c r="AT1225" s="77"/>
      <c r="AU1225" s="77">
        <v>12</v>
      </c>
      <c r="AV1225" s="80" t="str">
        <f>HYPERLINK("https://pbs.twimg.com/ext_tw_video_thumb/1681077830048776192/pu/img/H8HL3JkoJdW0SNxP.jpg")</f>
        <v>https://pbs.twimg.com/ext_tw_video_thumb/1681077830048776192/pu/img/H8HL3JkoJdW0SNxP.jpg</v>
      </c>
      <c r="AW1225" s="82" t="s">
        <v>13407</v>
      </c>
      <c r="AX1225" s="82" t="s">
        <v>13407</v>
      </c>
      <c r="AY1225" s="77"/>
      <c r="AZ1225" s="82" t="s">
        <v>15804</v>
      </c>
      <c r="BA1225" s="82" t="s">
        <v>15804</v>
      </c>
      <c r="BB1225" s="82" t="s">
        <v>15804</v>
      </c>
      <c r="BC1225" s="82" t="s">
        <v>13407</v>
      </c>
      <c r="BD1225" s="82" t="s">
        <v>16350</v>
      </c>
      <c r="BE1225" s="77"/>
      <c r="BF1225" s="77"/>
      <c r="BG1225" s="77"/>
      <c r="BH1225" s="77"/>
      <c r="BI1225" s="77"/>
    </row>
    <row r="1226" spans="1:61" x14ac:dyDescent="0.25">
      <c r="A1226" s="62" t="s">
        <v>600</v>
      </c>
      <c r="B1226" s="62" t="s">
        <v>600</v>
      </c>
      <c r="C1226" s="63"/>
      <c r="D1226" s="64"/>
      <c r="E1226" s="65"/>
      <c r="F1226" s="66"/>
      <c r="G1226" s="63"/>
      <c r="H1226" s="67"/>
      <c r="I1226" s="68"/>
      <c r="J1226" s="68"/>
      <c r="K1226" s="32"/>
      <c r="L1226" s="75">
        <v>1226</v>
      </c>
      <c r="M1226" s="75"/>
      <c r="N1226" s="70"/>
      <c r="O1226" s="77" t="s">
        <v>179</v>
      </c>
      <c r="P1226" s="79">
        <v>45173.464259259257</v>
      </c>
      <c r="Q1226" s="77" t="s">
        <v>2319</v>
      </c>
      <c r="R1226" s="77">
        <v>0</v>
      </c>
      <c r="S1226" s="77">
        <v>0</v>
      </c>
      <c r="T1226" s="77">
        <v>0</v>
      </c>
      <c r="U1226" s="77">
        <v>0</v>
      </c>
      <c r="V1226" s="77">
        <v>72</v>
      </c>
      <c r="W1226" s="82" t="s">
        <v>4105</v>
      </c>
      <c r="X1226" s="77"/>
      <c r="Y1226" s="77"/>
      <c r="Z1226" s="77"/>
      <c r="AA1226" s="77" t="s">
        <v>6928</v>
      </c>
      <c r="AB1226" s="77" t="s">
        <v>7697</v>
      </c>
      <c r="AC1226" s="82" t="s">
        <v>7705</v>
      </c>
      <c r="AD1226" s="77" t="s">
        <v>7745</v>
      </c>
      <c r="AE1226" s="80" t="str">
        <f>HYPERLINK("https://twitter.com/gabriels_gouvea/status/1698654272571785711")</f>
        <v>https://twitter.com/gabriels_gouvea/status/1698654272571785711</v>
      </c>
      <c r="AF1226" s="79">
        <v>45173.464259259257</v>
      </c>
      <c r="AG1226" s="85">
        <v>45173</v>
      </c>
      <c r="AH1226" s="82" t="s">
        <v>8851</v>
      </c>
      <c r="AI1226" s="77" t="b">
        <v>0</v>
      </c>
      <c r="AJ1226" s="77"/>
      <c r="AK1226" s="77"/>
      <c r="AL1226" s="77"/>
      <c r="AM1226" s="77"/>
      <c r="AN1226" s="77"/>
      <c r="AO1226" s="77"/>
      <c r="AP1226" s="77"/>
      <c r="AQ1226" s="77" t="s">
        <v>11435</v>
      </c>
      <c r="AR1226" s="77">
        <v>52266</v>
      </c>
      <c r="AS1226" s="77"/>
      <c r="AT1226" s="77"/>
      <c r="AU1226" s="77">
        <v>17</v>
      </c>
      <c r="AV1226" s="80" t="str">
        <f>HYPERLINK("https://pbs.twimg.com/ext_tw_video_thumb/1698654179915390976/pu/img/2wVcPCzRCYJtlVD_.jpg")</f>
        <v>https://pbs.twimg.com/ext_tw_video_thumb/1698654179915390976/pu/img/2wVcPCzRCYJtlVD_.jpg</v>
      </c>
      <c r="AW1226" s="82" t="s">
        <v>13408</v>
      </c>
      <c r="AX1226" s="82" t="s">
        <v>13408</v>
      </c>
      <c r="AY1226" s="77"/>
      <c r="AZ1226" s="82" t="s">
        <v>15804</v>
      </c>
      <c r="BA1226" s="82" t="s">
        <v>15804</v>
      </c>
      <c r="BB1226" s="82" t="s">
        <v>15804</v>
      </c>
      <c r="BC1226" s="82" t="s">
        <v>13408</v>
      </c>
      <c r="BD1226" s="82" t="s">
        <v>16350</v>
      </c>
      <c r="BE1226" s="77"/>
      <c r="BF1226" s="77"/>
      <c r="BG1226" s="77"/>
      <c r="BH1226" s="77"/>
      <c r="BI1226" s="77"/>
    </row>
    <row r="1227" spans="1:61" x14ac:dyDescent="0.25">
      <c r="A1227" s="62" t="s">
        <v>600</v>
      </c>
      <c r="B1227" s="62" t="s">
        <v>600</v>
      </c>
      <c r="C1227" s="63"/>
      <c r="D1227" s="64"/>
      <c r="E1227" s="65"/>
      <c r="F1227" s="66"/>
      <c r="G1227" s="63"/>
      <c r="H1227" s="67"/>
      <c r="I1227" s="68"/>
      <c r="J1227" s="68"/>
      <c r="K1227" s="32"/>
      <c r="L1227" s="75">
        <v>1227</v>
      </c>
      <c r="M1227" s="75"/>
      <c r="N1227" s="70"/>
      <c r="O1227" s="77" t="s">
        <v>179</v>
      </c>
      <c r="P1227" s="79">
        <v>45172.862650462965</v>
      </c>
      <c r="Q1227" s="77" t="s">
        <v>2320</v>
      </c>
      <c r="R1227" s="77">
        <v>0</v>
      </c>
      <c r="S1227" s="77">
        <v>0</v>
      </c>
      <c r="T1227" s="77">
        <v>0</v>
      </c>
      <c r="U1227" s="77">
        <v>0</v>
      </c>
      <c r="V1227" s="77">
        <v>18</v>
      </c>
      <c r="W1227" s="82" t="s">
        <v>4097</v>
      </c>
      <c r="X1227" s="77"/>
      <c r="Y1227" s="77"/>
      <c r="Z1227" s="77"/>
      <c r="AA1227" s="77" t="s">
        <v>6929</v>
      </c>
      <c r="AB1227" s="77" t="s">
        <v>7697</v>
      </c>
      <c r="AC1227" s="82" t="s">
        <v>7705</v>
      </c>
      <c r="AD1227" s="77" t="s">
        <v>7751</v>
      </c>
      <c r="AE1227" s="80" t="str">
        <f>HYPERLINK("https://twitter.com/gabriels_gouvea/status/1698436254944104764")</f>
        <v>https://twitter.com/gabriels_gouvea/status/1698436254944104764</v>
      </c>
      <c r="AF1227" s="79">
        <v>45172.862650462965</v>
      </c>
      <c r="AG1227" s="85">
        <v>45172</v>
      </c>
      <c r="AH1227" s="82" t="s">
        <v>8852</v>
      </c>
      <c r="AI1227" s="77" t="b">
        <v>0</v>
      </c>
      <c r="AJ1227" s="77"/>
      <c r="AK1227" s="77"/>
      <c r="AL1227" s="77"/>
      <c r="AM1227" s="77"/>
      <c r="AN1227" s="77"/>
      <c r="AO1227" s="77"/>
      <c r="AP1227" s="77"/>
      <c r="AQ1227" s="77" t="s">
        <v>11436</v>
      </c>
      <c r="AR1227" s="77">
        <v>45000</v>
      </c>
      <c r="AS1227" s="77"/>
      <c r="AT1227" s="77"/>
      <c r="AU1227" s="77">
        <v>3</v>
      </c>
      <c r="AV1227" s="80" t="str">
        <f>HYPERLINK("https://pbs.twimg.com/ext_tw_video_thumb/1698436176691011584/pu/img/hDKdrvOy0l8Wd-XR.jpg")</f>
        <v>https://pbs.twimg.com/ext_tw_video_thumb/1698436176691011584/pu/img/hDKdrvOy0l8Wd-XR.jpg</v>
      </c>
      <c r="AW1227" s="82" t="s">
        <v>13409</v>
      </c>
      <c r="AX1227" s="82" t="s">
        <v>13409</v>
      </c>
      <c r="AY1227" s="77"/>
      <c r="AZ1227" s="82" t="s">
        <v>15804</v>
      </c>
      <c r="BA1227" s="82" t="s">
        <v>15804</v>
      </c>
      <c r="BB1227" s="82" t="s">
        <v>15804</v>
      </c>
      <c r="BC1227" s="82" t="s">
        <v>13409</v>
      </c>
      <c r="BD1227" s="82" t="s">
        <v>16350</v>
      </c>
      <c r="BE1227" s="77"/>
      <c r="BF1227" s="77"/>
      <c r="BG1227" s="77"/>
      <c r="BH1227" s="77"/>
      <c r="BI1227" s="77"/>
    </row>
    <row r="1228" spans="1:61" x14ac:dyDescent="0.25">
      <c r="A1228" s="62" t="s">
        <v>600</v>
      </c>
      <c r="B1228" s="62" t="s">
        <v>600</v>
      </c>
      <c r="C1228" s="63"/>
      <c r="D1228" s="64"/>
      <c r="E1228" s="65"/>
      <c r="F1228" s="66"/>
      <c r="G1228" s="63"/>
      <c r="H1228" s="67"/>
      <c r="I1228" s="68"/>
      <c r="J1228" s="68"/>
      <c r="K1228" s="32"/>
      <c r="L1228" s="75">
        <v>1228</v>
      </c>
      <c r="M1228" s="75"/>
      <c r="N1228" s="70"/>
      <c r="O1228" s="77" t="s">
        <v>179</v>
      </c>
      <c r="P1228" s="79">
        <v>45172.767256944448</v>
      </c>
      <c r="Q1228" s="77" t="s">
        <v>2321</v>
      </c>
      <c r="R1228" s="77">
        <v>0</v>
      </c>
      <c r="S1228" s="77">
        <v>0</v>
      </c>
      <c r="T1228" s="77">
        <v>0</v>
      </c>
      <c r="U1228" s="77">
        <v>0</v>
      </c>
      <c r="V1228" s="77">
        <v>40</v>
      </c>
      <c r="W1228" s="82" t="s">
        <v>4097</v>
      </c>
      <c r="X1228" s="77"/>
      <c r="Y1228" s="77"/>
      <c r="Z1228" s="77"/>
      <c r="AA1228" s="77" t="s">
        <v>6930</v>
      </c>
      <c r="AB1228" s="77" t="s">
        <v>7697</v>
      </c>
      <c r="AC1228" s="82" t="s">
        <v>7705</v>
      </c>
      <c r="AD1228" s="77" t="s">
        <v>7745</v>
      </c>
      <c r="AE1228" s="80" t="str">
        <f>HYPERLINK("https://twitter.com/gabriels_gouvea/status/1698401684588806319")</f>
        <v>https://twitter.com/gabriels_gouvea/status/1698401684588806319</v>
      </c>
      <c r="AF1228" s="79">
        <v>45172.767256944448</v>
      </c>
      <c r="AG1228" s="85">
        <v>45172</v>
      </c>
      <c r="AH1228" s="82" t="s">
        <v>8853</v>
      </c>
      <c r="AI1228" s="77" t="b">
        <v>0</v>
      </c>
      <c r="AJ1228" s="77"/>
      <c r="AK1228" s="77"/>
      <c r="AL1228" s="77"/>
      <c r="AM1228" s="77"/>
      <c r="AN1228" s="77"/>
      <c r="AO1228" s="77"/>
      <c r="AP1228" s="77"/>
      <c r="AQ1228" s="77" t="s">
        <v>11437</v>
      </c>
      <c r="AR1228" s="77">
        <v>70466</v>
      </c>
      <c r="AS1228" s="77"/>
      <c r="AT1228" s="77"/>
      <c r="AU1228" s="77">
        <v>7</v>
      </c>
      <c r="AV1228" s="80" t="str">
        <f>HYPERLINK("https://pbs.twimg.com/ext_tw_video_thumb/1698401581442465792/pu/img/7cO4Ps2I41G7U4oh.jpg")</f>
        <v>https://pbs.twimg.com/ext_tw_video_thumb/1698401581442465792/pu/img/7cO4Ps2I41G7U4oh.jpg</v>
      </c>
      <c r="AW1228" s="82" t="s">
        <v>13410</v>
      </c>
      <c r="AX1228" s="82" t="s">
        <v>13410</v>
      </c>
      <c r="AY1228" s="77"/>
      <c r="AZ1228" s="82" t="s">
        <v>15804</v>
      </c>
      <c r="BA1228" s="82" t="s">
        <v>15804</v>
      </c>
      <c r="BB1228" s="82" t="s">
        <v>15804</v>
      </c>
      <c r="BC1228" s="82" t="s">
        <v>13410</v>
      </c>
      <c r="BD1228" s="82" t="s">
        <v>16350</v>
      </c>
      <c r="BE1228" s="77"/>
      <c r="BF1228" s="77"/>
      <c r="BG1228" s="77"/>
      <c r="BH1228" s="77"/>
      <c r="BI1228" s="77"/>
    </row>
    <row r="1229" spans="1:61" x14ac:dyDescent="0.25">
      <c r="A1229" s="62" t="s">
        <v>600</v>
      </c>
      <c r="B1229" s="62" t="s">
        <v>600</v>
      </c>
      <c r="C1229" s="63"/>
      <c r="D1229" s="64"/>
      <c r="E1229" s="65"/>
      <c r="F1229" s="66"/>
      <c r="G1229" s="63"/>
      <c r="H1229" s="67"/>
      <c r="I1229" s="68"/>
      <c r="J1229" s="68"/>
      <c r="K1229" s="32"/>
      <c r="L1229" s="75">
        <v>1229</v>
      </c>
      <c r="M1229" s="75"/>
      <c r="N1229" s="70"/>
      <c r="O1229" s="77" t="s">
        <v>179</v>
      </c>
      <c r="P1229" s="79">
        <v>45172.671886574077</v>
      </c>
      <c r="Q1229" s="77" t="s">
        <v>2322</v>
      </c>
      <c r="R1229" s="77">
        <v>0</v>
      </c>
      <c r="S1229" s="77">
        <v>0</v>
      </c>
      <c r="T1229" s="77">
        <v>0</v>
      </c>
      <c r="U1229" s="77">
        <v>0</v>
      </c>
      <c r="V1229" s="77">
        <v>35</v>
      </c>
      <c r="W1229" s="82" t="s">
        <v>4097</v>
      </c>
      <c r="X1229" s="77"/>
      <c r="Y1229" s="77"/>
      <c r="Z1229" s="77"/>
      <c r="AA1229" s="77" t="s">
        <v>6931</v>
      </c>
      <c r="AB1229" s="77" t="s">
        <v>7697</v>
      </c>
      <c r="AC1229" s="82" t="s">
        <v>7705</v>
      </c>
      <c r="AD1229" s="77" t="s">
        <v>7745</v>
      </c>
      <c r="AE1229" s="80" t="str">
        <f>HYPERLINK("https://twitter.com/gabriels_gouvea/status/1698367124215861536")</f>
        <v>https://twitter.com/gabriels_gouvea/status/1698367124215861536</v>
      </c>
      <c r="AF1229" s="79">
        <v>45172.671886574077</v>
      </c>
      <c r="AG1229" s="85">
        <v>45172</v>
      </c>
      <c r="AH1229" s="82" t="s">
        <v>8854</v>
      </c>
      <c r="AI1229" s="77" t="b">
        <v>0</v>
      </c>
      <c r="AJ1229" s="77"/>
      <c r="AK1229" s="77"/>
      <c r="AL1229" s="77"/>
      <c r="AM1229" s="77"/>
      <c r="AN1229" s="77"/>
      <c r="AO1229" s="77"/>
      <c r="AP1229" s="77"/>
      <c r="AQ1229" s="77" t="s">
        <v>11438</v>
      </c>
      <c r="AR1229" s="77">
        <v>53660</v>
      </c>
      <c r="AS1229" s="77"/>
      <c r="AT1229" s="77"/>
      <c r="AU1229" s="77">
        <v>11</v>
      </c>
      <c r="AV1229" s="80" t="str">
        <f>HYPERLINK("https://pbs.twimg.com/ext_tw_video_thumb/1698367030489948160/pu/img/acfrjsiaLTFFXpes.jpg")</f>
        <v>https://pbs.twimg.com/ext_tw_video_thumb/1698367030489948160/pu/img/acfrjsiaLTFFXpes.jpg</v>
      </c>
      <c r="AW1229" s="82" t="s">
        <v>13411</v>
      </c>
      <c r="AX1229" s="82" t="s">
        <v>13411</v>
      </c>
      <c r="AY1229" s="77"/>
      <c r="AZ1229" s="82" t="s">
        <v>15804</v>
      </c>
      <c r="BA1229" s="82" t="s">
        <v>15804</v>
      </c>
      <c r="BB1229" s="82" t="s">
        <v>15804</v>
      </c>
      <c r="BC1229" s="82" t="s">
        <v>13411</v>
      </c>
      <c r="BD1229" s="82" t="s">
        <v>16350</v>
      </c>
      <c r="BE1229" s="77"/>
      <c r="BF1229" s="77"/>
      <c r="BG1229" s="77"/>
      <c r="BH1229" s="77"/>
      <c r="BI1229" s="77"/>
    </row>
    <row r="1230" spans="1:61" x14ac:dyDescent="0.25">
      <c r="A1230" s="62" t="s">
        <v>600</v>
      </c>
      <c r="B1230" s="62" t="s">
        <v>600</v>
      </c>
      <c r="C1230" s="63"/>
      <c r="D1230" s="64"/>
      <c r="E1230" s="65"/>
      <c r="F1230" s="66"/>
      <c r="G1230" s="63"/>
      <c r="H1230" s="67"/>
      <c r="I1230" s="68"/>
      <c r="J1230" s="68"/>
      <c r="K1230" s="32"/>
      <c r="L1230" s="75">
        <v>1230</v>
      </c>
      <c r="M1230" s="75"/>
      <c r="N1230" s="70"/>
      <c r="O1230" s="77" t="s">
        <v>179</v>
      </c>
      <c r="P1230" s="79">
        <v>45134.719444444447</v>
      </c>
      <c r="Q1230" s="77" t="s">
        <v>2323</v>
      </c>
      <c r="R1230" s="77">
        <v>0</v>
      </c>
      <c r="S1230" s="77">
        <v>0</v>
      </c>
      <c r="T1230" s="77">
        <v>0</v>
      </c>
      <c r="U1230" s="77">
        <v>0</v>
      </c>
      <c r="V1230" s="77">
        <v>39</v>
      </c>
      <c r="W1230" s="82" t="s">
        <v>4097</v>
      </c>
      <c r="X1230" s="77"/>
      <c r="Y1230" s="77"/>
      <c r="Z1230" s="77"/>
      <c r="AA1230" s="77" t="s">
        <v>6932</v>
      </c>
      <c r="AB1230" s="77" t="s">
        <v>7697</v>
      </c>
      <c r="AC1230" s="82" t="s">
        <v>7705</v>
      </c>
      <c r="AD1230" s="77" t="s">
        <v>7745</v>
      </c>
      <c r="AE1230" s="80" t="str">
        <f>HYPERLINK("https://twitter.com/gabriels_gouvea/status/1684613621496545297")</f>
        <v>https://twitter.com/gabriels_gouvea/status/1684613621496545297</v>
      </c>
      <c r="AF1230" s="79">
        <v>45134.719444444447</v>
      </c>
      <c r="AG1230" s="85">
        <v>45134</v>
      </c>
      <c r="AH1230" s="82" t="s">
        <v>8855</v>
      </c>
      <c r="AI1230" s="77" t="b">
        <v>0</v>
      </c>
      <c r="AJ1230" s="77"/>
      <c r="AK1230" s="77"/>
      <c r="AL1230" s="77"/>
      <c r="AM1230" s="77"/>
      <c r="AN1230" s="77"/>
      <c r="AO1230" s="77"/>
      <c r="AP1230" s="77"/>
      <c r="AQ1230" s="77" t="s">
        <v>11439</v>
      </c>
      <c r="AR1230" s="77">
        <v>79633</v>
      </c>
      <c r="AS1230" s="77"/>
      <c r="AT1230" s="77"/>
      <c r="AU1230" s="77">
        <v>8</v>
      </c>
      <c r="AV1230" s="80" t="str">
        <f>HYPERLINK("https://pbs.twimg.com/ext_tw_video_thumb/1684613540122853392/pu/img/_XJz67IRK4dP8BQd.jpg")</f>
        <v>https://pbs.twimg.com/ext_tw_video_thumb/1684613540122853392/pu/img/_XJz67IRK4dP8BQd.jpg</v>
      </c>
      <c r="AW1230" s="82" t="s">
        <v>13412</v>
      </c>
      <c r="AX1230" s="82" t="s">
        <v>13412</v>
      </c>
      <c r="AY1230" s="77"/>
      <c r="AZ1230" s="82" t="s">
        <v>15804</v>
      </c>
      <c r="BA1230" s="82" t="s">
        <v>15804</v>
      </c>
      <c r="BB1230" s="82" t="s">
        <v>15804</v>
      </c>
      <c r="BC1230" s="82" t="s">
        <v>13412</v>
      </c>
      <c r="BD1230" s="82" t="s">
        <v>16350</v>
      </c>
      <c r="BE1230" s="77"/>
      <c r="BF1230" s="77"/>
      <c r="BG1230" s="77"/>
      <c r="BH1230" s="77"/>
      <c r="BI1230" s="77"/>
    </row>
    <row r="1231" spans="1:61" x14ac:dyDescent="0.25">
      <c r="A1231" s="62" t="s">
        <v>600</v>
      </c>
      <c r="B1231" s="62" t="s">
        <v>600</v>
      </c>
      <c r="C1231" s="63"/>
      <c r="D1231" s="64"/>
      <c r="E1231" s="65"/>
      <c r="F1231" s="66"/>
      <c r="G1231" s="63"/>
      <c r="H1231" s="67"/>
      <c r="I1231" s="68"/>
      <c r="J1231" s="68"/>
      <c r="K1231" s="32"/>
      <c r="L1231" s="75">
        <v>1231</v>
      </c>
      <c r="M1231" s="75"/>
      <c r="N1231" s="70"/>
      <c r="O1231" s="77" t="s">
        <v>179</v>
      </c>
      <c r="P1231" s="79">
        <v>45132.96199074074</v>
      </c>
      <c r="Q1231" s="77" t="s">
        <v>2324</v>
      </c>
      <c r="R1231" s="77">
        <v>0</v>
      </c>
      <c r="S1231" s="77">
        <v>0</v>
      </c>
      <c r="T1231" s="77">
        <v>0</v>
      </c>
      <c r="U1231" s="77">
        <v>0</v>
      </c>
      <c r="V1231" s="77">
        <v>28</v>
      </c>
      <c r="W1231" s="82" t="s">
        <v>4105</v>
      </c>
      <c r="X1231" s="77"/>
      <c r="Y1231" s="77"/>
      <c r="Z1231" s="77"/>
      <c r="AA1231" s="77" t="s">
        <v>6933</v>
      </c>
      <c r="AB1231" s="77" t="s">
        <v>7697</v>
      </c>
      <c r="AC1231" s="82" t="s">
        <v>7705</v>
      </c>
      <c r="AD1231" s="77" t="s">
        <v>7752</v>
      </c>
      <c r="AE1231" s="80" t="str">
        <f>HYPERLINK("https://twitter.com/gabriels_gouvea/status/1683976739645542400")</f>
        <v>https://twitter.com/gabriels_gouvea/status/1683976739645542400</v>
      </c>
      <c r="AF1231" s="79">
        <v>45132.96199074074</v>
      </c>
      <c r="AG1231" s="85">
        <v>45132</v>
      </c>
      <c r="AH1231" s="82" t="s">
        <v>8856</v>
      </c>
      <c r="AI1231" s="77" t="b">
        <v>0</v>
      </c>
      <c r="AJ1231" s="77"/>
      <c r="AK1231" s="77"/>
      <c r="AL1231" s="77"/>
      <c r="AM1231" s="77"/>
      <c r="AN1231" s="77"/>
      <c r="AO1231" s="77"/>
      <c r="AP1231" s="77"/>
      <c r="AQ1231" s="77" t="s">
        <v>11440</v>
      </c>
      <c r="AR1231" s="77">
        <v>62906</v>
      </c>
      <c r="AS1231" s="77"/>
      <c r="AT1231" s="77"/>
      <c r="AU1231" s="77">
        <v>6</v>
      </c>
      <c r="AV1231" s="80" t="str">
        <f>HYPERLINK("https://pbs.twimg.com/ext_tw_video_thumb/1683976485160321026/pu/img/5oZ9V4XsJFMSQcoe.jpg")</f>
        <v>https://pbs.twimg.com/ext_tw_video_thumb/1683976485160321026/pu/img/5oZ9V4XsJFMSQcoe.jpg</v>
      </c>
      <c r="AW1231" s="82" t="s">
        <v>13413</v>
      </c>
      <c r="AX1231" s="82" t="s">
        <v>13413</v>
      </c>
      <c r="AY1231" s="77"/>
      <c r="AZ1231" s="82" t="s">
        <v>15804</v>
      </c>
      <c r="BA1231" s="82" t="s">
        <v>15804</v>
      </c>
      <c r="BB1231" s="82" t="s">
        <v>15804</v>
      </c>
      <c r="BC1231" s="82" t="s">
        <v>13413</v>
      </c>
      <c r="BD1231" s="82" t="s">
        <v>16350</v>
      </c>
      <c r="BE1231" s="77"/>
      <c r="BF1231" s="77"/>
      <c r="BG1231" s="77"/>
      <c r="BH1231" s="77"/>
      <c r="BI1231" s="77"/>
    </row>
    <row r="1232" spans="1:61" x14ac:dyDescent="0.25">
      <c r="A1232" s="62" t="s">
        <v>601</v>
      </c>
      <c r="B1232" s="62" t="s">
        <v>601</v>
      </c>
      <c r="C1232" s="63"/>
      <c r="D1232" s="64"/>
      <c r="E1232" s="65"/>
      <c r="F1232" s="66"/>
      <c r="G1232" s="63"/>
      <c r="H1232" s="67"/>
      <c r="I1232" s="68"/>
      <c r="J1232" s="68"/>
      <c r="K1232" s="32"/>
      <c r="L1232" s="75">
        <v>1232</v>
      </c>
      <c r="M1232" s="75"/>
      <c r="N1232" s="70"/>
      <c r="O1232" s="77" t="s">
        <v>179</v>
      </c>
      <c r="P1232" s="79">
        <v>45043.000358796293</v>
      </c>
      <c r="Q1232" s="77" t="s">
        <v>2325</v>
      </c>
      <c r="R1232" s="77">
        <v>0</v>
      </c>
      <c r="S1232" s="77">
        <v>0</v>
      </c>
      <c r="T1232" s="77">
        <v>0</v>
      </c>
      <c r="U1232" s="77">
        <v>0</v>
      </c>
      <c r="V1232" s="77">
        <v>12</v>
      </c>
      <c r="W1232" s="82" t="s">
        <v>4912</v>
      </c>
      <c r="X1232" s="77"/>
      <c r="Y1232" s="77"/>
      <c r="Z1232" s="77"/>
      <c r="AA1232" s="77"/>
      <c r="AB1232" s="77"/>
      <c r="AC1232" s="82" t="s">
        <v>7706</v>
      </c>
      <c r="AD1232" s="77" t="s">
        <v>7745</v>
      </c>
      <c r="AE1232" s="80" t="str">
        <f>HYPERLINK("https://twitter.com/andrealmeidasou/status/1651375736349966338")</f>
        <v>https://twitter.com/andrealmeidasou/status/1651375736349966338</v>
      </c>
      <c r="AF1232" s="79">
        <v>45043.000358796293</v>
      </c>
      <c r="AG1232" s="85">
        <v>45043</v>
      </c>
      <c r="AH1232" s="82" t="s">
        <v>8857</v>
      </c>
      <c r="AI1232" s="77"/>
      <c r="AJ1232" s="77"/>
      <c r="AK1232" s="77"/>
      <c r="AL1232" s="77"/>
      <c r="AM1232" s="77"/>
      <c r="AN1232" s="77"/>
      <c r="AO1232" s="77"/>
      <c r="AP1232" s="77"/>
      <c r="AQ1232" s="77"/>
      <c r="AR1232" s="77"/>
      <c r="AS1232" s="77"/>
      <c r="AT1232" s="77"/>
      <c r="AU1232" s="77"/>
      <c r="AV1232" s="80" t="str">
        <f>HYPERLINK("https://pbs.twimg.com/profile_images/1651373648068980736/LVhLRoNR_normal.jpg")</f>
        <v>https://pbs.twimg.com/profile_images/1651373648068980736/LVhLRoNR_normal.jpg</v>
      </c>
      <c r="AW1232" s="82" t="s">
        <v>13414</v>
      </c>
      <c r="AX1232" s="82" t="s">
        <v>13414</v>
      </c>
      <c r="AY1232" s="77"/>
      <c r="AZ1232" s="82" t="s">
        <v>15804</v>
      </c>
      <c r="BA1232" s="82" t="s">
        <v>15804</v>
      </c>
      <c r="BB1232" s="82" t="s">
        <v>15804</v>
      </c>
      <c r="BC1232" s="82" t="s">
        <v>13414</v>
      </c>
      <c r="BD1232" s="77">
        <v>3135191105</v>
      </c>
      <c r="BE1232" s="77"/>
      <c r="BF1232" s="77"/>
      <c r="BG1232" s="77"/>
      <c r="BH1232" s="77"/>
      <c r="BI1232" s="77"/>
    </row>
    <row r="1233" spans="1:61" x14ac:dyDescent="0.25">
      <c r="A1233" s="62" t="s">
        <v>602</v>
      </c>
      <c r="B1233" s="62" t="s">
        <v>602</v>
      </c>
      <c r="C1233" s="63"/>
      <c r="D1233" s="64"/>
      <c r="E1233" s="65"/>
      <c r="F1233" s="66"/>
      <c r="G1233" s="63"/>
      <c r="H1233" s="67"/>
      <c r="I1233" s="68"/>
      <c r="J1233" s="68"/>
      <c r="K1233" s="32"/>
      <c r="L1233" s="75">
        <v>1233</v>
      </c>
      <c r="M1233" s="75"/>
      <c r="N1233" s="70"/>
      <c r="O1233" s="77" t="s">
        <v>179</v>
      </c>
      <c r="P1233" s="79">
        <v>45072.003472222219</v>
      </c>
      <c r="Q1233" s="77" t="s">
        <v>2326</v>
      </c>
      <c r="R1233" s="77">
        <v>1</v>
      </c>
      <c r="S1233" s="77">
        <v>0</v>
      </c>
      <c r="T1233" s="77">
        <v>0</v>
      </c>
      <c r="U1233" s="77">
        <v>0</v>
      </c>
      <c r="V1233" s="77">
        <v>12</v>
      </c>
      <c r="W1233" s="82" t="s">
        <v>4913</v>
      </c>
      <c r="X1233" s="80" t="str">
        <f>HYPERLINK("https://www.jornaldooeste.com.br/estado/cresol-integracao-realiza-acoes-de-educacao-financeira/")</f>
        <v>https://www.jornaldooeste.com.br/estado/cresol-integracao-realiza-acoes-de-educacao-financeira/</v>
      </c>
      <c r="Y1233" s="77" t="s">
        <v>6002</v>
      </c>
      <c r="Z1233" s="77"/>
      <c r="AA1233" s="77" t="s">
        <v>6934</v>
      </c>
      <c r="AB1233" s="77" t="s">
        <v>7696</v>
      </c>
      <c r="AC1233" s="82" t="s">
        <v>7706</v>
      </c>
      <c r="AD1233" s="77" t="s">
        <v>7745</v>
      </c>
      <c r="AE1233" s="80" t="str">
        <f>HYPERLINK("https://twitter.com/jornaldooeste/status/1661886112602677250")</f>
        <v>https://twitter.com/jornaldooeste/status/1661886112602677250</v>
      </c>
      <c r="AF1233" s="79">
        <v>45072.003472222219</v>
      </c>
      <c r="AG1233" s="85">
        <v>45072</v>
      </c>
      <c r="AH1233" s="82" t="s">
        <v>8858</v>
      </c>
      <c r="AI1233" s="77" t="b">
        <v>0</v>
      </c>
      <c r="AJ1233" s="77"/>
      <c r="AK1233" s="77"/>
      <c r="AL1233" s="77"/>
      <c r="AM1233" s="77"/>
      <c r="AN1233" s="77"/>
      <c r="AO1233" s="77"/>
      <c r="AP1233" s="77"/>
      <c r="AQ1233" s="77" t="s">
        <v>11441</v>
      </c>
      <c r="AR1233" s="77"/>
      <c r="AS1233" s="77"/>
      <c r="AT1233" s="77"/>
      <c r="AU1233" s="77"/>
      <c r="AV1233" s="80" t="str">
        <f>HYPERLINK("https://pbs.twimg.com/media/Fw_dhqQXgAUyyEo.jpg")</f>
        <v>https://pbs.twimg.com/media/Fw_dhqQXgAUyyEo.jpg</v>
      </c>
      <c r="AW1233" s="82" t="s">
        <v>13415</v>
      </c>
      <c r="AX1233" s="82" t="s">
        <v>13415</v>
      </c>
      <c r="AY1233" s="77"/>
      <c r="AZ1233" s="82" t="s">
        <v>15804</v>
      </c>
      <c r="BA1233" s="82" t="s">
        <v>15804</v>
      </c>
      <c r="BB1233" s="82" t="s">
        <v>15804</v>
      </c>
      <c r="BC1233" s="82" t="s">
        <v>13415</v>
      </c>
      <c r="BD1233" s="77">
        <v>46624815</v>
      </c>
      <c r="BE1233" s="77"/>
      <c r="BF1233" s="77"/>
      <c r="BG1233" s="77"/>
      <c r="BH1233" s="77"/>
      <c r="BI1233" s="77"/>
    </row>
    <row r="1234" spans="1:61" x14ac:dyDescent="0.25">
      <c r="A1234" s="62" t="s">
        <v>602</v>
      </c>
      <c r="B1234" s="62" t="s">
        <v>602</v>
      </c>
      <c r="C1234" s="63"/>
      <c r="D1234" s="64"/>
      <c r="E1234" s="65"/>
      <c r="F1234" s="66"/>
      <c r="G1234" s="63"/>
      <c r="H1234" s="67"/>
      <c r="I1234" s="68"/>
      <c r="J1234" s="68"/>
      <c r="K1234" s="32"/>
      <c r="L1234" s="75">
        <v>1234</v>
      </c>
      <c r="M1234" s="75"/>
      <c r="N1234" s="70"/>
      <c r="O1234" s="77" t="s">
        <v>179</v>
      </c>
      <c r="P1234" s="79">
        <v>45063.753472222219</v>
      </c>
      <c r="Q1234" s="77" t="s">
        <v>2327</v>
      </c>
      <c r="R1234" s="77">
        <v>0</v>
      </c>
      <c r="S1234" s="77">
        <v>0</v>
      </c>
      <c r="T1234" s="77">
        <v>0</v>
      </c>
      <c r="U1234" s="77">
        <v>0</v>
      </c>
      <c r="V1234" s="77">
        <v>9</v>
      </c>
      <c r="W1234" s="82" t="s">
        <v>4914</v>
      </c>
      <c r="X1234" s="80" t="str">
        <f>HYPERLINK("https://www.jornaldooeste.com.br/geral/conversas-bem-contadas-sicredi-lanca-webserie-com-dicas-de-educacao-financeira/")</f>
        <v>https://www.jornaldooeste.com.br/geral/conversas-bem-contadas-sicredi-lanca-webserie-com-dicas-de-educacao-financeira/</v>
      </c>
      <c r="Y1234" s="77" t="s">
        <v>6002</v>
      </c>
      <c r="Z1234" s="77"/>
      <c r="AA1234" s="77" t="s">
        <v>6935</v>
      </c>
      <c r="AB1234" s="77" t="s">
        <v>7696</v>
      </c>
      <c r="AC1234" s="82" t="s">
        <v>7706</v>
      </c>
      <c r="AD1234" s="77" t="s">
        <v>7745</v>
      </c>
      <c r="AE1234" s="80" t="str">
        <f>HYPERLINK("https://twitter.com/jornaldooeste/status/1658896413038899200")</f>
        <v>https://twitter.com/jornaldooeste/status/1658896413038899200</v>
      </c>
      <c r="AF1234" s="79">
        <v>45063.753472222219</v>
      </c>
      <c r="AG1234" s="85">
        <v>45063</v>
      </c>
      <c r="AH1234" s="82" t="s">
        <v>8859</v>
      </c>
      <c r="AI1234" s="77" t="b">
        <v>0</v>
      </c>
      <c r="AJ1234" s="77"/>
      <c r="AK1234" s="77"/>
      <c r="AL1234" s="77"/>
      <c r="AM1234" s="77"/>
      <c r="AN1234" s="77"/>
      <c r="AO1234" s="77"/>
      <c r="AP1234" s="77"/>
      <c r="AQ1234" s="77" t="s">
        <v>11442</v>
      </c>
      <c r="AR1234" s="77"/>
      <c r="AS1234" s="77"/>
      <c r="AT1234" s="77"/>
      <c r="AU1234" s="77"/>
      <c r="AV1234" s="80" t="str">
        <f>HYPERLINK("https://pbs.twimg.com/media/FwVITKjXgAIOj5Q.jpg")</f>
        <v>https://pbs.twimg.com/media/FwVITKjXgAIOj5Q.jpg</v>
      </c>
      <c r="AW1234" s="82" t="s">
        <v>13416</v>
      </c>
      <c r="AX1234" s="82" t="s">
        <v>13416</v>
      </c>
      <c r="AY1234" s="77"/>
      <c r="AZ1234" s="82" t="s">
        <v>15804</v>
      </c>
      <c r="BA1234" s="82" t="s">
        <v>15804</v>
      </c>
      <c r="BB1234" s="82" t="s">
        <v>15804</v>
      </c>
      <c r="BC1234" s="82" t="s">
        <v>13416</v>
      </c>
      <c r="BD1234" s="77">
        <v>46624815</v>
      </c>
      <c r="BE1234" s="77"/>
      <c r="BF1234" s="77"/>
      <c r="BG1234" s="77"/>
      <c r="BH1234" s="77"/>
      <c r="BI1234" s="77"/>
    </row>
    <row r="1235" spans="1:61" x14ac:dyDescent="0.25">
      <c r="A1235" s="62" t="s">
        <v>603</v>
      </c>
      <c r="B1235" s="62" t="s">
        <v>603</v>
      </c>
      <c r="C1235" s="63"/>
      <c r="D1235" s="64"/>
      <c r="E1235" s="65"/>
      <c r="F1235" s="66"/>
      <c r="G1235" s="63"/>
      <c r="H1235" s="67"/>
      <c r="I1235" s="68"/>
      <c r="J1235" s="68"/>
      <c r="K1235" s="32"/>
      <c r="L1235" s="75">
        <v>1235</v>
      </c>
      <c r="M1235" s="75"/>
      <c r="N1235" s="70"/>
      <c r="O1235" s="77" t="s">
        <v>1132</v>
      </c>
      <c r="P1235" s="79">
        <v>44986.583344907405</v>
      </c>
      <c r="Q1235" s="77" t="s">
        <v>2328</v>
      </c>
      <c r="R1235" s="77">
        <v>0</v>
      </c>
      <c r="S1235" s="77">
        <v>0</v>
      </c>
      <c r="T1235" s="77">
        <v>1</v>
      </c>
      <c r="U1235" s="77">
        <v>0</v>
      </c>
      <c r="V1235" s="77">
        <v>7</v>
      </c>
      <c r="W1235" s="82" t="s">
        <v>4160</v>
      </c>
      <c r="X1235" s="77"/>
      <c r="Y1235" s="77"/>
      <c r="Z1235" s="77"/>
      <c r="AA1235" s="77"/>
      <c r="AB1235" s="77"/>
      <c r="AC1235" s="82" t="s">
        <v>7732</v>
      </c>
      <c r="AD1235" s="77" t="s">
        <v>7745</v>
      </c>
      <c r="AE1235" s="80" t="str">
        <f>HYPERLINK("https://twitter.com/almepoupa/status/1630930897984966656")</f>
        <v>https://twitter.com/almepoupa/status/1630930897984966656</v>
      </c>
      <c r="AF1235" s="79">
        <v>44986.583344907405</v>
      </c>
      <c r="AG1235" s="85">
        <v>44986</v>
      </c>
      <c r="AH1235" s="82" t="s">
        <v>8438</v>
      </c>
      <c r="AI1235" s="77"/>
      <c r="AJ1235" s="77"/>
      <c r="AK1235" s="77"/>
      <c r="AL1235" s="77"/>
      <c r="AM1235" s="77"/>
      <c r="AN1235" s="77"/>
      <c r="AO1235" s="77"/>
      <c r="AP1235" s="77"/>
      <c r="AQ1235" s="77"/>
      <c r="AR1235" s="77"/>
      <c r="AS1235" s="77"/>
      <c r="AT1235" s="77"/>
      <c r="AU1235" s="77"/>
      <c r="AV1235" s="80" t="str">
        <f>HYPERLINK("https://pbs.twimg.com/profile_images/1664024456262549505/LEYLe1s-_normal.jpg")</f>
        <v>https://pbs.twimg.com/profile_images/1664024456262549505/LEYLe1s-_normal.jpg</v>
      </c>
      <c r="AW1235" s="82" t="s">
        <v>13417</v>
      </c>
      <c r="AX1235" s="82" t="s">
        <v>15314</v>
      </c>
      <c r="AY1235" s="82" t="s">
        <v>15734</v>
      </c>
      <c r="AZ1235" s="82" t="s">
        <v>15871</v>
      </c>
      <c r="BA1235" s="82" t="s">
        <v>15804</v>
      </c>
      <c r="BB1235" s="82" t="s">
        <v>15804</v>
      </c>
      <c r="BC1235" s="82" t="s">
        <v>15871</v>
      </c>
      <c r="BD1235" s="82" t="s">
        <v>15734</v>
      </c>
      <c r="BE1235" s="77"/>
      <c r="BF1235" s="77"/>
      <c r="BG1235" s="77"/>
      <c r="BH1235" s="77"/>
      <c r="BI1235" s="77"/>
    </row>
    <row r="1236" spans="1:61" x14ac:dyDescent="0.25">
      <c r="A1236" s="62" t="s">
        <v>603</v>
      </c>
      <c r="B1236" s="62" t="s">
        <v>603</v>
      </c>
      <c r="C1236" s="63"/>
      <c r="D1236" s="64"/>
      <c r="E1236" s="65"/>
      <c r="F1236" s="66"/>
      <c r="G1236" s="63"/>
      <c r="H1236" s="67"/>
      <c r="I1236" s="68"/>
      <c r="J1236" s="68"/>
      <c r="K1236" s="32"/>
      <c r="L1236" s="75">
        <v>1236</v>
      </c>
      <c r="M1236" s="75"/>
      <c r="N1236" s="70"/>
      <c r="O1236" s="77" t="s">
        <v>1132</v>
      </c>
      <c r="P1236" s="79">
        <v>44986.583333333336</v>
      </c>
      <c r="Q1236" s="77" t="s">
        <v>2329</v>
      </c>
      <c r="R1236" s="77">
        <v>0</v>
      </c>
      <c r="S1236" s="77">
        <v>0</v>
      </c>
      <c r="T1236" s="77">
        <v>1</v>
      </c>
      <c r="U1236" s="77">
        <v>0</v>
      </c>
      <c r="V1236" s="77">
        <v>3</v>
      </c>
      <c r="W1236" s="82" t="s">
        <v>4134</v>
      </c>
      <c r="X1236" s="77"/>
      <c r="Y1236" s="77"/>
      <c r="Z1236" s="77"/>
      <c r="AA1236" s="77"/>
      <c r="AB1236" s="77"/>
      <c r="AC1236" s="82" t="s">
        <v>7732</v>
      </c>
      <c r="AD1236" s="77" t="s">
        <v>7745</v>
      </c>
      <c r="AE1236" s="80" t="str">
        <f>HYPERLINK("https://twitter.com/almepoupa/status/1630930893190881281")</f>
        <v>https://twitter.com/almepoupa/status/1630930893190881281</v>
      </c>
      <c r="AF1236" s="79">
        <v>44986.583333333336</v>
      </c>
      <c r="AG1236" s="85">
        <v>44986</v>
      </c>
      <c r="AH1236" s="82" t="s">
        <v>8441</v>
      </c>
      <c r="AI1236" s="77"/>
      <c r="AJ1236" s="77"/>
      <c r="AK1236" s="77"/>
      <c r="AL1236" s="77"/>
      <c r="AM1236" s="77"/>
      <c r="AN1236" s="77"/>
      <c r="AO1236" s="77"/>
      <c r="AP1236" s="77"/>
      <c r="AQ1236" s="77"/>
      <c r="AR1236" s="77"/>
      <c r="AS1236" s="77"/>
      <c r="AT1236" s="77"/>
      <c r="AU1236" s="77"/>
      <c r="AV1236" s="80" t="str">
        <f>HYPERLINK("https://pbs.twimg.com/profile_images/1664024456262549505/LEYLe1s-_normal.jpg")</f>
        <v>https://pbs.twimg.com/profile_images/1664024456262549505/LEYLe1s-_normal.jpg</v>
      </c>
      <c r="AW1236" s="82" t="s">
        <v>13418</v>
      </c>
      <c r="AX1236" s="82" t="s">
        <v>15314</v>
      </c>
      <c r="AY1236" s="82" t="s">
        <v>15734</v>
      </c>
      <c r="AZ1236" s="82" t="s">
        <v>15314</v>
      </c>
      <c r="BA1236" s="82" t="s">
        <v>15804</v>
      </c>
      <c r="BB1236" s="82" t="s">
        <v>15804</v>
      </c>
      <c r="BC1236" s="82" t="s">
        <v>15314</v>
      </c>
      <c r="BD1236" s="82" t="s">
        <v>15734</v>
      </c>
      <c r="BE1236" s="77"/>
      <c r="BF1236" s="77"/>
      <c r="BG1236" s="77"/>
      <c r="BH1236" s="77"/>
      <c r="BI1236" s="77"/>
    </row>
    <row r="1237" spans="1:61" x14ac:dyDescent="0.25">
      <c r="A1237" s="62" t="s">
        <v>603</v>
      </c>
      <c r="B1237" s="62" t="s">
        <v>603</v>
      </c>
      <c r="C1237" s="63"/>
      <c r="D1237" s="64"/>
      <c r="E1237" s="65"/>
      <c r="F1237" s="66"/>
      <c r="G1237" s="63"/>
      <c r="H1237" s="67"/>
      <c r="I1237" s="68"/>
      <c r="J1237" s="68"/>
      <c r="K1237" s="32"/>
      <c r="L1237" s="75">
        <v>1237</v>
      </c>
      <c r="M1237" s="75"/>
      <c r="N1237" s="70"/>
      <c r="O1237" s="77" t="s">
        <v>179</v>
      </c>
      <c r="P1237" s="79">
        <v>44981.437511574077</v>
      </c>
      <c r="Q1237" s="77" t="s">
        <v>2330</v>
      </c>
      <c r="R1237" s="77">
        <v>0</v>
      </c>
      <c r="S1237" s="77">
        <v>0</v>
      </c>
      <c r="T1237" s="77">
        <v>0</v>
      </c>
      <c r="U1237" s="77">
        <v>0</v>
      </c>
      <c r="V1237" s="77">
        <v>12</v>
      </c>
      <c r="W1237" s="82" t="s">
        <v>4915</v>
      </c>
      <c r="X1237" s="77"/>
      <c r="Y1237" s="77"/>
      <c r="Z1237" s="77"/>
      <c r="AA1237" s="77"/>
      <c r="AB1237" s="77"/>
      <c r="AC1237" s="82" t="s">
        <v>7706</v>
      </c>
      <c r="AD1237" s="77" t="s">
        <v>7745</v>
      </c>
      <c r="AE1237" s="80" t="str">
        <f>HYPERLINK("https://twitter.com/almepoupa/status/1629066106718785537")</f>
        <v>https://twitter.com/almepoupa/status/1629066106718785537</v>
      </c>
      <c r="AF1237" s="79">
        <v>44981.437511574077</v>
      </c>
      <c r="AG1237" s="85">
        <v>44981</v>
      </c>
      <c r="AH1237" s="82" t="s">
        <v>8860</v>
      </c>
      <c r="AI1237" s="77"/>
      <c r="AJ1237" s="77"/>
      <c r="AK1237" s="77"/>
      <c r="AL1237" s="77"/>
      <c r="AM1237" s="77"/>
      <c r="AN1237" s="77"/>
      <c r="AO1237" s="77"/>
      <c r="AP1237" s="77"/>
      <c r="AQ1237" s="77"/>
      <c r="AR1237" s="77"/>
      <c r="AS1237" s="77"/>
      <c r="AT1237" s="77"/>
      <c r="AU1237" s="77"/>
      <c r="AV1237" s="80" t="str">
        <f>HYPERLINK("https://pbs.twimg.com/profile_images/1664024456262549505/LEYLe1s-_normal.jpg")</f>
        <v>https://pbs.twimg.com/profile_images/1664024456262549505/LEYLe1s-_normal.jpg</v>
      </c>
      <c r="AW1237" s="82" t="s">
        <v>13419</v>
      </c>
      <c r="AX1237" s="82" t="s">
        <v>13419</v>
      </c>
      <c r="AY1237" s="77"/>
      <c r="AZ1237" s="82" t="s">
        <v>15804</v>
      </c>
      <c r="BA1237" s="82" t="s">
        <v>15804</v>
      </c>
      <c r="BB1237" s="82" t="s">
        <v>15804</v>
      </c>
      <c r="BC1237" s="82" t="s">
        <v>13419</v>
      </c>
      <c r="BD1237" s="82" t="s">
        <v>15734</v>
      </c>
      <c r="BE1237" s="77"/>
      <c r="BF1237" s="77"/>
      <c r="BG1237" s="77"/>
      <c r="BH1237" s="77"/>
      <c r="BI1237" s="77"/>
    </row>
    <row r="1238" spans="1:61" x14ac:dyDescent="0.25">
      <c r="A1238" s="62" t="s">
        <v>603</v>
      </c>
      <c r="B1238" s="62" t="s">
        <v>603</v>
      </c>
      <c r="C1238" s="63"/>
      <c r="D1238" s="64"/>
      <c r="E1238" s="65"/>
      <c r="F1238" s="66"/>
      <c r="G1238" s="63"/>
      <c r="H1238" s="67"/>
      <c r="I1238" s="68"/>
      <c r="J1238" s="68"/>
      <c r="K1238" s="32"/>
      <c r="L1238" s="75">
        <v>1238</v>
      </c>
      <c r="M1238" s="75"/>
      <c r="N1238" s="70"/>
      <c r="O1238" s="77" t="s">
        <v>179</v>
      </c>
      <c r="P1238" s="79">
        <v>44979.4375</v>
      </c>
      <c r="Q1238" s="77" t="s">
        <v>2331</v>
      </c>
      <c r="R1238" s="77">
        <v>0</v>
      </c>
      <c r="S1238" s="77">
        <v>0</v>
      </c>
      <c r="T1238" s="77">
        <v>0</v>
      </c>
      <c r="U1238" s="77">
        <v>0</v>
      </c>
      <c r="V1238" s="77">
        <v>15</v>
      </c>
      <c r="W1238" s="82" t="s">
        <v>4097</v>
      </c>
      <c r="X1238" s="77"/>
      <c r="Y1238" s="77"/>
      <c r="Z1238" s="77"/>
      <c r="AA1238" s="77"/>
      <c r="AB1238" s="77"/>
      <c r="AC1238" s="82" t="s">
        <v>7706</v>
      </c>
      <c r="AD1238" s="77" t="s">
        <v>7745</v>
      </c>
      <c r="AE1238" s="80" t="str">
        <f>HYPERLINK("https://twitter.com/almepoupa/status/1628341330257510400")</f>
        <v>https://twitter.com/almepoupa/status/1628341330257510400</v>
      </c>
      <c r="AF1238" s="79">
        <v>44979.4375</v>
      </c>
      <c r="AG1238" s="85">
        <v>44979</v>
      </c>
      <c r="AH1238" s="82" t="s">
        <v>8580</v>
      </c>
      <c r="AI1238" s="77"/>
      <c r="AJ1238" s="77"/>
      <c r="AK1238" s="77"/>
      <c r="AL1238" s="77"/>
      <c r="AM1238" s="77"/>
      <c r="AN1238" s="77"/>
      <c r="AO1238" s="77"/>
      <c r="AP1238" s="77"/>
      <c r="AQ1238" s="77"/>
      <c r="AR1238" s="77"/>
      <c r="AS1238" s="77"/>
      <c r="AT1238" s="77"/>
      <c r="AU1238" s="77"/>
      <c r="AV1238" s="80" t="str">
        <f>HYPERLINK("https://pbs.twimg.com/profile_images/1664024456262549505/LEYLe1s-_normal.jpg")</f>
        <v>https://pbs.twimg.com/profile_images/1664024456262549505/LEYLe1s-_normal.jpg</v>
      </c>
      <c r="AW1238" s="82" t="s">
        <v>13420</v>
      </c>
      <c r="AX1238" s="82" t="s">
        <v>13420</v>
      </c>
      <c r="AY1238" s="77"/>
      <c r="AZ1238" s="82" t="s">
        <v>15804</v>
      </c>
      <c r="BA1238" s="82" t="s">
        <v>15804</v>
      </c>
      <c r="BB1238" s="82" t="s">
        <v>15804</v>
      </c>
      <c r="BC1238" s="82" t="s">
        <v>13420</v>
      </c>
      <c r="BD1238" s="82" t="s">
        <v>15734</v>
      </c>
      <c r="BE1238" s="77"/>
      <c r="BF1238" s="77"/>
      <c r="BG1238" s="77"/>
      <c r="BH1238" s="77"/>
      <c r="BI1238" s="77"/>
    </row>
    <row r="1239" spans="1:61" x14ac:dyDescent="0.25">
      <c r="A1239" s="62" t="s">
        <v>604</v>
      </c>
      <c r="B1239" s="62" t="s">
        <v>604</v>
      </c>
      <c r="C1239" s="63"/>
      <c r="D1239" s="64"/>
      <c r="E1239" s="65"/>
      <c r="F1239" s="66"/>
      <c r="G1239" s="63"/>
      <c r="H1239" s="67"/>
      <c r="I1239" s="68"/>
      <c r="J1239" s="68"/>
      <c r="K1239" s="32"/>
      <c r="L1239" s="75">
        <v>1239</v>
      </c>
      <c r="M1239" s="75"/>
      <c r="N1239" s="70"/>
      <c r="O1239" s="77" t="s">
        <v>179</v>
      </c>
      <c r="P1239" s="79">
        <v>45139.54246527778</v>
      </c>
      <c r="Q1239" s="77" t="s">
        <v>2332</v>
      </c>
      <c r="R1239" s="77">
        <v>0</v>
      </c>
      <c r="S1239" s="77">
        <v>1</v>
      </c>
      <c r="T1239" s="77">
        <v>0</v>
      </c>
      <c r="U1239" s="77">
        <v>0</v>
      </c>
      <c r="V1239" s="77">
        <v>3</v>
      </c>
      <c r="W1239" s="82" t="s">
        <v>4097</v>
      </c>
      <c r="X1239" s="77"/>
      <c r="Y1239" s="77"/>
      <c r="Z1239" s="77"/>
      <c r="AA1239" s="77" t="s">
        <v>6936</v>
      </c>
      <c r="AB1239" s="77" t="s">
        <v>7696</v>
      </c>
      <c r="AC1239" s="82" t="s">
        <v>7705</v>
      </c>
      <c r="AD1239" s="77" t="s">
        <v>7745</v>
      </c>
      <c r="AE1239" s="80" t="str">
        <f>HYPERLINK("https://twitter.com/escolafinance/status/1686361425726377984")</f>
        <v>https://twitter.com/escolafinance/status/1686361425726377984</v>
      </c>
      <c r="AF1239" s="79">
        <v>45139.54246527778</v>
      </c>
      <c r="AG1239" s="85">
        <v>45139</v>
      </c>
      <c r="AH1239" s="82" t="s">
        <v>8861</v>
      </c>
      <c r="AI1239" s="77" t="b">
        <v>0</v>
      </c>
      <c r="AJ1239" s="77"/>
      <c r="AK1239" s="77"/>
      <c r="AL1239" s="77"/>
      <c r="AM1239" s="77"/>
      <c r="AN1239" s="77"/>
      <c r="AO1239" s="77"/>
      <c r="AP1239" s="77"/>
      <c r="AQ1239" s="77" t="s">
        <v>11443</v>
      </c>
      <c r="AR1239" s="77"/>
      <c r="AS1239" s="77"/>
      <c r="AT1239" s="77"/>
      <c r="AU1239" s="77"/>
      <c r="AV1239" s="80" t="str">
        <f>HYPERLINK("https://pbs.twimg.com/media/F2cox1tXYAARjYM.jpg")</f>
        <v>https://pbs.twimg.com/media/F2cox1tXYAARjYM.jpg</v>
      </c>
      <c r="AW1239" s="82" t="s">
        <v>13421</v>
      </c>
      <c r="AX1239" s="82" t="s">
        <v>13421</v>
      </c>
      <c r="AY1239" s="77"/>
      <c r="AZ1239" s="82" t="s">
        <v>15804</v>
      </c>
      <c r="BA1239" s="82" t="s">
        <v>15804</v>
      </c>
      <c r="BB1239" s="82" t="s">
        <v>15804</v>
      </c>
      <c r="BC1239" s="82" t="s">
        <v>13421</v>
      </c>
      <c r="BD1239" s="82" t="s">
        <v>16351</v>
      </c>
      <c r="BE1239" s="77"/>
      <c r="BF1239" s="77"/>
      <c r="BG1239" s="77"/>
      <c r="BH1239" s="77"/>
      <c r="BI1239" s="77"/>
    </row>
    <row r="1240" spans="1:61" x14ac:dyDescent="0.25">
      <c r="A1240" s="62" t="s">
        <v>605</v>
      </c>
      <c r="B1240" s="62" t="s">
        <v>605</v>
      </c>
      <c r="C1240" s="63"/>
      <c r="D1240" s="64"/>
      <c r="E1240" s="65"/>
      <c r="F1240" s="66"/>
      <c r="G1240" s="63"/>
      <c r="H1240" s="67"/>
      <c r="I1240" s="68"/>
      <c r="J1240" s="68"/>
      <c r="K1240" s="32"/>
      <c r="L1240" s="75">
        <v>1240</v>
      </c>
      <c r="M1240" s="75"/>
      <c r="N1240" s="70"/>
      <c r="O1240" s="77" t="s">
        <v>1132</v>
      </c>
      <c r="P1240" s="79">
        <v>45117.91983796296</v>
      </c>
      <c r="Q1240" s="77" t="s">
        <v>2333</v>
      </c>
      <c r="R1240" s="77">
        <v>0</v>
      </c>
      <c r="S1240" s="77">
        <v>0</v>
      </c>
      <c r="T1240" s="77">
        <v>0</v>
      </c>
      <c r="U1240" s="77">
        <v>0</v>
      </c>
      <c r="V1240" s="77">
        <v>292</v>
      </c>
      <c r="W1240" s="82" t="s">
        <v>4916</v>
      </c>
      <c r="X1240" s="77"/>
      <c r="Y1240" s="77"/>
      <c r="Z1240" s="77"/>
      <c r="AA1240" s="77"/>
      <c r="AB1240" s="77"/>
      <c r="AC1240" s="82" t="s">
        <v>7706</v>
      </c>
      <c r="AD1240" s="77" t="s">
        <v>7745</v>
      </c>
      <c r="AE1240" s="80" t="str">
        <f>HYPERLINK("https://twitter.com/febraban/status/1678525648128573440")</f>
        <v>https://twitter.com/febraban/status/1678525648128573440</v>
      </c>
      <c r="AF1240" s="79">
        <v>45117.91983796296</v>
      </c>
      <c r="AG1240" s="85">
        <v>45117</v>
      </c>
      <c r="AH1240" s="82" t="s">
        <v>8862</v>
      </c>
      <c r="AI1240" s="77"/>
      <c r="AJ1240" s="77"/>
      <c r="AK1240" s="77"/>
      <c r="AL1240" s="77"/>
      <c r="AM1240" s="77"/>
      <c r="AN1240" s="77"/>
      <c r="AO1240" s="77"/>
      <c r="AP1240" s="77"/>
      <c r="AQ1240" s="77"/>
      <c r="AR1240" s="77"/>
      <c r="AS1240" s="77"/>
      <c r="AT1240" s="77"/>
      <c r="AU1240" s="77"/>
      <c r="AV1240" s="80" t="str">
        <f>HYPERLINK("https://pbs.twimg.com/profile_images/1596171709387784193/EXmywa-I_normal.jpg")</f>
        <v>https://pbs.twimg.com/profile_images/1596171709387784193/EXmywa-I_normal.jpg</v>
      </c>
      <c r="AW1240" s="82" t="s">
        <v>13422</v>
      </c>
      <c r="AX1240" s="82" t="s">
        <v>15315</v>
      </c>
      <c r="AY1240" s="82" t="s">
        <v>15735</v>
      </c>
      <c r="AZ1240" s="82" t="s">
        <v>15872</v>
      </c>
      <c r="BA1240" s="82" t="s">
        <v>15804</v>
      </c>
      <c r="BB1240" s="82" t="s">
        <v>15804</v>
      </c>
      <c r="BC1240" s="82" t="s">
        <v>15872</v>
      </c>
      <c r="BD1240" s="77">
        <v>48821743</v>
      </c>
      <c r="BE1240" s="77"/>
      <c r="BF1240" s="77"/>
      <c r="BG1240" s="77"/>
      <c r="BH1240" s="77"/>
      <c r="BI1240" s="77"/>
    </row>
    <row r="1241" spans="1:61" x14ac:dyDescent="0.25">
      <c r="A1241" s="62" t="s">
        <v>605</v>
      </c>
      <c r="B1241" s="62" t="s">
        <v>605</v>
      </c>
      <c r="C1241" s="63"/>
      <c r="D1241" s="64"/>
      <c r="E1241" s="65"/>
      <c r="F1241" s="66"/>
      <c r="G1241" s="63"/>
      <c r="H1241" s="67"/>
      <c r="I1241" s="68"/>
      <c r="J1241" s="68"/>
      <c r="K1241" s="32"/>
      <c r="L1241" s="75">
        <v>1241</v>
      </c>
      <c r="M1241" s="75"/>
      <c r="N1241" s="70"/>
      <c r="O1241" s="77" t="s">
        <v>1132</v>
      </c>
      <c r="P1241" s="79">
        <v>45129.823923611111</v>
      </c>
      <c r="Q1241" s="77" t="s">
        <v>2334</v>
      </c>
      <c r="R1241" s="77">
        <v>0</v>
      </c>
      <c r="S1241" s="77">
        <v>0</v>
      </c>
      <c r="T1241" s="77">
        <v>0</v>
      </c>
      <c r="U1241" s="77">
        <v>0</v>
      </c>
      <c r="V1241" s="77">
        <v>334</v>
      </c>
      <c r="W1241" s="82" t="s">
        <v>4917</v>
      </c>
      <c r="X1241" s="77"/>
      <c r="Y1241" s="77"/>
      <c r="Z1241" s="77" t="s">
        <v>465</v>
      </c>
      <c r="AA1241" s="77"/>
      <c r="AB1241" s="77"/>
      <c r="AC1241" s="82" t="s">
        <v>7706</v>
      </c>
      <c r="AD1241" s="77" t="s">
        <v>7745</v>
      </c>
      <c r="AE1241" s="80" t="str">
        <f>HYPERLINK("https://twitter.com/febraban/status/1682839542787629058")</f>
        <v>https://twitter.com/febraban/status/1682839542787629058</v>
      </c>
      <c r="AF1241" s="79">
        <v>45129.823923611111</v>
      </c>
      <c r="AG1241" s="85">
        <v>45129</v>
      </c>
      <c r="AH1241" s="82" t="s">
        <v>8863</v>
      </c>
      <c r="AI1241" s="77"/>
      <c r="AJ1241" s="77"/>
      <c r="AK1241" s="77"/>
      <c r="AL1241" s="77"/>
      <c r="AM1241" s="77"/>
      <c r="AN1241" s="77"/>
      <c r="AO1241" s="77"/>
      <c r="AP1241" s="77"/>
      <c r="AQ1241" s="77"/>
      <c r="AR1241" s="77"/>
      <c r="AS1241" s="77"/>
      <c r="AT1241" s="77"/>
      <c r="AU1241" s="77"/>
      <c r="AV1241" s="80" t="str">
        <f>HYPERLINK("https://pbs.twimg.com/profile_images/1596171709387784193/EXmywa-I_normal.jpg")</f>
        <v>https://pbs.twimg.com/profile_images/1596171709387784193/EXmywa-I_normal.jpg</v>
      </c>
      <c r="AW1241" s="82" t="s">
        <v>13423</v>
      </c>
      <c r="AX1241" s="82" t="s">
        <v>15316</v>
      </c>
      <c r="AY1241" s="82" t="s">
        <v>15735</v>
      </c>
      <c r="AZ1241" s="82" t="s">
        <v>15316</v>
      </c>
      <c r="BA1241" s="82" t="s">
        <v>15804</v>
      </c>
      <c r="BB1241" s="82" t="s">
        <v>15804</v>
      </c>
      <c r="BC1241" s="82" t="s">
        <v>15316</v>
      </c>
      <c r="BD1241" s="77">
        <v>48821743</v>
      </c>
      <c r="BE1241" s="77"/>
      <c r="BF1241" s="77"/>
      <c r="BG1241" s="77"/>
      <c r="BH1241" s="77"/>
      <c r="BI1241" s="77"/>
    </row>
    <row r="1242" spans="1:61" x14ac:dyDescent="0.25">
      <c r="A1242" s="62" t="s">
        <v>605</v>
      </c>
      <c r="B1242" s="62" t="s">
        <v>605</v>
      </c>
      <c r="C1242" s="63"/>
      <c r="D1242" s="64"/>
      <c r="E1242" s="65"/>
      <c r="F1242" s="66"/>
      <c r="G1242" s="63"/>
      <c r="H1242" s="67"/>
      <c r="I1242" s="68"/>
      <c r="J1242" s="68"/>
      <c r="K1242" s="32"/>
      <c r="L1242" s="75">
        <v>1242</v>
      </c>
      <c r="M1242" s="75"/>
      <c r="N1242" s="70"/>
      <c r="O1242" s="77" t="s">
        <v>1132</v>
      </c>
      <c r="P1242" s="79">
        <v>45094.044502314813</v>
      </c>
      <c r="Q1242" s="77" t="s">
        <v>2335</v>
      </c>
      <c r="R1242" s="77">
        <v>0</v>
      </c>
      <c r="S1242" s="77">
        <v>1</v>
      </c>
      <c r="T1242" s="77">
        <v>0</v>
      </c>
      <c r="U1242" s="77">
        <v>0</v>
      </c>
      <c r="V1242" s="77">
        <v>496</v>
      </c>
      <c r="W1242" s="82" t="s">
        <v>4918</v>
      </c>
      <c r="X1242" s="77"/>
      <c r="Y1242" s="77"/>
      <c r="Z1242" s="77"/>
      <c r="AA1242" s="77"/>
      <c r="AB1242" s="77"/>
      <c r="AC1242" s="82" t="s">
        <v>7706</v>
      </c>
      <c r="AD1242" s="77" t="s">
        <v>7745</v>
      </c>
      <c r="AE1242" s="80" t="str">
        <f>HYPERLINK("https://twitter.com/febraban/status/1669873517414760448")</f>
        <v>https://twitter.com/febraban/status/1669873517414760448</v>
      </c>
      <c r="AF1242" s="79">
        <v>45094.044502314813</v>
      </c>
      <c r="AG1242" s="85">
        <v>45094</v>
      </c>
      <c r="AH1242" s="82" t="s">
        <v>8864</v>
      </c>
      <c r="AI1242" s="77"/>
      <c r="AJ1242" s="77"/>
      <c r="AK1242" s="77"/>
      <c r="AL1242" s="77"/>
      <c r="AM1242" s="77"/>
      <c r="AN1242" s="77"/>
      <c r="AO1242" s="77"/>
      <c r="AP1242" s="77"/>
      <c r="AQ1242" s="77"/>
      <c r="AR1242" s="77"/>
      <c r="AS1242" s="77"/>
      <c r="AT1242" s="77"/>
      <c r="AU1242" s="77"/>
      <c r="AV1242" s="80" t="str">
        <f>HYPERLINK("https://pbs.twimg.com/profile_images/1596171709387784193/EXmywa-I_normal.jpg")</f>
        <v>https://pbs.twimg.com/profile_images/1596171709387784193/EXmywa-I_normal.jpg</v>
      </c>
      <c r="AW1242" s="82" t="s">
        <v>13424</v>
      </c>
      <c r="AX1242" s="82" t="s">
        <v>15317</v>
      </c>
      <c r="AY1242" s="82" t="s">
        <v>15735</v>
      </c>
      <c r="AZ1242" s="82" t="s">
        <v>15873</v>
      </c>
      <c r="BA1242" s="82" t="s">
        <v>15804</v>
      </c>
      <c r="BB1242" s="82" t="s">
        <v>15804</v>
      </c>
      <c r="BC1242" s="82" t="s">
        <v>15873</v>
      </c>
      <c r="BD1242" s="77">
        <v>48821743</v>
      </c>
      <c r="BE1242" s="77"/>
      <c r="BF1242" s="77"/>
      <c r="BG1242" s="77"/>
      <c r="BH1242" s="77"/>
      <c r="BI1242" s="77"/>
    </row>
    <row r="1243" spans="1:61" x14ac:dyDescent="0.25">
      <c r="A1243" s="62" t="s">
        <v>605</v>
      </c>
      <c r="B1243" s="62" t="s">
        <v>605</v>
      </c>
      <c r="C1243" s="63"/>
      <c r="D1243" s="64"/>
      <c r="E1243" s="65"/>
      <c r="F1243" s="66"/>
      <c r="G1243" s="63"/>
      <c r="H1243" s="67"/>
      <c r="I1243" s="68"/>
      <c r="J1243" s="68"/>
      <c r="K1243" s="32"/>
      <c r="L1243" s="75">
        <v>1243</v>
      </c>
      <c r="M1243" s="75"/>
      <c r="N1243" s="70"/>
      <c r="O1243" s="77" t="s">
        <v>179</v>
      </c>
      <c r="P1243" s="79">
        <v>44973.833344907405</v>
      </c>
      <c r="Q1243" s="77" t="s">
        <v>2336</v>
      </c>
      <c r="R1243" s="77">
        <v>0</v>
      </c>
      <c r="S1243" s="77">
        <v>3</v>
      </c>
      <c r="T1243" s="77">
        <v>1</v>
      </c>
      <c r="U1243" s="77">
        <v>0</v>
      </c>
      <c r="V1243" s="77">
        <v>390</v>
      </c>
      <c r="W1243" s="82" t="s">
        <v>4097</v>
      </c>
      <c r="X1243" s="80" t="str">
        <f>HYPERLINK("https://linkedin.com/pulse/fiquei-endividado-em-janeiro-ainda-posso-curtir-o-uelton-carvalho/?trackingId=i8FZYmKlQ8RsmsHXOhl3ww%3D%3D")</f>
        <v>https://linkedin.com/pulse/fiquei-endividado-em-janeiro-ainda-posso-curtir-o-uelton-carvalho/?trackingId=i8FZYmKlQ8RsmsHXOhl3ww%3D%3D</v>
      </c>
      <c r="Y1243" s="77" t="s">
        <v>6021</v>
      </c>
      <c r="Z1243" s="77"/>
      <c r="AA1243" s="77"/>
      <c r="AB1243" s="77"/>
      <c r="AC1243" s="82" t="s">
        <v>7706</v>
      </c>
      <c r="AD1243" s="77" t="s">
        <v>7745</v>
      </c>
      <c r="AE1243" s="80" t="str">
        <f>HYPERLINK("https://twitter.com/febraban/status/1626310449573646336")</f>
        <v>https://twitter.com/febraban/status/1626310449573646336</v>
      </c>
      <c r="AF1243" s="79">
        <v>44973.833344907405</v>
      </c>
      <c r="AG1243" s="85">
        <v>44973</v>
      </c>
      <c r="AH1243" s="82" t="s">
        <v>8865</v>
      </c>
      <c r="AI1243" s="77" t="b">
        <v>0</v>
      </c>
      <c r="AJ1243" s="77"/>
      <c r="AK1243" s="77"/>
      <c r="AL1243" s="77"/>
      <c r="AM1243" s="77"/>
      <c r="AN1243" s="77"/>
      <c r="AO1243" s="77"/>
      <c r="AP1243" s="77"/>
      <c r="AQ1243" s="77"/>
      <c r="AR1243" s="77"/>
      <c r="AS1243" s="77"/>
      <c r="AT1243" s="77"/>
      <c r="AU1243" s="77"/>
      <c r="AV1243" s="80" t="str">
        <f>HYPERLINK("https://pbs.twimg.com/profile_images/1596171709387784193/EXmywa-I_normal.jpg")</f>
        <v>https://pbs.twimg.com/profile_images/1596171709387784193/EXmywa-I_normal.jpg</v>
      </c>
      <c r="AW1243" s="82" t="s">
        <v>13425</v>
      </c>
      <c r="AX1243" s="82" t="s">
        <v>13425</v>
      </c>
      <c r="AY1243" s="77"/>
      <c r="AZ1243" s="82" t="s">
        <v>15804</v>
      </c>
      <c r="BA1243" s="82" t="s">
        <v>15804</v>
      </c>
      <c r="BB1243" s="82" t="s">
        <v>15804</v>
      </c>
      <c r="BC1243" s="82" t="s">
        <v>13425</v>
      </c>
      <c r="BD1243" s="77">
        <v>48821743</v>
      </c>
      <c r="BE1243" s="77"/>
      <c r="BF1243" s="77"/>
      <c r="BG1243" s="77"/>
      <c r="BH1243" s="77"/>
      <c r="BI1243" s="77"/>
    </row>
    <row r="1244" spans="1:61" x14ac:dyDescent="0.25">
      <c r="A1244" s="62" t="s">
        <v>606</v>
      </c>
      <c r="B1244" s="62" t="s">
        <v>606</v>
      </c>
      <c r="C1244" s="63"/>
      <c r="D1244" s="64"/>
      <c r="E1244" s="65"/>
      <c r="F1244" s="66"/>
      <c r="G1244" s="63"/>
      <c r="H1244" s="67"/>
      <c r="I1244" s="68"/>
      <c r="J1244" s="68"/>
      <c r="K1244" s="32"/>
      <c r="L1244" s="75">
        <v>1244</v>
      </c>
      <c r="M1244" s="75"/>
      <c r="N1244" s="70"/>
      <c r="O1244" s="77" t="s">
        <v>1132</v>
      </c>
      <c r="P1244" s="79">
        <v>45028.287615740737</v>
      </c>
      <c r="Q1244" s="77" t="s">
        <v>2337</v>
      </c>
      <c r="R1244" s="77">
        <v>0</v>
      </c>
      <c r="S1244" s="77">
        <v>0</v>
      </c>
      <c r="T1244" s="77">
        <v>0</v>
      </c>
      <c r="U1244" s="77">
        <v>0</v>
      </c>
      <c r="V1244" s="77">
        <v>5</v>
      </c>
      <c r="W1244" s="82" t="s">
        <v>4919</v>
      </c>
      <c r="X1244" s="77"/>
      <c r="Y1244" s="77"/>
      <c r="Z1244" s="77"/>
      <c r="AA1244" s="77"/>
      <c r="AB1244" s="77"/>
      <c r="AC1244" s="82" t="s">
        <v>7706</v>
      </c>
      <c r="AD1244" s="77" t="s">
        <v>7745</v>
      </c>
      <c r="AE1244" s="80" t="str">
        <f>HYPERLINK("https://twitter.com/borafalardguito/status/1646044017971347457")</f>
        <v>https://twitter.com/borafalardguito/status/1646044017971347457</v>
      </c>
      <c r="AF1244" s="79">
        <v>45028.287615740737</v>
      </c>
      <c r="AG1244" s="85">
        <v>45028</v>
      </c>
      <c r="AH1244" s="82" t="s">
        <v>8866</v>
      </c>
      <c r="AI1244" s="77"/>
      <c r="AJ1244" s="77"/>
      <c r="AK1244" s="77"/>
      <c r="AL1244" s="77"/>
      <c r="AM1244" s="77"/>
      <c r="AN1244" s="77"/>
      <c r="AO1244" s="77"/>
      <c r="AP1244" s="77"/>
      <c r="AQ1244" s="77"/>
      <c r="AR1244" s="77"/>
      <c r="AS1244" s="77"/>
      <c r="AT1244" s="77"/>
      <c r="AU1244" s="77"/>
      <c r="AV1244" s="80" t="str">
        <f>HYPERLINK("https://pbs.twimg.com/profile_images/1335657066116096003/WWv9SrEq_normal.jpg")</f>
        <v>https://pbs.twimg.com/profile_images/1335657066116096003/WWv9SrEq_normal.jpg</v>
      </c>
      <c r="AW1244" s="82" t="s">
        <v>13426</v>
      </c>
      <c r="AX1244" s="82" t="s">
        <v>15318</v>
      </c>
      <c r="AY1244" s="82" t="s">
        <v>15736</v>
      </c>
      <c r="AZ1244" s="82" t="s">
        <v>15318</v>
      </c>
      <c r="BA1244" s="82" t="s">
        <v>15804</v>
      </c>
      <c r="BB1244" s="82" t="s">
        <v>15804</v>
      </c>
      <c r="BC1244" s="82" t="s">
        <v>15318</v>
      </c>
      <c r="BD1244" s="82" t="s">
        <v>15736</v>
      </c>
      <c r="BE1244" s="77"/>
      <c r="BF1244" s="77"/>
      <c r="BG1244" s="77"/>
      <c r="BH1244" s="77"/>
      <c r="BI1244" s="77"/>
    </row>
    <row r="1245" spans="1:61" x14ac:dyDescent="0.25">
      <c r="A1245" s="62" t="s">
        <v>606</v>
      </c>
      <c r="B1245" s="62" t="s">
        <v>606</v>
      </c>
      <c r="C1245" s="63"/>
      <c r="D1245" s="64"/>
      <c r="E1245" s="65"/>
      <c r="F1245" s="66"/>
      <c r="G1245" s="63"/>
      <c r="H1245" s="67"/>
      <c r="I1245" s="68"/>
      <c r="J1245" s="68"/>
      <c r="K1245" s="32"/>
      <c r="L1245" s="75">
        <v>1245</v>
      </c>
      <c r="M1245" s="75"/>
      <c r="N1245" s="70"/>
      <c r="O1245" s="77" t="s">
        <v>179</v>
      </c>
      <c r="P1245" s="79">
        <v>45054.323379629626</v>
      </c>
      <c r="Q1245" s="77" t="s">
        <v>2338</v>
      </c>
      <c r="R1245" s="77">
        <v>0</v>
      </c>
      <c r="S1245" s="77">
        <v>0</v>
      </c>
      <c r="T1245" s="77">
        <v>0</v>
      </c>
      <c r="U1245" s="77">
        <v>0</v>
      </c>
      <c r="V1245" s="77">
        <v>30</v>
      </c>
      <c r="W1245" s="82" t="s">
        <v>4920</v>
      </c>
      <c r="X1245" s="80" t="str">
        <f>HYPERLINK("https://borafalardeguito.com/o-que-sao-ativos-e-passivos/")</f>
        <v>https://borafalardeguito.com/o-que-sao-ativos-e-passivos/</v>
      </c>
      <c r="Y1245" s="77" t="s">
        <v>6065</v>
      </c>
      <c r="Z1245" s="77"/>
      <c r="AA1245" s="77" t="s">
        <v>6937</v>
      </c>
      <c r="AB1245" s="77" t="s">
        <v>7696</v>
      </c>
      <c r="AC1245" s="82" t="s">
        <v>7706</v>
      </c>
      <c r="AD1245" s="77" t="s">
        <v>7745</v>
      </c>
      <c r="AE1245" s="80" t="str">
        <f>HYPERLINK("https://twitter.com/borafalardguito/status/1655479063019126790")</f>
        <v>https://twitter.com/borafalardguito/status/1655479063019126790</v>
      </c>
      <c r="AF1245" s="79">
        <v>45054.323379629626</v>
      </c>
      <c r="AG1245" s="85">
        <v>45054</v>
      </c>
      <c r="AH1245" s="82" t="s">
        <v>8867</v>
      </c>
      <c r="AI1245" s="77" t="b">
        <v>0</v>
      </c>
      <c r="AJ1245" s="77"/>
      <c r="AK1245" s="77"/>
      <c r="AL1245" s="77"/>
      <c r="AM1245" s="77"/>
      <c r="AN1245" s="77"/>
      <c r="AO1245" s="77"/>
      <c r="AP1245" s="77"/>
      <c r="AQ1245" s="77" t="s">
        <v>11444</v>
      </c>
      <c r="AR1245" s="77"/>
      <c r="AS1245" s="77"/>
      <c r="AT1245" s="77"/>
      <c r="AU1245" s="77"/>
      <c r="AV1245" s="80" t="str">
        <f>HYPERLINK("https://pbs.twimg.com/media/FvlxCgBWcAAVd8U.jpg")</f>
        <v>https://pbs.twimg.com/media/FvlxCgBWcAAVd8U.jpg</v>
      </c>
      <c r="AW1245" s="82" t="s">
        <v>13427</v>
      </c>
      <c r="AX1245" s="82" t="s">
        <v>13427</v>
      </c>
      <c r="AY1245" s="77"/>
      <c r="AZ1245" s="82" t="s">
        <v>15804</v>
      </c>
      <c r="BA1245" s="82" t="s">
        <v>15804</v>
      </c>
      <c r="BB1245" s="82" t="s">
        <v>15804</v>
      </c>
      <c r="BC1245" s="82" t="s">
        <v>13427</v>
      </c>
      <c r="BD1245" s="82" t="s">
        <v>15736</v>
      </c>
      <c r="BE1245" s="77"/>
      <c r="BF1245" s="77"/>
      <c r="BG1245" s="77"/>
      <c r="BH1245" s="77"/>
      <c r="BI1245" s="77"/>
    </row>
    <row r="1246" spans="1:61" x14ac:dyDescent="0.25">
      <c r="A1246" s="62" t="s">
        <v>606</v>
      </c>
      <c r="B1246" s="62" t="s">
        <v>606</v>
      </c>
      <c r="C1246" s="63"/>
      <c r="D1246" s="64"/>
      <c r="E1246" s="65"/>
      <c r="F1246" s="66"/>
      <c r="G1246" s="63"/>
      <c r="H1246" s="67"/>
      <c r="I1246" s="68"/>
      <c r="J1246" s="68"/>
      <c r="K1246" s="32"/>
      <c r="L1246" s="75">
        <v>1246</v>
      </c>
      <c r="M1246" s="75"/>
      <c r="N1246" s="70"/>
      <c r="O1246" s="77" t="s">
        <v>1132</v>
      </c>
      <c r="P1246" s="79">
        <v>45157.74019675926</v>
      </c>
      <c r="Q1246" s="77" t="s">
        <v>2339</v>
      </c>
      <c r="R1246" s="77">
        <v>0</v>
      </c>
      <c r="S1246" s="77">
        <v>0</v>
      </c>
      <c r="T1246" s="77">
        <v>0</v>
      </c>
      <c r="U1246" s="77">
        <v>0</v>
      </c>
      <c r="V1246" s="77">
        <v>35</v>
      </c>
      <c r="W1246" s="82" t="s">
        <v>4921</v>
      </c>
      <c r="X1246" s="77"/>
      <c r="Y1246" s="77"/>
      <c r="Z1246" s="77"/>
      <c r="AA1246" s="77"/>
      <c r="AB1246" s="77"/>
      <c r="AC1246" s="82" t="s">
        <v>7706</v>
      </c>
      <c r="AD1246" s="77" t="s">
        <v>7748</v>
      </c>
      <c r="AE1246" s="80" t="str">
        <f>HYPERLINK("https://twitter.com/borafalardguito/status/1692956063509708964")</f>
        <v>https://twitter.com/borafalardguito/status/1692956063509708964</v>
      </c>
      <c r="AF1246" s="79">
        <v>45157.74019675926</v>
      </c>
      <c r="AG1246" s="85">
        <v>45157</v>
      </c>
      <c r="AH1246" s="82" t="s">
        <v>8868</v>
      </c>
      <c r="AI1246" s="77"/>
      <c r="AJ1246" s="77"/>
      <c r="AK1246" s="77"/>
      <c r="AL1246" s="77"/>
      <c r="AM1246" s="77"/>
      <c r="AN1246" s="77"/>
      <c r="AO1246" s="77"/>
      <c r="AP1246" s="77"/>
      <c r="AQ1246" s="77"/>
      <c r="AR1246" s="77"/>
      <c r="AS1246" s="77"/>
      <c r="AT1246" s="77"/>
      <c r="AU1246" s="77"/>
      <c r="AV1246" s="80" t="str">
        <f>HYPERLINK("https://pbs.twimg.com/profile_images/1335657066116096003/WWv9SrEq_normal.jpg")</f>
        <v>https://pbs.twimg.com/profile_images/1335657066116096003/WWv9SrEq_normal.jpg</v>
      </c>
      <c r="AW1246" s="82" t="s">
        <v>13428</v>
      </c>
      <c r="AX1246" s="82" t="s">
        <v>15319</v>
      </c>
      <c r="AY1246" s="82" t="s">
        <v>15736</v>
      </c>
      <c r="AZ1246" s="82" t="s">
        <v>15319</v>
      </c>
      <c r="BA1246" s="82" t="s">
        <v>15804</v>
      </c>
      <c r="BB1246" s="82" t="s">
        <v>15804</v>
      </c>
      <c r="BC1246" s="82" t="s">
        <v>15319</v>
      </c>
      <c r="BD1246" s="82" t="s">
        <v>15736</v>
      </c>
      <c r="BE1246" s="77"/>
      <c r="BF1246" s="77"/>
      <c r="BG1246" s="77"/>
      <c r="BH1246" s="77"/>
      <c r="BI1246" s="77"/>
    </row>
    <row r="1247" spans="1:61" x14ac:dyDescent="0.25">
      <c r="A1247" s="62" t="s">
        <v>607</v>
      </c>
      <c r="B1247" s="62" t="s">
        <v>607</v>
      </c>
      <c r="C1247" s="63"/>
      <c r="D1247" s="64"/>
      <c r="E1247" s="65"/>
      <c r="F1247" s="66"/>
      <c r="G1247" s="63"/>
      <c r="H1247" s="67"/>
      <c r="I1247" s="68"/>
      <c r="J1247" s="68"/>
      <c r="K1247" s="32"/>
      <c r="L1247" s="75">
        <v>1247</v>
      </c>
      <c r="M1247" s="75"/>
      <c r="N1247" s="70"/>
      <c r="O1247" s="77" t="s">
        <v>179</v>
      </c>
      <c r="P1247" s="79">
        <v>45167.458333333336</v>
      </c>
      <c r="Q1247" s="77" t="s">
        <v>2340</v>
      </c>
      <c r="R1247" s="77">
        <v>1</v>
      </c>
      <c r="S1247" s="77">
        <v>1</v>
      </c>
      <c r="T1247" s="77">
        <v>0</v>
      </c>
      <c r="U1247" s="77">
        <v>0</v>
      </c>
      <c r="V1247" s="77">
        <v>272</v>
      </c>
      <c r="W1247" s="82" t="s">
        <v>4922</v>
      </c>
      <c r="X1247" s="77"/>
      <c r="Y1247" s="77"/>
      <c r="Z1247" s="77"/>
      <c r="AA1247" s="77" t="s">
        <v>6938</v>
      </c>
      <c r="AB1247" s="77" t="s">
        <v>7698</v>
      </c>
      <c r="AC1247" s="82" t="s">
        <v>7706</v>
      </c>
      <c r="AD1247" s="77" t="s">
        <v>7745</v>
      </c>
      <c r="AE1247" s="80" t="str">
        <f>HYPERLINK("https://twitter.com/hd1pod/status/1696477796833624279")</f>
        <v>https://twitter.com/hd1pod/status/1696477796833624279</v>
      </c>
      <c r="AF1247" s="79">
        <v>45167.458333333336</v>
      </c>
      <c r="AG1247" s="85">
        <v>45167</v>
      </c>
      <c r="AH1247" s="82" t="s">
        <v>8869</v>
      </c>
      <c r="AI1247" s="77" t="b">
        <v>0</v>
      </c>
      <c r="AJ1247" s="77"/>
      <c r="AK1247" s="77"/>
      <c r="AL1247" s="77"/>
      <c r="AM1247" s="77"/>
      <c r="AN1247" s="77"/>
      <c r="AO1247" s="77"/>
      <c r="AP1247" s="77"/>
      <c r="AQ1247" s="77" t="s">
        <v>11445</v>
      </c>
      <c r="AR1247" s="77"/>
      <c r="AS1247" s="77"/>
      <c r="AT1247" s="77"/>
      <c r="AU1247" s="77"/>
      <c r="AV1247" s="80" t="str">
        <f>HYPERLINK("https://pbs.twimg.com/media/F4p2OgMXoAEbB7f.jpg")</f>
        <v>https://pbs.twimg.com/media/F4p2OgMXoAEbB7f.jpg</v>
      </c>
      <c r="AW1247" s="82" t="s">
        <v>13429</v>
      </c>
      <c r="AX1247" s="82" t="s">
        <v>13429</v>
      </c>
      <c r="AY1247" s="77"/>
      <c r="AZ1247" s="82" t="s">
        <v>15804</v>
      </c>
      <c r="BA1247" s="82" t="s">
        <v>15804</v>
      </c>
      <c r="BB1247" s="82" t="s">
        <v>15804</v>
      </c>
      <c r="BC1247" s="82" t="s">
        <v>13429</v>
      </c>
      <c r="BD1247" s="82" t="s">
        <v>16352</v>
      </c>
      <c r="BE1247" s="77"/>
      <c r="BF1247" s="77"/>
      <c r="BG1247" s="77"/>
      <c r="BH1247" s="77"/>
      <c r="BI1247" s="77"/>
    </row>
    <row r="1248" spans="1:61" x14ac:dyDescent="0.25">
      <c r="A1248" s="62" t="s">
        <v>608</v>
      </c>
      <c r="B1248" s="62" t="s">
        <v>608</v>
      </c>
      <c r="C1248" s="63"/>
      <c r="D1248" s="64"/>
      <c r="E1248" s="65"/>
      <c r="F1248" s="66"/>
      <c r="G1248" s="63"/>
      <c r="H1248" s="67"/>
      <c r="I1248" s="68"/>
      <c r="J1248" s="68"/>
      <c r="K1248" s="32"/>
      <c r="L1248" s="75">
        <v>1248</v>
      </c>
      <c r="M1248" s="75"/>
      <c r="N1248" s="70"/>
      <c r="O1248" s="77" t="s">
        <v>179</v>
      </c>
      <c r="P1248" s="79">
        <v>45137.689409722225</v>
      </c>
      <c r="Q1248" s="77" t="s">
        <v>2341</v>
      </c>
      <c r="R1248" s="77">
        <v>3</v>
      </c>
      <c r="S1248" s="77">
        <v>30</v>
      </c>
      <c r="T1248" s="77">
        <v>4</v>
      </c>
      <c r="U1248" s="77">
        <v>0</v>
      </c>
      <c r="V1248" s="77">
        <v>14438</v>
      </c>
      <c r="W1248" s="82" t="s">
        <v>4923</v>
      </c>
      <c r="X1248" s="77"/>
      <c r="Y1248" s="77"/>
      <c r="Z1248" s="77"/>
      <c r="AA1248" s="77" t="s">
        <v>6939</v>
      </c>
      <c r="AB1248" s="77" t="s">
        <v>7696</v>
      </c>
      <c r="AC1248" s="82" t="s">
        <v>7705</v>
      </c>
      <c r="AD1248" s="77" t="s">
        <v>7745</v>
      </c>
      <c r="AE1248" s="80" t="str">
        <f>HYPERLINK("https://twitter.com/dicadehoje7/status/1685689902162165760")</f>
        <v>https://twitter.com/dicadehoje7/status/1685689902162165760</v>
      </c>
      <c r="AF1248" s="79">
        <v>45137.689409722225</v>
      </c>
      <c r="AG1248" s="85">
        <v>45137</v>
      </c>
      <c r="AH1248" s="82" t="s">
        <v>8870</v>
      </c>
      <c r="AI1248" s="77" t="b">
        <v>0</v>
      </c>
      <c r="AJ1248" s="77"/>
      <c r="AK1248" s="77"/>
      <c r="AL1248" s="77"/>
      <c r="AM1248" s="77"/>
      <c r="AN1248" s="77"/>
      <c r="AO1248" s="77"/>
      <c r="AP1248" s="77"/>
      <c r="AQ1248" s="77" t="s">
        <v>11446</v>
      </c>
      <c r="AR1248" s="77"/>
      <c r="AS1248" s="77"/>
      <c r="AT1248" s="77"/>
      <c r="AU1248" s="77"/>
      <c r="AV1248" s="80" t="str">
        <f>HYPERLINK("https://pbs.twimg.com/media/F2TGCBnWAAEU0A_.jpg")</f>
        <v>https://pbs.twimg.com/media/F2TGCBnWAAEU0A_.jpg</v>
      </c>
      <c r="AW1248" s="82" t="s">
        <v>13430</v>
      </c>
      <c r="AX1248" s="82" t="s">
        <v>13430</v>
      </c>
      <c r="AY1248" s="77"/>
      <c r="AZ1248" s="82" t="s">
        <v>15804</v>
      </c>
      <c r="BA1248" s="82" t="s">
        <v>15804</v>
      </c>
      <c r="BB1248" s="82" t="s">
        <v>15804</v>
      </c>
      <c r="BC1248" s="82" t="s">
        <v>13430</v>
      </c>
      <c r="BD1248" s="82" t="s">
        <v>16353</v>
      </c>
      <c r="BE1248" s="77"/>
      <c r="BF1248" s="77"/>
      <c r="BG1248" s="77"/>
      <c r="BH1248" s="77"/>
      <c r="BI1248" s="77"/>
    </row>
    <row r="1249" spans="1:61" x14ac:dyDescent="0.25">
      <c r="A1249" s="62" t="s">
        <v>609</v>
      </c>
      <c r="B1249" s="62" t="s">
        <v>609</v>
      </c>
      <c r="C1249" s="63"/>
      <c r="D1249" s="64"/>
      <c r="E1249" s="65"/>
      <c r="F1249" s="66"/>
      <c r="G1249" s="63"/>
      <c r="H1249" s="67"/>
      <c r="I1249" s="68"/>
      <c r="J1249" s="68"/>
      <c r="K1249" s="32"/>
      <c r="L1249" s="75">
        <v>1249</v>
      </c>
      <c r="M1249" s="75"/>
      <c r="N1249" s="70"/>
      <c r="O1249" s="77" t="s">
        <v>179</v>
      </c>
      <c r="P1249" s="79">
        <v>45037.807280092595</v>
      </c>
      <c r="Q1249" s="77" t="s">
        <v>2342</v>
      </c>
      <c r="R1249" s="77">
        <v>0</v>
      </c>
      <c r="S1249" s="77">
        <v>0</v>
      </c>
      <c r="T1249" s="77">
        <v>0</v>
      </c>
      <c r="U1249" s="77">
        <v>0</v>
      </c>
      <c r="V1249" s="77">
        <v>9</v>
      </c>
      <c r="W1249" s="82" t="s">
        <v>4924</v>
      </c>
      <c r="X1249" s="77"/>
      <c r="Y1249" s="77"/>
      <c r="Z1249" s="77"/>
      <c r="AA1249" s="77"/>
      <c r="AB1249" s="77"/>
      <c r="AC1249" s="82" t="s">
        <v>7706</v>
      </c>
      <c r="AD1249" s="77" t="s">
        <v>7745</v>
      </c>
      <c r="AE1249" s="80" t="str">
        <f>HYPERLINK("https://twitter.com/ismaelguerreir6/status/1649493829177823239")</f>
        <v>https://twitter.com/ismaelguerreir6/status/1649493829177823239</v>
      </c>
      <c r="AF1249" s="79">
        <v>45037.807280092595</v>
      </c>
      <c r="AG1249" s="85">
        <v>45037</v>
      </c>
      <c r="AH1249" s="82" t="s">
        <v>8871</v>
      </c>
      <c r="AI1249" s="77"/>
      <c r="AJ1249" s="77"/>
      <c r="AK1249" s="77"/>
      <c r="AL1249" s="77"/>
      <c r="AM1249" s="77"/>
      <c r="AN1249" s="77"/>
      <c r="AO1249" s="77"/>
      <c r="AP1249" s="77"/>
      <c r="AQ1249" s="77"/>
      <c r="AR1249" s="77"/>
      <c r="AS1249" s="77"/>
      <c r="AT1249" s="77"/>
      <c r="AU1249" s="77"/>
      <c r="AV1249" s="80" t="str">
        <f>HYPERLINK("https://pbs.twimg.com/profile_images/1645831886533476353/XaFU2cRF_normal.jpg")</f>
        <v>https://pbs.twimg.com/profile_images/1645831886533476353/XaFU2cRF_normal.jpg</v>
      </c>
      <c r="AW1249" s="82" t="s">
        <v>13431</v>
      </c>
      <c r="AX1249" s="82" t="s">
        <v>13431</v>
      </c>
      <c r="AY1249" s="77"/>
      <c r="AZ1249" s="82" t="s">
        <v>15804</v>
      </c>
      <c r="BA1249" s="82" t="s">
        <v>15804</v>
      </c>
      <c r="BB1249" s="82" t="s">
        <v>15804</v>
      </c>
      <c r="BC1249" s="82" t="s">
        <v>13431</v>
      </c>
      <c r="BD1249" s="82" t="s">
        <v>16354</v>
      </c>
      <c r="BE1249" s="77"/>
      <c r="BF1249" s="77"/>
      <c r="BG1249" s="77"/>
      <c r="BH1249" s="77"/>
      <c r="BI1249" s="77"/>
    </row>
    <row r="1250" spans="1:61" x14ac:dyDescent="0.25">
      <c r="A1250" s="62" t="s">
        <v>609</v>
      </c>
      <c r="B1250" s="62" t="s">
        <v>609</v>
      </c>
      <c r="C1250" s="63"/>
      <c r="D1250" s="64"/>
      <c r="E1250" s="65"/>
      <c r="F1250" s="66"/>
      <c r="G1250" s="63"/>
      <c r="H1250" s="67"/>
      <c r="I1250" s="68"/>
      <c r="J1250" s="68"/>
      <c r="K1250" s="32"/>
      <c r="L1250" s="75">
        <v>1250</v>
      </c>
      <c r="M1250" s="75"/>
      <c r="N1250" s="70"/>
      <c r="O1250" s="77" t="s">
        <v>179</v>
      </c>
      <c r="P1250" s="79">
        <v>45035.729016203702</v>
      </c>
      <c r="Q1250" s="77" t="s">
        <v>2343</v>
      </c>
      <c r="R1250" s="77">
        <v>0</v>
      </c>
      <c r="S1250" s="77">
        <v>0</v>
      </c>
      <c r="T1250" s="77">
        <v>0</v>
      </c>
      <c r="U1250" s="77">
        <v>0</v>
      </c>
      <c r="V1250" s="77">
        <v>12</v>
      </c>
      <c r="W1250" s="82" t="s">
        <v>4925</v>
      </c>
      <c r="X1250" s="77"/>
      <c r="Y1250" s="77"/>
      <c r="Z1250" s="77"/>
      <c r="AA1250" s="77"/>
      <c r="AB1250" s="77"/>
      <c r="AC1250" s="82" t="s">
        <v>7706</v>
      </c>
      <c r="AD1250" s="77" t="s">
        <v>7745</v>
      </c>
      <c r="AE1250" s="80" t="str">
        <f>HYPERLINK("https://twitter.com/ismaelguerreir6/status/1648740688937222158")</f>
        <v>https://twitter.com/ismaelguerreir6/status/1648740688937222158</v>
      </c>
      <c r="AF1250" s="79">
        <v>45035.729016203702</v>
      </c>
      <c r="AG1250" s="85">
        <v>45035</v>
      </c>
      <c r="AH1250" s="82" t="s">
        <v>8872</v>
      </c>
      <c r="AI1250" s="77"/>
      <c r="AJ1250" s="77"/>
      <c r="AK1250" s="77"/>
      <c r="AL1250" s="77"/>
      <c r="AM1250" s="77"/>
      <c r="AN1250" s="77"/>
      <c r="AO1250" s="77"/>
      <c r="AP1250" s="77"/>
      <c r="AQ1250" s="77"/>
      <c r="AR1250" s="77"/>
      <c r="AS1250" s="77"/>
      <c r="AT1250" s="77"/>
      <c r="AU1250" s="77"/>
      <c r="AV1250" s="80" t="str">
        <f>HYPERLINK("https://pbs.twimg.com/profile_images/1645831886533476353/XaFU2cRF_normal.jpg")</f>
        <v>https://pbs.twimg.com/profile_images/1645831886533476353/XaFU2cRF_normal.jpg</v>
      </c>
      <c r="AW1250" s="82" t="s">
        <v>13432</v>
      </c>
      <c r="AX1250" s="82" t="s">
        <v>13432</v>
      </c>
      <c r="AY1250" s="77"/>
      <c r="AZ1250" s="82" t="s">
        <v>15804</v>
      </c>
      <c r="BA1250" s="82" t="s">
        <v>15804</v>
      </c>
      <c r="BB1250" s="82" t="s">
        <v>15804</v>
      </c>
      <c r="BC1250" s="82" t="s">
        <v>13432</v>
      </c>
      <c r="BD1250" s="82" t="s">
        <v>16354</v>
      </c>
      <c r="BE1250" s="77"/>
      <c r="BF1250" s="77"/>
      <c r="BG1250" s="77"/>
      <c r="BH1250" s="77"/>
      <c r="BI1250" s="77"/>
    </row>
    <row r="1251" spans="1:61" x14ac:dyDescent="0.25">
      <c r="A1251" s="62" t="s">
        <v>609</v>
      </c>
      <c r="B1251" s="62" t="s">
        <v>609</v>
      </c>
      <c r="C1251" s="63"/>
      <c r="D1251" s="64"/>
      <c r="E1251" s="65"/>
      <c r="F1251" s="66"/>
      <c r="G1251" s="63"/>
      <c r="H1251" s="67"/>
      <c r="I1251" s="68"/>
      <c r="J1251" s="68"/>
      <c r="K1251" s="32"/>
      <c r="L1251" s="75">
        <v>1251</v>
      </c>
      <c r="M1251" s="75"/>
      <c r="N1251" s="70"/>
      <c r="O1251" s="77" t="s">
        <v>179</v>
      </c>
      <c r="P1251" s="79">
        <v>45034.864594907405</v>
      </c>
      <c r="Q1251" s="77" t="s">
        <v>2344</v>
      </c>
      <c r="R1251" s="77">
        <v>0</v>
      </c>
      <c r="S1251" s="77">
        <v>0</v>
      </c>
      <c r="T1251" s="77">
        <v>0</v>
      </c>
      <c r="U1251" s="77">
        <v>0</v>
      </c>
      <c r="V1251" s="77">
        <v>17</v>
      </c>
      <c r="W1251" s="82" t="s">
        <v>4926</v>
      </c>
      <c r="X1251" s="77"/>
      <c r="Y1251" s="77"/>
      <c r="Z1251" s="77"/>
      <c r="AA1251" s="77"/>
      <c r="AB1251" s="77"/>
      <c r="AC1251" s="82" t="s">
        <v>7706</v>
      </c>
      <c r="AD1251" s="77" t="s">
        <v>7745</v>
      </c>
      <c r="AE1251" s="80" t="str">
        <f>HYPERLINK("https://twitter.com/ismaelguerreir6/status/1648427437230026752")</f>
        <v>https://twitter.com/ismaelguerreir6/status/1648427437230026752</v>
      </c>
      <c r="AF1251" s="79">
        <v>45034.864594907405</v>
      </c>
      <c r="AG1251" s="85">
        <v>45034</v>
      </c>
      <c r="AH1251" s="82" t="s">
        <v>8873</v>
      </c>
      <c r="AI1251" s="77"/>
      <c r="AJ1251" s="77"/>
      <c r="AK1251" s="77"/>
      <c r="AL1251" s="77"/>
      <c r="AM1251" s="77"/>
      <c r="AN1251" s="77"/>
      <c r="AO1251" s="77"/>
      <c r="AP1251" s="77"/>
      <c r="AQ1251" s="77"/>
      <c r="AR1251" s="77"/>
      <c r="AS1251" s="77"/>
      <c r="AT1251" s="77"/>
      <c r="AU1251" s="77"/>
      <c r="AV1251" s="80" t="str">
        <f>HYPERLINK("https://pbs.twimg.com/profile_images/1645831886533476353/XaFU2cRF_normal.jpg")</f>
        <v>https://pbs.twimg.com/profile_images/1645831886533476353/XaFU2cRF_normal.jpg</v>
      </c>
      <c r="AW1251" s="82" t="s">
        <v>13433</v>
      </c>
      <c r="AX1251" s="82" t="s">
        <v>13433</v>
      </c>
      <c r="AY1251" s="77"/>
      <c r="AZ1251" s="82" t="s">
        <v>15804</v>
      </c>
      <c r="BA1251" s="82" t="s">
        <v>15804</v>
      </c>
      <c r="BB1251" s="82" t="s">
        <v>15804</v>
      </c>
      <c r="BC1251" s="82" t="s">
        <v>13433</v>
      </c>
      <c r="BD1251" s="82" t="s">
        <v>16354</v>
      </c>
      <c r="BE1251" s="77"/>
      <c r="BF1251" s="77"/>
      <c r="BG1251" s="77"/>
      <c r="BH1251" s="77"/>
      <c r="BI1251" s="77"/>
    </row>
    <row r="1252" spans="1:61" x14ac:dyDescent="0.25">
      <c r="A1252" s="62" t="s">
        <v>609</v>
      </c>
      <c r="B1252" s="62" t="s">
        <v>609</v>
      </c>
      <c r="C1252" s="63"/>
      <c r="D1252" s="64"/>
      <c r="E1252" s="65"/>
      <c r="F1252" s="66"/>
      <c r="G1252" s="63"/>
      <c r="H1252" s="67"/>
      <c r="I1252" s="68"/>
      <c r="J1252" s="68"/>
      <c r="K1252" s="32"/>
      <c r="L1252" s="75">
        <v>1252</v>
      </c>
      <c r="M1252" s="75"/>
      <c r="N1252" s="70"/>
      <c r="O1252" s="77" t="s">
        <v>179</v>
      </c>
      <c r="P1252" s="79">
        <v>45034.036886574075</v>
      </c>
      <c r="Q1252" s="77" t="s">
        <v>2345</v>
      </c>
      <c r="R1252" s="77">
        <v>0</v>
      </c>
      <c r="S1252" s="77">
        <v>0</v>
      </c>
      <c r="T1252" s="77">
        <v>0</v>
      </c>
      <c r="U1252" s="77">
        <v>0</v>
      </c>
      <c r="V1252" s="77">
        <v>28</v>
      </c>
      <c r="W1252" s="82" t="s">
        <v>4927</v>
      </c>
      <c r="X1252" s="77"/>
      <c r="Y1252" s="77"/>
      <c r="Z1252" s="77"/>
      <c r="AA1252" s="77"/>
      <c r="AB1252" s="77"/>
      <c r="AC1252" s="82" t="s">
        <v>7705</v>
      </c>
      <c r="AD1252" s="77" t="s">
        <v>7745</v>
      </c>
      <c r="AE1252" s="80" t="str">
        <f>HYPERLINK("https://twitter.com/ismaelguerreir6/status/1648127483638607880")</f>
        <v>https://twitter.com/ismaelguerreir6/status/1648127483638607880</v>
      </c>
      <c r="AF1252" s="79">
        <v>45034.036886574075</v>
      </c>
      <c r="AG1252" s="85">
        <v>45034</v>
      </c>
      <c r="AH1252" s="82" t="s">
        <v>8874</v>
      </c>
      <c r="AI1252" s="77"/>
      <c r="AJ1252" s="77"/>
      <c r="AK1252" s="77"/>
      <c r="AL1252" s="77"/>
      <c r="AM1252" s="77"/>
      <c r="AN1252" s="77"/>
      <c r="AO1252" s="77"/>
      <c r="AP1252" s="77"/>
      <c r="AQ1252" s="77"/>
      <c r="AR1252" s="77"/>
      <c r="AS1252" s="77"/>
      <c r="AT1252" s="77"/>
      <c r="AU1252" s="77"/>
      <c r="AV1252" s="80" t="str">
        <f>HYPERLINK("https://pbs.twimg.com/profile_images/1645831886533476353/XaFU2cRF_normal.jpg")</f>
        <v>https://pbs.twimg.com/profile_images/1645831886533476353/XaFU2cRF_normal.jpg</v>
      </c>
      <c r="AW1252" s="82" t="s">
        <v>13434</v>
      </c>
      <c r="AX1252" s="82" t="s">
        <v>13434</v>
      </c>
      <c r="AY1252" s="77"/>
      <c r="AZ1252" s="82" t="s">
        <v>15804</v>
      </c>
      <c r="BA1252" s="82" t="s">
        <v>15804</v>
      </c>
      <c r="BB1252" s="82" t="s">
        <v>15804</v>
      </c>
      <c r="BC1252" s="82" t="s">
        <v>13434</v>
      </c>
      <c r="BD1252" s="82" t="s">
        <v>16354</v>
      </c>
      <c r="BE1252" s="77"/>
      <c r="BF1252" s="77"/>
      <c r="BG1252" s="77"/>
      <c r="BH1252" s="77"/>
      <c r="BI1252" s="77"/>
    </row>
    <row r="1253" spans="1:61" x14ac:dyDescent="0.25">
      <c r="A1253" s="62" t="s">
        <v>609</v>
      </c>
      <c r="B1253" s="62" t="s">
        <v>609</v>
      </c>
      <c r="C1253" s="63"/>
      <c r="D1253" s="64"/>
      <c r="E1253" s="65"/>
      <c r="F1253" s="66"/>
      <c r="G1253" s="63"/>
      <c r="H1253" s="67"/>
      <c r="I1253" s="68"/>
      <c r="J1253" s="68"/>
      <c r="K1253" s="32"/>
      <c r="L1253" s="75">
        <v>1253</v>
      </c>
      <c r="M1253" s="75"/>
      <c r="N1253" s="70"/>
      <c r="O1253" s="77" t="s">
        <v>179</v>
      </c>
      <c r="P1253" s="79">
        <v>45034.005046296297</v>
      </c>
      <c r="Q1253" s="77" t="s">
        <v>2346</v>
      </c>
      <c r="R1253" s="77">
        <v>0</v>
      </c>
      <c r="S1253" s="77">
        <v>0</v>
      </c>
      <c r="T1253" s="77">
        <v>0</v>
      </c>
      <c r="U1253" s="77">
        <v>0</v>
      </c>
      <c r="V1253" s="77">
        <v>34</v>
      </c>
      <c r="W1253" s="82" t="s">
        <v>4928</v>
      </c>
      <c r="X1253" s="77"/>
      <c r="Y1253" s="77"/>
      <c r="Z1253" s="77"/>
      <c r="AA1253" s="77"/>
      <c r="AB1253" s="77"/>
      <c r="AC1253" s="82" t="s">
        <v>7705</v>
      </c>
      <c r="AD1253" s="77" t="s">
        <v>7745</v>
      </c>
      <c r="AE1253" s="80" t="str">
        <f>HYPERLINK("https://twitter.com/ismaelguerreir6/status/1648115943212478470")</f>
        <v>https://twitter.com/ismaelguerreir6/status/1648115943212478470</v>
      </c>
      <c r="AF1253" s="79">
        <v>45034.005046296297</v>
      </c>
      <c r="AG1253" s="85">
        <v>45034</v>
      </c>
      <c r="AH1253" s="82" t="s">
        <v>8875</v>
      </c>
      <c r="AI1253" s="77"/>
      <c r="AJ1253" s="77"/>
      <c r="AK1253" s="77"/>
      <c r="AL1253" s="77"/>
      <c r="AM1253" s="77"/>
      <c r="AN1253" s="77"/>
      <c r="AO1253" s="77"/>
      <c r="AP1253" s="77"/>
      <c r="AQ1253" s="77"/>
      <c r="AR1253" s="77"/>
      <c r="AS1253" s="77"/>
      <c r="AT1253" s="77"/>
      <c r="AU1253" s="77"/>
      <c r="AV1253" s="80" t="str">
        <f>HYPERLINK("https://pbs.twimg.com/profile_images/1645831886533476353/XaFU2cRF_normal.jpg")</f>
        <v>https://pbs.twimg.com/profile_images/1645831886533476353/XaFU2cRF_normal.jpg</v>
      </c>
      <c r="AW1253" s="82" t="s">
        <v>13435</v>
      </c>
      <c r="AX1253" s="82" t="s">
        <v>13435</v>
      </c>
      <c r="AY1253" s="77"/>
      <c r="AZ1253" s="82" t="s">
        <v>15804</v>
      </c>
      <c r="BA1253" s="82" t="s">
        <v>15804</v>
      </c>
      <c r="BB1253" s="82" t="s">
        <v>15804</v>
      </c>
      <c r="BC1253" s="82" t="s">
        <v>13435</v>
      </c>
      <c r="BD1253" s="82" t="s">
        <v>16354</v>
      </c>
      <c r="BE1253" s="77"/>
      <c r="BF1253" s="77"/>
      <c r="BG1253" s="77"/>
      <c r="BH1253" s="77"/>
      <c r="BI1253" s="77"/>
    </row>
    <row r="1254" spans="1:61" x14ac:dyDescent="0.25">
      <c r="A1254" s="62" t="s">
        <v>609</v>
      </c>
      <c r="B1254" s="62" t="s">
        <v>609</v>
      </c>
      <c r="C1254" s="63"/>
      <c r="D1254" s="64"/>
      <c r="E1254" s="65"/>
      <c r="F1254" s="66"/>
      <c r="G1254" s="63"/>
      <c r="H1254" s="67"/>
      <c r="I1254" s="68"/>
      <c r="J1254" s="68"/>
      <c r="K1254" s="32"/>
      <c r="L1254" s="75">
        <v>1254</v>
      </c>
      <c r="M1254" s="75"/>
      <c r="N1254" s="70"/>
      <c r="O1254" s="77" t="s">
        <v>179</v>
      </c>
      <c r="P1254" s="79">
        <v>45034.004479166666</v>
      </c>
      <c r="Q1254" s="77" t="s">
        <v>2347</v>
      </c>
      <c r="R1254" s="77">
        <v>0</v>
      </c>
      <c r="S1254" s="77">
        <v>0</v>
      </c>
      <c r="T1254" s="77">
        <v>0</v>
      </c>
      <c r="U1254" s="77">
        <v>0</v>
      </c>
      <c r="V1254" s="77">
        <v>31</v>
      </c>
      <c r="W1254" s="82" t="s">
        <v>4929</v>
      </c>
      <c r="X1254" s="77"/>
      <c r="Y1254" s="77"/>
      <c r="Z1254" s="77"/>
      <c r="AA1254" s="77"/>
      <c r="AB1254" s="77"/>
      <c r="AC1254" s="82" t="s">
        <v>7705</v>
      </c>
      <c r="AD1254" s="77" t="s">
        <v>7745</v>
      </c>
      <c r="AE1254" s="80" t="str">
        <f>HYPERLINK("https://twitter.com/ismaelguerreir6/status/1648115738157219840")</f>
        <v>https://twitter.com/ismaelguerreir6/status/1648115738157219840</v>
      </c>
      <c r="AF1254" s="79">
        <v>45034.004479166666</v>
      </c>
      <c r="AG1254" s="85">
        <v>45034</v>
      </c>
      <c r="AH1254" s="82" t="s">
        <v>8876</v>
      </c>
      <c r="AI1254" s="77"/>
      <c r="AJ1254" s="77"/>
      <c r="AK1254" s="77"/>
      <c r="AL1254" s="77"/>
      <c r="AM1254" s="77"/>
      <c r="AN1254" s="77"/>
      <c r="AO1254" s="77"/>
      <c r="AP1254" s="77"/>
      <c r="AQ1254" s="77"/>
      <c r="AR1254" s="77"/>
      <c r="AS1254" s="77"/>
      <c r="AT1254" s="77"/>
      <c r="AU1254" s="77"/>
      <c r="AV1254" s="80" t="str">
        <f>HYPERLINK("https://pbs.twimg.com/profile_images/1645831886533476353/XaFU2cRF_normal.jpg")</f>
        <v>https://pbs.twimg.com/profile_images/1645831886533476353/XaFU2cRF_normal.jpg</v>
      </c>
      <c r="AW1254" s="82" t="s">
        <v>13436</v>
      </c>
      <c r="AX1254" s="82" t="s">
        <v>13436</v>
      </c>
      <c r="AY1254" s="77"/>
      <c r="AZ1254" s="82" t="s">
        <v>15804</v>
      </c>
      <c r="BA1254" s="82" t="s">
        <v>15804</v>
      </c>
      <c r="BB1254" s="82" t="s">
        <v>15804</v>
      </c>
      <c r="BC1254" s="82" t="s">
        <v>13436</v>
      </c>
      <c r="BD1254" s="82" t="s">
        <v>16354</v>
      </c>
      <c r="BE1254" s="77"/>
      <c r="BF1254" s="77"/>
      <c r="BG1254" s="77"/>
      <c r="BH1254" s="77"/>
      <c r="BI1254" s="77"/>
    </row>
    <row r="1255" spans="1:61" x14ac:dyDescent="0.25">
      <c r="A1255" s="62" t="s">
        <v>609</v>
      </c>
      <c r="B1255" s="62" t="s">
        <v>609</v>
      </c>
      <c r="C1255" s="63"/>
      <c r="D1255" s="64"/>
      <c r="E1255" s="65"/>
      <c r="F1255" s="66"/>
      <c r="G1255" s="63"/>
      <c r="H1255" s="67"/>
      <c r="I1255" s="68"/>
      <c r="J1255" s="68"/>
      <c r="K1255" s="32"/>
      <c r="L1255" s="75">
        <v>1255</v>
      </c>
      <c r="M1255" s="75"/>
      <c r="N1255" s="70"/>
      <c r="O1255" s="77" t="s">
        <v>179</v>
      </c>
      <c r="P1255" s="79">
        <v>45033.980196759258</v>
      </c>
      <c r="Q1255" s="77" t="s">
        <v>2348</v>
      </c>
      <c r="R1255" s="77">
        <v>0</v>
      </c>
      <c r="S1255" s="77">
        <v>0</v>
      </c>
      <c r="T1255" s="77">
        <v>0</v>
      </c>
      <c r="U1255" s="77">
        <v>0</v>
      </c>
      <c r="V1255" s="77">
        <v>29</v>
      </c>
      <c r="W1255" s="82" t="s">
        <v>4930</v>
      </c>
      <c r="X1255" s="77"/>
      <c r="Y1255" s="77"/>
      <c r="Z1255" s="77"/>
      <c r="AA1255" s="77"/>
      <c r="AB1255" s="77"/>
      <c r="AC1255" s="82" t="s">
        <v>7705</v>
      </c>
      <c r="AD1255" s="77" t="s">
        <v>7745</v>
      </c>
      <c r="AE1255" s="80" t="str">
        <f>HYPERLINK("https://twitter.com/ismaelguerreir6/status/1648106938570342402")</f>
        <v>https://twitter.com/ismaelguerreir6/status/1648106938570342402</v>
      </c>
      <c r="AF1255" s="79">
        <v>45033.980196759258</v>
      </c>
      <c r="AG1255" s="85">
        <v>45033</v>
      </c>
      <c r="AH1255" s="82" t="s">
        <v>8877</v>
      </c>
      <c r="AI1255" s="77"/>
      <c r="AJ1255" s="77"/>
      <c r="AK1255" s="77"/>
      <c r="AL1255" s="77"/>
      <c r="AM1255" s="77"/>
      <c r="AN1255" s="77"/>
      <c r="AO1255" s="77"/>
      <c r="AP1255" s="77"/>
      <c r="AQ1255" s="77"/>
      <c r="AR1255" s="77"/>
      <c r="AS1255" s="77"/>
      <c r="AT1255" s="77"/>
      <c r="AU1255" s="77"/>
      <c r="AV1255" s="80" t="str">
        <f>HYPERLINK("https://pbs.twimg.com/profile_images/1645831886533476353/XaFU2cRF_normal.jpg")</f>
        <v>https://pbs.twimg.com/profile_images/1645831886533476353/XaFU2cRF_normal.jpg</v>
      </c>
      <c r="AW1255" s="82" t="s">
        <v>13437</v>
      </c>
      <c r="AX1255" s="82" t="s">
        <v>13437</v>
      </c>
      <c r="AY1255" s="77"/>
      <c r="AZ1255" s="82" t="s">
        <v>15804</v>
      </c>
      <c r="BA1255" s="82" t="s">
        <v>15804</v>
      </c>
      <c r="BB1255" s="82" t="s">
        <v>15804</v>
      </c>
      <c r="BC1255" s="82" t="s">
        <v>13437</v>
      </c>
      <c r="BD1255" s="82" t="s">
        <v>16354</v>
      </c>
      <c r="BE1255" s="77"/>
      <c r="BF1255" s="77"/>
      <c r="BG1255" s="77"/>
      <c r="BH1255" s="77"/>
      <c r="BI1255" s="77"/>
    </row>
    <row r="1256" spans="1:61" x14ac:dyDescent="0.25">
      <c r="A1256" s="62" t="s">
        <v>609</v>
      </c>
      <c r="B1256" s="62" t="s">
        <v>609</v>
      </c>
      <c r="C1256" s="63"/>
      <c r="D1256" s="64"/>
      <c r="E1256" s="65"/>
      <c r="F1256" s="66"/>
      <c r="G1256" s="63"/>
      <c r="H1256" s="67"/>
      <c r="I1256" s="68"/>
      <c r="J1256" s="68"/>
      <c r="K1256" s="32"/>
      <c r="L1256" s="75">
        <v>1256</v>
      </c>
      <c r="M1256" s="75"/>
      <c r="N1256" s="70"/>
      <c r="O1256" s="77" t="s">
        <v>179</v>
      </c>
      <c r="P1256" s="79">
        <v>45033.945370370369</v>
      </c>
      <c r="Q1256" s="77" t="s">
        <v>2349</v>
      </c>
      <c r="R1256" s="77">
        <v>0</v>
      </c>
      <c r="S1256" s="77">
        <v>0</v>
      </c>
      <c r="T1256" s="77">
        <v>0</v>
      </c>
      <c r="U1256" s="77">
        <v>0</v>
      </c>
      <c r="V1256" s="77">
        <v>28</v>
      </c>
      <c r="W1256" s="82" t="s">
        <v>4931</v>
      </c>
      <c r="X1256" s="77"/>
      <c r="Y1256" s="77"/>
      <c r="Z1256" s="77"/>
      <c r="AA1256" s="77"/>
      <c r="AB1256" s="77"/>
      <c r="AC1256" s="82" t="s">
        <v>7705</v>
      </c>
      <c r="AD1256" s="77" t="s">
        <v>7745</v>
      </c>
      <c r="AE1256" s="80" t="str">
        <f>HYPERLINK("https://twitter.com/ismaelguerreir6/status/1648094317368492035")</f>
        <v>https://twitter.com/ismaelguerreir6/status/1648094317368492035</v>
      </c>
      <c r="AF1256" s="79">
        <v>45033.945370370369</v>
      </c>
      <c r="AG1256" s="85">
        <v>45033</v>
      </c>
      <c r="AH1256" s="82" t="s">
        <v>8878</v>
      </c>
      <c r="AI1256" s="77"/>
      <c r="AJ1256" s="77"/>
      <c r="AK1256" s="77"/>
      <c r="AL1256" s="77"/>
      <c r="AM1256" s="77"/>
      <c r="AN1256" s="77"/>
      <c r="AO1256" s="77"/>
      <c r="AP1256" s="77"/>
      <c r="AQ1256" s="77"/>
      <c r="AR1256" s="77"/>
      <c r="AS1256" s="77"/>
      <c r="AT1256" s="77"/>
      <c r="AU1256" s="77"/>
      <c r="AV1256" s="80" t="str">
        <f>HYPERLINK("https://pbs.twimg.com/profile_images/1645831886533476353/XaFU2cRF_normal.jpg")</f>
        <v>https://pbs.twimg.com/profile_images/1645831886533476353/XaFU2cRF_normal.jpg</v>
      </c>
      <c r="AW1256" s="82" t="s">
        <v>13438</v>
      </c>
      <c r="AX1256" s="82" t="s">
        <v>13438</v>
      </c>
      <c r="AY1256" s="77"/>
      <c r="AZ1256" s="82" t="s">
        <v>15804</v>
      </c>
      <c r="BA1256" s="82" t="s">
        <v>15804</v>
      </c>
      <c r="BB1256" s="82" t="s">
        <v>15804</v>
      </c>
      <c r="BC1256" s="82" t="s">
        <v>13438</v>
      </c>
      <c r="BD1256" s="82" t="s">
        <v>16354</v>
      </c>
      <c r="BE1256" s="77"/>
      <c r="BF1256" s="77"/>
      <c r="BG1256" s="77"/>
      <c r="BH1256" s="77"/>
      <c r="BI1256" s="77"/>
    </row>
    <row r="1257" spans="1:61" x14ac:dyDescent="0.25">
      <c r="A1257" s="62" t="s">
        <v>609</v>
      </c>
      <c r="B1257" s="62" t="s">
        <v>609</v>
      </c>
      <c r="C1257" s="63"/>
      <c r="D1257" s="64"/>
      <c r="E1257" s="65"/>
      <c r="F1257" s="66"/>
      <c r="G1257" s="63"/>
      <c r="H1257" s="67"/>
      <c r="I1257" s="68"/>
      <c r="J1257" s="68"/>
      <c r="K1257" s="32"/>
      <c r="L1257" s="75">
        <v>1257</v>
      </c>
      <c r="M1257" s="75"/>
      <c r="N1257" s="70"/>
      <c r="O1257" s="77" t="s">
        <v>179</v>
      </c>
      <c r="P1257" s="79">
        <v>45033.943877314814</v>
      </c>
      <c r="Q1257" s="77" t="s">
        <v>2350</v>
      </c>
      <c r="R1257" s="77">
        <v>0</v>
      </c>
      <c r="S1257" s="77">
        <v>0</v>
      </c>
      <c r="T1257" s="77">
        <v>0</v>
      </c>
      <c r="U1257" s="77">
        <v>0</v>
      </c>
      <c r="V1257" s="77">
        <v>28</v>
      </c>
      <c r="W1257" s="82" t="s">
        <v>4932</v>
      </c>
      <c r="X1257" s="77"/>
      <c r="Y1257" s="77"/>
      <c r="Z1257" s="77"/>
      <c r="AA1257" s="77"/>
      <c r="AB1257" s="77"/>
      <c r="AC1257" s="82" t="s">
        <v>7705</v>
      </c>
      <c r="AD1257" s="77" t="s">
        <v>7745</v>
      </c>
      <c r="AE1257" s="80" t="str">
        <f>HYPERLINK("https://twitter.com/ismaelguerreir6/status/1648093780203954176")</f>
        <v>https://twitter.com/ismaelguerreir6/status/1648093780203954176</v>
      </c>
      <c r="AF1257" s="79">
        <v>45033.943877314814</v>
      </c>
      <c r="AG1257" s="85">
        <v>45033</v>
      </c>
      <c r="AH1257" s="82" t="s">
        <v>8879</v>
      </c>
      <c r="AI1257" s="77"/>
      <c r="AJ1257" s="77"/>
      <c r="AK1257" s="77"/>
      <c r="AL1257" s="77"/>
      <c r="AM1257" s="77"/>
      <c r="AN1257" s="77"/>
      <c r="AO1257" s="77"/>
      <c r="AP1257" s="77"/>
      <c r="AQ1257" s="77"/>
      <c r="AR1257" s="77"/>
      <c r="AS1257" s="77"/>
      <c r="AT1257" s="77"/>
      <c r="AU1257" s="77"/>
      <c r="AV1257" s="80" t="str">
        <f>HYPERLINK("https://pbs.twimg.com/profile_images/1645831886533476353/XaFU2cRF_normal.jpg")</f>
        <v>https://pbs.twimg.com/profile_images/1645831886533476353/XaFU2cRF_normal.jpg</v>
      </c>
      <c r="AW1257" s="82" t="s">
        <v>13439</v>
      </c>
      <c r="AX1257" s="82" t="s">
        <v>13439</v>
      </c>
      <c r="AY1257" s="77"/>
      <c r="AZ1257" s="82" t="s">
        <v>15804</v>
      </c>
      <c r="BA1257" s="82" t="s">
        <v>15804</v>
      </c>
      <c r="BB1257" s="82" t="s">
        <v>15804</v>
      </c>
      <c r="BC1257" s="82" t="s">
        <v>13439</v>
      </c>
      <c r="BD1257" s="82" t="s">
        <v>16354</v>
      </c>
      <c r="BE1257" s="77"/>
      <c r="BF1257" s="77"/>
      <c r="BG1257" s="77"/>
      <c r="BH1257" s="77"/>
      <c r="BI1257" s="77"/>
    </row>
    <row r="1258" spans="1:61" x14ac:dyDescent="0.25">
      <c r="A1258" s="62" t="s">
        <v>609</v>
      </c>
      <c r="B1258" s="62" t="s">
        <v>609</v>
      </c>
      <c r="C1258" s="63"/>
      <c r="D1258" s="64"/>
      <c r="E1258" s="65"/>
      <c r="F1258" s="66"/>
      <c r="G1258" s="63"/>
      <c r="H1258" s="67"/>
      <c r="I1258" s="68"/>
      <c r="J1258" s="68"/>
      <c r="K1258" s="32"/>
      <c r="L1258" s="75">
        <v>1258</v>
      </c>
      <c r="M1258" s="75"/>
      <c r="N1258" s="70"/>
      <c r="O1258" s="77" t="s">
        <v>179</v>
      </c>
      <c r="P1258" s="79">
        <v>45033.937777777777</v>
      </c>
      <c r="Q1258" s="77" t="s">
        <v>2351</v>
      </c>
      <c r="R1258" s="77">
        <v>0</v>
      </c>
      <c r="S1258" s="77">
        <v>0</v>
      </c>
      <c r="T1258" s="77">
        <v>0</v>
      </c>
      <c r="U1258" s="77">
        <v>0</v>
      </c>
      <c r="V1258" s="77">
        <v>21</v>
      </c>
      <c r="W1258" s="82" t="s">
        <v>4927</v>
      </c>
      <c r="X1258" s="77"/>
      <c r="Y1258" s="77"/>
      <c r="Z1258" s="77"/>
      <c r="AA1258" s="77"/>
      <c r="AB1258" s="77"/>
      <c r="AC1258" s="82" t="s">
        <v>7705</v>
      </c>
      <c r="AD1258" s="77" t="s">
        <v>7745</v>
      </c>
      <c r="AE1258" s="80" t="str">
        <f>HYPERLINK("https://twitter.com/ismaelguerreir6/status/1648091566714634241")</f>
        <v>https://twitter.com/ismaelguerreir6/status/1648091566714634241</v>
      </c>
      <c r="AF1258" s="79">
        <v>45033.937777777777</v>
      </c>
      <c r="AG1258" s="85">
        <v>45033</v>
      </c>
      <c r="AH1258" s="82" t="s">
        <v>8880</v>
      </c>
      <c r="AI1258" s="77"/>
      <c r="AJ1258" s="77"/>
      <c r="AK1258" s="77"/>
      <c r="AL1258" s="77"/>
      <c r="AM1258" s="77"/>
      <c r="AN1258" s="77"/>
      <c r="AO1258" s="77"/>
      <c r="AP1258" s="77"/>
      <c r="AQ1258" s="77"/>
      <c r="AR1258" s="77"/>
      <c r="AS1258" s="77"/>
      <c r="AT1258" s="77"/>
      <c r="AU1258" s="77"/>
      <c r="AV1258" s="80" t="str">
        <f>HYPERLINK("https://pbs.twimg.com/profile_images/1645831886533476353/XaFU2cRF_normal.jpg")</f>
        <v>https://pbs.twimg.com/profile_images/1645831886533476353/XaFU2cRF_normal.jpg</v>
      </c>
      <c r="AW1258" s="82" t="s">
        <v>13440</v>
      </c>
      <c r="AX1258" s="82" t="s">
        <v>13440</v>
      </c>
      <c r="AY1258" s="77"/>
      <c r="AZ1258" s="82" t="s">
        <v>15804</v>
      </c>
      <c r="BA1258" s="82" t="s">
        <v>15804</v>
      </c>
      <c r="BB1258" s="82" t="s">
        <v>15804</v>
      </c>
      <c r="BC1258" s="82" t="s">
        <v>13440</v>
      </c>
      <c r="BD1258" s="82" t="s">
        <v>16354</v>
      </c>
      <c r="BE1258" s="77"/>
      <c r="BF1258" s="77"/>
      <c r="BG1258" s="77"/>
      <c r="BH1258" s="77"/>
      <c r="BI1258" s="77"/>
    </row>
    <row r="1259" spans="1:61" x14ac:dyDescent="0.25">
      <c r="A1259" s="62" t="s">
        <v>609</v>
      </c>
      <c r="B1259" s="62" t="s">
        <v>609</v>
      </c>
      <c r="C1259" s="63"/>
      <c r="D1259" s="64"/>
      <c r="E1259" s="65"/>
      <c r="F1259" s="66"/>
      <c r="G1259" s="63"/>
      <c r="H1259" s="67"/>
      <c r="I1259" s="68"/>
      <c r="J1259" s="68"/>
      <c r="K1259" s="32"/>
      <c r="L1259" s="75">
        <v>1259</v>
      </c>
      <c r="M1259" s="75"/>
      <c r="N1259" s="70"/>
      <c r="O1259" s="77" t="s">
        <v>179</v>
      </c>
      <c r="P1259" s="79">
        <v>45033.937222222223</v>
      </c>
      <c r="Q1259" s="77" t="s">
        <v>2352</v>
      </c>
      <c r="R1259" s="77">
        <v>0</v>
      </c>
      <c r="S1259" s="77">
        <v>0</v>
      </c>
      <c r="T1259" s="77">
        <v>0</v>
      </c>
      <c r="U1259" s="77">
        <v>0</v>
      </c>
      <c r="V1259" s="77">
        <v>20</v>
      </c>
      <c r="W1259" s="82" t="s">
        <v>4933</v>
      </c>
      <c r="X1259" s="77"/>
      <c r="Y1259" s="77"/>
      <c r="Z1259" s="77"/>
      <c r="AA1259" s="77"/>
      <c r="AB1259" s="77"/>
      <c r="AC1259" s="82" t="s">
        <v>7705</v>
      </c>
      <c r="AD1259" s="77" t="s">
        <v>7745</v>
      </c>
      <c r="AE1259" s="80" t="str">
        <f>HYPERLINK("https://twitter.com/ismaelguerreir6/status/1648091366147104769")</f>
        <v>https://twitter.com/ismaelguerreir6/status/1648091366147104769</v>
      </c>
      <c r="AF1259" s="79">
        <v>45033.937222222223</v>
      </c>
      <c r="AG1259" s="85">
        <v>45033</v>
      </c>
      <c r="AH1259" s="82" t="s">
        <v>8881</v>
      </c>
      <c r="AI1259" s="77"/>
      <c r="AJ1259" s="77"/>
      <c r="AK1259" s="77"/>
      <c r="AL1259" s="77"/>
      <c r="AM1259" s="77"/>
      <c r="AN1259" s="77"/>
      <c r="AO1259" s="77"/>
      <c r="AP1259" s="77"/>
      <c r="AQ1259" s="77"/>
      <c r="AR1259" s="77"/>
      <c r="AS1259" s="77"/>
      <c r="AT1259" s="77"/>
      <c r="AU1259" s="77"/>
      <c r="AV1259" s="80" t="str">
        <f>HYPERLINK("https://pbs.twimg.com/profile_images/1645831886533476353/XaFU2cRF_normal.jpg")</f>
        <v>https://pbs.twimg.com/profile_images/1645831886533476353/XaFU2cRF_normal.jpg</v>
      </c>
      <c r="AW1259" s="82" t="s">
        <v>13441</v>
      </c>
      <c r="AX1259" s="82" t="s">
        <v>13441</v>
      </c>
      <c r="AY1259" s="77"/>
      <c r="AZ1259" s="82" t="s">
        <v>15804</v>
      </c>
      <c r="BA1259" s="82" t="s">
        <v>15804</v>
      </c>
      <c r="BB1259" s="82" t="s">
        <v>15804</v>
      </c>
      <c r="BC1259" s="82" t="s">
        <v>13441</v>
      </c>
      <c r="BD1259" s="82" t="s">
        <v>16354</v>
      </c>
      <c r="BE1259" s="77"/>
      <c r="BF1259" s="77"/>
      <c r="BG1259" s="77"/>
      <c r="BH1259" s="77"/>
      <c r="BI1259" s="77"/>
    </row>
    <row r="1260" spans="1:61" x14ac:dyDescent="0.25">
      <c r="A1260" s="62" t="s">
        <v>610</v>
      </c>
      <c r="B1260" s="62" t="s">
        <v>1010</v>
      </c>
      <c r="C1260" s="63"/>
      <c r="D1260" s="64"/>
      <c r="E1260" s="65"/>
      <c r="F1260" s="66"/>
      <c r="G1260" s="63"/>
      <c r="H1260" s="67"/>
      <c r="I1260" s="68"/>
      <c r="J1260" s="68"/>
      <c r="K1260" s="32"/>
      <c r="L1260" s="75">
        <v>1260</v>
      </c>
      <c r="M1260" s="75"/>
      <c r="N1260" s="70"/>
      <c r="O1260" s="77" t="s">
        <v>1133</v>
      </c>
      <c r="P1260" s="79">
        <v>45120.96875</v>
      </c>
      <c r="Q1260" s="77" t="s">
        <v>2353</v>
      </c>
      <c r="R1260" s="77">
        <v>4</v>
      </c>
      <c r="S1260" s="77">
        <v>8</v>
      </c>
      <c r="T1260" s="77">
        <v>0</v>
      </c>
      <c r="U1260" s="77">
        <v>0</v>
      </c>
      <c r="V1260" s="77">
        <v>349</v>
      </c>
      <c r="W1260" s="82" t="s">
        <v>4934</v>
      </c>
      <c r="X1260" s="80" t="str">
        <f>HYPERLINK("https://www.youtube.com/live/OO_ZVF_9zCw")</f>
        <v>https://www.youtube.com/live/OO_ZVF_9zCw</v>
      </c>
      <c r="Y1260" s="77" t="s">
        <v>6006</v>
      </c>
      <c r="Z1260" s="77" t="s">
        <v>1010</v>
      </c>
      <c r="AA1260" s="77"/>
      <c r="AB1260" s="77"/>
      <c r="AC1260" s="82" t="s">
        <v>7713</v>
      </c>
      <c r="AD1260" s="77" t="s">
        <v>7745</v>
      </c>
      <c r="AE1260" s="80" t="str">
        <f>HYPERLINK("https://twitter.com/redetvt/status/1679630535046602752")</f>
        <v>https://twitter.com/redetvt/status/1679630535046602752</v>
      </c>
      <c r="AF1260" s="79">
        <v>45120.96875</v>
      </c>
      <c r="AG1260" s="85">
        <v>45120</v>
      </c>
      <c r="AH1260" s="82" t="s">
        <v>8882</v>
      </c>
      <c r="AI1260" s="77" t="b">
        <v>0</v>
      </c>
      <c r="AJ1260" s="77"/>
      <c r="AK1260" s="77"/>
      <c r="AL1260" s="77"/>
      <c r="AM1260" s="77"/>
      <c r="AN1260" s="77"/>
      <c r="AO1260" s="77"/>
      <c r="AP1260" s="77"/>
      <c r="AQ1260" s="77"/>
      <c r="AR1260" s="77"/>
      <c r="AS1260" s="77"/>
      <c r="AT1260" s="77"/>
      <c r="AU1260" s="77"/>
      <c r="AV1260" s="80" t="str">
        <f>HYPERLINK("https://pbs.twimg.com/profile_images/1313489698279567360/FTKDY8qH_normal.jpg")</f>
        <v>https://pbs.twimg.com/profile_images/1313489698279567360/FTKDY8qH_normal.jpg</v>
      </c>
      <c r="AW1260" s="82" t="s">
        <v>13442</v>
      </c>
      <c r="AX1260" s="82" t="s">
        <v>13442</v>
      </c>
      <c r="AY1260" s="77"/>
      <c r="AZ1260" s="82" t="s">
        <v>15804</v>
      </c>
      <c r="BA1260" s="82" t="s">
        <v>15804</v>
      </c>
      <c r="BB1260" s="82" t="s">
        <v>15804</v>
      </c>
      <c r="BC1260" s="82" t="s">
        <v>13442</v>
      </c>
      <c r="BD1260" s="77">
        <v>169918595</v>
      </c>
      <c r="BE1260" s="77"/>
      <c r="BF1260" s="77"/>
      <c r="BG1260" s="77"/>
      <c r="BH1260" s="77"/>
      <c r="BI1260" s="77"/>
    </row>
    <row r="1261" spans="1:61" x14ac:dyDescent="0.25">
      <c r="A1261" s="62" t="s">
        <v>610</v>
      </c>
      <c r="B1261" s="62" t="s">
        <v>610</v>
      </c>
      <c r="C1261" s="63"/>
      <c r="D1261" s="64"/>
      <c r="E1261" s="65"/>
      <c r="F1261" s="66"/>
      <c r="G1261" s="63"/>
      <c r="H1261" s="67"/>
      <c r="I1261" s="68"/>
      <c r="J1261" s="68"/>
      <c r="K1261" s="32"/>
      <c r="L1261" s="75">
        <v>1261</v>
      </c>
      <c r="M1261" s="75"/>
      <c r="N1261" s="70"/>
      <c r="O1261" s="77" t="s">
        <v>179</v>
      </c>
      <c r="P1261" s="79">
        <v>45174.96875</v>
      </c>
      <c r="Q1261" s="77" t="s">
        <v>2354</v>
      </c>
      <c r="R1261" s="77">
        <v>4</v>
      </c>
      <c r="S1261" s="77">
        <v>6</v>
      </c>
      <c r="T1261" s="77">
        <v>0</v>
      </c>
      <c r="U1261" s="77">
        <v>0</v>
      </c>
      <c r="V1261" s="77">
        <v>265</v>
      </c>
      <c r="W1261" s="82" t="s">
        <v>4935</v>
      </c>
      <c r="X1261" s="80" t="str">
        <f>HYPERLINK("https://www.youtube.com/live/ezqGDVlHL80?feature=shared")</f>
        <v>https://www.youtube.com/live/ezqGDVlHL80?feature=shared</v>
      </c>
      <c r="Y1261" s="77" t="s">
        <v>6006</v>
      </c>
      <c r="Z1261" s="77"/>
      <c r="AA1261" s="77" t="s">
        <v>6940</v>
      </c>
      <c r="AB1261" s="77" t="s">
        <v>7696</v>
      </c>
      <c r="AC1261" s="82" t="s">
        <v>7706</v>
      </c>
      <c r="AD1261" s="77" t="s">
        <v>7745</v>
      </c>
      <c r="AE1261" s="80" t="str">
        <f>HYPERLINK("https://twitter.com/redetvt/status/1699199479738421380")</f>
        <v>https://twitter.com/redetvt/status/1699199479738421380</v>
      </c>
      <c r="AF1261" s="79">
        <v>45174.96875</v>
      </c>
      <c r="AG1261" s="85">
        <v>45174</v>
      </c>
      <c r="AH1261" s="82" t="s">
        <v>8882</v>
      </c>
      <c r="AI1261" s="77" t="b">
        <v>0</v>
      </c>
      <c r="AJ1261" s="77"/>
      <c r="AK1261" s="77"/>
      <c r="AL1261" s="77"/>
      <c r="AM1261" s="77"/>
      <c r="AN1261" s="77"/>
      <c r="AO1261" s="77"/>
      <c r="AP1261" s="77"/>
      <c r="AQ1261" s="77" t="s">
        <v>11447</v>
      </c>
      <c r="AR1261" s="77"/>
      <c r="AS1261" s="77"/>
      <c r="AT1261" s="77"/>
      <c r="AU1261" s="77"/>
      <c r="AV1261" s="80" t="str">
        <f>HYPERLINK("https://pbs.twimg.com/media/F5SEFxzXQAAF3Y2.jpg")</f>
        <v>https://pbs.twimg.com/media/F5SEFxzXQAAF3Y2.jpg</v>
      </c>
      <c r="AW1261" s="82" t="s">
        <v>13443</v>
      </c>
      <c r="AX1261" s="82" t="s">
        <v>13443</v>
      </c>
      <c r="AY1261" s="77"/>
      <c r="AZ1261" s="82" t="s">
        <v>15804</v>
      </c>
      <c r="BA1261" s="82" t="s">
        <v>15804</v>
      </c>
      <c r="BB1261" s="82" t="s">
        <v>15804</v>
      </c>
      <c r="BC1261" s="82" t="s">
        <v>13443</v>
      </c>
      <c r="BD1261" s="77">
        <v>169918595</v>
      </c>
      <c r="BE1261" s="77"/>
      <c r="BF1261" s="77"/>
      <c r="BG1261" s="77"/>
      <c r="BH1261" s="77"/>
      <c r="BI1261" s="77"/>
    </row>
    <row r="1262" spans="1:61" x14ac:dyDescent="0.25">
      <c r="A1262" s="62" t="s">
        <v>611</v>
      </c>
      <c r="B1262" s="62" t="s">
        <v>611</v>
      </c>
      <c r="C1262" s="63"/>
      <c r="D1262" s="64"/>
      <c r="E1262" s="65"/>
      <c r="F1262" s="66"/>
      <c r="G1262" s="63"/>
      <c r="H1262" s="67"/>
      <c r="I1262" s="68"/>
      <c r="J1262" s="68"/>
      <c r="K1262" s="32"/>
      <c r="L1262" s="75">
        <v>1262</v>
      </c>
      <c r="M1262" s="75"/>
      <c r="N1262" s="70"/>
      <c r="O1262" s="77" t="s">
        <v>179</v>
      </c>
      <c r="P1262" s="79">
        <v>45018.047789351855</v>
      </c>
      <c r="Q1262" s="77" t="s">
        <v>2355</v>
      </c>
      <c r="R1262" s="77">
        <v>0</v>
      </c>
      <c r="S1262" s="77">
        <v>0</v>
      </c>
      <c r="T1262" s="77">
        <v>0</v>
      </c>
      <c r="U1262" s="77">
        <v>0</v>
      </c>
      <c r="V1262" s="77">
        <v>12</v>
      </c>
      <c r="W1262" s="82" t="s">
        <v>4936</v>
      </c>
      <c r="X1262" s="77"/>
      <c r="Y1262" s="77"/>
      <c r="Z1262" s="77"/>
      <c r="AA1262" s="77"/>
      <c r="AB1262" s="77"/>
      <c r="AC1262" s="82" t="s">
        <v>7706</v>
      </c>
      <c r="AD1262" s="77" t="s">
        <v>7745</v>
      </c>
      <c r="AE1262" s="80" t="str">
        <f>HYPERLINK("https://twitter.com/mb_galvao/status/1642333229901398016")</f>
        <v>https://twitter.com/mb_galvao/status/1642333229901398016</v>
      </c>
      <c r="AF1262" s="79">
        <v>45018.047789351855</v>
      </c>
      <c r="AG1262" s="85">
        <v>45018</v>
      </c>
      <c r="AH1262" s="82" t="s">
        <v>8883</v>
      </c>
      <c r="AI1262" s="77"/>
      <c r="AJ1262" s="77"/>
      <c r="AK1262" s="77"/>
      <c r="AL1262" s="77"/>
      <c r="AM1262" s="77"/>
      <c r="AN1262" s="77"/>
      <c r="AO1262" s="77"/>
      <c r="AP1262" s="77"/>
      <c r="AQ1262" s="77"/>
      <c r="AR1262" s="77"/>
      <c r="AS1262" s="77"/>
      <c r="AT1262" s="77"/>
      <c r="AU1262" s="77"/>
      <c r="AV1262" s="80" t="str">
        <f>HYPERLINK("https://pbs.twimg.com/profile_images/816399348317634560/v83Lunjk_normal.jpg")</f>
        <v>https://pbs.twimg.com/profile_images/816399348317634560/v83Lunjk_normal.jpg</v>
      </c>
      <c r="AW1262" s="82" t="s">
        <v>13444</v>
      </c>
      <c r="AX1262" s="82" t="s">
        <v>13444</v>
      </c>
      <c r="AY1262" s="77"/>
      <c r="AZ1262" s="82" t="s">
        <v>15804</v>
      </c>
      <c r="BA1262" s="82" t="s">
        <v>15804</v>
      </c>
      <c r="BB1262" s="82" t="s">
        <v>15804</v>
      </c>
      <c r="BC1262" s="82" t="s">
        <v>13444</v>
      </c>
      <c r="BD1262" s="77">
        <v>1738018896</v>
      </c>
      <c r="BE1262" s="77"/>
      <c r="BF1262" s="77"/>
      <c r="BG1262" s="77"/>
      <c r="BH1262" s="77"/>
      <c r="BI1262" s="77"/>
    </row>
    <row r="1263" spans="1:61" x14ac:dyDescent="0.25">
      <c r="A1263" s="62" t="s">
        <v>612</v>
      </c>
      <c r="B1263" s="62" t="s">
        <v>612</v>
      </c>
      <c r="C1263" s="63"/>
      <c r="D1263" s="64"/>
      <c r="E1263" s="65"/>
      <c r="F1263" s="66"/>
      <c r="G1263" s="63"/>
      <c r="H1263" s="67"/>
      <c r="I1263" s="68"/>
      <c r="J1263" s="68"/>
      <c r="K1263" s="32"/>
      <c r="L1263" s="75">
        <v>1263</v>
      </c>
      <c r="M1263" s="75"/>
      <c r="N1263" s="70"/>
      <c r="O1263" s="77" t="s">
        <v>179</v>
      </c>
      <c r="P1263" s="79">
        <v>44931.458460648151</v>
      </c>
      <c r="Q1263" s="77" t="s">
        <v>2356</v>
      </c>
      <c r="R1263" s="77">
        <v>0</v>
      </c>
      <c r="S1263" s="77">
        <v>0</v>
      </c>
      <c r="T1263" s="77">
        <v>0</v>
      </c>
      <c r="U1263" s="77">
        <v>0</v>
      </c>
      <c r="V1263" s="77">
        <v>32</v>
      </c>
      <c r="W1263" s="82" t="s">
        <v>4937</v>
      </c>
      <c r="X1263" s="77"/>
      <c r="Y1263" s="77"/>
      <c r="Z1263" s="77"/>
      <c r="AA1263" s="77" t="s">
        <v>6941</v>
      </c>
      <c r="AB1263" s="77" t="s">
        <v>7696</v>
      </c>
      <c r="AC1263" s="82" t="s">
        <v>7716</v>
      </c>
      <c r="AD1263" s="77" t="s">
        <v>7745</v>
      </c>
      <c r="AE1263" s="80" t="str">
        <f>HYPERLINK("https://twitter.com/onilgroup/status/1610954306324254721")</f>
        <v>https://twitter.com/onilgroup/status/1610954306324254721</v>
      </c>
      <c r="AF1263" s="79">
        <v>44931.458460648151</v>
      </c>
      <c r="AG1263" s="85">
        <v>44931</v>
      </c>
      <c r="AH1263" s="82" t="s">
        <v>8884</v>
      </c>
      <c r="AI1263" s="77" t="b">
        <v>0</v>
      </c>
      <c r="AJ1263" s="77"/>
      <c r="AK1263" s="77"/>
      <c r="AL1263" s="77"/>
      <c r="AM1263" s="77"/>
      <c r="AN1263" s="77"/>
      <c r="AO1263" s="77"/>
      <c r="AP1263" s="77"/>
      <c r="AQ1263" s="77" t="s">
        <v>11448</v>
      </c>
      <c r="AR1263" s="77"/>
      <c r="AS1263" s="77"/>
      <c r="AT1263" s="77"/>
      <c r="AU1263" s="77"/>
      <c r="AV1263" s="80" t="str">
        <f>HYPERLINK("https://pbs.twimg.com/media/FltCZ4wWAAATRcl.jpg")</f>
        <v>https://pbs.twimg.com/media/FltCZ4wWAAATRcl.jpg</v>
      </c>
      <c r="AW1263" s="82" t="s">
        <v>13445</v>
      </c>
      <c r="AX1263" s="82" t="s">
        <v>13445</v>
      </c>
      <c r="AY1263" s="77"/>
      <c r="AZ1263" s="82" t="s">
        <v>15804</v>
      </c>
      <c r="BA1263" s="82" t="s">
        <v>15804</v>
      </c>
      <c r="BB1263" s="82" t="s">
        <v>15804</v>
      </c>
      <c r="BC1263" s="82" t="s">
        <v>13445</v>
      </c>
      <c r="BD1263" s="82" t="s">
        <v>16355</v>
      </c>
      <c r="BE1263" s="77"/>
      <c r="BF1263" s="77"/>
      <c r="BG1263" s="77"/>
      <c r="BH1263" s="77"/>
      <c r="BI1263" s="77"/>
    </row>
    <row r="1264" spans="1:61" x14ac:dyDescent="0.25">
      <c r="A1264" s="62" t="s">
        <v>612</v>
      </c>
      <c r="B1264" s="62" t="s">
        <v>612</v>
      </c>
      <c r="C1264" s="63"/>
      <c r="D1264" s="64"/>
      <c r="E1264" s="65"/>
      <c r="F1264" s="66"/>
      <c r="G1264" s="63"/>
      <c r="H1264" s="67"/>
      <c r="I1264" s="68"/>
      <c r="J1264" s="68"/>
      <c r="K1264" s="32"/>
      <c r="L1264" s="75">
        <v>1264</v>
      </c>
      <c r="M1264" s="75"/>
      <c r="N1264" s="70"/>
      <c r="O1264" s="77" t="s">
        <v>179</v>
      </c>
      <c r="P1264" s="79">
        <v>44944.598333333335</v>
      </c>
      <c r="Q1264" s="77" t="s">
        <v>2357</v>
      </c>
      <c r="R1264" s="77">
        <v>0</v>
      </c>
      <c r="S1264" s="77">
        <v>1</v>
      </c>
      <c r="T1264" s="77">
        <v>0</v>
      </c>
      <c r="U1264" s="77">
        <v>0</v>
      </c>
      <c r="V1264" s="77">
        <v>51</v>
      </c>
      <c r="W1264" s="82" t="s">
        <v>4938</v>
      </c>
      <c r="X1264" s="77"/>
      <c r="Y1264" s="77"/>
      <c r="Z1264" s="77"/>
      <c r="AA1264" s="77" t="s">
        <v>6942</v>
      </c>
      <c r="AB1264" s="77" t="s">
        <v>7696</v>
      </c>
      <c r="AC1264" s="82" t="s">
        <v>7706</v>
      </c>
      <c r="AD1264" s="77" t="s">
        <v>7745</v>
      </c>
      <c r="AE1264" s="80" t="str">
        <f>HYPERLINK("https://twitter.com/onilgroup/status/1615716037865148416")</f>
        <v>https://twitter.com/onilgroup/status/1615716037865148416</v>
      </c>
      <c r="AF1264" s="79">
        <v>44944.598333333335</v>
      </c>
      <c r="AG1264" s="85">
        <v>44944</v>
      </c>
      <c r="AH1264" s="82" t="s">
        <v>8885</v>
      </c>
      <c r="AI1264" s="77" t="b">
        <v>0</v>
      </c>
      <c r="AJ1264" s="77"/>
      <c r="AK1264" s="77"/>
      <c r="AL1264" s="77"/>
      <c r="AM1264" s="77"/>
      <c r="AN1264" s="77"/>
      <c r="AO1264" s="77"/>
      <c r="AP1264" s="77"/>
      <c r="AQ1264" s="77" t="s">
        <v>11449</v>
      </c>
      <c r="AR1264" s="77"/>
      <c r="AS1264" s="77"/>
      <c r="AT1264" s="77"/>
      <c r="AU1264" s="77"/>
      <c r="AV1264" s="80" t="str">
        <f>HYPERLINK("https://pbs.twimg.com/media/FmwsltBXkAEDe9g.jpg")</f>
        <v>https://pbs.twimg.com/media/FmwsltBXkAEDe9g.jpg</v>
      </c>
      <c r="AW1264" s="82" t="s">
        <v>13446</v>
      </c>
      <c r="AX1264" s="82" t="s">
        <v>13446</v>
      </c>
      <c r="AY1264" s="77"/>
      <c r="AZ1264" s="82" t="s">
        <v>15804</v>
      </c>
      <c r="BA1264" s="82" t="s">
        <v>15804</v>
      </c>
      <c r="BB1264" s="82" t="s">
        <v>15804</v>
      </c>
      <c r="BC1264" s="82" t="s">
        <v>13446</v>
      </c>
      <c r="BD1264" s="82" t="s">
        <v>16355</v>
      </c>
      <c r="BE1264" s="77"/>
      <c r="BF1264" s="77"/>
      <c r="BG1264" s="77"/>
      <c r="BH1264" s="77"/>
      <c r="BI1264" s="77"/>
    </row>
    <row r="1265" spans="1:61" x14ac:dyDescent="0.25">
      <c r="A1265" s="62" t="s">
        <v>612</v>
      </c>
      <c r="B1265" s="62" t="s">
        <v>612</v>
      </c>
      <c r="C1265" s="63"/>
      <c r="D1265" s="64"/>
      <c r="E1265" s="65"/>
      <c r="F1265" s="66"/>
      <c r="G1265" s="63"/>
      <c r="H1265" s="67"/>
      <c r="I1265" s="68"/>
      <c r="J1265" s="68"/>
      <c r="K1265" s="32"/>
      <c r="L1265" s="75">
        <v>1265</v>
      </c>
      <c r="M1265" s="75"/>
      <c r="N1265" s="70"/>
      <c r="O1265" s="77" t="s">
        <v>179</v>
      </c>
      <c r="P1265" s="79">
        <v>45016.803298611114</v>
      </c>
      <c r="Q1265" s="77" t="s">
        <v>2358</v>
      </c>
      <c r="R1265" s="77">
        <v>0</v>
      </c>
      <c r="S1265" s="77">
        <v>0</v>
      </c>
      <c r="T1265" s="77">
        <v>0</v>
      </c>
      <c r="U1265" s="77">
        <v>0</v>
      </c>
      <c r="V1265" s="77">
        <v>91</v>
      </c>
      <c r="W1265" s="82" t="s">
        <v>4939</v>
      </c>
      <c r="X1265" s="80" t="str">
        <f>HYPERLINK("https://youtu.be/VqUBOW_EDYc")</f>
        <v>https://youtu.be/VqUBOW_EDYc</v>
      </c>
      <c r="Y1265" s="77" t="s">
        <v>6003</v>
      </c>
      <c r="Z1265" s="77"/>
      <c r="AA1265" s="77" t="s">
        <v>6943</v>
      </c>
      <c r="AB1265" s="77" t="s">
        <v>7696</v>
      </c>
      <c r="AC1265" s="82" t="s">
        <v>7706</v>
      </c>
      <c r="AD1265" s="77" t="s">
        <v>7745</v>
      </c>
      <c r="AE1265" s="80" t="str">
        <f>HYPERLINK("https://twitter.com/onilgroup/status/1641882241969147922")</f>
        <v>https://twitter.com/onilgroup/status/1641882241969147922</v>
      </c>
      <c r="AF1265" s="79">
        <v>45016.803298611114</v>
      </c>
      <c r="AG1265" s="85">
        <v>45016</v>
      </c>
      <c r="AH1265" s="82" t="s">
        <v>8886</v>
      </c>
      <c r="AI1265" s="77" t="b">
        <v>0</v>
      </c>
      <c r="AJ1265" s="77"/>
      <c r="AK1265" s="77"/>
      <c r="AL1265" s="77"/>
      <c r="AM1265" s="77"/>
      <c r="AN1265" s="77"/>
      <c r="AO1265" s="77"/>
      <c r="AP1265" s="77"/>
      <c r="AQ1265" s="77" t="s">
        <v>11450</v>
      </c>
      <c r="AR1265" s="77"/>
      <c r="AS1265" s="77"/>
      <c r="AT1265" s="77"/>
      <c r="AU1265" s="77"/>
      <c r="AV1265" s="80" t="str">
        <f>HYPERLINK("https://pbs.twimg.com/media/Fski90JXgAIlwUq.jpg")</f>
        <v>https://pbs.twimg.com/media/Fski90JXgAIlwUq.jpg</v>
      </c>
      <c r="AW1265" s="82" t="s">
        <v>13447</v>
      </c>
      <c r="AX1265" s="82" t="s">
        <v>13447</v>
      </c>
      <c r="AY1265" s="77"/>
      <c r="AZ1265" s="82" t="s">
        <v>15804</v>
      </c>
      <c r="BA1265" s="82" t="s">
        <v>15804</v>
      </c>
      <c r="BB1265" s="82" t="s">
        <v>15804</v>
      </c>
      <c r="BC1265" s="82" t="s">
        <v>13447</v>
      </c>
      <c r="BD1265" s="82" t="s">
        <v>16355</v>
      </c>
      <c r="BE1265" s="77"/>
      <c r="BF1265" s="77"/>
      <c r="BG1265" s="77"/>
      <c r="BH1265" s="77"/>
      <c r="BI1265" s="77"/>
    </row>
    <row r="1266" spans="1:61" x14ac:dyDescent="0.25">
      <c r="A1266" s="62" t="s">
        <v>612</v>
      </c>
      <c r="B1266" s="62" t="s">
        <v>612</v>
      </c>
      <c r="C1266" s="63"/>
      <c r="D1266" s="64"/>
      <c r="E1266" s="65"/>
      <c r="F1266" s="66"/>
      <c r="G1266" s="63"/>
      <c r="H1266" s="67"/>
      <c r="I1266" s="68"/>
      <c r="J1266" s="68"/>
      <c r="K1266" s="32"/>
      <c r="L1266" s="75">
        <v>1266</v>
      </c>
      <c r="M1266" s="75"/>
      <c r="N1266" s="70"/>
      <c r="O1266" s="77" t="s">
        <v>179</v>
      </c>
      <c r="P1266" s="79">
        <v>44998.497986111113</v>
      </c>
      <c r="Q1266" s="77" t="s">
        <v>2359</v>
      </c>
      <c r="R1266" s="77">
        <v>0</v>
      </c>
      <c r="S1266" s="77">
        <v>0</v>
      </c>
      <c r="T1266" s="77">
        <v>0</v>
      </c>
      <c r="U1266" s="77">
        <v>0</v>
      </c>
      <c r="V1266" s="77">
        <v>73</v>
      </c>
      <c r="W1266" s="82" t="s">
        <v>4940</v>
      </c>
      <c r="X1266" s="77"/>
      <c r="Y1266" s="77"/>
      <c r="Z1266" s="77"/>
      <c r="AA1266" s="77" t="s">
        <v>6944</v>
      </c>
      <c r="AB1266" s="77" t="s">
        <v>7696</v>
      </c>
      <c r="AC1266" s="82" t="s">
        <v>7706</v>
      </c>
      <c r="AD1266" s="77" t="s">
        <v>7745</v>
      </c>
      <c r="AE1266" s="80" t="str">
        <f>HYPERLINK("https://twitter.com/onilgroup/status/1635248618541289472")</f>
        <v>https://twitter.com/onilgroup/status/1635248618541289472</v>
      </c>
      <c r="AF1266" s="79">
        <v>44998.497986111113</v>
      </c>
      <c r="AG1266" s="85">
        <v>44998</v>
      </c>
      <c r="AH1266" s="82" t="s">
        <v>8887</v>
      </c>
      <c r="AI1266" s="77" t="b">
        <v>0</v>
      </c>
      <c r="AJ1266" s="77"/>
      <c r="AK1266" s="77"/>
      <c r="AL1266" s="77"/>
      <c r="AM1266" s="77"/>
      <c r="AN1266" s="77"/>
      <c r="AO1266" s="77"/>
      <c r="AP1266" s="77"/>
      <c r="AQ1266" s="77" t="s">
        <v>11451</v>
      </c>
      <c r="AR1266" s="77"/>
      <c r="AS1266" s="77"/>
      <c r="AT1266" s="77"/>
      <c r="AU1266" s="77"/>
      <c r="AV1266" s="80" t="str">
        <f>HYPERLINK("https://pbs.twimg.com/media/FrGRvXaWAAIHyqf.jpg")</f>
        <v>https://pbs.twimg.com/media/FrGRvXaWAAIHyqf.jpg</v>
      </c>
      <c r="AW1266" s="82" t="s">
        <v>13448</v>
      </c>
      <c r="AX1266" s="82" t="s">
        <v>13448</v>
      </c>
      <c r="AY1266" s="77"/>
      <c r="AZ1266" s="82" t="s">
        <v>15804</v>
      </c>
      <c r="BA1266" s="82" t="s">
        <v>15804</v>
      </c>
      <c r="BB1266" s="82" t="s">
        <v>15804</v>
      </c>
      <c r="BC1266" s="82" t="s">
        <v>13448</v>
      </c>
      <c r="BD1266" s="82" t="s">
        <v>16355</v>
      </c>
      <c r="BE1266" s="77"/>
      <c r="BF1266" s="77"/>
      <c r="BG1266" s="77"/>
      <c r="BH1266" s="77"/>
      <c r="BI1266" s="77"/>
    </row>
    <row r="1267" spans="1:61" x14ac:dyDescent="0.25">
      <c r="A1267" s="62" t="s">
        <v>612</v>
      </c>
      <c r="B1267" s="62" t="s">
        <v>612</v>
      </c>
      <c r="C1267" s="63"/>
      <c r="D1267" s="64"/>
      <c r="E1267" s="65"/>
      <c r="F1267" s="66"/>
      <c r="G1267" s="63"/>
      <c r="H1267" s="67"/>
      <c r="I1267" s="68"/>
      <c r="J1267" s="68"/>
      <c r="K1267" s="32"/>
      <c r="L1267" s="75">
        <v>1267</v>
      </c>
      <c r="M1267" s="75"/>
      <c r="N1267" s="70"/>
      <c r="O1267" s="77" t="s">
        <v>179</v>
      </c>
      <c r="P1267" s="79">
        <v>44979.560381944444</v>
      </c>
      <c r="Q1267" s="77" t="s">
        <v>2360</v>
      </c>
      <c r="R1267" s="77">
        <v>0</v>
      </c>
      <c r="S1267" s="77">
        <v>0</v>
      </c>
      <c r="T1267" s="77">
        <v>0</v>
      </c>
      <c r="U1267" s="77">
        <v>0</v>
      </c>
      <c r="V1267" s="77">
        <v>64</v>
      </c>
      <c r="W1267" s="82" t="s">
        <v>4941</v>
      </c>
      <c r="X1267" s="77"/>
      <c r="Y1267" s="77"/>
      <c r="Z1267" s="77"/>
      <c r="AA1267" s="77" t="s">
        <v>6945</v>
      </c>
      <c r="AB1267" s="77" t="s">
        <v>7700</v>
      </c>
      <c r="AC1267" s="82" t="s">
        <v>7706</v>
      </c>
      <c r="AD1267" s="77" t="s">
        <v>7745</v>
      </c>
      <c r="AE1267" s="80" t="str">
        <f>HYPERLINK("https://twitter.com/onilgroup/status/1628385859950071811")</f>
        <v>https://twitter.com/onilgroup/status/1628385859950071811</v>
      </c>
      <c r="AF1267" s="79">
        <v>44979.560381944444</v>
      </c>
      <c r="AG1267" s="85">
        <v>44979</v>
      </c>
      <c r="AH1267" s="82" t="s">
        <v>8888</v>
      </c>
      <c r="AI1267" s="77" t="b">
        <v>0</v>
      </c>
      <c r="AJ1267" s="77"/>
      <c r="AK1267" s="77"/>
      <c r="AL1267" s="77"/>
      <c r="AM1267" s="77"/>
      <c r="AN1267" s="77"/>
      <c r="AO1267" s="77"/>
      <c r="AP1267" s="77"/>
      <c r="AQ1267" s="77" t="s">
        <v>11452</v>
      </c>
      <c r="AR1267" s="77"/>
      <c r="AS1267" s="77"/>
      <c r="AT1267" s="77"/>
      <c r="AU1267" s="77"/>
      <c r="AV1267" s="80" t="str">
        <f>HYPERLINK("https://pbs.twimg.com/media/FpkwTEdWAAElr__.jpg")</f>
        <v>https://pbs.twimg.com/media/FpkwTEdWAAElr__.jpg</v>
      </c>
      <c r="AW1267" s="82" t="s">
        <v>13449</v>
      </c>
      <c r="AX1267" s="82" t="s">
        <v>13449</v>
      </c>
      <c r="AY1267" s="77"/>
      <c r="AZ1267" s="82" t="s">
        <v>15804</v>
      </c>
      <c r="BA1267" s="82" t="s">
        <v>15804</v>
      </c>
      <c r="BB1267" s="82" t="s">
        <v>15804</v>
      </c>
      <c r="BC1267" s="82" t="s">
        <v>13449</v>
      </c>
      <c r="BD1267" s="82" t="s">
        <v>16355</v>
      </c>
      <c r="BE1267" s="77"/>
      <c r="BF1267" s="77"/>
      <c r="BG1267" s="77"/>
      <c r="BH1267" s="77"/>
      <c r="BI1267" s="77"/>
    </row>
    <row r="1268" spans="1:61" x14ac:dyDescent="0.25">
      <c r="A1268" s="62" t="s">
        <v>613</v>
      </c>
      <c r="B1268" s="62" t="s">
        <v>1087</v>
      </c>
      <c r="C1268" s="63"/>
      <c r="D1268" s="64"/>
      <c r="E1268" s="65"/>
      <c r="F1268" s="66"/>
      <c r="G1268" s="63"/>
      <c r="H1268" s="67"/>
      <c r="I1268" s="68"/>
      <c r="J1268" s="68"/>
      <c r="K1268" s="32"/>
      <c r="L1268" s="75">
        <v>1268</v>
      </c>
      <c r="M1268" s="75"/>
      <c r="N1268" s="70"/>
      <c r="O1268" s="77" t="s">
        <v>1133</v>
      </c>
      <c r="P1268" s="79">
        <v>45132.639386574076</v>
      </c>
      <c r="Q1268" s="77" t="s">
        <v>2361</v>
      </c>
      <c r="R1268" s="77">
        <v>3</v>
      </c>
      <c r="S1268" s="77">
        <v>3</v>
      </c>
      <c r="T1268" s="77">
        <v>0</v>
      </c>
      <c r="U1268" s="77">
        <v>0</v>
      </c>
      <c r="V1268" s="77">
        <v>1432</v>
      </c>
      <c r="W1268" s="82" t="s">
        <v>4942</v>
      </c>
      <c r="X1268" s="77"/>
      <c r="Y1268" s="77"/>
      <c r="Z1268" s="77" t="s">
        <v>1087</v>
      </c>
      <c r="AA1268" s="77" t="s">
        <v>6946</v>
      </c>
      <c r="AB1268" s="77" t="s">
        <v>7696</v>
      </c>
      <c r="AC1268" s="82" t="s">
        <v>7706</v>
      </c>
      <c r="AD1268" s="77" t="s">
        <v>7745</v>
      </c>
      <c r="AE1268" s="80" t="str">
        <f>HYPERLINK("https://twitter.com/rankiabrasil/status/1683859833319985152")</f>
        <v>https://twitter.com/rankiabrasil/status/1683859833319985152</v>
      </c>
      <c r="AF1268" s="79">
        <v>45132.639386574076</v>
      </c>
      <c r="AG1268" s="85">
        <v>45132</v>
      </c>
      <c r="AH1268" s="82" t="s">
        <v>8889</v>
      </c>
      <c r="AI1268" s="77" t="b">
        <v>0</v>
      </c>
      <c r="AJ1268" s="77"/>
      <c r="AK1268" s="77"/>
      <c r="AL1268" s="77"/>
      <c r="AM1268" s="77"/>
      <c r="AN1268" s="77"/>
      <c r="AO1268" s="77"/>
      <c r="AP1268" s="77"/>
      <c r="AQ1268" s="77" t="s">
        <v>11453</v>
      </c>
      <c r="AR1268" s="77"/>
      <c r="AS1268" s="77"/>
      <c r="AT1268" s="77"/>
      <c r="AU1268" s="77"/>
      <c r="AV1268" s="80" t="str">
        <f>HYPERLINK("https://pbs.twimg.com/media/F15FjZMXsAA2m6w.jpg")</f>
        <v>https://pbs.twimg.com/media/F15FjZMXsAA2m6w.jpg</v>
      </c>
      <c r="AW1268" s="82" t="s">
        <v>13450</v>
      </c>
      <c r="AX1268" s="82" t="s">
        <v>13450</v>
      </c>
      <c r="AY1268" s="77"/>
      <c r="AZ1268" s="82" t="s">
        <v>15804</v>
      </c>
      <c r="BA1268" s="82" t="s">
        <v>15804</v>
      </c>
      <c r="BB1268" s="82" t="s">
        <v>15804</v>
      </c>
      <c r="BC1268" s="82" t="s">
        <v>13450</v>
      </c>
      <c r="BD1268" s="82" t="s">
        <v>16356</v>
      </c>
      <c r="BE1268" s="77"/>
      <c r="BF1268" s="77"/>
      <c r="BG1268" s="77"/>
      <c r="BH1268" s="77"/>
      <c r="BI1268" s="77"/>
    </row>
    <row r="1269" spans="1:61" x14ac:dyDescent="0.25">
      <c r="A1269" s="62" t="s">
        <v>614</v>
      </c>
      <c r="B1269" s="62" t="s">
        <v>614</v>
      </c>
      <c r="C1269" s="63"/>
      <c r="D1269" s="64"/>
      <c r="E1269" s="65"/>
      <c r="F1269" s="66"/>
      <c r="G1269" s="63"/>
      <c r="H1269" s="67"/>
      <c r="I1269" s="68"/>
      <c r="J1269" s="68"/>
      <c r="K1269" s="32"/>
      <c r="L1269" s="75">
        <v>1269</v>
      </c>
      <c r="M1269" s="75"/>
      <c r="N1269" s="70"/>
      <c r="O1269" s="77" t="s">
        <v>1132</v>
      </c>
      <c r="P1269" s="79">
        <v>45064.646249999998</v>
      </c>
      <c r="Q1269" s="77" t="s">
        <v>2362</v>
      </c>
      <c r="R1269" s="77">
        <v>0</v>
      </c>
      <c r="S1269" s="77">
        <v>0</v>
      </c>
      <c r="T1269" s="77">
        <v>0</v>
      </c>
      <c r="U1269" s="77">
        <v>0</v>
      </c>
      <c r="V1269" s="77">
        <v>29</v>
      </c>
      <c r="W1269" s="82" t="s">
        <v>4114</v>
      </c>
      <c r="X1269" s="80" t="str">
        <f>HYPERLINK("http://seligafinancas.institutosicoob.org.br")</f>
        <v>http://seligafinancas.institutosicoob.org.br</v>
      </c>
      <c r="Y1269" s="77" t="s">
        <v>6007</v>
      </c>
      <c r="Z1269" s="77"/>
      <c r="AA1269" s="77"/>
      <c r="AB1269" s="77"/>
      <c r="AC1269" s="82" t="s">
        <v>7706</v>
      </c>
      <c r="AD1269" s="77" t="s">
        <v>7745</v>
      </c>
      <c r="AE1269" s="80" t="str">
        <f>HYPERLINK("https://twitter.com/sicoobfluminen/status/1659219947078205441")</f>
        <v>https://twitter.com/sicoobfluminen/status/1659219947078205441</v>
      </c>
      <c r="AF1269" s="79">
        <v>45064.646249999998</v>
      </c>
      <c r="AG1269" s="85">
        <v>45064</v>
      </c>
      <c r="AH1269" s="82" t="s">
        <v>8890</v>
      </c>
      <c r="AI1269" s="77" t="b">
        <v>0</v>
      </c>
      <c r="AJ1269" s="77"/>
      <c r="AK1269" s="77"/>
      <c r="AL1269" s="77"/>
      <c r="AM1269" s="77"/>
      <c r="AN1269" s="77"/>
      <c r="AO1269" s="77"/>
      <c r="AP1269" s="77"/>
      <c r="AQ1269" s="77"/>
      <c r="AR1269" s="77"/>
      <c r="AS1269" s="77"/>
      <c r="AT1269" s="77"/>
      <c r="AU1269" s="77"/>
      <c r="AV1269" s="80" t="str">
        <f>HYPERLINK("https://pbs.twimg.com/profile_images/1438913755694444551/r9UXIqAH_normal.png")</f>
        <v>https://pbs.twimg.com/profile_images/1438913755694444551/r9UXIqAH_normal.png</v>
      </c>
      <c r="AW1269" s="82" t="s">
        <v>13451</v>
      </c>
      <c r="AX1269" s="82" t="s">
        <v>15320</v>
      </c>
      <c r="AY1269" s="82" t="s">
        <v>15737</v>
      </c>
      <c r="AZ1269" s="82" t="s">
        <v>15320</v>
      </c>
      <c r="BA1269" s="82" t="s">
        <v>15804</v>
      </c>
      <c r="BB1269" s="82" t="s">
        <v>15804</v>
      </c>
      <c r="BC1269" s="82" t="s">
        <v>15320</v>
      </c>
      <c r="BD1269" s="82" t="s">
        <v>15737</v>
      </c>
      <c r="BE1269" s="77"/>
      <c r="BF1269" s="77"/>
      <c r="BG1269" s="77"/>
      <c r="BH1269" s="77"/>
      <c r="BI1269" s="77"/>
    </row>
    <row r="1270" spans="1:61" x14ac:dyDescent="0.25">
      <c r="A1270" s="62" t="s">
        <v>615</v>
      </c>
      <c r="B1270" s="62" t="s">
        <v>615</v>
      </c>
      <c r="C1270" s="63"/>
      <c r="D1270" s="64"/>
      <c r="E1270" s="65"/>
      <c r="F1270" s="66"/>
      <c r="G1270" s="63"/>
      <c r="H1270" s="67"/>
      <c r="I1270" s="68"/>
      <c r="J1270" s="68"/>
      <c r="K1270" s="32"/>
      <c r="L1270" s="75">
        <v>1270</v>
      </c>
      <c r="M1270" s="75"/>
      <c r="N1270" s="70"/>
      <c r="O1270" s="77" t="s">
        <v>179</v>
      </c>
      <c r="P1270" s="79">
        <v>44945.528009259258</v>
      </c>
      <c r="Q1270" s="77" t="s">
        <v>2363</v>
      </c>
      <c r="R1270" s="77">
        <v>0</v>
      </c>
      <c r="S1270" s="77">
        <v>0</v>
      </c>
      <c r="T1270" s="77">
        <v>0</v>
      </c>
      <c r="U1270" s="77">
        <v>0</v>
      </c>
      <c r="V1270" s="77">
        <v>30</v>
      </c>
      <c r="W1270" s="82" t="s">
        <v>4943</v>
      </c>
      <c r="X1270" s="77"/>
      <c r="Y1270" s="77"/>
      <c r="Z1270" s="77"/>
      <c r="AA1270" s="77" t="s">
        <v>6947</v>
      </c>
      <c r="AB1270" s="77" t="s">
        <v>7696</v>
      </c>
      <c r="AC1270" s="82" t="s">
        <v>7705</v>
      </c>
      <c r="AD1270" s="77" t="s">
        <v>7745</v>
      </c>
      <c r="AE1270" s="80" t="str">
        <f>HYPERLINK("https://twitter.com/edufinanceiramz/status/1616052938912444416")</f>
        <v>https://twitter.com/edufinanceiramz/status/1616052938912444416</v>
      </c>
      <c r="AF1270" s="79">
        <v>44945.528009259258</v>
      </c>
      <c r="AG1270" s="85">
        <v>44945</v>
      </c>
      <c r="AH1270" s="82" t="s">
        <v>8891</v>
      </c>
      <c r="AI1270" s="77" t="b">
        <v>0</v>
      </c>
      <c r="AJ1270" s="77"/>
      <c r="AK1270" s="77"/>
      <c r="AL1270" s="77"/>
      <c r="AM1270" s="77"/>
      <c r="AN1270" s="77"/>
      <c r="AO1270" s="77"/>
      <c r="AP1270" s="77"/>
      <c r="AQ1270" s="77" t="s">
        <v>11454</v>
      </c>
      <c r="AR1270" s="77"/>
      <c r="AS1270" s="77"/>
      <c r="AT1270" s="77"/>
      <c r="AU1270" s="77"/>
      <c r="AV1270" s="80" t="str">
        <f>HYPERLINK("https://pbs.twimg.com/media/Fm1fk79XgAAMn6m.jpg")</f>
        <v>https://pbs.twimg.com/media/Fm1fk79XgAAMn6m.jpg</v>
      </c>
      <c r="AW1270" s="82" t="s">
        <v>13452</v>
      </c>
      <c r="AX1270" s="82" t="s">
        <v>13452</v>
      </c>
      <c r="AY1270" s="77"/>
      <c r="AZ1270" s="82" t="s">
        <v>15804</v>
      </c>
      <c r="BA1270" s="82" t="s">
        <v>15804</v>
      </c>
      <c r="BB1270" s="82" t="s">
        <v>15804</v>
      </c>
      <c r="BC1270" s="82" t="s">
        <v>13452</v>
      </c>
      <c r="BD1270" s="82" t="s">
        <v>15738</v>
      </c>
      <c r="BE1270" s="77"/>
      <c r="BF1270" s="77"/>
      <c r="BG1270" s="77"/>
      <c r="BH1270" s="77"/>
      <c r="BI1270" s="77"/>
    </row>
    <row r="1271" spans="1:61" x14ac:dyDescent="0.25">
      <c r="A1271" s="62" t="s">
        <v>615</v>
      </c>
      <c r="B1271" s="62" t="s">
        <v>615</v>
      </c>
      <c r="C1271" s="63"/>
      <c r="D1271" s="64"/>
      <c r="E1271" s="65"/>
      <c r="F1271" s="66"/>
      <c r="G1271" s="63"/>
      <c r="H1271" s="67"/>
      <c r="I1271" s="68"/>
      <c r="J1271" s="68"/>
      <c r="K1271" s="32"/>
      <c r="L1271" s="75">
        <v>1271</v>
      </c>
      <c r="M1271" s="75"/>
      <c r="N1271" s="70"/>
      <c r="O1271" s="77" t="s">
        <v>179</v>
      </c>
      <c r="P1271" s="79">
        <v>44931.435590277775</v>
      </c>
      <c r="Q1271" s="77" t="s">
        <v>2364</v>
      </c>
      <c r="R1271" s="77">
        <v>0</v>
      </c>
      <c r="S1271" s="77">
        <v>0</v>
      </c>
      <c r="T1271" s="77">
        <v>0</v>
      </c>
      <c r="U1271" s="77">
        <v>0</v>
      </c>
      <c r="V1271" s="77">
        <v>73</v>
      </c>
      <c r="W1271" s="82" t="s">
        <v>4944</v>
      </c>
      <c r="X1271" s="77"/>
      <c r="Y1271" s="77"/>
      <c r="Z1271" s="77"/>
      <c r="AA1271" s="77" t="s">
        <v>6948</v>
      </c>
      <c r="AB1271" s="77" t="s">
        <v>7696</v>
      </c>
      <c r="AC1271" s="82" t="s">
        <v>7705</v>
      </c>
      <c r="AD1271" s="77" t="s">
        <v>7745</v>
      </c>
      <c r="AE1271" s="80" t="str">
        <f>HYPERLINK("https://twitter.com/edufinanceiramz/status/1610946019721715714")</f>
        <v>https://twitter.com/edufinanceiramz/status/1610946019721715714</v>
      </c>
      <c r="AF1271" s="79">
        <v>44931.435590277775</v>
      </c>
      <c r="AG1271" s="85">
        <v>44931</v>
      </c>
      <c r="AH1271" s="82" t="s">
        <v>8892</v>
      </c>
      <c r="AI1271" s="77" t="b">
        <v>0</v>
      </c>
      <c r="AJ1271" s="77"/>
      <c r="AK1271" s="77"/>
      <c r="AL1271" s="77"/>
      <c r="AM1271" s="77"/>
      <c r="AN1271" s="77"/>
      <c r="AO1271" s="77"/>
      <c r="AP1271" s="77"/>
      <c r="AQ1271" s="77" t="s">
        <v>11455</v>
      </c>
      <c r="AR1271" s="77"/>
      <c r="AS1271" s="77"/>
      <c r="AT1271" s="77"/>
      <c r="AU1271" s="77"/>
      <c r="AV1271" s="80" t="str">
        <f>HYPERLINK("https://pbs.twimg.com/media/Fls63E6XwAIOJ4s.jpg")</f>
        <v>https://pbs.twimg.com/media/Fls63E6XwAIOJ4s.jpg</v>
      </c>
      <c r="AW1271" s="82" t="s">
        <v>13453</v>
      </c>
      <c r="AX1271" s="82" t="s">
        <v>13453</v>
      </c>
      <c r="AY1271" s="77"/>
      <c r="AZ1271" s="82" t="s">
        <v>15804</v>
      </c>
      <c r="BA1271" s="82" t="s">
        <v>15804</v>
      </c>
      <c r="BB1271" s="82" t="s">
        <v>15804</v>
      </c>
      <c r="BC1271" s="82" t="s">
        <v>13453</v>
      </c>
      <c r="BD1271" s="82" t="s">
        <v>15738</v>
      </c>
      <c r="BE1271" s="77"/>
      <c r="BF1271" s="77"/>
      <c r="BG1271" s="77"/>
      <c r="BH1271" s="77"/>
      <c r="BI1271" s="77"/>
    </row>
    <row r="1272" spans="1:61" x14ac:dyDescent="0.25">
      <c r="A1272" s="62" t="s">
        <v>615</v>
      </c>
      <c r="B1272" s="62" t="s">
        <v>615</v>
      </c>
      <c r="C1272" s="63"/>
      <c r="D1272" s="64"/>
      <c r="E1272" s="65"/>
      <c r="F1272" s="66"/>
      <c r="G1272" s="63"/>
      <c r="H1272" s="67"/>
      <c r="I1272" s="68"/>
      <c r="J1272" s="68"/>
      <c r="K1272" s="32"/>
      <c r="L1272" s="75">
        <v>1272</v>
      </c>
      <c r="M1272" s="75"/>
      <c r="N1272" s="70"/>
      <c r="O1272" s="77" t="s">
        <v>179</v>
      </c>
      <c r="P1272" s="79">
        <v>45008.628125000003</v>
      </c>
      <c r="Q1272" s="77" t="s">
        <v>2365</v>
      </c>
      <c r="R1272" s="77">
        <v>0</v>
      </c>
      <c r="S1272" s="77">
        <v>0</v>
      </c>
      <c r="T1272" s="77">
        <v>1</v>
      </c>
      <c r="U1272" s="77">
        <v>0</v>
      </c>
      <c r="V1272" s="77">
        <v>57</v>
      </c>
      <c r="W1272" s="77"/>
      <c r="X1272" s="77"/>
      <c r="Y1272" s="77"/>
      <c r="Z1272" s="77"/>
      <c r="AA1272" s="77" t="s">
        <v>6949</v>
      </c>
      <c r="AB1272" s="77" t="s">
        <v>7700</v>
      </c>
      <c r="AC1272" s="82" t="s">
        <v>7705</v>
      </c>
      <c r="AD1272" s="77" t="s">
        <v>7745</v>
      </c>
      <c r="AE1272" s="80" t="str">
        <f>HYPERLINK("https://twitter.com/edufinanceiramz/status/1638919656642584577")</f>
        <v>https://twitter.com/edufinanceiramz/status/1638919656642584577</v>
      </c>
      <c r="AF1272" s="79">
        <v>45008.628125000003</v>
      </c>
      <c r="AG1272" s="85">
        <v>45008</v>
      </c>
      <c r="AH1272" s="82" t="s">
        <v>8893</v>
      </c>
      <c r="AI1272" s="77" t="b">
        <v>0</v>
      </c>
      <c r="AJ1272" s="77"/>
      <c r="AK1272" s="77"/>
      <c r="AL1272" s="77"/>
      <c r="AM1272" s="77"/>
      <c r="AN1272" s="77"/>
      <c r="AO1272" s="77"/>
      <c r="AP1272" s="77"/>
      <c r="AQ1272" s="77" t="s">
        <v>11456</v>
      </c>
      <c r="AR1272" s="77"/>
      <c r="AS1272" s="77"/>
      <c r="AT1272" s="77"/>
      <c r="AU1272" s="77"/>
      <c r="AV1272" s="80" t="str">
        <f>HYPERLINK("https://pbs.twimg.com/media/Fr6cvCJWIAQ_HJB.jpg")</f>
        <v>https://pbs.twimg.com/media/Fr6cvCJWIAQ_HJB.jpg</v>
      </c>
      <c r="AW1272" s="82" t="s">
        <v>13454</v>
      </c>
      <c r="AX1272" s="82" t="s">
        <v>13454</v>
      </c>
      <c r="AY1272" s="77"/>
      <c r="AZ1272" s="82" t="s">
        <v>15804</v>
      </c>
      <c r="BA1272" s="82" t="s">
        <v>15804</v>
      </c>
      <c r="BB1272" s="82" t="s">
        <v>15804</v>
      </c>
      <c r="BC1272" s="82" t="s">
        <v>13454</v>
      </c>
      <c r="BD1272" s="82" t="s">
        <v>15738</v>
      </c>
      <c r="BE1272" s="77"/>
      <c r="BF1272" s="77"/>
      <c r="BG1272" s="77"/>
      <c r="BH1272" s="77"/>
      <c r="BI1272" s="77"/>
    </row>
    <row r="1273" spans="1:61" x14ac:dyDescent="0.25">
      <c r="A1273" s="62" t="s">
        <v>615</v>
      </c>
      <c r="B1273" s="62" t="s">
        <v>615</v>
      </c>
      <c r="C1273" s="63"/>
      <c r="D1273" s="64"/>
      <c r="E1273" s="65"/>
      <c r="F1273" s="66"/>
      <c r="G1273" s="63"/>
      <c r="H1273" s="67"/>
      <c r="I1273" s="68"/>
      <c r="J1273" s="68"/>
      <c r="K1273" s="32"/>
      <c r="L1273" s="75">
        <v>1273</v>
      </c>
      <c r="M1273" s="75"/>
      <c r="N1273" s="70"/>
      <c r="O1273" s="77" t="s">
        <v>1132</v>
      </c>
      <c r="P1273" s="79">
        <v>45008.625960648147</v>
      </c>
      <c r="Q1273" s="77" t="s">
        <v>2366</v>
      </c>
      <c r="R1273" s="77">
        <v>0</v>
      </c>
      <c r="S1273" s="77">
        <v>0</v>
      </c>
      <c r="T1273" s="77">
        <v>0</v>
      </c>
      <c r="U1273" s="77">
        <v>0</v>
      </c>
      <c r="V1273" s="77">
        <v>15</v>
      </c>
      <c r="W1273" s="82" t="s">
        <v>4945</v>
      </c>
      <c r="X1273" s="77"/>
      <c r="Y1273" s="77"/>
      <c r="Z1273" s="77"/>
      <c r="AA1273" s="77"/>
      <c r="AB1273" s="77"/>
      <c r="AC1273" s="82" t="s">
        <v>7705</v>
      </c>
      <c r="AD1273" s="77" t="s">
        <v>7745</v>
      </c>
      <c r="AE1273" s="80" t="str">
        <f>HYPERLINK("https://twitter.com/edufinanceiramz/status/1638918871196348417")</f>
        <v>https://twitter.com/edufinanceiramz/status/1638918871196348417</v>
      </c>
      <c r="AF1273" s="79">
        <v>45008.625960648147</v>
      </c>
      <c r="AG1273" s="85">
        <v>45008</v>
      </c>
      <c r="AH1273" s="82" t="s">
        <v>8894</v>
      </c>
      <c r="AI1273" s="77"/>
      <c r="AJ1273" s="77"/>
      <c r="AK1273" s="77"/>
      <c r="AL1273" s="77"/>
      <c r="AM1273" s="77"/>
      <c r="AN1273" s="77"/>
      <c r="AO1273" s="77"/>
      <c r="AP1273" s="77"/>
      <c r="AQ1273" s="77"/>
      <c r="AR1273" s="77"/>
      <c r="AS1273" s="77"/>
      <c r="AT1273" s="77"/>
      <c r="AU1273" s="77"/>
      <c r="AV1273" s="80" t="str">
        <f>HYPERLINK("https://pbs.twimg.com/profile_images/1610704280998101001/Evy_NOCG_normal.png")</f>
        <v>https://pbs.twimg.com/profile_images/1610704280998101001/Evy_NOCG_normal.png</v>
      </c>
      <c r="AW1273" s="82" t="s">
        <v>13455</v>
      </c>
      <c r="AX1273" s="82" t="s">
        <v>13456</v>
      </c>
      <c r="AY1273" s="82" t="s">
        <v>15738</v>
      </c>
      <c r="AZ1273" s="82" t="s">
        <v>13456</v>
      </c>
      <c r="BA1273" s="82" t="s">
        <v>15804</v>
      </c>
      <c r="BB1273" s="82" t="s">
        <v>15804</v>
      </c>
      <c r="BC1273" s="82" t="s">
        <v>13456</v>
      </c>
      <c r="BD1273" s="82" t="s">
        <v>15738</v>
      </c>
      <c r="BE1273" s="77"/>
      <c r="BF1273" s="77"/>
      <c r="BG1273" s="77"/>
      <c r="BH1273" s="77"/>
      <c r="BI1273" s="77"/>
    </row>
    <row r="1274" spans="1:61" x14ac:dyDescent="0.25">
      <c r="A1274" s="62" t="s">
        <v>615</v>
      </c>
      <c r="B1274" s="62" t="s">
        <v>615</v>
      </c>
      <c r="C1274" s="63"/>
      <c r="D1274" s="64"/>
      <c r="E1274" s="65"/>
      <c r="F1274" s="66"/>
      <c r="G1274" s="63"/>
      <c r="H1274" s="67"/>
      <c r="I1274" s="68"/>
      <c r="J1274" s="68"/>
      <c r="K1274" s="32"/>
      <c r="L1274" s="75">
        <v>1274</v>
      </c>
      <c r="M1274" s="75"/>
      <c r="N1274" s="70"/>
      <c r="O1274" s="77" t="s">
        <v>179</v>
      </c>
      <c r="P1274" s="79">
        <v>45008.625833333332</v>
      </c>
      <c r="Q1274" s="77" t="s">
        <v>2367</v>
      </c>
      <c r="R1274" s="77">
        <v>0</v>
      </c>
      <c r="S1274" s="77">
        <v>0</v>
      </c>
      <c r="T1274" s="77">
        <v>1</v>
      </c>
      <c r="U1274" s="77">
        <v>1</v>
      </c>
      <c r="V1274" s="77">
        <v>64</v>
      </c>
      <c r="W1274" s="77"/>
      <c r="X1274" s="77"/>
      <c r="Y1274" s="77"/>
      <c r="Z1274" s="77"/>
      <c r="AA1274" s="77" t="s">
        <v>6950</v>
      </c>
      <c r="AB1274" s="77" t="s">
        <v>7696</v>
      </c>
      <c r="AC1274" s="82" t="s">
        <v>7705</v>
      </c>
      <c r="AD1274" s="77" t="s">
        <v>7745</v>
      </c>
      <c r="AE1274" s="80" t="str">
        <f>HYPERLINK("https://twitter.com/edufinanceiramz/status/1638918825675481095")</f>
        <v>https://twitter.com/edufinanceiramz/status/1638918825675481095</v>
      </c>
      <c r="AF1274" s="79">
        <v>45008.625833333332</v>
      </c>
      <c r="AG1274" s="85">
        <v>45008</v>
      </c>
      <c r="AH1274" s="82" t="s">
        <v>8895</v>
      </c>
      <c r="AI1274" s="77" t="b">
        <v>0</v>
      </c>
      <c r="AJ1274" s="77"/>
      <c r="AK1274" s="77"/>
      <c r="AL1274" s="77"/>
      <c r="AM1274" s="77"/>
      <c r="AN1274" s="77"/>
      <c r="AO1274" s="77"/>
      <c r="AP1274" s="77"/>
      <c r="AQ1274" s="77" t="s">
        <v>11457</v>
      </c>
      <c r="AR1274" s="77"/>
      <c r="AS1274" s="77"/>
      <c r="AT1274" s="77"/>
      <c r="AU1274" s="77"/>
      <c r="AV1274" s="80" t="str">
        <f>HYPERLINK("https://pbs.twimg.com/media/Fr6b-tVWYAMPJjv.jpg")</f>
        <v>https://pbs.twimg.com/media/Fr6b-tVWYAMPJjv.jpg</v>
      </c>
      <c r="AW1274" s="82" t="s">
        <v>13456</v>
      </c>
      <c r="AX1274" s="82" t="s">
        <v>13456</v>
      </c>
      <c r="AY1274" s="77"/>
      <c r="AZ1274" s="82" t="s">
        <v>15804</v>
      </c>
      <c r="BA1274" s="82" t="s">
        <v>15804</v>
      </c>
      <c r="BB1274" s="82" t="s">
        <v>15804</v>
      </c>
      <c r="BC1274" s="82" t="s">
        <v>13456</v>
      </c>
      <c r="BD1274" s="82" t="s">
        <v>15738</v>
      </c>
      <c r="BE1274" s="77"/>
      <c r="BF1274" s="77"/>
      <c r="BG1274" s="77"/>
      <c r="BH1274" s="77"/>
      <c r="BI1274" s="77"/>
    </row>
    <row r="1275" spans="1:61" x14ac:dyDescent="0.25">
      <c r="A1275" s="62" t="s">
        <v>615</v>
      </c>
      <c r="B1275" s="62" t="s">
        <v>615</v>
      </c>
      <c r="C1275" s="63"/>
      <c r="D1275" s="64"/>
      <c r="E1275" s="65"/>
      <c r="F1275" s="66"/>
      <c r="G1275" s="63"/>
      <c r="H1275" s="67"/>
      <c r="I1275" s="68"/>
      <c r="J1275" s="68"/>
      <c r="K1275" s="32"/>
      <c r="L1275" s="75">
        <v>1275</v>
      </c>
      <c r="M1275" s="75"/>
      <c r="N1275" s="70"/>
      <c r="O1275" s="77" t="s">
        <v>1135</v>
      </c>
      <c r="P1275" s="79">
        <v>45041.494791666664</v>
      </c>
      <c r="Q1275" s="77" t="s">
        <v>2368</v>
      </c>
      <c r="R1275" s="77">
        <v>0</v>
      </c>
      <c r="S1275" s="77">
        <v>0</v>
      </c>
      <c r="T1275" s="77">
        <v>0</v>
      </c>
      <c r="U1275" s="77">
        <v>0</v>
      </c>
      <c r="V1275" s="77">
        <v>13</v>
      </c>
      <c r="W1275" s="82" t="s">
        <v>4946</v>
      </c>
      <c r="X1275" s="77"/>
      <c r="Y1275" s="77"/>
      <c r="Z1275" s="77"/>
      <c r="AA1275" s="77"/>
      <c r="AB1275" s="77"/>
      <c r="AC1275" s="82" t="s">
        <v>7705</v>
      </c>
      <c r="AD1275" s="77" t="s">
        <v>7745</v>
      </c>
      <c r="AE1275" s="80" t="str">
        <f>HYPERLINK("https://twitter.com/edufinanceiramz/status/1650830136206393346")</f>
        <v>https://twitter.com/edufinanceiramz/status/1650830136206393346</v>
      </c>
      <c r="AF1275" s="79">
        <v>45041.494791666664</v>
      </c>
      <c r="AG1275" s="85">
        <v>45041</v>
      </c>
      <c r="AH1275" s="82" t="s">
        <v>8896</v>
      </c>
      <c r="AI1275" s="77"/>
      <c r="AJ1275" s="77"/>
      <c r="AK1275" s="77"/>
      <c r="AL1275" s="77"/>
      <c r="AM1275" s="77"/>
      <c r="AN1275" s="77"/>
      <c r="AO1275" s="77"/>
      <c r="AP1275" s="77"/>
      <c r="AQ1275" s="77"/>
      <c r="AR1275" s="77"/>
      <c r="AS1275" s="77"/>
      <c r="AT1275" s="77"/>
      <c r="AU1275" s="77"/>
      <c r="AV1275" s="80" t="str">
        <f>HYPERLINK("https://pbs.twimg.com/profile_images/1610704280998101001/Evy_NOCG_normal.png")</f>
        <v>https://pbs.twimg.com/profile_images/1610704280998101001/Evy_NOCG_normal.png</v>
      </c>
      <c r="AW1275" s="82" t="s">
        <v>13457</v>
      </c>
      <c r="AX1275" s="82" t="s">
        <v>13457</v>
      </c>
      <c r="AY1275" s="77"/>
      <c r="AZ1275" s="82" t="s">
        <v>15804</v>
      </c>
      <c r="BA1275" s="82" t="s">
        <v>13456</v>
      </c>
      <c r="BB1275" s="82" t="s">
        <v>15804</v>
      </c>
      <c r="BC1275" s="82" t="s">
        <v>13456</v>
      </c>
      <c r="BD1275" s="82" t="s">
        <v>15738</v>
      </c>
      <c r="BE1275" s="77"/>
      <c r="BF1275" s="77"/>
      <c r="BG1275" s="77"/>
      <c r="BH1275" s="77"/>
      <c r="BI1275" s="77"/>
    </row>
    <row r="1276" spans="1:61" x14ac:dyDescent="0.25">
      <c r="A1276" s="62" t="s">
        <v>615</v>
      </c>
      <c r="B1276" s="62" t="s">
        <v>615</v>
      </c>
      <c r="C1276" s="63"/>
      <c r="D1276" s="64"/>
      <c r="E1276" s="65"/>
      <c r="F1276" s="66"/>
      <c r="G1276" s="63"/>
      <c r="H1276" s="67"/>
      <c r="I1276" s="68"/>
      <c r="J1276" s="68"/>
      <c r="K1276" s="32"/>
      <c r="L1276" s="75">
        <v>1276</v>
      </c>
      <c r="M1276" s="75"/>
      <c r="N1276" s="70"/>
      <c r="O1276" s="77" t="s">
        <v>179</v>
      </c>
      <c r="P1276" s="79">
        <v>44942.712453703702</v>
      </c>
      <c r="Q1276" s="77" t="s">
        <v>2369</v>
      </c>
      <c r="R1276" s="77">
        <v>0</v>
      </c>
      <c r="S1276" s="77">
        <v>0</v>
      </c>
      <c r="T1276" s="77">
        <v>0</v>
      </c>
      <c r="U1276" s="77">
        <v>0</v>
      </c>
      <c r="V1276" s="77">
        <v>51</v>
      </c>
      <c r="W1276" s="82" t="s">
        <v>4947</v>
      </c>
      <c r="X1276" s="77"/>
      <c r="Y1276" s="77"/>
      <c r="Z1276" s="77"/>
      <c r="AA1276" s="77" t="s">
        <v>6951</v>
      </c>
      <c r="AB1276" s="77" t="s">
        <v>7696</v>
      </c>
      <c r="AC1276" s="82" t="s">
        <v>7705</v>
      </c>
      <c r="AD1276" s="77" t="s">
        <v>7745</v>
      </c>
      <c r="AE1276" s="80" t="str">
        <f>HYPERLINK("https://twitter.com/edufinanceiramz/status/1615032619426512910")</f>
        <v>https://twitter.com/edufinanceiramz/status/1615032619426512910</v>
      </c>
      <c r="AF1276" s="79">
        <v>44942.712453703702</v>
      </c>
      <c r="AG1276" s="85">
        <v>44942</v>
      </c>
      <c r="AH1276" s="82" t="s">
        <v>8897</v>
      </c>
      <c r="AI1276" s="77" t="b">
        <v>0</v>
      </c>
      <c r="AJ1276" s="77"/>
      <c r="AK1276" s="77"/>
      <c r="AL1276" s="77"/>
      <c r="AM1276" s="77"/>
      <c r="AN1276" s="77"/>
      <c r="AO1276" s="77"/>
      <c r="AP1276" s="77"/>
      <c r="AQ1276" s="77" t="s">
        <v>11458</v>
      </c>
      <c r="AR1276" s="77"/>
      <c r="AS1276" s="77"/>
      <c r="AT1276" s="77"/>
      <c r="AU1276" s="77"/>
      <c r="AV1276" s="80" t="str">
        <f>HYPERLINK("https://pbs.twimg.com/media/Fmm_knVWAAYx0Sd.jpg")</f>
        <v>https://pbs.twimg.com/media/Fmm_knVWAAYx0Sd.jpg</v>
      </c>
      <c r="AW1276" s="82" t="s">
        <v>13458</v>
      </c>
      <c r="AX1276" s="82" t="s">
        <v>13458</v>
      </c>
      <c r="AY1276" s="77"/>
      <c r="AZ1276" s="82" t="s">
        <v>15804</v>
      </c>
      <c r="BA1276" s="82" t="s">
        <v>15804</v>
      </c>
      <c r="BB1276" s="82" t="s">
        <v>15804</v>
      </c>
      <c r="BC1276" s="82" t="s">
        <v>13458</v>
      </c>
      <c r="BD1276" s="82" t="s">
        <v>15738</v>
      </c>
      <c r="BE1276" s="77"/>
      <c r="BF1276" s="77"/>
      <c r="BG1276" s="77"/>
      <c r="BH1276" s="77"/>
      <c r="BI1276" s="77"/>
    </row>
    <row r="1277" spans="1:61" x14ac:dyDescent="0.25">
      <c r="A1277" s="62" t="s">
        <v>615</v>
      </c>
      <c r="B1277" s="62" t="s">
        <v>615</v>
      </c>
      <c r="C1277" s="63"/>
      <c r="D1277" s="64"/>
      <c r="E1277" s="65"/>
      <c r="F1277" s="66"/>
      <c r="G1277" s="63"/>
      <c r="H1277" s="67"/>
      <c r="I1277" s="68"/>
      <c r="J1277" s="68"/>
      <c r="K1277" s="32"/>
      <c r="L1277" s="75">
        <v>1277</v>
      </c>
      <c r="M1277" s="75"/>
      <c r="N1277" s="70"/>
      <c r="O1277" s="77" t="s">
        <v>179</v>
      </c>
      <c r="P1277" s="79">
        <v>44939.724942129629</v>
      </c>
      <c r="Q1277" s="77" t="s">
        <v>2370</v>
      </c>
      <c r="R1277" s="77">
        <v>0</v>
      </c>
      <c r="S1277" s="77">
        <v>0</v>
      </c>
      <c r="T1277" s="77">
        <v>0</v>
      </c>
      <c r="U1277" s="77">
        <v>0</v>
      </c>
      <c r="V1277" s="77">
        <v>71</v>
      </c>
      <c r="W1277" s="82" t="s">
        <v>4948</v>
      </c>
      <c r="X1277" s="77"/>
      <c r="Y1277" s="77"/>
      <c r="Z1277" s="77"/>
      <c r="AA1277" s="77" t="s">
        <v>6952</v>
      </c>
      <c r="AB1277" s="77" t="s">
        <v>7697</v>
      </c>
      <c r="AC1277" s="82" t="s">
        <v>7706</v>
      </c>
      <c r="AD1277" s="77" t="s">
        <v>7745</v>
      </c>
      <c r="AE1277" s="80" t="str">
        <f>HYPERLINK("https://twitter.com/edufinanceiramz/status/1613949980531724299")</f>
        <v>https://twitter.com/edufinanceiramz/status/1613949980531724299</v>
      </c>
      <c r="AF1277" s="79">
        <v>44939.724942129629</v>
      </c>
      <c r="AG1277" s="85">
        <v>44939</v>
      </c>
      <c r="AH1277" s="82" t="s">
        <v>8898</v>
      </c>
      <c r="AI1277" s="77" t="b">
        <v>0</v>
      </c>
      <c r="AJ1277" s="77"/>
      <c r="AK1277" s="77"/>
      <c r="AL1277" s="77"/>
      <c r="AM1277" s="77"/>
      <c r="AN1277" s="77"/>
      <c r="AO1277" s="77"/>
      <c r="AP1277" s="77"/>
      <c r="AQ1277" s="77" t="s">
        <v>11459</v>
      </c>
      <c r="AR1277" s="77">
        <v>21269</v>
      </c>
      <c r="AS1277" s="77"/>
      <c r="AT1277" s="77"/>
      <c r="AU1277" s="77">
        <v>11</v>
      </c>
      <c r="AV1277" s="80" t="str">
        <f>HYPERLINK("https://pbs.twimg.com/ext_tw_video_thumb/1613949693330952199/pu/img/3mkVOryvvwl4ynZC.jpg")</f>
        <v>https://pbs.twimg.com/ext_tw_video_thumb/1613949693330952199/pu/img/3mkVOryvvwl4ynZC.jpg</v>
      </c>
      <c r="AW1277" s="82" t="s">
        <v>13459</v>
      </c>
      <c r="AX1277" s="82" t="s">
        <v>13459</v>
      </c>
      <c r="AY1277" s="77"/>
      <c r="AZ1277" s="82" t="s">
        <v>15804</v>
      </c>
      <c r="BA1277" s="82" t="s">
        <v>15804</v>
      </c>
      <c r="BB1277" s="82" t="s">
        <v>15804</v>
      </c>
      <c r="BC1277" s="82" t="s">
        <v>13459</v>
      </c>
      <c r="BD1277" s="82" t="s">
        <v>15738</v>
      </c>
      <c r="BE1277" s="77"/>
      <c r="BF1277" s="77"/>
      <c r="BG1277" s="77"/>
      <c r="BH1277" s="77"/>
      <c r="BI1277" s="77"/>
    </row>
    <row r="1278" spans="1:61" x14ac:dyDescent="0.25">
      <c r="A1278" s="62" t="s">
        <v>616</v>
      </c>
      <c r="B1278" s="62" t="s">
        <v>616</v>
      </c>
      <c r="C1278" s="63"/>
      <c r="D1278" s="64"/>
      <c r="E1278" s="65"/>
      <c r="F1278" s="66"/>
      <c r="G1278" s="63"/>
      <c r="H1278" s="67"/>
      <c r="I1278" s="68"/>
      <c r="J1278" s="68"/>
      <c r="K1278" s="32"/>
      <c r="L1278" s="75">
        <v>1278</v>
      </c>
      <c r="M1278" s="75"/>
      <c r="N1278" s="70"/>
      <c r="O1278" s="77" t="s">
        <v>179</v>
      </c>
      <c r="P1278" s="79">
        <v>44932.624305555553</v>
      </c>
      <c r="Q1278" s="77" t="s">
        <v>2371</v>
      </c>
      <c r="R1278" s="77">
        <v>0</v>
      </c>
      <c r="S1278" s="77">
        <v>0</v>
      </c>
      <c r="T1278" s="77">
        <v>0</v>
      </c>
      <c r="U1278" s="77">
        <v>0</v>
      </c>
      <c r="V1278" s="77">
        <v>1</v>
      </c>
      <c r="W1278" s="82" t="s">
        <v>4949</v>
      </c>
      <c r="X1278" s="80" t="str">
        <f>HYPERLINK("https://cutt.ly/p2a54ly")</f>
        <v>https://cutt.ly/p2a54ly</v>
      </c>
      <c r="Y1278" s="77" t="s">
        <v>6066</v>
      </c>
      <c r="Z1278" s="77"/>
      <c r="AA1278" s="77" t="s">
        <v>6953</v>
      </c>
      <c r="AB1278" s="77" t="s">
        <v>7696</v>
      </c>
      <c r="AC1278" s="82" t="s">
        <v>7706</v>
      </c>
      <c r="AD1278" s="77" t="s">
        <v>7745</v>
      </c>
      <c r="AE1278" s="80" t="str">
        <f>HYPERLINK("https://twitter.com/portalestacao/status/1611376793822306306")</f>
        <v>https://twitter.com/portalestacao/status/1611376793822306306</v>
      </c>
      <c r="AF1278" s="79">
        <v>44932.624305555553</v>
      </c>
      <c r="AG1278" s="85">
        <v>44932</v>
      </c>
      <c r="AH1278" s="82" t="s">
        <v>8899</v>
      </c>
      <c r="AI1278" s="77" t="b">
        <v>0</v>
      </c>
      <c r="AJ1278" s="77"/>
      <c r="AK1278" s="77"/>
      <c r="AL1278" s="77"/>
      <c r="AM1278" s="77"/>
      <c r="AN1278" s="77"/>
      <c r="AO1278" s="77"/>
      <c r="AP1278" s="77"/>
      <c r="AQ1278" s="77" t="s">
        <v>11460</v>
      </c>
      <c r="AR1278" s="77"/>
      <c r="AS1278" s="77"/>
      <c r="AT1278" s="77"/>
      <c r="AU1278" s="77"/>
      <c r="AV1278" s="80" t="str">
        <f>HYPERLINK("https://pbs.twimg.com/media/FlkpW2iXwAEcQ7n.jpg")</f>
        <v>https://pbs.twimg.com/media/FlkpW2iXwAEcQ7n.jpg</v>
      </c>
      <c r="AW1278" s="82" t="s">
        <v>13460</v>
      </c>
      <c r="AX1278" s="82" t="s">
        <v>13460</v>
      </c>
      <c r="AY1278" s="77"/>
      <c r="AZ1278" s="82" t="s">
        <v>15804</v>
      </c>
      <c r="BA1278" s="82" t="s">
        <v>15804</v>
      </c>
      <c r="BB1278" s="82" t="s">
        <v>15804</v>
      </c>
      <c r="BC1278" s="82" t="s">
        <v>13460</v>
      </c>
      <c r="BD1278" s="77">
        <v>1755376614</v>
      </c>
      <c r="BE1278" s="77"/>
      <c r="BF1278" s="77"/>
      <c r="BG1278" s="77"/>
      <c r="BH1278" s="77"/>
      <c r="BI1278" s="77"/>
    </row>
    <row r="1279" spans="1:61" x14ac:dyDescent="0.25">
      <c r="A1279" s="62" t="s">
        <v>616</v>
      </c>
      <c r="B1279" s="62" t="s">
        <v>616</v>
      </c>
      <c r="C1279" s="63"/>
      <c r="D1279" s="64"/>
      <c r="E1279" s="65"/>
      <c r="F1279" s="66"/>
      <c r="G1279" s="63"/>
      <c r="H1279" s="67"/>
      <c r="I1279" s="68"/>
      <c r="J1279" s="68"/>
      <c r="K1279" s="32"/>
      <c r="L1279" s="75">
        <v>1279</v>
      </c>
      <c r="M1279" s="75"/>
      <c r="N1279" s="70"/>
      <c r="O1279" s="77" t="s">
        <v>179</v>
      </c>
      <c r="P1279" s="79">
        <v>44963.624305555553</v>
      </c>
      <c r="Q1279" s="77" t="s">
        <v>2372</v>
      </c>
      <c r="R1279" s="77">
        <v>0</v>
      </c>
      <c r="S1279" s="77">
        <v>0</v>
      </c>
      <c r="T1279" s="77">
        <v>0</v>
      </c>
      <c r="U1279" s="77">
        <v>0</v>
      </c>
      <c r="V1279" s="77">
        <v>8</v>
      </c>
      <c r="W1279" s="82" t="s">
        <v>4950</v>
      </c>
      <c r="X1279" s="80" t="str">
        <f>HYPERLINK("http://bit.ly/3Ju00FK")</f>
        <v>http://bit.ly/3Ju00FK</v>
      </c>
      <c r="Y1279" s="77" t="s">
        <v>6004</v>
      </c>
      <c r="Z1279" s="77"/>
      <c r="AA1279" s="77" t="s">
        <v>6954</v>
      </c>
      <c r="AB1279" s="77" t="s">
        <v>7696</v>
      </c>
      <c r="AC1279" s="82" t="s">
        <v>7706</v>
      </c>
      <c r="AD1279" s="77" t="s">
        <v>7745</v>
      </c>
      <c r="AE1279" s="80" t="str">
        <f>HYPERLINK("https://twitter.com/portalestacao/status/1622610817702154240")</f>
        <v>https://twitter.com/portalestacao/status/1622610817702154240</v>
      </c>
      <c r="AF1279" s="79">
        <v>44963.624305555553</v>
      </c>
      <c r="AG1279" s="85">
        <v>44963</v>
      </c>
      <c r="AH1279" s="82" t="s">
        <v>8899</v>
      </c>
      <c r="AI1279" s="77" t="b">
        <v>0</v>
      </c>
      <c r="AJ1279" s="77"/>
      <c r="AK1279" s="77"/>
      <c r="AL1279" s="77"/>
      <c r="AM1279" s="77"/>
      <c r="AN1279" s="77"/>
      <c r="AO1279" s="77"/>
      <c r="AP1279" s="77"/>
      <c r="AQ1279" s="77" t="s">
        <v>11461</v>
      </c>
      <c r="AR1279" s="77"/>
      <c r="AS1279" s="77"/>
      <c r="AT1279" s="77"/>
      <c r="AU1279" s="77"/>
      <c r="AV1279" s="80" t="str">
        <f>HYPERLINK("https://pbs.twimg.com/media/Fn_j7oKWIAQjDK_.jpg")</f>
        <v>https://pbs.twimg.com/media/Fn_j7oKWIAQjDK_.jpg</v>
      </c>
      <c r="AW1279" s="82" t="s">
        <v>13461</v>
      </c>
      <c r="AX1279" s="82" t="s">
        <v>13461</v>
      </c>
      <c r="AY1279" s="77"/>
      <c r="AZ1279" s="82" t="s">
        <v>15804</v>
      </c>
      <c r="BA1279" s="82" t="s">
        <v>15804</v>
      </c>
      <c r="BB1279" s="82" t="s">
        <v>15804</v>
      </c>
      <c r="BC1279" s="82" t="s">
        <v>13461</v>
      </c>
      <c r="BD1279" s="77">
        <v>1755376614</v>
      </c>
      <c r="BE1279" s="77"/>
      <c r="BF1279" s="77"/>
      <c r="BG1279" s="77"/>
      <c r="BH1279" s="77"/>
      <c r="BI1279" s="77"/>
    </row>
    <row r="1280" spans="1:61" x14ac:dyDescent="0.25">
      <c r="A1280" s="62" t="s">
        <v>616</v>
      </c>
      <c r="B1280" s="62" t="s">
        <v>616</v>
      </c>
      <c r="C1280" s="63"/>
      <c r="D1280" s="64"/>
      <c r="E1280" s="65"/>
      <c r="F1280" s="66"/>
      <c r="G1280" s="63"/>
      <c r="H1280" s="67"/>
      <c r="I1280" s="68"/>
      <c r="J1280" s="68"/>
      <c r="K1280" s="32"/>
      <c r="L1280" s="75">
        <v>1280</v>
      </c>
      <c r="M1280" s="75"/>
      <c r="N1280" s="70"/>
      <c r="O1280" s="77" t="s">
        <v>179</v>
      </c>
      <c r="P1280" s="79">
        <v>44988.624305555553</v>
      </c>
      <c r="Q1280" s="77" t="s">
        <v>2373</v>
      </c>
      <c r="R1280" s="77">
        <v>0</v>
      </c>
      <c r="S1280" s="77">
        <v>0</v>
      </c>
      <c r="T1280" s="77">
        <v>0</v>
      </c>
      <c r="U1280" s="77">
        <v>0</v>
      </c>
      <c r="V1280" s="77">
        <v>4</v>
      </c>
      <c r="W1280" s="82" t="s">
        <v>4951</v>
      </c>
      <c r="X1280" s="80" t="str">
        <f>HYPERLINK("https://abre.ai/fRSH")</f>
        <v>https://abre.ai/fRSH</v>
      </c>
      <c r="Y1280" s="77" t="s">
        <v>6067</v>
      </c>
      <c r="Z1280" s="77"/>
      <c r="AA1280" s="77" t="s">
        <v>6955</v>
      </c>
      <c r="AB1280" s="77" t="s">
        <v>7696</v>
      </c>
      <c r="AC1280" s="82" t="s">
        <v>7706</v>
      </c>
      <c r="AD1280" s="77" t="s">
        <v>7745</v>
      </c>
      <c r="AE1280" s="80" t="str">
        <f>HYPERLINK("https://twitter.com/portalestacao/status/1631670514585419776")</f>
        <v>https://twitter.com/portalestacao/status/1631670514585419776</v>
      </c>
      <c r="AF1280" s="79">
        <v>44988.624305555553</v>
      </c>
      <c r="AG1280" s="85">
        <v>44988</v>
      </c>
      <c r="AH1280" s="82" t="s">
        <v>8899</v>
      </c>
      <c r="AI1280" s="77" t="b">
        <v>0</v>
      </c>
      <c r="AJ1280" s="77"/>
      <c r="AK1280" s="77"/>
      <c r="AL1280" s="77"/>
      <c r="AM1280" s="77"/>
      <c r="AN1280" s="77"/>
      <c r="AO1280" s="77"/>
      <c r="AP1280" s="77"/>
      <c r="AQ1280" s="77" t="s">
        <v>11462</v>
      </c>
      <c r="AR1280" s="77"/>
      <c r="AS1280" s="77"/>
      <c r="AT1280" s="77"/>
      <c r="AU1280" s="77"/>
      <c r="AV1280" s="80" t="str">
        <f>HYPERLINK("https://pbs.twimg.com/media/FqTWdXOWAAECsVl.jpg")</f>
        <v>https://pbs.twimg.com/media/FqTWdXOWAAECsVl.jpg</v>
      </c>
      <c r="AW1280" s="82" t="s">
        <v>13462</v>
      </c>
      <c r="AX1280" s="82" t="s">
        <v>13462</v>
      </c>
      <c r="AY1280" s="77"/>
      <c r="AZ1280" s="82" t="s">
        <v>15804</v>
      </c>
      <c r="BA1280" s="82" t="s">
        <v>15804</v>
      </c>
      <c r="BB1280" s="82" t="s">
        <v>15804</v>
      </c>
      <c r="BC1280" s="82" t="s">
        <v>13462</v>
      </c>
      <c r="BD1280" s="77">
        <v>1755376614</v>
      </c>
      <c r="BE1280" s="77"/>
      <c r="BF1280" s="77"/>
      <c r="BG1280" s="77"/>
      <c r="BH1280" s="77"/>
      <c r="BI1280" s="77"/>
    </row>
    <row r="1281" spans="1:61" x14ac:dyDescent="0.25">
      <c r="A1281" s="62" t="s">
        <v>616</v>
      </c>
      <c r="B1281" s="62" t="s">
        <v>616</v>
      </c>
      <c r="C1281" s="63"/>
      <c r="D1281" s="64"/>
      <c r="E1281" s="65"/>
      <c r="F1281" s="66"/>
      <c r="G1281" s="63"/>
      <c r="H1281" s="67"/>
      <c r="I1281" s="68"/>
      <c r="J1281" s="68"/>
      <c r="K1281" s="32"/>
      <c r="L1281" s="75">
        <v>1281</v>
      </c>
      <c r="M1281" s="75"/>
      <c r="N1281" s="70"/>
      <c r="O1281" s="77" t="s">
        <v>179</v>
      </c>
      <c r="P1281" s="79">
        <v>45005.624305555553</v>
      </c>
      <c r="Q1281" s="77" t="s">
        <v>2374</v>
      </c>
      <c r="R1281" s="77">
        <v>0</v>
      </c>
      <c r="S1281" s="77">
        <v>0</v>
      </c>
      <c r="T1281" s="77">
        <v>0</v>
      </c>
      <c r="U1281" s="77">
        <v>0</v>
      </c>
      <c r="V1281" s="77">
        <v>1</v>
      </c>
      <c r="W1281" s="82" t="s">
        <v>4080</v>
      </c>
      <c r="X1281" s="80" t="str">
        <f>HYPERLINK("https://bityli.com/KtO2CD")</f>
        <v>https://bityli.com/KtO2CD</v>
      </c>
      <c r="Y1281" s="77" t="s">
        <v>6068</v>
      </c>
      <c r="Z1281" s="77"/>
      <c r="AA1281" s="77" t="s">
        <v>6956</v>
      </c>
      <c r="AB1281" s="77" t="s">
        <v>7696</v>
      </c>
      <c r="AC1281" s="82" t="s">
        <v>7706</v>
      </c>
      <c r="AD1281" s="77" t="s">
        <v>7745</v>
      </c>
      <c r="AE1281" s="80" t="str">
        <f>HYPERLINK("https://twitter.com/portalestacao/status/1637831108032339969")</f>
        <v>https://twitter.com/portalestacao/status/1637831108032339969</v>
      </c>
      <c r="AF1281" s="79">
        <v>45005.624305555553</v>
      </c>
      <c r="AG1281" s="85">
        <v>45005</v>
      </c>
      <c r="AH1281" s="82" t="s">
        <v>8899</v>
      </c>
      <c r="AI1281" s="77" t="b">
        <v>0</v>
      </c>
      <c r="AJ1281" s="77"/>
      <c r="AK1281" s="77"/>
      <c r="AL1281" s="77"/>
      <c r="AM1281" s="77"/>
      <c r="AN1281" s="77"/>
      <c r="AO1281" s="77"/>
      <c r="AP1281" s="77"/>
      <c r="AQ1281" s="77" t="s">
        <v>11463</v>
      </c>
      <c r="AR1281" s="77"/>
      <c r="AS1281" s="77"/>
      <c r="AT1281" s="77"/>
      <c r="AU1281" s="77"/>
      <c r="AV1281" s="80" t="str">
        <f>HYPERLINK("https://pbs.twimg.com/media/Frqm6OnWIAISXrH.jpg")</f>
        <v>https://pbs.twimg.com/media/Frqm6OnWIAISXrH.jpg</v>
      </c>
      <c r="AW1281" s="82" t="s">
        <v>13463</v>
      </c>
      <c r="AX1281" s="82" t="s">
        <v>13463</v>
      </c>
      <c r="AY1281" s="77"/>
      <c r="AZ1281" s="82" t="s">
        <v>15804</v>
      </c>
      <c r="BA1281" s="82" t="s">
        <v>15804</v>
      </c>
      <c r="BB1281" s="82" t="s">
        <v>15804</v>
      </c>
      <c r="BC1281" s="82" t="s">
        <v>13463</v>
      </c>
      <c r="BD1281" s="77">
        <v>1755376614</v>
      </c>
      <c r="BE1281" s="77"/>
      <c r="BF1281" s="77"/>
      <c r="BG1281" s="77"/>
      <c r="BH1281" s="77"/>
      <c r="BI1281" s="77"/>
    </row>
    <row r="1282" spans="1:61" x14ac:dyDescent="0.25">
      <c r="A1282" s="62" t="s">
        <v>616</v>
      </c>
      <c r="B1282" s="62" t="s">
        <v>616</v>
      </c>
      <c r="C1282" s="63"/>
      <c r="D1282" s="64"/>
      <c r="E1282" s="65"/>
      <c r="F1282" s="66"/>
      <c r="G1282" s="63"/>
      <c r="H1282" s="67"/>
      <c r="I1282" s="68"/>
      <c r="J1282" s="68"/>
      <c r="K1282" s="32"/>
      <c r="L1282" s="75">
        <v>1282</v>
      </c>
      <c r="M1282" s="75"/>
      <c r="N1282" s="70"/>
      <c r="O1282" s="77" t="s">
        <v>179</v>
      </c>
      <c r="P1282" s="79">
        <v>44960.624305555553</v>
      </c>
      <c r="Q1282" s="77" t="s">
        <v>2375</v>
      </c>
      <c r="R1282" s="77">
        <v>0</v>
      </c>
      <c r="S1282" s="77">
        <v>0</v>
      </c>
      <c r="T1282" s="77">
        <v>0</v>
      </c>
      <c r="U1282" s="77">
        <v>0</v>
      </c>
      <c r="V1282" s="77">
        <v>22</v>
      </c>
      <c r="W1282" s="82" t="s">
        <v>4952</v>
      </c>
      <c r="X1282" s="80" t="str">
        <f>HYPERLINK("http://bit.ly/3wOEtju")</f>
        <v>http://bit.ly/3wOEtju</v>
      </c>
      <c r="Y1282" s="77" t="s">
        <v>6004</v>
      </c>
      <c r="Z1282" s="77"/>
      <c r="AA1282" s="77" t="s">
        <v>6957</v>
      </c>
      <c r="AB1282" s="77" t="s">
        <v>7696</v>
      </c>
      <c r="AC1282" s="82" t="s">
        <v>7706</v>
      </c>
      <c r="AD1282" s="77" t="s">
        <v>7745</v>
      </c>
      <c r="AE1282" s="80" t="str">
        <f>HYPERLINK("https://twitter.com/portalestacao/status/1621523654021349376")</f>
        <v>https://twitter.com/portalestacao/status/1621523654021349376</v>
      </c>
      <c r="AF1282" s="79">
        <v>44960.624305555553</v>
      </c>
      <c r="AG1282" s="85">
        <v>44960</v>
      </c>
      <c r="AH1282" s="82" t="s">
        <v>8899</v>
      </c>
      <c r="AI1282" s="77" t="b">
        <v>0</v>
      </c>
      <c r="AJ1282" s="77"/>
      <c r="AK1282" s="77"/>
      <c r="AL1282" s="77"/>
      <c r="AM1282" s="77"/>
      <c r="AN1282" s="77"/>
      <c r="AO1282" s="77"/>
      <c r="AP1282" s="77"/>
      <c r="AQ1282" s="77" t="s">
        <v>11464</v>
      </c>
      <c r="AR1282" s="77"/>
      <c r="AS1282" s="77"/>
      <c r="AT1282" s="77"/>
      <c r="AU1282" s="77"/>
      <c r="AV1282" s="80" t="str">
        <f>HYPERLINK("https://pbs.twimg.com/media/Fn5crFaXEAAL8i_.png")</f>
        <v>https://pbs.twimg.com/media/Fn5crFaXEAAL8i_.png</v>
      </c>
      <c r="AW1282" s="82" t="s">
        <v>13464</v>
      </c>
      <c r="AX1282" s="82" t="s">
        <v>13464</v>
      </c>
      <c r="AY1282" s="77"/>
      <c r="AZ1282" s="82" t="s">
        <v>15804</v>
      </c>
      <c r="BA1282" s="82" t="s">
        <v>15804</v>
      </c>
      <c r="BB1282" s="82" t="s">
        <v>15804</v>
      </c>
      <c r="BC1282" s="82" t="s">
        <v>13464</v>
      </c>
      <c r="BD1282" s="77">
        <v>1755376614</v>
      </c>
      <c r="BE1282" s="77"/>
      <c r="BF1282" s="77"/>
      <c r="BG1282" s="77"/>
      <c r="BH1282" s="77"/>
      <c r="BI1282" s="77"/>
    </row>
    <row r="1283" spans="1:61" x14ac:dyDescent="0.25">
      <c r="A1283" s="62" t="s">
        <v>616</v>
      </c>
      <c r="B1283" s="62" t="s">
        <v>616</v>
      </c>
      <c r="C1283" s="63"/>
      <c r="D1283" s="64"/>
      <c r="E1283" s="65"/>
      <c r="F1283" s="66"/>
      <c r="G1283" s="63"/>
      <c r="H1283" s="67"/>
      <c r="I1283" s="68"/>
      <c r="J1283" s="68"/>
      <c r="K1283" s="32"/>
      <c r="L1283" s="75">
        <v>1283</v>
      </c>
      <c r="M1283" s="75"/>
      <c r="N1283" s="70"/>
      <c r="O1283" s="77" t="s">
        <v>179</v>
      </c>
      <c r="P1283" s="79">
        <v>44958.624652777777</v>
      </c>
      <c r="Q1283" s="77" t="s">
        <v>2376</v>
      </c>
      <c r="R1283" s="77">
        <v>0</v>
      </c>
      <c r="S1283" s="77">
        <v>0</v>
      </c>
      <c r="T1283" s="77">
        <v>0</v>
      </c>
      <c r="U1283" s="77">
        <v>0</v>
      </c>
      <c r="V1283" s="77">
        <v>4</v>
      </c>
      <c r="W1283" s="82" t="s">
        <v>4543</v>
      </c>
      <c r="X1283" s="80" t="str">
        <f>HYPERLINK("http://bit.ly/3WTQX4e")</f>
        <v>http://bit.ly/3WTQX4e</v>
      </c>
      <c r="Y1283" s="77" t="s">
        <v>6004</v>
      </c>
      <c r="Z1283" s="77"/>
      <c r="AA1283" s="77" t="s">
        <v>6958</v>
      </c>
      <c r="AB1283" s="77" t="s">
        <v>7696</v>
      </c>
      <c r="AC1283" s="82" t="s">
        <v>7706</v>
      </c>
      <c r="AD1283" s="77" t="s">
        <v>7745</v>
      </c>
      <c r="AE1283" s="80" t="str">
        <f>HYPERLINK("https://twitter.com/portalestacao/status/1620799004287041536")</f>
        <v>https://twitter.com/portalestacao/status/1620799004287041536</v>
      </c>
      <c r="AF1283" s="79">
        <v>44958.624652777777</v>
      </c>
      <c r="AG1283" s="85">
        <v>44958</v>
      </c>
      <c r="AH1283" s="82" t="s">
        <v>8900</v>
      </c>
      <c r="AI1283" s="77" t="b">
        <v>0</v>
      </c>
      <c r="AJ1283" s="77"/>
      <c r="AK1283" s="77"/>
      <c r="AL1283" s="77"/>
      <c r="AM1283" s="77"/>
      <c r="AN1283" s="77"/>
      <c r="AO1283" s="77"/>
      <c r="AP1283" s="77"/>
      <c r="AQ1283" s="77" t="s">
        <v>11465</v>
      </c>
      <c r="AR1283" s="77"/>
      <c r="AS1283" s="77"/>
      <c r="AT1283" s="77"/>
      <c r="AU1283" s="77"/>
      <c r="AV1283" s="80" t="str">
        <f>HYPERLINK("https://pbs.twimg.com/media/Fn4tTf3WQAcCE6P.jpg")</f>
        <v>https://pbs.twimg.com/media/Fn4tTf3WQAcCE6P.jpg</v>
      </c>
      <c r="AW1283" s="82" t="s">
        <v>13465</v>
      </c>
      <c r="AX1283" s="82" t="s">
        <v>13465</v>
      </c>
      <c r="AY1283" s="77"/>
      <c r="AZ1283" s="82" t="s">
        <v>15804</v>
      </c>
      <c r="BA1283" s="82" t="s">
        <v>15804</v>
      </c>
      <c r="BB1283" s="82" t="s">
        <v>15804</v>
      </c>
      <c r="BC1283" s="82" t="s">
        <v>13465</v>
      </c>
      <c r="BD1283" s="77">
        <v>1755376614</v>
      </c>
      <c r="BE1283" s="77"/>
      <c r="BF1283" s="77"/>
      <c r="BG1283" s="77"/>
      <c r="BH1283" s="77"/>
      <c r="BI1283" s="77"/>
    </row>
    <row r="1284" spans="1:61" x14ac:dyDescent="0.25">
      <c r="A1284" s="62" t="s">
        <v>616</v>
      </c>
      <c r="B1284" s="62" t="s">
        <v>616</v>
      </c>
      <c r="C1284" s="63"/>
      <c r="D1284" s="64"/>
      <c r="E1284" s="65"/>
      <c r="F1284" s="66"/>
      <c r="G1284" s="63"/>
      <c r="H1284" s="67"/>
      <c r="I1284" s="68"/>
      <c r="J1284" s="68"/>
      <c r="K1284" s="32"/>
      <c r="L1284" s="75">
        <v>1284</v>
      </c>
      <c r="M1284" s="75"/>
      <c r="N1284" s="70"/>
      <c r="O1284" s="77" t="s">
        <v>179</v>
      </c>
      <c r="P1284" s="79">
        <v>44951.624652777777</v>
      </c>
      <c r="Q1284" s="77" t="s">
        <v>2377</v>
      </c>
      <c r="R1284" s="77">
        <v>0</v>
      </c>
      <c r="S1284" s="77">
        <v>0</v>
      </c>
      <c r="T1284" s="77">
        <v>0</v>
      </c>
      <c r="U1284" s="77">
        <v>0</v>
      </c>
      <c r="V1284" s="77">
        <v>7</v>
      </c>
      <c r="W1284" s="82" t="s">
        <v>4953</v>
      </c>
      <c r="X1284" s="80" t="str">
        <f>HYPERLINK("http://bit.ly/3CMY8Ut")</f>
        <v>http://bit.ly/3CMY8Ut</v>
      </c>
      <c r="Y1284" s="77" t="s">
        <v>6004</v>
      </c>
      <c r="Z1284" s="77"/>
      <c r="AA1284" s="77" t="s">
        <v>6959</v>
      </c>
      <c r="AB1284" s="77" t="s">
        <v>7696</v>
      </c>
      <c r="AC1284" s="82" t="s">
        <v>7706</v>
      </c>
      <c r="AD1284" s="77" t="s">
        <v>7745</v>
      </c>
      <c r="AE1284" s="80" t="str">
        <f>HYPERLINK("https://twitter.com/portalestacao/status/1618262289085353985")</f>
        <v>https://twitter.com/portalestacao/status/1618262289085353985</v>
      </c>
      <c r="AF1284" s="79">
        <v>44951.624652777777</v>
      </c>
      <c r="AG1284" s="85">
        <v>44951</v>
      </c>
      <c r="AH1284" s="82" t="s">
        <v>8900</v>
      </c>
      <c r="AI1284" s="77" t="b">
        <v>0</v>
      </c>
      <c r="AJ1284" s="77"/>
      <c r="AK1284" s="77"/>
      <c r="AL1284" s="77"/>
      <c r="AM1284" s="77"/>
      <c r="AN1284" s="77"/>
      <c r="AO1284" s="77"/>
      <c r="AP1284" s="77"/>
      <c r="AQ1284" s="77" t="s">
        <v>11466</v>
      </c>
      <c r="AR1284" s="77"/>
      <c r="AS1284" s="77"/>
      <c r="AT1284" s="77"/>
      <c r="AU1284" s="77"/>
      <c r="AV1284" s="80" t="str">
        <f>HYPERLINK("https://pbs.twimg.com/media/FmsneF1WYAUxFHB.jpg")</f>
        <v>https://pbs.twimg.com/media/FmsneF1WYAUxFHB.jpg</v>
      </c>
      <c r="AW1284" s="82" t="s">
        <v>13466</v>
      </c>
      <c r="AX1284" s="82" t="s">
        <v>13466</v>
      </c>
      <c r="AY1284" s="77"/>
      <c r="AZ1284" s="82" t="s">
        <v>15804</v>
      </c>
      <c r="BA1284" s="82" t="s">
        <v>15804</v>
      </c>
      <c r="BB1284" s="82" t="s">
        <v>15804</v>
      </c>
      <c r="BC1284" s="82" t="s">
        <v>13466</v>
      </c>
      <c r="BD1284" s="77">
        <v>1755376614</v>
      </c>
      <c r="BE1284" s="77"/>
      <c r="BF1284" s="77"/>
      <c r="BG1284" s="77"/>
      <c r="BH1284" s="77"/>
      <c r="BI1284" s="77"/>
    </row>
    <row r="1285" spans="1:61" x14ac:dyDescent="0.25">
      <c r="A1285" s="62" t="s">
        <v>616</v>
      </c>
      <c r="B1285" s="62" t="s">
        <v>616</v>
      </c>
      <c r="C1285" s="63"/>
      <c r="D1285" s="64"/>
      <c r="E1285" s="65"/>
      <c r="F1285" s="66"/>
      <c r="G1285" s="63"/>
      <c r="H1285" s="67"/>
      <c r="I1285" s="68"/>
      <c r="J1285" s="68"/>
      <c r="K1285" s="32"/>
      <c r="L1285" s="75">
        <v>1285</v>
      </c>
      <c r="M1285" s="75"/>
      <c r="N1285" s="70"/>
      <c r="O1285" s="77" t="s">
        <v>179</v>
      </c>
      <c r="P1285" s="79">
        <v>45016.624305555553</v>
      </c>
      <c r="Q1285" s="77" t="s">
        <v>2378</v>
      </c>
      <c r="R1285" s="77">
        <v>0</v>
      </c>
      <c r="S1285" s="77">
        <v>0</v>
      </c>
      <c r="T1285" s="77">
        <v>0</v>
      </c>
      <c r="U1285" s="77">
        <v>0</v>
      </c>
      <c r="V1285" s="77">
        <v>12</v>
      </c>
      <c r="W1285" s="82" t="s">
        <v>4954</v>
      </c>
      <c r="X1285" s="80" t="str">
        <f>HYPERLINK("https://bityli.com/Rs2aE")</f>
        <v>https://bityli.com/Rs2aE</v>
      </c>
      <c r="Y1285" s="77" t="s">
        <v>6068</v>
      </c>
      <c r="Z1285" s="77"/>
      <c r="AA1285" s="77" t="s">
        <v>6960</v>
      </c>
      <c r="AB1285" s="77" t="s">
        <v>7696</v>
      </c>
      <c r="AC1285" s="82" t="s">
        <v>7706</v>
      </c>
      <c r="AD1285" s="77" t="s">
        <v>7745</v>
      </c>
      <c r="AE1285" s="80" t="str">
        <f>HYPERLINK("https://twitter.com/portalestacao/status/1641817374562086912")</f>
        <v>https://twitter.com/portalestacao/status/1641817374562086912</v>
      </c>
      <c r="AF1285" s="79">
        <v>45016.624305555553</v>
      </c>
      <c r="AG1285" s="85">
        <v>45016</v>
      </c>
      <c r="AH1285" s="82" t="s">
        <v>8899</v>
      </c>
      <c r="AI1285" s="77" t="b">
        <v>0</v>
      </c>
      <c r="AJ1285" s="77"/>
      <c r="AK1285" s="77"/>
      <c r="AL1285" s="77"/>
      <c r="AM1285" s="77"/>
      <c r="AN1285" s="77"/>
      <c r="AO1285" s="77"/>
      <c r="AP1285" s="77"/>
      <c r="AQ1285" s="77" t="s">
        <v>11467</v>
      </c>
      <c r="AR1285" s="77"/>
      <c r="AS1285" s="77"/>
      <c r="AT1285" s="77"/>
      <c r="AU1285" s="77"/>
      <c r="AV1285" s="80" t="str">
        <f>HYPERLINK("https://pbs.twimg.com/media/FsjeZlVWcAI6ZF9.jpg")</f>
        <v>https://pbs.twimg.com/media/FsjeZlVWcAI6ZF9.jpg</v>
      </c>
      <c r="AW1285" s="82" t="s">
        <v>13467</v>
      </c>
      <c r="AX1285" s="82" t="s">
        <v>13467</v>
      </c>
      <c r="AY1285" s="77"/>
      <c r="AZ1285" s="82" t="s">
        <v>15804</v>
      </c>
      <c r="BA1285" s="82" t="s">
        <v>15804</v>
      </c>
      <c r="BB1285" s="82" t="s">
        <v>15804</v>
      </c>
      <c r="BC1285" s="82" t="s">
        <v>13467</v>
      </c>
      <c r="BD1285" s="77">
        <v>1755376614</v>
      </c>
      <c r="BE1285" s="77"/>
      <c r="BF1285" s="77"/>
      <c r="BG1285" s="77"/>
      <c r="BH1285" s="77"/>
      <c r="BI1285" s="77"/>
    </row>
    <row r="1286" spans="1:61" x14ac:dyDescent="0.25">
      <c r="A1286" s="62" t="s">
        <v>616</v>
      </c>
      <c r="B1286" s="62" t="s">
        <v>616</v>
      </c>
      <c r="C1286" s="63"/>
      <c r="D1286" s="64"/>
      <c r="E1286" s="65"/>
      <c r="F1286" s="66"/>
      <c r="G1286" s="63"/>
      <c r="H1286" s="67"/>
      <c r="I1286" s="68"/>
      <c r="J1286" s="68"/>
      <c r="K1286" s="32"/>
      <c r="L1286" s="75">
        <v>1286</v>
      </c>
      <c r="M1286" s="75"/>
      <c r="N1286" s="70"/>
      <c r="O1286" s="77" t="s">
        <v>179</v>
      </c>
      <c r="P1286" s="79">
        <v>44974.624305555553</v>
      </c>
      <c r="Q1286" s="77" t="s">
        <v>2379</v>
      </c>
      <c r="R1286" s="77">
        <v>0</v>
      </c>
      <c r="S1286" s="77">
        <v>0</v>
      </c>
      <c r="T1286" s="77">
        <v>0</v>
      </c>
      <c r="U1286" s="77">
        <v>0</v>
      </c>
      <c r="V1286" s="77">
        <v>2</v>
      </c>
      <c r="W1286" s="82" t="s">
        <v>4955</v>
      </c>
      <c r="X1286" s="80" t="str">
        <f>HYPERLINK("http://bit.ly/3kNStY6")</f>
        <v>http://bit.ly/3kNStY6</v>
      </c>
      <c r="Y1286" s="77" t="s">
        <v>6004</v>
      </c>
      <c r="Z1286" s="77"/>
      <c r="AA1286" s="77" t="s">
        <v>6961</v>
      </c>
      <c r="AB1286" s="77" t="s">
        <v>7696</v>
      </c>
      <c r="AC1286" s="82" t="s">
        <v>7706</v>
      </c>
      <c r="AD1286" s="77" t="s">
        <v>7745</v>
      </c>
      <c r="AE1286" s="80" t="str">
        <f>HYPERLINK("https://twitter.com/portalestacao/status/1626597083992977408")</f>
        <v>https://twitter.com/portalestacao/status/1626597083992977408</v>
      </c>
      <c r="AF1286" s="79">
        <v>44974.624305555553</v>
      </c>
      <c r="AG1286" s="85">
        <v>44974</v>
      </c>
      <c r="AH1286" s="82" t="s">
        <v>8899</v>
      </c>
      <c r="AI1286" s="77" t="b">
        <v>0</v>
      </c>
      <c r="AJ1286" s="77"/>
      <c r="AK1286" s="77"/>
      <c r="AL1286" s="77"/>
      <c r="AM1286" s="77"/>
      <c r="AN1286" s="77"/>
      <c r="AO1286" s="77"/>
      <c r="AP1286" s="77"/>
      <c r="AQ1286" s="77" t="s">
        <v>11468</v>
      </c>
      <c r="AR1286" s="77"/>
      <c r="AS1286" s="77"/>
      <c r="AT1286" s="77"/>
      <c r="AU1286" s="77"/>
      <c r="AV1286" s="80" t="str">
        <f>HYPERLINK("https://pbs.twimg.com/media/FoETU_2XEAEo6sQ.jpg")</f>
        <v>https://pbs.twimg.com/media/FoETU_2XEAEo6sQ.jpg</v>
      </c>
      <c r="AW1286" s="82" t="s">
        <v>13468</v>
      </c>
      <c r="AX1286" s="82" t="s">
        <v>13468</v>
      </c>
      <c r="AY1286" s="77"/>
      <c r="AZ1286" s="82" t="s">
        <v>15804</v>
      </c>
      <c r="BA1286" s="82" t="s">
        <v>15804</v>
      </c>
      <c r="BB1286" s="82" t="s">
        <v>15804</v>
      </c>
      <c r="BC1286" s="82" t="s">
        <v>13468</v>
      </c>
      <c r="BD1286" s="77">
        <v>1755376614</v>
      </c>
      <c r="BE1286" s="77"/>
      <c r="BF1286" s="77"/>
      <c r="BG1286" s="77"/>
      <c r="BH1286" s="77"/>
      <c r="BI1286" s="77"/>
    </row>
    <row r="1287" spans="1:61" x14ac:dyDescent="0.25">
      <c r="A1287" s="62" t="s">
        <v>616</v>
      </c>
      <c r="B1287" s="62" t="s">
        <v>616</v>
      </c>
      <c r="C1287" s="63"/>
      <c r="D1287" s="64"/>
      <c r="E1287" s="65"/>
      <c r="F1287" s="66"/>
      <c r="G1287" s="63"/>
      <c r="H1287" s="67"/>
      <c r="I1287" s="68"/>
      <c r="J1287" s="68"/>
      <c r="K1287" s="32"/>
      <c r="L1287" s="75">
        <v>1287</v>
      </c>
      <c r="M1287" s="75"/>
      <c r="N1287" s="70"/>
      <c r="O1287" s="77" t="s">
        <v>179</v>
      </c>
      <c r="P1287" s="79">
        <v>44998.624305555553</v>
      </c>
      <c r="Q1287" s="77" t="s">
        <v>2380</v>
      </c>
      <c r="R1287" s="77">
        <v>0</v>
      </c>
      <c r="S1287" s="77">
        <v>0</v>
      </c>
      <c r="T1287" s="77">
        <v>0</v>
      </c>
      <c r="U1287" s="77">
        <v>0</v>
      </c>
      <c r="V1287" s="77">
        <v>6</v>
      </c>
      <c r="W1287" s="82" t="s">
        <v>4956</v>
      </c>
      <c r="X1287" s="80" t="str">
        <f>HYPERLINK("https://shre.ink/cthZ")</f>
        <v>https://shre.ink/cthZ</v>
      </c>
      <c r="Y1287" s="77" t="s">
        <v>6069</v>
      </c>
      <c r="Z1287" s="77"/>
      <c r="AA1287" s="77" t="s">
        <v>6962</v>
      </c>
      <c r="AB1287" s="77" t="s">
        <v>7696</v>
      </c>
      <c r="AC1287" s="82" t="s">
        <v>7706</v>
      </c>
      <c r="AD1287" s="77" t="s">
        <v>7745</v>
      </c>
      <c r="AE1287" s="80" t="str">
        <f>HYPERLINK("https://twitter.com/portalestacao/status/1635294392851234816")</f>
        <v>https://twitter.com/portalestacao/status/1635294392851234816</v>
      </c>
      <c r="AF1287" s="79">
        <v>44998.624305555553</v>
      </c>
      <c r="AG1287" s="85">
        <v>44998</v>
      </c>
      <c r="AH1287" s="82" t="s">
        <v>8899</v>
      </c>
      <c r="AI1287" s="77" t="b">
        <v>0</v>
      </c>
      <c r="AJ1287" s="77"/>
      <c r="AK1287" s="77"/>
      <c r="AL1287" s="77"/>
      <c r="AM1287" s="77"/>
      <c r="AN1287" s="77"/>
      <c r="AO1287" s="77"/>
      <c r="AP1287" s="77"/>
      <c r="AQ1287" s="77" t="s">
        <v>11469</v>
      </c>
      <c r="AR1287" s="77"/>
      <c r="AS1287" s="77"/>
      <c r="AT1287" s="77"/>
      <c r="AU1287" s="77"/>
      <c r="AV1287" s="80" t="str">
        <f>HYPERLINK("https://pbs.twimg.com/media/FrGX1dhWYAAvnBW.jpg")</f>
        <v>https://pbs.twimg.com/media/FrGX1dhWYAAvnBW.jpg</v>
      </c>
      <c r="AW1287" s="82" t="s">
        <v>13469</v>
      </c>
      <c r="AX1287" s="82" t="s">
        <v>13469</v>
      </c>
      <c r="AY1287" s="77"/>
      <c r="AZ1287" s="82" t="s">
        <v>15804</v>
      </c>
      <c r="BA1287" s="82" t="s">
        <v>15804</v>
      </c>
      <c r="BB1287" s="82" t="s">
        <v>15804</v>
      </c>
      <c r="BC1287" s="82" t="s">
        <v>13469</v>
      </c>
      <c r="BD1287" s="77">
        <v>1755376614</v>
      </c>
      <c r="BE1287" s="77"/>
      <c r="BF1287" s="77"/>
      <c r="BG1287" s="77"/>
      <c r="BH1287" s="77"/>
      <c r="BI1287" s="77"/>
    </row>
    <row r="1288" spans="1:61" x14ac:dyDescent="0.25">
      <c r="A1288" s="62" t="s">
        <v>616</v>
      </c>
      <c r="B1288" s="62" t="s">
        <v>616</v>
      </c>
      <c r="C1288" s="63"/>
      <c r="D1288" s="64"/>
      <c r="E1288" s="65"/>
      <c r="F1288" s="66"/>
      <c r="G1288" s="63"/>
      <c r="H1288" s="67"/>
      <c r="I1288" s="68"/>
      <c r="J1288" s="68"/>
      <c r="K1288" s="32"/>
      <c r="L1288" s="75">
        <v>1288</v>
      </c>
      <c r="M1288" s="75"/>
      <c r="N1288" s="70"/>
      <c r="O1288" s="77" t="s">
        <v>179</v>
      </c>
      <c r="P1288" s="79">
        <v>44928.624305555553</v>
      </c>
      <c r="Q1288" s="77" t="s">
        <v>2381</v>
      </c>
      <c r="R1288" s="77">
        <v>0</v>
      </c>
      <c r="S1288" s="77">
        <v>0</v>
      </c>
      <c r="T1288" s="77">
        <v>0</v>
      </c>
      <c r="U1288" s="77">
        <v>0</v>
      </c>
      <c r="V1288" s="77">
        <v>6</v>
      </c>
      <c r="W1288" s="82" t="s">
        <v>4957</v>
      </c>
      <c r="X1288" s="80" t="str">
        <f>HYPERLINK("https://cutt.ly/T1vb7J3")</f>
        <v>https://cutt.ly/T1vb7J3</v>
      </c>
      <c r="Y1288" s="77" t="s">
        <v>6066</v>
      </c>
      <c r="Z1288" s="77"/>
      <c r="AA1288" s="77" t="s">
        <v>6963</v>
      </c>
      <c r="AB1288" s="77" t="s">
        <v>7696</v>
      </c>
      <c r="AC1288" s="82" t="s">
        <v>7706</v>
      </c>
      <c r="AD1288" s="77" t="s">
        <v>7745</v>
      </c>
      <c r="AE1288" s="80" t="str">
        <f>HYPERLINK("https://twitter.com/portalestacao/status/1609927242385182720")</f>
        <v>https://twitter.com/portalestacao/status/1609927242385182720</v>
      </c>
      <c r="AF1288" s="79">
        <v>44928.624305555553</v>
      </c>
      <c r="AG1288" s="85">
        <v>44928</v>
      </c>
      <c r="AH1288" s="82" t="s">
        <v>8899</v>
      </c>
      <c r="AI1288" s="77" t="b">
        <v>0</v>
      </c>
      <c r="AJ1288" s="77"/>
      <c r="AK1288" s="77"/>
      <c r="AL1288" s="77"/>
      <c r="AM1288" s="77"/>
      <c r="AN1288" s="77"/>
      <c r="AO1288" s="77"/>
      <c r="AP1288" s="77"/>
      <c r="AQ1288" s="77" t="s">
        <v>11470</v>
      </c>
      <c r="AR1288" s="77"/>
      <c r="AS1288" s="77"/>
      <c r="AT1288" s="77"/>
      <c r="AU1288" s="77"/>
      <c r="AV1288" s="80" t="str">
        <f>HYPERLINK("https://pbs.twimg.com/media/FksTd1GWYAEs2dx.jpg")</f>
        <v>https://pbs.twimg.com/media/FksTd1GWYAEs2dx.jpg</v>
      </c>
      <c r="AW1288" s="82" t="s">
        <v>13470</v>
      </c>
      <c r="AX1288" s="82" t="s">
        <v>13470</v>
      </c>
      <c r="AY1288" s="77"/>
      <c r="AZ1288" s="82" t="s">
        <v>15804</v>
      </c>
      <c r="BA1288" s="82" t="s">
        <v>15804</v>
      </c>
      <c r="BB1288" s="82" t="s">
        <v>15804</v>
      </c>
      <c r="BC1288" s="82" t="s">
        <v>13470</v>
      </c>
      <c r="BD1288" s="77">
        <v>1755376614</v>
      </c>
      <c r="BE1288" s="77"/>
      <c r="BF1288" s="77"/>
      <c r="BG1288" s="77"/>
      <c r="BH1288" s="77"/>
      <c r="BI1288" s="77"/>
    </row>
    <row r="1289" spans="1:61" x14ac:dyDescent="0.25">
      <c r="A1289" s="62" t="s">
        <v>617</v>
      </c>
      <c r="B1289" s="62" t="s">
        <v>1058</v>
      </c>
      <c r="C1289" s="63"/>
      <c r="D1289" s="64"/>
      <c r="E1289" s="65"/>
      <c r="F1289" s="66"/>
      <c r="G1289" s="63"/>
      <c r="H1289" s="67"/>
      <c r="I1289" s="68"/>
      <c r="J1289" s="68"/>
      <c r="K1289" s="32"/>
      <c r="L1289" s="75">
        <v>1289</v>
      </c>
      <c r="M1289" s="75"/>
      <c r="N1289" s="70"/>
      <c r="O1289" s="77" t="s">
        <v>1133</v>
      </c>
      <c r="P1289" s="79">
        <v>44983.566342592596</v>
      </c>
      <c r="Q1289" s="77" t="s">
        <v>2382</v>
      </c>
      <c r="R1289" s="77">
        <v>0</v>
      </c>
      <c r="S1289" s="77">
        <v>0</v>
      </c>
      <c r="T1289" s="77">
        <v>0</v>
      </c>
      <c r="U1289" s="77">
        <v>0</v>
      </c>
      <c r="V1289" s="77">
        <v>23</v>
      </c>
      <c r="W1289" s="82" t="s">
        <v>4958</v>
      </c>
      <c r="X1289" s="80" t="str">
        <f>HYPERLINK("https://youtube.com/shorts/cyXvPhne7YU?feature=share")</f>
        <v>https://youtube.com/shorts/cyXvPhne7YU?feature=share</v>
      </c>
      <c r="Y1289" s="77" t="s">
        <v>6006</v>
      </c>
      <c r="Z1289" s="77" t="s">
        <v>1058</v>
      </c>
      <c r="AA1289" s="77"/>
      <c r="AB1289" s="77"/>
      <c r="AC1289" s="82" t="s">
        <v>7705</v>
      </c>
      <c r="AD1289" s="77" t="s">
        <v>7745</v>
      </c>
      <c r="AE1289" s="80" t="str">
        <f>HYPERLINK("https://twitter.com/missao_renda/status/1629837569939714051")</f>
        <v>https://twitter.com/missao_renda/status/1629837569939714051</v>
      </c>
      <c r="AF1289" s="79">
        <v>44983.566342592596</v>
      </c>
      <c r="AG1289" s="85">
        <v>44983</v>
      </c>
      <c r="AH1289" s="82" t="s">
        <v>8901</v>
      </c>
      <c r="AI1289" s="77" t="b">
        <v>0</v>
      </c>
      <c r="AJ1289" s="77"/>
      <c r="AK1289" s="77"/>
      <c r="AL1289" s="77"/>
      <c r="AM1289" s="77"/>
      <c r="AN1289" s="77"/>
      <c r="AO1289" s="77"/>
      <c r="AP1289" s="77"/>
      <c r="AQ1289" s="77"/>
      <c r="AR1289" s="77"/>
      <c r="AS1289" s="77"/>
      <c r="AT1289" s="77"/>
      <c r="AU1289" s="77"/>
      <c r="AV1289" s="80" t="str">
        <f>HYPERLINK("https://pbs.twimg.com/profile_images/1607367918798372865/hgyduReQ_normal.jpg")</f>
        <v>https://pbs.twimg.com/profile_images/1607367918798372865/hgyduReQ_normal.jpg</v>
      </c>
      <c r="AW1289" s="82" t="s">
        <v>13471</v>
      </c>
      <c r="AX1289" s="82" t="s">
        <v>13471</v>
      </c>
      <c r="AY1289" s="77"/>
      <c r="AZ1289" s="82" t="s">
        <v>15804</v>
      </c>
      <c r="BA1289" s="82" t="s">
        <v>15804</v>
      </c>
      <c r="BB1289" s="82" t="s">
        <v>15804</v>
      </c>
      <c r="BC1289" s="82" t="s">
        <v>13471</v>
      </c>
      <c r="BD1289" s="82" t="s">
        <v>16357</v>
      </c>
      <c r="BE1289" s="77"/>
      <c r="BF1289" s="77"/>
      <c r="BG1289" s="77"/>
      <c r="BH1289" s="77"/>
      <c r="BI1289" s="77"/>
    </row>
    <row r="1290" spans="1:61" x14ac:dyDescent="0.25">
      <c r="A1290" s="62" t="s">
        <v>618</v>
      </c>
      <c r="B1290" s="62" t="s">
        <v>618</v>
      </c>
      <c r="C1290" s="63"/>
      <c r="D1290" s="64"/>
      <c r="E1290" s="65"/>
      <c r="F1290" s="66"/>
      <c r="G1290" s="63"/>
      <c r="H1290" s="67"/>
      <c r="I1290" s="68"/>
      <c r="J1290" s="68"/>
      <c r="K1290" s="32"/>
      <c r="L1290" s="75">
        <v>1290</v>
      </c>
      <c r="M1290" s="75"/>
      <c r="N1290" s="70"/>
      <c r="O1290" s="77" t="s">
        <v>179</v>
      </c>
      <c r="P1290" s="79">
        <v>45179.561249999999</v>
      </c>
      <c r="Q1290" s="77" t="s">
        <v>2383</v>
      </c>
      <c r="R1290" s="77">
        <v>0</v>
      </c>
      <c r="S1290" s="77">
        <v>0</v>
      </c>
      <c r="T1290" s="77">
        <v>0</v>
      </c>
      <c r="U1290" s="77">
        <v>0</v>
      </c>
      <c r="V1290" s="77">
        <v>28</v>
      </c>
      <c r="W1290" s="82" t="s">
        <v>4959</v>
      </c>
      <c r="X1290" s="77"/>
      <c r="Y1290" s="77"/>
      <c r="Z1290" s="77"/>
      <c r="AA1290" s="77"/>
      <c r="AB1290" s="77"/>
      <c r="AC1290" s="82" t="s">
        <v>7706</v>
      </c>
      <c r="AD1290" s="77" t="s">
        <v>7745</v>
      </c>
      <c r="AE1290" s="80" t="str">
        <f>HYPERLINK("https://twitter.com/majordagrana/status/1700863746799812968")</f>
        <v>https://twitter.com/majordagrana/status/1700863746799812968</v>
      </c>
      <c r="AF1290" s="79">
        <v>45179.561249999999</v>
      </c>
      <c r="AG1290" s="85">
        <v>45179</v>
      </c>
      <c r="AH1290" s="82" t="s">
        <v>8902</v>
      </c>
      <c r="AI1290" s="77"/>
      <c r="AJ1290" s="77"/>
      <c r="AK1290" s="77"/>
      <c r="AL1290" s="77"/>
      <c r="AM1290" s="77"/>
      <c r="AN1290" s="77"/>
      <c r="AO1290" s="77"/>
      <c r="AP1290" s="77"/>
      <c r="AQ1290" s="77"/>
      <c r="AR1290" s="77"/>
      <c r="AS1290" s="77"/>
      <c r="AT1290" s="77"/>
      <c r="AU1290" s="77"/>
      <c r="AV1290" s="80" t="str">
        <f>HYPERLINK("https://pbs.twimg.com/profile_images/1700862848585330688/XQxoGQjw_normal.jpg")</f>
        <v>https://pbs.twimg.com/profile_images/1700862848585330688/XQxoGQjw_normal.jpg</v>
      </c>
      <c r="AW1290" s="82" t="s">
        <v>13472</v>
      </c>
      <c r="AX1290" s="82" t="s">
        <v>13472</v>
      </c>
      <c r="AY1290" s="77"/>
      <c r="AZ1290" s="82" t="s">
        <v>15804</v>
      </c>
      <c r="BA1290" s="82" t="s">
        <v>15804</v>
      </c>
      <c r="BB1290" s="82" t="s">
        <v>15804</v>
      </c>
      <c r="BC1290" s="82" t="s">
        <v>13472</v>
      </c>
      <c r="BD1290" s="82" t="s">
        <v>16358</v>
      </c>
      <c r="BE1290" s="77"/>
      <c r="BF1290" s="77"/>
      <c r="BG1290" s="77"/>
      <c r="BH1290" s="77"/>
      <c r="BI1290" s="77"/>
    </row>
    <row r="1291" spans="1:61" x14ac:dyDescent="0.25">
      <c r="A1291" s="62" t="s">
        <v>618</v>
      </c>
      <c r="B1291" s="62" t="s">
        <v>618</v>
      </c>
      <c r="C1291" s="63"/>
      <c r="D1291" s="64"/>
      <c r="E1291" s="65"/>
      <c r="F1291" s="66"/>
      <c r="G1291" s="63"/>
      <c r="H1291" s="67"/>
      <c r="I1291" s="68"/>
      <c r="J1291" s="68"/>
      <c r="K1291" s="32"/>
      <c r="L1291" s="75">
        <v>1291</v>
      </c>
      <c r="M1291" s="75"/>
      <c r="N1291" s="70"/>
      <c r="O1291" s="77" t="s">
        <v>179</v>
      </c>
      <c r="P1291" s="79">
        <v>45179.560659722221</v>
      </c>
      <c r="Q1291" s="77" t="s">
        <v>2384</v>
      </c>
      <c r="R1291" s="77">
        <v>0</v>
      </c>
      <c r="S1291" s="77">
        <v>0</v>
      </c>
      <c r="T1291" s="77">
        <v>0</v>
      </c>
      <c r="U1291" s="77">
        <v>0</v>
      </c>
      <c r="V1291" s="77">
        <v>30</v>
      </c>
      <c r="W1291" s="82" t="s">
        <v>4960</v>
      </c>
      <c r="X1291" s="77"/>
      <c r="Y1291" s="77"/>
      <c r="Z1291" s="77"/>
      <c r="AA1291" s="77"/>
      <c r="AB1291" s="77"/>
      <c r="AC1291" s="82" t="s">
        <v>7706</v>
      </c>
      <c r="AD1291" s="77" t="s">
        <v>7745</v>
      </c>
      <c r="AE1291" s="80" t="str">
        <f>HYPERLINK("https://twitter.com/majordagrana/status/1700863531485221245")</f>
        <v>https://twitter.com/majordagrana/status/1700863531485221245</v>
      </c>
      <c r="AF1291" s="79">
        <v>45179.560659722221</v>
      </c>
      <c r="AG1291" s="85">
        <v>45179</v>
      </c>
      <c r="AH1291" s="82" t="s">
        <v>8903</v>
      </c>
      <c r="AI1291" s="77"/>
      <c r="AJ1291" s="77"/>
      <c r="AK1291" s="77"/>
      <c r="AL1291" s="77"/>
      <c r="AM1291" s="77"/>
      <c r="AN1291" s="77"/>
      <c r="AO1291" s="77"/>
      <c r="AP1291" s="77"/>
      <c r="AQ1291" s="77"/>
      <c r="AR1291" s="77"/>
      <c r="AS1291" s="77"/>
      <c r="AT1291" s="77"/>
      <c r="AU1291" s="77"/>
      <c r="AV1291" s="80" t="str">
        <f>HYPERLINK("https://pbs.twimg.com/profile_images/1700862848585330688/XQxoGQjw_normal.jpg")</f>
        <v>https://pbs.twimg.com/profile_images/1700862848585330688/XQxoGQjw_normal.jpg</v>
      </c>
      <c r="AW1291" s="82" t="s">
        <v>13473</v>
      </c>
      <c r="AX1291" s="82" t="s">
        <v>13473</v>
      </c>
      <c r="AY1291" s="77"/>
      <c r="AZ1291" s="82" t="s">
        <v>15804</v>
      </c>
      <c r="BA1291" s="82" t="s">
        <v>15804</v>
      </c>
      <c r="BB1291" s="82" t="s">
        <v>15804</v>
      </c>
      <c r="BC1291" s="82" t="s">
        <v>13473</v>
      </c>
      <c r="BD1291" s="82" t="s">
        <v>16358</v>
      </c>
      <c r="BE1291" s="77"/>
      <c r="BF1291" s="77"/>
      <c r="BG1291" s="77"/>
      <c r="BH1291" s="77"/>
      <c r="BI1291" s="77"/>
    </row>
    <row r="1292" spans="1:61" x14ac:dyDescent="0.25">
      <c r="A1292" s="62" t="s">
        <v>619</v>
      </c>
      <c r="B1292" s="62" t="s">
        <v>619</v>
      </c>
      <c r="C1292" s="63"/>
      <c r="D1292" s="64"/>
      <c r="E1292" s="65"/>
      <c r="F1292" s="66"/>
      <c r="G1292" s="63"/>
      <c r="H1292" s="67"/>
      <c r="I1292" s="68"/>
      <c r="J1292" s="68"/>
      <c r="K1292" s="32"/>
      <c r="L1292" s="75">
        <v>1292</v>
      </c>
      <c r="M1292" s="75"/>
      <c r="N1292" s="70"/>
      <c r="O1292" s="77" t="s">
        <v>179</v>
      </c>
      <c r="P1292" s="79">
        <v>45096.85261574074</v>
      </c>
      <c r="Q1292" s="77" t="s">
        <v>2385</v>
      </c>
      <c r="R1292" s="77">
        <v>0</v>
      </c>
      <c r="S1292" s="77">
        <v>0</v>
      </c>
      <c r="T1292" s="77">
        <v>0</v>
      </c>
      <c r="U1292" s="77">
        <v>0</v>
      </c>
      <c r="V1292" s="77">
        <v>11</v>
      </c>
      <c r="W1292" s="82" t="s">
        <v>4961</v>
      </c>
      <c r="X1292" s="77"/>
      <c r="Y1292" s="77"/>
      <c r="Z1292" s="77"/>
      <c r="AA1292" s="77" t="s">
        <v>6964</v>
      </c>
      <c r="AB1292" s="77" t="s">
        <v>7700</v>
      </c>
      <c r="AC1292" s="82" t="s">
        <v>7706</v>
      </c>
      <c r="AD1292" s="77" t="s">
        <v>7745</v>
      </c>
      <c r="AE1292" s="80" t="str">
        <f>HYPERLINK("https://twitter.com/moprify/status/1670891141221212160")</f>
        <v>https://twitter.com/moprify/status/1670891141221212160</v>
      </c>
      <c r="AF1292" s="79">
        <v>45096.85261574074</v>
      </c>
      <c r="AG1292" s="85">
        <v>45096</v>
      </c>
      <c r="AH1292" s="82" t="s">
        <v>8904</v>
      </c>
      <c r="AI1292" s="77" t="b">
        <v>0</v>
      </c>
      <c r="AJ1292" s="77"/>
      <c r="AK1292" s="77"/>
      <c r="AL1292" s="77"/>
      <c r="AM1292" s="77"/>
      <c r="AN1292" s="77"/>
      <c r="AO1292" s="77"/>
      <c r="AP1292" s="77"/>
      <c r="AQ1292" s="77" t="s">
        <v>11471</v>
      </c>
      <c r="AR1292" s="77"/>
      <c r="AS1292" s="77"/>
      <c r="AT1292" s="77"/>
      <c r="AU1292" s="77"/>
      <c r="AV1292" s="80" t="str">
        <f>HYPERLINK("https://pbs.twimg.com/media/FzAxPjDWcAMZr-X.png")</f>
        <v>https://pbs.twimg.com/media/FzAxPjDWcAMZr-X.png</v>
      </c>
      <c r="AW1292" s="82" t="s">
        <v>13474</v>
      </c>
      <c r="AX1292" s="82" t="s">
        <v>13474</v>
      </c>
      <c r="AY1292" s="77"/>
      <c r="AZ1292" s="82" t="s">
        <v>15804</v>
      </c>
      <c r="BA1292" s="82" t="s">
        <v>15804</v>
      </c>
      <c r="BB1292" s="82" t="s">
        <v>15804</v>
      </c>
      <c r="BC1292" s="82" t="s">
        <v>13474</v>
      </c>
      <c r="BD1292" s="82" t="s">
        <v>16359</v>
      </c>
      <c r="BE1292" s="77"/>
      <c r="BF1292" s="77"/>
      <c r="BG1292" s="77"/>
      <c r="BH1292" s="77"/>
      <c r="BI1292" s="77"/>
    </row>
    <row r="1293" spans="1:61" x14ac:dyDescent="0.25">
      <c r="A1293" s="62" t="s">
        <v>620</v>
      </c>
      <c r="B1293" s="62" t="s">
        <v>891</v>
      </c>
      <c r="C1293" s="63"/>
      <c r="D1293" s="64"/>
      <c r="E1293" s="65"/>
      <c r="F1293" s="66"/>
      <c r="G1293" s="63"/>
      <c r="H1293" s="67"/>
      <c r="I1293" s="68"/>
      <c r="J1293" s="68"/>
      <c r="K1293" s="32"/>
      <c r="L1293" s="75">
        <v>1293</v>
      </c>
      <c r="M1293" s="75"/>
      <c r="N1293" s="70"/>
      <c r="O1293" s="77" t="s">
        <v>1134</v>
      </c>
      <c r="P1293" s="79">
        <v>45176.45585648148</v>
      </c>
      <c r="Q1293" s="77" t="s">
        <v>2386</v>
      </c>
      <c r="R1293" s="77">
        <v>4</v>
      </c>
      <c r="S1293" s="77">
        <v>0</v>
      </c>
      <c r="T1293" s="77">
        <v>0</v>
      </c>
      <c r="U1293" s="77">
        <v>0</v>
      </c>
      <c r="V1293" s="77"/>
      <c r="W1293" s="82" t="s">
        <v>4962</v>
      </c>
      <c r="X1293" s="77"/>
      <c r="Y1293" s="77"/>
      <c r="Z1293" s="77" t="s">
        <v>891</v>
      </c>
      <c r="AA1293" s="77"/>
      <c r="AB1293" s="77"/>
      <c r="AC1293" s="82" t="s">
        <v>7707</v>
      </c>
      <c r="AD1293" s="77" t="s">
        <v>7745</v>
      </c>
      <c r="AE1293" s="80" t="str">
        <f>HYPERLINK("https://twitter.com/marccos_pessoa/status/1699738390495736311")</f>
        <v>https://twitter.com/marccos_pessoa/status/1699738390495736311</v>
      </c>
      <c r="AF1293" s="79">
        <v>45176.45585648148</v>
      </c>
      <c r="AG1293" s="85">
        <v>45176</v>
      </c>
      <c r="AH1293" s="82" t="s">
        <v>8905</v>
      </c>
      <c r="AI1293" s="77"/>
      <c r="AJ1293" s="77"/>
      <c r="AK1293" s="77"/>
      <c r="AL1293" s="77"/>
      <c r="AM1293" s="77"/>
      <c r="AN1293" s="77"/>
      <c r="AO1293" s="77"/>
      <c r="AP1293" s="77"/>
      <c r="AQ1293" s="77"/>
      <c r="AR1293" s="77"/>
      <c r="AS1293" s="77"/>
      <c r="AT1293" s="77"/>
      <c r="AU1293" s="77"/>
      <c r="AV1293" s="80" t="str">
        <f>HYPERLINK("https://pbs.twimg.com/profile_images/1699442646337429504/d8Ys4sPg_normal.jpg")</f>
        <v>https://pbs.twimg.com/profile_images/1699442646337429504/d8Ys4sPg_normal.jpg</v>
      </c>
      <c r="AW1293" s="82" t="s">
        <v>13475</v>
      </c>
      <c r="AX1293" s="82" t="s">
        <v>13475</v>
      </c>
      <c r="AY1293" s="77"/>
      <c r="AZ1293" s="82" t="s">
        <v>15804</v>
      </c>
      <c r="BA1293" s="82" t="s">
        <v>15804</v>
      </c>
      <c r="BB1293" s="82" t="s">
        <v>14424</v>
      </c>
      <c r="BC1293" s="82" t="s">
        <v>14424</v>
      </c>
      <c r="BD1293" s="82" t="s">
        <v>16360</v>
      </c>
      <c r="BE1293" s="77"/>
      <c r="BF1293" s="77"/>
      <c r="BG1293" s="77"/>
      <c r="BH1293" s="77"/>
      <c r="BI1293" s="77"/>
    </row>
    <row r="1294" spans="1:61" x14ac:dyDescent="0.25">
      <c r="A1294" s="62" t="s">
        <v>621</v>
      </c>
      <c r="B1294" s="62" t="s">
        <v>621</v>
      </c>
      <c r="C1294" s="63"/>
      <c r="D1294" s="64"/>
      <c r="E1294" s="65"/>
      <c r="F1294" s="66"/>
      <c r="G1294" s="63"/>
      <c r="H1294" s="67"/>
      <c r="I1294" s="68"/>
      <c r="J1294" s="68"/>
      <c r="K1294" s="32"/>
      <c r="L1294" s="75">
        <v>1294</v>
      </c>
      <c r="M1294" s="75"/>
      <c r="N1294" s="70"/>
      <c r="O1294" s="77" t="s">
        <v>179</v>
      </c>
      <c r="P1294" s="79">
        <v>44997.920277777775</v>
      </c>
      <c r="Q1294" s="77" t="s">
        <v>2387</v>
      </c>
      <c r="R1294" s="77">
        <v>0</v>
      </c>
      <c r="S1294" s="77">
        <v>0</v>
      </c>
      <c r="T1294" s="77">
        <v>0</v>
      </c>
      <c r="U1294" s="77">
        <v>0</v>
      </c>
      <c r="V1294" s="77">
        <v>25</v>
      </c>
      <c r="W1294" s="82" t="s">
        <v>4963</v>
      </c>
      <c r="X1294" s="77"/>
      <c r="Y1294" s="77"/>
      <c r="Z1294" s="77"/>
      <c r="AA1294" s="77"/>
      <c r="AB1294" s="77"/>
      <c r="AC1294" s="82" t="s">
        <v>7705</v>
      </c>
      <c r="AD1294" s="77" t="s">
        <v>7745</v>
      </c>
      <c r="AE1294" s="80" t="str">
        <f>HYPERLINK("https://twitter.com/thiagosouzaeng/status/1635039264118554625")</f>
        <v>https://twitter.com/thiagosouzaeng/status/1635039264118554625</v>
      </c>
      <c r="AF1294" s="79">
        <v>44997.920277777775</v>
      </c>
      <c r="AG1294" s="85">
        <v>44997</v>
      </c>
      <c r="AH1294" s="82" t="s">
        <v>8906</v>
      </c>
      <c r="AI1294" s="77"/>
      <c r="AJ1294" s="77"/>
      <c r="AK1294" s="77"/>
      <c r="AL1294" s="77"/>
      <c r="AM1294" s="77"/>
      <c r="AN1294" s="77"/>
      <c r="AO1294" s="77"/>
      <c r="AP1294" s="77"/>
      <c r="AQ1294" s="77"/>
      <c r="AR1294" s="77"/>
      <c r="AS1294" s="77"/>
      <c r="AT1294" s="77"/>
      <c r="AU1294" s="77"/>
      <c r="AV1294" s="80" t="str">
        <f>HYPERLINK("https://pbs.twimg.com/profile_images/1698853708224774144/oZf4DPoZ_normal.jpg")</f>
        <v>https://pbs.twimg.com/profile_images/1698853708224774144/oZf4DPoZ_normal.jpg</v>
      </c>
      <c r="AW1294" s="82" t="s">
        <v>13476</v>
      </c>
      <c r="AX1294" s="82" t="s">
        <v>13476</v>
      </c>
      <c r="AY1294" s="77"/>
      <c r="AZ1294" s="82" t="s">
        <v>15804</v>
      </c>
      <c r="BA1294" s="82" t="s">
        <v>15804</v>
      </c>
      <c r="BB1294" s="82" t="s">
        <v>15804</v>
      </c>
      <c r="BC1294" s="82" t="s">
        <v>13476</v>
      </c>
      <c r="BD1294" s="82" t="s">
        <v>16361</v>
      </c>
      <c r="BE1294" s="77"/>
      <c r="BF1294" s="77"/>
      <c r="BG1294" s="77"/>
      <c r="BH1294" s="77"/>
      <c r="BI1294" s="77"/>
    </row>
    <row r="1295" spans="1:61" x14ac:dyDescent="0.25">
      <c r="A1295" s="62" t="s">
        <v>622</v>
      </c>
      <c r="B1295" s="62" t="s">
        <v>622</v>
      </c>
      <c r="C1295" s="63"/>
      <c r="D1295" s="64"/>
      <c r="E1295" s="65"/>
      <c r="F1295" s="66"/>
      <c r="G1295" s="63"/>
      <c r="H1295" s="67"/>
      <c r="I1295" s="68"/>
      <c r="J1295" s="68"/>
      <c r="K1295" s="32"/>
      <c r="L1295" s="75">
        <v>1295</v>
      </c>
      <c r="M1295" s="75"/>
      <c r="N1295" s="70"/>
      <c r="O1295" s="77" t="s">
        <v>1132</v>
      </c>
      <c r="P1295" s="79">
        <v>44982.051423611112</v>
      </c>
      <c r="Q1295" s="77" t="s">
        <v>2388</v>
      </c>
      <c r="R1295" s="77">
        <v>0</v>
      </c>
      <c r="S1295" s="77">
        <v>0</v>
      </c>
      <c r="T1295" s="77">
        <v>0</v>
      </c>
      <c r="U1295" s="77">
        <v>0</v>
      </c>
      <c r="V1295" s="77">
        <v>2</v>
      </c>
      <c r="W1295" s="82" t="s">
        <v>4964</v>
      </c>
      <c r="X1295" s="77"/>
      <c r="Y1295" s="77"/>
      <c r="Z1295" s="77"/>
      <c r="AA1295" s="77"/>
      <c r="AB1295" s="77"/>
      <c r="AC1295" s="82" t="s">
        <v>7706</v>
      </c>
      <c r="AD1295" s="77" t="s">
        <v>7745</v>
      </c>
      <c r="AE1295" s="80" t="str">
        <f>HYPERLINK("https://twitter.com/consultoramadii/status/1629288583788937217")</f>
        <v>https://twitter.com/consultoramadii/status/1629288583788937217</v>
      </c>
      <c r="AF1295" s="79">
        <v>44982.051423611112</v>
      </c>
      <c r="AG1295" s="85">
        <v>44982</v>
      </c>
      <c r="AH1295" s="82" t="s">
        <v>8907</v>
      </c>
      <c r="AI1295" s="77"/>
      <c r="AJ1295" s="77"/>
      <c r="AK1295" s="77"/>
      <c r="AL1295" s="77"/>
      <c r="AM1295" s="77"/>
      <c r="AN1295" s="77"/>
      <c r="AO1295" s="77"/>
      <c r="AP1295" s="77"/>
      <c r="AQ1295" s="77"/>
      <c r="AR1295" s="77"/>
      <c r="AS1295" s="77"/>
      <c r="AT1295" s="77"/>
      <c r="AU1295" s="77"/>
      <c r="AV1295" s="80" t="str">
        <f>HYPERLINK("https://pbs.twimg.com/profile_images/1629283315478851584/32WO5yq__normal.jpg")</f>
        <v>https://pbs.twimg.com/profile_images/1629283315478851584/32WO5yq__normal.jpg</v>
      </c>
      <c r="AW1295" s="82" t="s">
        <v>13477</v>
      </c>
      <c r="AX1295" s="82" t="s">
        <v>15321</v>
      </c>
      <c r="AY1295" s="82" t="s">
        <v>15739</v>
      </c>
      <c r="AZ1295" s="82" t="s">
        <v>15874</v>
      </c>
      <c r="BA1295" s="82" t="s">
        <v>15804</v>
      </c>
      <c r="BB1295" s="82" t="s">
        <v>15804</v>
      </c>
      <c r="BC1295" s="82" t="s">
        <v>15874</v>
      </c>
      <c r="BD1295" s="82" t="s">
        <v>15739</v>
      </c>
      <c r="BE1295" s="77"/>
      <c r="BF1295" s="77"/>
      <c r="BG1295" s="77"/>
      <c r="BH1295" s="77"/>
      <c r="BI1295" s="77"/>
    </row>
    <row r="1296" spans="1:61" x14ac:dyDescent="0.25">
      <c r="A1296" s="62" t="s">
        <v>623</v>
      </c>
      <c r="B1296" s="62" t="s">
        <v>623</v>
      </c>
      <c r="C1296" s="63"/>
      <c r="D1296" s="64"/>
      <c r="E1296" s="65"/>
      <c r="F1296" s="66"/>
      <c r="G1296" s="63"/>
      <c r="H1296" s="67"/>
      <c r="I1296" s="68"/>
      <c r="J1296" s="68"/>
      <c r="K1296" s="32"/>
      <c r="L1296" s="75">
        <v>1296</v>
      </c>
      <c r="M1296" s="75"/>
      <c r="N1296" s="70"/>
      <c r="O1296" s="77" t="s">
        <v>1132</v>
      </c>
      <c r="P1296" s="79">
        <v>45070.569305555553</v>
      </c>
      <c r="Q1296" s="77" t="s">
        <v>2389</v>
      </c>
      <c r="R1296" s="77">
        <v>0</v>
      </c>
      <c r="S1296" s="77">
        <v>1</v>
      </c>
      <c r="T1296" s="77">
        <v>1</v>
      </c>
      <c r="U1296" s="77">
        <v>0</v>
      </c>
      <c r="V1296" s="77">
        <v>23</v>
      </c>
      <c r="W1296" s="82" t="s">
        <v>4965</v>
      </c>
      <c r="X1296" s="77"/>
      <c r="Y1296" s="77"/>
      <c r="Z1296" s="77"/>
      <c r="AA1296" s="77"/>
      <c r="AB1296" s="77"/>
      <c r="AC1296" s="82" t="s">
        <v>7706</v>
      </c>
      <c r="AD1296" s="77" t="s">
        <v>7745</v>
      </c>
      <c r="AE1296" s="80" t="str">
        <f>HYPERLINK("https://twitter.com/assessoremanuel/status/1661366387783106563")</f>
        <v>https://twitter.com/assessoremanuel/status/1661366387783106563</v>
      </c>
      <c r="AF1296" s="79">
        <v>45070.569305555553</v>
      </c>
      <c r="AG1296" s="85">
        <v>45070</v>
      </c>
      <c r="AH1296" s="82" t="s">
        <v>8908</v>
      </c>
      <c r="AI1296" s="77"/>
      <c r="AJ1296" s="77"/>
      <c r="AK1296" s="77"/>
      <c r="AL1296" s="77"/>
      <c r="AM1296" s="77"/>
      <c r="AN1296" s="77"/>
      <c r="AO1296" s="77"/>
      <c r="AP1296" s="77"/>
      <c r="AQ1296" s="77"/>
      <c r="AR1296" s="77"/>
      <c r="AS1296" s="77"/>
      <c r="AT1296" s="77"/>
      <c r="AU1296" s="77"/>
      <c r="AV1296" s="80" t="str">
        <f>HYPERLINK("https://pbs.twimg.com/profile_images/1545181990638567429/phJy2Fw5_normal.jpg")</f>
        <v>https://pbs.twimg.com/profile_images/1545181990638567429/phJy2Fw5_normal.jpg</v>
      </c>
      <c r="AW1296" s="82" t="s">
        <v>13478</v>
      </c>
      <c r="AX1296" s="82" t="s">
        <v>15322</v>
      </c>
      <c r="AY1296" s="82" t="s">
        <v>15740</v>
      </c>
      <c r="AZ1296" s="82" t="s">
        <v>15875</v>
      </c>
      <c r="BA1296" s="82" t="s">
        <v>15804</v>
      </c>
      <c r="BB1296" s="82" t="s">
        <v>15804</v>
      </c>
      <c r="BC1296" s="82" t="s">
        <v>15875</v>
      </c>
      <c r="BD1296" s="82" t="s">
        <v>15740</v>
      </c>
      <c r="BE1296" s="77"/>
      <c r="BF1296" s="77"/>
      <c r="BG1296" s="77"/>
      <c r="BH1296" s="77"/>
      <c r="BI1296" s="77"/>
    </row>
    <row r="1297" spans="1:61" x14ac:dyDescent="0.25">
      <c r="A1297" s="62" t="s">
        <v>623</v>
      </c>
      <c r="B1297" s="62" t="s">
        <v>623</v>
      </c>
      <c r="C1297" s="63"/>
      <c r="D1297" s="64"/>
      <c r="E1297" s="65"/>
      <c r="F1297" s="66"/>
      <c r="G1297" s="63"/>
      <c r="H1297" s="67"/>
      <c r="I1297" s="68"/>
      <c r="J1297" s="68"/>
      <c r="K1297" s="32"/>
      <c r="L1297" s="75">
        <v>1297</v>
      </c>
      <c r="M1297" s="75"/>
      <c r="N1297" s="70"/>
      <c r="O1297" s="77" t="s">
        <v>1132</v>
      </c>
      <c r="P1297" s="79">
        <v>45070.568761574075</v>
      </c>
      <c r="Q1297" s="77" t="s">
        <v>2390</v>
      </c>
      <c r="R1297" s="77">
        <v>0</v>
      </c>
      <c r="S1297" s="77">
        <v>1</v>
      </c>
      <c r="T1297" s="77">
        <v>1</v>
      </c>
      <c r="U1297" s="77">
        <v>0</v>
      </c>
      <c r="V1297" s="77">
        <v>21</v>
      </c>
      <c r="W1297" s="82" t="s">
        <v>4966</v>
      </c>
      <c r="X1297" s="77"/>
      <c r="Y1297" s="77"/>
      <c r="Z1297" s="77"/>
      <c r="AA1297" s="77"/>
      <c r="AB1297" s="77"/>
      <c r="AC1297" s="82" t="s">
        <v>7706</v>
      </c>
      <c r="AD1297" s="77" t="s">
        <v>7745</v>
      </c>
      <c r="AE1297" s="80" t="str">
        <f>HYPERLINK("https://twitter.com/assessoremanuel/status/1661366193666523138")</f>
        <v>https://twitter.com/assessoremanuel/status/1661366193666523138</v>
      </c>
      <c r="AF1297" s="79">
        <v>45070.568761574075</v>
      </c>
      <c r="AG1297" s="85">
        <v>45070</v>
      </c>
      <c r="AH1297" s="82" t="s">
        <v>8909</v>
      </c>
      <c r="AI1297" s="77"/>
      <c r="AJ1297" s="77"/>
      <c r="AK1297" s="77"/>
      <c r="AL1297" s="77"/>
      <c r="AM1297" s="77"/>
      <c r="AN1297" s="77"/>
      <c r="AO1297" s="77"/>
      <c r="AP1297" s="77"/>
      <c r="AQ1297" s="77"/>
      <c r="AR1297" s="77"/>
      <c r="AS1297" s="77"/>
      <c r="AT1297" s="77"/>
      <c r="AU1297" s="77"/>
      <c r="AV1297" s="80" t="str">
        <f>HYPERLINK("https://pbs.twimg.com/profile_images/1545181990638567429/phJy2Fw5_normal.jpg")</f>
        <v>https://pbs.twimg.com/profile_images/1545181990638567429/phJy2Fw5_normal.jpg</v>
      </c>
      <c r="AW1297" s="82" t="s">
        <v>13479</v>
      </c>
      <c r="AX1297" s="82" t="s">
        <v>15322</v>
      </c>
      <c r="AY1297" s="82" t="s">
        <v>15740</v>
      </c>
      <c r="AZ1297" s="82" t="s">
        <v>15322</v>
      </c>
      <c r="BA1297" s="82" t="s">
        <v>15804</v>
      </c>
      <c r="BB1297" s="82" t="s">
        <v>15804</v>
      </c>
      <c r="BC1297" s="82" t="s">
        <v>15322</v>
      </c>
      <c r="BD1297" s="82" t="s">
        <v>15740</v>
      </c>
      <c r="BE1297" s="77"/>
      <c r="BF1297" s="77"/>
      <c r="BG1297" s="77"/>
      <c r="BH1297" s="77"/>
      <c r="BI1297" s="77"/>
    </row>
    <row r="1298" spans="1:61" x14ac:dyDescent="0.25">
      <c r="A1298" s="62" t="s">
        <v>624</v>
      </c>
      <c r="B1298" s="62" t="s">
        <v>624</v>
      </c>
      <c r="C1298" s="63"/>
      <c r="D1298" s="64"/>
      <c r="E1298" s="65"/>
      <c r="F1298" s="66"/>
      <c r="G1298" s="63"/>
      <c r="H1298" s="67"/>
      <c r="I1298" s="68"/>
      <c r="J1298" s="68"/>
      <c r="K1298" s="32"/>
      <c r="L1298" s="75">
        <v>1298</v>
      </c>
      <c r="M1298" s="75"/>
      <c r="N1298" s="70"/>
      <c r="O1298" s="77" t="s">
        <v>179</v>
      </c>
      <c r="P1298" s="79">
        <v>45177.6327662037</v>
      </c>
      <c r="Q1298" s="77" t="s">
        <v>2391</v>
      </c>
      <c r="R1298" s="77">
        <v>0</v>
      </c>
      <c r="S1298" s="77">
        <v>0</v>
      </c>
      <c r="T1298" s="77">
        <v>1</v>
      </c>
      <c r="U1298" s="77">
        <v>0</v>
      </c>
      <c r="V1298" s="77">
        <v>20</v>
      </c>
      <c r="W1298" s="82" t="s">
        <v>4967</v>
      </c>
      <c r="X1298" s="77"/>
      <c r="Y1298" s="77"/>
      <c r="Z1298" s="77"/>
      <c r="AA1298" s="77" t="s">
        <v>6965</v>
      </c>
      <c r="AB1298" s="77" t="s">
        <v>7697</v>
      </c>
      <c r="AC1298" s="82" t="s">
        <v>7706</v>
      </c>
      <c r="AD1298" s="77" t="s">
        <v>7745</v>
      </c>
      <c r="AE1298" s="80" t="str">
        <f>HYPERLINK("https://twitter.com/odouglasalex/status/1700164889677844566")</f>
        <v>https://twitter.com/odouglasalex/status/1700164889677844566</v>
      </c>
      <c r="AF1298" s="79">
        <v>45177.6327662037</v>
      </c>
      <c r="AG1298" s="85">
        <v>45177</v>
      </c>
      <c r="AH1298" s="82" t="s">
        <v>8910</v>
      </c>
      <c r="AI1298" s="77" t="b">
        <v>0</v>
      </c>
      <c r="AJ1298" s="77"/>
      <c r="AK1298" s="77"/>
      <c r="AL1298" s="77"/>
      <c r="AM1298" s="77"/>
      <c r="AN1298" s="77"/>
      <c r="AO1298" s="77"/>
      <c r="AP1298" s="77"/>
      <c r="AQ1298" s="77" t="s">
        <v>11472</v>
      </c>
      <c r="AR1298" s="77">
        <v>54600</v>
      </c>
      <c r="AS1298" s="77"/>
      <c r="AT1298" s="77"/>
      <c r="AU1298" s="77">
        <v>5</v>
      </c>
      <c r="AV1298" s="80" t="str">
        <f>HYPERLINK("https://pbs.twimg.com/ext_tw_video_thumb/1700164543001825280/pu/img/_1hjTi_x_qzzqB9u.jpg")</f>
        <v>https://pbs.twimg.com/ext_tw_video_thumb/1700164543001825280/pu/img/_1hjTi_x_qzzqB9u.jpg</v>
      </c>
      <c r="AW1298" s="82" t="s">
        <v>13480</v>
      </c>
      <c r="AX1298" s="82" t="s">
        <v>13480</v>
      </c>
      <c r="AY1298" s="77"/>
      <c r="AZ1298" s="82" t="s">
        <v>15804</v>
      </c>
      <c r="BA1298" s="82" t="s">
        <v>15804</v>
      </c>
      <c r="BB1298" s="82" t="s">
        <v>15804</v>
      </c>
      <c r="BC1298" s="82" t="s">
        <v>13480</v>
      </c>
      <c r="BD1298" s="82" t="s">
        <v>16362</v>
      </c>
      <c r="BE1298" s="77"/>
      <c r="BF1298" s="77"/>
      <c r="BG1298" s="77"/>
      <c r="BH1298" s="77"/>
      <c r="BI1298" s="77"/>
    </row>
    <row r="1299" spans="1:61" x14ac:dyDescent="0.25">
      <c r="A1299" s="62" t="s">
        <v>625</v>
      </c>
      <c r="B1299" s="62" t="s">
        <v>625</v>
      </c>
      <c r="C1299" s="63"/>
      <c r="D1299" s="64"/>
      <c r="E1299" s="65"/>
      <c r="F1299" s="66"/>
      <c r="G1299" s="63"/>
      <c r="H1299" s="67"/>
      <c r="I1299" s="68"/>
      <c r="J1299" s="68"/>
      <c r="K1299" s="32"/>
      <c r="L1299" s="75">
        <v>1299</v>
      </c>
      <c r="M1299" s="75"/>
      <c r="N1299" s="70"/>
      <c r="O1299" s="77" t="s">
        <v>179</v>
      </c>
      <c r="P1299" s="79">
        <v>44985.777557870373</v>
      </c>
      <c r="Q1299" s="77" t="s">
        <v>2392</v>
      </c>
      <c r="R1299" s="77">
        <v>0</v>
      </c>
      <c r="S1299" s="77">
        <v>1</v>
      </c>
      <c r="T1299" s="77">
        <v>0</v>
      </c>
      <c r="U1299" s="77">
        <v>0</v>
      </c>
      <c r="V1299" s="77">
        <v>9</v>
      </c>
      <c r="W1299" s="82" t="s">
        <v>4968</v>
      </c>
      <c r="X1299" s="77"/>
      <c r="Y1299" s="77"/>
      <c r="Z1299" s="77"/>
      <c r="AA1299" s="77" t="s">
        <v>6966</v>
      </c>
      <c r="AB1299" s="77" t="s">
        <v>7697</v>
      </c>
      <c r="AC1299" s="82" t="s">
        <v>7707</v>
      </c>
      <c r="AD1299" s="77" t="s">
        <v>7745</v>
      </c>
      <c r="AE1299" s="80" t="str">
        <f>HYPERLINK("https://twitter.com/hmotivationmz/status/1630638888476712960")</f>
        <v>https://twitter.com/hmotivationmz/status/1630638888476712960</v>
      </c>
      <c r="AF1299" s="79">
        <v>44985.777557870373</v>
      </c>
      <c r="AG1299" s="85">
        <v>44985</v>
      </c>
      <c r="AH1299" s="82" t="s">
        <v>8911</v>
      </c>
      <c r="AI1299" s="77" t="b">
        <v>0</v>
      </c>
      <c r="AJ1299" s="77"/>
      <c r="AK1299" s="77"/>
      <c r="AL1299" s="77"/>
      <c r="AM1299" s="77"/>
      <c r="AN1299" s="77"/>
      <c r="AO1299" s="77"/>
      <c r="AP1299" s="77"/>
      <c r="AQ1299" s="77" t="s">
        <v>11473</v>
      </c>
      <c r="AR1299" s="77">
        <v>12422</v>
      </c>
      <c r="AS1299" s="77"/>
      <c r="AT1299" s="77"/>
      <c r="AU1299" s="77">
        <v>5</v>
      </c>
      <c r="AV1299" s="80" t="str">
        <f>HYPERLINK("https://pbs.twimg.com/ext_tw_video_thumb/1630637029158469650/pu/img/SH88QaO4d--Zfa6o.jpg")</f>
        <v>https://pbs.twimg.com/ext_tw_video_thumb/1630637029158469650/pu/img/SH88QaO4d--Zfa6o.jpg</v>
      </c>
      <c r="AW1299" s="82" t="s">
        <v>13481</v>
      </c>
      <c r="AX1299" s="82" t="s">
        <v>13481</v>
      </c>
      <c r="AY1299" s="77"/>
      <c r="AZ1299" s="82" t="s">
        <v>15804</v>
      </c>
      <c r="BA1299" s="82" t="s">
        <v>15804</v>
      </c>
      <c r="BB1299" s="82" t="s">
        <v>15804</v>
      </c>
      <c r="BC1299" s="82" t="s">
        <v>13481</v>
      </c>
      <c r="BD1299" s="82" t="s">
        <v>16363</v>
      </c>
      <c r="BE1299" s="77"/>
      <c r="BF1299" s="77"/>
      <c r="BG1299" s="77"/>
      <c r="BH1299" s="77"/>
      <c r="BI1299" s="77"/>
    </row>
    <row r="1300" spans="1:61" x14ac:dyDescent="0.25">
      <c r="A1300" s="62" t="s">
        <v>626</v>
      </c>
      <c r="B1300" s="62" t="s">
        <v>626</v>
      </c>
      <c r="C1300" s="63"/>
      <c r="D1300" s="64"/>
      <c r="E1300" s="65"/>
      <c r="F1300" s="66"/>
      <c r="G1300" s="63"/>
      <c r="H1300" s="67"/>
      <c r="I1300" s="68"/>
      <c r="J1300" s="68"/>
      <c r="K1300" s="32"/>
      <c r="L1300" s="75">
        <v>1300</v>
      </c>
      <c r="M1300" s="75"/>
      <c r="N1300" s="70"/>
      <c r="O1300" s="77" t="s">
        <v>179</v>
      </c>
      <c r="P1300" s="79">
        <v>45037.604074074072</v>
      </c>
      <c r="Q1300" s="77" t="s">
        <v>2393</v>
      </c>
      <c r="R1300" s="77">
        <v>0</v>
      </c>
      <c r="S1300" s="77">
        <v>0</v>
      </c>
      <c r="T1300" s="77">
        <v>0</v>
      </c>
      <c r="U1300" s="77">
        <v>0</v>
      </c>
      <c r="V1300" s="77">
        <v>32</v>
      </c>
      <c r="W1300" s="82" t="s">
        <v>4969</v>
      </c>
      <c r="X1300" s="77"/>
      <c r="Y1300" s="77"/>
      <c r="Z1300" s="77"/>
      <c r="AA1300" s="77" t="s">
        <v>6967</v>
      </c>
      <c r="AB1300" s="77" t="s">
        <v>7697</v>
      </c>
      <c r="AC1300" s="82" t="s">
        <v>7705</v>
      </c>
      <c r="AD1300" s="77" t="s">
        <v>7745</v>
      </c>
      <c r="AE1300" s="80" t="str">
        <f>HYPERLINK("https://twitter.com/dyjardan/status/1649420190575206419")</f>
        <v>https://twitter.com/dyjardan/status/1649420190575206419</v>
      </c>
      <c r="AF1300" s="79">
        <v>45037.604074074072</v>
      </c>
      <c r="AG1300" s="85">
        <v>45037</v>
      </c>
      <c r="AH1300" s="82" t="s">
        <v>8912</v>
      </c>
      <c r="AI1300" s="77" t="b">
        <v>0</v>
      </c>
      <c r="AJ1300" s="77"/>
      <c r="AK1300" s="77"/>
      <c r="AL1300" s="77"/>
      <c r="AM1300" s="77"/>
      <c r="AN1300" s="77"/>
      <c r="AO1300" s="77"/>
      <c r="AP1300" s="77"/>
      <c r="AQ1300" s="77" t="s">
        <v>11474</v>
      </c>
      <c r="AR1300" s="77">
        <v>77266</v>
      </c>
      <c r="AS1300" s="77"/>
      <c r="AT1300" s="77"/>
      <c r="AU1300" s="77">
        <v>15</v>
      </c>
      <c r="AV1300" s="80" t="str">
        <f>HYPERLINK("https://pbs.twimg.com/ext_tw_video_thumb/1649420025269305347/pu/img/wa_JqpyRrSbFUUqO.jpg")</f>
        <v>https://pbs.twimg.com/ext_tw_video_thumb/1649420025269305347/pu/img/wa_JqpyRrSbFUUqO.jpg</v>
      </c>
      <c r="AW1300" s="82" t="s">
        <v>13482</v>
      </c>
      <c r="AX1300" s="82" t="s">
        <v>13482</v>
      </c>
      <c r="AY1300" s="77"/>
      <c r="AZ1300" s="82" t="s">
        <v>15804</v>
      </c>
      <c r="BA1300" s="82" t="s">
        <v>15804</v>
      </c>
      <c r="BB1300" s="82" t="s">
        <v>15804</v>
      </c>
      <c r="BC1300" s="82" t="s">
        <v>13482</v>
      </c>
      <c r="BD1300" s="77">
        <v>16577699</v>
      </c>
      <c r="BE1300" s="77"/>
      <c r="BF1300" s="77"/>
      <c r="BG1300" s="77"/>
      <c r="BH1300" s="77"/>
      <c r="BI1300" s="77"/>
    </row>
    <row r="1301" spans="1:61" x14ac:dyDescent="0.25">
      <c r="A1301" s="62" t="s">
        <v>626</v>
      </c>
      <c r="B1301" s="62" t="s">
        <v>626</v>
      </c>
      <c r="C1301" s="63"/>
      <c r="D1301" s="64"/>
      <c r="E1301" s="65"/>
      <c r="F1301" s="66"/>
      <c r="G1301" s="63"/>
      <c r="H1301" s="67"/>
      <c r="I1301" s="68"/>
      <c r="J1301" s="68"/>
      <c r="K1301" s="32"/>
      <c r="L1301" s="75">
        <v>1301</v>
      </c>
      <c r="M1301" s="75"/>
      <c r="N1301" s="70"/>
      <c r="O1301" s="77" t="s">
        <v>179</v>
      </c>
      <c r="P1301" s="79">
        <v>45070.725347222222</v>
      </c>
      <c r="Q1301" s="77" t="s">
        <v>2394</v>
      </c>
      <c r="R1301" s="77">
        <v>0</v>
      </c>
      <c r="S1301" s="77">
        <v>0</v>
      </c>
      <c r="T1301" s="77">
        <v>0</v>
      </c>
      <c r="U1301" s="77">
        <v>0</v>
      </c>
      <c r="V1301" s="77">
        <v>7</v>
      </c>
      <c r="W1301" s="82" t="s">
        <v>4097</v>
      </c>
      <c r="X1301" s="80" t="str">
        <f>HYPERLINK("https://go.hotmart.com/M83013232W")</f>
        <v>https://go.hotmart.com/M83013232W</v>
      </c>
      <c r="Y1301" s="77" t="s">
        <v>6023</v>
      </c>
      <c r="Z1301" s="77"/>
      <c r="AA1301" s="77"/>
      <c r="AB1301" s="77"/>
      <c r="AC1301" s="82" t="s">
        <v>7706</v>
      </c>
      <c r="AD1301" s="77" t="s">
        <v>7745</v>
      </c>
      <c r="AE1301" s="80" t="str">
        <f>HYPERLINK("https://twitter.com/dyjardan/status/1661422934731403264")</f>
        <v>https://twitter.com/dyjardan/status/1661422934731403264</v>
      </c>
      <c r="AF1301" s="79">
        <v>45070.725347222222</v>
      </c>
      <c r="AG1301" s="85">
        <v>45070</v>
      </c>
      <c r="AH1301" s="82" t="s">
        <v>8913</v>
      </c>
      <c r="AI1301" s="77" t="b">
        <v>0</v>
      </c>
      <c r="AJ1301" s="77"/>
      <c r="AK1301" s="77"/>
      <c r="AL1301" s="77"/>
      <c r="AM1301" s="77"/>
      <c r="AN1301" s="77"/>
      <c r="AO1301" s="77"/>
      <c r="AP1301" s="77"/>
      <c r="AQ1301" s="77"/>
      <c r="AR1301" s="77"/>
      <c r="AS1301" s="77"/>
      <c r="AT1301" s="77"/>
      <c r="AU1301" s="77"/>
      <c r="AV1301" s="80" t="str">
        <f>HYPERLINK("https://pbs.twimg.com/profile_images/1242836228321525760/JM9ZPVwT_normal.jpg")</f>
        <v>https://pbs.twimg.com/profile_images/1242836228321525760/JM9ZPVwT_normal.jpg</v>
      </c>
      <c r="AW1301" s="82" t="s">
        <v>13483</v>
      </c>
      <c r="AX1301" s="82" t="s">
        <v>13483</v>
      </c>
      <c r="AY1301" s="77"/>
      <c r="AZ1301" s="82" t="s">
        <v>15804</v>
      </c>
      <c r="BA1301" s="82" t="s">
        <v>15804</v>
      </c>
      <c r="BB1301" s="82" t="s">
        <v>15804</v>
      </c>
      <c r="BC1301" s="82" t="s">
        <v>13483</v>
      </c>
      <c r="BD1301" s="77">
        <v>16577699</v>
      </c>
      <c r="BE1301" s="77"/>
      <c r="BF1301" s="77"/>
      <c r="BG1301" s="77"/>
      <c r="BH1301" s="77"/>
      <c r="BI1301" s="77"/>
    </row>
    <row r="1302" spans="1:61" x14ac:dyDescent="0.25">
      <c r="A1302" s="62" t="s">
        <v>626</v>
      </c>
      <c r="B1302" s="62" t="s">
        <v>626</v>
      </c>
      <c r="C1302" s="63"/>
      <c r="D1302" s="64"/>
      <c r="E1302" s="65"/>
      <c r="F1302" s="66"/>
      <c r="G1302" s="63"/>
      <c r="H1302" s="67"/>
      <c r="I1302" s="68"/>
      <c r="J1302" s="68"/>
      <c r="K1302" s="32"/>
      <c r="L1302" s="75">
        <v>1302</v>
      </c>
      <c r="M1302" s="75"/>
      <c r="N1302" s="70"/>
      <c r="O1302" s="77" t="s">
        <v>179</v>
      </c>
      <c r="P1302" s="79">
        <v>45087.571689814817</v>
      </c>
      <c r="Q1302" s="77" t="s">
        <v>2395</v>
      </c>
      <c r="R1302" s="77">
        <v>0</v>
      </c>
      <c r="S1302" s="77">
        <v>0</v>
      </c>
      <c r="T1302" s="77">
        <v>0</v>
      </c>
      <c r="U1302" s="77">
        <v>0</v>
      </c>
      <c r="V1302" s="77">
        <v>33</v>
      </c>
      <c r="W1302" s="82" t="s">
        <v>4970</v>
      </c>
      <c r="X1302" s="77"/>
      <c r="Y1302" s="77"/>
      <c r="Z1302" s="77"/>
      <c r="AA1302" s="77" t="s">
        <v>6968</v>
      </c>
      <c r="AB1302" s="77" t="s">
        <v>7697</v>
      </c>
      <c r="AC1302" s="82" t="s">
        <v>7705</v>
      </c>
      <c r="AD1302" s="77" t="s">
        <v>7745</v>
      </c>
      <c r="AE1302" s="80" t="str">
        <f>HYPERLINK("https://twitter.com/dyjardan/status/1667527848670769158")</f>
        <v>https://twitter.com/dyjardan/status/1667527848670769158</v>
      </c>
      <c r="AF1302" s="79">
        <v>45087.571689814817</v>
      </c>
      <c r="AG1302" s="85">
        <v>45087</v>
      </c>
      <c r="AH1302" s="82" t="s">
        <v>8914</v>
      </c>
      <c r="AI1302" s="77" t="b">
        <v>0</v>
      </c>
      <c r="AJ1302" s="77"/>
      <c r="AK1302" s="77"/>
      <c r="AL1302" s="77"/>
      <c r="AM1302" s="77"/>
      <c r="AN1302" s="77"/>
      <c r="AO1302" s="77"/>
      <c r="AP1302" s="77"/>
      <c r="AQ1302" s="77" t="s">
        <v>11475</v>
      </c>
      <c r="AR1302" s="77">
        <v>59600</v>
      </c>
      <c r="AS1302" s="77"/>
      <c r="AT1302" s="77"/>
      <c r="AU1302" s="77">
        <v>7</v>
      </c>
      <c r="AV1302" s="80" t="str">
        <f>HYPERLINK("https://pbs.twimg.com/ext_tw_video_thumb/1667527801920954369/pu/img/gPmllSYpAavWMAS9.jpg")</f>
        <v>https://pbs.twimg.com/ext_tw_video_thumb/1667527801920954369/pu/img/gPmllSYpAavWMAS9.jpg</v>
      </c>
      <c r="AW1302" s="82" t="s">
        <v>13484</v>
      </c>
      <c r="AX1302" s="82" t="s">
        <v>13484</v>
      </c>
      <c r="AY1302" s="77"/>
      <c r="AZ1302" s="82" t="s">
        <v>15804</v>
      </c>
      <c r="BA1302" s="82" t="s">
        <v>15804</v>
      </c>
      <c r="BB1302" s="82" t="s">
        <v>15804</v>
      </c>
      <c r="BC1302" s="82" t="s">
        <v>13484</v>
      </c>
      <c r="BD1302" s="77">
        <v>16577699</v>
      </c>
      <c r="BE1302" s="77"/>
      <c r="BF1302" s="77"/>
      <c r="BG1302" s="77"/>
      <c r="BH1302" s="77"/>
      <c r="BI1302" s="77"/>
    </row>
    <row r="1303" spans="1:61" x14ac:dyDescent="0.25">
      <c r="A1303" s="62" t="s">
        <v>626</v>
      </c>
      <c r="B1303" s="62" t="s">
        <v>626</v>
      </c>
      <c r="C1303" s="63"/>
      <c r="D1303" s="64"/>
      <c r="E1303" s="65"/>
      <c r="F1303" s="66"/>
      <c r="G1303" s="63"/>
      <c r="H1303" s="67"/>
      <c r="I1303" s="68"/>
      <c r="J1303" s="68"/>
      <c r="K1303" s="32"/>
      <c r="L1303" s="75">
        <v>1303</v>
      </c>
      <c r="M1303" s="75"/>
      <c r="N1303" s="70"/>
      <c r="O1303" s="77" t="s">
        <v>179</v>
      </c>
      <c r="P1303" s="79">
        <v>45048.832349537035</v>
      </c>
      <c r="Q1303" s="77" t="s">
        <v>2396</v>
      </c>
      <c r="R1303" s="77">
        <v>0</v>
      </c>
      <c r="S1303" s="77">
        <v>0</v>
      </c>
      <c r="T1303" s="77">
        <v>0</v>
      </c>
      <c r="U1303" s="77">
        <v>0</v>
      </c>
      <c r="V1303" s="77">
        <v>34</v>
      </c>
      <c r="W1303" s="82" t="s">
        <v>4971</v>
      </c>
      <c r="X1303" s="77"/>
      <c r="Y1303" s="77"/>
      <c r="Z1303" s="77"/>
      <c r="AA1303" s="77" t="s">
        <v>6969</v>
      </c>
      <c r="AB1303" s="77" t="s">
        <v>7697</v>
      </c>
      <c r="AC1303" s="82" t="s">
        <v>7705</v>
      </c>
      <c r="AD1303" s="77" t="s">
        <v>7745</v>
      </c>
      <c r="AE1303" s="80" t="str">
        <f>HYPERLINK("https://twitter.com/dyjardan/status/1653489179966275584")</f>
        <v>https://twitter.com/dyjardan/status/1653489179966275584</v>
      </c>
      <c r="AF1303" s="79">
        <v>45048.832349537035</v>
      </c>
      <c r="AG1303" s="85">
        <v>45048</v>
      </c>
      <c r="AH1303" s="82" t="s">
        <v>8915</v>
      </c>
      <c r="AI1303" s="77" t="b">
        <v>0</v>
      </c>
      <c r="AJ1303" s="77"/>
      <c r="AK1303" s="77"/>
      <c r="AL1303" s="77"/>
      <c r="AM1303" s="77"/>
      <c r="AN1303" s="77"/>
      <c r="AO1303" s="77"/>
      <c r="AP1303" s="77"/>
      <c r="AQ1303" s="77" t="s">
        <v>11476</v>
      </c>
      <c r="AR1303" s="77">
        <v>69533</v>
      </c>
      <c r="AS1303" s="77"/>
      <c r="AT1303" s="77"/>
      <c r="AU1303" s="77">
        <v>6</v>
      </c>
      <c r="AV1303" s="80" t="str">
        <f>HYPERLINK("https://pbs.twimg.com/ext_tw_video_thumb/1653489112408530946/pu/img/Y2Ufg57VosWfOQey.jpg")</f>
        <v>https://pbs.twimg.com/ext_tw_video_thumb/1653489112408530946/pu/img/Y2Ufg57VosWfOQey.jpg</v>
      </c>
      <c r="AW1303" s="82" t="s">
        <v>13485</v>
      </c>
      <c r="AX1303" s="82" t="s">
        <v>13485</v>
      </c>
      <c r="AY1303" s="77"/>
      <c r="AZ1303" s="82" t="s">
        <v>15804</v>
      </c>
      <c r="BA1303" s="82" t="s">
        <v>15804</v>
      </c>
      <c r="BB1303" s="82" t="s">
        <v>15804</v>
      </c>
      <c r="BC1303" s="82" t="s">
        <v>13485</v>
      </c>
      <c r="BD1303" s="77">
        <v>16577699</v>
      </c>
      <c r="BE1303" s="77"/>
      <c r="BF1303" s="77"/>
      <c r="BG1303" s="77"/>
      <c r="BH1303" s="77"/>
      <c r="BI1303" s="77"/>
    </row>
    <row r="1304" spans="1:61" x14ac:dyDescent="0.25">
      <c r="A1304" s="62" t="s">
        <v>626</v>
      </c>
      <c r="B1304" s="62" t="s">
        <v>626</v>
      </c>
      <c r="C1304" s="63"/>
      <c r="D1304" s="64"/>
      <c r="E1304" s="65"/>
      <c r="F1304" s="66"/>
      <c r="G1304" s="63"/>
      <c r="H1304" s="67"/>
      <c r="I1304" s="68"/>
      <c r="J1304" s="68"/>
      <c r="K1304" s="32"/>
      <c r="L1304" s="75">
        <v>1304</v>
      </c>
      <c r="M1304" s="75"/>
      <c r="N1304" s="70"/>
      <c r="O1304" s="77" t="s">
        <v>179</v>
      </c>
      <c r="P1304" s="79">
        <v>45038.820763888885</v>
      </c>
      <c r="Q1304" s="77" t="s">
        <v>2397</v>
      </c>
      <c r="R1304" s="77">
        <v>0</v>
      </c>
      <c r="S1304" s="77">
        <v>0</v>
      </c>
      <c r="T1304" s="77">
        <v>0</v>
      </c>
      <c r="U1304" s="77">
        <v>0</v>
      </c>
      <c r="V1304" s="77">
        <v>24</v>
      </c>
      <c r="W1304" s="82" t="s">
        <v>4972</v>
      </c>
      <c r="X1304" s="77"/>
      <c r="Y1304" s="77"/>
      <c r="Z1304" s="77"/>
      <c r="AA1304" s="77" t="s">
        <v>6970</v>
      </c>
      <c r="AB1304" s="77" t="s">
        <v>7697</v>
      </c>
      <c r="AC1304" s="82" t="s">
        <v>7705</v>
      </c>
      <c r="AD1304" s="77" t="s">
        <v>7745</v>
      </c>
      <c r="AE1304" s="80" t="str">
        <f>HYPERLINK("https://twitter.com/dyjardan/status/1649861100781838337")</f>
        <v>https://twitter.com/dyjardan/status/1649861100781838337</v>
      </c>
      <c r="AF1304" s="79">
        <v>45038.820763888885</v>
      </c>
      <c r="AG1304" s="85">
        <v>45038</v>
      </c>
      <c r="AH1304" s="82" t="s">
        <v>8916</v>
      </c>
      <c r="AI1304" s="77" t="b">
        <v>0</v>
      </c>
      <c r="AJ1304" s="77"/>
      <c r="AK1304" s="77"/>
      <c r="AL1304" s="77"/>
      <c r="AM1304" s="77"/>
      <c r="AN1304" s="77"/>
      <c r="AO1304" s="77"/>
      <c r="AP1304" s="77"/>
      <c r="AQ1304" s="77" t="s">
        <v>11477</v>
      </c>
      <c r="AR1304" s="77">
        <v>87066</v>
      </c>
      <c r="AS1304" s="77"/>
      <c r="AT1304" s="77"/>
      <c r="AU1304" s="77">
        <v>8</v>
      </c>
      <c r="AV1304" s="80" t="str">
        <f>HYPERLINK("https://pbs.twimg.com/ext_tw_video_thumb/1649860961795284995/pu/img/eLIzt2JWo2M25zt-.jpg")</f>
        <v>https://pbs.twimg.com/ext_tw_video_thumb/1649860961795284995/pu/img/eLIzt2JWo2M25zt-.jpg</v>
      </c>
      <c r="AW1304" s="82" t="s">
        <v>13486</v>
      </c>
      <c r="AX1304" s="82" t="s">
        <v>13486</v>
      </c>
      <c r="AY1304" s="77"/>
      <c r="AZ1304" s="82" t="s">
        <v>15804</v>
      </c>
      <c r="BA1304" s="82" t="s">
        <v>15804</v>
      </c>
      <c r="BB1304" s="82" t="s">
        <v>15804</v>
      </c>
      <c r="BC1304" s="82" t="s">
        <v>13486</v>
      </c>
      <c r="BD1304" s="77">
        <v>16577699</v>
      </c>
      <c r="BE1304" s="77"/>
      <c r="BF1304" s="77"/>
      <c r="BG1304" s="77"/>
      <c r="BH1304" s="77"/>
      <c r="BI1304" s="77"/>
    </row>
    <row r="1305" spans="1:61" x14ac:dyDescent="0.25">
      <c r="A1305" s="62" t="s">
        <v>627</v>
      </c>
      <c r="B1305" s="62" t="s">
        <v>627</v>
      </c>
      <c r="C1305" s="63"/>
      <c r="D1305" s="64"/>
      <c r="E1305" s="65"/>
      <c r="F1305" s="66"/>
      <c r="G1305" s="63"/>
      <c r="H1305" s="67"/>
      <c r="I1305" s="68"/>
      <c r="J1305" s="68"/>
      <c r="K1305" s="32"/>
      <c r="L1305" s="75">
        <v>1305</v>
      </c>
      <c r="M1305" s="75"/>
      <c r="N1305" s="70"/>
      <c r="O1305" s="77" t="s">
        <v>179</v>
      </c>
      <c r="P1305" s="79">
        <v>44953.919409722221</v>
      </c>
      <c r="Q1305" s="77" t="s">
        <v>2398</v>
      </c>
      <c r="R1305" s="77">
        <v>0</v>
      </c>
      <c r="S1305" s="77">
        <v>0</v>
      </c>
      <c r="T1305" s="77">
        <v>0</v>
      </c>
      <c r="U1305" s="77">
        <v>0</v>
      </c>
      <c r="V1305" s="77">
        <v>19</v>
      </c>
      <c r="W1305" s="82" t="s">
        <v>4973</v>
      </c>
      <c r="X1305" s="77"/>
      <c r="Y1305" s="77"/>
      <c r="Z1305" s="77"/>
      <c r="AA1305" s="77" t="s">
        <v>6971</v>
      </c>
      <c r="AB1305" s="77" t="s">
        <v>7696</v>
      </c>
      <c r="AC1305" s="82" t="s">
        <v>7707</v>
      </c>
      <c r="AD1305" s="77" t="s">
        <v>7745</v>
      </c>
      <c r="AE1305" s="80" t="str">
        <f>HYPERLINK("https://twitter.com/dautinhooficial/status/1619093882184286208")</f>
        <v>https://twitter.com/dautinhooficial/status/1619093882184286208</v>
      </c>
      <c r="AF1305" s="79">
        <v>44953.919409722221</v>
      </c>
      <c r="AG1305" s="85">
        <v>44953</v>
      </c>
      <c r="AH1305" s="82" t="s">
        <v>8917</v>
      </c>
      <c r="AI1305" s="77" t="b">
        <v>0</v>
      </c>
      <c r="AJ1305" s="77"/>
      <c r="AK1305" s="77"/>
      <c r="AL1305" s="77"/>
      <c r="AM1305" s="77"/>
      <c r="AN1305" s="77"/>
      <c r="AO1305" s="77"/>
      <c r="AP1305" s="77"/>
      <c r="AQ1305" s="77" t="s">
        <v>11478</v>
      </c>
      <c r="AR1305" s="77"/>
      <c r="AS1305" s="77"/>
      <c r="AT1305" s="77"/>
      <c r="AU1305" s="77"/>
      <c r="AV1305" s="80" t="str">
        <f>HYPERLINK("https://pbs.twimg.com/media/FngtTjAWIAAMAV_.jpg")</f>
        <v>https://pbs.twimg.com/media/FngtTjAWIAAMAV_.jpg</v>
      </c>
      <c r="AW1305" s="82" t="s">
        <v>13487</v>
      </c>
      <c r="AX1305" s="82" t="s">
        <v>13487</v>
      </c>
      <c r="AY1305" s="77"/>
      <c r="AZ1305" s="82" t="s">
        <v>15804</v>
      </c>
      <c r="BA1305" s="82" t="s">
        <v>15804</v>
      </c>
      <c r="BB1305" s="82" t="s">
        <v>15804</v>
      </c>
      <c r="BC1305" s="82" t="s">
        <v>13487</v>
      </c>
      <c r="BD1305" s="82" t="s">
        <v>16364</v>
      </c>
      <c r="BE1305" s="77"/>
      <c r="BF1305" s="77"/>
      <c r="BG1305" s="77"/>
      <c r="BH1305" s="77"/>
      <c r="BI1305" s="77"/>
    </row>
    <row r="1306" spans="1:61" x14ac:dyDescent="0.25">
      <c r="A1306" s="62" t="s">
        <v>627</v>
      </c>
      <c r="B1306" s="62" t="s">
        <v>627</v>
      </c>
      <c r="C1306" s="63"/>
      <c r="D1306" s="64"/>
      <c r="E1306" s="65"/>
      <c r="F1306" s="66"/>
      <c r="G1306" s="63"/>
      <c r="H1306" s="67"/>
      <c r="I1306" s="68"/>
      <c r="J1306" s="68"/>
      <c r="K1306" s="32"/>
      <c r="L1306" s="75">
        <v>1306</v>
      </c>
      <c r="M1306" s="75"/>
      <c r="N1306" s="70"/>
      <c r="O1306" s="77" t="s">
        <v>179</v>
      </c>
      <c r="P1306" s="79">
        <v>45113.605138888888</v>
      </c>
      <c r="Q1306" s="77" t="s">
        <v>2399</v>
      </c>
      <c r="R1306" s="77">
        <v>0</v>
      </c>
      <c r="S1306" s="77">
        <v>0</v>
      </c>
      <c r="T1306" s="77">
        <v>0</v>
      </c>
      <c r="U1306" s="77">
        <v>0</v>
      </c>
      <c r="V1306" s="77">
        <v>10</v>
      </c>
      <c r="W1306" s="82" t="s">
        <v>4974</v>
      </c>
      <c r="X1306" s="77"/>
      <c r="Y1306" s="77"/>
      <c r="Z1306" s="77"/>
      <c r="AA1306" s="77" t="s">
        <v>6972</v>
      </c>
      <c r="AB1306" s="77" t="s">
        <v>7696</v>
      </c>
      <c r="AC1306" s="82" t="s">
        <v>7707</v>
      </c>
      <c r="AD1306" s="77" t="s">
        <v>7745</v>
      </c>
      <c r="AE1306" s="80" t="str">
        <f>HYPERLINK("https://twitter.com/dautinhooficial/status/1676962051133177860")</f>
        <v>https://twitter.com/dautinhooficial/status/1676962051133177860</v>
      </c>
      <c r="AF1306" s="79">
        <v>45113.605138888888</v>
      </c>
      <c r="AG1306" s="85">
        <v>45113</v>
      </c>
      <c r="AH1306" s="82" t="s">
        <v>8918</v>
      </c>
      <c r="AI1306" s="77" t="b">
        <v>0</v>
      </c>
      <c r="AJ1306" s="77"/>
      <c r="AK1306" s="77"/>
      <c r="AL1306" s="77"/>
      <c r="AM1306" s="77"/>
      <c r="AN1306" s="77"/>
      <c r="AO1306" s="77"/>
      <c r="AP1306" s="77"/>
      <c r="AQ1306" s="77" t="s">
        <v>11479</v>
      </c>
      <c r="AR1306" s="77"/>
      <c r="AS1306" s="77"/>
      <c r="AT1306" s="77"/>
      <c r="AU1306" s="77"/>
      <c r="AV1306" s="80" t="str">
        <f>HYPERLINK("https://pbs.twimg.com/media/F0XEGR3aAAAI4AM.jpg")</f>
        <v>https://pbs.twimg.com/media/F0XEGR3aAAAI4AM.jpg</v>
      </c>
      <c r="AW1306" s="82" t="s">
        <v>13488</v>
      </c>
      <c r="AX1306" s="82" t="s">
        <v>13488</v>
      </c>
      <c r="AY1306" s="77"/>
      <c r="AZ1306" s="82" t="s">
        <v>15804</v>
      </c>
      <c r="BA1306" s="82" t="s">
        <v>15804</v>
      </c>
      <c r="BB1306" s="82" t="s">
        <v>15804</v>
      </c>
      <c r="BC1306" s="82" t="s">
        <v>13488</v>
      </c>
      <c r="BD1306" s="82" t="s">
        <v>16364</v>
      </c>
      <c r="BE1306" s="77"/>
      <c r="BF1306" s="77"/>
      <c r="BG1306" s="77"/>
      <c r="BH1306" s="77"/>
      <c r="BI1306" s="77"/>
    </row>
    <row r="1307" spans="1:61" x14ac:dyDescent="0.25">
      <c r="A1307" s="62" t="s">
        <v>628</v>
      </c>
      <c r="B1307" s="62" t="s">
        <v>628</v>
      </c>
      <c r="C1307" s="63"/>
      <c r="D1307" s="64"/>
      <c r="E1307" s="65"/>
      <c r="F1307" s="66"/>
      <c r="G1307" s="63"/>
      <c r="H1307" s="67"/>
      <c r="I1307" s="68"/>
      <c r="J1307" s="68"/>
      <c r="K1307" s="32"/>
      <c r="L1307" s="75">
        <v>1307</v>
      </c>
      <c r="M1307" s="75"/>
      <c r="N1307" s="70"/>
      <c r="O1307" s="77" t="s">
        <v>179</v>
      </c>
      <c r="P1307" s="79">
        <v>44938.614432870374</v>
      </c>
      <c r="Q1307" s="77" t="s">
        <v>2400</v>
      </c>
      <c r="R1307" s="77">
        <v>0</v>
      </c>
      <c r="S1307" s="77">
        <v>1</v>
      </c>
      <c r="T1307" s="77">
        <v>0</v>
      </c>
      <c r="U1307" s="77">
        <v>0</v>
      </c>
      <c r="V1307" s="77">
        <v>49</v>
      </c>
      <c r="W1307" s="82" t="s">
        <v>4975</v>
      </c>
      <c r="X1307" s="80" t="str">
        <f>HYPERLINK("https://www.instagram.com/p/CnUSRB5OMWa/?igshid=NDdhMjNiZDg=")</f>
        <v>https://www.instagram.com/p/CnUSRB5OMWa/?igshid=NDdhMjNiZDg=</v>
      </c>
      <c r="Y1307" s="77" t="s">
        <v>6000</v>
      </c>
      <c r="Z1307" s="77"/>
      <c r="AA1307" s="77"/>
      <c r="AB1307" s="77"/>
      <c r="AC1307" s="82" t="s">
        <v>7707</v>
      </c>
      <c r="AD1307" s="77" t="s">
        <v>7745</v>
      </c>
      <c r="AE1307" s="80" t="str">
        <f>HYPERLINK("https://twitter.com/maniohs/status/1613547545216647168")</f>
        <v>https://twitter.com/maniohs/status/1613547545216647168</v>
      </c>
      <c r="AF1307" s="79">
        <v>44938.614432870374</v>
      </c>
      <c r="AG1307" s="85">
        <v>44938</v>
      </c>
      <c r="AH1307" s="82" t="s">
        <v>8919</v>
      </c>
      <c r="AI1307" s="77" t="b">
        <v>0</v>
      </c>
      <c r="AJ1307" s="77"/>
      <c r="AK1307" s="77"/>
      <c r="AL1307" s="77"/>
      <c r="AM1307" s="77"/>
      <c r="AN1307" s="77"/>
      <c r="AO1307" s="77"/>
      <c r="AP1307" s="77"/>
      <c r="AQ1307" s="77"/>
      <c r="AR1307" s="77"/>
      <c r="AS1307" s="77"/>
      <c r="AT1307" s="77"/>
      <c r="AU1307" s="77"/>
      <c r="AV1307" s="80" t="str">
        <f>HYPERLINK("https://pbs.twimg.com/profile_images/1624204968428183553/-k1Hhs7l_normal.jpg")</f>
        <v>https://pbs.twimg.com/profile_images/1624204968428183553/-k1Hhs7l_normal.jpg</v>
      </c>
      <c r="AW1307" s="82" t="s">
        <v>13489</v>
      </c>
      <c r="AX1307" s="82" t="s">
        <v>13489</v>
      </c>
      <c r="AY1307" s="77"/>
      <c r="AZ1307" s="82" t="s">
        <v>15804</v>
      </c>
      <c r="BA1307" s="82" t="s">
        <v>15804</v>
      </c>
      <c r="BB1307" s="82" t="s">
        <v>15804</v>
      </c>
      <c r="BC1307" s="82" t="s">
        <v>13489</v>
      </c>
      <c r="BD1307" s="77">
        <v>21088788</v>
      </c>
      <c r="BE1307" s="77"/>
      <c r="BF1307" s="77"/>
      <c r="BG1307" s="77"/>
      <c r="BH1307" s="77"/>
      <c r="BI1307" s="77"/>
    </row>
    <row r="1308" spans="1:61" x14ac:dyDescent="0.25">
      <c r="A1308" s="62" t="s">
        <v>629</v>
      </c>
      <c r="B1308" s="62" t="s">
        <v>629</v>
      </c>
      <c r="C1308" s="63"/>
      <c r="D1308" s="64"/>
      <c r="E1308" s="65"/>
      <c r="F1308" s="66"/>
      <c r="G1308" s="63"/>
      <c r="H1308" s="67"/>
      <c r="I1308" s="68"/>
      <c r="J1308" s="68"/>
      <c r="K1308" s="32"/>
      <c r="L1308" s="75">
        <v>1308</v>
      </c>
      <c r="M1308" s="75"/>
      <c r="N1308" s="70"/>
      <c r="O1308" s="77" t="s">
        <v>1132</v>
      </c>
      <c r="P1308" s="79">
        <v>45172.412974537037</v>
      </c>
      <c r="Q1308" s="77" t="s">
        <v>2401</v>
      </c>
      <c r="R1308" s="77">
        <v>0</v>
      </c>
      <c r="S1308" s="77">
        <v>0</v>
      </c>
      <c r="T1308" s="77">
        <v>0</v>
      </c>
      <c r="U1308" s="77">
        <v>0</v>
      </c>
      <c r="V1308" s="77">
        <v>24</v>
      </c>
      <c r="W1308" s="82" t="s">
        <v>4976</v>
      </c>
      <c r="X1308" s="77"/>
      <c r="Y1308" s="77"/>
      <c r="Z1308" s="77"/>
      <c r="AA1308" s="77" t="s">
        <v>6973</v>
      </c>
      <c r="AB1308" s="77" t="s">
        <v>7696</v>
      </c>
      <c r="AC1308" s="82" t="s">
        <v>7707</v>
      </c>
      <c r="AD1308" s="77" t="s">
        <v>7746</v>
      </c>
      <c r="AE1308" s="80" t="str">
        <f>HYPERLINK("https://twitter.com/adcamenhe/status/1698273299405422825")</f>
        <v>https://twitter.com/adcamenhe/status/1698273299405422825</v>
      </c>
      <c r="AF1308" s="79">
        <v>45172.412974537037</v>
      </c>
      <c r="AG1308" s="85">
        <v>45172</v>
      </c>
      <c r="AH1308" s="82" t="s">
        <v>8271</v>
      </c>
      <c r="AI1308" s="77" t="b">
        <v>0</v>
      </c>
      <c r="AJ1308" s="77"/>
      <c r="AK1308" s="77"/>
      <c r="AL1308" s="77"/>
      <c r="AM1308" s="77"/>
      <c r="AN1308" s="77"/>
      <c r="AO1308" s="77"/>
      <c r="AP1308" s="77"/>
      <c r="AQ1308" s="77" t="s">
        <v>11480</v>
      </c>
      <c r="AR1308" s="77"/>
      <c r="AS1308" s="77"/>
      <c r="AT1308" s="77"/>
      <c r="AU1308" s="77"/>
      <c r="AV1308" s="80" t="str">
        <f>HYPERLINK("https://pbs.twimg.com/media/F5F6kN5WgAAPvMd.jpg")</f>
        <v>https://pbs.twimg.com/media/F5F6kN5WgAAPvMd.jpg</v>
      </c>
      <c r="AW1308" s="82" t="s">
        <v>13490</v>
      </c>
      <c r="AX1308" s="82" t="s">
        <v>15323</v>
      </c>
      <c r="AY1308" s="82" t="s">
        <v>15741</v>
      </c>
      <c r="AZ1308" s="82" t="s">
        <v>15876</v>
      </c>
      <c r="BA1308" s="82" t="s">
        <v>15804</v>
      </c>
      <c r="BB1308" s="82" t="s">
        <v>15804</v>
      </c>
      <c r="BC1308" s="82" t="s">
        <v>15876</v>
      </c>
      <c r="BD1308" s="82" t="s">
        <v>15741</v>
      </c>
      <c r="BE1308" s="77"/>
      <c r="BF1308" s="77"/>
      <c r="BG1308" s="77"/>
      <c r="BH1308" s="77"/>
      <c r="BI1308" s="77"/>
    </row>
    <row r="1309" spans="1:61" x14ac:dyDescent="0.25">
      <c r="A1309" s="62" t="s">
        <v>630</v>
      </c>
      <c r="B1309" s="62" t="s">
        <v>630</v>
      </c>
      <c r="C1309" s="63"/>
      <c r="D1309" s="64"/>
      <c r="E1309" s="65"/>
      <c r="F1309" s="66"/>
      <c r="G1309" s="63"/>
      <c r="H1309" s="67"/>
      <c r="I1309" s="68"/>
      <c r="J1309" s="68"/>
      <c r="K1309" s="32"/>
      <c r="L1309" s="75">
        <v>1309</v>
      </c>
      <c r="M1309" s="75"/>
      <c r="N1309" s="70"/>
      <c r="O1309" s="77" t="s">
        <v>179</v>
      </c>
      <c r="P1309" s="79">
        <v>45163.029085648152</v>
      </c>
      <c r="Q1309" s="77" t="s">
        <v>2402</v>
      </c>
      <c r="R1309" s="77">
        <v>0</v>
      </c>
      <c r="S1309" s="77">
        <v>0</v>
      </c>
      <c r="T1309" s="77">
        <v>0</v>
      </c>
      <c r="U1309" s="77">
        <v>0</v>
      </c>
      <c r="V1309" s="77">
        <v>11</v>
      </c>
      <c r="W1309" s="82" t="s">
        <v>4977</v>
      </c>
      <c r="X1309" s="80" t="str">
        <f>HYPERLINK("https://mastermaverick.com.br/2023/08/educacao-financeira-o-primeiro-passo-para-o-sucesso-nos-investimentos")</f>
        <v>https://mastermaverick.com.br/2023/08/educacao-financeira-o-primeiro-passo-para-o-sucesso-nos-investimentos</v>
      </c>
      <c r="Y1309" s="77" t="s">
        <v>6002</v>
      </c>
      <c r="Z1309" s="77"/>
      <c r="AA1309" s="77"/>
      <c r="AB1309" s="77"/>
      <c r="AC1309" s="82" t="s">
        <v>7706</v>
      </c>
      <c r="AD1309" s="77" t="s">
        <v>7745</v>
      </c>
      <c r="AE1309" s="80" t="str">
        <f>HYPERLINK("https://twitter.com/rafaelr36886877/status/1694872690308325409")</f>
        <v>https://twitter.com/rafaelr36886877/status/1694872690308325409</v>
      </c>
      <c r="AF1309" s="79">
        <v>45163.029085648152</v>
      </c>
      <c r="AG1309" s="85">
        <v>45163</v>
      </c>
      <c r="AH1309" s="82" t="s">
        <v>8920</v>
      </c>
      <c r="AI1309" s="77" t="b">
        <v>0</v>
      </c>
      <c r="AJ1309" s="77"/>
      <c r="AK1309" s="77"/>
      <c r="AL1309" s="77"/>
      <c r="AM1309" s="77"/>
      <c r="AN1309" s="77"/>
      <c r="AO1309" s="77"/>
      <c r="AP1309" s="77"/>
      <c r="AQ1309" s="77"/>
      <c r="AR1309" s="77"/>
      <c r="AS1309" s="77"/>
      <c r="AT1309" s="77"/>
      <c r="AU1309" s="77"/>
      <c r="AV1309" s="80" t="str">
        <f>HYPERLINK("https://pbs.twimg.com/profile_images/1031269592981757952/jq-a1X5A_normal.jpg")</f>
        <v>https://pbs.twimg.com/profile_images/1031269592981757952/jq-a1X5A_normal.jpg</v>
      </c>
      <c r="AW1309" s="82" t="s">
        <v>13491</v>
      </c>
      <c r="AX1309" s="82" t="s">
        <v>13491</v>
      </c>
      <c r="AY1309" s="77"/>
      <c r="AZ1309" s="82" t="s">
        <v>15804</v>
      </c>
      <c r="BA1309" s="82" t="s">
        <v>15804</v>
      </c>
      <c r="BB1309" s="82" t="s">
        <v>15804</v>
      </c>
      <c r="BC1309" s="82" t="s">
        <v>13491</v>
      </c>
      <c r="BD1309" s="82" t="s">
        <v>16365</v>
      </c>
      <c r="BE1309" s="77"/>
      <c r="BF1309" s="77"/>
      <c r="BG1309" s="77"/>
      <c r="BH1309" s="77"/>
      <c r="BI1309" s="77"/>
    </row>
    <row r="1310" spans="1:61" x14ac:dyDescent="0.25">
      <c r="A1310" s="62" t="s">
        <v>631</v>
      </c>
      <c r="B1310" s="62" t="s">
        <v>631</v>
      </c>
      <c r="C1310" s="63"/>
      <c r="D1310" s="64"/>
      <c r="E1310" s="65"/>
      <c r="F1310" s="66"/>
      <c r="G1310" s="63"/>
      <c r="H1310" s="67"/>
      <c r="I1310" s="68"/>
      <c r="J1310" s="68"/>
      <c r="K1310" s="32"/>
      <c r="L1310" s="75">
        <v>1310</v>
      </c>
      <c r="M1310" s="75"/>
      <c r="N1310" s="70"/>
      <c r="O1310" s="77" t="s">
        <v>179</v>
      </c>
      <c r="P1310" s="79">
        <v>44970.014305555553</v>
      </c>
      <c r="Q1310" s="77" t="s">
        <v>2403</v>
      </c>
      <c r="R1310" s="77">
        <v>0</v>
      </c>
      <c r="S1310" s="77">
        <v>1</v>
      </c>
      <c r="T1310" s="77">
        <v>0</v>
      </c>
      <c r="U1310" s="77">
        <v>0</v>
      </c>
      <c r="V1310" s="77">
        <v>69</v>
      </c>
      <c r="W1310" s="82" t="s">
        <v>4978</v>
      </c>
      <c r="X1310" s="77"/>
      <c r="Y1310" s="77"/>
      <c r="Z1310" s="77"/>
      <c r="AA1310" s="77" t="s">
        <v>6974</v>
      </c>
      <c r="AB1310" s="77" t="s">
        <v>7697</v>
      </c>
      <c r="AC1310" s="82" t="s">
        <v>7707</v>
      </c>
      <c r="AD1310" s="77" t="s">
        <v>7745</v>
      </c>
      <c r="AE1310" s="80" t="str">
        <f>HYPERLINK("https://twitter.com/rickebsantiago/status/1624926475634851840")</f>
        <v>https://twitter.com/rickebsantiago/status/1624926475634851840</v>
      </c>
      <c r="AF1310" s="79">
        <v>44970.014305555553</v>
      </c>
      <c r="AG1310" s="85">
        <v>44970</v>
      </c>
      <c r="AH1310" s="82" t="s">
        <v>8921</v>
      </c>
      <c r="AI1310" s="77" t="b">
        <v>0</v>
      </c>
      <c r="AJ1310" s="77"/>
      <c r="AK1310" s="77"/>
      <c r="AL1310" s="77"/>
      <c r="AM1310" s="77"/>
      <c r="AN1310" s="77"/>
      <c r="AO1310" s="77"/>
      <c r="AP1310" s="77"/>
      <c r="AQ1310" s="77" t="s">
        <v>11481</v>
      </c>
      <c r="AR1310" s="77">
        <v>36057</v>
      </c>
      <c r="AS1310" s="77"/>
      <c r="AT1310" s="77"/>
      <c r="AU1310" s="77">
        <v>23</v>
      </c>
      <c r="AV1310" s="80" t="str">
        <f>HYPERLINK("https://pbs.twimg.com/ext_tw_video_thumb/1624926430327865344/pu/img/kZIphdJFWw3xCUpC.jpg")</f>
        <v>https://pbs.twimg.com/ext_tw_video_thumb/1624926430327865344/pu/img/kZIphdJFWw3xCUpC.jpg</v>
      </c>
      <c r="AW1310" s="82" t="s">
        <v>13492</v>
      </c>
      <c r="AX1310" s="82" t="s">
        <v>13492</v>
      </c>
      <c r="AY1310" s="77"/>
      <c r="AZ1310" s="82" t="s">
        <v>15804</v>
      </c>
      <c r="BA1310" s="82" t="s">
        <v>15804</v>
      </c>
      <c r="BB1310" s="82" t="s">
        <v>15804</v>
      </c>
      <c r="BC1310" s="82" t="s">
        <v>13492</v>
      </c>
      <c r="BD1310" s="82" t="s">
        <v>16366</v>
      </c>
      <c r="BE1310" s="77"/>
      <c r="BF1310" s="77"/>
      <c r="BG1310" s="77"/>
      <c r="BH1310" s="77"/>
      <c r="BI1310" s="77"/>
    </row>
    <row r="1311" spans="1:61" x14ac:dyDescent="0.25">
      <c r="A1311" s="62" t="s">
        <v>632</v>
      </c>
      <c r="B1311" s="62" t="s">
        <v>632</v>
      </c>
      <c r="C1311" s="63"/>
      <c r="D1311" s="64"/>
      <c r="E1311" s="65"/>
      <c r="F1311" s="66"/>
      <c r="G1311" s="63"/>
      <c r="H1311" s="67"/>
      <c r="I1311" s="68"/>
      <c r="J1311" s="68"/>
      <c r="K1311" s="32"/>
      <c r="L1311" s="75">
        <v>1311</v>
      </c>
      <c r="M1311" s="75"/>
      <c r="N1311" s="70"/>
      <c r="O1311" s="77" t="s">
        <v>179</v>
      </c>
      <c r="P1311" s="79">
        <v>44980.098043981481</v>
      </c>
      <c r="Q1311" s="77" t="s">
        <v>2404</v>
      </c>
      <c r="R1311" s="77">
        <v>0</v>
      </c>
      <c r="S1311" s="77">
        <v>1</v>
      </c>
      <c r="T1311" s="77">
        <v>0</v>
      </c>
      <c r="U1311" s="77">
        <v>0</v>
      </c>
      <c r="V1311" s="77">
        <v>24</v>
      </c>
      <c r="W1311" s="82" t="s">
        <v>4979</v>
      </c>
      <c r="X1311" s="77"/>
      <c r="Y1311" s="77"/>
      <c r="Z1311" s="77"/>
      <c r="AA1311" s="77" t="s">
        <v>6975</v>
      </c>
      <c r="AB1311" s="77" t="s">
        <v>7696</v>
      </c>
      <c r="AC1311" s="82" t="s">
        <v>7705</v>
      </c>
      <c r="AD1311" s="77" t="s">
        <v>7745</v>
      </c>
      <c r="AE1311" s="80" t="str">
        <f>HYPERLINK("https://twitter.com/ocleydsontrader/status/1628580701128781829")</f>
        <v>https://twitter.com/ocleydsontrader/status/1628580701128781829</v>
      </c>
      <c r="AF1311" s="79">
        <v>44980.098043981481</v>
      </c>
      <c r="AG1311" s="85">
        <v>44980</v>
      </c>
      <c r="AH1311" s="82" t="s">
        <v>8922</v>
      </c>
      <c r="AI1311" s="77" t="b">
        <v>0</v>
      </c>
      <c r="AJ1311" s="77"/>
      <c r="AK1311" s="77"/>
      <c r="AL1311" s="77"/>
      <c r="AM1311" s="77"/>
      <c r="AN1311" s="77"/>
      <c r="AO1311" s="77"/>
      <c r="AP1311" s="77"/>
      <c r="AQ1311" s="77" t="s">
        <v>11482</v>
      </c>
      <c r="AR1311" s="77"/>
      <c r="AS1311" s="77"/>
      <c r="AT1311" s="77"/>
      <c r="AU1311" s="77"/>
      <c r="AV1311" s="80" t="str">
        <f>HYPERLINK("https://pbs.twimg.com/media/Fpnhg9gX0AYg76d.jpg")</f>
        <v>https://pbs.twimg.com/media/Fpnhg9gX0AYg76d.jpg</v>
      </c>
      <c r="AW1311" s="82" t="s">
        <v>13493</v>
      </c>
      <c r="AX1311" s="82" t="s">
        <v>13493</v>
      </c>
      <c r="AY1311" s="77"/>
      <c r="AZ1311" s="82" t="s">
        <v>15804</v>
      </c>
      <c r="BA1311" s="82" t="s">
        <v>15804</v>
      </c>
      <c r="BB1311" s="82" t="s">
        <v>15804</v>
      </c>
      <c r="BC1311" s="82" t="s">
        <v>13493</v>
      </c>
      <c r="BD1311" s="82" t="s">
        <v>16367</v>
      </c>
      <c r="BE1311" s="77"/>
      <c r="BF1311" s="77"/>
      <c r="BG1311" s="77"/>
      <c r="BH1311" s="77"/>
      <c r="BI1311" s="77"/>
    </row>
    <row r="1312" spans="1:61" x14ac:dyDescent="0.25">
      <c r="A1312" s="62" t="s">
        <v>632</v>
      </c>
      <c r="B1312" s="62" t="s">
        <v>632</v>
      </c>
      <c r="C1312" s="63"/>
      <c r="D1312" s="64"/>
      <c r="E1312" s="65"/>
      <c r="F1312" s="66"/>
      <c r="G1312" s="63"/>
      <c r="H1312" s="67"/>
      <c r="I1312" s="68"/>
      <c r="J1312" s="68"/>
      <c r="K1312" s="32"/>
      <c r="L1312" s="75">
        <v>1312</v>
      </c>
      <c r="M1312" s="75"/>
      <c r="N1312" s="70"/>
      <c r="O1312" s="77" t="s">
        <v>179</v>
      </c>
      <c r="P1312" s="79">
        <v>44990.943692129629</v>
      </c>
      <c r="Q1312" s="77" t="s">
        <v>2405</v>
      </c>
      <c r="R1312" s="77">
        <v>0</v>
      </c>
      <c r="S1312" s="77">
        <v>1</v>
      </c>
      <c r="T1312" s="77">
        <v>0</v>
      </c>
      <c r="U1312" s="77">
        <v>0</v>
      </c>
      <c r="V1312" s="77">
        <v>43</v>
      </c>
      <c r="W1312" s="82" t="s">
        <v>4980</v>
      </c>
      <c r="X1312" s="77"/>
      <c r="Y1312" s="77"/>
      <c r="Z1312" s="77"/>
      <c r="AA1312" s="77"/>
      <c r="AB1312" s="77"/>
      <c r="AC1312" s="82" t="s">
        <v>7705</v>
      </c>
      <c r="AD1312" s="77" t="s">
        <v>7745</v>
      </c>
      <c r="AE1312" s="80" t="str">
        <f>HYPERLINK("https://twitter.com/ocleydsontrader/status/1632511031393001473")</f>
        <v>https://twitter.com/ocleydsontrader/status/1632511031393001473</v>
      </c>
      <c r="AF1312" s="79">
        <v>44990.943692129629</v>
      </c>
      <c r="AG1312" s="85">
        <v>44990</v>
      </c>
      <c r="AH1312" s="82" t="s">
        <v>8923</v>
      </c>
      <c r="AI1312" s="77"/>
      <c r="AJ1312" s="77"/>
      <c r="AK1312" s="77"/>
      <c r="AL1312" s="77"/>
      <c r="AM1312" s="77"/>
      <c r="AN1312" s="77"/>
      <c r="AO1312" s="77"/>
      <c r="AP1312" s="77"/>
      <c r="AQ1312" s="77"/>
      <c r="AR1312" s="77"/>
      <c r="AS1312" s="77"/>
      <c r="AT1312" s="77"/>
      <c r="AU1312" s="77"/>
      <c r="AV1312" s="80" t="str">
        <f>HYPERLINK("https://pbs.twimg.com/profile_images/1696562721230147584/BNKa8_PE_normal.jpg")</f>
        <v>https://pbs.twimg.com/profile_images/1696562721230147584/BNKa8_PE_normal.jpg</v>
      </c>
      <c r="AW1312" s="82" t="s">
        <v>13494</v>
      </c>
      <c r="AX1312" s="82" t="s">
        <v>13494</v>
      </c>
      <c r="AY1312" s="77"/>
      <c r="AZ1312" s="82" t="s">
        <v>15804</v>
      </c>
      <c r="BA1312" s="82" t="s">
        <v>15804</v>
      </c>
      <c r="BB1312" s="82" t="s">
        <v>15804</v>
      </c>
      <c r="BC1312" s="82" t="s">
        <v>13494</v>
      </c>
      <c r="BD1312" s="82" t="s">
        <v>16367</v>
      </c>
      <c r="BE1312" s="77"/>
      <c r="BF1312" s="77"/>
      <c r="BG1312" s="77"/>
      <c r="BH1312" s="77"/>
      <c r="BI1312" s="77"/>
    </row>
    <row r="1313" spans="1:61" x14ac:dyDescent="0.25">
      <c r="A1313" s="62" t="s">
        <v>632</v>
      </c>
      <c r="B1313" s="62" t="s">
        <v>632</v>
      </c>
      <c r="C1313" s="63"/>
      <c r="D1313" s="64"/>
      <c r="E1313" s="65"/>
      <c r="F1313" s="66"/>
      <c r="G1313" s="63"/>
      <c r="H1313" s="67"/>
      <c r="I1313" s="68"/>
      <c r="J1313" s="68"/>
      <c r="K1313" s="32"/>
      <c r="L1313" s="75">
        <v>1313</v>
      </c>
      <c r="M1313" s="75"/>
      <c r="N1313" s="70"/>
      <c r="O1313" s="77" t="s">
        <v>179</v>
      </c>
      <c r="P1313" s="79">
        <v>45041.26253472222</v>
      </c>
      <c r="Q1313" s="77" t="s">
        <v>2406</v>
      </c>
      <c r="R1313" s="77">
        <v>0</v>
      </c>
      <c r="S1313" s="77">
        <v>0</v>
      </c>
      <c r="T1313" s="77">
        <v>0</v>
      </c>
      <c r="U1313" s="77">
        <v>0</v>
      </c>
      <c r="V1313" s="77">
        <v>29</v>
      </c>
      <c r="W1313" s="82" t="s">
        <v>4282</v>
      </c>
      <c r="X1313" s="77"/>
      <c r="Y1313" s="77"/>
      <c r="Z1313" s="77"/>
      <c r="AA1313" s="77" t="s">
        <v>6976</v>
      </c>
      <c r="AB1313" s="77" t="s">
        <v>7696</v>
      </c>
      <c r="AC1313" s="82" t="s">
        <v>7705</v>
      </c>
      <c r="AD1313" s="77" t="s">
        <v>7746</v>
      </c>
      <c r="AE1313" s="80" t="str">
        <f>HYPERLINK("https://twitter.com/ocleydsontrader/status/1650745972060831744")</f>
        <v>https://twitter.com/ocleydsontrader/status/1650745972060831744</v>
      </c>
      <c r="AF1313" s="79">
        <v>45041.26253472222</v>
      </c>
      <c r="AG1313" s="85">
        <v>45041</v>
      </c>
      <c r="AH1313" s="82" t="s">
        <v>8924</v>
      </c>
      <c r="AI1313" s="77" t="b">
        <v>0</v>
      </c>
      <c r="AJ1313" s="77"/>
      <c r="AK1313" s="77"/>
      <c r="AL1313" s="77"/>
      <c r="AM1313" s="77"/>
      <c r="AN1313" s="77"/>
      <c r="AO1313" s="77"/>
      <c r="AP1313" s="77"/>
      <c r="AQ1313" s="77" t="s">
        <v>11483</v>
      </c>
      <c r="AR1313" s="77"/>
      <c r="AS1313" s="77"/>
      <c r="AT1313" s="77"/>
      <c r="AU1313" s="77"/>
      <c r="AV1313" s="80" t="str">
        <f>HYPERLINK("https://pbs.twimg.com/media/FuigtWLWwAEvw-6.jpg")</f>
        <v>https://pbs.twimg.com/media/FuigtWLWwAEvw-6.jpg</v>
      </c>
      <c r="AW1313" s="82" t="s">
        <v>13495</v>
      </c>
      <c r="AX1313" s="82" t="s">
        <v>13495</v>
      </c>
      <c r="AY1313" s="77"/>
      <c r="AZ1313" s="82" t="s">
        <v>15804</v>
      </c>
      <c r="BA1313" s="82" t="s">
        <v>15804</v>
      </c>
      <c r="BB1313" s="82" t="s">
        <v>15804</v>
      </c>
      <c r="BC1313" s="82" t="s">
        <v>13495</v>
      </c>
      <c r="BD1313" s="82" t="s">
        <v>16367</v>
      </c>
      <c r="BE1313" s="77"/>
      <c r="BF1313" s="77"/>
      <c r="BG1313" s="77"/>
      <c r="BH1313" s="77"/>
      <c r="BI1313" s="77"/>
    </row>
    <row r="1314" spans="1:61" x14ac:dyDescent="0.25">
      <c r="A1314" s="62" t="s">
        <v>633</v>
      </c>
      <c r="B1314" s="62" t="s">
        <v>633</v>
      </c>
      <c r="C1314" s="63"/>
      <c r="D1314" s="64"/>
      <c r="E1314" s="65"/>
      <c r="F1314" s="66"/>
      <c r="G1314" s="63"/>
      <c r="H1314" s="67"/>
      <c r="I1314" s="68"/>
      <c r="J1314" s="68"/>
      <c r="K1314" s="32"/>
      <c r="L1314" s="75">
        <v>1314</v>
      </c>
      <c r="M1314" s="75"/>
      <c r="N1314" s="70"/>
      <c r="O1314" s="77" t="s">
        <v>179</v>
      </c>
      <c r="P1314" s="79">
        <v>45068.201192129629</v>
      </c>
      <c r="Q1314" s="77" t="s">
        <v>2407</v>
      </c>
      <c r="R1314" s="77">
        <v>0</v>
      </c>
      <c r="S1314" s="77">
        <v>0</v>
      </c>
      <c r="T1314" s="77">
        <v>0</v>
      </c>
      <c r="U1314" s="77">
        <v>0</v>
      </c>
      <c r="V1314" s="77">
        <v>16</v>
      </c>
      <c r="W1314" s="82" t="s">
        <v>4097</v>
      </c>
      <c r="X1314" s="77"/>
      <c r="Y1314" s="77"/>
      <c r="Z1314" s="77"/>
      <c r="AA1314" s="77" t="s">
        <v>6977</v>
      </c>
      <c r="AB1314" s="77" t="s">
        <v>7696</v>
      </c>
      <c r="AC1314" s="82" t="s">
        <v>7708</v>
      </c>
      <c r="AD1314" s="77" t="s">
        <v>7745</v>
      </c>
      <c r="AE1314" s="80" t="str">
        <f>HYPERLINK("https://twitter.com/sicoobcrediara/status/1660508215317086209")</f>
        <v>https://twitter.com/sicoobcrediara/status/1660508215317086209</v>
      </c>
      <c r="AF1314" s="79">
        <v>45068.201192129629</v>
      </c>
      <c r="AG1314" s="85">
        <v>45068</v>
      </c>
      <c r="AH1314" s="82" t="s">
        <v>8925</v>
      </c>
      <c r="AI1314" s="77" t="b">
        <v>0</v>
      </c>
      <c r="AJ1314" s="77"/>
      <c r="AK1314" s="77"/>
      <c r="AL1314" s="77"/>
      <c r="AM1314" s="77"/>
      <c r="AN1314" s="77"/>
      <c r="AO1314" s="77"/>
      <c r="AP1314" s="77"/>
      <c r="AQ1314" s="77" t="s">
        <v>11484</v>
      </c>
      <c r="AR1314" s="77"/>
      <c r="AS1314" s="77"/>
      <c r="AT1314" s="77"/>
      <c r="AU1314" s="77"/>
      <c r="AV1314" s="80" t="str">
        <f>HYPERLINK("https://pbs.twimg.com/media/FwtPa-2XgAEBjOb.jpg")</f>
        <v>https://pbs.twimg.com/media/FwtPa-2XgAEBjOb.jpg</v>
      </c>
      <c r="AW1314" s="82" t="s">
        <v>13496</v>
      </c>
      <c r="AX1314" s="82" t="s">
        <v>13496</v>
      </c>
      <c r="AY1314" s="77"/>
      <c r="AZ1314" s="82" t="s">
        <v>15804</v>
      </c>
      <c r="BA1314" s="82" t="s">
        <v>15804</v>
      </c>
      <c r="BB1314" s="82" t="s">
        <v>15804</v>
      </c>
      <c r="BC1314" s="82" t="s">
        <v>13496</v>
      </c>
      <c r="BD1314" s="82" t="s">
        <v>16368</v>
      </c>
      <c r="BE1314" s="77"/>
      <c r="BF1314" s="77"/>
      <c r="BG1314" s="77"/>
      <c r="BH1314" s="77"/>
      <c r="BI1314" s="77"/>
    </row>
    <row r="1315" spans="1:61" x14ac:dyDescent="0.25">
      <c r="A1315" s="62" t="s">
        <v>633</v>
      </c>
      <c r="B1315" s="62" t="s">
        <v>633</v>
      </c>
      <c r="C1315" s="63"/>
      <c r="D1315" s="64"/>
      <c r="E1315" s="65"/>
      <c r="F1315" s="66"/>
      <c r="G1315" s="63"/>
      <c r="H1315" s="67"/>
      <c r="I1315" s="68"/>
      <c r="J1315" s="68"/>
      <c r="K1315" s="32"/>
      <c r="L1315" s="75">
        <v>1315</v>
      </c>
      <c r="M1315" s="75"/>
      <c r="N1315" s="70"/>
      <c r="O1315" s="77" t="s">
        <v>179</v>
      </c>
      <c r="P1315" s="79">
        <v>45065.590902777774</v>
      </c>
      <c r="Q1315" s="77" t="s">
        <v>2408</v>
      </c>
      <c r="R1315" s="77">
        <v>0</v>
      </c>
      <c r="S1315" s="77">
        <v>0</v>
      </c>
      <c r="T1315" s="77">
        <v>0</v>
      </c>
      <c r="U1315" s="77">
        <v>0</v>
      </c>
      <c r="V1315" s="77">
        <v>17</v>
      </c>
      <c r="W1315" s="82" t="s">
        <v>4981</v>
      </c>
      <c r="X1315" s="80" t="str">
        <f>HYPERLINK("https://seligafinancas.institutosicoob.org.br")</f>
        <v>https://seligafinancas.institutosicoob.org.br</v>
      </c>
      <c r="Y1315" s="77" t="s">
        <v>6007</v>
      </c>
      <c r="Z1315" s="77"/>
      <c r="AA1315" s="77" t="s">
        <v>6978</v>
      </c>
      <c r="AB1315" s="77" t="s">
        <v>7701</v>
      </c>
      <c r="AC1315" s="82" t="s">
        <v>7708</v>
      </c>
      <c r="AD1315" s="77" t="s">
        <v>7745</v>
      </c>
      <c r="AE1315" s="80" t="str">
        <f>HYPERLINK("https://twitter.com/sicoobcrediara/status/1659562274858622982")</f>
        <v>https://twitter.com/sicoobcrediara/status/1659562274858622982</v>
      </c>
      <c r="AF1315" s="79">
        <v>45065.590902777774</v>
      </c>
      <c r="AG1315" s="85">
        <v>45065</v>
      </c>
      <c r="AH1315" s="82" t="s">
        <v>8926</v>
      </c>
      <c r="AI1315" s="77" t="b">
        <v>0</v>
      </c>
      <c r="AJ1315" s="77"/>
      <c r="AK1315" s="77"/>
      <c r="AL1315" s="77"/>
      <c r="AM1315" s="77"/>
      <c r="AN1315" s="77"/>
      <c r="AO1315" s="77"/>
      <c r="AP1315" s="77"/>
      <c r="AQ1315" s="77" t="s">
        <v>11485</v>
      </c>
      <c r="AR1315" s="77"/>
      <c r="AS1315" s="77"/>
      <c r="AT1315" s="77"/>
      <c r="AU1315" s="77"/>
      <c r="AV1315" s="80" t="str">
        <f>HYPERLINK("https://pbs.twimg.com/media/FwfzGChXwAEl1XR.jpg")</f>
        <v>https://pbs.twimg.com/media/FwfzGChXwAEl1XR.jpg</v>
      </c>
      <c r="AW1315" s="82" t="s">
        <v>13497</v>
      </c>
      <c r="AX1315" s="82" t="s">
        <v>13497</v>
      </c>
      <c r="AY1315" s="77"/>
      <c r="AZ1315" s="82" t="s">
        <v>15804</v>
      </c>
      <c r="BA1315" s="82" t="s">
        <v>15804</v>
      </c>
      <c r="BB1315" s="82" t="s">
        <v>15804</v>
      </c>
      <c r="BC1315" s="82" t="s">
        <v>13497</v>
      </c>
      <c r="BD1315" s="82" t="s">
        <v>16368</v>
      </c>
      <c r="BE1315" s="77"/>
      <c r="BF1315" s="77"/>
      <c r="BG1315" s="77"/>
      <c r="BH1315" s="77"/>
      <c r="BI1315" s="77"/>
    </row>
    <row r="1316" spans="1:61" x14ac:dyDescent="0.25">
      <c r="A1316" s="62" t="s">
        <v>633</v>
      </c>
      <c r="B1316" s="62" t="s">
        <v>633</v>
      </c>
      <c r="C1316" s="63"/>
      <c r="D1316" s="64"/>
      <c r="E1316" s="65"/>
      <c r="F1316" s="66"/>
      <c r="G1316" s="63"/>
      <c r="H1316" s="67"/>
      <c r="I1316" s="68"/>
      <c r="J1316" s="68"/>
      <c r="K1316" s="32"/>
      <c r="L1316" s="75">
        <v>1316</v>
      </c>
      <c r="M1316" s="75"/>
      <c r="N1316" s="70"/>
      <c r="O1316" s="77" t="s">
        <v>179</v>
      </c>
      <c r="P1316" s="79">
        <v>45064.542604166665</v>
      </c>
      <c r="Q1316" s="77" t="s">
        <v>2409</v>
      </c>
      <c r="R1316" s="77">
        <v>0</v>
      </c>
      <c r="S1316" s="77">
        <v>0</v>
      </c>
      <c r="T1316" s="77">
        <v>0</v>
      </c>
      <c r="U1316" s="77">
        <v>0</v>
      </c>
      <c r="V1316" s="77">
        <v>31</v>
      </c>
      <c r="W1316" s="82" t="s">
        <v>4097</v>
      </c>
      <c r="X1316" s="77"/>
      <c r="Y1316" s="77"/>
      <c r="Z1316" s="77"/>
      <c r="AA1316" s="77" t="s">
        <v>6979</v>
      </c>
      <c r="AB1316" s="77" t="s">
        <v>7700</v>
      </c>
      <c r="AC1316" s="82" t="s">
        <v>7708</v>
      </c>
      <c r="AD1316" s="77" t="s">
        <v>7745</v>
      </c>
      <c r="AE1316" s="80" t="str">
        <f>HYPERLINK("https://twitter.com/sicoobcrediara/status/1659182386184179713")</f>
        <v>https://twitter.com/sicoobcrediara/status/1659182386184179713</v>
      </c>
      <c r="AF1316" s="79">
        <v>45064.542604166665</v>
      </c>
      <c r="AG1316" s="85">
        <v>45064</v>
      </c>
      <c r="AH1316" s="82" t="s">
        <v>8927</v>
      </c>
      <c r="AI1316" s="77" t="b">
        <v>0</v>
      </c>
      <c r="AJ1316" s="77"/>
      <c r="AK1316" s="77"/>
      <c r="AL1316" s="77"/>
      <c r="AM1316" s="77"/>
      <c r="AN1316" s="77"/>
      <c r="AO1316" s="77"/>
      <c r="AP1316" s="77"/>
      <c r="AQ1316" s="77" t="s">
        <v>11486</v>
      </c>
      <c r="AR1316" s="77"/>
      <c r="AS1316" s="77"/>
      <c r="AT1316" s="77"/>
      <c r="AU1316" s="77"/>
      <c r="AV1316" s="80" t="str">
        <f>HYPERLINK("https://pbs.twimg.com/media/FwaZljyWIAUbUWY.jpg")</f>
        <v>https://pbs.twimg.com/media/FwaZljyWIAUbUWY.jpg</v>
      </c>
      <c r="AW1316" s="82" t="s">
        <v>13498</v>
      </c>
      <c r="AX1316" s="82" t="s">
        <v>13498</v>
      </c>
      <c r="AY1316" s="77"/>
      <c r="AZ1316" s="82" t="s">
        <v>15804</v>
      </c>
      <c r="BA1316" s="82" t="s">
        <v>15804</v>
      </c>
      <c r="BB1316" s="82" t="s">
        <v>15804</v>
      </c>
      <c r="BC1316" s="82" t="s">
        <v>13498</v>
      </c>
      <c r="BD1316" s="82" t="s">
        <v>16368</v>
      </c>
      <c r="BE1316" s="77"/>
      <c r="BF1316" s="77"/>
      <c r="BG1316" s="77"/>
      <c r="BH1316" s="77"/>
      <c r="BI1316" s="77"/>
    </row>
    <row r="1317" spans="1:61" x14ac:dyDescent="0.25">
      <c r="A1317" s="62" t="s">
        <v>633</v>
      </c>
      <c r="B1317" s="62" t="s">
        <v>633</v>
      </c>
      <c r="C1317" s="63"/>
      <c r="D1317" s="64"/>
      <c r="E1317" s="65"/>
      <c r="F1317" s="66"/>
      <c r="G1317" s="63"/>
      <c r="H1317" s="67"/>
      <c r="I1317" s="68"/>
      <c r="J1317" s="68"/>
      <c r="K1317" s="32"/>
      <c r="L1317" s="75">
        <v>1317</v>
      </c>
      <c r="M1317" s="75"/>
      <c r="N1317" s="70"/>
      <c r="O1317" s="77" t="s">
        <v>179</v>
      </c>
      <c r="P1317" s="79">
        <v>45063.575706018521</v>
      </c>
      <c r="Q1317" s="77" t="s">
        <v>2410</v>
      </c>
      <c r="R1317" s="77">
        <v>0</v>
      </c>
      <c r="S1317" s="77">
        <v>0</v>
      </c>
      <c r="T1317" s="77">
        <v>0</v>
      </c>
      <c r="U1317" s="77">
        <v>0</v>
      </c>
      <c r="V1317" s="77">
        <v>23</v>
      </c>
      <c r="W1317" s="82" t="s">
        <v>4982</v>
      </c>
      <c r="X1317" s="77"/>
      <c r="Y1317" s="77"/>
      <c r="Z1317" s="77"/>
      <c r="AA1317" s="77" t="s">
        <v>6980</v>
      </c>
      <c r="AB1317" s="77" t="s">
        <v>7696</v>
      </c>
      <c r="AC1317" s="82" t="s">
        <v>7708</v>
      </c>
      <c r="AD1317" s="77" t="s">
        <v>7745</v>
      </c>
      <c r="AE1317" s="80" t="str">
        <f>HYPERLINK("https://twitter.com/sicoobcrediara/status/1658831992576786435")</f>
        <v>https://twitter.com/sicoobcrediara/status/1658831992576786435</v>
      </c>
      <c r="AF1317" s="79">
        <v>45063.575706018521</v>
      </c>
      <c r="AG1317" s="85">
        <v>45063</v>
      </c>
      <c r="AH1317" s="82" t="s">
        <v>8928</v>
      </c>
      <c r="AI1317" s="77" t="b">
        <v>0</v>
      </c>
      <c r="AJ1317" s="77"/>
      <c r="AK1317" s="77"/>
      <c r="AL1317" s="77"/>
      <c r="AM1317" s="77"/>
      <c r="AN1317" s="77"/>
      <c r="AO1317" s="77"/>
      <c r="AP1317" s="77"/>
      <c r="AQ1317" s="77" t="s">
        <v>11487</v>
      </c>
      <c r="AR1317" s="77"/>
      <c r="AS1317" s="77"/>
      <c r="AT1317" s="77"/>
      <c r="AU1317" s="77"/>
      <c r="AV1317" s="80" t="str">
        <f>HYPERLINK("https://pbs.twimg.com/media/FwVa5_dWIAMqO2A.jpg")</f>
        <v>https://pbs.twimg.com/media/FwVa5_dWIAMqO2A.jpg</v>
      </c>
      <c r="AW1317" s="82" t="s">
        <v>13499</v>
      </c>
      <c r="AX1317" s="82" t="s">
        <v>13499</v>
      </c>
      <c r="AY1317" s="77"/>
      <c r="AZ1317" s="82" t="s">
        <v>15804</v>
      </c>
      <c r="BA1317" s="82" t="s">
        <v>15804</v>
      </c>
      <c r="BB1317" s="82" t="s">
        <v>15804</v>
      </c>
      <c r="BC1317" s="82" t="s">
        <v>13499</v>
      </c>
      <c r="BD1317" s="82" t="s">
        <v>16368</v>
      </c>
      <c r="BE1317" s="77"/>
      <c r="BF1317" s="77"/>
      <c r="BG1317" s="77"/>
      <c r="BH1317" s="77"/>
      <c r="BI1317" s="77"/>
    </row>
    <row r="1318" spans="1:61" x14ac:dyDescent="0.25">
      <c r="A1318" s="62" t="s">
        <v>633</v>
      </c>
      <c r="B1318" s="62" t="s">
        <v>633</v>
      </c>
      <c r="C1318" s="63"/>
      <c r="D1318" s="64"/>
      <c r="E1318" s="65"/>
      <c r="F1318" s="66"/>
      <c r="G1318" s="63"/>
      <c r="H1318" s="67"/>
      <c r="I1318" s="68"/>
      <c r="J1318" s="68"/>
      <c r="K1318" s="32"/>
      <c r="L1318" s="75">
        <v>1318</v>
      </c>
      <c r="M1318" s="75"/>
      <c r="N1318" s="70"/>
      <c r="O1318" s="77" t="s">
        <v>179</v>
      </c>
      <c r="P1318" s="79">
        <v>45062.544872685183</v>
      </c>
      <c r="Q1318" s="77" t="s">
        <v>2411</v>
      </c>
      <c r="R1318" s="77">
        <v>0</v>
      </c>
      <c r="S1318" s="77">
        <v>0</v>
      </c>
      <c r="T1318" s="77">
        <v>0</v>
      </c>
      <c r="U1318" s="77">
        <v>0</v>
      </c>
      <c r="V1318" s="77">
        <v>12</v>
      </c>
      <c r="W1318" s="82" t="s">
        <v>4983</v>
      </c>
      <c r="X1318" s="77"/>
      <c r="Y1318" s="77"/>
      <c r="Z1318" s="77"/>
      <c r="AA1318" s="77" t="s">
        <v>6981</v>
      </c>
      <c r="AB1318" s="77" t="s">
        <v>7696</v>
      </c>
      <c r="AC1318" s="82" t="s">
        <v>7708</v>
      </c>
      <c r="AD1318" s="77" t="s">
        <v>7745</v>
      </c>
      <c r="AE1318" s="80" t="str">
        <f>HYPERLINK("https://twitter.com/sicoobcrediara/status/1658458431638974467")</f>
        <v>https://twitter.com/sicoobcrediara/status/1658458431638974467</v>
      </c>
      <c r="AF1318" s="79">
        <v>45062.544872685183</v>
      </c>
      <c r="AG1318" s="85">
        <v>45062</v>
      </c>
      <c r="AH1318" s="82" t="s">
        <v>8929</v>
      </c>
      <c r="AI1318" s="77" t="b">
        <v>0</v>
      </c>
      <c r="AJ1318" s="77"/>
      <c r="AK1318" s="77"/>
      <c r="AL1318" s="77"/>
      <c r="AM1318" s="77"/>
      <c r="AN1318" s="77"/>
      <c r="AO1318" s="77"/>
      <c r="AP1318" s="77"/>
      <c r="AQ1318" s="77" t="s">
        <v>11488</v>
      </c>
      <c r="AR1318" s="77"/>
      <c r="AS1318" s="77"/>
      <c r="AT1318" s="77"/>
      <c r="AU1318" s="77"/>
      <c r="AV1318" s="80" t="str">
        <f>HYPERLINK("https://pbs.twimg.com/media/FwQHJ5VWAAAuzPL.jpg")</f>
        <v>https://pbs.twimg.com/media/FwQHJ5VWAAAuzPL.jpg</v>
      </c>
      <c r="AW1318" s="82" t="s">
        <v>13500</v>
      </c>
      <c r="AX1318" s="82" t="s">
        <v>13500</v>
      </c>
      <c r="AY1318" s="77"/>
      <c r="AZ1318" s="82" t="s">
        <v>15804</v>
      </c>
      <c r="BA1318" s="82" t="s">
        <v>15804</v>
      </c>
      <c r="BB1318" s="82" t="s">
        <v>15804</v>
      </c>
      <c r="BC1318" s="82" t="s">
        <v>13500</v>
      </c>
      <c r="BD1318" s="82" t="s">
        <v>16368</v>
      </c>
      <c r="BE1318" s="77"/>
      <c r="BF1318" s="77"/>
      <c r="BG1318" s="77"/>
      <c r="BH1318" s="77"/>
      <c r="BI1318" s="77"/>
    </row>
    <row r="1319" spans="1:61" x14ac:dyDescent="0.25">
      <c r="A1319" s="62" t="s">
        <v>633</v>
      </c>
      <c r="B1319" s="62" t="s">
        <v>633</v>
      </c>
      <c r="C1319" s="63"/>
      <c r="D1319" s="64"/>
      <c r="E1319" s="65"/>
      <c r="F1319" s="66"/>
      <c r="G1319" s="63"/>
      <c r="H1319" s="67"/>
      <c r="I1319" s="68"/>
      <c r="J1319" s="68"/>
      <c r="K1319" s="32"/>
      <c r="L1319" s="75">
        <v>1319</v>
      </c>
      <c r="M1319" s="75"/>
      <c r="N1319" s="70"/>
      <c r="O1319" s="77" t="s">
        <v>179</v>
      </c>
      <c r="P1319" s="79">
        <v>45099.536631944444</v>
      </c>
      <c r="Q1319" s="77" t="s">
        <v>2412</v>
      </c>
      <c r="R1319" s="77">
        <v>0</v>
      </c>
      <c r="S1319" s="77">
        <v>0</v>
      </c>
      <c r="T1319" s="77">
        <v>0</v>
      </c>
      <c r="U1319" s="77">
        <v>0</v>
      </c>
      <c r="V1319" s="77">
        <v>23</v>
      </c>
      <c r="W1319" s="82" t="s">
        <v>4984</v>
      </c>
      <c r="X1319" s="80" t="str">
        <f>HYPERLINK("http://seligafinancas.institutosicoob.org.br")</f>
        <v>http://seligafinancas.institutosicoob.org.br</v>
      </c>
      <c r="Y1319" s="77" t="s">
        <v>6007</v>
      </c>
      <c r="Z1319" s="77"/>
      <c r="AA1319" s="77" t="s">
        <v>6982</v>
      </c>
      <c r="AB1319" s="77" t="s">
        <v>7699</v>
      </c>
      <c r="AC1319" s="82" t="s">
        <v>7708</v>
      </c>
      <c r="AD1319" s="77" t="s">
        <v>7745</v>
      </c>
      <c r="AE1319" s="80" t="str">
        <f>HYPERLINK("https://twitter.com/sicoobcrediara/status/1671863797135421444")</f>
        <v>https://twitter.com/sicoobcrediara/status/1671863797135421444</v>
      </c>
      <c r="AF1319" s="79">
        <v>45099.536631944444</v>
      </c>
      <c r="AG1319" s="85">
        <v>45099</v>
      </c>
      <c r="AH1319" s="82" t="s">
        <v>8930</v>
      </c>
      <c r="AI1319" s="77" t="b">
        <v>0</v>
      </c>
      <c r="AJ1319" s="77"/>
      <c r="AK1319" s="77"/>
      <c r="AL1319" s="77"/>
      <c r="AM1319" s="77"/>
      <c r="AN1319" s="77"/>
      <c r="AO1319" s="77"/>
      <c r="AP1319" s="77"/>
      <c r="AQ1319" s="77" t="s">
        <v>11489</v>
      </c>
      <c r="AR1319" s="77"/>
      <c r="AS1319" s="77"/>
      <c r="AT1319" s="77"/>
      <c r="AU1319" s="77"/>
      <c r="AV1319" s="80" t="str">
        <f>HYPERLINK("https://pbs.twimg.com/tweet_video_thumb/FzOnPXhWIAQvg-2.jpg")</f>
        <v>https://pbs.twimg.com/tweet_video_thumb/FzOnPXhWIAQvg-2.jpg</v>
      </c>
      <c r="AW1319" s="82" t="s">
        <v>13501</v>
      </c>
      <c r="AX1319" s="82" t="s">
        <v>13501</v>
      </c>
      <c r="AY1319" s="77"/>
      <c r="AZ1319" s="82" t="s">
        <v>15804</v>
      </c>
      <c r="BA1319" s="82" t="s">
        <v>15804</v>
      </c>
      <c r="BB1319" s="82" t="s">
        <v>15804</v>
      </c>
      <c r="BC1319" s="82" t="s">
        <v>13501</v>
      </c>
      <c r="BD1319" s="82" t="s">
        <v>16368</v>
      </c>
      <c r="BE1319" s="77"/>
      <c r="BF1319" s="77"/>
      <c r="BG1319" s="77"/>
      <c r="BH1319" s="77"/>
      <c r="BI1319" s="77"/>
    </row>
    <row r="1320" spans="1:61" x14ac:dyDescent="0.25">
      <c r="A1320" s="62" t="s">
        <v>633</v>
      </c>
      <c r="B1320" s="62" t="s">
        <v>633</v>
      </c>
      <c r="C1320" s="63"/>
      <c r="D1320" s="64"/>
      <c r="E1320" s="65"/>
      <c r="F1320" s="66"/>
      <c r="G1320" s="63"/>
      <c r="H1320" s="67"/>
      <c r="I1320" s="68"/>
      <c r="J1320" s="68"/>
      <c r="K1320" s="32"/>
      <c r="L1320" s="75">
        <v>1320</v>
      </c>
      <c r="M1320" s="75"/>
      <c r="N1320" s="70"/>
      <c r="O1320" s="77" t="s">
        <v>179</v>
      </c>
      <c r="P1320" s="79">
        <v>45111.583796296298</v>
      </c>
      <c r="Q1320" s="77" t="s">
        <v>2413</v>
      </c>
      <c r="R1320" s="77">
        <v>0</v>
      </c>
      <c r="S1320" s="77">
        <v>0</v>
      </c>
      <c r="T1320" s="77">
        <v>0</v>
      </c>
      <c r="U1320" s="77">
        <v>0</v>
      </c>
      <c r="V1320" s="77">
        <v>26</v>
      </c>
      <c r="W1320" s="82" t="s">
        <v>4985</v>
      </c>
      <c r="X1320" s="80" t="str">
        <f>HYPERLINK("http://seligafinancas.institutosicoob.org.br")</f>
        <v>http://seligafinancas.institutosicoob.org.br</v>
      </c>
      <c r="Y1320" s="77" t="s">
        <v>6007</v>
      </c>
      <c r="Z1320" s="77"/>
      <c r="AA1320" s="77" t="s">
        <v>6983</v>
      </c>
      <c r="AB1320" s="77" t="s">
        <v>7700</v>
      </c>
      <c r="AC1320" s="82" t="s">
        <v>7708</v>
      </c>
      <c r="AD1320" s="77" t="s">
        <v>7745</v>
      </c>
      <c r="AE1320" s="80" t="str">
        <f>HYPERLINK("https://twitter.com/sicoobcrediara/status/1676229543101644800")</f>
        <v>https://twitter.com/sicoobcrediara/status/1676229543101644800</v>
      </c>
      <c r="AF1320" s="79">
        <v>45111.583796296298</v>
      </c>
      <c r="AG1320" s="85">
        <v>45111</v>
      </c>
      <c r="AH1320" s="82" t="s">
        <v>8931</v>
      </c>
      <c r="AI1320" s="77" t="b">
        <v>0</v>
      </c>
      <c r="AJ1320" s="77"/>
      <c r="AK1320" s="77"/>
      <c r="AL1320" s="77"/>
      <c r="AM1320" s="77"/>
      <c r="AN1320" s="77"/>
      <c r="AO1320" s="77"/>
      <c r="AP1320" s="77"/>
      <c r="AQ1320" s="77" t="s">
        <v>11490</v>
      </c>
      <c r="AR1320" s="77"/>
      <c r="AS1320" s="77"/>
      <c r="AT1320" s="77"/>
      <c r="AU1320" s="77"/>
      <c r="AV1320" s="80" t="str">
        <f>HYPERLINK("https://pbs.twimg.com/media/F0Mp4klWAAEQggX.jpg")</f>
        <v>https://pbs.twimg.com/media/F0Mp4klWAAEQggX.jpg</v>
      </c>
      <c r="AW1320" s="82" t="s">
        <v>13502</v>
      </c>
      <c r="AX1320" s="82" t="s">
        <v>13502</v>
      </c>
      <c r="AY1320" s="77"/>
      <c r="AZ1320" s="82" t="s">
        <v>15804</v>
      </c>
      <c r="BA1320" s="82" t="s">
        <v>15804</v>
      </c>
      <c r="BB1320" s="82" t="s">
        <v>15804</v>
      </c>
      <c r="BC1320" s="82" t="s">
        <v>13502</v>
      </c>
      <c r="BD1320" s="82" t="s">
        <v>16368</v>
      </c>
      <c r="BE1320" s="77"/>
      <c r="BF1320" s="77"/>
      <c r="BG1320" s="77"/>
      <c r="BH1320" s="77"/>
      <c r="BI1320" s="77"/>
    </row>
    <row r="1321" spans="1:61" x14ac:dyDescent="0.25">
      <c r="A1321" s="62" t="s">
        <v>634</v>
      </c>
      <c r="B1321" s="62" t="s">
        <v>1088</v>
      </c>
      <c r="C1321" s="63"/>
      <c r="D1321" s="64"/>
      <c r="E1321" s="65"/>
      <c r="F1321" s="66"/>
      <c r="G1321" s="63"/>
      <c r="H1321" s="67"/>
      <c r="I1321" s="68"/>
      <c r="J1321" s="68"/>
      <c r="K1321" s="32"/>
      <c r="L1321" s="75">
        <v>1321</v>
      </c>
      <c r="M1321" s="75"/>
      <c r="N1321" s="70"/>
      <c r="O1321" s="77" t="s">
        <v>1137</v>
      </c>
      <c r="P1321" s="79">
        <v>44998.63349537037</v>
      </c>
      <c r="Q1321" s="77" t="s">
        <v>2414</v>
      </c>
      <c r="R1321" s="77">
        <v>0</v>
      </c>
      <c r="S1321" s="77">
        <v>0</v>
      </c>
      <c r="T1321" s="77">
        <v>1</v>
      </c>
      <c r="U1321" s="77">
        <v>0</v>
      </c>
      <c r="V1321" s="77">
        <v>35</v>
      </c>
      <c r="W1321" s="82" t="s">
        <v>4986</v>
      </c>
      <c r="X1321" s="77"/>
      <c r="Y1321" s="77"/>
      <c r="Z1321" s="77" t="s">
        <v>1088</v>
      </c>
      <c r="AA1321" s="77"/>
      <c r="AB1321" s="77"/>
      <c r="AC1321" s="82" t="s">
        <v>7707</v>
      </c>
      <c r="AD1321" s="77" t="s">
        <v>7745</v>
      </c>
      <c r="AE1321" s="80" t="str">
        <f>HYPERLINK("https://twitter.com/anonimus7700/status/1635297726375292929")</f>
        <v>https://twitter.com/anonimus7700/status/1635297726375292929</v>
      </c>
      <c r="AF1321" s="79">
        <v>44998.63349537037</v>
      </c>
      <c r="AG1321" s="85">
        <v>44998</v>
      </c>
      <c r="AH1321" s="82" t="s">
        <v>8932</v>
      </c>
      <c r="AI1321" s="77"/>
      <c r="AJ1321" s="77"/>
      <c r="AK1321" s="77"/>
      <c r="AL1321" s="77"/>
      <c r="AM1321" s="77"/>
      <c r="AN1321" s="77"/>
      <c r="AO1321" s="77"/>
      <c r="AP1321" s="77"/>
      <c r="AQ1321" s="77"/>
      <c r="AR1321" s="77"/>
      <c r="AS1321" s="77"/>
      <c r="AT1321" s="77"/>
      <c r="AU1321" s="77"/>
      <c r="AV1321" s="80" t="str">
        <f>HYPERLINK("https://pbs.twimg.com/profile_images/1654976647504842754/s-jo0GrQ_normal.jpg")</f>
        <v>https://pbs.twimg.com/profile_images/1654976647504842754/s-jo0GrQ_normal.jpg</v>
      </c>
      <c r="AW1321" s="82" t="s">
        <v>13503</v>
      </c>
      <c r="AX1321" s="82" t="s">
        <v>13503</v>
      </c>
      <c r="AY1321" s="77"/>
      <c r="AZ1321" s="82" t="s">
        <v>15804</v>
      </c>
      <c r="BA1321" s="82" t="s">
        <v>16138</v>
      </c>
      <c r="BB1321" s="82" t="s">
        <v>15804</v>
      </c>
      <c r="BC1321" s="82" t="s">
        <v>16138</v>
      </c>
      <c r="BD1321" s="82" t="s">
        <v>16369</v>
      </c>
      <c r="BE1321" s="77"/>
      <c r="BF1321" s="77"/>
      <c r="BG1321" s="77"/>
      <c r="BH1321" s="77"/>
      <c r="BI1321" s="77"/>
    </row>
    <row r="1322" spans="1:61" x14ac:dyDescent="0.25">
      <c r="A1322" s="62" t="s">
        <v>635</v>
      </c>
      <c r="B1322" s="62" t="s">
        <v>635</v>
      </c>
      <c r="C1322" s="63"/>
      <c r="D1322" s="64"/>
      <c r="E1322" s="65"/>
      <c r="F1322" s="66"/>
      <c r="G1322" s="63"/>
      <c r="H1322" s="67"/>
      <c r="I1322" s="68"/>
      <c r="J1322" s="68"/>
      <c r="K1322" s="32"/>
      <c r="L1322" s="75">
        <v>1322</v>
      </c>
      <c r="M1322" s="75"/>
      <c r="N1322" s="70"/>
      <c r="O1322" s="77" t="s">
        <v>1133</v>
      </c>
      <c r="P1322" s="79">
        <v>45020.71502314815</v>
      </c>
      <c r="Q1322" s="77" t="s">
        <v>2415</v>
      </c>
      <c r="R1322" s="77">
        <v>0</v>
      </c>
      <c r="S1322" s="77">
        <v>0</v>
      </c>
      <c r="T1322" s="77">
        <v>0</v>
      </c>
      <c r="U1322" s="77">
        <v>0</v>
      </c>
      <c r="V1322" s="77">
        <v>135</v>
      </c>
      <c r="W1322" s="82" t="s">
        <v>4987</v>
      </c>
      <c r="X1322" s="80" t="str">
        <f>HYPERLINK("https://zoomdinheiro.com.br/emprestimo-para-negativados-e-com-baixo-score-como-fazer-com-seguranca/")</f>
        <v>https://zoomdinheiro.com.br/emprestimo-para-negativados-e-com-baixo-score-como-fazer-com-seguranca/</v>
      </c>
      <c r="Y1322" s="77" t="s">
        <v>6002</v>
      </c>
      <c r="Z1322" s="77" t="s">
        <v>635</v>
      </c>
      <c r="AA1322" s="77" t="s">
        <v>6984</v>
      </c>
      <c r="AB1322" s="77" t="s">
        <v>7696</v>
      </c>
      <c r="AC1322" s="82" t="s">
        <v>7706</v>
      </c>
      <c r="AD1322" s="77" t="s">
        <v>7745</v>
      </c>
      <c r="AE1322" s="80" t="str">
        <f>HYPERLINK("https://twitter.com/zoomdinheiro/status/1643299804083019783")</f>
        <v>https://twitter.com/zoomdinheiro/status/1643299804083019783</v>
      </c>
      <c r="AF1322" s="79">
        <v>45020.71502314815</v>
      </c>
      <c r="AG1322" s="85">
        <v>45020</v>
      </c>
      <c r="AH1322" s="82" t="s">
        <v>8933</v>
      </c>
      <c r="AI1322" s="77" t="b">
        <v>0</v>
      </c>
      <c r="AJ1322" s="77"/>
      <c r="AK1322" s="77"/>
      <c r="AL1322" s="77"/>
      <c r="AM1322" s="77"/>
      <c r="AN1322" s="77"/>
      <c r="AO1322" s="77"/>
      <c r="AP1322" s="77"/>
      <c r="AQ1322" s="77" t="s">
        <v>11491</v>
      </c>
      <c r="AR1322" s="77"/>
      <c r="AS1322" s="77"/>
      <c r="AT1322" s="77"/>
      <c r="AU1322" s="77"/>
      <c r="AV1322" s="80" t="str">
        <f>HYPERLINK("https://pbs.twimg.com/media/Fs4sctxX0AAFQMX.jpg")</f>
        <v>https://pbs.twimg.com/media/Fs4sctxX0AAFQMX.jpg</v>
      </c>
      <c r="AW1322" s="82" t="s">
        <v>13504</v>
      </c>
      <c r="AX1322" s="82" t="s">
        <v>13504</v>
      </c>
      <c r="AY1322" s="77"/>
      <c r="AZ1322" s="82" t="s">
        <v>15804</v>
      </c>
      <c r="BA1322" s="82" t="s">
        <v>15804</v>
      </c>
      <c r="BB1322" s="82" t="s">
        <v>15804</v>
      </c>
      <c r="BC1322" s="82" t="s">
        <v>13504</v>
      </c>
      <c r="BD1322" s="82" t="s">
        <v>16370</v>
      </c>
      <c r="BE1322" s="77"/>
      <c r="BF1322" s="77"/>
      <c r="BG1322" s="77"/>
      <c r="BH1322" s="77"/>
      <c r="BI1322" s="77"/>
    </row>
    <row r="1323" spans="1:61" x14ac:dyDescent="0.25">
      <c r="A1323" s="62" t="s">
        <v>635</v>
      </c>
      <c r="B1323" s="62" t="s">
        <v>635</v>
      </c>
      <c r="C1323" s="63"/>
      <c r="D1323" s="64"/>
      <c r="E1323" s="65"/>
      <c r="F1323" s="66"/>
      <c r="G1323" s="63"/>
      <c r="H1323" s="67"/>
      <c r="I1323" s="68"/>
      <c r="J1323" s="68"/>
      <c r="K1323" s="32"/>
      <c r="L1323" s="75">
        <v>1323</v>
      </c>
      <c r="M1323" s="75"/>
      <c r="N1323" s="70"/>
      <c r="O1323" s="77" t="s">
        <v>1133</v>
      </c>
      <c r="P1323" s="79">
        <v>45020.705046296294</v>
      </c>
      <c r="Q1323" s="77" t="s">
        <v>2416</v>
      </c>
      <c r="R1323" s="77">
        <v>0</v>
      </c>
      <c r="S1323" s="77">
        <v>0</v>
      </c>
      <c r="T1323" s="77">
        <v>0</v>
      </c>
      <c r="U1323" s="77">
        <v>0</v>
      </c>
      <c r="V1323" s="77">
        <v>14</v>
      </c>
      <c r="W1323" s="82" t="s">
        <v>4988</v>
      </c>
      <c r="X1323" s="80" t="str">
        <f>HYPERLINK("https://zoomdinheiro.com.br/dividas-tudo-o-que-voce-precisa-saber-sobre-gerenciamento-de-dividas/")</f>
        <v>https://zoomdinheiro.com.br/dividas-tudo-o-que-voce-precisa-saber-sobre-gerenciamento-de-dividas/</v>
      </c>
      <c r="Y1323" s="77" t="s">
        <v>6002</v>
      </c>
      <c r="Z1323" s="77" t="s">
        <v>635</v>
      </c>
      <c r="AA1323" s="77" t="s">
        <v>6985</v>
      </c>
      <c r="AB1323" s="77" t="s">
        <v>7696</v>
      </c>
      <c r="AC1323" s="82" t="s">
        <v>7706</v>
      </c>
      <c r="AD1323" s="77" t="s">
        <v>7745</v>
      </c>
      <c r="AE1323" s="80" t="str">
        <f>HYPERLINK("https://twitter.com/zoomdinheiro/status/1643296185858260992")</f>
        <v>https://twitter.com/zoomdinheiro/status/1643296185858260992</v>
      </c>
      <c r="AF1323" s="79">
        <v>45020.705046296294</v>
      </c>
      <c r="AG1323" s="85">
        <v>45020</v>
      </c>
      <c r="AH1323" s="82" t="s">
        <v>8934</v>
      </c>
      <c r="AI1323" s="77" t="b">
        <v>0</v>
      </c>
      <c r="AJ1323" s="77"/>
      <c r="AK1323" s="77"/>
      <c r="AL1323" s="77"/>
      <c r="AM1323" s="77"/>
      <c r="AN1323" s="77"/>
      <c r="AO1323" s="77"/>
      <c r="AP1323" s="77"/>
      <c r="AQ1323" s="77" t="s">
        <v>11492</v>
      </c>
      <c r="AR1323" s="77"/>
      <c r="AS1323" s="77"/>
      <c r="AT1323" s="77"/>
      <c r="AU1323" s="77"/>
      <c r="AV1323" s="80" t="str">
        <f>HYPERLINK("https://pbs.twimg.com/media/Fs4pKUvWYAgQj4-.jpg")</f>
        <v>https://pbs.twimg.com/media/Fs4pKUvWYAgQj4-.jpg</v>
      </c>
      <c r="AW1323" s="82" t="s">
        <v>13505</v>
      </c>
      <c r="AX1323" s="82" t="s">
        <v>13505</v>
      </c>
      <c r="AY1323" s="77"/>
      <c r="AZ1323" s="82" t="s">
        <v>15804</v>
      </c>
      <c r="BA1323" s="82" t="s">
        <v>15804</v>
      </c>
      <c r="BB1323" s="82" t="s">
        <v>15804</v>
      </c>
      <c r="BC1323" s="82" t="s">
        <v>13505</v>
      </c>
      <c r="BD1323" s="82" t="s">
        <v>16370</v>
      </c>
      <c r="BE1323" s="77"/>
      <c r="BF1323" s="77"/>
      <c r="BG1323" s="77"/>
      <c r="BH1323" s="77"/>
      <c r="BI1323" s="77"/>
    </row>
    <row r="1324" spans="1:61" x14ac:dyDescent="0.25">
      <c r="A1324" s="62" t="s">
        <v>636</v>
      </c>
      <c r="B1324" s="62" t="s">
        <v>636</v>
      </c>
      <c r="C1324" s="63"/>
      <c r="D1324" s="64"/>
      <c r="E1324" s="65"/>
      <c r="F1324" s="66"/>
      <c r="G1324" s="63"/>
      <c r="H1324" s="67"/>
      <c r="I1324" s="68"/>
      <c r="J1324" s="68"/>
      <c r="K1324" s="32"/>
      <c r="L1324" s="75">
        <v>1324</v>
      </c>
      <c r="M1324" s="75"/>
      <c r="N1324" s="70"/>
      <c r="O1324" s="77" t="s">
        <v>179</v>
      </c>
      <c r="P1324" s="79">
        <v>45006.122708333336</v>
      </c>
      <c r="Q1324" s="77" t="s">
        <v>2417</v>
      </c>
      <c r="R1324" s="77">
        <v>0</v>
      </c>
      <c r="S1324" s="77">
        <v>0</v>
      </c>
      <c r="T1324" s="77">
        <v>0</v>
      </c>
      <c r="U1324" s="77">
        <v>0</v>
      </c>
      <c r="V1324" s="77">
        <v>3</v>
      </c>
      <c r="W1324" s="82" t="s">
        <v>1058</v>
      </c>
      <c r="X1324" s="80" t="str">
        <f>HYPERLINK("https://youtu.be/VR5VCzVGDj4")</f>
        <v>https://youtu.be/VR5VCzVGDj4</v>
      </c>
      <c r="Y1324" s="77" t="s">
        <v>6003</v>
      </c>
      <c r="Z1324" s="77"/>
      <c r="AA1324" s="77"/>
      <c r="AB1324" s="77"/>
      <c r="AC1324" s="82" t="s">
        <v>7719</v>
      </c>
      <c r="AD1324" s="77" t="s">
        <v>7745</v>
      </c>
      <c r="AE1324" s="80" t="str">
        <f>HYPERLINK("https://twitter.com/ajsantos2021/status/1638011723272577024")</f>
        <v>https://twitter.com/ajsantos2021/status/1638011723272577024</v>
      </c>
      <c r="AF1324" s="79">
        <v>45006.122708333336</v>
      </c>
      <c r="AG1324" s="85">
        <v>45006</v>
      </c>
      <c r="AH1324" s="82" t="s">
        <v>8935</v>
      </c>
      <c r="AI1324" s="77" t="b">
        <v>0</v>
      </c>
      <c r="AJ1324" s="77"/>
      <c r="AK1324" s="77"/>
      <c r="AL1324" s="77"/>
      <c r="AM1324" s="77"/>
      <c r="AN1324" s="77"/>
      <c r="AO1324" s="77"/>
      <c r="AP1324" s="77"/>
      <c r="AQ1324" s="77"/>
      <c r="AR1324" s="77"/>
      <c r="AS1324" s="77"/>
      <c r="AT1324" s="77"/>
      <c r="AU1324" s="77"/>
      <c r="AV1324" s="80" t="str">
        <f>HYPERLINK("https://pbs.twimg.com/profile_images/1542123748496654340/0kfkH_An_normal.jpg")</f>
        <v>https://pbs.twimg.com/profile_images/1542123748496654340/0kfkH_An_normal.jpg</v>
      </c>
      <c r="AW1324" s="82" t="s">
        <v>13506</v>
      </c>
      <c r="AX1324" s="82" t="s">
        <v>13506</v>
      </c>
      <c r="AY1324" s="77"/>
      <c r="AZ1324" s="82" t="s">
        <v>15804</v>
      </c>
      <c r="BA1324" s="82" t="s">
        <v>15804</v>
      </c>
      <c r="BB1324" s="82" t="s">
        <v>15804</v>
      </c>
      <c r="BC1324" s="82" t="s">
        <v>13506</v>
      </c>
      <c r="BD1324" s="82" t="s">
        <v>16371</v>
      </c>
      <c r="BE1324" s="77"/>
      <c r="BF1324" s="77"/>
      <c r="BG1324" s="77"/>
      <c r="BH1324" s="77"/>
      <c r="BI1324" s="77"/>
    </row>
    <row r="1325" spans="1:61" x14ac:dyDescent="0.25">
      <c r="A1325" s="62" t="s">
        <v>637</v>
      </c>
      <c r="B1325" s="62" t="s">
        <v>637</v>
      </c>
      <c r="C1325" s="63"/>
      <c r="D1325" s="64"/>
      <c r="E1325" s="65"/>
      <c r="F1325" s="66"/>
      <c r="G1325" s="63"/>
      <c r="H1325" s="67"/>
      <c r="I1325" s="68"/>
      <c r="J1325" s="68"/>
      <c r="K1325" s="32"/>
      <c r="L1325" s="75">
        <v>1325</v>
      </c>
      <c r="M1325" s="75"/>
      <c r="N1325" s="70"/>
      <c r="O1325" s="77" t="s">
        <v>179</v>
      </c>
      <c r="P1325" s="79">
        <v>45131.675115740742</v>
      </c>
      <c r="Q1325" s="77" t="s">
        <v>2418</v>
      </c>
      <c r="R1325" s="77">
        <v>1</v>
      </c>
      <c r="S1325" s="77">
        <v>0</v>
      </c>
      <c r="T1325" s="77">
        <v>0</v>
      </c>
      <c r="U1325" s="77">
        <v>0</v>
      </c>
      <c r="V1325" s="77">
        <v>93</v>
      </c>
      <c r="W1325" s="82" t="s">
        <v>4989</v>
      </c>
      <c r="X1325" s="77"/>
      <c r="Y1325" s="77"/>
      <c r="Z1325" s="77"/>
      <c r="AA1325" s="77" t="s">
        <v>6986</v>
      </c>
      <c r="AB1325" s="77" t="s">
        <v>7700</v>
      </c>
      <c r="AC1325" s="82" t="s">
        <v>7705</v>
      </c>
      <c r="AD1325" s="77" t="s">
        <v>7746</v>
      </c>
      <c r="AE1325" s="80" t="str">
        <f>HYPERLINK("https://twitter.com/santannareal_/status/1683510392817893383")</f>
        <v>https://twitter.com/santannareal_/status/1683510392817893383</v>
      </c>
      <c r="AF1325" s="79">
        <v>45131.675115740742</v>
      </c>
      <c r="AG1325" s="85">
        <v>45131</v>
      </c>
      <c r="AH1325" s="82" t="s">
        <v>8936</v>
      </c>
      <c r="AI1325" s="77" t="b">
        <v>0</v>
      </c>
      <c r="AJ1325" s="77" t="s">
        <v>10537</v>
      </c>
      <c r="AK1325" s="77" t="s">
        <v>10552</v>
      </c>
      <c r="AL1325" s="77" t="s">
        <v>10555</v>
      </c>
      <c r="AM1325" s="77" t="s">
        <v>10574</v>
      </c>
      <c r="AN1325" s="77" t="s">
        <v>10604</v>
      </c>
      <c r="AO1325" s="77" t="s">
        <v>10635</v>
      </c>
      <c r="AP1325" s="77" t="s">
        <v>10649</v>
      </c>
      <c r="AQ1325" s="77" t="s">
        <v>11493</v>
      </c>
      <c r="AR1325" s="77"/>
      <c r="AS1325" s="77"/>
      <c r="AT1325" s="77"/>
      <c r="AU1325" s="77"/>
      <c r="AV1325" s="80" t="str">
        <f>HYPERLINK("https://pbs.twimg.com/media/F10HxxoXoAEcAE8.jpg")</f>
        <v>https://pbs.twimg.com/media/F10HxxoXoAEcAE8.jpg</v>
      </c>
      <c r="AW1325" s="82" t="s">
        <v>13507</v>
      </c>
      <c r="AX1325" s="82" t="s">
        <v>13507</v>
      </c>
      <c r="AY1325" s="77"/>
      <c r="AZ1325" s="82" t="s">
        <v>15804</v>
      </c>
      <c r="BA1325" s="82" t="s">
        <v>15804</v>
      </c>
      <c r="BB1325" s="82" t="s">
        <v>15804</v>
      </c>
      <c r="BC1325" s="82" t="s">
        <v>13507</v>
      </c>
      <c r="BD1325" s="77">
        <v>2523063850</v>
      </c>
      <c r="BE1325" s="77"/>
      <c r="BF1325" s="77"/>
      <c r="BG1325" s="77"/>
      <c r="BH1325" s="77"/>
      <c r="BI1325" s="77"/>
    </row>
    <row r="1326" spans="1:61" x14ac:dyDescent="0.25">
      <c r="A1326" s="62" t="s">
        <v>638</v>
      </c>
      <c r="B1326" s="62" t="s">
        <v>638</v>
      </c>
      <c r="C1326" s="63"/>
      <c r="D1326" s="64"/>
      <c r="E1326" s="65"/>
      <c r="F1326" s="66"/>
      <c r="G1326" s="63"/>
      <c r="H1326" s="67"/>
      <c r="I1326" s="68"/>
      <c r="J1326" s="68"/>
      <c r="K1326" s="32"/>
      <c r="L1326" s="75">
        <v>1326</v>
      </c>
      <c r="M1326" s="75"/>
      <c r="N1326" s="70"/>
      <c r="O1326" s="77" t="s">
        <v>179</v>
      </c>
      <c r="P1326" s="79">
        <v>44928.468194444446</v>
      </c>
      <c r="Q1326" s="77" t="s">
        <v>2419</v>
      </c>
      <c r="R1326" s="77">
        <v>0</v>
      </c>
      <c r="S1326" s="77">
        <v>0</v>
      </c>
      <c r="T1326" s="77">
        <v>0</v>
      </c>
      <c r="U1326" s="77">
        <v>0</v>
      </c>
      <c r="V1326" s="77">
        <v>32</v>
      </c>
      <c r="W1326" s="82" t="s">
        <v>4990</v>
      </c>
      <c r="X1326" s="77"/>
      <c r="Y1326" s="77"/>
      <c r="Z1326" s="77"/>
      <c r="AA1326" s="77" t="s">
        <v>6987</v>
      </c>
      <c r="AB1326" s="77" t="s">
        <v>7697</v>
      </c>
      <c r="AC1326" s="82" t="s">
        <v>7707</v>
      </c>
      <c r="AD1326" s="77" t="s">
        <v>7745</v>
      </c>
      <c r="AE1326" s="80" t="str">
        <f>HYPERLINK("https://twitter.com/henriquemg/status/1609870670040555520")</f>
        <v>https://twitter.com/henriquemg/status/1609870670040555520</v>
      </c>
      <c r="AF1326" s="79">
        <v>44928.468194444446</v>
      </c>
      <c r="AG1326" s="85">
        <v>44928</v>
      </c>
      <c r="AH1326" s="82" t="s">
        <v>8937</v>
      </c>
      <c r="AI1326" s="77" t="b">
        <v>0</v>
      </c>
      <c r="AJ1326" s="77"/>
      <c r="AK1326" s="77"/>
      <c r="AL1326" s="77"/>
      <c r="AM1326" s="77"/>
      <c r="AN1326" s="77"/>
      <c r="AO1326" s="77"/>
      <c r="AP1326" s="77"/>
      <c r="AQ1326" s="77" t="s">
        <v>11494</v>
      </c>
      <c r="AR1326" s="77">
        <v>38706</v>
      </c>
      <c r="AS1326" s="77"/>
      <c r="AT1326" s="77"/>
      <c r="AU1326" s="77">
        <v>8</v>
      </c>
      <c r="AV1326" s="80" t="str">
        <f>HYPERLINK("https://pbs.twimg.com/ext_tw_video_thumb/1609870604915597313/pu/img/WLjJpiFoe0zM4kJo.jpg")</f>
        <v>https://pbs.twimg.com/ext_tw_video_thumb/1609870604915597313/pu/img/WLjJpiFoe0zM4kJo.jpg</v>
      </c>
      <c r="AW1326" s="82" t="s">
        <v>13508</v>
      </c>
      <c r="AX1326" s="82" t="s">
        <v>13508</v>
      </c>
      <c r="AY1326" s="77"/>
      <c r="AZ1326" s="82" t="s">
        <v>15804</v>
      </c>
      <c r="BA1326" s="82" t="s">
        <v>15804</v>
      </c>
      <c r="BB1326" s="82" t="s">
        <v>15804</v>
      </c>
      <c r="BC1326" s="82" t="s">
        <v>13508</v>
      </c>
      <c r="BD1326" s="77">
        <v>19468254</v>
      </c>
      <c r="BE1326" s="77"/>
      <c r="BF1326" s="77"/>
      <c r="BG1326" s="77"/>
      <c r="BH1326" s="77"/>
      <c r="BI1326" s="77"/>
    </row>
    <row r="1327" spans="1:61" x14ac:dyDescent="0.25">
      <c r="A1327" s="62" t="s">
        <v>638</v>
      </c>
      <c r="B1327" s="62" t="s">
        <v>638</v>
      </c>
      <c r="C1327" s="63"/>
      <c r="D1327" s="64"/>
      <c r="E1327" s="65"/>
      <c r="F1327" s="66"/>
      <c r="G1327" s="63"/>
      <c r="H1327" s="67"/>
      <c r="I1327" s="68"/>
      <c r="J1327" s="68"/>
      <c r="K1327" s="32"/>
      <c r="L1327" s="75">
        <v>1327</v>
      </c>
      <c r="M1327" s="75"/>
      <c r="N1327" s="70"/>
      <c r="O1327" s="77" t="s">
        <v>179</v>
      </c>
      <c r="P1327" s="79">
        <v>44937.489710648151</v>
      </c>
      <c r="Q1327" s="77" t="s">
        <v>2420</v>
      </c>
      <c r="R1327" s="77">
        <v>0</v>
      </c>
      <c r="S1327" s="77">
        <v>0</v>
      </c>
      <c r="T1327" s="77">
        <v>0</v>
      </c>
      <c r="U1327" s="77">
        <v>0</v>
      </c>
      <c r="V1327" s="77">
        <v>301</v>
      </c>
      <c r="W1327" s="82" t="s">
        <v>4991</v>
      </c>
      <c r="X1327" s="77"/>
      <c r="Y1327" s="77"/>
      <c r="Z1327" s="77"/>
      <c r="AA1327" s="77" t="s">
        <v>6988</v>
      </c>
      <c r="AB1327" s="77" t="s">
        <v>7697</v>
      </c>
      <c r="AC1327" s="82" t="s">
        <v>7707</v>
      </c>
      <c r="AD1327" s="77" t="s">
        <v>7745</v>
      </c>
      <c r="AE1327" s="80" t="str">
        <f>HYPERLINK("https://twitter.com/henriquemg/status/1613139958239473665")</f>
        <v>https://twitter.com/henriquemg/status/1613139958239473665</v>
      </c>
      <c r="AF1327" s="79">
        <v>44937.489710648151</v>
      </c>
      <c r="AG1327" s="85">
        <v>44937</v>
      </c>
      <c r="AH1327" s="82" t="s">
        <v>8938</v>
      </c>
      <c r="AI1327" s="77" t="b">
        <v>0</v>
      </c>
      <c r="AJ1327" s="77"/>
      <c r="AK1327" s="77"/>
      <c r="AL1327" s="77"/>
      <c r="AM1327" s="77"/>
      <c r="AN1327" s="77"/>
      <c r="AO1327" s="77"/>
      <c r="AP1327" s="77"/>
      <c r="AQ1327" s="77" t="s">
        <v>11495</v>
      </c>
      <c r="AR1327" s="77">
        <v>48272</v>
      </c>
      <c r="AS1327" s="77"/>
      <c r="AT1327" s="77"/>
      <c r="AU1327" s="77">
        <v>34</v>
      </c>
      <c r="AV1327" s="80" t="str">
        <f>HYPERLINK("https://pbs.twimg.com/ext_tw_video_thumb/1613139896301928449/pu/img/gPk9SbmgaEi_hdLl.jpg")</f>
        <v>https://pbs.twimg.com/ext_tw_video_thumb/1613139896301928449/pu/img/gPk9SbmgaEi_hdLl.jpg</v>
      </c>
      <c r="AW1327" s="82" t="s">
        <v>13509</v>
      </c>
      <c r="AX1327" s="82" t="s">
        <v>13509</v>
      </c>
      <c r="AY1327" s="77"/>
      <c r="AZ1327" s="82" t="s">
        <v>15804</v>
      </c>
      <c r="BA1327" s="82" t="s">
        <v>15804</v>
      </c>
      <c r="BB1327" s="82" t="s">
        <v>15804</v>
      </c>
      <c r="BC1327" s="82" t="s">
        <v>13509</v>
      </c>
      <c r="BD1327" s="77">
        <v>19468254</v>
      </c>
      <c r="BE1327" s="77"/>
      <c r="BF1327" s="77"/>
      <c r="BG1327" s="77"/>
      <c r="BH1327" s="77"/>
      <c r="BI1327" s="77"/>
    </row>
    <row r="1328" spans="1:61" x14ac:dyDescent="0.25">
      <c r="A1328" s="62" t="s">
        <v>638</v>
      </c>
      <c r="B1328" s="62" t="s">
        <v>638</v>
      </c>
      <c r="C1328" s="63"/>
      <c r="D1328" s="64"/>
      <c r="E1328" s="65"/>
      <c r="F1328" s="66"/>
      <c r="G1328" s="63"/>
      <c r="H1328" s="67"/>
      <c r="I1328" s="68"/>
      <c r="J1328" s="68"/>
      <c r="K1328" s="32"/>
      <c r="L1328" s="75">
        <v>1328</v>
      </c>
      <c r="M1328" s="75"/>
      <c r="N1328" s="70"/>
      <c r="O1328" s="77" t="s">
        <v>179</v>
      </c>
      <c r="P1328" s="79">
        <v>44930.478090277778</v>
      </c>
      <c r="Q1328" s="77" t="s">
        <v>2421</v>
      </c>
      <c r="R1328" s="77">
        <v>0</v>
      </c>
      <c r="S1328" s="77">
        <v>0</v>
      </c>
      <c r="T1328" s="77">
        <v>0</v>
      </c>
      <c r="U1328" s="77">
        <v>0</v>
      </c>
      <c r="V1328" s="77">
        <v>40</v>
      </c>
      <c r="W1328" s="82" t="s">
        <v>4959</v>
      </c>
      <c r="X1328" s="77"/>
      <c r="Y1328" s="77"/>
      <c r="Z1328" s="77"/>
      <c r="AA1328" s="77" t="s">
        <v>6989</v>
      </c>
      <c r="AB1328" s="77" t="s">
        <v>7697</v>
      </c>
      <c r="AC1328" s="82" t="s">
        <v>7707</v>
      </c>
      <c r="AD1328" s="77" t="s">
        <v>7745</v>
      </c>
      <c r="AE1328" s="80" t="str">
        <f>HYPERLINK("https://twitter.com/henriquemg/status/1610599032983887872")</f>
        <v>https://twitter.com/henriquemg/status/1610599032983887872</v>
      </c>
      <c r="AF1328" s="79">
        <v>44930.478090277778</v>
      </c>
      <c r="AG1328" s="85">
        <v>44930</v>
      </c>
      <c r="AH1328" s="82" t="s">
        <v>8939</v>
      </c>
      <c r="AI1328" s="77" t="b">
        <v>0</v>
      </c>
      <c r="AJ1328" s="77"/>
      <c r="AK1328" s="77"/>
      <c r="AL1328" s="77"/>
      <c r="AM1328" s="77"/>
      <c r="AN1328" s="77"/>
      <c r="AO1328" s="77"/>
      <c r="AP1328" s="77"/>
      <c r="AQ1328" s="77" t="s">
        <v>11496</v>
      </c>
      <c r="AR1328" s="77">
        <v>44301</v>
      </c>
      <c r="AS1328" s="77"/>
      <c r="AT1328" s="77"/>
      <c r="AU1328" s="77">
        <v>16</v>
      </c>
      <c r="AV1328" s="80" t="str">
        <f>HYPERLINK("https://pbs.twimg.com/ext_tw_video_thumb/1610598981905661952/pu/img/FUWpDlrtR8K2JrJE.jpg")</f>
        <v>https://pbs.twimg.com/ext_tw_video_thumb/1610598981905661952/pu/img/FUWpDlrtR8K2JrJE.jpg</v>
      </c>
      <c r="AW1328" s="82" t="s">
        <v>13510</v>
      </c>
      <c r="AX1328" s="82" t="s">
        <v>13510</v>
      </c>
      <c r="AY1328" s="77"/>
      <c r="AZ1328" s="82" t="s">
        <v>15804</v>
      </c>
      <c r="BA1328" s="82" t="s">
        <v>15804</v>
      </c>
      <c r="BB1328" s="82" t="s">
        <v>15804</v>
      </c>
      <c r="BC1328" s="82" t="s">
        <v>13510</v>
      </c>
      <c r="BD1328" s="77">
        <v>19468254</v>
      </c>
      <c r="BE1328" s="77"/>
      <c r="BF1328" s="77"/>
      <c r="BG1328" s="77"/>
      <c r="BH1328" s="77"/>
      <c r="BI1328" s="77"/>
    </row>
    <row r="1329" spans="1:61" x14ac:dyDescent="0.25">
      <c r="A1329" s="62" t="s">
        <v>639</v>
      </c>
      <c r="B1329" s="62" t="s">
        <v>639</v>
      </c>
      <c r="C1329" s="63"/>
      <c r="D1329" s="64"/>
      <c r="E1329" s="65"/>
      <c r="F1329" s="66"/>
      <c r="G1329" s="63"/>
      <c r="H1329" s="67"/>
      <c r="I1329" s="68"/>
      <c r="J1329" s="68"/>
      <c r="K1329" s="32"/>
      <c r="L1329" s="75">
        <v>1329</v>
      </c>
      <c r="M1329" s="75"/>
      <c r="N1329" s="70"/>
      <c r="O1329" s="77" t="s">
        <v>179</v>
      </c>
      <c r="P1329" s="79">
        <v>44937.144861111112</v>
      </c>
      <c r="Q1329" s="77" t="s">
        <v>2422</v>
      </c>
      <c r="R1329" s="77">
        <v>0</v>
      </c>
      <c r="S1329" s="77">
        <v>0</v>
      </c>
      <c r="T1329" s="77">
        <v>0</v>
      </c>
      <c r="U1329" s="77">
        <v>0</v>
      </c>
      <c r="V1329" s="77">
        <v>32</v>
      </c>
      <c r="W1329" s="82" t="s">
        <v>4080</v>
      </c>
      <c r="X1329" s="77"/>
      <c r="Y1329" s="77"/>
      <c r="Z1329" s="77"/>
      <c r="AA1329" s="77" t="s">
        <v>6990</v>
      </c>
      <c r="AB1329" s="77" t="s">
        <v>7697</v>
      </c>
      <c r="AC1329" s="82" t="s">
        <v>7705</v>
      </c>
      <c r="AD1329" s="77" t="s">
        <v>7745</v>
      </c>
      <c r="AE1329" s="80" t="str">
        <f>HYPERLINK("https://twitter.com/marcelmenegheti/status/1613014987525480449")</f>
        <v>https://twitter.com/marcelmenegheti/status/1613014987525480449</v>
      </c>
      <c r="AF1329" s="79">
        <v>44937.144861111112</v>
      </c>
      <c r="AG1329" s="85">
        <v>44937</v>
      </c>
      <c r="AH1329" s="82" t="s">
        <v>8940</v>
      </c>
      <c r="AI1329" s="77" t="b">
        <v>0</v>
      </c>
      <c r="AJ1329" s="77"/>
      <c r="AK1329" s="77"/>
      <c r="AL1329" s="77"/>
      <c r="AM1329" s="77"/>
      <c r="AN1329" s="77"/>
      <c r="AO1329" s="77"/>
      <c r="AP1329" s="77"/>
      <c r="AQ1329" s="77" t="s">
        <v>11497</v>
      </c>
      <c r="AR1329" s="77">
        <v>39033</v>
      </c>
      <c r="AS1329" s="77"/>
      <c r="AT1329" s="77"/>
      <c r="AU1329" s="77">
        <v>11</v>
      </c>
      <c r="AV1329" s="80" t="str">
        <f>HYPERLINK("https://pbs.twimg.com/ext_tw_video_thumb/1613014931506434053/pu/img/v7fMz5GPl5rCLCXL.jpg")</f>
        <v>https://pbs.twimg.com/ext_tw_video_thumb/1613014931506434053/pu/img/v7fMz5GPl5rCLCXL.jpg</v>
      </c>
      <c r="AW1329" s="82" t="s">
        <v>13511</v>
      </c>
      <c r="AX1329" s="82" t="s">
        <v>13511</v>
      </c>
      <c r="AY1329" s="77"/>
      <c r="AZ1329" s="82" t="s">
        <v>15804</v>
      </c>
      <c r="BA1329" s="82" t="s">
        <v>15804</v>
      </c>
      <c r="BB1329" s="82" t="s">
        <v>15804</v>
      </c>
      <c r="BC1329" s="82" t="s">
        <v>13511</v>
      </c>
      <c r="BD1329" s="82" t="s">
        <v>16372</v>
      </c>
      <c r="BE1329" s="77"/>
      <c r="BF1329" s="77"/>
      <c r="BG1329" s="77"/>
      <c r="BH1329" s="77"/>
      <c r="BI1329" s="77"/>
    </row>
    <row r="1330" spans="1:61" x14ac:dyDescent="0.25">
      <c r="A1330" s="62" t="s">
        <v>640</v>
      </c>
      <c r="B1330" s="62" t="s">
        <v>640</v>
      </c>
      <c r="C1330" s="63"/>
      <c r="D1330" s="64"/>
      <c r="E1330" s="65"/>
      <c r="F1330" s="66"/>
      <c r="G1330" s="63"/>
      <c r="H1330" s="67"/>
      <c r="I1330" s="68"/>
      <c r="J1330" s="68"/>
      <c r="K1330" s="32"/>
      <c r="L1330" s="75">
        <v>1330</v>
      </c>
      <c r="M1330" s="75"/>
      <c r="N1330" s="70"/>
      <c r="O1330" s="77" t="s">
        <v>179</v>
      </c>
      <c r="P1330" s="79">
        <v>45003.794340277775</v>
      </c>
      <c r="Q1330" s="77" t="s">
        <v>2423</v>
      </c>
      <c r="R1330" s="77">
        <v>0</v>
      </c>
      <c r="S1330" s="77">
        <v>2</v>
      </c>
      <c r="T1330" s="77">
        <v>0</v>
      </c>
      <c r="U1330" s="77">
        <v>0</v>
      </c>
      <c r="V1330" s="77">
        <v>54</v>
      </c>
      <c r="W1330" s="82" t="s">
        <v>4992</v>
      </c>
      <c r="X1330" s="80" t="str">
        <f>HYPERLINK("https://twitter.com/i/broadcasts/1BdGYyWOnAZGX")</f>
        <v>https://twitter.com/i/broadcasts/1BdGYyWOnAZGX</v>
      </c>
      <c r="Y1330" s="77" t="s">
        <v>6062</v>
      </c>
      <c r="Z1330" s="77"/>
      <c r="AA1330" s="77"/>
      <c r="AB1330" s="77"/>
      <c r="AC1330" s="82" t="s">
        <v>7733</v>
      </c>
      <c r="AD1330" s="77" t="s">
        <v>7745</v>
      </c>
      <c r="AE1330" s="80" t="str">
        <f>HYPERLINK("https://twitter.com/expofavela/status/1637167950129160192")</f>
        <v>https://twitter.com/expofavela/status/1637167950129160192</v>
      </c>
      <c r="AF1330" s="79">
        <v>45003.794340277775</v>
      </c>
      <c r="AG1330" s="85">
        <v>45003</v>
      </c>
      <c r="AH1330" s="82" t="s">
        <v>8941</v>
      </c>
      <c r="AI1330" s="77" t="b">
        <v>0</v>
      </c>
      <c r="AJ1330" s="77"/>
      <c r="AK1330" s="77"/>
      <c r="AL1330" s="77"/>
      <c r="AM1330" s="77"/>
      <c r="AN1330" s="77"/>
      <c r="AO1330" s="77"/>
      <c r="AP1330" s="77"/>
      <c r="AQ1330" s="77"/>
      <c r="AR1330" s="77"/>
      <c r="AS1330" s="77"/>
      <c r="AT1330" s="77"/>
      <c r="AU1330" s="77"/>
      <c r="AV1330" s="80" t="str">
        <f>HYPERLINK("https://pbs.twimg.com/profile_images/1566857150483382277/MlepwQRJ_normal.jpg")</f>
        <v>https://pbs.twimg.com/profile_images/1566857150483382277/MlepwQRJ_normal.jpg</v>
      </c>
      <c r="AW1330" s="82" t="s">
        <v>13512</v>
      </c>
      <c r="AX1330" s="82" t="s">
        <v>13512</v>
      </c>
      <c r="AY1330" s="77"/>
      <c r="AZ1330" s="82" t="s">
        <v>15804</v>
      </c>
      <c r="BA1330" s="82" t="s">
        <v>15804</v>
      </c>
      <c r="BB1330" s="82" t="s">
        <v>15804</v>
      </c>
      <c r="BC1330" s="82" t="s">
        <v>13512</v>
      </c>
      <c r="BD1330" s="82" t="s">
        <v>16373</v>
      </c>
      <c r="BE1330" s="77"/>
      <c r="BF1330" s="77"/>
      <c r="BG1330" s="77"/>
      <c r="BH1330" s="77"/>
      <c r="BI1330" s="77"/>
    </row>
    <row r="1331" spans="1:61" x14ac:dyDescent="0.25">
      <c r="A1331" s="62" t="s">
        <v>640</v>
      </c>
      <c r="B1331" s="62" t="s">
        <v>640</v>
      </c>
      <c r="C1331" s="63"/>
      <c r="D1331" s="64"/>
      <c r="E1331" s="65"/>
      <c r="F1331" s="66"/>
      <c r="G1331" s="63"/>
      <c r="H1331" s="67"/>
      <c r="I1331" s="68"/>
      <c r="J1331" s="68"/>
      <c r="K1331" s="32"/>
      <c r="L1331" s="75">
        <v>1331</v>
      </c>
      <c r="M1331" s="75"/>
      <c r="N1331" s="70"/>
      <c r="O1331" s="77" t="s">
        <v>179</v>
      </c>
      <c r="P1331" s="79">
        <v>45002.777094907404</v>
      </c>
      <c r="Q1331" s="77" t="s">
        <v>2424</v>
      </c>
      <c r="R1331" s="77">
        <v>1</v>
      </c>
      <c r="S1331" s="77">
        <v>0</v>
      </c>
      <c r="T1331" s="77">
        <v>0</v>
      </c>
      <c r="U1331" s="77">
        <v>0</v>
      </c>
      <c r="V1331" s="77">
        <v>93</v>
      </c>
      <c r="W1331" s="82" t="s">
        <v>4993</v>
      </c>
      <c r="X1331" s="80" t="str">
        <f>HYPERLINK("https://twitter.com/i/broadcasts/1OdKrzoAnqwKX")</f>
        <v>https://twitter.com/i/broadcasts/1OdKrzoAnqwKX</v>
      </c>
      <c r="Y1331" s="77" t="s">
        <v>6062</v>
      </c>
      <c r="Z1331" s="77"/>
      <c r="AA1331" s="77"/>
      <c r="AB1331" s="77"/>
      <c r="AC1331" s="82" t="s">
        <v>7733</v>
      </c>
      <c r="AD1331" s="77" t="s">
        <v>7745</v>
      </c>
      <c r="AE1331" s="80" t="str">
        <f>HYPERLINK("https://twitter.com/expofavela/status/1636799315556564992")</f>
        <v>https://twitter.com/expofavela/status/1636799315556564992</v>
      </c>
      <c r="AF1331" s="79">
        <v>45002.777094907404</v>
      </c>
      <c r="AG1331" s="85">
        <v>45002</v>
      </c>
      <c r="AH1331" s="82" t="s">
        <v>8942</v>
      </c>
      <c r="AI1331" s="77" t="b">
        <v>0</v>
      </c>
      <c r="AJ1331" s="77"/>
      <c r="AK1331" s="77"/>
      <c r="AL1331" s="77"/>
      <c r="AM1331" s="77"/>
      <c r="AN1331" s="77"/>
      <c r="AO1331" s="77"/>
      <c r="AP1331" s="77"/>
      <c r="AQ1331" s="77"/>
      <c r="AR1331" s="77"/>
      <c r="AS1331" s="77"/>
      <c r="AT1331" s="77"/>
      <c r="AU1331" s="77"/>
      <c r="AV1331" s="80" t="str">
        <f>HYPERLINK("https://pbs.twimg.com/profile_images/1566857150483382277/MlepwQRJ_normal.jpg")</f>
        <v>https://pbs.twimg.com/profile_images/1566857150483382277/MlepwQRJ_normal.jpg</v>
      </c>
      <c r="AW1331" s="82" t="s">
        <v>13513</v>
      </c>
      <c r="AX1331" s="82" t="s">
        <v>13513</v>
      </c>
      <c r="AY1331" s="77"/>
      <c r="AZ1331" s="82" t="s">
        <v>15804</v>
      </c>
      <c r="BA1331" s="82" t="s">
        <v>15804</v>
      </c>
      <c r="BB1331" s="82" t="s">
        <v>15804</v>
      </c>
      <c r="BC1331" s="82" t="s">
        <v>13513</v>
      </c>
      <c r="BD1331" s="82" t="s">
        <v>16373</v>
      </c>
      <c r="BE1331" s="77"/>
      <c r="BF1331" s="77"/>
      <c r="BG1331" s="77"/>
      <c r="BH1331" s="77"/>
      <c r="BI1331" s="77"/>
    </row>
    <row r="1332" spans="1:61" x14ac:dyDescent="0.25">
      <c r="A1332" s="62" t="s">
        <v>641</v>
      </c>
      <c r="B1332" s="62" t="s">
        <v>641</v>
      </c>
      <c r="C1332" s="63"/>
      <c r="D1332" s="64"/>
      <c r="E1332" s="65"/>
      <c r="F1332" s="66"/>
      <c r="G1332" s="63"/>
      <c r="H1332" s="67"/>
      <c r="I1332" s="68"/>
      <c r="J1332" s="68"/>
      <c r="K1332" s="32"/>
      <c r="L1332" s="75">
        <v>1332</v>
      </c>
      <c r="M1332" s="75"/>
      <c r="N1332" s="70"/>
      <c r="O1332" s="77" t="s">
        <v>179</v>
      </c>
      <c r="P1332" s="79">
        <v>44946.875428240739</v>
      </c>
      <c r="Q1332" s="77" t="s">
        <v>2425</v>
      </c>
      <c r="R1332" s="77">
        <v>0</v>
      </c>
      <c r="S1332" s="77">
        <v>0</v>
      </c>
      <c r="T1332" s="77">
        <v>0</v>
      </c>
      <c r="U1332" s="77">
        <v>0</v>
      </c>
      <c r="V1332" s="77">
        <v>19</v>
      </c>
      <c r="W1332" s="82" t="s">
        <v>4994</v>
      </c>
      <c r="X1332" s="80" t="str">
        <f>HYPERLINK("https://investimentoobjetivo.com.br/mentoria-investimentos/")</f>
        <v>https://investimentoobjetivo.com.br/mentoria-investimentos/</v>
      </c>
      <c r="Y1332" s="77" t="s">
        <v>6002</v>
      </c>
      <c r="Z1332" s="77"/>
      <c r="AA1332" s="77" t="s">
        <v>6991</v>
      </c>
      <c r="AB1332" s="77" t="s">
        <v>7697</v>
      </c>
      <c r="AC1332" s="82" t="s">
        <v>7708</v>
      </c>
      <c r="AD1332" s="77" t="s">
        <v>7745</v>
      </c>
      <c r="AE1332" s="80" t="str">
        <f>HYPERLINK("https://twitter.com/agrocapitais/status/1616541229017169952")</f>
        <v>https://twitter.com/agrocapitais/status/1616541229017169952</v>
      </c>
      <c r="AF1332" s="79">
        <v>44946.875428240739</v>
      </c>
      <c r="AG1332" s="85">
        <v>44946</v>
      </c>
      <c r="AH1332" s="82" t="s">
        <v>8943</v>
      </c>
      <c r="AI1332" s="77" t="b">
        <v>0</v>
      </c>
      <c r="AJ1332" s="77"/>
      <c r="AK1332" s="77"/>
      <c r="AL1332" s="77"/>
      <c r="AM1332" s="77"/>
      <c r="AN1332" s="77"/>
      <c r="AO1332" s="77"/>
      <c r="AP1332" s="77"/>
      <c r="AQ1332" s="77" t="s">
        <v>11498</v>
      </c>
      <c r="AR1332" s="77">
        <v>18700</v>
      </c>
      <c r="AS1332" s="77"/>
      <c r="AT1332" s="77"/>
      <c r="AU1332" s="77">
        <v>0</v>
      </c>
      <c r="AV1332" s="80" t="str">
        <f>HYPERLINK("https://pbs.twimg.com/ext_tw_video_thumb/1616541182904991773/pu/img/07xOPDa8YizEk8H_.jpg")</f>
        <v>https://pbs.twimg.com/ext_tw_video_thumb/1616541182904991773/pu/img/07xOPDa8YizEk8H_.jpg</v>
      </c>
      <c r="AW1332" s="82" t="s">
        <v>13514</v>
      </c>
      <c r="AX1332" s="82" t="s">
        <v>13514</v>
      </c>
      <c r="AY1332" s="77"/>
      <c r="AZ1332" s="82" t="s">
        <v>15804</v>
      </c>
      <c r="BA1332" s="82" t="s">
        <v>15804</v>
      </c>
      <c r="BB1332" s="82" t="s">
        <v>15804</v>
      </c>
      <c r="BC1332" s="82" t="s">
        <v>13514</v>
      </c>
      <c r="BD1332" s="82" t="s">
        <v>16374</v>
      </c>
      <c r="BE1332" s="77"/>
      <c r="BF1332" s="77"/>
      <c r="BG1332" s="77"/>
      <c r="BH1332" s="77"/>
      <c r="BI1332" s="77"/>
    </row>
    <row r="1333" spans="1:61" x14ac:dyDescent="0.25">
      <c r="A1333" s="62" t="s">
        <v>642</v>
      </c>
      <c r="B1333" s="62" t="s">
        <v>642</v>
      </c>
      <c r="C1333" s="63"/>
      <c r="D1333" s="64"/>
      <c r="E1333" s="65"/>
      <c r="F1333" s="66"/>
      <c r="G1333" s="63"/>
      <c r="H1333" s="67"/>
      <c r="I1333" s="68"/>
      <c r="J1333" s="68"/>
      <c r="K1333" s="32"/>
      <c r="L1333" s="75">
        <v>1333</v>
      </c>
      <c r="M1333" s="75"/>
      <c r="N1333" s="70"/>
      <c r="O1333" s="77" t="s">
        <v>179</v>
      </c>
      <c r="P1333" s="79">
        <v>44939.951412037037</v>
      </c>
      <c r="Q1333" s="77" t="s">
        <v>2426</v>
      </c>
      <c r="R1333" s="77">
        <v>0</v>
      </c>
      <c r="S1333" s="77">
        <v>0</v>
      </c>
      <c r="T1333" s="77">
        <v>0</v>
      </c>
      <c r="U1333" s="77">
        <v>0</v>
      </c>
      <c r="V1333" s="77">
        <v>53</v>
      </c>
      <c r="W1333" s="82" t="s">
        <v>4995</v>
      </c>
      <c r="X1333" s="80" t="str">
        <f>HYPERLINK("https://setorsaude.com.br/uni4life-hub-de-inovacao-da-unicred-porto-alegre-lanca-planner-financeiro/")</f>
        <v>https://setorsaude.com.br/uni4life-hub-de-inovacao-da-unicred-porto-alegre-lanca-planner-financeiro/</v>
      </c>
      <c r="Y1333" s="77" t="s">
        <v>6002</v>
      </c>
      <c r="Z1333" s="77"/>
      <c r="AA1333" s="77"/>
      <c r="AB1333" s="77"/>
      <c r="AC1333" s="82" t="s">
        <v>7705</v>
      </c>
      <c r="AD1333" s="77" t="s">
        <v>7745</v>
      </c>
      <c r="AE1333" s="80" t="str">
        <f>HYPERLINK("https://twitter.com/setor_saude/status/1614032050650075137")</f>
        <v>https://twitter.com/setor_saude/status/1614032050650075137</v>
      </c>
      <c r="AF1333" s="79">
        <v>44939.951412037037</v>
      </c>
      <c r="AG1333" s="85">
        <v>44939</v>
      </c>
      <c r="AH1333" s="82" t="s">
        <v>8944</v>
      </c>
      <c r="AI1333" s="77" t="b">
        <v>0</v>
      </c>
      <c r="AJ1333" s="77"/>
      <c r="AK1333" s="77"/>
      <c r="AL1333" s="77"/>
      <c r="AM1333" s="77"/>
      <c r="AN1333" s="77"/>
      <c r="AO1333" s="77"/>
      <c r="AP1333" s="77"/>
      <c r="AQ1333" s="77"/>
      <c r="AR1333" s="77"/>
      <c r="AS1333" s="77"/>
      <c r="AT1333" s="77"/>
      <c r="AU1333" s="77"/>
      <c r="AV1333" s="80" t="str">
        <f>HYPERLINK("https://pbs.twimg.com/profile_images/1455017869520121861/xAUnhapA_normal.jpg")</f>
        <v>https://pbs.twimg.com/profile_images/1455017869520121861/xAUnhapA_normal.jpg</v>
      </c>
      <c r="AW1333" s="82" t="s">
        <v>13515</v>
      </c>
      <c r="AX1333" s="82" t="s">
        <v>13515</v>
      </c>
      <c r="AY1333" s="77"/>
      <c r="AZ1333" s="82" t="s">
        <v>15804</v>
      </c>
      <c r="BA1333" s="82" t="s">
        <v>15804</v>
      </c>
      <c r="BB1333" s="82" t="s">
        <v>15804</v>
      </c>
      <c r="BC1333" s="82" t="s">
        <v>13515</v>
      </c>
      <c r="BD1333" s="77">
        <v>823749648</v>
      </c>
      <c r="BE1333" s="77"/>
      <c r="BF1333" s="77"/>
      <c r="BG1333" s="77"/>
      <c r="BH1333" s="77"/>
      <c r="BI1333" s="77"/>
    </row>
    <row r="1334" spans="1:61" x14ac:dyDescent="0.25">
      <c r="A1334" s="62" t="s">
        <v>643</v>
      </c>
      <c r="B1334" s="62" t="s">
        <v>643</v>
      </c>
      <c r="C1334" s="63"/>
      <c r="D1334" s="64"/>
      <c r="E1334" s="65"/>
      <c r="F1334" s="66"/>
      <c r="G1334" s="63"/>
      <c r="H1334" s="67"/>
      <c r="I1334" s="68"/>
      <c r="J1334" s="68"/>
      <c r="K1334" s="32"/>
      <c r="L1334" s="75">
        <v>1334</v>
      </c>
      <c r="M1334" s="75"/>
      <c r="N1334" s="70"/>
      <c r="O1334" s="77" t="s">
        <v>179</v>
      </c>
      <c r="P1334" s="79">
        <v>45062.72042824074</v>
      </c>
      <c r="Q1334" s="77" t="s">
        <v>2427</v>
      </c>
      <c r="R1334" s="77">
        <v>1</v>
      </c>
      <c r="S1334" s="77">
        <v>1</v>
      </c>
      <c r="T1334" s="77">
        <v>0</v>
      </c>
      <c r="U1334" s="77">
        <v>0</v>
      </c>
      <c r="V1334" s="77">
        <v>486</v>
      </c>
      <c r="W1334" s="82" t="s">
        <v>4996</v>
      </c>
      <c r="X1334" s="80" t="str">
        <f>HYPERLINK("http://www.redetv.uol.com.br/jornalismo/educacao/professores-de-todo-o-pais-terao-cursos-de-educacao-financeira?cmpid=twitter")</f>
        <v>http://www.redetv.uol.com.br/jornalismo/educacao/professores-de-todo-o-pais-terao-cursos-de-educacao-financeira?cmpid=twitter</v>
      </c>
      <c r="Y1334" s="77" t="s">
        <v>6002</v>
      </c>
      <c r="Z1334" s="77"/>
      <c r="AA1334" s="77"/>
      <c r="AB1334" s="77"/>
      <c r="AC1334" s="82" t="s">
        <v>7706</v>
      </c>
      <c r="AD1334" s="77" t="s">
        <v>7745</v>
      </c>
      <c r="AE1334" s="80" t="str">
        <f>HYPERLINK("https://twitter.com/noticiasredetv/status/1658522050930016293")</f>
        <v>https://twitter.com/noticiasredetv/status/1658522050930016293</v>
      </c>
      <c r="AF1334" s="79">
        <v>45062.72042824074</v>
      </c>
      <c r="AG1334" s="85">
        <v>45062</v>
      </c>
      <c r="AH1334" s="82" t="s">
        <v>8945</v>
      </c>
      <c r="AI1334" s="77" t="b">
        <v>0</v>
      </c>
      <c r="AJ1334" s="77"/>
      <c r="AK1334" s="77"/>
      <c r="AL1334" s="77"/>
      <c r="AM1334" s="77"/>
      <c r="AN1334" s="77"/>
      <c r="AO1334" s="77"/>
      <c r="AP1334" s="77"/>
      <c r="AQ1334" s="77"/>
      <c r="AR1334" s="77"/>
      <c r="AS1334" s="77"/>
      <c r="AT1334" s="77"/>
      <c r="AU1334" s="77"/>
      <c r="AV1334" s="80" t="str">
        <f>HYPERLINK("https://pbs.twimg.com/profile_images/1544047959410606080/0sJKn-Iz_normal.jpg")</f>
        <v>https://pbs.twimg.com/profile_images/1544047959410606080/0sJKn-Iz_normal.jpg</v>
      </c>
      <c r="AW1334" s="82" t="s">
        <v>13516</v>
      </c>
      <c r="AX1334" s="82" t="s">
        <v>13516</v>
      </c>
      <c r="AY1334" s="77"/>
      <c r="AZ1334" s="82" t="s">
        <v>15804</v>
      </c>
      <c r="BA1334" s="82" t="s">
        <v>15804</v>
      </c>
      <c r="BB1334" s="82" t="s">
        <v>15804</v>
      </c>
      <c r="BC1334" s="82" t="s">
        <v>13516</v>
      </c>
      <c r="BD1334" s="82" t="s">
        <v>16375</v>
      </c>
      <c r="BE1334" s="77"/>
      <c r="BF1334" s="77"/>
      <c r="BG1334" s="77"/>
      <c r="BH1334" s="77"/>
      <c r="BI1334" s="77"/>
    </row>
    <row r="1335" spans="1:61" x14ac:dyDescent="0.25">
      <c r="A1335" s="62" t="s">
        <v>644</v>
      </c>
      <c r="B1335" s="62" t="s">
        <v>644</v>
      </c>
      <c r="C1335" s="63"/>
      <c r="D1335" s="64"/>
      <c r="E1335" s="65"/>
      <c r="F1335" s="66"/>
      <c r="G1335" s="63"/>
      <c r="H1335" s="67"/>
      <c r="I1335" s="68"/>
      <c r="J1335" s="68"/>
      <c r="K1335" s="32"/>
      <c r="L1335" s="75">
        <v>1335</v>
      </c>
      <c r="M1335" s="75"/>
      <c r="N1335" s="70"/>
      <c r="O1335" s="77" t="s">
        <v>179</v>
      </c>
      <c r="P1335" s="79">
        <v>45028.573576388888</v>
      </c>
      <c r="Q1335" s="77" t="s">
        <v>2428</v>
      </c>
      <c r="R1335" s="77">
        <v>0</v>
      </c>
      <c r="S1335" s="77">
        <v>0</v>
      </c>
      <c r="T1335" s="77">
        <v>0</v>
      </c>
      <c r="U1335" s="77">
        <v>0</v>
      </c>
      <c r="V1335" s="77">
        <v>106</v>
      </c>
      <c r="W1335" s="82" t="s">
        <v>4997</v>
      </c>
      <c r="X1335" s="77"/>
      <c r="Y1335" s="77"/>
      <c r="Z1335" s="77"/>
      <c r="AA1335" s="77" t="s">
        <v>6992</v>
      </c>
      <c r="AB1335" s="77" t="s">
        <v>7700</v>
      </c>
      <c r="AC1335" s="82" t="s">
        <v>7706</v>
      </c>
      <c r="AD1335" s="77" t="s">
        <v>7745</v>
      </c>
      <c r="AE1335" s="80" t="str">
        <f>HYPERLINK("https://twitter.com/colband/status/1646147645289709574")</f>
        <v>https://twitter.com/colband/status/1646147645289709574</v>
      </c>
      <c r="AF1335" s="79">
        <v>45028.573576388888</v>
      </c>
      <c r="AG1335" s="85">
        <v>45028</v>
      </c>
      <c r="AH1335" s="82" t="s">
        <v>8946</v>
      </c>
      <c r="AI1335" s="77" t="b">
        <v>0</v>
      </c>
      <c r="AJ1335" s="77"/>
      <c r="AK1335" s="77"/>
      <c r="AL1335" s="77"/>
      <c r="AM1335" s="77"/>
      <c r="AN1335" s="77"/>
      <c r="AO1335" s="77"/>
      <c r="AP1335" s="77"/>
      <c r="AQ1335" s="77" t="s">
        <v>11499</v>
      </c>
      <c r="AR1335" s="77"/>
      <c r="AS1335" s="77"/>
      <c r="AT1335" s="77"/>
      <c r="AU1335" s="77"/>
      <c r="AV1335" s="80" t="str">
        <f>HYPERLINK("https://pbs.twimg.com/media/FthKi8GWwAAYRXX.jpg")</f>
        <v>https://pbs.twimg.com/media/FthKi8GWwAAYRXX.jpg</v>
      </c>
      <c r="AW1335" s="82" t="s">
        <v>13517</v>
      </c>
      <c r="AX1335" s="82" t="s">
        <v>13517</v>
      </c>
      <c r="AY1335" s="77"/>
      <c r="AZ1335" s="82" t="s">
        <v>15804</v>
      </c>
      <c r="BA1335" s="82" t="s">
        <v>15804</v>
      </c>
      <c r="BB1335" s="82" t="s">
        <v>15804</v>
      </c>
      <c r="BC1335" s="82" t="s">
        <v>13517</v>
      </c>
      <c r="BD1335" s="77">
        <v>34920484</v>
      </c>
      <c r="BE1335" s="77"/>
      <c r="BF1335" s="77"/>
      <c r="BG1335" s="77"/>
      <c r="BH1335" s="77"/>
      <c r="BI1335" s="77"/>
    </row>
    <row r="1336" spans="1:61" x14ac:dyDescent="0.25">
      <c r="A1336" s="62" t="s">
        <v>645</v>
      </c>
      <c r="B1336" s="62" t="s">
        <v>645</v>
      </c>
      <c r="C1336" s="63"/>
      <c r="D1336" s="64"/>
      <c r="E1336" s="65"/>
      <c r="F1336" s="66"/>
      <c r="G1336" s="63"/>
      <c r="H1336" s="67"/>
      <c r="I1336" s="68"/>
      <c r="J1336" s="68"/>
      <c r="K1336" s="32"/>
      <c r="L1336" s="75">
        <v>1336</v>
      </c>
      <c r="M1336" s="75"/>
      <c r="N1336" s="70"/>
      <c r="O1336" s="77" t="s">
        <v>179</v>
      </c>
      <c r="P1336" s="79">
        <v>45119.542222222219</v>
      </c>
      <c r="Q1336" s="77" t="s">
        <v>2429</v>
      </c>
      <c r="R1336" s="77">
        <v>0</v>
      </c>
      <c r="S1336" s="77">
        <v>0</v>
      </c>
      <c r="T1336" s="77">
        <v>0</v>
      </c>
      <c r="U1336" s="77">
        <v>0</v>
      </c>
      <c r="V1336" s="77">
        <v>4</v>
      </c>
      <c r="W1336" s="82" t="s">
        <v>4998</v>
      </c>
      <c r="X1336" s="77"/>
      <c r="Y1336" s="77"/>
      <c r="Z1336" s="77"/>
      <c r="AA1336" s="77" t="s">
        <v>6993</v>
      </c>
      <c r="AB1336" s="77" t="s">
        <v>7696</v>
      </c>
      <c r="AC1336" s="82" t="s">
        <v>7708</v>
      </c>
      <c r="AD1336" s="77" t="s">
        <v>7745</v>
      </c>
      <c r="AE1336" s="80" t="str">
        <f>HYPERLINK("https://twitter.com/infogainbrazil/status/1679113578324828162")</f>
        <v>https://twitter.com/infogainbrazil/status/1679113578324828162</v>
      </c>
      <c r="AF1336" s="79">
        <v>45119.542222222219</v>
      </c>
      <c r="AG1336" s="85">
        <v>45119</v>
      </c>
      <c r="AH1336" s="82" t="s">
        <v>8947</v>
      </c>
      <c r="AI1336" s="77" t="b">
        <v>0</v>
      </c>
      <c r="AJ1336" s="77"/>
      <c r="AK1336" s="77"/>
      <c r="AL1336" s="77"/>
      <c r="AM1336" s="77"/>
      <c r="AN1336" s="77"/>
      <c r="AO1336" s="77"/>
      <c r="AP1336" s="77"/>
      <c r="AQ1336" s="77" t="s">
        <v>11500</v>
      </c>
      <c r="AR1336" s="77"/>
      <c r="AS1336" s="77"/>
      <c r="AT1336" s="77"/>
      <c r="AU1336" s="77"/>
      <c r="AV1336" s="80" t="str">
        <f>HYPERLINK("https://pbs.twimg.com/media/F01o5qWX0AIBV_u.jpg")</f>
        <v>https://pbs.twimg.com/media/F01o5qWX0AIBV_u.jpg</v>
      </c>
      <c r="AW1336" s="82" t="s">
        <v>13518</v>
      </c>
      <c r="AX1336" s="82" t="s">
        <v>13518</v>
      </c>
      <c r="AY1336" s="77"/>
      <c r="AZ1336" s="82" t="s">
        <v>15804</v>
      </c>
      <c r="BA1336" s="82" t="s">
        <v>15804</v>
      </c>
      <c r="BB1336" s="82" t="s">
        <v>15804</v>
      </c>
      <c r="BC1336" s="82" t="s">
        <v>13518</v>
      </c>
      <c r="BD1336" s="82" t="s">
        <v>16376</v>
      </c>
      <c r="BE1336" s="77"/>
      <c r="BF1336" s="77"/>
      <c r="BG1336" s="77"/>
      <c r="BH1336" s="77"/>
      <c r="BI1336" s="77"/>
    </row>
    <row r="1337" spans="1:61" x14ac:dyDescent="0.25">
      <c r="A1337" s="62" t="s">
        <v>646</v>
      </c>
      <c r="B1337" s="62" t="s">
        <v>646</v>
      </c>
      <c r="C1337" s="63"/>
      <c r="D1337" s="64"/>
      <c r="E1337" s="65"/>
      <c r="F1337" s="66"/>
      <c r="G1337" s="63"/>
      <c r="H1337" s="67"/>
      <c r="I1337" s="68"/>
      <c r="J1337" s="68"/>
      <c r="K1337" s="32"/>
      <c r="L1337" s="75">
        <v>1337</v>
      </c>
      <c r="M1337" s="75"/>
      <c r="N1337" s="70"/>
      <c r="O1337" s="77" t="s">
        <v>179</v>
      </c>
      <c r="P1337" s="79">
        <v>45105.896053240744</v>
      </c>
      <c r="Q1337" s="77" t="s">
        <v>2430</v>
      </c>
      <c r="R1337" s="77">
        <v>0</v>
      </c>
      <c r="S1337" s="77">
        <v>0</v>
      </c>
      <c r="T1337" s="77">
        <v>0</v>
      </c>
      <c r="U1337" s="77">
        <v>0</v>
      </c>
      <c r="V1337" s="77">
        <v>6</v>
      </c>
      <c r="W1337" s="82" t="s">
        <v>4999</v>
      </c>
      <c r="X1337" s="77"/>
      <c r="Y1337" s="77"/>
      <c r="Z1337" s="77"/>
      <c r="AA1337" s="77" t="s">
        <v>6994</v>
      </c>
      <c r="AB1337" s="77" t="s">
        <v>7696</v>
      </c>
      <c r="AC1337" s="82" t="s">
        <v>7716</v>
      </c>
      <c r="AD1337" s="77" t="s">
        <v>7745</v>
      </c>
      <c r="AE1337" s="80" t="str">
        <f>HYPERLINK("https://twitter.com/francelmc/status/1674168375415537664")</f>
        <v>https://twitter.com/francelmc/status/1674168375415537664</v>
      </c>
      <c r="AF1337" s="79">
        <v>45105.896053240744</v>
      </c>
      <c r="AG1337" s="85">
        <v>45105</v>
      </c>
      <c r="AH1337" s="82" t="s">
        <v>8948</v>
      </c>
      <c r="AI1337" s="77" t="b">
        <v>0</v>
      </c>
      <c r="AJ1337" s="77"/>
      <c r="AK1337" s="77"/>
      <c r="AL1337" s="77"/>
      <c r="AM1337" s="77"/>
      <c r="AN1337" s="77"/>
      <c r="AO1337" s="77"/>
      <c r="AP1337" s="77"/>
      <c r="AQ1337" s="77" t="s">
        <v>11501</v>
      </c>
      <c r="AR1337" s="77"/>
      <c r="AS1337" s="77"/>
      <c r="AT1337" s="77"/>
      <c r="AU1337" s="77"/>
      <c r="AV1337" s="80" t="str">
        <f>HYPERLINK("https://pbs.twimg.com/media/FzvXQ_6XsAEhQOB.jpg")</f>
        <v>https://pbs.twimg.com/media/FzvXQ_6XsAEhQOB.jpg</v>
      </c>
      <c r="AW1337" s="82" t="s">
        <v>13519</v>
      </c>
      <c r="AX1337" s="82" t="s">
        <v>13519</v>
      </c>
      <c r="AY1337" s="77"/>
      <c r="AZ1337" s="82" t="s">
        <v>15804</v>
      </c>
      <c r="BA1337" s="82" t="s">
        <v>15804</v>
      </c>
      <c r="BB1337" s="82" t="s">
        <v>15804</v>
      </c>
      <c r="BC1337" s="82" t="s">
        <v>13519</v>
      </c>
      <c r="BD1337" s="82" t="s">
        <v>16377</v>
      </c>
      <c r="BE1337" s="77"/>
      <c r="BF1337" s="77"/>
      <c r="BG1337" s="77"/>
      <c r="BH1337" s="77"/>
      <c r="BI1337" s="77"/>
    </row>
    <row r="1338" spans="1:61" x14ac:dyDescent="0.25">
      <c r="A1338" s="62" t="s">
        <v>646</v>
      </c>
      <c r="B1338" s="62" t="s">
        <v>646</v>
      </c>
      <c r="C1338" s="63"/>
      <c r="D1338" s="64"/>
      <c r="E1338" s="65"/>
      <c r="F1338" s="66"/>
      <c r="G1338" s="63"/>
      <c r="H1338" s="67"/>
      <c r="I1338" s="68"/>
      <c r="J1338" s="68"/>
      <c r="K1338" s="32"/>
      <c r="L1338" s="75">
        <v>1338</v>
      </c>
      <c r="M1338" s="75"/>
      <c r="N1338" s="70"/>
      <c r="O1338" s="77" t="s">
        <v>179</v>
      </c>
      <c r="P1338" s="79">
        <v>45128.750335648147</v>
      </c>
      <c r="Q1338" s="77" t="s">
        <v>2431</v>
      </c>
      <c r="R1338" s="77">
        <v>0</v>
      </c>
      <c r="S1338" s="77">
        <v>0</v>
      </c>
      <c r="T1338" s="77">
        <v>0</v>
      </c>
      <c r="U1338" s="77">
        <v>0</v>
      </c>
      <c r="V1338" s="77">
        <v>7</v>
      </c>
      <c r="W1338" s="82" t="s">
        <v>5000</v>
      </c>
      <c r="X1338" s="77"/>
      <c r="Y1338" s="77"/>
      <c r="Z1338" s="77"/>
      <c r="AA1338" s="77" t="s">
        <v>6995</v>
      </c>
      <c r="AB1338" s="77" t="s">
        <v>7696</v>
      </c>
      <c r="AC1338" s="82" t="s">
        <v>7716</v>
      </c>
      <c r="AD1338" s="77" t="s">
        <v>7745</v>
      </c>
      <c r="AE1338" s="80" t="str">
        <f>HYPERLINK("https://twitter.com/francelmc/status/1682450489357619210")</f>
        <v>https://twitter.com/francelmc/status/1682450489357619210</v>
      </c>
      <c r="AF1338" s="79">
        <v>45128.750335648147</v>
      </c>
      <c r="AG1338" s="85">
        <v>45128</v>
      </c>
      <c r="AH1338" s="82" t="s">
        <v>8949</v>
      </c>
      <c r="AI1338" s="77" t="b">
        <v>0</v>
      </c>
      <c r="AJ1338" s="77"/>
      <c r="AK1338" s="77"/>
      <c r="AL1338" s="77"/>
      <c r="AM1338" s="77"/>
      <c r="AN1338" s="77"/>
      <c r="AO1338" s="77"/>
      <c r="AP1338" s="77"/>
      <c r="AQ1338" s="77" t="s">
        <v>11502</v>
      </c>
      <c r="AR1338" s="77"/>
      <c r="AS1338" s="77"/>
      <c r="AT1338" s="77"/>
      <c r="AU1338" s="77"/>
      <c r="AV1338" s="80" t="str">
        <f>HYPERLINK("https://pbs.twimg.com/media/F1lDzemX0BQx9a5.jpg")</f>
        <v>https://pbs.twimg.com/media/F1lDzemX0BQx9a5.jpg</v>
      </c>
      <c r="AW1338" s="82" t="s">
        <v>13520</v>
      </c>
      <c r="AX1338" s="82" t="s">
        <v>13520</v>
      </c>
      <c r="AY1338" s="77"/>
      <c r="AZ1338" s="82" t="s">
        <v>15804</v>
      </c>
      <c r="BA1338" s="82" t="s">
        <v>15804</v>
      </c>
      <c r="BB1338" s="82" t="s">
        <v>15804</v>
      </c>
      <c r="BC1338" s="82" t="s">
        <v>13520</v>
      </c>
      <c r="BD1338" s="82" t="s">
        <v>16377</v>
      </c>
      <c r="BE1338" s="77"/>
      <c r="BF1338" s="77"/>
      <c r="BG1338" s="77"/>
      <c r="BH1338" s="77"/>
      <c r="BI1338" s="77"/>
    </row>
    <row r="1339" spans="1:61" x14ac:dyDescent="0.25">
      <c r="A1339" s="62" t="s">
        <v>646</v>
      </c>
      <c r="B1339" s="62" t="s">
        <v>646</v>
      </c>
      <c r="C1339" s="63"/>
      <c r="D1339" s="64"/>
      <c r="E1339" s="65"/>
      <c r="F1339" s="66"/>
      <c r="G1339" s="63"/>
      <c r="H1339" s="67"/>
      <c r="I1339" s="68"/>
      <c r="J1339" s="68"/>
      <c r="K1339" s="32"/>
      <c r="L1339" s="75">
        <v>1339</v>
      </c>
      <c r="M1339" s="75"/>
      <c r="N1339" s="70"/>
      <c r="O1339" s="77" t="s">
        <v>179</v>
      </c>
      <c r="P1339" s="79">
        <v>45156.750335648147</v>
      </c>
      <c r="Q1339" s="77" t="s">
        <v>2432</v>
      </c>
      <c r="R1339" s="77">
        <v>0</v>
      </c>
      <c r="S1339" s="77">
        <v>0</v>
      </c>
      <c r="T1339" s="77">
        <v>0</v>
      </c>
      <c r="U1339" s="77">
        <v>0</v>
      </c>
      <c r="V1339" s="77">
        <v>6</v>
      </c>
      <c r="W1339" s="82" t="s">
        <v>5001</v>
      </c>
      <c r="X1339" s="77"/>
      <c r="Y1339" s="77"/>
      <c r="Z1339" s="77"/>
      <c r="AA1339" s="77" t="s">
        <v>6996</v>
      </c>
      <c r="AB1339" s="77" t="s">
        <v>7696</v>
      </c>
      <c r="AC1339" s="82" t="s">
        <v>7716</v>
      </c>
      <c r="AD1339" s="77" t="s">
        <v>7745</v>
      </c>
      <c r="AE1339" s="80" t="str">
        <f>HYPERLINK("https://twitter.com/francelmc/status/1692597348663247338")</f>
        <v>https://twitter.com/francelmc/status/1692597348663247338</v>
      </c>
      <c r="AF1339" s="79">
        <v>45156.750335648147</v>
      </c>
      <c r="AG1339" s="85">
        <v>45156</v>
      </c>
      <c r="AH1339" s="82" t="s">
        <v>8949</v>
      </c>
      <c r="AI1339" s="77" t="b">
        <v>0</v>
      </c>
      <c r="AJ1339" s="77"/>
      <c r="AK1339" s="77"/>
      <c r="AL1339" s="77"/>
      <c r="AM1339" s="77"/>
      <c r="AN1339" s="77"/>
      <c r="AO1339" s="77"/>
      <c r="AP1339" s="77"/>
      <c r="AQ1339" s="77" t="s">
        <v>11503</v>
      </c>
      <c r="AR1339" s="77"/>
      <c r="AS1339" s="77"/>
      <c r="AT1339" s="77"/>
      <c r="AU1339" s="77"/>
      <c r="AV1339" s="80" t="str">
        <f>HYPERLINK("https://pbs.twimg.com/media/F31QUaQW8AAVN2k.jpg")</f>
        <v>https://pbs.twimg.com/media/F31QUaQW8AAVN2k.jpg</v>
      </c>
      <c r="AW1339" s="82" t="s">
        <v>13521</v>
      </c>
      <c r="AX1339" s="82" t="s">
        <v>13521</v>
      </c>
      <c r="AY1339" s="77"/>
      <c r="AZ1339" s="82" t="s">
        <v>15804</v>
      </c>
      <c r="BA1339" s="82" t="s">
        <v>15804</v>
      </c>
      <c r="BB1339" s="82" t="s">
        <v>15804</v>
      </c>
      <c r="BC1339" s="82" t="s">
        <v>13521</v>
      </c>
      <c r="BD1339" s="82" t="s">
        <v>16377</v>
      </c>
      <c r="BE1339" s="77"/>
      <c r="BF1339" s="77"/>
      <c r="BG1339" s="77"/>
      <c r="BH1339" s="77"/>
      <c r="BI1339" s="77"/>
    </row>
    <row r="1340" spans="1:61" x14ac:dyDescent="0.25">
      <c r="A1340" s="62" t="s">
        <v>646</v>
      </c>
      <c r="B1340" s="62" t="s">
        <v>646</v>
      </c>
      <c r="C1340" s="63"/>
      <c r="D1340" s="64"/>
      <c r="E1340" s="65"/>
      <c r="F1340" s="66"/>
      <c r="G1340" s="63"/>
      <c r="H1340" s="67"/>
      <c r="I1340" s="68"/>
      <c r="J1340" s="68"/>
      <c r="K1340" s="32"/>
      <c r="L1340" s="75">
        <v>1340</v>
      </c>
      <c r="M1340" s="75"/>
      <c r="N1340" s="70"/>
      <c r="O1340" s="77" t="s">
        <v>179</v>
      </c>
      <c r="P1340" s="79">
        <v>45170.750289351854</v>
      </c>
      <c r="Q1340" s="77" t="s">
        <v>2433</v>
      </c>
      <c r="R1340" s="77">
        <v>0</v>
      </c>
      <c r="S1340" s="77">
        <v>0</v>
      </c>
      <c r="T1340" s="77">
        <v>0</v>
      </c>
      <c r="U1340" s="77">
        <v>0</v>
      </c>
      <c r="V1340" s="77">
        <v>10</v>
      </c>
      <c r="W1340" s="82" t="s">
        <v>5002</v>
      </c>
      <c r="X1340" s="77"/>
      <c r="Y1340" s="77"/>
      <c r="Z1340" s="77"/>
      <c r="AA1340" s="77" t="s">
        <v>6997</v>
      </c>
      <c r="AB1340" s="77" t="s">
        <v>7696</v>
      </c>
      <c r="AC1340" s="82" t="s">
        <v>7716</v>
      </c>
      <c r="AD1340" s="77" t="s">
        <v>7745</v>
      </c>
      <c r="AE1340" s="80" t="str">
        <f>HYPERLINK("https://twitter.com/francelmc/status/1697670760054018214")</f>
        <v>https://twitter.com/francelmc/status/1697670760054018214</v>
      </c>
      <c r="AF1340" s="79">
        <v>45170.750289351854</v>
      </c>
      <c r="AG1340" s="85">
        <v>45170</v>
      </c>
      <c r="AH1340" s="82" t="s">
        <v>8950</v>
      </c>
      <c r="AI1340" s="77" t="b">
        <v>0</v>
      </c>
      <c r="AJ1340" s="77"/>
      <c r="AK1340" s="77"/>
      <c r="AL1340" s="77"/>
      <c r="AM1340" s="77"/>
      <c r="AN1340" s="77"/>
      <c r="AO1340" s="77"/>
      <c r="AP1340" s="77"/>
      <c r="AQ1340" s="77" t="s">
        <v>11504</v>
      </c>
      <c r="AR1340" s="77"/>
      <c r="AS1340" s="77"/>
      <c r="AT1340" s="77"/>
      <c r="AU1340" s="77"/>
      <c r="AV1340" s="80" t="str">
        <f>HYPERLINK("https://pbs.twimg.com/media/F49WjzBW4AATk5F.jpg")</f>
        <v>https://pbs.twimg.com/media/F49WjzBW4AATk5F.jpg</v>
      </c>
      <c r="AW1340" s="82" t="s">
        <v>13522</v>
      </c>
      <c r="AX1340" s="82" t="s">
        <v>13522</v>
      </c>
      <c r="AY1340" s="77"/>
      <c r="AZ1340" s="82" t="s">
        <v>15804</v>
      </c>
      <c r="BA1340" s="82" t="s">
        <v>15804</v>
      </c>
      <c r="BB1340" s="82" t="s">
        <v>15804</v>
      </c>
      <c r="BC1340" s="82" t="s">
        <v>13522</v>
      </c>
      <c r="BD1340" s="82" t="s">
        <v>16377</v>
      </c>
      <c r="BE1340" s="77"/>
      <c r="BF1340" s="77"/>
      <c r="BG1340" s="77"/>
      <c r="BH1340" s="77"/>
      <c r="BI1340" s="77"/>
    </row>
    <row r="1341" spans="1:61" x14ac:dyDescent="0.25">
      <c r="A1341" s="62" t="s">
        <v>646</v>
      </c>
      <c r="B1341" s="62" t="s">
        <v>646</v>
      </c>
      <c r="C1341" s="63"/>
      <c r="D1341" s="64"/>
      <c r="E1341" s="65"/>
      <c r="F1341" s="66"/>
      <c r="G1341" s="63"/>
      <c r="H1341" s="67"/>
      <c r="I1341" s="68"/>
      <c r="J1341" s="68"/>
      <c r="K1341" s="32"/>
      <c r="L1341" s="75">
        <v>1341</v>
      </c>
      <c r="M1341" s="75"/>
      <c r="N1341" s="70"/>
      <c r="O1341" s="77" t="s">
        <v>179</v>
      </c>
      <c r="P1341" s="79">
        <v>45154.896111111113</v>
      </c>
      <c r="Q1341" s="77" t="s">
        <v>2434</v>
      </c>
      <c r="R1341" s="77">
        <v>0</v>
      </c>
      <c r="S1341" s="77">
        <v>0</v>
      </c>
      <c r="T1341" s="77">
        <v>0</v>
      </c>
      <c r="U1341" s="77">
        <v>0</v>
      </c>
      <c r="V1341" s="77">
        <v>25</v>
      </c>
      <c r="W1341" s="82" t="s">
        <v>5003</v>
      </c>
      <c r="X1341" s="77"/>
      <c r="Y1341" s="77"/>
      <c r="Z1341" s="77"/>
      <c r="AA1341" s="77" t="s">
        <v>6998</v>
      </c>
      <c r="AB1341" s="77" t="s">
        <v>7696</v>
      </c>
      <c r="AC1341" s="82" t="s">
        <v>7716</v>
      </c>
      <c r="AD1341" s="77" t="s">
        <v>7745</v>
      </c>
      <c r="AE1341" s="80" t="str">
        <f>HYPERLINK("https://twitter.com/francelmc/status/1691925398043419040")</f>
        <v>https://twitter.com/francelmc/status/1691925398043419040</v>
      </c>
      <c r="AF1341" s="79">
        <v>45154.896111111113</v>
      </c>
      <c r="AG1341" s="85">
        <v>45154</v>
      </c>
      <c r="AH1341" s="82" t="s">
        <v>8951</v>
      </c>
      <c r="AI1341" s="77" t="b">
        <v>0</v>
      </c>
      <c r="AJ1341" s="77"/>
      <c r="AK1341" s="77"/>
      <c r="AL1341" s="77"/>
      <c r="AM1341" s="77"/>
      <c r="AN1341" s="77"/>
      <c r="AO1341" s="77"/>
      <c r="AP1341" s="77"/>
      <c r="AQ1341" s="77" t="s">
        <v>11505</v>
      </c>
      <c r="AR1341" s="77"/>
      <c r="AS1341" s="77"/>
      <c r="AT1341" s="77"/>
      <c r="AU1341" s="77"/>
      <c r="AV1341" s="80" t="str">
        <f>HYPERLINK("https://pbs.twimg.com/media/F3rtLuwWoAASXIJ.jpg")</f>
        <v>https://pbs.twimg.com/media/F3rtLuwWoAASXIJ.jpg</v>
      </c>
      <c r="AW1341" s="82" t="s">
        <v>13523</v>
      </c>
      <c r="AX1341" s="82" t="s">
        <v>13523</v>
      </c>
      <c r="AY1341" s="77"/>
      <c r="AZ1341" s="82" t="s">
        <v>15804</v>
      </c>
      <c r="BA1341" s="82" t="s">
        <v>15804</v>
      </c>
      <c r="BB1341" s="82" t="s">
        <v>15804</v>
      </c>
      <c r="BC1341" s="82" t="s">
        <v>13523</v>
      </c>
      <c r="BD1341" s="82" t="s">
        <v>16377</v>
      </c>
      <c r="BE1341" s="77"/>
      <c r="BF1341" s="77"/>
      <c r="BG1341" s="77"/>
      <c r="BH1341" s="77"/>
      <c r="BI1341" s="77"/>
    </row>
    <row r="1342" spans="1:61" x14ac:dyDescent="0.25">
      <c r="A1342" s="62" t="s">
        <v>646</v>
      </c>
      <c r="B1342" s="62" t="s">
        <v>646</v>
      </c>
      <c r="C1342" s="63"/>
      <c r="D1342" s="64"/>
      <c r="E1342" s="65"/>
      <c r="F1342" s="66"/>
      <c r="G1342" s="63"/>
      <c r="H1342" s="67"/>
      <c r="I1342" s="68"/>
      <c r="J1342" s="68"/>
      <c r="K1342" s="32"/>
      <c r="L1342" s="75">
        <v>1342</v>
      </c>
      <c r="M1342" s="75"/>
      <c r="N1342" s="70"/>
      <c r="O1342" s="77" t="s">
        <v>179</v>
      </c>
      <c r="P1342" s="79">
        <v>45142.750324074077</v>
      </c>
      <c r="Q1342" s="77" t="s">
        <v>2435</v>
      </c>
      <c r="R1342" s="77">
        <v>0</v>
      </c>
      <c r="S1342" s="77">
        <v>0</v>
      </c>
      <c r="T1342" s="77">
        <v>0</v>
      </c>
      <c r="U1342" s="77">
        <v>0</v>
      </c>
      <c r="V1342" s="77">
        <v>4</v>
      </c>
      <c r="W1342" s="82" t="s">
        <v>5004</v>
      </c>
      <c r="X1342" s="77"/>
      <c r="Y1342" s="77"/>
      <c r="Z1342" s="77"/>
      <c r="AA1342" s="77" t="s">
        <v>6999</v>
      </c>
      <c r="AB1342" s="77" t="s">
        <v>7696</v>
      </c>
      <c r="AC1342" s="82" t="s">
        <v>7716</v>
      </c>
      <c r="AD1342" s="77" t="s">
        <v>7745</v>
      </c>
      <c r="AE1342" s="80" t="str">
        <f>HYPERLINK("https://twitter.com/francelmc/status/1687523916095377412")</f>
        <v>https://twitter.com/francelmc/status/1687523916095377412</v>
      </c>
      <c r="AF1342" s="79">
        <v>45142.750324074077</v>
      </c>
      <c r="AG1342" s="85">
        <v>45142</v>
      </c>
      <c r="AH1342" s="82" t="s">
        <v>8952</v>
      </c>
      <c r="AI1342" s="77" t="b">
        <v>0</v>
      </c>
      <c r="AJ1342" s="77"/>
      <c r="AK1342" s="77"/>
      <c r="AL1342" s="77"/>
      <c r="AM1342" s="77"/>
      <c r="AN1342" s="77"/>
      <c r="AO1342" s="77"/>
      <c r="AP1342" s="77"/>
      <c r="AQ1342" s="77" t="s">
        <v>11506</v>
      </c>
      <c r="AR1342" s="77"/>
      <c r="AS1342" s="77"/>
      <c r="AT1342" s="77"/>
      <c r="AU1342" s="77"/>
      <c r="AV1342" s="80" t="str">
        <f>HYPERLINK("https://pbs.twimg.com/media/F2tKDvMXUAUH7Vw.jpg")</f>
        <v>https://pbs.twimg.com/media/F2tKDvMXUAUH7Vw.jpg</v>
      </c>
      <c r="AW1342" s="82" t="s">
        <v>13524</v>
      </c>
      <c r="AX1342" s="82" t="s">
        <v>13524</v>
      </c>
      <c r="AY1342" s="77"/>
      <c r="AZ1342" s="82" t="s">
        <v>15804</v>
      </c>
      <c r="BA1342" s="82" t="s">
        <v>15804</v>
      </c>
      <c r="BB1342" s="82" t="s">
        <v>15804</v>
      </c>
      <c r="BC1342" s="82" t="s">
        <v>13524</v>
      </c>
      <c r="BD1342" s="82" t="s">
        <v>16377</v>
      </c>
      <c r="BE1342" s="77"/>
      <c r="BF1342" s="77"/>
      <c r="BG1342" s="77"/>
      <c r="BH1342" s="77"/>
      <c r="BI1342" s="77"/>
    </row>
    <row r="1343" spans="1:61" x14ac:dyDescent="0.25">
      <c r="A1343" s="62" t="s">
        <v>646</v>
      </c>
      <c r="B1343" s="62" t="s">
        <v>646</v>
      </c>
      <c r="C1343" s="63"/>
      <c r="D1343" s="64"/>
      <c r="E1343" s="65"/>
      <c r="F1343" s="66"/>
      <c r="G1343" s="63"/>
      <c r="H1343" s="67"/>
      <c r="I1343" s="68"/>
      <c r="J1343" s="68"/>
      <c r="K1343" s="32"/>
      <c r="L1343" s="75">
        <v>1343</v>
      </c>
      <c r="M1343" s="75"/>
      <c r="N1343" s="70"/>
      <c r="O1343" s="77" t="s">
        <v>179</v>
      </c>
      <c r="P1343" s="79">
        <v>45177.750231481485</v>
      </c>
      <c r="Q1343" s="77" t="s">
        <v>2436</v>
      </c>
      <c r="R1343" s="77">
        <v>0</v>
      </c>
      <c r="S1343" s="77">
        <v>0</v>
      </c>
      <c r="T1343" s="77">
        <v>0</v>
      </c>
      <c r="U1343" s="77">
        <v>0</v>
      </c>
      <c r="V1343" s="77">
        <v>8</v>
      </c>
      <c r="W1343" s="82" t="s">
        <v>5005</v>
      </c>
      <c r="X1343" s="77"/>
      <c r="Y1343" s="77"/>
      <c r="Z1343" s="77"/>
      <c r="AA1343" s="77" t="s">
        <v>7000</v>
      </c>
      <c r="AB1343" s="77" t="s">
        <v>7696</v>
      </c>
      <c r="AC1343" s="82" t="s">
        <v>7716</v>
      </c>
      <c r="AD1343" s="77" t="s">
        <v>7745</v>
      </c>
      <c r="AE1343" s="80" t="str">
        <f>HYPERLINK("https://twitter.com/francelmc/status/1700207455223877866")</f>
        <v>https://twitter.com/francelmc/status/1700207455223877866</v>
      </c>
      <c r="AF1343" s="79">
        <v>45177.750231481485</v>
      </c>
      <c r="AG1343" s="85">
        <v>45177</v>
      </c>
      <c r="AH1343" s="82" t="s">
        <v>8953</v>
      </c>
      <c r="AI1343" s="77" t="b">
        <v>0</v>
      </c>
      <c r="AJ1343" s="77"/>
      <c r="AK1343" s="77"/>
      <c r="AL1343" s="77"/>
      <c r="AM1343" s="77"/>
      <c r="AN1343" s="77"/>
      <c r="AO1343" s="77"/>
      <c r="AP1343" s="77"/>
      <c r="AQ1343" s="77" t="s">
        <v>11507</v>
      </c>
      <c r="AR1343" s="77"/>
      <c r="AS1343" s="77"/>
      <c r="AT1343" s="77"/>
      <c r="AU1343" s="77"/>
      <c r="AV1343" s="80" t="str">
        <f>HYPERLINK("https://pbs.twimg.com/media/F5hZq6vXkAAwSjI.jpg")</f>
        <v>https://pbs.twimg.com/media/F5hZq6vXkAAwSjI.jpg</v>
      </c>
      <c r="AW1343" s="82" t="s">
        <v>13525</v>
      </c>
      <c r="AX1343" s="82" t="s">
        <v>13525</v>
      </c>
      <c r="AY1343" s="77"/>
      <c r="AZ1343" s="82" t="s">
        <v>15804</v>
      </c>
      <c r="BA1343" s="82" t="s">
        <v>15804</v>
      </c>
      <c r="BB1343" s="82" t="s">
        <v>15804</v>
      </c>
      <c r="BC1343" s="82" t="s">
        <v>13525</v>
      </c>
      <c r="BD1343" s="82" t="s">
        <v>16377</v>
      </c>
      <c r="BE1343" s="77"/>
      <c r="BF1343" s="77"/>
      <c r="BG1343" s="77"/>
      <c r="BH1343" s="77"/>
      <c r="BI1343" s="77"/>
    </row>
    <row r="1344" spans="1:61" x14ac:dyDescent="0.25">
      <c r="A1344" s="62" t="s">
        <v>646</v>
      </c>
      <c r="B1344" s="62" t="s">
        <v>646</v>
      </c>
      <c r="C1344" s="63"/>
      <c r="D1344" s="64"/>
      <c r="E1344" s="65"/>
      <c r="F1344" s="66"/>
      <c r="G1344" s="63"/>
      <c r="H1344" s="67"/>
      <c r="I1344" s="68"/>
      <c r="J1344" s="68"/>
      <c r="K1344" s="32"/>
      <c r="L1344" s="75">
        <v>1344</v>
      </c>
      <c r="M1344" s="75"/>
      <c r="N1344" s="70"/>
      <c r="O1344" s="77" t="s">
        <v>179</v>
      </c>
      <c r="P1344" s="79">
        <v>45175.896041666667</v>
      </c>
      <c r="Q1344" s="77" t="s">
        <v>2437</v>
      </c>
      <c r="R1344" s="77">
        <v>0</v>
      </c>
      <c r="S1344" s="77">
        <v>0</v>
      </c>
      <c r="T1344" s="77">
        <v>0</v>
      </c>
      <c r="U1344" s="77">
        <v>0</v>
      </c>
      <c r="V1344" s="77">
        <v>6</v>
      </c>
      <c r="W1344" s="82" t="s">
        <v>5006</v>
      </c>
      <c r="X1344" s="77"/>
      <c r="Y1344" s="77"/>
      <c r="Z1344" s="77"/>
      <c r="AA1344" s="77" t="s">
        <v>7001</v>
      </c>
      <c r="AB1344" s="77" t="s">
        <v>7696</v>
      </c>
      <c r="AC1344" s="82" t="s">
        <v>7716</v>
      </c>
      <c r="AD1344" s="77" t="s">
        <v>7745</v>
      </c>
      <c r="AE1344" s="80" t="str">
        <f>HYPERLINK("https://twitter.com/francelmc/status/1699535520341102858")</f>
        <v>https://twitter.com/francelmc/status/1699535520341102858</v>
      </c>
      <c r="AF1344" s="79">
        <v>45175.896041666667</v>
      </c>
      <c r="AG1344" s="85">
        <v>45175</v>
      </c>
      <c r="AH1344" s="82" t="s">
        <v>8954</v>
      </c>
      <c r="AI1344" s="77" t="b">
        <v>0</v>
      </c>
      <c r="AJ1344" s="77"/>
      <c r="AK1344" s="77"/>
      <c r="AL1344" s="77"/>
      <c r="AM1344" s="77"/>
      <c r="AN1344" s="77"/>
      <c r="AO1344" s="77"/>
      <c r="AP1344" s="77"/>
      <c r="AQ1344" s="77" t="s">
        <v>11508</v>
      </c>
      <c r="AR1344" s="77"/>
      <c r="AS1344" s="77"/>
      <c r="AT1344" s="77"/>
      <c r="AU1344" s="77"/>
      <c r="AV1344" s="80" t="str">
        <f>HYPERLINK("https://pbs.twimg.com/media/F5X2jJKWMAAoEct.jpg")</f>
        <v>https://pbs.twimg.com/media/F5X2jJKWMAAoEct.jpg</v>
      </c>
      <c r="AW1344" s="82" t="s">
        <v>13526</v>
      </c>
      <c r="AX1344" s="82" t="s">
        <v>13526</v>
      </c>
      <c r="AY1344" s="77"/>
      <c r="AZ1344" s="82" t="s">
        <v>15804</v>
      </c>
      <c r="BA1344" s="82" t="s">
        <v>15804</v>
      </c>
      <c r="BB1344" s="82" t="s">
        <v>15804</v>
      </c>
      <c r="BC1344" s="82" t="s">
        <v>13526</v>
      </c>
      <c r="BD1344" s="82" t="s">
        <v>16377</v>
      </c>
      <c r="BE1344" s="77"/>
      <c r="BF1344" s="77"/>
      <c r="BG1344" s="77"/>
      <c r="BH1344" s="77"/>
      <c r="BI1344" s="77"/>
    </row>
    <row r="1345" spans="1:61" x14ac:dyDescent="0.25">
      <c r="A1345" s="62" t="s">
        <v>646</v>
      </c>
      <c r="B1345" s="62" t="s">
        <v>646</v>
      </c>
      <c r="C1345" s="63"/>
      <c r="D1345" s="64"/>
      <c r="E1345" s="65"/>
      <c r="F1345" s="66"/>
      <c r="G1345" s="63"/>
      <c r="H1345" s="67"/>
      <c r="I1345" s="68"/>
      <c r="J1345" s="68"/>
      <c r="K1345" s="32"/>
      <c r="L1345" s="75">
        <v>1345</v>
      </c>
      <c r="M1345" s="75"/>
      <c r="N1345" s="70"/>
      <c r="O1345" s="77" t="s">
        <v>179</v>
      </c>
      <c r="P1345" s="79">
        <v>45163.7503125</v>
      </c>
      <c r="Q1345" s="77" t="s">
        <v>2438</v>
      </c>
      <c r="R1345" s="77">
        <v>0</v>
      </c>
      <c r="S1345" s="77">
        <v>0</v>
      </c>
      <c r="T1345" s="77">
        <v>0</v>
      </c>
      <c r="U1345" s="77">
        <v>0</v>
      </c>
      <c r="V1345" s="77">
        <v>17</v>
      </c>
      <c r="W1345" s="82" t="s">
        <v>5007</v>
      </c>
      <c r="X1345" s="77"/>
      <c r="Y1345" s="77"/>
      <c r="Z1345" s="77"/>
      <c r="AA1345" s="77" t="s">
        <v>7002</v>
      </c>
      <c r="AB1345" s="77" t="s">
        <v>7696</v>
      </c>
      <c r="AC1345" s="82" t="s">
        <v>7716</v>
      </c>
      <c r="AD1345" s="77" t="s">
        <v>7745</v>
      </c>
      <c r="AE1345" s="80" t="str">
        <f>HYPERLINK("https://twitter.com/francelmc/status/1695134054729883668")</f>
        <v>https://twitter.com/francelmc/status/1695134054729883668</v>
      </c>
      <c r="AF1345" s="79">
        <v>45163.7503125</v>
      </c>
      <c r="AG1345" s="85">
        <v>45163</v>
      </c>
      <c r="AH1345" s="82" t="s">
        <v>8955</v>
      </c>
      <c r="AI1345" s="77" t="b">
        <v>0</v>
      </c>
      <c r="AJ1345" s="77"/>
      <c r="AK1345" s="77"/>
      <c r="AL1345" s="77"/>
      <c r="AM1345" s="77"/>
      <c r="AN1345" s="77"/>
      <c r="AO1345" s="77"/>
      <c r="AP1345" s="77"/>
      <c r="AQ1345" s="77" t="s">
        <v>11509</v>
      </c>
      <c r="AR1345" s="77"/>
      <c r="AS1345" s="77"/>
      <c r="AT1345" s="77"/>
      <c r="AU1345" s="77"/>
      <c r="AV1345" s="80" t="str">
        <f>HYPERLINK("https://pbs.twimg.com/media/F4ZTcJsXsAAfmdi.jpg")</f>
        <v>https://pbs.twimg.com/media/F4ZTcJsXsAAfmdi.jpg</v>
      </c>
      <c r="AW1345" s="82" t="s">
        <v>13527</v>
      </c>
      <c r="AX1345" s="82" t="s">
        <v>13527</v>
      </c>
      <c r="AY1345" s="77"/>
      <c r="AZ1345" s="82" t="s">
        <v>15804</v>
      </c>
      <c r="BA1345" s="82" t="s">
        <v>15804</v>
      </c>
      <c r="BB1345" s="82" t="s">
        <v>15804</v>
      </c>
      <c r="BC1345" s="82" t="s">
        <v>13527</v>
      </c>
      <c r="BD1345" s="82" t="s">
        <v>16377</v>
      </c>
      <c r="BE1345" s="77"/>
      <c r="BF1345" s="77"/>
      <c r="BG1345" s="77"/>
      <c r="BH1345" s="77"/>
      <c r="BI1345" s="77"/>
    </row>
    <row r="1346" spans="1:61" x14ac:dyDescent="0.25">
      <c r="A1346" s="62" t="s">
        <v>646</v>
      </c>
      <c r="B1346" s="62" t="s">
        <v>646</v>
      </c>
      <c r="C1346" s="63"/>
      <c r="D1346" s="64"/>
      <c r="E1346" s="65"/>
      <c r="F1346" s="66"/>
      <c r="G1346" s="63"/>
      <c r="H1346" s="67"/>
      <c r="I1346" s="68"/>
      <c r="J1346" s="68"/>
      <c r="K1346" s="32"/>
      <c r="L1346" s="75">
        <v>1346</v>
      </c>
      <c r="M1346" s="75"/>
      <c r="N1346" s="70"/>
      <c r="O1346" s="77" t="s">
        <v>179</v>
      </c>
      <c r="P1346" s="79">
        <v>45149.750324074077</v>
      </c>
      <c r="Q1346" s="77" t="s">
        <v>2439</v>
      </c>
      <c r="R1346" s="77">
        <v>0</v>
      </c>
      <c r="S1346" s="77">
        <v>0</v>
      </c>
      <c r="T1346" s="77">
        <v>0</v>
      </c>
      <c r="U1346" s="77">
        <v>0</v>
      </c>
      <c r="V1346" s="77">
        <v>2</v>
      </c>
      <c r="W1346" s="82" t="s">
        <v>5008</v>
      </c>
      <c r="X1346" s="77"/>
      <c r="Y1346" s="77"/>
      <c r="Z1346" s="77"/>
      <c r="AA1346" s="77" t="s">
        <v>7003</v>
      </c>
      <c r="AB1346" s="77" t="s">
        <v>7696</v>
      </c>
      <c r="AC1346" s="82" t="s">
        <v>7716</v>
      </c>
      <c r="AD1346" s="77" t="s">
        <v>7745</v>
      </c>
      <c r="AE1346" s="80" t="str">
        <f>HYPERLINK("https://twitter.com/francelmc/status/1690060630995206144")</f>
        <v>https://twitter.com/francelmc/status/1690060630995206144</v>
      </c>
      <c r="AF1346" s="79">
        <v>45149.750324074077</v>
      </c>
      <c r="AG1346" s="85">
        <v>45149</v>
      </c>
      <c r="AH1346" s="82" t="s">
        <v>8952</v>
      </c>
      <c r="AI1346" s="77" t="b">
        <v>0</v>
      </c>
      <c r="AJ1346" s="77"/>
      <c r="AK1346" s="77"/>
      <c r="AL1346" s="77"/>
      <c r="AM1346" s="77"/>
      <c r="AN1346" s="77"/>
      <c r="AO1346" s="77"/>
      <c r="AP1346" s="77"/>
      <c r="AQ1346" s="77" t="s">
        <v>11510</v>
      </c>
      <c r="AR1346" s="77"/>
      <c r="AS1346" s="77"/>
      <c r="AT1346" s="77"/>
      <c r="AU1346" s="77"/>
      <c r="AV1346" s="80" t="str">
        <f>HYPERLINK("https://pbs.twimg.com/media/F3RNL9SX0AAme-M.jpg")</f>
        <v>https://pbs.twimg.com/media/F3RNL9SX0AAme-M.jpg</v>
      </c>
      <c r="AW1346" s="82" t="s">
        <v>13528</v>
      </c>
      <c r="AX1346" s="82" t="s">
        <v>13528</v>
      </c>
      <c r="AY1346" s="77"/>
      <c r="AZ1346" s="82" t="s">
        <v>15804</v>
      </c>
      <c r="BA1346" s="82" t="s">
        <v>15804</v>
      </c>
      <c r="BB1346" s="82" t="s">
        <v>15804</v>
      </c>
      <c r="BC1346" s="82" t="s">
        <v>13528</v>
      </c>
      <c r="BD1346" s="82" t="s">
        <v>16377</v>
      </c>
      <c r="BE1346" s="77"/>
      <c r="BF1346" s="77"/>
      <c r="BG1346" s="77"/>
      <c r="BH1346" s="77"/>
      <c r="BI1346" s="77"/>
    </row>
    <row r="1347" spans="1:61" x14ac:dyDescent="0.25">
      <c r="A1347" s="62" t="s">
        <v>646</v>
      </c>
      <c r="B1347" s="62" t="s">
        <v>646</v>
      </c>
      <c r="C1347" s="63"/>
      <c r="D1347" s="64"/>
      <c r="E1347" s="65"/>
      <c r="F1347" s="66"/>
      <c r="G1347" s="63"/>
      <c r="H1347" s="67"/>
      <c r="I1347" s="68"/>
      <c r="J1347" s="68"/>
      <c r="K1347" s="32"/>
      <c r="L1347" s="75">
        <v>1347</v>
      </c>
      <c r="M1347" s="75"/>
      <c r="N1347" s="70"/>
      <c r="O1347" s="77" t="s">
        <v>179</v>
      </c>
      <c r="P1347" s="79">
        <v>45135.7503125</v>
      </c>
      <c r="Q1347" s="77" t="s">
        <v>2440</v>
      </c>
      <c r="R1347" s="77">
        <v>0</v>
      </c>
      <c r="S1347" s="77">
        <v>0</v>
      </c>
      <c r="T1347" s="77">
        <v>0</v>
      </c>
      <c r="U1347" s="77">
        <v>0</v>
      </c>
      <c r="V1347" s="77">
        <v>2</v>
      </c>
      <c r="W1347" s="82" t="s">
        <v>5009</v>
      </c>
      <c r="X1347" s="77"/>
      <c r="Y1347" s="77"/>
      <c r="Z1347" s="77"/>
      <c r="AA1347" s="77" t="s">
        <v>7004</v>
      </c>
      <c r="AB1347" s="77" t="s">
        <v>7696</v>
      </c>
      <c r="AC1347" s="82" t="s">
        <v>7716</v>
      </c>
      <c r="AD1347" s="77" t="s">
        <v>7745</v>
      </c>
      <c r="AE1347" s="80" t="str">
        <f>HYPERLINK("https://twitter.com/francelmc/status/1684987195965288448")</f>
        <v>https://twitter.com/francelmc/status/1684987195965288448</v>
      </c>
      <c r="AF1347" s="79">
        <v>45135.7503125</v>
      </c>
      <c r="AG1347" s="85">
        <v>45135</v>
      </c>
      <c r="AH1347" s="82" t="s">
        <v>8955</v>
      </c>
      <c r="AI1347" s="77" t="b">
        <v>0</v>
      </c>
      <c r="AJ1347" s="77"/>
      <c r="AK1347" s="77"/>
      <c r="AL1347" s="77"/>
      <c r="AM1347" s="77"/>
      <c r="AN1347" s="77"/>
      <c r="AO1347" s="77"/>
      <c r="AP1347" s="77"/>
      <c r="AQ1347" s="77" t="s">
        <v>11511</v>
      </c>
      <c r="AR1347" s="77"/>
      <c r="AS1347" s="77"/>
      <c r="AT1347" s="77"/>
      <c r="AU1347" s="77"/>
      <c r="AV1347" s="80" t="str">
        <f>HYPERLINK("https://pbs.twimg.com/media/F2JG7O0WsAQ8wQ4.jpg")</f>
        <v>https://pbs.twimg.com/media/F2JG7O0WsAQ8wQ4.jpg</v>
      </c>
      <c r="AW1347" s="82" t="s">
        <v>13529</v>
      </c>
      <c r="AX1347" s="82" t="s">
        <v>13529</v>
      </c>
      <c r="AY1347" s="77"/>
      <c r="AZ1347" s="82" t="s">
        <v>15804</v>
      </c>
      <c r="BA1347" s="82" t="s">
        <v>15804</v>
      </c>
      <c r="BB1347" s="82" t="s">
        <v>15804</v>
      </c>
      <c r="BC1347" s="82" t="s">
        <v>13529</v>
      </c>
      <c r="BD1347" s="82" t="s">
        <v>16377</v>
      </c>
      <c r="BE1347" s="77"/>
      <c r="BF1347" s="77"/>
      <c r="BG1347" s="77"/>
      <c r="BH1347" s="77"/>
      <c r="BI1347" s="77"/>
    </row>
    <row r="1348" spans="1:61" x14ac:dyDescent="0.25">
      <c r="A1348" s="62" t="s">
        <v>646</v>
      </c>
      <c r="B1348" s="62" t="s">
        <v>646</v>
      </c>
      <c r="C1348" s="63"/>
      <c r="D1348" s="64"/>
      <c r="E1348" s="65"/>
      <c r="F1348" s="66"/>
      <c r="G1348" s="63"/>
      <c r="H1348" s="67"/>
      <c r="I1348" s="68"/>
      <c r="J1348" s="68"/>
      <c r="K1348" s="32"/>
      <c r="L1348" s="75">
        <v>1348</v>
      </c>
      <c r="M1348" s="75"/>
      <c r="N1348" s="70"/>
      <c r="O1348" s="77" t="s">
        <v>179</v>
      </c>
      <c r="P1348" s="79">
        <v>45114.7502662037</v>
      </c>
      <c r="Q1348" s="77" t="s">
        <v>2441</v>
      </c>
      <c r="R1348" s="77">
        <v>0</v>
      </c>
      <c r="S1348" s="77">
        <v>0</v>
      </c>
      <c r="T1348" s="77">
        <v>0</v>
      </c>
      <c r="U1348" s="77">
        <v>0</v>
      </c>
      <c r="V1348" s="77">
        <v>4</v>
      </c>
      <c r="W1348" s="82" t="s">
        <v>5010</v>
      </c>
      <c r="X1348" s="77"/>
      <c r="Y1348" s="77"/>
      <c r="Z1348" s="77"/>
      <c r="AA1348" s="77" t="s">
        <v>7005</v>
      </c>
      <c r="AB1348" s="77" t="s">
        <v>7696</v>
      </c>
      <c r="AC1348" s="82" t="s">
        <v>7716</v>
      </c>
      <c r="AD1348" s="77" t="s">
        <v>7745</v>
      </c>
      <c r="AE1348" s="80" t="str">
        <f>HYPERLINK("https://twitter.com/francelmc/status/1677377033926586368")</f>
        <v>https://twitter.com/francelmc/status/1677377033926586368</v>
      </c>
      <c r="AF1348" s="79">
        <v>45114.7502662037</v>
      </c>
      <c r="AG1348" s="85">
        <v>45114</v>
      </c>
      <c r="AH1348" s="82" t="s">
        <v>8956</v>
      </c>
      <c r="AI1348" s="77" t="b">
        <v>0</v>
      </c>
      <c r="AJ1348" s="77"/>
      <c r="AK1348" s="77"/>
      <c r="AL1348" s="77"/>
      <c r="AM1348" s="77"/>
      <c r="AN1348" s="77"/>
      <c r="AO1348" s="77"/>
      <c r="AP1348" s="77"/>
      <c r="AQ1348" s="77" t="s">
        <v>11512</v>
      </c>
      <c r="AR1348" s="77"/>
      <c r="AS1348" s="77"/>
      <c r="AT1348" s="77"/>
      <c r="AU1348" s="77"/>
      <c r="AV1348" s="80" t="str">
        <f>HYPERLINK("https://pbs.twimg.com/media/F0c9hfHWYA4Wgdw.jpg")</f>
        <v>https://pbs.twimg.com/media/F0c9hfHWYA4Wgdw.jpg</v>
      </c>
      <c r="AW1348" s="82" t="s">
        <v>13530</v>
      </c>
      <c r="AX1348" s="82" t="s">
        <v>13530</v>
      </c>
      <c r="AY1348" s="77"/>
      <c r="AZ1348" s="82" t="s">
        <v>15804</v>
      </c>
      <c r="BA1348" s="82" t="s">
        <v>15804</v>
      </c>
      <c r="BB1348" s="82" t="s">
        <v>15804</v>
      </c>
      <c r="BC1348" s="82" t="s">
        <v>13530</v>
      </c>
      <c r="BD1348" s="82" t="s">
        <v>16377</v>
      </c>
      <c r="BE1348" s="77"/>
      <c r="BF1348" s="77"/>
      <c r="BG1348" s="77"/>
      <c r="BH1348" s="77"/>
      <c r="BI1348" s="77"/>
    </row>
    <row r="1349" spans="1:61" x14ac:dyDescent="0.25">
      <c r="A1349" s="62" t="s">
        <v>646</v>
      </c>
      <c r="B1349" s="62" t="s">
        <v>646</v>
      </c>
      <c r="C1349" s="63"/>
      <c r="D1349" s="64"/>
      <c r="E1349" s="65"/>
      <c r="F1349" s="66"/>
      <c r="G1349" s="63"/>
      <c r="H1349" s="67"/>
      <c r="I1349" s="68"/>
      <c r="J1349" s="68"/>
      <c r="K1349" s="32"/>
      <c r="L1349" s="75">
        <v>1349</v>
      </c>
      <c r="M1349" s="75"/>
      <c r="N1349" s="70"/>
      <c r="O1349" s="77" t="s">
        <v>179</v>
      </c>
      <c r="P1349" s="79">
        <v>45112.896041666667</v>
      </c>
      <c r="Q1349" s="77" t="s">
        <v>2442</v>
      </c>
      <c r="R1349" s="77">
        <v>0</v>
      </c>
      <c r="S1349" s="77">
        <v>0</v>
      </c>
      <c r="T1349" s="77">
        <v>0</v>
      </c>
      <c r="U1349" s="77">
        <v>0</v>
      </c>
      <c r="V1349" s="77">
        <v>6</v>
      </c>
      <c r="W1349" s="82" t="s">
        <v>5011</v>
      </c>
      <c r="X1349" s="77"/>
      <c r="Y1349" s="77"/>
      <c r="Z1349" s="77"/>
      <c r="AA1349" s="77" t="s">
        <v>7006</v>
      </c>
      <c r="AB1349" s="77" t="s">
        <v>7696</v>
      </c>
      <c r="AC1349" s="82" t="s">
        <v>7716</v>
      </c>
      <c r="AD1349" s="77" t="s">
        <v>7745</v>
      </c>
      <c r="AE1349" s="80" t="str">
        <f>HYPERLINK("https://twitter.com/francelmc/status/1676705086137937921")</f>
        <v>https://twitter.com/francelmc/status/1676705086137937921</v>
      </c>
      <c r="AF1349" s="79">
        <v>45112.896041666667</v>
      </c>
      <c r="AG1349" s="85">
        <v>45112</v>
      </c>
      <c r="AH1349" s="82" t="s">
        <v>8954</v>
      </c>
      <c r="AI1349" s="77" t="b">
        <v>0</v>
      </c>
      <c r="AJ1349" s="77"/>
      <c r="AK1349" s="77"/>
      <c r="AL1349" s="77"/>
      <c r="AM1349" s="77"/>
      <c r="AN1349" s="77"/>
      <c r="AO1349" s="77"/>
      <c r="AP1349" s="77"/>
      <c r="AQ1349" s="77" t="s">
        <v>11513</v>
      </c>
      <c r="AR1349" s="77"/>
      <c r="AS1349" s="77"/>
      <c r="AT1349" s="77"/>
      <c r="AU1349" s="77"/>
      <c r="AV1349" s="80" t="str">
        <f>HYPERLINK("https://pbs.twimg.com/media/F0TaY_VWcAIK0_f.jpg")</f>
        <v>https://pbs.twimg.com/media/F0TaY_VWcAIK0_f.jpg</v>
      </c>
      <c r="AW1349" s="82" t="s">
        <v>13531</v>
      </c>
      <c r="AX1349" s="82" t="s">
        <v>13531</v>
      </c>
      <c r="AY1349" s="77"/>
      <c r="AZ1349" s="82" t="s">
        <v>15804</v>
      </c>
      <c r="BA1349" s="82" t="s">
        <v>15804</v>
      </c>
      <c r="BB1349" s="82" t="s">
        <v>15804</v>
      </c>
      <c r="BC1349" s="82" t="s">
        <v>13531</v>
      </c>
      <c r="BD1349" s="82" t="s">
        <v>16377</v>
      </c>
      <c r="BE1349" s="77"/>
      <c r="BF1349" s="77"/>
      <c r="BG1349" s="77"/>
      <c r="BH1349" s="77"/>
      <c r="BI1349" s="77"/>
    </row>
    <row r="1350" spans="1:61" x14ac:dyDescent="0.25">
      <c r="A1350" s="62" t="s">
        <v>647</v>
      </c>
      <c r="B1350" s="62" t="s">
        <v>647</v>
      </c>
      <c r="C1350" s="63"/>
      <c r="D1350" s="64"/>
      <c r="E1350" s="65"/>
      <c r="F1350" s="66"/>
      <c r="G1350" s="63"/>
      <c r="H1350" s="67"/>
      <c r="I1350" s="68"/>
      <c r="J1350" s="68"/>
      <c r="K1350" s="32"/>
      <c r="L1350" s="75">
        <v>1350</v>
      </c>
      <c r="M1350" s="75"/>
      <c r="N1350" s="70"/>
      <c r="O1350" s="77" t="s">
        <v>179</v>
      </c>
      <c r="P1350" s="79">
        <v>45146.6405787037</v>
      </c>
      <c r="Q1350" s="77" t="s">
        <v>2443</v>
      </c>
      <c r="R1350" s="77">
        <v>0</v>
      </c>
      <c r="S1350" s="77">
        <v>0</v>
      </c>
      <c r="T1350" s="77">
        <v>0</v>
      </c>
      <c r="U1350" s="77">
        <v>0</v>
      </c>
      <c r="V1350" s="77">
        <v>59</v>
      </c>
      <c r="W1350" s="82" t="s">
        <v>5012</v>
      </c>
      <c r="X1350" s="77"/>
      <c r="Y1350" s="77"/>
      <c r="Z1350" s="77"/>
      <c r="AA1350" s="77" t="s">
        <v>7007</v>
      </c>
      <c r="AB1350" s="77" t="s">
        <v>7697</v>
      </c>
      <c r="AC1350" s="82" t="s">
        <v>7707</v>
      </c>
      <c r="AD1350" s="77" t="s">
        <v>7745</v>
      </c>
      <c r="AE1350" s="80" t="str">
        <f>HYPERLINK("https://twitter.com/universidaderat/status/1688933696810680320")</f>
        <v>https://twitter.com/universidaderat/status/1688933696810680320</v>
      </c>
      <c r="AF1350" s="79">
        <v>45146.6405787037</v>
      </c>
      <c r="AG1350" s="85">
        <v>45146</v>
      </c>
      <c r="AH1350" s="82" t="s">
        <v>8957</v>
      </c>
      <c r="AI1350" s="77" t="b">
        <v>0</v>
      </c>
      <c r="AJ1350" s="77"/>
      <c r="AK1350" s="77"/>
      <c r="AL1350" s="77"/>
      <c r="AM1350" s="77"/>
      <c r="AN1350" s="77"/>
      <c r="AO1350" s="77"/>
      <c r="AP1350" s="77"/>
      <c r="AQ1350" s="77" t="s">
        <v>11514</v>
      </c>
      <c r="AR1350" s="77">
        <v>61033</v>
      </c>
      <c r="AS1350" s="77"/>
      <c r="AT1350" s="77"/>
      <c r="AU1350" s="77">
        <v>14</v>
      </c>
      <c r="AV1350" s="80" t="str">
        <f>HYPERLINK("https://pbs.twimg.com/ext_tw_video_thumb/1688933612358701056/pu/img/FnbElbsG3EiyQGPf.jpg")</f>
        <v>https://pbs.twimg.com/ext_tw_video_thumb/1688933612358701056/pu/img/FnbElbsG3EiyQGPf.jpg</v>
      </c>
      <c r="AW1350" s="82" t="s">
        <v>13532</v>
      </c>
      <c r="AX1350" s="82" t="s">
        <v>13532</v>
      </c>
      <c r="AY1350" s="77"/>
      <c r="AZ1350" s="82" t="s">
        <v>15804</v>
      </c>
      <c r="BA1350" s="82" t="s">
        <v>15804</v>
      </c>
      <c r="BB1350" s="82" t="s">
        <v>15804</v>
      </c>
      <c r="BC1350" s="82" t="s">
        <v>13532</v>
      </c>
      <c r="BD1350" s="82" t="s">
        <v>16378</v>
      </c>
      <c r="BE1350" s="77"/>
      <c r="BF1350" s="77"/>
      <c r="BG1350" s="77"/>
      <c r="BH1350" s="77"/>
      <c r="BI1350" s="77"/>
    </row>
    <row r="1351" spans="1:61" x14ac:dyDescent="0.25">
      <c r="A1351" s="62" t="s">
        <v>648</v>
      </c>
      <c r="B1351" s="62" t="s">
        <v>648</v>
      </c>
      <c r="C1351" s="63"/>
      <c r="D1351" s="64"/>
      <c r="E1351" s="65"/>
      <c r="F1351" s="66"/>
      <c r="G1351" s="63"/>
      <c r="H1351" s="67"/>
      <c r="I1351" s="68"/>
      <c r="J1351" s="68"/>
      <c r="K1351" s="32"/>
      <c r="L1351" s="75">
        <v>1351</v>
      </c>
      <c r="M1351" s="75"/>
      <c r="N1351" s="70"/>
      <c r="O1351" s="77" t="s">
        <v>1132</v>
      </c>
      <c r="P1351" s="79">
        <v>45160.641909722224</v>
      </c>
      <c r="Q1351" s="77" t="s">
        <v>2444</v>
      </c>
      <c r="R1351" s="77">
        <v>0</v>
      </c>
      <c r="S1351" s="77">
        <v>1</v>
      </c>
      <c r="T1351" s="77">
        <v>1</v>
      </c>
      <c r="U1351" s="77">
        <v>0</v>
      </c>
      <c r="V1351" s="77">
        <v>9</v>
      </c>
      <c r="W1351" s="82" t="s">
        <v>5013</v>
      </c>
      <c r="X1351" s="77" t="s">
        <v>5994</v>
      </c>
      <c r="Y1351" s="77" t="s">
        <v>6070</v>
      </c>
      <c r="Z1351" s="77"/>
      <c r="AA1351" s="77"/>
      <c r="AB1351" s="77"/>
      <c r="AC1351" s="82" t="s">
        <v>7706</v>
      </c>
      <c r="AD1351" s="77" t="s">
        <v>7745</v>
      </c>
      <c r="AE1351" s="80" t="str">
        <f>HYPERLINK("https://twitter.com/umpapoqualquer/status/1694007607655080416")</f>
        <v>https://twitter.com/umpapoqualquer/status/1694007607655080416</v>
      </c>
      <c r="AF1351" s="79">
        <v>45160.641909722224</v>
      </c>
      <c r="AG1351" s="85">
        <v>45160</v>
      </c>
      <c r="AH1351" s="82" t="s">
        <v>8958</v>
      </c>
      <c r="AI1351" s="77" t="b">
        <v>0</v>
      </c>
      <c r="AJ1351" s="77"/>
      <c r="AK1351" s="77"/>
      <c r="AL1351" s="77"/>
      <c r="AM1351" s="77"/>
      <c r="AN1351" s="77"/>
      <c r="AO1351" s="77"/>
      <c r="AP1351" s="77"/>
      <c r="AQ1351" s="77"/>
      <c r="AR1351" s="77"/>
      <c r="AS1351" s="77"/>
      <c r="AT1351" s="77"/>
      <c r="AU1351" s="77"/>
      <c r="AV1351" s="80" t="str">
        <f>HYPERLINK("https://pbs.twimg.com/profile_images/1619510813118631936/S-HrIvw-_normal.jpg")</f>
        <v>https://pbs.twimg.com/profile_images/1619510813118631936/S-HrIvw-_normal.jpg</v>
      </c>
      <c r="AW1351" s="82" t="s">
        <v>13533</v>
      </c>
      <c r="AX1351" s="82" t="s">
        <v>15324</v>
      </c>
      <c r="AY1351" s="82" t="s">
        <v>15742</v>
      </c>
      <c r="AZ1351" s="82" t="s">
        <v>15877</v>
      </c>
      <c r="BA1351" s="82" t="s">
        <v>15804</v>
      </c>
      <c r="BB1351" s="82" t="s">
        <v>15804</v>
      </c>
      <c r="BC1351" s="82" t="s">
        <v>15877</v>
      </c>
      <c r="BD1351" s="82" t="s">
        <v>15742</v>
      </c>
      <c r="BE1351" s="77"/>
      <c r="BF1351" s="77"/>
      <c r="BG1351" s="77"/>
      <c r="BH1351" s="77"/>
      <c r="BI1351" s="77"/>
    </row>
    <row r="1352" spans="1:61" x14ac:dyDescent="0.25">
      <c r="A1352" s="62" t="s">
        <v>649</v>
      </c>
      <c r="B1352" s="62" t="s">
        <v>649</v>
      </c>
      <c r="C1352" s="63"/>
      <c r="D1352" s="64"/>
      <c r="E1352" s="65"/>
      <c r="F1352" s="66"/>
      <c r="G1352" s="63"/>
      <c r="H1352" s="67"/>
      <c r="I1352" s="68"/>
      <c r="J1352" s="68"/>
      <c r="K1352" s="32"/>
      <c r="L1352" s="75">
        <v>1352</v>
      </c>
      <c r="M1352" s="75"/>
      <c r="N1352" s="70"/>
      <c r="O1352" s="77" t="s">
        <v>179</v>
      </c>
      <c r="P1352" s="79">
        <v>44966.818981481483</v>
      </c>
      <c r="Q1352" s="77" t="s">
        <v>2445</v>
      </c>
      <c r="R1352" s="77">
        <v>0</v>
      </c>
      <c r="S1352" s="77">
        <v>0</v>
      </c>
      <c r="T1352" s="77">
        <v>0</v>
      </c>
      <c r="U1352" s="77">
        <v>0</v>
      </c>
      <c r="V1352" s="77">
        <v>1</v>
      </c>
      <c r="W1352" s="82" t="s">
        <v>4265</v>
      </c>
      <c r="X1352" s="77" t="s">
        <v>5990</v>
      </c>
      <c r="Y1352" s="77" t="s">
        <v>6018</v>
      </c>
      <c r="Z1352" s="77"/>
      <c r="AA1352" s="77" t="s">
        <v>7008</v>
      </c>
      <c r="AB1352" s="77" t="s">
        <v>7696</v>
      </c>
      <c r="AC1352" s="82" t="s">
        <v>7716</v>
      </c>
      <c r="AD1352" s="77" t="s">
        <v>7745</v>
      </c>
      <c r="AE1352" s="80" t="str">
        <f>HYPERLINK("https://twitter.com/geracao_lider/status/1623768530846994434")</f>
        <v>https://twitter.com/geracao_lider/status/1623768530846994434</v>
      </c>
      <c r="AF1352" s="79">
        <v>44966.818981481483</v>
      </c>
      <c r="AG1352" s="85">
        <v>44966</v>
      </c>
      <c r="AH1352" s="82" t="s">
        <v>8959</v>
      </c>
      <c r="AI1352" s="77" t="b">
        <v>0</v>
      </c>
      <c r="AJ1352" s="77"/>
      <c r="AK1352" s="77"/>
      <c r="AL1352" s="77"/>
      <c r="AM1352" s="77"/>
      <c r="AN1352" s="77"/>
      <c r="AO1352" s="77"/>
      <c r="AP1352" s="77"/>
      <c r="AQ1352" s="77" t="s">
        <v>11515</v>
      </c>
      <c r="AR1352" s="77"/>
      <c r="AS1352" s="77"/>
      <c r="AT1352" s="77"/>
      <c r="AU1352" s="77"/>
      <c r="AV1352" s="80" t="str">
        <f>HYPERLINK("https://pbs.twimg.com/media/FojI35CXwAEL076.jpg")</f>
        <v>https://pbs.twimg.com/media/FojI35CXwAEL076.jpg</v>
      </c>
      <c r="AW1352" s="82" t="s">
        <v>13534</v>
      </c>
      <c r="AX1352" s="82" t="s">
        <v>13534</v>
      </c>
      <c r="AY1352" s="77"/>
      <c r="AZ1352" s="82" t="s">
        <v>15804</v>
      </c>
      <c r="BA1352" s="82" t="s">
        <v>15804</v>
      </c>
      <c r="BB1352" s="82" t="s">
        <v>15804</v>
      </c>
      <c r="BC1352" s="82" t="s">
        <v>13534</v>
      </c>
      <c r="BD1352" s="82" t="s">
        <v>16379</v>
      </c>
      <c r="BE1352" s="77"/>
      <c r="BF1352" s="77"/>
      <c r="BG1352" s="77"/>
      <c r="BH1352" s="77"/>
      <c r="BI1352" s="77"/>
    </row>
    <row r="1353" spans="1:61" x14ac:dyDescent="0.25">
      <c r="A1353" s="62" t="s">
        <v>650</v>
      </c>
      <c r="B1353" s="62" t="s">
        <v>650</v>
      </c>
      <c r="C1353" s="63"/>
      <c r="D1353" s="64"/>
      <c r="E1353" s="65"/>
      <c r="F1353" s="66"/>
      <c r="G1353" s="63"/>
      <c r="H1353" s="67"/>
      <c r="I1353" s="68"/>
      <c r="J1353" s="68"/>
      <c r="K1353" s="32"/>
      <c r="L1353" s="75">
        <v>1353</v>
      </c>
      <c r="M1353" s="75"/>
      <c r="N1353" s="70"/>
      <c r="O1353" s="77" t="s">
        <v>179</v>
      </c>
      <c r="P1353" s="79">
        <v>44938.559305555558</v>
      </c>
      <c r="Q1353" s="77" t="s">
        <v>2446</v>
      </c>
      <c r="R1353" s="77">
        <v>0</v>
      </c>
      <c r="S1353" s="77">
        <v>0</v>
      </c>
      <c r="T1353" s="77">
        <v>0</v>
      </c>
      <c r="U1353" s="77">
        <v>0</v>
      </c>
      <c r="V1353" s="77">
        <v>15</v>
      </c>
      <c r="W1353" s="82" t="s">
        <v>5014</v>
      </c>
      <c r="X1353" s="80" t="str">
        <f>HYPERLINK("https://youtu.be/RDPbxLy5ReE")</f>
        <v>https://youtu.be/RDPbxLy5ReE</v>
      </c>
      <c r="Y1353" s="77" t="s">
        <v>6003</v>
      </c>
      <c r="Z1353" s="77"/>
      <c r="AA1353" s="77" t="s">
        <v>7009</v>
      </c>
      <c r="AB1353" s="77" t="s">
        <v>7697</v>
      </c>
      <c r="AC1353" s="82" t="s">
        <v>7708</v>
      </c>
      <c r="AD1353" s="77" t="s">
        <v>7745</v>
      </c>
      <c r="AE1353" s="80" t="str">
        <f>HYPERLINK("https://twitter.com/fellipelli/status/1613527565142040576")</f>
        <v>https://twitter.com/fellipelli/status/1613527565142040576</v>
      </c>
      <c r="AF1353" s="79">
        <v>44938.559305555558</v>
      </c>
      <c r="AG1353" s="85">
        <v>44938</v>
      </c>
      <c r="AH1353" s="82" t="s">
        <v>8245</v>
      </c>
      <c r="AI1353" s="77" t="b">
        <v>0</v>
      </c>
      <c r="AJ1353" s="77"/>
      <c r="AK1353" s="77"/>
      <c r="AL1353" s="77"/>
      <c r="AM1353" s="77"/>
      <c r="AN1353" s="77"/>
      <c r="AO1353" s="77"/>
      <c r="AP1353" s="77"/>
      <c r="AQ1353" s="77" t="s">
        <v>11516</v>
      </c>
      <c r="AR1353" s="77">
        <v>45979</v>
      </c>
      <c r="AS1353" s="77"/>
      <c r="AT1353" s="77"/>
      <c r="AU1353" s="77">
        <v>4</v>
      </c>
      <c r="AV1353" s="80" t="str">
        <f>HYPERLINK("https://pbs.twimg.com/ext_tw_video_thumb/1613527474918285312/pu/img/KGV1g--KQEjUBysf.jpg")</f>
        <v>https://pbs.twimg.com/ext_tw_video_thumb/1613527474918285312/pu/img/KGV1g--KQEjUBysf.jpg</v>
      </c>
      <c r="AW1353" s="82" t="s">
        <v>13535</v>
      </c>
      <c r="AX1353" s="82" t="s">
        <v>13535</v>
      </c>
      <c r="AY1353" s="77"/>
      <c r="AZ1353" s="82" t="s">
        <v>15804</v>
      </c>
      <c r="BA1353" s="82" t="s">
        <v>15804</v>
      </c>
      <c r="BB1353" s="82" t="s">
        <v>15804</v>
      </c>
      <c r="BC1353" s="82" t="s">
        <v>13535</v>
      </c>
      <c r="BD1353" s="77">
        <v>39051490</v>
      </c>
      <c r="BE1353" s="77"/>
      <c r="BF1353" s="77"/>
      <c r="BG1353" s="77"/>
      <c r="BH1353" s="77"/>
      <c r="BI1353" s="77"/>
    </row>
    <row r="1354" spans="1:61" x14ac:dyDescent="0.25">
      <c r="A1354" s="62" t="s">
        <v>650</v>
      </c>
      <c r="B1354" s="62" t="s">
        <v>650</v>
      </c>
      <c r="C1354" s="63"/>
      <c r="D1354" s="64"/>
      <c r="E1354" s="65"/>
      <c r="F1354" s="66"/>
      <c r="G1354" s="63"/>
      <c r="H1354" s="67"/>
      <c r="I1354" s="68"/>
      <c r="J1354" s="68"/>
      <c r="K1354" s="32"/>
      <c r="L1354" s="75">
        <v>1354</v>
      </c>
      <c r="M1354" s="75"/>
      <c r="N1354" s="70"/>
      <c r="O1354" s="77" t="s">
        <v>179</v>
      </c>
      <c r="P1354" s="79">
        <v>44937.844108796293</v>
      </c>
      <c r="Q1354" s="77" t="s">
        <v>2447</v>
      </c>
      <c r="R1354" s="77">
        <v>0</v>
      </c>
      <c r="S1354" s="77">
        <v>0</v>
      </c>
      <c r="T1354" s="77">
        <v>0</v>
      </c>
      <c r="U1354" s="77">
        <v>0</v>
      </c>
      <c r="V1354" s="77">
        <v>29</v>
      </c>
      <c r="W1354" s="82" t="s">
        <v>5015</v>
      </c>
      <c r="X1354" s="77"/>
      <c r="Y1354" s="77"/>
      <c r="Z1354" s="77"/>
      <c r="AA1354" s="77" t="s">
        <v>7010</v>
      </c>
      <c r="AB1354" s="77" t="s">
        <v>7697</v>
      </c>
      <c r="AC1354" s="82" t="s">
        <v>7708</v>
      </c>
      <c r="AD1354" s="77" t="s">
        <v>7745</v>
      </c>
      <c r="AE1354" s="80" t="str">
        <f>HYPERLINK("https://twitter.com/fellipelli/status/1613268387391479825")</f>
        <v>https://twitter.com/fellipelli/status/1613268387391479825</v>
      </c>
      <c r="AF1354" s="79">
        <v>44937.844108796293</v>
      </c>
      <c r="AG1354" s="85">
        <v>44937</v>
      </c>
      <c r="AH1354" s="82" t="s">
        <v>8960</v>
      </c>
      <c r="AI1354" s="77" t="b">
        <v>0</v>
      </c>
      <c r="AJ1354" s="77"/>
      <c r="AK1354" s="77"/>
      <c r="AL1354" s="77"/>
      <c r="AM1354" s="77"/>
      <c r="AN1354" s="77"/>
      <c r="AO1354" s="77"/>
      <c r="AP1354" s="77"/>
      <c r="AQ1354" s="77" t="s">
        <v>11517</v>
      </c>
      <c r="AR1354" s="77">
        <v>51618</v>
      </c>
      <c r="AS1354" s="77"/>
      <c r="AT1354" s="77"/>
      <c r="AU1354" s="77">
        <v>6</v>
      </c>
      <c r="AV1354" s="80" t="str">
        <f>HYPERLINK("https://pbs.twimg.com/ext_tw_video_thumb/1613268291056705536/pu/img/TZSgxFe1udNTNzx7.jpg")</f>
        <v>https://pbs.twimg.com/ext_tw_video_thumb/1613268291056705536/pu/img/TZSgxFe1udNTNzx7.jpg</v>
      </c>
      <c r="AW1354" s="82" t="s">
        <v>13536</v>
      </c>
      <c r="AX1354" s="82" t="s">
        <v>13536</v>
      </c>
      <c r="AY1354" s="77"/>
      <c r="AZ1354" s="82" t="s">
        <v>15804</v>
      </c>
      <c r="BA1354" s="82" t="s">
        <v>15804</v>
      </c>
      <c r="BB1354" s="82" t="s">
        <v>15804</v>
      </c>
      <c r="BC1354" s="82" t="s">
        <v>13536</v>
      </c>
      <c r="BD1354" s="77">
        <v>39051490</v>
      </c>
      <c r="BE1354" s="77"/>
      <c r="BF1354" s="77"/>
      <c r="BG1354" s="77"/>
      <c r="BH1354" s="77"/>
      <c r="BI1354" s="77"/>
    </row>
    <row r="1355" spans="1:61" x14ac:dyDescent="0.25">
      <c r="A1355" s="62" t="s">
        <v>650</v>
      </c>
      <c r="B1355" s="62" t="s">
        <v>650</v>
      </c>
      <c r="C1355" s="63"/>
      <c r="D1355" s="64"/>
      <c r="E1355" s="65"/>
      <c r="F1355" s="66"/>
      <c r="G1355" s="63"/>
      <c r="H1355" s="67"/>
      <c r="I1355" s="68"/>
      <c r="J1355" s="68"/>
      <c r="K1355" s="32"/>
      <c r="L1355" s="75">
        <v>1355</v>
      </c>
      <c r="M1355" s="75"/>
      <c r="N1355" s="70"/>
      <c r="O1355" s="77" t="s">
        <v>179</v>
      </c>
      <c r="P1355" s="79">
        <v>44936.834305555552</v>
      </c>
      <c r="Q1355" s="77" t="s">
        <v>2448</v>
      </c>
      <c r="R1355" s="77">
        <v>0</v>
      </c>
      <c r="S1355" s="77">
        <v>0</v>
      </c>
      <c r="T1355" s="77">
        <v>0</v>
      </c>
      <c r="U1355" s="77">
        <v>0</v>
      </c>
      <c r="V1355" s="77">
        <v>39</v>
      </c>
      <c r="W1355" s="82" t="s">
        <v>5016</v>
      </c>
      <c r="X1355" s="77"/>
      <c r="Y1355" s="77"/>
      <c r="Z1355" s="77"/>
      <c r="AA1355" s="77" t="s">
        <v>7011</v>
      </c>
      <c r="AB1355" s="77" t="s">
        <v>7697</v>
      </c>
      <c r="AC1355" s="82" t="s">
        <v>7708</v>
      </c>
      <c r="AD1355" s="77" t="s">
        <v>7745</v>
      </c>
      <c r="AE1355" s="80" t="str">
        <f>HYPERLINK("https://twitter.com/fellipelli/status/1612902446115725334")</f>
        <v>https://twitter.com/fellipelli/status/1612902446115725334</v>
      </c>
      <c r="AF1355" s="79">
        <v>44936.834305555552</v>
      </c>
      <c r="AG1355" s="85">
        <v>44936</v>
      </c>
      <c r="AH1355" s="82" t="s">
        <v>8961</v>
      </c>
      <c r="AI1355" s="77" t="b">
        <v>0</v>
      </c>
      <c r="AJ1355" s="77"/>
      <c r="AK1355" s="77"/>
      <c r="AL1355" s="77"/>
      <c r="AM1355" s="77"/>
      <c r="AN1355" s="77"/>
      <c r="AO1355" s="77"/>
      <c r="AP1355" s="77"/>
      <c r="AQ1355" s="77" t="s">
        <v>11518</v>
      </c>
      <c r="AR1355" s="77">
        <v>47247</v>
      </c>
      <c r="AS1355" s="77"/>
      <c r="AT1355" s="77"/>
      <c r="AU1355" s="77">
        <v>8</v>
      </c>
      <c r="AV1355" s="80" t="str">
        <f>HYPERLINK("https://pbs.twimg.com/ext_tw_video_thumb/1612902375836061696/pu/img/BBAD4-Nz7yMnFQFC.jpg")</f>
        <v>https://pbs.twimg.com/ext_tw_video_thumb/1612902375836061696/pu/img/BBAD4-Nz7yMnFQFC.jpg</v>
      </c>
      <c r="AW1355" s="82" t="s">
        <v>13537</v>
      </c>
      <c r="AX1355" s="82" t="s">
        <v>13537</v>
      </c>
      <c r="AY1355" s="77"/>
      <c r="AZ1355" s="82" t="s">
        <v>15804</v>
      </c>
      <c r="BA1355" s="82" t="s">
        <v>15804</v>
      </c>
      <c r="BB1355" s="82" t="s">
        <v>15804</v>
      </c>
      <c r="BC1355" s="82" t="s">
        <v>13537</v>
      </c>
      <c r="BD1355" s="77">
        <v>39051490</v>
      </c>
      <c r="BE1355" s="77"/>
      <c r="BF1355" s="77"/>
      <c r="BG1355" s="77"/>
      <c r="BH1355" s="77"/>
      <c r="BI1355" s="77"/>
    </row>
    <row r="1356" spans="1:61" x14ac:dyDescent="0.25">
      <c r="A1356" s="62" t="s">
        <v>650</v>
      </c>
      <c r="B1356" s="62" t="s">
        <v>650</v>
      </c>
      <c r="C1356" s="63"/>
      <c r="D1356" s="64"/>
      <c r="E1356" s="65"/>
      <c r="F1356" s="66"/>
      <c r="G1356" s="63"/>
      <c r="H1356" s="67"/>
      <c r="I1356" s="68"/>
      <c r="J1356" s="68"/>
      <c r="K1356" s="32"/>
      <c r="L1356" s="75">
        <v>1356</v>
      </c>
      <c r="M1356" s="75"/>
      <c r="N1356" s="70"/>
      <c r="O1356" s="77" t="s">
        <v>179</v>
      </c>
      <c r="P1356" s="79">
        <v>44935.834050925929</v>
      </c>
      <c r="Q1356" s="77" t="s">
        <v>2449</v>
      </c>
      <c r="R1356" s="77">
        <v>0</v>
      </c>
      <c r="S1356" s="77">
        <v>1</v>
      </c>
      <c r="T1356" s="77">
        <v>0</v>
      </c>
      <c r="U1356" s="77">
        <v>0</v>
      </c>
      <c r="V1356" s="77">
        <v>32</v>
      </c>
      <c r="W1356" s="82" t="s">
        <v>5017</v>
      </c>
      <c r="X1356" s="77"/>
      <c r="Y1356" s="77"/>
      <c r="Z1356" s="77"/>
      <c r="AA1356" s="77" t="s">
        <v>7012</v>
      </c>
      <c r="AB1356" s="77" t="s">
        <v>7697</v>
      </c>
      <c r="AC1356" s="82" t="s">
        <v>7708</v>
      </c>
      <c r="AD1356" s="77" t="s">
        <v>7745</v>
      </c>
      <c r="AE1356" s="80" t="str">
        <f>HYPERLINK("https://twitter.com/fellipelli/status/1612539969444220928")</f>
        <v>https://twitter.com/fellipelli/status/1612539969444220928</v>
      </c>
      <c r="AF1356" s="79">
        <v>44935.834050925929</v>
      </c>
      <c r="AG1356" s="85">
        <v>44935</v>
      </c>
      <c r="AH1356" s="82" t="s">
        <v>8508</v>
      </c>
      <c r="AI1356" s="77" t="b">
        <v>0</v>
      </c>
      <c r="AJ1356" s="77"/>
      <c r="AK1356" s="77"/>
      <c r="AL1356" s="77"/>
      <c r="AM1356" s="77"/>
      <c r="AN1356" s="77"/>
      <c r="AO1356" s="77"/>
      <c r="AP1356" s="77"/>
      <c r="AQ1356" s="77" t="s">
        <v>11519</v>
      </c>
      <c r="AR1356" s="77">
        <v>48782</v>
      </c>
      <c r="AS1356" s="77"/>
      <c r="AT1356" s="77"/>
      <c r="AU1356" s="77">
        <v>4</v>
      </c>
      <c r="AV1356" s="80" t="str">
        <f>HYPERLINK("https://pbs.twimg.com/ext_tw_video_thumb/1612539852880216065/pu/img/2bPh9ibubsFyRRdT.jpg")</f>
        <v>https://pbs.twimg.com/ext_tw_video_thumb/1612539852880216065/pu/img/2bPh9ibubsFyRRdT.jpg</v>
      </c>
      <c r="AW1356" s="82" t="s">
        <v>13538</v>
      </c>
      <c r="AX1356" s="82" t="s">
        <v>13538</v>
      </c>
      <c r="AY1356" s="77"/>
      <c r="AZ1356" s="82" t="s">
        <v>15804</v>
      </c>
      <c r="BA1356" s="82" t="s">
        <v>15804</v>
      </c>
      <c r="BB1356" s="82" t="s">
        <v>15804</v>
      </c>
      <c r="BC1356" s="82" t="s">
        <v>13538</v>
      </c>
      <c r="BD1356" s="77">
        <v>39051490</v>
      </c>
      <c r="BE1356" s="77"/>
      <c r="BF1356" s="77"/>
      <c r="BG1356" s="77"/>
      <c r="BH1356" s="77"/>
      <c r="BI1356" s="77"/>
    </row>
    <row r="1357" spans="1:61" x14ac:dyDescent="0.25">
      <c r="A1357" s="62" t="s">
        <v>651</v>
      </c>
      <c r="B1357" s="62" t="s">
        <v>651</v>
      </c>
      <c r="C1357" s="63"/>
      <c r="D1357" s="64"/>
      <c r="E1357" s="65"/>
      <c r="F1357" s="66"/>
      <c r="G1357" s="63"/>
      <c r="H1357" s="67"/>
      <c r="I1357" s="68"/>
      <c r="J1357" s="68"/>
      <c r="K1357" s="32"/>
      <c r="L1357" s="75">
        <v>1357</v>
      </c>
      <c r="M1357" s="75"/>
      <c r="N1357" s="70"/>
      <c r="O1357" s="77" t="s">
        <v>179</v>
      </c>
      <c r="P1357" s="79">
        <v>45051.031759259262</v>
      </c>
      <c r="Q1357" s="77" t="s">
        <v>2450</v>
      </c>
      <c r="R1357" s="77">
        <v>0</v>
      </c>
      <c r="S1357" s="77">
        <v>0</v>
      </c>
      <c r="T1357" s="77">
        <v>0</v>
      </c>
      <c r="U1357" s="77">
        <v>0</v>
      </c>
      <c r="V1357" s="77">
        <v>6</v>
      </c>
      <c r="W1357" s="82" t="s">
        <v>5018</v>
      </c>
      <c r="X1357" s="80" t="str">
        <f>HYPERLINK("https://lnkd.in/drux6WxM")</f>
        <v>https://lnkd.in/drux6WxM</v>
      </c>
      <c r="Y1357" s="77" t="s">
        <v>6014</v>
      </c>
      <c r="Z1357" s="77"/>
      <c r="AA1357" s="77"/>
      <c r="AB1357" s="77"/>
      <c r="AC1357" s="82" t="s">
        <v>7720</v>
      </c>
      <c r="AD1357" s="77" t="s">
        <v>7745</v>
      </c>
      <c r="AE1357" s="80" t="str">
        <f>HYPERLINK("https://twitter.com/josuesilva/status/1654286220074123264")</f>
        <v>https://twitter.com/josuesilva/status/1654286220074123264</v>
      </c>
      <c r="AF1357" s="79">
        <v>45051.031759259262</v>
      </c>
      <c r="AG1357" s="85">
        <v>45051</v>
      </c>
      <c r="AH1357" s="82" t="s">
        <v>8962</v>
      </c>
      <c r="AI1357" s="77" t="b">
        <v>0</v>
      </c>
      <c r="AJ1357" s="77"/>
      <c r="AK1357" s="77"/>
      <c r="AL1357" s="77"/>
      <c r="AM1357" s="77"/>
      <c r="AN1357" s="77"/>
      <c r="AO1357" s="77"/>
      <c r="AP1357" s="77"/>
      <c r="AQ1357" s="77"/>
      <c r="AR1357" s="77"/>
      <c r="AS1357" s="77"/>
      <c r="AT1357" s="77"/>
      <c r="AU1357" s="77"/>
      <c r="AV1357" s="80" t="str">
        <f>HYPERLINK("https://pbs.twimg.com/profile_images/1696001324549091328/KrJpN14R_normal.jpg")</f>
        <v>https://pbs.twimg.com/profile_images/1696001324549091328/KrJpN14R_normal.jpg</v>
      </c>
      <c r="AW1357" s="82" t="s">
        <v>13539</v>
      </c>
      <c r="AX1357" s="82" t="s">
        <v>13539</v>
      </c>
      <c r="AY1357" s="77"/>
      <c r="AZ1357" s="82" t="s">
        <v>15804</v>
      </c>
      <c r="BA1357" s="82" t="s">
        <v>15804</v>
      </c>
      <c r="BB1357" s="82" t="s">
        <v>15804</v>
      </c>
      <c r="BC1357" s="82" t="s">
        <v>13539</v>
      </c>
      <c r="BD1357" s="77">
        <v>38106856</v>
      </c>
      <c r="BE1357" s="77"/>
      <c r="BF1357" s="77"/>
      <c r="BG1357" s="77"/>
      <c r="BH1357" s="77"/>
      <c r="BI1357" s="77"/>
    </row>
    <row r="1358" spans="1:61" x14ac:dyDescent="0.25">
      <c r="A1358" s="62" t="s">
        <v>652</v>
      </c>
      <c r="B1358" s="62" t="s">
        <v>1058</v>
      </c>
      <c r="C1358" s="63"/>
      <c r="D1358" s="64"/>
      <c r="E1358" s="65"/>
      <c r="F1358" s="66"/>
      <c r="G1358" s="63"/>
      <c r="H1358" s="67"/>
      <c r="I1358" s="68"/>
      <c r="J1358" s="68"/>
      <c r="K1358" s="32"/>
      <c r="L1358" s="75">
        <v>1358</v>
      </c>
      <c r="M1358" s="75"/>
      <c r="N1358" s="70"/>
      <c r="O1358" s="77" t="s">
        <v>1133</v>
      </c>
      <c r="P1358" s="79">
        <v>45177.679976851854</v>
      </c>
      <c r="Q1358" s="77" t="s">
        <v>2451</v>
      </c>
      <c r="R1358" s="77">
        <v>0</v>
      </c>
      <c r="S1358" s="77">
        <v>0</v>
      </c>
      <c r="T1358" s="77">
        <v>0</v>
      </c>
      <c r="U1358" s="77">
        <v>0</v>
      </c>
      <c r="V1358" s="77">
        <v>2</v>
      </c>
      <c r="W1358" s="82" t="s">
        <v>4510</v>
      </c>
      <c r="X1358" s="80" t="str">
        <f>HYPERLINK("https://youtube.com/shorts/e9_M2X-hzaU?si=KVMRBoWV5MYhljGA")</f>
        <v>https://youtube.com/shorts/e9_M2X-hzaU?si=KVMRBoWV5MYhljGA</v>
      </c>
      <c r="Y1358" s="77" t="s">
        <v>6006</v>
      </c>
      <c r="Z1358" s="77" t="s">
        <v>1058</v>
      </c>
      <c r="AA1358" s="77"/>
      <c r="AB1358" s="77"/>
      <c r="AC1358" s="82" t="s">
        <v>7706</v>
      </c>
      <c r="AD1358" s="77" t="s">
        <v>7745</v>
      </c>
      <c r="AE1358" s="80" t="str">
        <f>HYPERLINK("https://twitter.com/radunz_carlos/status/1700181994615804080")</f>
        <v>https://twitter.com/radunz_carlos/status/1700181994615804080</v>
      </c>
      <c r="AF1358" s="79">
        <v>45177.679976851854</v>
      </c>
      <c r="AG1358" s="85">
        <v>45177</v>
      </c>
      <c r="AH1358" s="82" t="s">
        <v>8963</v>
      </c>
      <c r="AI1358" s="77" t="b">
        <v>0</v>
      </c>
      <c r="AJ1358" s="77"/>
      <c r="AK1358" s="77"/>
      <c r="AL1358" s="77"/>
      <c r="AM1358" s="77"/>
      <c r="AN1358" s="77"/>
      <c r="AO1358" s="77"/>
      <c r="AP1358" s="77"/>
      <c r="AQ1358" s="77"/>
      <c r="AR1358" s="77"/>
      <c r="AS1358" s="77"/>
      <c r="AT1358" s="77"/>
      <c r="AU1358" s="77"/>
      <c r="AV1358" s="80" t="str">
        <f>HYPERLINK("https://pbs.twimg.com/profile_images/1595427363713650689/rEcoLsTW_normal.jpg")</f>
        <v>https://pbs.twimg.com/profile_images/1595427363713650689/rEcoLsTW_normal.jpg</v>
      </c>
      <c r="AW1358" s="82" t="s">
        <v>13540</v>
      </c>
      <c r="AX1358" s="82" t="s">
        <v>13540</v>
      </c>
      <c r="AY1358" s="77"/>
      <c r="AZ1358" s="82" t="s">
        <v>15804</v>
      </c>
      <c r="BA1358" s="82" t="s">
        <v>15804</v>
      </c>
      <c r="BB1358" s="82" t="s">
        <v>15804</v>
      </c>
      <c r="BC1358" s="82" t="s">
        <v>13540</v>
      </c>
      <c r="BD1358" s="82" t="s">
        <v>16380</v>
      </c>
      <c r="BE1358" s="77"/>
      <c r="BF1358" s="77"/>
      <c r="BG1358" s="77"/>
      <c r="BH1358" s="77"/>
      <c r="BI1358" s="77"/>
    </row>
    <row r="1359" spans="1:61" x14ac:dyDescent="0.25">
      <c r="A1359" s="62" t="s">
        <v>652</v>
      </c>
      <c r="B1359" s="62" t="s">
        <v>1058</v>
      </c>
      <c r="C1359" s="63"/>
      <c r="D1359" s="64"/>
      <c r="E1359" s="65"/>
      <c r="F1359" s="66"/>
      <c r="G1359" s="63"/>
      <c r="H1359" s="67"/>
      <c r="I1359" s="68"/>
      <c r="J1359" s="68"/>
      <c r="K1359" s="32"/>
      <c r="L1359" s="75">
        <v>1359</v>
      </c>
      <c r="M1359" s="75"/>
      <c r="N1359" s="70"/>
      <c r="O1359" s="77" t="s">
        <v>1133</v>
      </c>
      <c r="P1359" s="79">
        <v>45054.964432870373</v>
      </c>
      <c r="Q1359" s="77" t="s">
        <v>2452</v>
      </c>
      <c r="R1359" s="77">
        <v>0</v>
      </c>
      <c r="S1359" s="77">
        <v>0</v>
      </c>
      <c r="T1359" s="77">
        <v>0</v>
      </c>
      <c r="U1359" s="77">
        <v>0</v>
      </c>
      <c r="V1359" s="77">
        <v>1</v>
      </c>
      <c r="W1359" s="82" t="s">
        <v>4097</v>
      </c>
      <c r="X1359" s="80" t="str">
        <f>HYPERLINK("https://youtube.com/shorts/PujbcY5Ms3U?feature=share")</f>
        <v>https://youtube.com/shorts/PujbcY5Ms3U?feature=share</v>
      </c>
      <c r="Y1359" s="77" t="s">
        <v>6006</v>
      </c>
      <c r="Z1359" s="77" t="s">
        <v>1058</v>
      </c>
      <c r="AA1359" s="77"/>
      <c r="AB1359" s="77"/>
      <c r="AC1359" s="82" t="s">
        <v>7706</v>
      </c>
      <c r="AD1359" s="77" t="s">
        <v>7745</v>
      </c>
      <c r="AE1359" s="80" t="str">
        <f>HYPERLINK("https://twitter.com/radunz_carlos/status/1655711370854236161")</f>
        <v>https://twitter.com/radunz_carlos/status/1655711370854236161</v>
      </c>
      <c r="AF1359" s="79">
        <v>45054.964432870373</v>
      </c>
      <c r="AG1359" s="85">
        <v>45054</v>
      </c>
      <c r="AH1359" s="82" t="s">
        <v>8964</v>
      </c>
      <c r="AI1359" s="77" t="b">
        <v>0</v>
      </c>
      <c r="AJ1359" s="77"/>
      <c r="AK1359" s="77"/>
      <c r="AL1359" s="77"/>
      <c r="AM1359" s="77"/>
      <c r="AN1359" s="77"/>
      <c r="AO1359" s="77"/>
      <c r="AP1359" s="77"/>
      <c r="AQ1359" s="77"/>
      <c r="AR1359" s="77"/>
      <c r="AS1359" s="77"/>
      <c r="AT1359" s="77"/>
      <c r="AU1359" s="77"/>
      <c r="AV1359" s="80" t="str">
        <f>HYPERLINK("https://pbs.twimg.com/profile_images/1595427363713650689/rEcoLsTW_normal.jpg")</f>
        <v>https://pbs.twimg.com/profile_images/1595427363713650689/rEcoLsTW_normal.jpg</v>
      </c>
      <c r="AW1359" s="82" t="s">
        <v>13541</v>
      </c>
      <c r="AX1359" s="82" t="s">
        <v>13541</v>
      </c>
      <c r="AY1359" s="77"/>
      <c r="AZ1359" s="82" t="s">
        <v>15804</v>
      </c>
      <c r="BA1359" s="82" t="s">
        <v>15804</v>
      </c>
      <c r="BB1359" s="82" t="s">
        <v>15804</v>
      </c>
      <c r="BC1359" s="82" t="s">
        <v>13541</v>
      </c>
      <c r="BD1359" s="82" t="s">
        <v>16380</v>
      </c>
      <c r="BE1359" s="77"/>
      <c r="BF1359" s="77"/>
      <c r="BG1359" s="77"/>
      <c r="BH1359" s="77"/>
      <c r="BI1359" s="77"/>
    </row>
    <row r="1360" spans="1:61" x14ac:dyDescent="0.25">
      <c r="A1360" s="62" t="s">
        <v>653</v>
      </c>
      <c r="B1360" s="62" t="s">
        <v>1089</v>
      </c>
      <c r="C1360" s="63"/>
      <c r="D1360" s="64"/>
      <c r="E1360" s="65"/>
      <c r="F1360" s="66"/>
      <c r="G1360" s="63"/>
      <c r="H1360" s="67"/>
      <c r="I1360" s="68"/>
      <c r="J1360" s="68"/>
      <c r="K1360" s="32"/>
      <c r="L1360" s="75">
        <v>1360</v>
      </c>
      <c r="M1360" s="75"/>
      <c r="N1360" s="70"/>
      <c r="O1360" s="77" t="s">
        <v>1133</v>
      </c>
      <c r="P1360" s="79">
        <v>45051.011400462965</v>
      </c>
      <c r="Q1360" s="77" t="s">
        <v>2453</v>
      </c>
      <c r="R1360" s="77">
        <v>0</v>
      </c>
      <c r="S1360" s="77">
        <v>2</v>
      </c>
      <c r="T1360" s="77">
        <v>0</v>
      </c>
      <c r="U1360" s="77">
        <v>0</v>
      </c>
      <c r="V1360" s="77">
        <v>111</v>
      </c>
      <c r="W1360" s="82" t="s">
        <v>5019</v>
      </c>
      <c r="X1360" s="77"/>
      <c r="Y1360" s="77"/>
      <c r="Z1360" s="77" t="s">
        <v>1089</v>
      </c>
      <c r="AA1360" s="77" t="s">
        <v>7013</v>
      </c>
      <c r="AB1360" s="77" t="s">
        <v>7696</v>
      </c>
      <c r="AC1360" s="82" t="s">
        <v>7705</v>
      </c>
      <c r="AD1360" s="77" t="s">
        <v>7745</v>
      </c>
      <c r="AE1360" s="80" t="str">
        <f>HYPERLINK("https://twitter.com/niiwopendata/status/1654278840946925576")</f>
        <v>https://twitter.com/niiwopendata/status/1654278840946925576</v>
      </c>
      <c r="AF1360" s="79">
        <v>45051.011400462965</v>
      </c>
      <c r="AG1360" s="85">
        <v>45051</v>
      </c>
      <c r="AH1360" s="82" t="s">
        <v>8965</v>
      </c>
      <c r="AI1360" s="77" t="b">
        <v>0</v>
      </c>
      <c r="AJ1360" s="77"/>
      <c r="AK1360" s="77"/>
      <c r="AL1360" s="77"/>
      <c r="AM1360" s="77"/>
      <c r="AN1360" s="77"/>
      <c r="AO1360" s="77"/>
      <c r="AP1360" s="77"/>
      <c r="AQ1360" s="77" t="s">
        <v>11520</v>
      </c>
      <c r="AR1360" s="77"/>
      <c r="AS1360" s="77"/>
      <c r="AT1360" s="77"/>
      <c r="AU1360" s="77"/>
      <c r="AV1360" s="80" t="str">
        <f>HYPERLINK("https://pbs.twimg.com/media/FvUt1VHXsAAYqWa.jpg")</f>
        <v>https://pbs.twimg.com/media/FvUt1VHXsAAYqWa.jpg</v>
      </c>
      <c r="AW1360" s="82" t="s">
        <v>13542</v>
      </c>
      <c r="AX1360" s="82" t="s">
        <v>13542</v>
      </c>
      <c r="AY1360" s="77"/>
      <c r="AZ1360" s="82" t="s">
        <v>15804</v>
      </c>
      <c r="BA1360" s="82" t="s">
        <v>15804</v>
      </c>
      <c r="BB1360" s="82" t="s">
        <v>15804</v>
      </c>
      <c r="BC1360" s="82" t="s">
        <v>13542</v>
      </c>
      <c r="BD1360" s="82" t="s">
        <v>16381</v>
      </c>
      <c r="BE1360" s="77"/>
      <c r="BF1360" s="77"/>
      <c r="BG1360" s="77"/>
      <c r="BH1360" s="77"/>
      <c r="BI1360" s="77"/>
    </row>
    <row r="1361" spans="1:61" x14ac:dyDescent="0.25">
      <c r="A1361" s="62" t="s">
        <v>653</v>
      </c>
      <c r="B1361" s="62" t="s">
        <v>1090</v>
      </c>
      <c r="C1361" s="63"/>
      <c r="D1361" s="64"/>
      <c r="E1361" s="65"/>
      <c r="F1361" s="66"/>
      <c r="G1361" s="63"/>
      <c r="H1361" s="67"/>
      <c r="I1361" s="68"/>
      <c r="J1361" s="68"/>
      <c r="K1361" s="32"/>
      <c r="L1361" s="75">
        <v>1361</v>
      </c>
      <c r="M1361" s="75"/>
      <c r="N1361" s="70"/>
      <c r="O1361" s="77" t="s">
        <v>1133</v>
      </c>
      <c r="P1361" s="79">
        <v>45050.89371527778</v>
      </c>
      <c r="Q1361" s="77" t="s">
        <v>2454</v>
      </c>
      <c r="R1361" s="77">
        <v>0</v>
      </c>
      <c r="S1361" s="77">
        <v>3</v>
      </c>
      <c r="T1361" s="77">
        <v>1</v>
      </c>
      <c r="U1361" s="77">
        <v>0</v>
      </c>
      <c r="V1361" s="77">
        <v>141</v>
      </c>
      <c r="W1361" s="82" t="s">
        <v>5020</v>
      </c>
      <c r="X1361" s="77"/>
      <c r="Y1361" s="77"/>
      <c r="Z1361" s="77" t="s">
        <v>1090</v>
      </c>
      <c r="AA1361" s="77" t="s">
        <v>7014</v>
      </c>
      <c r="AB1361" s="77" t="s">
        <v>7696</v>
      </c>
      <c r="AC1361" s="82" t="s">
        <v>7705</v>
      </c>
      <c r="AD1361" s="77" t="s">
        <v>7745</v>
      </c>
      <c r="AE1361" s="80" t="str">
        <f>HYPERLINK("https://twitter.com/niiwopendata/status/1654236191913390080")</f>
        <v>https://twitter.com/niiwopendata/status/1654236191913390080</v>
      </c>
      <c r="AF1361" s="79">
        <v>45050.89371527778</v>
      </c>
      <c r="AG1361" s="85">
        <v>45050</v>
      </c>
      <c r="AH1361" s="82" t="s">
        <v>8966</v>
      </c>
      <c r="AI1361" s="77" t="b">
        <v>0</v>
      </c>
      <c r="AJ1361" s="77"/>
      <c r="AK1361" s="77"/>
      <c r="AL1361" s="77"/>
      <c r="AM1361" s="77"/>
      <c r="AN1361" s="77"/>
      <c r="AO1361" s="77"/>
      <c r="AP1361" s="77"/>
      <c r="AQ1361" s="77" t="s">
        <v>11521</v>
      </c>
      <c r="AR1361" s="77"/>
      <c r="AS1361" s="77"/>
      <c r="AT1361" s="77"/>
      <c r="AU1361" s="77"/>
      <c r="AV1361" s="80" t="str">
        <f>HYPERLINK("https://pbs.twimg.com/media/FvUHDBmXoAM4UVW.jpg")</f>
        <v>https://pbs.twimg.com/media/FvUHDBmXoAM4UVW.jpg</v>
      </c>
      <c r="AW1361" s="82" t="s">
        <v>13543</v>
      </c>
      <c r="AX1361" s="82" t="s">
        <v>13543</v>
      </c>
      <c r="AY1361" s="77"/>
      <c r="AZ1361" s="82" t="s">
        <v>15804</v>
      </c>
      <c r="BA1361" s="82" t="s">
        <v>15804</v>
      </c>
      <c r="BB1361" s="82" t="s">
        <v>15804</v>
      </c>
      <c r="BC1361" s="82" t="s">
        <v>13543</v>
      </c>
      <c r="BD1361" s="82" t="s">
        <v>16381</v>
      </c>
      <c r="BE1361" s="77"/>
      <c r="BF1361" s="77"/>
      <c r="BG1361" s="77"/>
      <c r="BH1361" s="77"/>
      <c r="BI1361" s="77"/>
    </row>
    <row r="1362" spans="1:61" x14ac:dyDescent="0.25">
      <c r="A1362" s="62" t="s">
        <v>653</v>
      </c>
      <c r="B1362" s="62" t="s">
        <v>653</v>
      </c>
      <c r="C1362" s="63"/>
      <c r="D1362" s="64"/>
      <c r="E1362" s="65"/>
      <c r="F1362" s="66"/>
      <c r="G1362" s="63"/>
      <c r="H1362" s="67"/>
      <c r="I1362" s="68"/>
      <c r="J1362" s="68"/>
      <c r="K1362" s="32"/>
      <c r="L1362" s="75">
        <v>1362</v>
      </c>
      <c r="M1362" s="75"/>
      <c r="N1362" s="70"/>
      <c r="O1362" s="77" t="s">
        <v>179</v>
      </c>
      <c r="P1362" s="79">
        <v>45051.94462962963</v>
      </c>
      <c r="Q1362" s="77" t="s">
        <v>2455</v>
      </c>
      <c r="R1362" s="77">
        <v>2</v>
      </c>
      <c r="S1362" s="77">
        <v>2</v>
      </c>
      <c r="T1362" s="77">
        <v>0</v>
      </c>
      <c r="U1362" s="77">
        <v>0</v>
      </c>
      <c r="V1362" s="77">
        <v>125</v>
      </c>
      <c r="W1362" s="82" t="s">
        <v>5021</v>
      </c>
      <c r="X1362" s="77"/>
      <c r="Y1362" s="77"/>
      <c r="Z1362" s="77"/>
      <c r="AA1362" s="77" t="s">
        <v>7015</v>
      </c>
      <c r="AB1362" s="77" t="s">
        <v>7697</v>
      </c>
      <c r="AC1362" s="82" t="s">
        <v>7705</v>
      </c>
      <c r="AD1362" s="77" t="s">
        <v>7745</v>
      </c>
      <c r="AE1362" s="80" t="str">
        <f>HYPERLINK("https://twitter.com/niiwopendata/status/1654617033441435650")</f>
        <v>https://twitter.com/niiwopendata/status/1654617033441435650</v>
      </c>
      <c r="AF1362" s="79">
        <v>45051.94462962963</v>
      </c>
      <c r="AG1362" s="85">
        <v>45051</v>
      </c>
      <c r="AH1362" s="82" t="s">
        <v>8967</v>
      </c>
      <c r="AI1362" s="77" t="b">
        <v>0</v>
      </c>
      <c r="AJ1362" s="77"/>
      <c r="AK1362" s="77"/>
      <c r="AL1362" s="77"/>
      <c r="AM1362" s="77"/>
      <c r="AN1362" s="77"/>
      <c r="AO1362" s="77"/>
      <c r="AP1362" s="77"/>
      <c r="AQ1362" s="77" t="s">
        <v>11522</v>
      </c>
      <c r="AR1362" s="77">
        <v>34200</v>
      </c>
      <c r="AS1362" s="77"/>
      <c r="AT1362" s="77"/>
      <c r="AU1362" s="77">
        <v>18</v>
      </c>
      <c r="AV1362" s="80" t="str">
        <f>HYPERLINK("https://pbs.twimg.com/ext_tw_video_thumb/1654616998704234500/pu/img/uM8fCjwoIzRAHGgp.jpg")</f>
        <v>https://pbs.twimg.com/ext_tw_video_thumb/1654616998704234500/pu/img/uM8fCjwoIzRAHGgp.jpg</v>
      </c>
      <c r="AW1362" s="82" t="s">
        <v>13544</v>
      </c>
      <c r="AX1362" s="82" t="s">
        <v>13544</v>
      </c>
      <c r="AY1362" s="77"/>
      <c r="AZ1362" s="82" t="s">
        <v>15804</v>
      </c>
      <c r="BA1362" s="82" t="s">
        <v>15804</v>
      </c>
      <c r="BB1362" s="82" t="s">
        <v>15804</v>
      </c>
      <c r="BC1362" s="82" t="s">
        <v>13544</v>
      </c>
      <c r="BD1362" s="82" t="s">
        <v>16381</v>
      </c>
      <c r="BE1362" s="77"/>
      <c r="BF1362" s="77"/>
      <c r="BG1362" s="77"/>
      <c r="BH1362" s="77"/>
      <c r="BI1362" s="77"/>
    </row>
    <row r="1363" spans="1:61" x14ac:dyDescent="0.25">
      <c r="A1363" s="62" t="s">
        <v>653</v>
      </c>
      <c r="B1363" s="62" t="s">
        <v>653</v>
      </c>
      <c r="C1363" s="63"/>
      <c r="D1363" s="64"/>
      <c r="E1363" s="65"/>
      <c r="F1363" s="66"/>
      <c r="G1363" s="63"/>
      <c r="H1363" s="67"/>
      <c r="I1363" s="68"/>
      <c r="J1363" s="68"/>
      <c r="K1363" s="32"/>
      <c r="L1363" s="75">
        <v>1363</v>
      </c>
      <c r="M1363" s="75"/>
      <c r="N1363" s="70"/>
      <c r="O1363" s="77" t="s">
        <v>179</v>
      </c>
      <c r="P1363" s="79">
        <v>45050.723634259259</v>
      </c>
      <c r="Q1363" s="77" t="s">
        <v>2456</v>
      </c>
      <c r="R1363" s="77">
        <v>0</v>
      </c>
      <c r="S1363" s="77">
        <v>2</v>
      </c>
      <c r="T1363" s="77">
        <v>0</v>
      </c>
      <c r="U1363" s="77">
        <v>0</v>
      </c>
      <c r="V1363" s="77">
        <v>70</v>
      </c>
      <c r="W1363" s="82" t="s">
        <v>5022</v>
      </c>
      <c r="X1363" s="77"/>
      <c r="Y1363" s="77"/>
      <c r="Z1363" s="77"/>
      <c r="AA1363" s="77" t="s">
        <v>7016</v>
      </c>
      <c r="AB1363" s="77" t="s">
        <v>7696</v>
      </c>
      <c r="AC1363" s="82" t="s">
        <v>7705</v>
      </c>
      <c r="AD1363" s="77" t="s">
        <v>7745</v>
      </c>
      <c r="AE1363" s="80" t="str">
        <f>HYPERLINK("https://twitter.com/niiwopendata/status/1654174560189546506")</f>
        <v>https://twitter.com/niiwopendata/status/1654174560189546506</v>
      </c>
      <c r="AF1363" s="79">
        <v>45050.723634259259</v>
      </c>
      <c r="AG1363" s="85">
        <v>45050</v>
      </c>
      <c r="AH1363" s="82" t="s">
        <v>8968</v>
      </c>
      <c r="AI1363" s="77" t="b">
        <v>0</v>
      </c>
      <c r="AJ1363" s="77"/>
      <c r="AK1363" s="77"/>
      <c r="AL1363" s="77"/>
      <c r="AM1363" s="77"/>
      <c r="AN1363" s="77"/>
      <c r="AO1363" s="77"/>
      <c r="AP1363" s="77"/>
      <c r="AQ1363" s="77" t="s">
        <v>11523</v>
      </c>
      <c r="AR1363" s="77"/>
      <c r="AS1363" s="77"/>
      <c r="AT1363" s="77"/>
      <c r="AU1363" s="77"/>
      <c r="AV1363" s="80" t="str">
        <f>HYPERLINK("https://pbs.twimg.com/media/FvTO_gEWABov4aT.jpg")</f>
        <v>https://pbs.twimg.com/media/FvTO_gEWABov4aT.jpg</v>
      </c>
      <c r="AW1363" s="82" t="s">
        <v>13545</v>
      </c>
      <c r="AX1363" s="82" t="s">
        <v>13545</v>
      </c>
      <c r="AY1363" s="77"/>
      <c r="AZ1363" s="82" t="s">
        <v>15804</v>
      </c>
      <c r="BA1363" s="82" t="s">
        <v>15804</v>
      </c>
      <c r="BB1363" s="82" t="s">
        <v>15804</v>
      </c>
      <c r="BC1363" s="82" t="s">
        <v>13545</v>
      </c>
      <c r="BD1363" s="82" t="s">
        <v>16381</v>
      </c>
      <c r="BE1363" s="77"/>
      <c r="BF1363" s="77"/>
      <c r="BG1363" s="77"/>
      <c r="BH1363" s="77"/>
      <c r="BI1363" s="77"/>
    </row>
    <row r="1364" spans="1:61" x14ac:dyDescent="0.25">
      <c r="A1364" s="62" t="s">
        <v>653</v>
      </c>
      <c r="B1364" s="62" t="s">
        <v>653</v>
      </c>
      <c r="C1364" s="63"/>
      <c r="D1364" s="64"/>
      <c r="E1364" s="65"/>
      <c r="F1364" s="66"/>
      <c r="G1364" s="63"/>
      <c r="H1364" s="67"/>
      <c r="I1364" s="68"/>
      <c r="J1364" s="68"/>
      <c r="K1364" s="32"/>
      <c r="L1364" s="75">
        <v>1364</v>
      </c>
      <c r="M1364" s="75"/>
      <c r="N1364" s="70"/>
      <c r="O1364" s="77" t="s">
        <v>179</v>
      </c>
      <c r="P1364" s="79">
        <v>45158.942141203705</v>
      </c>
      <c r="Q1364" s="77" t="s">
        <v>2457</v>
      </c>
      <c r="R1364" s="77">
        <v>0</v>
      </c>
      <c r="S1364" s="77">
        <v>0</v>
      </c>
      <c r="T1364" s="77">
        <v>0</v>
      </c>
      <c r="U1364" s="77">
        <v>0</v>
      </c>
      <c r="V1364" s="77">
        <v>27</v>
      </c>
      <c r="W1364" s="82" t="s">
        <v>5023</v>
      </c>
      <c r="X1364" s="77"/>
      <c r="Y1364" s="77"/>
      <c r="Z1364" s="77"/>
      <c r="AA1364" s="77" t="s">
        <v>7017</v>
      </c>
      <c r="AB1364" s="77" t="s">
        <v>7696</v>
      </c>
      <c r="AC1364" s="82" t="s">
        <v>7705</v>
      </c>
      <c r="AD1364" s="77" t="s">
        <v>7745</v>
      </c>
      <c r="AE1364" s="80" t="str">
        <f>HYPERLINK("https://twitter.com/niiwopendata/status/1693391632639336495")</f>
        <v>https://twitter.com/niiwopendata/status/1693391632639336495</v>
      </c>
      <c r="AF1364" s="79">
        <v>45158.942141203705</v>
      </c>
      <c r="AG1364" s="85">
        <v>45158</v>
      </c>
      <c r="AH1364" s="82" t="s">
        <v>8969</v>
      </c>
      <c r="AI1364" s="77" t="b">
        <v>0</v>
      </c>
      <c r="AJ1364" s="77"/>
      <c r="AK1364" s="77"/>
      <c r="AL1364" s="77"/>
      <c r="AM1364" s="77"/>
      <c r="AN1364" s="77"/>
      <c r="AO1364" s="77"/>
      <c r="AP1364" s="77"/>
      <c r="AQ1364" s="77" t="s">
        <v>11524</v>
      </c>
      <c r="AR1364" s="77"/>
      <c r="AS1364" s="77"/>
      <c r="AT1364" s="77"/>
      <c r="AU1364" s="77"/>
      <c r="AV1364" s="80" t="str">
        <f>HYPERLINK("https://pbs.twimg.com/media/F4AitexXIAAMtpy.jpg")</f>
        <v>https://pbs.twimg.com/media/F4AitexXIAAMtpy.jpg</v>
      </c>
      <c r="AW1364" s="82" t="s">
        <v>13546</v>
      </c>
      <c r="AX1364" s="82" t="s">
        <v>13546</v>
      </c>
      <c r="AY1364" s="77"/>
      <c r="AZ1364" s="82" t="s">
        <v>15804</v>
      </c>
      <c r="BA1364" s="82" t="s">
        <v>15804</v>
      </c>
      <c r="BB1364" s="82" t="s">
        <v>15804</v>
      </c>
      <c r="BC1364" s="82" t="s">
        <v>13546</v>
      </c>
      <c r="BD1364" s="82" t="s">
        <v>16381</v>
      </c>
      <c r="BE1364" s="77"/>
      <c r="BF1364" s="77"/>
      <c r="BG1364" s="77"/>
      <c r="BH1364" s="77"/>
      <c r="BI1364" s="77"/>
    </row>
    <row r="1365" spans="1:61" x14ac:dyDescent="0.25">
      <c r="A1365" s="62" t="s">
        <v>653</v>
      </c>
      <c r="B1365" s="62" t="s">
        <v>653</v>
      </c>
      <c r="C1365" s="63"/>
      <c r="D1365" s="64"/>
      <c r="E1365" s="65"/>
      <c r="F1365" s="66"/>
      <c r="G1365" s="63"/>
      <c r="H1365" s="67"/>
      <c r="I1365" s="68"/>
      <c r="J1365" s="68"/>
      <c r="K1365" s="32"/>
      <c r="L1365" s="75">
        <v>1365</v>
      </c>
      <c r="M1365" s="75"/>
      <c r="N1365" s="70"/>
      <c r="O1365" s="77" t="s">
        <v>179</v>
      </c>
      <c r="P1365" s="79">
        <v>45060.675150462965</v>
      </c>
      <c r="Q1365" s="77" t="s">
        <v>2458</v>
      </c>
      <c r="R1365" s="77">
        <v>0</v>
      </c>
      <c r="S1365" s="77">
        <v>1</v>
      </c>
      <c r="T1365" s="77">
        <v>0</v>
      </c>
      <c r="U1365" s="77">
        <v>0</v>
      </c>
      <c r="V1365" s="77">
        <v>39</v>
      </c>
      <c r="W1365" s="82" t="s">
        <v>5024</v>
      </c>
      <c r="X1365" s="77"/>
      <c r="Y1365" s="77"/>
      <c r="Z1365" s="77"/>
      <c r="AA1365" s="77"/>
      <c r="AB1365" s="77"/>
      <c r="AC1365" s="82" t="s">
        <v>7705</v>
      </c>
      <c r="AD1365" s="77" t="s">
        <v>7745</v>
      </c>
      <c r="AE1365" s="80" t="str">
        <f>HYPERLINK("https://twitter.com/niiwopendata/status/1657780868260196352")</f>
        <v>https://twitter.com/niiwopendata/status/1657780868260196352</v>
      </c>
      <c r="AF1365" s="79">
        <v>45060.675150462965</v>
      </c>
      <c r="AG1365" s="85">
        <v>45060</v>
      </c>
      <c r="AH1365" s="82" t="s">
        <v>8970</v>
      </c>
      <c r="AI1365" s="77"/>
      <c r="AJ1365" s="77"/>
      <c r="AK1365" s="77"/>
      <c r="AL1365" s="77"/>
      <c r="AM1365" s="77"/>
      <c r="AN1365" s="77"/>
      <c r="AO1365" s="77"/>
      <c r="AP1365" s="77"/>
      <c r="AQ1365" s="77"/>
      <c r="AR1365" s="77"/>
      <c r="AS1365" s="77"/>
      <c r="AT1365" s="77"/>
      <c r="AU1365" s="77"/>
      <c r="AV1365" s="80" t="str">
        <f>HYPERLINK("https://pbs.twimg.com/profile_images/1647612059444453381/YzD34cPk_normal.jpg")</f>
        <v>https://pbs.twimg.com/profile_images/1647612059444453381/YzD34cPk_normal.jpg</v>
      </c>
      <c r="AW1365" s="82" t="s">
        <v>13547</v>
      </c>
      <c r="AX1365" s="82" t="s">
        <v>13547</v>
      </c>
      <c r="AY1365" s="77"/>
      <c r="AZ1365" s="82" t="s">
        <v>15804</v>
      </c>
      <c r="BA1365" s="82" t="s">
        <v>15804</v>
      </c>
      <c r="BB1365" s="82" t="s">
        <v>15804</v>
      </c>
      <c r="BC1365" s="82" t="s">
        <v>13547</v>
      </c>
      <c r="BD1365" s="82" t="s">
        <v>16381</v>
      </c>
      <c r="BE1365" s="77"/>
      <c r="BF1365" s="77"/>
      <c r="BG1365" s="77"/>
      <c r="BH1365" s="77"/>
      <c r="BI1365" s="77"/>
    </row>
    <row r="1366" spans="1:61" x14ac:dyDescent="0.25">
      <c r="A1366" s="62" t="s">
        <v>653</v>
      </c>
      <c r="B1366" s="62" t="s">
        <v>653</v>
      </c>
      <c r="C1366" s="63"/>
      <c r="D1366" s="64"/>
      <c r="E1366" s="65"/>
      <c r="F1366" s="66"/>
      <c r="G1366" s="63"/>
      <c r="H1366" s="67"/>
      <c r="I1366" s="68"/>
      <c r="J1366" s="68"/>
      <c r="K1366" s="32"/>
      <c r="L1366" s="75">
        <v>1366</v>
      </c>
      <c r="M1366" s="75"/>
      <c r="N1366" s="70"/>
      <c r="O1366" s="77" t="s">
        <v>179</v>
      </c>
      <c r="P1366" s="79">
        <v>45058.902488425927</v>
      </c>
      <c r="Q1366" s="77" t="s">
        <v>2459</v>
      </c>
      <c r="R1366" s="77">
        <v>0</v>
      </c>
      <c r="S1366" s="77">
        <v>4</v>
      </c>
      <c r="T1366" s="77">
        <v>0</v>
      </c>
      <c r="U1366" s="77">
        <v>0</v>
      </c>
      <c r="V1366" s="77">
        <v>63</v>
      </c>
      <c r="W1366" s="82" t="s">
        <v>5025</v>
      </c>
      <c r="X1366" s="77"/>
      <c r="Y1366" s="77"/>
      <c r="Z1366" s="77"/>
      <c r="AA1366" s="77" t="s">
        <v>7018</v>
      </c>
      <c r="AB1366" s="77" t="s">
        <v>7698</v>
      </c>
      <c r="AC1366" s="82" t="s">
        <v>7705</v>
      </c>
      <c r="AD1366" s="77" t="s">
        <v>7745</v>
      </c>
      <c r="AE1366" s="80" t="str">
        <f>HYPERLINK("https://twitter.com/niiwopendata/status/1657138476008046593")</f>
        <v>https://twitter.com/niiwopendata/status/1657138476008046593</v>
      </c>
      <c r="AF1366" s="79">
        <v>45058.902488425927</v>
      </c>
      <c r="AG1366" s="85">
        <v>45058</v>
      </c>
      <c r="AH1366" s="82" t="s">
        <v>8971</v>
      </c>
      <c r="AI1366" s="77" t="b">
        <v>0</v>
      </c>
      <c r="AJ1366" s="77"/>
      <c r="AK1366" s="77"/>
      <c r="AL1366" s="77"/>
      <c r="AM1366" s="77"/>
      <c r="AN1366" s="77"/>
      <c r="AO1366" s="77"/>
      <c r="AP1366" s="77"/>
      <c r="AQ1366" s="77" t="s">
        <v>11525</v>
      </c>
      <c r="AR1366" s="77"/>
      <c r="AS1366" s="77"/>
      <c r="AT1366" s="77"/>
      <c r="AU1366" s="77"/>
      <c r="AV1366" s="80" t="str">
        <f>HYPERLINK("https://pbs.twimg.com/media/Fv9WpmxXgAA3IzS.jpg")</f>
        <v>https://pbs.twimg.com/media/Fv9WpmxXgAA3IzS.jpg</v>
      </c>
      <c r="AW1366" s="82" t="s">
        <v>13548</v>
      </c>
      <c r="AX1366" s="82" t="s">
        <v>13548</v>
      </c>
      <c r="AY1366" s="77"/>
      <c r="AZ1366" s="82" t="s">
        <v>15804</v>
      </c>
      <c r="BA1366" s="82" t="s">
        <v>15804</v>
      </c>
      <c r="BB1366" s="82" t="s">
        <v>15804</v>
      </c>
      <c r="BC1366" s="82" t="s">
        <v>13548</v>
      </c>
      <c r="BD1366" s="82" t="s">
        <v>16381</v>
      </c>
      <c r="BE1366" s="77"/>
      <c r="BF1366" s="77"/>
      <c r="BG1366" s="77"/>
      <c r="BH1366" s="77"/>
      <c r="BI1366" s="77"/>
    </row>
    <row r="1367" spans="1:61" x14ac:dyDescent="0.25">
      <c r="A1367" s="62" t="s">
        <v>653</v>
      </c>
      <c r="B1367" s="62" t="s">
        <v>653</v>
      </c>
      <c r="C1367" s="63"/>
      <c r="D1367" s="64"/>
      <c r="E1367" s="65"/>
      <c r="F1367" s="66"/>
      <c r="G1367" s="63"/>
      <c r="H1367" s="67"/>
      <c r="I1367" s="68"/>
      <c r="J1367" s="68"/>
      <c r="K1367" s="32"/>
      <c r="L1367" s="75">
        <v>1367</v>
      </c>
      <c r="M1367" s="75"/>
      <c r="N1367" s="70"/>
      <c r="O1367" s="77" t="s">
        <v>179</v>
      </c>
      <c r="P1367" s="79">
        <v>45159.909988425927</v>
      </c>
      <c r="Q1367" s="77" t="s">
        <v>2460</v>
      </c>
      <c r="R1367" s="77">
        <v>0</v>
      </c>
      <c r="S1367" s="77">
        <v>0</v>
      </c>
      <c r="T1367" s="77">
        <v>0</v>
      </c>
      <c r="U1367" s="77">
        <v>0</v>
      </c>
      <c r="V1367" s="77">
        <v>24</v>
      </c>
      <c r="W1367" s="82" t="s">
        <v>5026</v>
      </c>
      <c r="X1367" s="77"/>
      <c r="Y1367" s="77"/>
      <c r="Z1367" s="77"/>
      <c r="AA1367" s="77" t="s">
        <v>7019</v>
      </c>
      <c r="AB1367" s="77" t="s">
        <v>7696</v>
      </c>
      <c r="AC1367" s="82" t="s">
        <v>7705</v>
      </c>
      <c r="AD1367" s="77" t="s">
        <v>7745</v>
      </c>
      <c r="AE1367" s="80" t="str">
        <f>HYPERLINK("https://twitter.com/niiwopendata/status/1693742368095080459")</f>
        <v>https://twitter.com/niiwopendata/status/1693742368095080459</v>
      </c>
      <c r="AF1367" s="79">
        <v>45159.909988425927</v>
      </c>
      <c r="AG1367" s="85">
        <v>45159</v>
      </c>
      <c r="AH1367" s="82" t="s">
        <v>8972</v>
      </c>
      <c r="AI1367" s="77" t="b">
        <v>0</v>
      </c>
      <c r="AJ1367" s="77"/>
      <c r="AK1367" s="77"/>
      <c r="AL1367" s="77"/>
      <c r="AM1367" s="77"/>
      <c r="AN1367" s="77"/>
      <c r="AO1367" s="77"/>
      <c r="AP1367" s="77"/>
      <c r="AQ1367" s="77" t="s">
        <v>11526</v>
      </c>
      <c r="AR1367" s="77"/>
      <c r="AS1367" s="77"/>
      <c r="AT1367" s="77"/>
      <c r="AU1367" s="77"/>
      <c r="AV1367" s="80" t="str">
        <f>HYPERLINK("https://pbs.twimg.com/media/F4FhsjwXUAA0ABI.jpg")</f>
        <v>https://pbs.twimg.com/media/F4FhsjwXUAA0ABI.jpg</v>
      </c>
      <c r="AW1367" s="82" t="s">
        <v>13549</v>
      </c>
      <c r="AX1367" s="82" t="s">
        <v>13549</v>
      </c>
      <c r="AY1367" s="77"/>
      <c r="AZ1367" s="82" t="s">
        <v>15804</v>
      </c>
      <c r="BA1367" s="82" t="s">
        <v>15804</v>
      </c>
      <c r="BB1367" s="82" t="s">
        <v>15804</v>
      </c>
      <c r="BC1367" s="82" t="s">
        <v>13549</v>
      </c>
      <c r="BD1367" s="82" t="s">
        <v>16381</v>
      </c>
      <c r="BE1367" s="77"/>
      <c r="BF1367" s="77"/>
      <c r="BG1367" s="77"/>
      <c r="BH1367" s="77"/>
      <c r="BI1367" s="77"/>
    </row>
    <row r="1368" spans="1:61" x14ac:dyDescent="0.25">
      <c r="A1368" s="62" t="s">
        <v>654</v>
      </c>
      <c r="B1368" s="62" t="s">
        <v>654</v>
      </c>
      <c r="C1368" s="63"/>
      <c r="D1368" s="64"/>
      <c r="E1368" s="65"/>
      <c r="F1368" s="66"/>
      <c r="G1368" s="63"/>
      <c r="H1368" s="67"/>
      <c r="I1368" s="68"/>
      <c r="J1368" s="68"/>
      <c r="K1368" s="32"/>
      <c r="L1368" s="75">
        <v>1368</v>
      </c>
      <c r="M1368" s="75"/>
      <c r="N1368" s="70"/>
      <c r="O1368" s="77" t="s">
        <v>179</v>
      </c>
      <c r="P1368" s="79">
        <v>45113.625578703701</v>
      </c>
      <c r="Q1368" s="77" t="s">
        <v>2461</v>
      </c>
      <c r="R1368" s="77">
        <v>0</v>
      </c>
      <c r="S1368" s="77">
        <v>0</v>
      </c>
      <c r="T1368" s="77">
        <v>0</v>
      </c>
      <c r="U1368" s="77">
        <v>0</v>
      </c>
      <c r="V1368" s="77">
        <v>3</v>
      </c>
      <c r="W1368" s="82" t="s">
        <v>5027</v>
      </c>
      <c r="X1368" s="80" t="str">
        <f>HYPERLINK("https://lp4planejamento.com.br/planejamento-financeiro-para-estudantes-dicas-e-truques/")</f>
        <v>https://lp4planejamento.com.br/planejamento-financeiro-para-estudantes-dicas-e-truques/</v>
      </c>
      <c r="Y1368" s="77" t="s">
        <v>6002</v>
      </c>
      <c r="Z1368" s="77"/>
      <c r="AA1368" s="77" t="s">
        <v>7020</v>
      </c>
      <c r="AB1368" s="77" t="s">
        <v>7696</v>
      </c>
      <c r="AC1368" s="82" t="s">
        <v>7708</v>
      </c>
      <c r="AD1368" s="77" t="s">
        <v>7745</v>
      </c>
      <c r="AE1368" s="80" t="str">
        <f>HYPERLINK("https://twitter.com/lp4planejamento/status/1676969459742035968")</f>
        <v>https://twitter.com/lp4planejamento/status/1676969459742035968</v>
      </c>
      <c r="AF1368" s="79">
        <v>45113.625578703701</v>
      </c>
      <c r="AG1368" s="85">
        <v>45113</v>
      </c>
      <c r="AH1368" s="82" t="s">
        <v>8973</v>
      </c>
      <c r="AI1368" s="77" t="b">
        <v>0</v>
      </c>
      <c r="AJ1368" s="77"/>
      <c r="AK1368" s="77"/>
      <c r="AL1368" s="77"/>
      <c r="AM1368" s="77"/>
      <c r="AN1368" s="77"/>
      <c r="AO1368" s="77"/>
      <c r="AP1368" s="77"/>
      <c r="AQ1368" s="77" t="s">
        <v>11527</v>
      </c>
      <c r="AR1368" s="77"/>
      <c r="AS1368" s="77"/>
      <c r="AT1368" s="77"/>
      <c r="AU1368" s="77"/>
      <c r="AV1368" s="80" t="str">
        <f>HYPERLINK("https://pbs.twimg.com/media/F0XK1fBagAASN-D.jpg")</f>
        <v>https://pbs.twimg.com/media/F0XK1fBagAASN-D.jpg</v>
      </c>
      <c r="AW1368" s="82" t="s">
        <v>13550</v>
      </c>
      <c r="AX1368" s="82" t="s">
        <v>13550</v>
      </c>
      <c r="AY1368" s="77"/>
      <c r="AZ1368" s="82" t="s">
        <v>15804</v>
      </c>
      <c r="BA1368" s="82" t="s">
        <v>15804</v>
      </c>
      <c r="BB1368" s="82" t="s">
        <v>15804</v>
      </c>
      <c r="BC1368" s="82" t="s">
        <v>13550</v>
      </c>
      <c r="BD1368" s="82" t="s">
        <v>16382</v>
      </c>
      <c r="BE1368" s="77"/>
      <c r="BF1368" s="77"/>
      <c r="BG1368" s="77"/>
      <c r="BH1368" s="77"/>
      <c r="BI1368" s="77"/>
    </row>
    <row r="1369" spans="1:61" x14ac:dyDescent="0.25">
      <c r="A1369" s="62" t="s">
        <v>654</v>
      </c>
      <c r="B1369" s="62" t="s">
        <v>654</v>
      </c>
      <c r="C1369" s="63"/>
      <c r="D1369" s="64"/>
      <c r="E1369" s="65"/>
      <c r="F1369" s="66"/>
      <c r="G1369" s="63"/>
      <c r="H1369" s="67"/>
      <c r="I1369" s="68"/>
      <c r="J1369" s="68"/>
      <c r="K1369" s="32"/>
      <c r="L1369" s="75">
        <v>1369</v>
      </c>
      <c r="M1369" s="75"/>
      <c r="N1369" s="70"/>
      <c r="O1369" s="77" t="s">
        <v>179</v>
      </c>
      <c r="P1369" s="79">
        <v>45111.500497685185</v>
      </c>
      <c r="Q1369" s="77" t="s">
        <v>2462</v>
      </c>
      <c r="R1369" s="77">
        <v>0</v>
      </c>
      <c r="S1369" s="77">
        <v>0</v>
      </c>
      <c r="T1369" s="77">
        <v>0</v>
      </c>
      <c r="U1369" s="77">
        <v>0</v>
      </c>
      <c r="V1369" s="77">
        <v>15</v>
      </c>
      <c r="W1369" s="82" t="s">
        <v>5028</v>
      </c>
      <c r="X1369" s="77"/>
      <c r="Y1369" s="77"/>
      <c r="Z1369" s="77"/>
      <c r="AA1369" s="77" t="s">
        <v>7021</v>
      </c>
      <c r="AB1369" s="77" t="s">
        <v>7696</v>
      </c>
      <c r="AC1369" s="82" t="s">
        <v>7708</v>
      </c>
      <c r="AD1369" s="77" t="s">
        <v>7745</v>
      </c>
      <c r="AE1369" s="80" t="str">
        <f>HYPERLINK("https://twitter.com/lp4planejamento/status/1676199356184027137")</f>
        <v>https://twitter.com/lp4planejamento/status/1676199356184027137</v>
      </c>
      <c r="AF1369" s="79">
        <v>45111.500497685185</v>
      </c>
      <c r="AG1369" s="85">
        <v>45111</v>
      </c>
      <c r="AH1369" s="82" t="s">
        <v>8974</v>
      </c>
      <c r="AI1369" s="77" t="b">
        <v>0</v>
      </c>
      <c r="AJ1369" s="77"/>
      <c r="AK1369" s="77"/>
      <c r="AL1369" s="77"/>
      <c r="AM1369" s="77"/>
      <c r="AN1369" s="77"/>
      <c r="AO1369" s="77"/>
      <c r="AP1369" s="77"/>
      <c r="AQ1369" s="77" t="s">
        <v>11528</v>
      </c>
      <c r="AR1369" s="77"/>
      <c r="AS1369" s="77"/>
      <c r="AT1369" s="77"/>
      <c r="AU1369" s="77"/>
      <c r="AV1369" s="80" t="str">
        <f>HYPERLINK("https://pbs.twimg.com/media/F0MObh4WcAEyK-V.jpg")</f>
        <v>https://pbs.twimg.com/media/F0MObh4WcAEyK-V.jpg</v>
      </c>
      <c r="AW1369" s="82" t="s">
        <v>13551</v>
      </c>
      <c r="AX1369" s="82" t="s">
        <v>13551</v>
      </c>
      <c r="AY1369" s="77"/>
      <c r="AZ1369" s="82" t="s">
        <v>15804</v>
      </c>
      <c r="BA1369" s="82" t="s">
        <v>15804</v>
      </c>
      <c r="BB1369" s="82" t="s">
        <v>15804</v>
      </c>
      <c r="BC1369" s="82" t="s">
        <v>13551</v>
      </c>
      <c r="BD1369" s="82" t="s">
        <v>16382</v>
      </c>
      <c r="BE1369" s="77"/>
      <c r="BF1369" s="77"/>
      <c r="BG1369" s="77"/>
      <c r="BH1369" s="77"/>
      <c r="BI1369" s="77"/>
    </row>
    <row r="1370" spans="1:61" x14ac:dyDescent="0.25">
      <c r="A1370" s="62" t="s">
        <v>654</v>
      </c>
      <c r="B1370" s="62" t="s">
        <v>654</v>
      </c>
      <c r="C1370" s="63"/>
      <c r="D1370" s="64"/>
      <c r="E1370" s="65"/>
      <c r="F1370" s="66"/>
      <c r="G1370" s="63"/>
      <c r="H1370" s="67"/>
      <c r="I1370" s="68"/>
      <c r="J1370" s="68"/>
      <c r="K1370" s="32"/>
      <c r="L1370" s="75">
        <v>1370</v>
      </c>
      <c r="M1370" s="75"/>
      <c r="N1370" s="70"/>
      <c r="O1370" s="77" t="s">
        <v>179</v>
      </c>
      <c r="P1370" s="79">
        <v>45120.500520833331</v>
      </c>
      <c r="Q1370" s="77" t="s">
        <v>2463</v>
      </c>
      <c r="R1370" s="77">
        <v>0</v>
      </c>
      <c r="S1370" s="77">
        <v>0</v>
      </c>
      <c r="T1370" s="77">
        <v>0</v>
      </c>
      <c r="U1370" s="77">
        <v>0</v>
      </c>
      <c r="V1370" s="77">
        <v>4</v>
      </c>
      <c r="W1370" s="82" t="s">
        <v>5029</v>
      </c>
      <c r="X1370" s="80" t="str">
        <f>HYPERLINK("https://lp4planejamento.com.br/estrategias-para-reduzir-as-despesas-com-entretenimento/")</f>
        <v>https://lp4planejamento.com.br/estrategias-para-reduzir-as-despesas-com-entretenimento/</v>
      </c>
      <c r="Y1370" s="77" t="s">
        <v>6002</v>
      </c>
      <c r="Z1370" s="77"/>
      <c r="AA1370" s="77" t="s">
        <v>7022</v>
      </c>
      <c r="AB1370" s="77" t="s">
        <v>7696</v>
      </c>
      <c r="AC1370" s="82" t="s">
        <v>7708</v>
      </c>
      <c r="AD1370" s="77" t="s">
        <v>7745</v>
      </c>
      <c r="AE1370" s="80" t="str">
        <f>HYPERLINK("https://twitter.com/lp4planejamento/status/1679460857003008000")</f>
        <v>https://twitter.com/lp4planejamento/status/1679460857003008000</v>
      </c>
      <c r="AF1370" s="79">
        <v>45120.500520833331</v>
      </c>
      <c r="AG1370" s="85">
        <v>45120</v>
      </c>
      <c r="AH1370" s="82" t="s">
        <v>8975</v>
      </c>
      <c r="AI1370" s="77" t="b">
        <v>0</v>
      </c>
      <c r="AJ1370" s="77"/>
      <c r="AK1370" s="77"/>
      <c r="AL1370" s="77"/>
      <c r="AM1370" s="77"/>
      <c r="AN1370" s="77"/>
      <c r="AO1370" s="77"/>
      <c r="AP1370" s="77"/>
      <c r="AQ1370" s="77" t="s">
        <v>11529</v>
      </c>
      <c r="AR1370" s="77"/>
      <c r="AS1370" s="77"/>
      <c r="AT1370" s="77"/>
      <c r="AU1370" s="77"/>
      <c r="AV1370" s="80" t="str">
        <f>HYPERLINK("https://pbs.twimg.com/media/F06kv6CXoAYRYL-.jpg")</f>
        <v>https://pbs.twimg.com/media/F06kv6CXoAYRYL-.jpg</v>
      </c>
      <c r="AW1370" s="82" t="s">
        <v>13552</v>
      </c>
      <c r="AX1370" s="82" t="s">
        <v>13552</v>
      </c>
      <c r="AY1370" s="77"/>
      <c r="AZ1370" s="82" t="s">
        <v>15804</v>
      </c>
      <c r="BA1370" s="82" t="s">
        <v>15804</v>
      </c>
      <c r="BB1370" s="82" t="s">
        <v>15804</v>
      </c>
      <c r="BC1370" s="82" t="s">
        <v>13552</v>
      </c>
      <c r="BD1370" s="82" t="s">
        <v>16382</v>
      </c>
      <c r="BE1370" s="77"/>
      <c r="BF1370" s="77"/>
      <c r="BG1370" s="77"/>
      <c r="BH1370" s="77"/>
      <c r="BI1370" s="77"/>
    </row>
    <row r="1371" spans="1:61" x14ac:dyDescent="0.25">
      <c r="A1371" s="62" t="s">
        <v>654</v>
      </c>
      <c r="B1371" s="62" t="s">
        <v>654</v>
      </c>
      <c r="C1371" s="63"/>
      <c r="D1371" s="64"/>
      <c r="E1371" s="65"/>
      <c r="F1371" s="66"/>
      <c r="G1371" s="63"/>
      <c r="H1371" s="67"/>
      <c r="I1371" s="68"/>
      <c r="J1371" s="68"/>
      <c r="K1371" s="32"/>
      <c r="L1371" s="75">
        <v>1371</v>
      </c>
      <c r="M1371" s="75"/>
      <c r="N1371" s="70"/>
      <c r="O1371" s="77" t="s">
        <v>179</v>
      </c>
      <c r="P1371" s="79">
        <v>45118.819120370368</v>
      </c>
      <c r="Q1371" s="77" t="s">
        <v>2464</v>
      </c>
      <c r="R1371" s="77">
        <v>0</v>
      </c>
      <c r="S1371" s="77">
        <v>0</v>
      </c>
      <c r="T1371" s="77">
        <v>0</v>
      </c>
      <c r="U1371" s="77">
        <v>0</v>
      </c>
      <c r="V1371" s="77">
        <v>9</v>
      </c>
      <c r="W1371" s="82" t="s">
        <v>5030</v>
      </c>
      <c r="X1371" s="80" t="str">
        <f>HYPERLINK("https://lp4planejamento.com.br/heranca-apos-a-reforma-tributaria-o-que-voce-precisa-saber/")</f>
        <v>https://lp4planejamento.com.br/heranca-apos-a-reforma-tributaria-o-que-voce-precisa-saber/</v>
      </c>
      <c r="Y1371" s="77" t="s">
        <v>6002</v>
      </c>
      <c r="Z1371" s="77"/>
      <c r="AA1371" s="77" t="s">
        <v>7023</v>
      </c>
      <c r="AB1371" s="77" t="s">
        <v>7696</v>
      </c>
      <c r="AC1371" s="82" t="s">
        <v>7708</v>
      </c>
      <c r="AD1371" s="77" t="s">
        <v>7745</v>
      </c>
      <c r="AE1371" s="80" t="str">
        <f>HYPERLINK("https://twitter.com/lp4planejamento/status/1678851538217836545")</f>
        <v>https://twitter.com/lp4planejamento/status/1678851538217836545</v>
      </c>
      <c r="AF1371" s="79">
        <v>45118.819120370368</v>
      </c>
      <c r="AG1371" s="85">
        <v>45118</v>
      </c>
      <c r="AH1371" s="82" t="s">
        <v>8976</v>
      </c>
      <c r="AI1371" s="77" t="b">
        <v>0</v>
      </c>
      <c r="AJ1371" s="77"/>
      <c r="AK1371" s="77"/>
      <c r="AL1371" s="77"/>
      <c r="AM1371" s="77"/>
      <c r="AN1371" s="77"/>
      <c r="AO1371" s="77"/>
      <c r="AP1371" s="77"/>
      <c r="AQ1371" s="77" t="s">
        <v>11530</v>
      </c>
      <c r="AR1371" s="77"/>
      <c r="AS1371" s="77"/>
      <c r="AT1371" s="77"/>
      <c r="AU1371" s="77"/>
      <c r="AV1371" s="80" t="str">
        <f>HYPERLINK("https://pbs.twimg.com/media/F0x6k7pX0AAT9dG.jpg")</f>
        <v>https://pbs.twimg.com/media/F0x6k7pX0AAT9dG.jpg</v>
      </c>
      <c r="AW1371" s="82" t="s">
        <v>13553</v>
      </c>
      <c r="AX1371" s="82" t="s">
        <v>13553</v>
      </c>
      <c r="AY1371" s="77"/>
      <c r="AZ1371" s="82" t="s">
        <v>15804</v>
      </c>
      <c r="BA1371" s="82" t="s">
        <v>15804</v>
      </c>
      <c r="BB1371" s="82" t="s">
        <v>15804</v>
      </c>
      <c r="BC1371" s="82" t="s">
        <v>13553</v>
      </c>
      <c r="BD1371" s="82" t="s">
        <v>16382</v>
      </c>
      <c r="BE1371" s="77"/>
      <c r="BF1371" s="77"/>
      <c r="BG1371" s="77"/>
      <c r="BH1371" s="77"/>
      <c r="BI1371" s="77"/>
    </row>
    <row r="1372" spans="1:61" x14ac:dyDescent="0.25">
      <c r="A1372" s="62" t="s">
        <v>654</v>
      </c>
      <c r="B1372" s="62" t="s">
        <v>654</v>
      </c>
      <c r="C1372" s="63"/>
      <c r="D1372" s="64"/>
      <c r="E1372" s="65"/>
      <c r="F1372" s="66"/>
      <c r="G1372" s="63"/>
      <c r="H1372" s="67"/>
      <c r="I1372" s="68"/>
      <c r="J1372" s="68"/>
      <c r="K1372" s="32"/>
      <c r="L1372" s="75">
        <v>1372</v>
      </c>
      <c r="M1372" s="75"/>
      <c r="N1372" s="70"/>
      <c r="O1372" s="77" t="s">
        <v>179</v>
      </c>
      <c r="P1372" s="79">
        <v>45117.636284722219</v>
      </c>
      <c r="Q1372" s="77" t="s">
        <v>2465</v>
      </c>
      <c r="R1372" s="77">
        <v>0</v>
      </c>
      <c r="S1372" s="77">
        <v>0</v>
      </c>
      <c r="T1372" s="77">
        <v>0</v>
      </c>
      <c r="U1372" s="77">
        <v>0</v>
      </c>
      <c r="V1372" s="77">
        <v>23</v>
      </c>
      <c r="W1372" s="82" t="s">
        <v>5031</v>
      </c>
      <c r="X1372" s="77"/>
      <c r="Y1372" s="77"/>
      <c r="Z1372" s="77"/>
      <c r="AA1372" s="77" t="s">
        <v>7024</v>
      </c>
      <c r="AB1372" s="77" t="s">
        <v>7696</v>
      </c>
      <c r="AC1372" s="82" t="s">
        <v>7708</v>
      </c>
      <c r="AD1372" s="77" t="s">
        <v>7745</v>
      </c>
      <c r="AE1372" s="80" t="str">
        <f>HYPERLINK("https://twitter.com/lp4planejamento/status/1678422891354812416")</f>
        <v>https://twitter.com/lp4planejamento/status/1678422891354812416</v>
      </c>
      <c r="AF1372" s="79">
        <v>45117.636284722219</v>
      </c>
      <c r="AG1372" s="85">
        <v>45117</v>
      </c>
      <c r="AH1372" s="82" t="s">
        <v>8977</v>
      </c>
      <c r="AI1372" s="77" t="b">
        <v>0</v>
      </c>
      <c r="AJ1372" s="77"/>
      <c r="AK1372" s="77"/>
      <c r="AL1372" s="77"/>
      <c r="AM1372" s="77"/>
      <c r="AN1372" s="77"/>
      <c r="AO1372" s="77"/>
      <c r="AP1372" s="77"/>
      <c r="AQ1372" s="77" t="s">
        <v>11531</v>
      </c>
      <c r="AR1372" s="77"/>
      <c r="AS1372" s="77"/>
      <c r="AT1372" s="77"/>
      <c r="AU1372" s="77"/>
      <c r="AV1372" s="80" t="str">
        <f>HYPERLINK("https://pbs.twimg.com/media/F0r0uVjXwAIPE6l.jpg")</f>
        <v>https://pbs.twimg.com/media/F0r0uVjXwAIPE6l.jpg</v>
      </c>
      <c r="AW1372" s="82" t="s">
        <v>13554</v>
      </c>
      <c r="AX1372" s="82" t="s">
        <v>13554</v>
      </c>
      <c r="AY1372" s="77"/>
      <c r="AZ1372" s="82" t="s">
        <v>15804</v>
      </c>
      <c r="BA1372" s="82" t="s">
        <v>15804</v>
      </c>
      <c r="BB1372" s="82" t="s">
        <v>15804</v>
      </c>
      <c r="BC1372" s="82" t="s">
        <v>13554</v>
      </c>
      <c r="BD1372" s="82" t="s">
        <v>16382</v>
      </c>
      <c r="BE1372" s="77"/>
      <c r="BF1372" s="77"/>
      <c r="BG1372" s="77"/>
      <c r="BH1372" s="77"/>
      <c r="BI1372" s="77"/>
    </row>
    <row r="1373" spans="1:61" x14ac:dyDescent="0.25">
      <c r="A1373" s="62" t="s">
        <v>654</v>
      </c>
      <c r="B1373" s="62" t="s">
        <v>654</v>
      </c>
      <c r="C1373" s="63"/>
      <c r="D1373" s="64"/>
      <c r="E1373" s="65"/>
      <c r="F1373" s="66"/>
      <c r="G1373" s="63"/>
      <c r="H1373" s="67"/>
      <c r="I1373" s="68"/>
      <c r="J1373" s="68"/>
      <c r="K1373" s="32"/>
      <c r="L1373" s="75">
        <v>1373</v>
      </c>
      <c r="M1373" s="75"/>
      <c r="N1373" s="70"/>
      <c r="O1373" s="77" t="s">
        <v>179</v>
      </c>
      <c r="P1373" s="79">
        <v>45125.807754629626</v>
      </c>
      <c r="Q1373" s="77" t="s">
        <v>2466</v>
      </c>
      <c r="R1373" s="77">
        <v>0</v>
      </c>
      <c r="S1373" s="77">
        <v>0</v>
      </c>
      <c r="T1373" s="77">
        <v>0</v>
      </c>
      <c r="U1373" s="77">
        <v>0</v>
      </c>
      <c r="V1373" s="77">
        <v>8</v>
      </c>
      <c r="W1373" s="82" t="s">
        <v>5032</v>
      </c>
      <c r="X1373" s="77"/>
      <c r="Y1373" s="77"/>
      <c r="Z1373" s="77"/>
      <c r="AA1373" s="77" t="s">
        <v>7025</v>
      </c>
      <c r="AB1373" s="77" t="s">
        <v>7696</v>
      </c>
      <c r="AC1373" s="82" t="s">
        <v>7708</v>
      </c>
      <c r="AD1373" s="77" t="s">
        <v>7745</v>
      </c>
      <c r="AE1373" s="80" t="str">
        <f>HYPERLINK("https://twitter.com/lp4planejamento/status/1681384133518401536")</f>
        <v>https://twitter.com/lp4planejamento/status/1681384133518401536</v>
      </c>
      <c r="AF1373" s="79">
        <v>45125.807754629626</v>
      </c>
      <c r="AG1373" s="85">
        <v>45125</v>
      </c>
      <c r="AH1373" s="82" t="s">
        <v>8978</v>
      </c>
      <c r="AI1373" s="77" t="b">
        <v>0</v>
      </c>
      <c r="AJ1373" s="77"/>
      <c r="AK1373" s="77"/>
      <c r="AL1373" s="77"/>
      <c r="AM1373" s="77"/>
      <c r="AN1373" s="77"/>
      <c r="AO1373" s="77"/>
      <c r="AP1373" s="77"/>
      <c r="AQ1373" s="77" t="s">
        <v>11532</v>
      </c>
      <c r="AR1373" s="77"/>
      <c r="AS1373" s="77"/>
      <c r="AT1373" s="77"/>
      <c r="AU1373" s="77"/>
      <c r="AV1373" s="80" t="str">
        <f>HYPERLINK("https://pbs.twimg.com/media/F1V59WxWAAoO64s.jpg")</f>
        <v>https://pbs.twimg.com/media/F1V59WxWAAoO64s.jpg</v>
      </c>
      <c r="AW1373" s="82" t="s">
        <v>13555</v>
      </c>
      <c r="AX1373" s="82" t="s">
        <v>13555</v>
      </c>
      <c r="AY1373" s="77"/>
      <c r="AZ1373" s="82" t="s">
        <v>15804</v>
      </c>
      <c r="BA1373" s="82" t="s">
        <v>15804</v>
      </c>
      <c r="BB1373" s="82" t="s">
        <v>15804</v>
      </c>
      <c r="BC1373" s="82" t="s">
        <v>13555</v>
      </c>
      <c r="BD1373" s="82" t="s">
        <v>16382</v>
      </c>
      <c r="BE1373" s="77"/>
      <c r="BF1373" s="77"/>
      <c r="BG1373" s="77"/>
      <c r="BH1373" s="77"/>
      <c r="BI1373" s="77"/>
    </row>
    <row r="1374" spans="1:61" x14ac:dyDescent="0.25">
      <c r="A1374" s="62" t="s">
        <v>654</v>
      </c>
      <c r="B1374" s="62" t="s">
        <v>654</v>
      </c>
      <c r="C1374" s="63"/>
      <c r="D1374" s="64"/>
      <c r="E1374" s="65"/>
      <c r="F1374" s="66"/>
      <c r="G1374" s="63"/>
      <c r="H1374" s="67"/>
      <c r="I1374" s="68"/>
      <c r="J1374" s="68"/>
      <c r="K1374" s="32"/>
      <c r="L1374" s="75">
        <v>1374</v>
      </c>
      <c r="M1374" s="75"/>
      <c r="N1374" s="70"/>
      <c r="O1374" s="77" t="s">
        <v>179</v>
      </c>
      <c r="P1374" s="79">
        <v>45106.500486111108</v>
      </c>
      <c r="Q1374" s="77" t="s">
        <v>2467</v>
      </c>
      <c r="R1374" s="77">
        <v>0</v>
      </c>
      <c r="S1374" s="77">
        <v>0</v>
      </c>
      <c r="T1374" s="77">
        <v>0</v>
      </c>
      <c r="U1374" s="77">
        <v>0</v>
      </c>
      <c r="V1374" s="77">
        <v>24</v>
      </c>
      <c r="W1374" s="82" t="s">
        <v>5033</v>
      </c>
      <c r="X1374" s="77"/>
      <c r="Y1374" s="77"/>
      <c r="Z1374" s="77"/>
      <c r="AA1374" s="77" t="s">
        <v>7026</v>
      </c>
      <c r="AB1374" s="77" t="s">
        <v>7696</v>
      </c>
      <c r="AC1374" s="82" t="s">
        <v>7708</v>
      </c>
      <c r="AD1374" s="77" t="s">
        <v>7745</v>
      </c>
      <c r="AE1374" s="80" t="str">
        <f>HYPERLINK("https://twitter.com/lp4planejamento/status/1674387414104539136")</f>
        <v>https://twitter.com/lp4planejamento/status/1674387414104539136</v>
      </c>
      <c r="AF1374" s="79">
        <v>45106.500486111108</v>
      </c>
      <c r="AG1374" s="85">
        <v>45106</v>
      </c>
      <c r="AH1374" s="82" t="s">
        <v>8979</v>
      </c>
      <c r="AI1374" s="77" t="b">
        <v>0</v>
      </c>
      <c r="AJ1374" s="77"/>
      <c r="AK1374" s="77"/>
      <c r="AL1374" s="77"/>
      <c r="AM1374" s="77"/>
      <c r="AN1374" s="77"/>
      <c r="AO1374" s="77"/>
      <c r="AP1374" s="77"/>
      <c r="AQ1374" s="77" t="s">
        <v>11533</v>
      </c>
      <c r="AR1374" s="77"/>
      <c r="AS1374" s="77"/>
      <c r="AT1374" s="77"/>
      <c r="AU1374" s="77"/>
      <c r="AV1374" s="80" t="str">
        <f>HYPERLINK("https://pbs.twimg.com/media/FzyeesDWcAcWXEd.jpg")</f>
        <v>https://pbs.twimg.com/media/FzyeesDWcAcWXEd.jpg</v>
      </c>
      <c r="AW1374" s="82" t="s">
        <v>13556</v>
      </c>
      <c r="AX1374" s="82" t="s">
        <v>13556</v>
      </c>
      <c r="AY1374" s="77"/>
      <c r="AZ1374" s="82" t="s">
        <v>15804</v>
      </c>
      <c r="BA1374" s="82" t="s">
        <v>15804</v>
      </c>
      <c r="BB1374" s="82" t="s">
        <v>15804</v>
      </c>
      <c r="BC1374" s="82" t="s">
        <v>13556</v>
      </c>
      <c r="BD1374" s="82" t="s">
        <v>16382</v>
      </c>
      <c r="BE1374" s="77"/>
      <c r="BF1374" s="77"/>
      <c r="BG1374" s="77"/>
      <c r="BH1374" s="77"/>
      <c r="BI1374" s="77"/>
    </row>
    <row r="1375" spans="1:61" x14ac:dyDescent="0.25">
      <c r="A1375" s="62" t="s">
        <v>654</v>
      </c>
      <c r="B1375" s="62" t="s">
        <v>654</v>
      </c>
      <c r="C1375" s="63"/>
      <c r="D1375" s="64"/>
      <c r="E1375" s="65"/>
      <c r="F1375" s="66"/>
      <c r="G1375" s="63"/>
      <c r="H1375" s="67"/>
      <c r="I1375" s="68"/>
      <c r="J1375" s="68"/>
      <c r="K1375" s="32"/>
      <c r="L1375" s="75">
        <v>1375</v>
      </c>
      <c r="M1375" s="75"/>
      <c r="N1375" s="70"/>
      <c r="O1375" s="77" t="s">
        <v>179</v>
      </c>
      <c r="P1375" s="79">
        <v>45126.660486111112</v>
      </c>
      <c r="Q1375" s="77" t="s">
        <v>2468</v>
      </c>
      <c r="R1375" s="77">
        <v>0</v>
      </c>
      <c r="S1375" s="77">
        <v>0</v>
      </c>
      <c r="T1375" s="77">
        <v>0</v>
      </c>
      <c r="U1375" s="77">
        <v>0</v>
      </c>
      <c r="V1375" s="77">
        <v>3</v>
      </c>
      <c r="W1375" s="82" t="s">
        <v>5034</v>
      </c>
      <c r="X1375" s="80" t="str">
        <f>HYPERLINK("https://lp4planejamento.com.br/planejamento-financeiro-para-pais-solteiros/")</f>
        <v>https://lp4planejamento.com.br/planejamento-financeiro-para-pais-solteiros/</v>
      </c>
      <c r="Y1375" s="77" t="s">
        <v>6002</v>
      </c>
      <c r="Z1375" s="77"/>
      <c r="AA1375" s="77" t="s">
        <v>7027</v>
      </c>
      <c r="AB1375" s="77" t="s">
        <v>7696</v>
      </c>
      <c r="AC1375" s="82" t="s">
        <v>7708</v>
      </c>
      <c r="AD1375" s="77" t="s">
        <v>7745</v>
      </c>
      <c r="AE1375" s="80" t="str">
        <f>HYPERLINK("https://twitter.com/lp4planejamento/status/1681693154322403329")</f>
        <v>https://twitter.com/lp4planejamento/status/1681693154322403329</v>
      </c>
      <c r="AF1375" s="79">
        <v>45126.660486111112</v>
      </c>
      <c r="AG1375" s="85">
        <v>45126</v>
      </c>
      <c r="AH1375" s="82" t="s">
        <v>8980</v>
      </c>
      <c r="AI1375" s="77" t="b">
        <v>0</v>
      </c>
      <c r="AJ1375" s="77"/>
      <c r="AK1375" s="77"/>
      <c r="AL1375" s="77"/>
      <c r="AM1375" s="77"/>
      <c r="AN1375" s="77"/>
      <c r="AO1375" s="77"/>
      <c r="AP1375" s="77"/>
      <c r="AQ1375" s="77" t="s">
        <v>11534</v>
      </c>
      <c r="AR1375" s="77"/>
      <c r="AS1375" s="77"/>
      <c r="AT1375" s="77"/>
      <c r="AU1375" s="77"/>
      <c r="AV1375" s="80" t="str">
        <f>HYPERLINK("https://pbs.twimg.com/media/F1aTAuDWYAAFYOo.jpg")</f>
        <v>https://pbs.twimg.com/media/F1aTAuDWYAAFYOo.jpg</v>
      </c>
      <c r="AW1375" s="82" t="s">
        <v>13557</v>
      </c>
      <c r="AX1375" s="82" t="s">
        <v>13557</v>
      </c>
      <c r="AY1375" s="77"/>
      <c r="AZ1375" s="82" t="s">
        <v>15804</v>
      </c>
      <c r="BA1375" s="82" t="s">
        <v>15804</v>
      </c>
      <c r="BB1375" s="82" t="s">
        <v>15804</v>
      </c>
      <c r="BC1375" s="82" t="s">
        <v>13557</v>
      </c>
      <c r="BD1375" s="82" t="s">
        <v>16382</v>
      </c>
      <c r="BE1375" s="77"/>
      <c r="BF1375" s="77"/>
      <c r="BG1375" s="77"/>
      <c r="BH1375" s="77"/>
      <c r="BI1375" s="77"/>
    </row>
    <row r="1376" spans="1:61" x14ac:dyDescent="0.25">
      <c r="A1376" s="62" t="s">
        <v>655</v>
      </c>
      <c r="B1376" s="62" t="s">
        <v>655</v>
      </c>
      <c r="C1376" s="63"/>
      <c r="D1376" s="64"/>
      <c r="E1376" s="65"/>
      <c r="F1376" s="66"/>
      <c r="G1376" s="63"/>
      <c r="H1376" s="67"/>
      <c r="I1376" s="68"/>
      <c r="J1376" s="68"/>
      <c r="K1376" s="32"/>
      <c r="L1376" s="75">
        <v>1376</v>
      </c>
      <c r="M1376" s="75"/>
      <c r="N1376" s="70"/>
      <c r="O1376" s="77" t="s">
        <v>1132</v>
      </c>
      <c r="P1376" s="79">
        <v>44936.543541666666</v>
      </c>
      <c r="Q1376" s="77" t="s">
        <v>2469</v>
      </c>
      <c r="R1376" s="77">
        <v>0</v>
      </c>
      <c r="S1376" s="77">
        <v>1</v>
      </c>
      <c r="T1376" s="77">
        <v>0</v>
      </c>
      <c r="U1376" s="77">
        <v>0</v>
      </c>
      <c r="V1376" s="77">
        <v>12</v>
      </c>
      <c r="W1376" s="82" t="s">
        <v>5035</v>
      </c>
      <c r="X1376" s="77"/>
      <c r="Y1376" s="77"/>
      <c r="Z1376" s="77"/>
      <c r="AA1376" s="77"/>
      <c r="AB1376" s="77"/>
      <c r="AC1376" s="82" t="s">
        <v>7706</v>
      </c>
      <c r="AD1376" s="77" t="s">
        <v>7748</v>
      </c>
      <c r="AE1376" s="80" t="str">
        <f>HYPERLINK("https://twitter.com/bancosemear/status/1612797080493326337")</f>
        <v>https://twitter.com/bancosemear/status/1612797080493326337</v>
      </c>
      <c r="AF1376" s="79">
        <v>44936.543541666666</v>
      </c>
      <c r="AG1376" s="85">
        <v>44936</v>
      </c>
      <c r="AH1376" s="82" t="s">
        <v>8981</v>
      </c>
      <c r="AI1376" s="77"/>
      <c r="AJ1376" s="77"/>
      <c r="AK1376" s="77"/>
      <c r="AL1376" s="77"/>
      <c r="AM1376" s="77"/>
      <c r="AN1376" s="77"/>
      <c r="AO1376" s="77"/>
      <c r="AP1376" s="77"/>
      <c r="AQ1376" s="77"/>
      <c r="AR1376" s="77"/>
      <c r="AS1376" s="77"/>
      <c r="AT1376" s="77"/>
      <c r="AU1376" s="77"/>
      <c r="AV1376" s="80" t="str">
        <f>HYPERLINK("https://pbs.twimg.com/profile_images/1697656740836225024/0SMBSQrt_normal.jpg")</f>
        <v>https://pbs.twimg.com/profile_images/1697656740836225024/0SMBSQrt_normal.jpg</v>
      </c>
      <c r="AW1376" s="82" t="s">
        <v>13558</v>
      </c>
      <c r="AX1376" s="82" t="s">
        <v>15325</v>
      </c>
      <c r="AY1376" s="82" t="s">
        <v>15743</v>
      </c>
      <c r="AZ1376" s="82" t="s">
        <v>15878</v>
      </c>
      <c r="BA1376" s="82" t="s">
        <v>15804</v>
      </c>
      <c r="BB1376" s="82" t="s">
        <v>15804</v>
      </c>
      <c r="BC1376" s="82" t="s">
        <v>15878</v>
      </c>
      <c r="BD1376" s="77">
        <v>171187241</v>
      </c>
      <c r="BE1376" s="77"/>
      <c r="BF1376" s="77"/>
      <c r="BG1376" s="77"/>
      <c r="BH1376" s="77"/>
      <c r="BI1376" s="77"/>
    </row>
    <row r="1377" spans="1:61" x14ac:dyDescent="0.25">
      <c r="A1377" s="62" t="s">
        <v>655</v>
      </c>
      <c r="B1377" s="62" t="s">
        <v>655</v>
      </c>
      <c r="C1377" s="63"/>
      <c r="D1377" s="64"/>
      <c r="E1377" s="65"/>
      <c r="F1377" s="66"/>
      <c r="G1377" s="63"/>
      <c r="H1377" s="67"/>
      <c r="I1377" s="68"/>
      <c r="J1377" s="68"/>
      <c r="K1377" s="32"/>
      <c r="L1377" s="75">
        <v>1377</v>
      </c>
      <c r="M1377" s="75"/>
      <c r="N1377" s="70"/>
      <c r="O1377" s="77" t="s">
        <v>1132</v>
      </c>
      <c r="P1377" s="79">
        <v>45000.534421296295</v>
      </c>
      <c r="Q1377" s="77" t="s">
        <v>2470</v>
      </c>
      <c r="R1377" s="77">
        <v>0</v>
      </c>
      <c r="S1377" s="77">
        <v>0</v>
      </c>
      <c r="T1377" s="77">
        <v>0</v>
      </c>
      <c r="U1377" s="77">
        <v>0</v>
      </c>
      <c r="V1377" s="77">
        <v>16</v>
      </c>
      <c r="W1377" s="82" t="s">
        <v>5036</v>
      </c>
      <c r="X1377" s="77"/>
      <c r="Y1377" s="77"/>
      <c r="Z1377" s="77"/>
      <c r="AA1377" s="77"/>
      <c r="AB1377" s="77"/>
      <c r="AC1377" s="82" t="s">
        <v>7706</v>
      </c>
      <c r="AD1377" s="77" t="s">
        <v>7745</v>
      </c>
      <c r="AE1377" s="80" t="str">
        <f>HYPERLINK("https://twitter.com/bancosemear/status/1635986597819695104")</f>
        <v>https://twitter.com/bancosemear/status/1635986597819695104</v>
      </c>
      <c r="AF1377" s="79">
        <v>45000.534421296295</v>
      </c>
      <c r="AG1377" s="85">
        <v>45000</v>
      </c>
      <c r="AH1377" s="82" t="s">
        <v>8982</v>
      </c>
      <c r="AI1377" s="77"/>
      <c r="AJ1377" s="77"/>
      <c r="AK1377" s="77"/>
      <c r="AL1377" s="77"/>
      <c r="AM1377" s="77"/>
      <c r="AN1377" s="77"/>
      <c r="AO1377" s="77"/>
      <c r="AP1377" s="77"/>
      <c r="AQ1377" s="77"/>
      <c r="AR1377" s="77"/>
      <c r="AS1377" s="77"/>
      <c r="AT1377" s="77"/>
      <c r="AU1377" s="77"/>
      <c r="AV1377" s="80" t="str">
        <f>HYPERLINK("https://pbs.twimg.com/profile_images/1697656740836225024/0SMBSQrt_normal.jpg")</f>
        <v>https://pbs.twimg.com/profile_images/1697656740836225024/0SMBSQrt_normal.jpg</v>
      </c>
      <c r="AW1377" s="82" t="s">
        <v>13559</v>
      </c>
      <c r="AX1377" s="82" t="s">
        <v>15326</v>
      </c>
      <c r="AY1377" s="82" t="s">
        <v>15743</v>
      </c>
      <c r="AZ1377" s="82" t="s">
        <v>15879</v>
      </c>
      <c r="BA1377" s="82" t="s">
        <v>15804</v>
      </c>
      <c r="BB1377" s="82" t="s">
        <v>15804</v>
      </c>
      <c r="BC1377" s="82" t="s">
        <v>15879</v>
      </c>
      <c r="BD1377" s="77">
        <v>171187241</v>
      </c>
      <c r="BE1377" s="77"/>
      <c r="BF1377" s="77"/>
      <c r="BG1377" s="77"/>
      <c r="BH1377" s="77"/>
      <c r="BI1377" s="77"/>
    </row>
    <row r="1378" spans="1:61" x14ac:dyDescent="0.25">
      <c r="A1378" s="62" t="s">
        <v>655</v>
      </c>
      <c r="B1378" s="62" t="s">
        <v>655</v>
      </c>
      <c r="C1378" s="63"/>
      <c r="D1378" s="64"/>
      <c r="E1378" s="65"/>
      <c r="F1378" s="66"/>
      <c r="G1378" s="63"/>
      <c r="H1378" s="67"/>
      <c r="I1378" s="68"/>
      <c r="J1378" s="68"/>
      <c r="K1378" s="32"/>
      <c r="L1378" s="75">
        <v>1378</v>
      </c>
      <c r="M1378" s="75"/>
      <c r="N1378" s="70"/>
      <c r="O1378" s="77" t="s">
        <v>1132</v>
      </c>
      <c r="P1378" s="79">
        <v>45035.573217592595</v>
      </c>
      <c r="Q1378" s="77" t="s">
        <v>2471</v>
      </c>
      <c r="R1378" s="77">
        <v>0</v>
      </c>
      <c r="S1378" s="77">
        <v>0</v>
      </c>
      <c r="T1378" s="77">
        <v>0</v>
      </c>
      <c r="U1378" s="77">
        <v>0</v>
      </c>
      <c r="V1378" s="77">
        <v>6</v>
      </c>
      <c r="W1378" s="82" t="s">
        <v>5037</v>
      </c>
      <c r="X1378" s="77"/>
      <c r="Y1378" s="77"/>
      <c r="Z1378" s="77"/>
      <c r="AA1378" s="77"/>
      <c r="AB1378" s="77"/>
      <c r="AC1378" s="82" t="s">
        <v>7706</v>
      </c>
      <c r="AD1378" s="77" t="s">
        <v>7745</v>
      </c>
      <c r="AE1378" s="80" t="str">
        <f>HYPERLINK("https://twitter.com/bancosemear/status/1648684231478894592")</f>
        <v>https://twitter.com/bancosemear/status/1648684231478894592</v>
      </c>
      <c r="AF1378" s="79">
        <v>45035.573217592595</v>
      </c>
      <c r="AG1378" s="85">
        <v>45035</v>
      </c>
      <c r="AH1378" s="82" t="s">
        <v>8983</v>
      </c>
      <c r="AI1378" s="77"/>
      <c r="AJ1378" s="77"/>
      <c r="AK1378" s="77"/>
      <c r="AL1378" s="77"/>
      <c r="AM1378" s="77"/>
      <c r="AN1378" s="77"/>
      <c r="AO1378" s="77"/>
      <c r="AP1378" s="77"/>
      <c r="AQ1378" s="77"/>
      <c r="AR1378" s="77"/>
      <c r="AS1378" s="77"/>
      <c r="AT1378" s="77"/>
      <c r="AU1378" s="77"/>
      <c r="AV1378" s="80" t="str">
        <f>HYPERLINK("https://pbs.twimg.com/profile_images/1697656740836225024/0SMBSQrt_normal.jpg")</f>
        <v>https://pbs.twimg.com/profile_images/1697656740836225024/0SMBSQrt_normal.jpg</v>
      </c>
      <c r="AW1378" s="82" t="s">
        <v>13560</v>
      </c>
      <c r="AX1378" s="82" t="s">
        <v>15327</v>
      </c>
      <c r="AY1378" s="82" t="s">
        <v>15743</v>
      </c>
      <c r="AZ1378" s="82" t="s">
        <v>15880</v>
      </c>
      <c r="BA1378" s="82" t="s">
        <v>15804</v>
      </c>
      <c r="BB1378" s="82" t="s">
        <v>15804</v>
      </c>
      <c r="BC1378" s="82" t="s">
        <v>15880</v>
      </c>
      <c r="BD1378" s="77">
        <v>171187241</v>
      </c>
      <c r="BE1378" s="77"/>
      <c r="BF1378" s="77"/>
      <c r="BG1378" s="77"/>
      <c r="BH1378" s="77"/>
      <c r="BI1378" s="77"/>
    </row>
    <row r="1379" spans="1:61" x14ac:dyDescent="0.25">
      <c r="A1379" s="62" t="s">
        <v>655</v>
      </c>
      <c r="B1379" s="62" t="s">
        <v>655</v>
      </c>
      <c r="C1379" s="63"/>
      <c r="D1379" s="64"/>
      <c r="E1379" s="65"/>
      <c r="F1379" s="66"/>
      <c r="G1379" s="63"/>
      <c r="H1379" s="67"/>
      <c r="I1379" s="68"/>
      <c r="J1379" s="68"/>
      <c r="K1379" s="32"/>
      <c r="L1379" s="75">
        <v>1379</v>
      </c>
      <c r="M1379" s="75"/>
      <c r="N1379" s="70"/>
      <c r="O1379" s="77" t="s">
        <v>1132</v>
      </c>
      <c r="P1379" s="79">
        <v>45051.745682870373</v>
      </c>
      <c r="Q1379" s="77" t="s">
        <v>2472</v>
      </c>
      <c r="R1379" s="77">
        <v>0</v>
      </c>
      <c r="S1379" s="77">
        <v>0</v>
      </c>
      <c r="T1379" s="77">
        <v>0</v>
      </c>
      <c r="U1379" s="77">
        <v>0</v>
      </c>
      <c r="V1379" s="77">
        <v>33</v>
      </c>
      <c r="W1379" s="82" t="s">
        <v>5037</v>
      </c>
      <c r="X1379" s="77"/>
      <c r="Y1379" s="77"/>
      <c r="Z1379" s="77"/>
      <c r="AA1379" s="77"/>
      <c r="AB1379" s="77"/>
      <c r="AC1379" s="82" t="s">
        <v>7706</v>
      </c>
      <c r="AD1379" s="77" t="s">
        <v>7748</v>
      </c>
      <c r="AE1379" s="80" t="str">
        <f>HYPERLINK("https://twitter.com/bancosemear/status/1654544936677658625")</f>
        <v>https://twitter.com/bancosemear/status/1654544936677658625</v>
      </c>
      <c r="AF1379" s="79">
        <v>45051.745682870373</v>
      </c>
      <c r="AG1379" s="85">
        <v>45051</v>
      </c>
      <c r="AH1379" s="82" t="s">
        <v>8984</v>
      </c>
      <c r="AI1379" s="77"/>
      <c r="AJ1379" s="77"/>
      <c r="AK1379" s="77"/>
      <c r="AL1379" s="77"/>
      <c r="AM1379" s="77"/>
      <c r="AN1379" s="77"/>
      <c r="AO1379" s="77"/>
      <c r="AP1379" s="77"/>
      <c r="AQ1379" s="77"/>
      <c r="AR1379" s="77"/>
      <c r="AS1379" s="77"/>
      <c r="AT1379" s="77"/>
      <c r="AU1379" s="77"/>
      <c r="AV1379" s="80" t="str">
        <f>HYPERLINK("https://pbs.twimg.com/profile_images/1697656740836225024/0SMBSQrt_normal.jpg")</f>
        <v>https://pbs.twimg.com/profile_images/1697656740836225024/0SMBSQrt_normal.jpg</v>
      </c>
      <c r="AW1379" s="82" t="s">
        <v>13561</v>
      </c>
      <c r="AX1379" s="82" t="s">
        <v>15328</v>
      </c>
      <c r="AY1379" s="82" t="s">
        <v>15743</v>
      </c>
      <c r="AZ1379" s="82" t="s">
        <v>15881</v>
      </c>
      <c r="BA1379" s="82" t="s">
        <v>15804</v>
      </c>
      <c r="BB1379" s="82" t="s">
        <v>15804</v>
      </c>
      <c r="BC1379" s="82" t="s">
        <v>15881</v>
      </c>
      <c r="BD1379" s="77">
        <v>171187241</v>
      </c>
      <c r="BE1379" s="77"/>
      <c r="BF1379" s="77"/>
      <c r="BG1379" s="77"/>
      <c r="BH1379" s="77"/>
      <c r="BI1379" s="77"/>
    </row>
    <row r="1380" spans="1:61" x14ac:dyDescent="0.25">
      <c r="A1380" s="62" t="s">
        <v>655</v>
      </c>
      <c r="B1380" s="62" t="s">
        <v>655</v>
      </c>
      <c r="C1380" s="63"/>
      <c r="D1380" s="64"/>
      <c r="E1380" s="65"/>
      <c r="F1380" s="66"/>
      <c r="G1380" s="63"/>
      <c r="H1380" s="67"/>
      <c r="I1380" s="68"/>
      <c r="J1380" s="68"/>
      <c r="K1380" s="32"/>
      <c r="L1380" s="75">
        <v>1380</v>
      </c>
      <c r="M1380" s="75"/>
      <c r="N1380" s="70"/>
      <c r="O1380" s="77" t="s">
        <v>1132</v>
      </c>
      <c r="P1380" s="79">
        <v>45006.833993055552</v>
      </c>
      <c r="Q1380" s="77" t="s">
        <v>2473</v>
      </c>
      <c r="R1380" s="77">
        <v>0</v>
      </c>
      <c r="S1380" s="77">
        <v>0</v>
      </c>
      <c r="T1380" s="77">
        <v>0</v>
      </c>
      <c r="U1380" s="77">
        <v>0</v>
      </c>
      <c r="V1380" s="77">
        <v>11</v>
      </c>
      <c r="W1380" s="82" t="s">
        <v>5038</v>
      </c>
      <c r="X1380" s="77"/>
      <c r="Y1380" s="77"/>
      <c r="Z1380" s="77"/>
      <c r="AA1380" s="77"/>
      <c r="AB1380" s="77"/>
      <c r="AC1380" s="82" t="s">
        <v>7706</v>
      </c>
      <c r="AD1380" s="77" t="s">
        <v>7748</v>
      </c>
      <c r="AE1380" s="80" t="str">
        <f>HYPERLINK("https://twitter.com/bancosemear/status/1638269484627623936")</f>
        <v>https://twitter.com/bancosemear/status/1638269484627623936</v>
      </c>
      <c r="AF1380" s="79">
        <v>45006.833993055552</v>
      </c>
      <c r="AG1380" s="85">
        <v>45006</v>
      </c>
      <c r="AH1380" s="82" t="s">
        <v>8985</v>
      </c>
      <c r="AI1380" s="77"/>
      <c r="AJ1380" s="77"/>
      <c r="AK1380" s="77"/>
      <c r="AL1380" s="77"/>
      <c r="AM1380" s="77"/>
      <c r="AN1380" s="77"/>
      <c r="AO1380" s="77"/>
      <c r="AP1380" s="77"/>
      <c r="AQ1380" s="77"/>
      <c r="AR1380" s="77"/>
      <c r="AS1380" s="77"/>
      <c r="AT1380" s="77"/>
      <c r="AU1380" s="77"/>
      <c r="AV1380" s="80" t="str">
        <f>HYPERLINK("https://pbs.twimg.com/profile_images/1697656740836225024/0SMBSQrt_normal.jpg")</f>
        <v>https://pbs.twimg.com/profile_images/1697656740836225024/0SMBSQrt_normal.jpg</v>
      </c>
      <c r="AW1380" s="82" t="s">
        <v>13562</v>
      </c>
      <c r="AX1380" s="82" t="s">
        <v>15329</v>
      </c>
      <c r="AY1380" s="82" t="s">
        <v>15743</v>
      </c>
      <c r="AZ1380" s="82" t="s">
        <v>15882</v>
      </c>
      <c r="BA1380" s="82" t="s">
        <v>15804</v>
      </c>
      <c r="BB1380" s="82" t="s">
        <v>15804</v>
      </c>
      <c r="BC1380" s="82" t="s">
        <v>15882</v>
      </c>
      <c r="BD1380" s="77">
        <v>171187241</v>
      </c>
      <c r="BE1380" s="77"/>
      <c r="BF1380" s="77"/>
      <c r="BG1380" s="77"/>
      <c r="BH1380" s="77"/>
      <c r="BI1380" s="77"/>
    </row>
    <row r="1381" spans="1:61" x14ac:dyDescent="0.25">
      <c r="A1381" s="62" t="s">
        <v>655</v>
      </c>
      <c r="B1381" s="62" t="s">
        <v>655</v>
      </c>
      <c r="C1381" s="63"/>
      <c r="D1381" s="64"/>
      <c r="E1381" s="65"/>
      <c r="F1381" s="66"/>
      <c r="G1381" s="63"/>
      <c r="H1381" s="67"/>
      <c r="I1381" s="68"/>
      <c r="J1381" s="68"/>
      <c r="K1381" s="32"/>
      <c r="L1381" s="75">
        <v>1381</v>
      </c>
      <c r="M1381" s="75"/>
      <c r="N1381" s="70"/>
      <c r="O1381" s="77" t="s">
        <v>1132</v>
      </c>
      <c r="P1381" s="79">
        <v>45069.52884259259</v>
      </c>
      <c r="Q1381" s="77" t="s">
        <v>2474</v>
      </c>
      <c r="R1381" s="77">
        <v>0</v>
      </c>
      <c r="S1381" s="77">
        <v>0</v>
      </c>
      <c r="T1381" s="77">
        <v>0</v>
      </c>
      <c r="U1381" s="77">
        <v>0</v>
      </c>
      <c r="V1381" s="77">
        <v>11</v>
      </c>
      <c r="W1381" s="82" t="s">
        <v>5039</v>
      </c>
      <c r="X1381" s="77"/>
      <c r="Y1381" s="77"/>
      <c r="Z1381" s="77"/>
      <c r="AA1381" s="77" t="s">
        <v>7028</v>
      </c>
      <c r="AB1381" s="77" t="s">
        <v>7696</v>
      </c>
      <c r="AC1381" s="82" t="s">
        <v>7706</v>
      </c>
      <c r="AD1381" s="77" t="s">
        <v>7745</v>
      </c>
      <c r="AE1381" s="80" t="str">
        <f>HYPERLINK("https://twitter.com/bancosemear/status/1660989336786010112")</f>
        <v>https://twitter.com/bancosemear/status/1660989336786010112</v>
      </c>
      <c r="AF1381" s="79">
        <v>45069.52884259259</v>
      </c>
      <c r="AG1381" s="85">
        <v>45069</v>
      </c>
      <c r="AH1381" s="82" t="s">
        <v>8986</v>
      </c>
      <c r="AI1381" s="77" t="b">
        <v>0</v>
      </c>
      <c r="AJ1381" s="77"/>
      <c r="AK1381" s="77"/>
      <c r="AL1381" s="77"/>
      <c r="AM1381" s="77"/>
      <c r="AN1381" s="77"/>
      <c r="AO1381" s="77"/>
      <c r="AP1381" s="77"/>
      <c r="AQ1381" s="77" t="s">
        <v>11535</v>
      </c>
      <c r="AR1381" s="77"/>
      <c r="AS1381" s="77"/>
      <c r="AT1381" s="77"/>
      <c r="AU1381" s="77"/>
      <c r="AV1381" s="80" t="str">
        <f>HYPERLINK("https://pbs.twimg.com/media/Fw0E7K8XwAEDiRq.jpg")</f>
        <v>https://pbs.twimg.com/media/Fw0E7K8XwAEDiRq.jpg</v>
      </c>
      <c r="AW1381" s="82" t="s">
        <v>13563</v>
      </c>
      <c r="AX1381" s="82" t="s">
        <v>15330</v>
      </c>
      <c r="AY1381" s="82" t="s">
        <v>15743</v>
      </c>
      <c r="AZ1381" s="82" t="s">
        <v>15883</v>
      </c>
      <c r="BA1381" s="82" t="s">
        <v>15804</v>
      </c>
      <c r="BB1381" s="82" t="s">
        <v>15804</v>
      </c>
      <c r="BC1381" s="82" t="s">
        <v>15883</v>
      </c>
      <c r="BD1381" s="77">
        <v>171187241</v>
      </c>
      <c r="BE1381" s="77"/>
      <c r="BF1381" s="77"/>
      <c r="BG1381" s="77"/>
      <c r="BH1381" s="77"/>
      <c r="BI1381" s="77"/>
    </row>
    <row r="1382" spans="1:61" x14ac:dyDescent="0.25">
      <c r="A1382" s="62" t="s">
        <v>656</v>
      </c>
      <c r="B1382" s="62" t="s">
        <v>656</v>
      </c>
      <c r="C1382" s="63"/>
      <c r="D1382" s="64"/>
      <c r="E1382" s="65"/>
      <c r="F1382" s="66"/>
      <c r="G1382" s="63"/>
      <c r="H1382" s="67"/>
      <c r="I1382" s="68"/>
      <c r="J1382" s="68"/>
      <c r="K1382" s="32"/>
      <c r="L1382" s="75">
        <v>1382</v>
      </c>
      <c r="M1382" s="75"/>
      <c r="N1382" s="70"/>
      <c r="O1382" s="77" t="s">
        <v>179</v>
      </c>
      <c r="P1382" s="79">
        <v>44965.452581018515</v>
      </c>
      <c r="Q1382" s="77" t="s">
        <v>2475</v>
      </c>
      <c r="R1382" s="77">
        <v>0</v>
      </c>
      <c r="S1382" s="77">
        <v>0</v>
      </c>
      <c r="T1382" s="77">
        <v>0</v>
      </c>
      <c r="U1382" s="77">
        <v>0</v>
      </c>
      <c r="V1382" s="77">
        <v>26</v>
      </c>
      <c r="W1382" s="82" t="s">
        <v>5040</v>
      </c>
      <c r="X1382" s="77"/>
      <c r="Y1382" s="77"/>
      <c r="Z1382" s="77"/>
      <c r="AA1382" s="77" t="s">
        <v>7029</v>
      </c>
      <c r="AB1382" s="77" t="s">
        <v>7696</v>
      </c>
      <c r="AC1382" s="82" t="s">
        <v>7707</v>
      </c>
      <c r="AD1382" s="77" t="s">
        <v>7745</v>
      </c>
      <c r="AE1382" s="80" t="str">
        <f>HYPERLINK("https://twitter.com/pabloehtos/status/1623273363757047810")</f>
        <v>https://twitter.com/pabloehtos/status/1623273363757047810</v>
      </c>
      <c r="AF1382" s="79">
        <v>44965.452581018515</v>
      </c>
      <c r="AG1382" s="85">
        <v>44965</v>
      </c>
      <c r="AH1382" s="82" t="s">
        <v>8987</v>
      </c>
      <c r="AI1382" s="77" t="b">
        <v>0</v>
      </c>
      <c r="AJ1382" s="77"/>
      <c r="AK1382" s="77"/>
      <c r="AL1382" s="77"/>
      <c r="AM1382" s="77"/>
      <c r="AN1382" s="77"/>
      <c r="AO1382" s="77"/>
      <c r="AP1382" s="77"/>
      <c r="AQ1382" s="77" t="s">
        <v>11536</v>
      </c>
      <c r="AR1382" s="77"/>
      <c r="AS1382" s="77"/>
      <c r="AT1382" s="77"/>
      <c r="AU1382" s="77"/>
      <c r="AV1382" s="80" t="str">
        <f>HYPERLINK("https://pbs.twimg.com/media/FocGhGyWIAMXSMu.jpg")</f>
        <v>https://pbs.twimg.com/media/FocGhGyWIAMXSMu.jpg</v>
      </c>
      <c r="AW1382" s="82" t="s">
        <v>13564</v>
      </c>
      <c r="AX1382" s="82" t="s">
        <v>13564</v>
      </c>
      <c r="AY1382" s="77"/>
      <c r="AZ1382" s="82" t="s">
        <v>15804</v>
      </c>
      <c r="BA1382" s="82" t="s">
        <v>15804</v>
      </c>
      <c r="BB1382" s="82" t="s">
        <v>15804</v>
      </c>
      <c r="BC1382" s="82" t="s">
        <v>13564</v>
      </c>
      <c r="BD1382" s="82" t="s">
        <v>16383</v>
      </c>
      <c r="BE1382" s="77"/>
      <c r="BF1382" s="77"/>
      <c r="BG1382" s="77"/>
      <c r="BH1382" s="77"/>
      <c r="BI1382" s="77"/>
    </row>
    <row r="1383" spans="1:61" x14ac:dyDescent="0.25">
      <c r="A1383" s="62" t="s">
        <v>657</v>
      </c>
      <c r="B1383" s="62" t="s">
        <v>657</v>
      </c>
      <c r="C1383" s="63"/>
      <c r="D1383" s="64"/>
      <c r="E1383" s="65"/>
      <c r="F1383" s="66"/>
      <c r="G1383" s="63"/>
      <c r="H1383" s="67"/>
      <c r="I1383" s="68"/>
      <c r="J1383" s="68"/>
      <c r="K1383" s="32"/>
      <c r="L1383" s="75">
        <v>1383</v>
      </c>
      <c r="M1383" s="75"/>
      <c r="N1383" s="70"/>
      <c r="O1383" s="77" t="s">
        <v>179</v>
      </c>
      <c r="P1383" s="79">
        <v>44938.53429398148</v>
      </c>
      <c r="Q1383" s="77" t="s">
        <v>2476</v>
      </c>
      <c r="R1383" s="77">
        <v>0</v>
      </c>
      <c r="S1383" s="77">
        <v>0</v>
      </c>
      <c r="T1383" s="77">
        <v>0</v>
      </c>
      <c r="U1383" s="77">
        <v>0</v>
      </c>
      <c r="V1383" s="77">
        <v>6</v>
      </c>
      <c r="W1383" s="82" t="s">
        <v>5041</v>
      </c>
      <c r="X1383" s="80" t="str">
        <f>HYPERLINK("https://ferreiranews.com.br/educacao-financeira/")</f>
        <v>https://ferreiranews.com.br/educacao-financeira/</v>
      </c>
      <c r="Y1383" s="77" t="s">
        <v>6002</v>
      </c>
      <c r="Z1383" s="77"/>
      <c r="AA1383" s="77" t="s">
        <v>7030</v>
      </c>
      <c r="AB1383" s="77" t="s">
        <v>7696</v>
      </c>
      <c r="AC1383" s="82" t="s">
        <v>7706</v>
      </c>
      <c r="AD1383" s="77" t="s">
        <v>7745</v>
      </c>
      <c r="AE1383" s="80" t="str">
        <f>HYPERLINK("https://twitter.com/ferreiranews2/status/1613518503918637056")</f>
        <v>https://twitter.com/ferreiranews2/status/1613518503918637056</v>
      </c>
      <c r="AF1383" s="79">
        <v>44938.53429398148</v>
      </c>
      <c r="AG1383" s="85">
        <v>44938</v>
      </c>
      <c r="AH1383" s="82" t="s">
        <v>8988</v>
      </c>
      <c r="AI1383" s="77" t="b">
        <v>0</v>
      </c>
      <c r="AJ1383" s="77"/>
      <c r="AK1383" s="77"/>
      <c r="AL1383" s="77"/>
      <c r="AM1383" s="77"/>
      <c r="AN1383" s="77"/>
      <c r="AO1383" s="77"/>
      <c r="AP1383" s="77"/>
      <c r="AQ1383" s="77" t="s">
        <v>11537</v>
      </c>
      <c r="AR1383" s="77"/>
      <c r="AS1383" s="77"/>
      <c r="AT1383" s="77"/>
      <c r="AU1383" s="77"/>
      <c r="AV1383" s="80" t="str">
        <f>HYPERLINK("https://pbs.twimg.com/media/FmRegN0X0AMlcRt.jpg")</f>
        <v>https://pbs.twimg.com/media/FmRegN0X0AMlcRt.jpg</v>
      </c>
      <c r="AW1383" s="82" t="s">
        <v>13565</v>
      </c>
      <c r="AX1383" s="82" t="s">
        <v>13565</v>
      </c>
      <c r="AY1383" s="77"/>
      <c r="AZ1383" s="82" t="s">
        <v>15804</v>
      </c>
      <c r="BA1383" s="82" t="s">
        <v>15804</v>
      </c>
      <c r="BB1383" s="82" t="s">
        <v>15804</v>
      </c>
      <c r="BC1383" s="82" t="s">
        <v>13565</v>
      </c>
      <c r="BD1383" s="82" t="s">
        <v>16384</v>
      </c>
      <c r="BE1383" s="77"/>
      <c r="BF1383" s="77"/>
      <c r="BG1383" s="77"/>
      <c r="BH1383" s="77"/>
      <c r="BI1383" s="77"/>
    </row>
    <row r="1384" spans="1:61" x14ac:dyDescent="0.25">
      <c r="A1384" s="62" t="s">
        <v>658</v>
      </c>
      <c r="B1384" s="62" t="s">
        <v>658</v>
      </c>
      <c r="C1384" s="63"/>
      <c r="D1384" s="64"/>
      <c r="E1384" s="65"/>
      <c r="F1384" s="66"/>
      <c r="G1384" s="63"/>
      <c r="H1384" s="67"/>
      <c r="I1384" s="68"/>
      <c r="J1384" s="68"/>
      <c r="K1384" s="32"/>
      <c r="L1384" s="75">
        <v>1384</v>
      </c>
      <c r="M1384" s="75"/>
      <c r="N1384" s="70"/>
      <c r="O1384" s="77" t="s">
        <v>179</v>
      </c>
      <c r="P1384" s="79">
        <v>45009.583958333336</v>
      </c>
      <c r="Q1384" s="77" t="s">
        <v>2477</v>
      </c>
      <c r="R1384" s="77">
        <v>5</v>
      </c>
      <c r="S1384" s="77">
        <v>14</v>
      </c>
      <c r="T1384" s="77">
        <v>0</v>
      </c>
      <c r="U1384" s="77">
        <v>1</v>
      </c>
      <c r="V1384" s="77">
        <v>525</v>
      </c>
      <c r="W1384" s="82" t="s">
        <v>5042</v>
      </c>
      <c r="X1384" s="77"/>
      <c r="Y1384" s="77"/>
      <c r="Z1384" s="77"/>
      <c r="AA1384" s="77" t="s">
        <v>7031</v>
      </c>
      <c r="AB1384" s="77" t="s">
        <v>7696</v>
      </c>
      <c r="AC1384" s="82" t="s">
        <v>7708</v>
      </c>
      <c r="AD1384" s="77" t="s">
        <v>7745</v>
      </c>
      <c r="AE1384" s="80" t="str">
        <f>HYPERLINK("https://twitter.com/spbancarios/status/1639266039740473345")</f>
        <v>https://twitter.com/spbancarios/status/1639266039740473345</v>
      </c>
      <c r="AF1384" s="79">
        <v>45009.583958333336</v>
      </c>
      <c r="AG1384" s="85">
        <v>45009</v>
      </c>
      <c r="AH1384" s="82" t="s">
        <v>8989</v>
      </c>
      <c r="AI1384" s="77" t="b">
        <v>0</v>
      </c>
      <c r="AJ1384" s="77"/>
      <c r="AK1384" s="77"/>
      <c r="AL1384" s="77"/>
      <c r="AM1384" s="77"/>
      <c r="AN1384" s="77"/>
      <c r="AO1384" s="77"/>
      <c r="AP1384" s="77"/>
      <c r="AQ1384" s="77" t="s">
        <v>11538</v>
      </c>
      <c r="AR1384" s="77"/>
      <c r="AS1384" s="77"/>
      <c r="AT1384" s="77"/>
      <c r="AU1384" s="77"/>
      <c r="AV1384" s="80" t="str">
        <f>HYPERLINK("https://pbs.twimg.com/media/Fr_XxnpWIAICw-q.jpg")</f>
        <v>https://pbs.twimg.com/media/Fr_XxnpWIAICw-q.jpg</v>
      </c>
      <c r="AW1384" s="82" t="s">
        <v>13566</v>
      </c>
      <c r="AX1384" s="82" t="s">
        <v>13566</v>
      </c>
      <c r="AY1384" s="77"/>
      <c r="AZ1384" s="82" t="s">
        <v>15804</v>
      </c>
      <c r="BA1384" s="82" t="s">
        <v>15804</v>
      </c>
      <c r="BB1384" s="82" t="s">
        <v>15804</v>
      </c>
      <c r="BC1384" s="82" t="s">
        <v>13566</v>
      </c>
      <c r="BD1384" s="77">
        <v>36608122</v>
      </c>
      <c r="BE1384" s="77"/>
      <c r="BF1384" s="77"/>
      <c r="BG1384" s="77"/>
      <c r="BH1384" s="77"/>
      <c r="BI1384" s="77"/>
    </row>
    <row r="1385" spans="1:61" x14ac:dyDescent="0.25">
      <c r="A1385" s="62" t="s">
        <v>659</v>
      </c>
      <c r="B1385" s="62" t="s">
        <v>891</v>
      </c>
      <c r="C1385" s="63"/>
      <c r="D1385" s="64"/>
      <c r="E1385" s="65"/>
      <c r="F1385" s="66"/>
      <c r="G1385" s="63"/>
      <c r="H1385" s="67"/>
      <c r="I1385" s="68"/>
      <c r="J1385" s="68"/>
      <c r="K1385" s="32"/>
      <c r="L1385" s="75">
        <v>1385</v>
      </c>
      <c r="M1385" s="75"/>
      <c r="N1385" s="70"/>
      <c r="O1385" s="77" t="s">
        <v>1134</v>
      </c>
      <c r="P1385" s="79">
        <v>45174.850717592592</v>
      </c>
      <c r="Q1385" s="77" t="s">
        <v>2478</v>
      </c>
      <c r="R1385" s="77">
        <v>7</v>
      </c>
      <c r="S1385" s="77">
        <v>0</v>
      </c>
      <c r="T1385" s="77">
        <v>0</v>
      </c>
      <c r="U1385" s="77">
        <v>0</v>
      </c>
      <c r="V1385" s="77"/>
      <c r="W1385" s="82" t="s">
        <v>5043</v>
      </c>
      <c r="X1385" s="77"/>
      <c r="Y1385" s="77"/>
      <c r="Z1385" s="77" t="s">
        <v>891</v>
      </c>
      <c r="AA1385" s="77"/>
      <c r="AB1385" s="77"/>
      <c r="AC1385" s="82" t="s">
        <v>7707</v>
      </c>
      <c r="AD1385" s="77" t="s">
        <v>7745</v>
      </c>
      <c r="AE1385" s="80" t="str">
        <f>HYPERLINK("https://twitter.com/7kaylas/status/1699156707346448721")</f>
        <v>https://twitter.com/7kaylas/status/1699156707346448721</v>
      </c>
      <c r="AF1385" s="79">
        <v>45174.850717592592</v>
      </c>
      <c r="AG1385" s="85">
        <v>45174</v>
      </c>
      <c r="AH1385" s="82" t="s">
        <v>8990</v>
      </c>
      <c r="AI1385" s="77"/>
      <c r="AJ1385" s="77"/>
      <c r="AK1385" s="77"/>
      <c r="AL1385" s="77"/>
      <c r="AM1385" s="77"/>
      <c r="AN1385" s="77"/>
      <c r="AO1385" s="77"/>
      <c r="AP1385" s="77"/>
      <c r="AQ1385" s="77"/>
      <c r="AR1385" s="77"/>
      <c r="AS1385" s="77"/>
      <c r="AT1385" s="77"/>
      <c r="AU1385" s="77"/>
      <c r="AV1385" s="80" t="str">
        <f>HYPERLINK("https://pbs.twimg.com/profile_images/1576367713559134209/_x5hyY8g_normal.jpg")</f>
        <v>https://pbs.twimg.com/profile_images/1576367713559134209/_x5hyY8g_normal.jpg</v>
      </c>
      <c r="AW1385" s="82" t="s">
        <v>13567</v>
      </c>
      <c r="AX1385" s="82" t="s">
        <v>13567</v>
      </c>
      <c r="AY1385" s="77"/>
      <c r="AZ1385" s="82" t="s">
        <v>15804</v>
      </c>
      <c r="BA1385" s="82" t="s">
        <v>15804</v>
      </c>
      <c r="BB1385" s="82" t="s">
        <v>14425</v>
      </c>
      <c r="BC1385" s="82" t="s">
        <v>14425</v>
      </c>
      <c r="BD1385" s="77">
        <v>2715218840</v>
      </c>
      <c r="BE1385" s="77"/>
      <c r="BF1385" s="77"/>
      <c r="BG1385" s="77"/>
      <c r="BH1385" s="77"/>
      <c r="BI1385" s="77"/>
    </row>
    <row r="1386" spans="1:61" x14ac:dyDescent="0.25">
      <c r="A1386" s="62" t="s">
        <v>660</v>
      </c>
      <c r="B1386" s="62" t="s">
        <v>660</v>
      </c>
      <c r="C1386" s="63"/>
      <c r="D1386" s="64"/>
      <c r="E1386" s="65"/>
      <c r="F1386" s="66"/>
      <c r="G1386" s="63"/>
      <c r="H1386" s="67"/>
      <c r="I1386" s="68"/>
      <c r="J1386" s="68"/>
      <c r="K1386" s="32"/>
      <c r="L1386" s="75">
        <v>1386</v>
      </c>
      <c r="M1386" s="75"/>
      <c r="N1386" s="70"/>
      <c r="O1386" s="77" t="s">
        <v>179</v>
      </c>
      <c r="P1386" s="79">
        <v>45091.374432870369</v>
      </c>
      <c r="Q1386" s="77" t="s">
        <v>2479</v>
      </c>
      <c r="R1386" s="77">
        <v>0</v>
      </c>
      <c r="S1386" s="77">
        <v>1</v>
      </c>
      <c r="T1386" s="77">
        <v>0</v>
      </c>
      <c r="U1386" s="77">
        <v>0</v>
      </c>
      <c r="V1386" s="77">
        <v>7</v>
      </c>
      <c r="W1386" s="82" t="s">
        <v>4097</v>
      </c>
      <c r="X1386" s="77"/>
      <c r="Y1386" s="77"/>
      <c r="Z1386" s="77"/>
      <c r="AA1386" s="77" t="s">
        <v>7032</v>
      </c>
      <c r="AB1386" s="77" t="s">
        <v>7696</v>
      </c>
      <c r="AC1386" s="82" t="s">
        <v>7707</v>
      </c>
      <c r="AD1386" s="77" t="s">
        <v>7746</v>
      </c>
      <c r="AE1386" s="80" t="str">
        <f>HYPERLINK("https://twitter.com/ndjizassabino/status/1668905916702261248")</f>
        <v>https://twitter.com/ndjizassabino/status/1668905916702261248</v>
      </c>
      <c r="AF1386" s="79">
        <v>45091.374432870369</v>
      </c>
      <c r="AG1386" s="85">
        <v>45091</v>
      </c>
      <c r="AH1386" s="82" t="s">
        <v>8991</v>
      </c>
      <c r="AI1386" s="77" t="b">
        <v>0</v>
      </c>
      <c r="AJ1386" s="77"/>
      <c r="AK1386" s="77"/>
      <c r="AL1386" s="77"/>
      <c r="AM1386" s="77"/>
      <c r="AN1386" s="77"/>
      <c r="AO1386" s="77"/>
      <c r="AP1386" s="77"/>
      <c r="AQ1386" s="77" t="s">
        <v>11539</v>
      </c>
      <c r="AR1386" s="77"/>
      <c r="AS1386" s="77"/>
      <c r="AT1386" s="77"/>
      <c r="AU1386" s="77"/>
      <c r="AV1386" s="80" t="str">
        <f>HYPERLINK("https://pbs.twimg.com/media/FyklFFNWcAMZdwK.jpg")</f>
        <v>https://pbs.twimg.com/media/FyklFFNWcAMZdwK.jpg</v>
      </c>
      <c r="AW1386" s="82" t="s">
        <v>13568</v>
      </c>
      <c r="AX1386" s="82" t="s">
        <v>13568</v>
      </c>
      <c r="AY1386" s="77"/>
      <c r="AZ1386" s="82" t="s">
        <v>15804</v>
      </c>
      <c r="BA1386" s="82" t="s">
        <v>15804</v>
      </c>
      <c r="BB1386" s="82" t="s">
        <v>15804</v>
      </c>
      <c r="BC1386" s="82" t="s">
        <v>13568</v>
      </c>
      <c r="BD1386" s="77">
        <v>1915615560</v>
      </c>
      <c r="BE1386" s="77"/>
      <c r="BF1386" s="77"/>
      <c r="BG1386" s="77"/>
      <c r="BH1386" s="77"/>
      <c r="BI1386" s="77"/>
    </row>
    <row r="1387" spans="1:61" x14ac:dyDescent="0.25">
      <c r="A1387" s="62" t="s">
        <v>661</v>
      </c>
      <c r="B1387" s="62" t="s">
        <v>661</v>
      </c>
      <c r="C1387" s="63"/>
      <c r="D1387" s="64"/>
      <c r="E1387" s="65"/>
      <c r="F1387" s="66"/>
      <c r="G1387" s="63"/>
      <c r="H1387" s="67"/>
      <c r="I1387" s="68"/>
      <c r="J1387" s="68"/>
      <c r="K1387" s="32"/>
      <c r="L1387" s="75">
        <v>1387</v>
      </c>
      <c r="M1387" s="75"/>
      <c r="N1387" s="70"/>
      <c r="O1387" s="77" t="s">
        <v>1132</v>
      </c>
      <c r="P1387" s="79">
        <v>44948.015208333331</v>
      </c>
      <c r="Q1387" s="77" t="s">
        <v>2480</v>
      </c>
      <c r="R1387" s="77">
        <v>0</v>
      </c>
      <c r="S1387" s="77">
        <v>0</v>
      </c>
      <c r="T1387" s="77">
        <v>0</v>
      </c>
      <c r="U1387" s="77">
        <v>0</v>
      </c>
      <c r="V1387" s="77">
        <v>10</v>
      </c>
      <c r="W1387" s="82" t="s">
        <v>5044</v>
      </c>
      <c r="X1387" s="77"/>
      <c r="Y1387" s="77"/>
      <c r="Z1387" s="77"/>
      <c r="AA1387" s="77"/>
      <c r="AB1387" s="77"/>
      <c r="AC1387" s="82" t="s">
        <v>7706</v>
      </c>
      <c r="AD1387" s="77" t="s">
        <v>7745</v>
      </c>
      <c r="AE1387" s="80" t="str">
        <f>HYPERLINK("https://twitter.com/teofilomartinst/status/1616954271752126465")</f>
        <v>https://twitter.com/teofilomartinst/status/1616954271752126465</v>
      </c>
      <c r="AF1387" s="79">
        <v>44948.015208333331</v>
      </c>
      <c r="AG1387" s="85">
        <v>44948</v>
      </c>
      <c r="AH1387" s="82" t="s">
        <v>8992</v>
      </c>
      <c r="AI1387" s="77"/>
      <c r="AJ1387" s="77"/>
      <c r="AK1387" s="77"/>
      <c r="AL1387" s="77"/>
      <c r="AM1387" s="77"/>
      <c r="AN1387" s="77"/>
      <c r="AO1387" s="77"/>
      <c r="AP1387" s="77"/>
      <c r="AQ1387" s="77"/>
      <c r="AR1387" s="77"/>
      <c r="AS1387" s="77"/>
      <c r="AT1387" s="77"/>
      <c r="AU1387" s="77"/>
      <c r="AV1387" s="80" t="str">
        <f>HYPERLINK("https://pbs.twimg.com/profile_images/1622391863314419712/tZX2YnEP_normal.jpg")</f>
        <v>https://pbs.twimg.com/profile_images/1622391863314419712/tZX2YnEP_normal.jpg</v>
      </c>
      <c r="AW1387" s="82" t="s">
        <v>13569</v>
      </c>
      <c r="AX1387" s="82" t="s">
        <v>15331</v>
      </c>
      <c r="AY1387" s="82" t="s">
        <v>15744</v>
      </c>
      <c r="AZ1387" s="82" t="s">
        <v>15884</v>
      </c>
      <c r="BA1387" s="82" t="s">
        <v>15804</v>
      </c>
      <c r="BB1387" s="82" t="s">
        <v>15804</v>
      </c>
      <c r="BC1387" s="82" t="s">
        <v>15884</v>
      </c>
      <c r="BD1387" s="82" t="s">
        <v>15744</v>
      </c>
      <c r="BE1387" s="77"/>
      <c r="BF1387" s="77"/>
      <c r="BG1387" s="77"/>
      <c r="BH1387" s="77"/>
      <c r="BI1387" s="77"/>
    </row>
    <row r="1388" spans="1:61" x14ac:dyDescent="0.25">
      <c r="A1388" s="62" t="s">
        <v>662</v>
      </c>
      <c r="B1388" s="62" t="s">
        <v>662</v>
      </c>
      <c r="C1388" s="63"/>
      <c r="D1388" s="64"/>
      <c r="E1388" s="65"/>
      <c r="F1388" s="66"/>
      <c r="G1388" s="63"/>
      <c r="H1388" s="67"/>
      <c r="I1388" s="68"/>
      <c r="J1388" s="68"/>
      <c r="K1388" s="32"/>
      <c r="L1388" s="75">
        <v>1388</v>
      </c>
      <c r="M1388" s="75"/>
      <c r="N1388" s="70"/>
      <c r="O1388" s="77" t="s">
        <v>179</v>
      </c>
      <c r="P1388" s="79">
        <v>44965.572511574072</v>
      </c>
      <c r="Q1388" s="77" t="s">
        <v>2481</v>
      </c>
      <c r="R1388" s="77">
        <v>0</v>
      </c>
      <c r="S1388" s="77">
        <v>0</v>
      </c>
      <c r="T1388" s="77">
        <v>0</v>
      </c>
      <c r="U1388" s="77">
        <v>0</v>
      </c>
      <c r="V1388" s="77">
        <v>46</v>
      </c>
      <c r="W1388" s="82" t="s">
        <v>5045</v>
      </c>
      <c r="X1388" s="80" t="str">
        <f>HYPERLINK("https://www.noveen.com.br/site/ler/a-importancia-da-educacao-financeira-infantil-para-o-desenvolvimento-dos-seus-filhos/4295")</f>
        <v>https://www.noveen.com.br/site/ler/a-importancia-da-educacao-financeira-infantil-para-o-desenvolvimento-dos-seus-filhos/4295</v>
      </c>
      <c r="Y1388" s="77" t="s">
        <v>6002</v>
      </c>
      <c r="Z1388" s="77"/>
      <c r="AA1388" s="77" t="s">
        <v>7033</v>
      </c>
      <c r="AB1388" s="77" t="s">
        <v>7696</v>
      </c>
      <c r="AC1388" s="82" t="s">
        <v>7707</v>
      </c>
      <c r="AD1388" s="77" t="s">
        <v>7745</v>
      </c>
      <c r="AE1388" s="80" t="str">
        <f>HYPERLINK("https://twitter.com/noveensite/status/1623316823469965312")</f>
        <v>https://twitter.com/noveensite/status/1623316823469965312</v>
      </c>
      <c r="AF1388" s="79">
        <v>44965.572511574072</v>
      </c>
      <c r="AG1388" s="85">
        <v>44965</v>
      </c>
      <c r="AH1388" s="82" t="s">
        <v>8993</v>
      </c>
      <c r="AI1388" s="77" t="b">
        <v>0</v>
      </c>
      <c r="AJ1388" s="77"/>
      <c r="AK1388" s="77"/>
      <c r="AL1388" s="77"/>
      <c r="AM1388" s="77"/>
      <c r="AN1388" s="77"/>
      <c r="AO1388" s="77"/>
      <c r="AP1388" s="77"/>
      <c r="AQ1388" s="77" t="s">
        <v>11540</v>
      </c>
      <c r="AR1388" s="77"/>
      <c r="AS1388" s="77"/>
      <c r="AT1388" s="77"/>
      <c r="AU1388" s="77"/>
      <c r="AV1388" s="80" t="str">
        <f>HYPERLINK("https://pbs.twimg.com/media/FocuCWcXwAIBprQ.jpg")</f>
        <v>https://pbs.twimg.com/media/FocuCWcXwAIBprQ.jpg</v>
      </c>
      <c r="AW1388" s="82" t="s">
        <v>13570</v>
      </c>
      <c r="AX1388" s="82" t="s">
        <v>13570</v>
      </c>
      <c r="AY1388" s="77"/>
      <c r="AZ1388" s="82" t="s">
        <v>15804</v>
      </c>
      <c r="BA1388" s="82" t="s">
        <v>15804</v>
      </c>
      <c r="BB1388" s="82" t="s">
        <v>15804</v>
      </c>
      <c r="BC1388" s="82" t="s">
        <v>13570</v>
      </c>
      <c r="BD1388" s="82" t="s">
        <v>16385</v>
      </c>
      <c r="BE1388" s="77"/>
      <c r="BF1388" s="77"/>
      <c r="BG1388" s="77"/>
      <c r="BH1388" s="77"/>
      <c r="BI1388" s="77"/>
    </row>
    <row r="1389" spans="1:61" x14ac:dyDescent="0.25">
      <c r="A1389" s="62" t="s">
        <v>663</v>
      </c>
      <c r="B1389" s="62" t="s">
        <v>663</v>
      </c>
      <c r="C1389" s="63"/>
      <c r="D1389" s="64"/>
      <c r="E1389" s="65"/>
      <c r="F1389" s="66"/>
      <c r="G1389" s="63"/>
      <c r="H1389" s="67"/>
      <c r="I1389" s="68"/>
      <c r="J1389" s="68"/>
      <c r="K1389" s="32"/>
      <c r="L1389" s="75">
        <v>1389</v>
      </c>
      <c r="M1389" s="75"/>
      <c r="N1389" s="70"/>
      <c r="O1389" s="77" t="s">
        <v>179</v>
      </c>
      <c r="P1389" s="79">
        <v>44953.611261574071</v>
      </c>
      <c r="Q1389" s="77" t="s">
        <v>2482</v>
      </c>
      <c r="R1389" s="77">
        <v>0</v>
      </c>
      <c r="S1389" s="77">
        <v>0</v>
      </c>
      <c r="T1389" s="77">
        <v>0</v>
      </c>
      <c r="U1389" s="77">
        <v>0</v>
      </c>
      <c r="V1389" s="77">
        <v>46</v>
      </c>
      <c r="W1389" s="82" t="s">
        <v>5046</v>
      </c>
      <c r="X1389" s="80" t="str">
        <f>HYPERLINK("https://dinheirando.net/comportamento-financeiro/pressao-social-na-vida-financeira/")</f>
        <v>https://dinheirando.net/comportamento-financeiro/pressao-social-na-vida-financeira/</v>
      </c>
      <c r="Y1389" s="77" t="s">
        <v>6071</v>
      </c>
      <c r="Z1389" s="77"/>
      <c r="AA1389" s="77"/>
      <c r="AB1389" s="77"/>
      <c r="AC1389" s="82" t="s">
        <v>7706</v>
      </c>
      <c r="AD1389" s="77" t="s">
        <v>7745</v>
      </c>
      <c r="AE1389" s="80" t="str">
        <f>HYPERLINK("https://twitter.com/marcesemasch/status/1618982215123341312")</f>
        <v>https://twitter.com/marcesemasch/status/1618982215123341312</v>
      </c>
      <c r="AF1389" s="79">
        <v>44953.611261574071</v>
      </c>
      <c r="AG1389" s="85">
        <v>44953</v>
      </c>
      <c r="AH1389" s="82" t="s">
        <v>8994</v>
      </c>
      <c r="AI1389" s="77" t="b">
        <v>0</v>
      </c>
      <c r="AJ1389" s="77"/>
      <c r="AK1389" s="77"/>
      <c r="AL1389" s="77"/>
      <c r="AM1389" s="77"/>
      <c r="AN1389" s="77"/>
      <c r="AO1389" s="77"/>
      <c r="AP1389" s="77"/>
      <c r="AQ1389" s="77"/>
      <c r="AR1389" s="77"/>
      <c r="AS1389" s="77"/>
      <c r="AT1389" s="77"/>
      <c r="AU1389" s="77"/>
      <c r="AV1389" s="80" t="str">
        <f>HYPERLINK("https://pbs.twimg.com/profile_images/1556283132332089344/VX-pXjxx_normal.jpg")</f>
        <v>https://pbs.twimg.com/profile_images/1556283132332089344/VX-pXjxx_normal.jpg</v>
      </c>
      <c r="AW1389" s="82" t="s">
        <v>13571</v>
      </c>
      <c r="AX1389" s="82" t="s">
        <v>13571</v>
      </c>
      <c r="AY1389" s="77"/>
      <c r="AZ1389" s="82" t="s">
        <v>15804</v>
      </c>
      <c r="BA1389" s="82" t="s">
        <v>15804</v>
      </c>
      <c r="BB1389" s="82" t="s">
        <v>15804</v>
      </c>
      <c r="BC1389" s="82" t="s">
        <v>13571</v>
      </c>
      <c r="BD1389" s="77">
        <v>144827153</v>
      </c>
      <c r="BE1389" s="77"/>
      <c r="BF1389" s="77"/>
      <c r="BG1389" s="77"/>
      <c r="BH1389" s="77"/>
      <c r="BI1389" s="77"/>
    </row>
    <row r="1390" spans="1:61" x14ac:dyDescent="0.25">
      <c r="A1390" s="62" t="s">
        <v>664</v>
      </c>
      <c r="B1390" s="62" t="s">
        <v>663</v>
      </c>
      <c r="C1390" s="63"/>
      <c r="D1390" s="64"/>
      <c r="E1390" s="65"/>
      <c r="F1390" s="66"/>
      <c r="G1390" s="63"/>
      <c r="H1390" s="67"/>
      <c r="I1390" s="68"/>
      <c r="J1390" s="68"/>
      <c r="K1390" s="32"/>
      <c r="L1390" s="75">
        <v>1390</v>
      </c>
      <c r="M1390" s="75"/>
      <c r="N1390" s="70"/>
      <c r="O1390" s="77" t="s">
        <v>1133</v>
      </c>
      <c r="P1390" s="79">
        <v>45181.375023148146</v>
      </c>
      <c r="Q1390" s="77" t="s">
        <v>2483</v>
      </c>
      <c r="R1390" s="77">
        <v>0</v>
      </c>
      <c r="S1390" s="77">
        <v>1</v>
      </c>
      <c r="T1390" s="77">
        <v>0</v>
      </c>
      <c r="U1390" s="77">
        <v>0</v>
      </c>
      <c r="V1390" s="77">
        <v>5</v>
      </c>
      <c r="W1390" s="82" t="s">
        <v>5047</v>
      </c>
      <c r="X1390" s="77"/>
      <c r="Y1390" s="77"/>
      <c r="Z1390" s="77" t="s">
        <v>6127</v>
      </c>
      <c r="AA1390" s="77" t="s">
        <v>7034</v>
      </c>
      <c r="AB1390" s="77" t="s">
        <v>7696</v>
      </c>
      <c r="AC1390" s="82" t="s">
        <v>7706</v>
      </c>
      <c r="AD1390" s="77" t="s">
        <v>7745</v>
      </c>
      <c r="AE1390" s="80" t="str">
        <f>HYPERLINK("https://twitter.com/ourbooksbr/status/1701521038167970108")</f>
        <v>https://twitter.com/ourbooksbr/status/1701521038167970108</v>
      </c>
      <c r="AF1390" s="79">
        <v>45181.375023148146</v>
      </c>
      <c r="AG1390" s="85">
        <v>45181</v>
      </c>
      <c r="AH1390" s="82" t="s">
        <v>8380</v>
      </c>
      <c r="AI1390" s="77" t="b">
        <v>0</v>
      </c>
      <c r="AJ1390" s="77"/>
      <c r="AK1390" s="77"/>
      <c r="AL1390" s="77"/>
      <c r="AM1390" s="77"/>
      <c r="AN1390" s="77"/>
      <c r="AO1390" s="77"/>
      <c r="AP1390" s="77"/>
      <c r="AQ1390" s="77" t="s">
        <v>11541</v>
      </c>
      <c r="AR1390" s="77"/>
      <c r="AS1390" s="77"/>
      <c r="AT1390" s="77"/>
      <c r="AU1390" s="77"/>
      <c r="AV1390" s="80" t="str">
        <f>HYPERLINK("https://pbs.twimg.com/media/F5mT2W1WgAALbYK.jpg")</f>
        <v>https://pbs.twimg.com/media/F5mT2W1WgAALbYK.jpg</v>
      </c>
      <c r="AW1390" s="82" t="s">
        <v>13572</v>
      </c>
      <c r="AX1390" s="82" t="s">
        <v>13572</v>
      </c>
      <c r="AY1390" s="77"/>
      <c r="AZ1390" s="82" t="s">
        <v>15804</v>
      </c>
      <c r="BA1390" s="82" t="s">
        <v>15804</v>
      </c>
      <c r="BB1390" s="82" t="s">
        <v>15804</v>
      </c>
      <c r="BC1390" s="82" t="s">
        <v>13572</v>
      </c>
      <c r="BD1390" s="82" t="s">
        <v>16386</v>
      </c>
      <c r="BE1390" s="77"/>
      <c r="BF1390" s="77"/>
      <c r="BG1390" s="77"/>
      <c r="BH1390" s="77"/>
      <c r="BI1390" s="77"/>
    </row>
    <row r="1391" spans="1:61" x14ac:dyDescent="0.25">
      <c r="A1391" s="62" t="s">
        <v>664</v>
      </c>
      <c r="B1391" s="62" t="s">
        <v>663</v>
      </c>
      <c r="C1391" s="63"/>
      <c r="D1391" s="64"/>
      <c r="E1391" s="65"/>
      <c r="F1391" s="66"/>
      <c r="G1391" s="63"/>
      <c r="H1391" s="67"/>
      <c r="I1391" s="68"/>
      <c r="J1391" s="68"/>
      <c r="K1391" s="32"/>
      <c r="L1391" s="75">
        <v>1391</v>
      </c>
      <c r="M1391" s="75"/>
      <c r="N1391" s="70"/>
      <c r="O1391" s="77" t="s">
        <v>1133</v>
      </c>
      <c r="P1391" s="79">
        <v>45182.375</v>
      </c>
      <c r="Q1391" s="77" t="s">
        <v>2484</v>
      </c>
      <c r="R1391" s="77">
        <v>0</v>
      </c>
      <c r="S1391" s="77">
        <v>0</v>
      </c>
      <c r="T1391" s="77">
        <v>0</v>
      </c>
      <c r="U1391" s="77">
        <v>0</v>
      </c>
      <c r="V1391" s="77">
        <v>2</v>
      </c>
      <c r="W1391" s="82" t="s">
        <v>5047</v>
      </c>
      <c r="X1391" s="77"/>
      <c r="Y1391" s="77"/>
      <c r="Z1391" s="77" t="s">
        <v>6127</v>
      </c>
      <c r="AA1391" s="77" t="s">
        <v>7035</v>
      </c>
      <c r="AB1391" s="77" t="s">
        <v>7696</v>
      </c>
      <c r="AC1391" s="82" t="s">
        <v>7706</v>
      </c>
      <c r="AD1391" s="77" t="s">
        <v>7745</v>
      </c>
      <c r="AE1391" s="80" t="str">
        <f>HYPERLINK("https://twitter.com/ourbooksbr/status/1701883416319521140")</f>
        <v>https://twitter.com/ourbooksbr/status/1701883416319521140</v>
      </c>
      <c r="AF1391" s="79">
        <v>45182.375</v>
      </c>
      <c r="AG1391" s="85">
        <v>45182</v>
      </c>
      <c r="AH1391" s="82" t="s">
        <v>8378</v>
      </c>
      <c r="AI1391" s="77" t="b">
        <v>0</v>
      </c>
      <c r="AJ1391" s="77"/>
      <c r="AK1391" s="77"/>
      <c r="AL1391" s="77"/>
      <c r="AM1391" s="77"/>
      <c r="AN1391" s="77"/>
      <c r="AO1391" s="77"/>
      <c r="AP1391" s="77"/>
      <c r="AQ1391" s="77" t="s">
        <v>11542</v>
      </c>
      <c r="AR1391" s="77"/>
      <c r="AS1391" s="77"/>
      <c r="AT1391" s="77"/>
      <c r="AU1391" s="77"/>
      <c r="AV1391" s="80" t="str">
        <f>HYPERLINK("https://pbs.twimg.com/media/F5mYUO9WUAAsQl0.jpg")</f>
        <v>https://pbs.twimg.com/media/F5mYUO9WUAAsQl0.jpg</v>
      </c>
      <c r="AW1391" s="82" t="s">
        <v>13573</v>
      </c>
      <c r="AX1391" s="82" t="s">
        <v>13573</v>
      </c>
      <c r="AY1391" s="77"/>
      <c r="AZ1391" s="82" t="s">
        <v>15804</v>
      </c>
      <c r="BA1391" s="82" t="s">
        <v>15804</v>
      </c>
      <c r="BB1391" s="82" t="s">
        <v>15804</v>
      </c>
      <c r="BC1391" s="82" t="s">
        <v>13573</v>
      </c>
      <c r="BD1391" s="82" t="s">
        <v>16386</v>
      </c>
      <c r="BE1391" s="77"/>
      <c r="BF1391" s="77"/>
      <c r="BG1391" s="77"/>
      <c r="BH1391" s="77"/>
      <c r="BI1391" s="77"/>
    </row>
    <row r="1392" spans="1:61" x14ac:dyDescent="0.25">
      <c r="A1392" s="62" t="s">
        <v>664</v>
      </c>
      <c r="B1392" s="62" t="s">
        <v>663</v>
      </c>
      <c r="C1392" s="63"/>
      <c r="D1392" s="64"/>
      <c r="E1392" s="65"/>
      <c r="F1392" s="66"/>
      <c r="G1392" s="63"/>
      <c r="H1392" s="67"/>
      <c r="I1392" s="68"/>
      <c r="J1392" s="68"/>
      <c r="K1392" s="32"/>
      <c r="L1392" s="75">
        <v>1392</v>
      </c>
      <c r="M1392" s="75"/>
      <c r="N1392" s="70"/>
      <c r="O1392" s="77" t="s">
        <v>1133</v>
      </c>
      <c r="P1392" s="79">
        <v>45180.875011574077</v>
      </c>
      <c r="Q1392" s="77" t="s">
        <v>2485</v>
      </c>
      <c r="R1392" s="77">
        <v>1</v>
      </c>
      <c r="S1392" s="77">
        <v>1</v>
      </c>
      <c r="T1392" s="77">
        <v>0</v>
      </c>
      <c r="U1392" s="77">
        <v>0</v>
      </c>
      <c r="V1392" s="77">
        <v>7</v>
      </c>
      <c r="W1392" s="82" t="s">
        <v>5047</v>
      </c>
      <c r="X1392" s="77"/>
      <c r="Y1392" s="77"/>
      <c r="Z1392" s="77" t="s">
        <v>6127</v>
      </c>
      <c r="AA1392" s="77" t="s">
        <v>7036</v>
      </c>
      <c r="AB1392" s="77" t="s">
        <v>7696</v>
      </c>
      <c r="AC1392" s="82" t="s">
        <v>7706</v>
      </c>
      <c r="AD1392" s="77" t="s">
        <v>7745</v>
      </c>
      <c r="AE1392" s="80" t="str">
        <f>HYPERLINK("https://twitter.com/ourbooksbr/status/1701339836345631071")</f>
        <v>https://twitter.com/ourbooksbr/status/1701339836345631071</v>
      </c>
      <c r="AF1392" s="79">
        <v>45180.875011574077</v>
      </c>
      <c r="AG1392" s="85">
        <v>45180</v>
      </c>
      <c r="AH1392" s="82" t="s">
        <v>8547</v>
      </c>
      <c r="AI1392" s="77" t="b">
        <v>0</v>
      </c>
      <c r="AJ1392" s="77"/>
      <c r="AK1392" s="77"/>
      <c r="AL1392" s="77"/>
      <c r="AM1392" s="77"/>
      <c r="AN1392" s="77"/>
      <c r="AO1392" s="77"/>
      <c r="AP1392" s="77"/>
      <c r="AQ1392" s="77" t="s">
        <v>11543</v>
      </c>
      <c r="AR1392" s="77"/>
      <c r="AS1392" s="77"/>
      <c r="AT1392" s="77"/>
      <c r="AU1392" s="77"/>
      <c r="AV1392" s="80" t="str">
        <f>HYPERLINK("https://pbs.twimg.com/media/F5mRd-nW8AADpB2.jpg")</f>
        <v>https://pbs.twimg.com/media/F5mRd-nW8AADpB2.jpg</v>
      </c>
      <c r="AW1392" s="82" t="s">
        <v>13574</v>
      </c>
      <c r="AX1392" s="82" t="s">
        <v>13574</v>
      </c>
      <c r="AY1392" s="77"/>
      <c r="AZ1392" s="82" t="s">
        <v>15804</v>
      </c>
      <c r="BA1392" s="82" t="s">
        <v>15804</v>
      </c>
      <c r="BB1392" s="82" t="s">
        <v>15804</v>
      </c>
      <c r="BC1392" s="82" t="s">
        <v>13574</v>
      </c>
      <c r="BD1392" s="82" t="s">
        <v>16386</v>
      </c>
      <c r="BE1392" s="77"/>
      <c r="BF1392" s="77"/>
      <c r="BG1392" s="77"/>
      <c r="BH1392" s="77"/>
      <c r="BI1392" s="77"/>
    </row>
    <row r="1393" spans="1:61" x14ac:dyDescent="0.25">
      <c r="A1393" s="62" t="s">
        <v>665</v>
      </c>
      <c r="B1393" s="62" t="s">
        <v>663</v>
      </c>
      <c r="C1393" s="63"/>
      <c r="D1393" s="64"/>
      <c r="E1393" s="65"/>
      <c r="F1393" s="66"/>
      <c r="G1393" s="63"/>
      <c r="H1393" s="67"/>
      <c r="I1393" s="68"/>
      <c r="J1393" s="68"/>
      <c r="K1393" s="32"/>
      <c r="L1393" s="75">
        <v>1393</v>
      </c>
      <c r="M1393" s="75"/>
      <c r="N1393" s="70"/>
      <c r="O1393" s="77" t="s">
        <v>1138</v>
      </c>
      <c r="P1393" s="79">
        <v>45181.618333333332</v>
      </c>
      <c r="Q1393" s="77" t="s">
        <v>2486</v>
      </c>
      <c r="R1393" s="77">
        <v>1</v>
      </c>
      <c r="S1393" s="77">
        <v>0</v>
      </c>
      <c r="T1393" s="77">
        <v>0</v>
      </c>
      <c r="U1393" s="77">
        <v>0</v>
      </c>
      <c r="V1393" s="77"/>
      <c r="W1393" s="77"/>
      <c r="X1393" s="77"/>
      <c r="Y1393" s="77"/>
      <c r="Z1393" s="77" t="s">
        <v>6128</v>
      </c>
      <c r="AA1393" s="77"/>
      <c r="AB1393" s="77"/>
      <c r="AC1393" s="82" t="s">
        <v>7707</v>
      </c>
      <c r="AD1393" s="77" t="s">
        <v>7745</v>
      </c>
      <c r="AE1393" s="80" t="str">
        <f>HYPERLINK("https://twitter.com/cgta_carlos/status/1701609210377859268")</f>
        <v>https://twitter.com/cgta_carlos/status/1701609210377859268</v>
      </c>
      <c r="AF1393" s="79">
        <v>45181.618333333332</v>
      </c>
      <c r="AG1393" s="85">
        <v>45181</v>
      </c>
      <c r="AH1393" s="82" t="s">
        <v>8995</v>
      </c>
      <c r="AI1393" s="77"/>
      <c r="AJ1393" s="77"/>
      <c r="AK1393" s="77"/>
      <c r="AL1393" s="77"/>
      <c r="AM1393" s="77"/>
      <c r="AN1393" s="77"/>
      <c r="AO1393" s="77"/>
      <c r="AP1393" s="77"/>
      <c r="AQ1393" s="77"/>
      <c r="AR1393" s="77"/>
      <c r="AS1393" s="77"/>
      <c r="AT1393" s="77"/>
      <c r="AU1393" s="77"/>
      <c r="AV1393" s="80" t="str">
        <f>HYPERLINK("https://pbs.twimg.com/profile_images/1080333363909718017/WsWHKHAl_normal.jpg")</f>
        <v>https://pbs.twimg.com/profile_images/1080333363909718017/WsWHKHAl_normal.jpg</v>
      </c>
      <c r="AW1393" s="82" t="s">
        <v>13575</v>
      </c>
      <c r="AX1393" s="82" t="s">
        <v>13575</v>
      </c>
      <c r="AY1393" s="77"/>
      <c r="AZ1393" s="82" t="s">
        <v>15804</v>
      </c>
      <c r="BA1393" s="82" t="s">
        <v>15804</v>
      </c>
      <c r="BB1393" s="82" t="s">
        <v>13574</v>
      </c>
      <c r="BC1393" s="82" t="s">
        <v>13574</v>
      </c>
      <c r="BD1393" s="82" t="s">
        <v>16387</v>
      </c>
      <c r="BE1393" s="77"/>
      <c r="BF1393" s="77"/>
      <c r="BG1393" s="77"/>
      <c r="BH1393" s="77"/>
      <c r="BI1393" s="77"/>
    </row>
    <row r="1394" spans="1:61" x14ac:dyDescent="0.25">
      <c r="A1394" s="62" t="s">
        <v>664</v>
      </c>
      <c r="B1394" s="62" t="s">
        <v>664</v>
      </c>
      <c r="C1394" s="63"/>
      <c r="D1394" s="64"/>
      <c r="E1394" s="65"/>
      <c r="F1394" s="66"/>
      <c r="G1394" s="63"/>
      <c r="H1394" s="67"/>
      <c r="I1394" s="68"/>
      <c r="J1394" s="68"/>
      <c r="K1394" s="32"/>
      <c r="L1394" s="75">
        <v>1394</v>
      </c>
      <c r="M1394" s="75"/>
      <c r="N1394" s="70"/>
      <c r="O1394" s="77" t="s">
        <v>1133</v>
      </c>
      <c r="P1394" s="79">
        <v>45181.375023148146</v>
      </c>
      <c r="Q1394" s="77" t="s">
        <v>2483</v>
      </c>
      <c r="R1394" s="77">
        <v>0</v>
      </c>
      <c r="S1394" s="77">
        <v>1</v>
      </c>
      <c r="T1394" s="77">
        <v>0</v>
      </c>
      <c r="U1394" s="77">
        <v>0</v>
      </c>
      <c r="V1394" s="77">
        <v>5</v>
      </c>
      <c r="W1394" s="82" t="s">
        <v>5047</v>
      </c>
      <c r="X1394" s="77"/>
      <c r="Y1394" s="77"/>
      <c r="Z1394" s="77" t="s">
        <v>6127</v>
      </c>
      <c r="AA1394" s="77" t="s">
        <v>7034</v>
      </c>
      <c r="AB1394" s="77" t="s">
        <v>7696</v>
      </c>
      <c r="AC1394" s="82" t="s">
        <v>7706</v>
      </c>
      <c r="AD1394" s="77" t="s">
        <v>7745</v>
      </c>
      <c r="AE1394" s="80" t="str">
        <f>HYPERLINK("https://twitter.com/ourbooksbr/status/1701521038167970108")</f>
        <v>https://twitter.com/ourbooksbr/status/1701521038167970108</v>
      </c>
      <c r="AF1394" s="79">
        <v>45181.375023148146</v>
      </c>
      <c r="AG1394" s="85">
        <v>45181</v>
      </c>
      <c r="AH1394" s="82" t="s">
        <v>8380</v>
      </c>
      <c r="AI1394" s="77" t="b">
        <v>0</v>
      </c>
      <c r="AJ1394" s="77"/>
      <c r="AK1394" s="77"/>
      <c r="AL1394" s="77"/>
      <c r="AM1394" s="77"/>
      <c r="AN1394" s="77"/>
      <c r="AO1394" s="77"/>
      <c r="AP1394" s="77"/>
      <c r="AQ1394" s="77" t="s">
        <v>11541</v>
      </c>
      <c r="AR1394" s="77"/>
      <c r="AS1394" s="77"/>
      <c r="AT1394" s="77"/>
      <c r="AU1394" s="77"/>
      <c r="AV1394" s="80" t="str">
        <f>HYPERLINK("https://pbs.twimg.com/media/F5mT2W1WgAALbYK.jpg")</f>
        <v>https://pbs.twimg.com/media/F5mT2W1WgAALbYK.jpg</v>
      </c>
      <c r="AW1394" s="82" t="s">
        <v>13572</v>
      </c>
      <c r="AX1394" s="82" t="s">
        <v>13572</v>
      </c>
      <c r="AY1394" s="77"/>
      <c r="AZ1394" s="82" t="s">
        <v>15804</v>
      </c>
      <c r="BA1394" s="82" t="s">
        <v>15804</v>
      </c>
      <c r="BB1394" s="82" t="s">
        <v>15804</v>
      </c>
      <c r="BC1394" s="82" t="s">
        <v>13572</v>
      </c>
      <c r="BD1394" s="82" t="s">
        <v>16386</v>
      </c>
      <c r="BE1394" s="77"/>
      <c r="BF1394" s="77"/>
      <c r="BG1394" s="77"/>
      <c r="BH1394" s="77"/>
      <c r="BI1394" s="77"/>
    </row>
    <row r="1395" spans="1:61" x14ac:dyDescent="0.25">
      <c r="A1395" s="62" t="s">
        <v>664</v>
      </c>
      <c r="B1395" s="62" t="s">
        <v>664</v>
      </c>
      <c r="C1395" s="63"/>
      <c r="D1395" s="64"/>
      <c r="E1395" s="65"/>
      <c r="F1395" s="66"/>
      <c r="G1395" s="63"/>
      <c r="H1395" s="67"/>
      <c r="I1395" s="68"/>
      <c r="J1395" s="68"/>
      <c r="K1395" s="32"/>
      <c r="L1395" s="75">
        <v>1395</v>
      </c>
      <c r="M1395" s="75"/>
      <c r="N1395" s="70"/>
      <c r="O1395" s="77" t="s">
        <v>1133</v>
      </c>
      <c r="P1395" s="79">
        <v>45180.645833333336</v>
      </c>
      <c r="Q1395" s="77" t="s">
        <v>2487</v>
      </c>
      <c r="R1395" s="77">
        <v>0</v>
      </c>
      <c r="S1395" s="77">
        <v>1</v>
      </c>
      <c r="T1395" s="77">
        <v>0</v>
      </c>
      <c r="U1395" s="77">
        <v>0</v>
      </c>
      <c r="V1395" s="77">
        <v>4</v>
      </c>
      <c r="W1395" s="82" t="s">
        <v>5048</v>
      </c>
      <c r="X1395" s="77"/>
      <c r="Y1395" s="77"/>
      <c r="Z1395" s="77" t="s">
        <v>664</v>
      </c>
      <c r="AA1395" s="77" t="s">
        <v>7037</v>
      </c>
      <c r="AB1395" s="77" t="s">
        <v>7696</v>
      </c>
      <c r="AC1395" s="82" t="s">
        <v>7706</v>
      </c>
      <c r="AD1395" s="77" t="s">
        <v>7745</v>
      </c>
      <c r="AE1395" s="80" t="str">
        <f>HYPERLINK("https://twitter.com/ourbooksbr/status/1701256785687134671")</f>
        <v>https://twitter.com/ourbooksbr/status/1701256785687134671</v>
      </c>
      <c r="AF1395" s="79">
        <v>45180.645833333336</v>
      </c>
      <c r="AG1395" s="85">
        <v>45180</v>
      </c>
      <c r="AH1395" s="82" t="s">
        <v>8996</v>
      </c>
      <c r="AI1395" s="77" t="b">
        <v>0</v>
      </c>
      <c r="AJ1395" s="77"/>
      <c r="AK1395" s="77"/>
      <c r="AL1395" s="77"/>
      <c r="AM1395" s="77"/>
      <c r="AN1395" s="77"/>
      <c r="AO1395" s="77"/>
      <c r="AP1395" s="77"/>
      <c r="AQ1395" s="77" t="s">
        <v>11544</v>
      </c>
      <c r="AR1395" s="77"/>
      <c r="AS1395" s="77"/>
      <c r="AT1395" s="77"/>
      <c r="AU1395" s="77"/>
      <c r="AV1395" s="80" t="str">
        <f>HYPERLINK("https://pbs.twimg.com/media/F5mSwqoWEAA9Wje.jpg")</f>
        <v>https://pbs.twimg.com/media/F5mSwqoWEAA9Wje.jpg</v>
      </c>
      <c r="AW1395" s="82" t="s">
        <v>13576</v>
      </c>
      <c r="AX1395" s="82" t="s">
        <v>13576</v>
      </c>
      <c r="AY1395" s="77"/>
      <c r="AZ1395" s="82" t="s">
        <v>15804</v>
      </c>
      <c r="BA1395" s="82" t="s">
        <v>15804</v>
      </c>
      <c r="BB1395" s="82" t="s">
        <v>15804</v>
      </c>
      <c r="BC1395" s="82" t="s">
        <v>13576</v>
      </c>
      <c r="BD1395" s="82" t="s">
        <v>16386</v>
      </c>
      <c r="BE1395" s="77"/>
      <c r="BF1395" s="77"/>
      <c r="BG1395" s="77"/>
      <c r="BH1395" s="77"/>
      <c r="BI1395" s="77"/>
    </row>
    <row r="1396" spans="1:61" x14ac:dyDescent="0.25">
      <c r="A1396" s="62" t="s">
        <v>664</v>
      </c>
      <c r="B1396" s="62" t="s">
        <v>664</v>
      </c>
      <c r="C1396" s="63"/>
      <c r="D1396" s="64"/>
      <c r="E1396" s="65"/>
      <c r="F1396" s="66"/>
      <c r="G1396" s="63"/>
      <c r="H1396" s="67"/>
      <c r="I1396" s="68"/>
      <c r="J1396" s="68"/>
      <c r="K1396" s="32"/>
      <c r="L1396" s="75">
        <v>1396</v>
      </c>
      <c r="M1396" s="75"/>
      <c r="N1396" s="70"/>
      <c r="O1396" s="77" t="s">
        <v>1133</v>
      </c>
      <c r="P1396" s="79">
        <v>45182</v>
      </c>
      <c r="Q1396" s="77" t="s">
        <v>2488</v>
      </c>
      <c r="R1396" s="77">
        <v>1</v>
      </c>
      <c r="S1396" s="77">
        <v>1</v>
      </c>
      <c r="T1396" s="77">
        <v>0</v>
      </c>
      <c r="U1396" s="77">
        <v>0</v>
      </c>
      <c r="V1396" s="77">
        <v>4</v>
      </c>
      <c r="W1396" s="82" t="s">
        <v>5049</v>
      </c>
      <c r="X1396" s="77"/>
      <c r="Y1396" s="77"/>
      <c r="Z1396" s="77" t="s">
        <v>664</v>
      </c>
      <c r="AA1396" s="77" t="s">
        <v>7038</v>
      </c>
      <c r="AB1396" s="77" t="s">
        <v>7696</v>
      </c>
      <c r="AC1396" s="82" t="s">
        <v>7706</v>
      </c>
      <c r="AD1396" s="77" t="s">
        <v>7745</v>
      </c>
      <c r="AE1396" s="80" t="str">
        <f>HYPERLINK("https://twitter.com/ourbooksbr/status/1701747519712305472")</f>
        <v>https://twitter.com/ourbooksbr/status/1701747519712305472</v>
      </c>
      <c r="AF1396" s="79">
        <v>45182</v>
      </c>
      <c r="AG1396" s="85">
        <v>45182</v>
      </c>
      <c r="AH1396" s="82" t="s">
        <v>8997</v>
      </c>
      <c r="AI1396" s="77" t="b">
        <v>0</v>
      </c>
      <c r="AJ1396" s="77"/>
      <c r="AK1396" s="77"/>
      <c r="AL1396" s="77"/>
      <c r="AM1396" s="77"/>
      <c r="AN1396" s="77"/>
      <c r="AO1396" s="77"/>
      <c r="AP1396" s="77"/>
      <c r="AQ1396" s="77" t="s">
        <v>11545</v>
      </c>
      <c r="AR1396" s="77"/>
      <c r="AS1396" s="77"/>
      <c r="AT1396" s="77"/>
      <c r="AU1396" s="77"/>
      <c r="AV1396" s="80" t="str">
        <f>HYPERLINK("https://pbs.twimg.com/media/F5mWzKwW0AAGzvZ.jpg")</f>
        <v>https://pbs.twimg.com/media/F5mWzKwW0AAGzvZ.jpg</v>
      </c>
      <c r="AW1396" s="82" t="s">
        <v>13577</v>
      </c>
      <c r="AX1396" s="82" t="s">
        <v>13577</v>
      </c>
      <c r="AY1396" s="77"/>
      <c r="AZ1396" s="82" t="s">
        <v>15804</v>
      </c>
      <c r="BA1396" s="82" t="s">
        <v>15804</v>
      </c>
      <c r="BB1396" s="82" t="s">
        <v>15804</v>
      </c>
      <c r="BC1396" s="82" t="s">
        <v>13577</v>
      </c>
      <c r="BD1396" s="82" t="s">
        <v>16386</v>
      </c>
      <c r="BE1396" s="77"/>
      <c r="BF1396" s="77"/>
      <c r="BG1396" s="77"/>
      <c r="BH1396" s="77"/>
      <c r="BI1396" s="77"/>
    </row>
    <row r="1397" spans="1:61" x14ac:dyDescent="0.25">
      <c r="A1397" s="62" t="s">
        <v>664</v>
      </c>
      <c r="B1397" s="62" t="s">
        <v>664</v>
      </c>
      <c r="C1397" s="63"/>
      <c r="D1397" s="64"/>
      <c r="E1397" s="65"/>
      <c r="F1397" s="66"/>
      <c r="G1397" s="63"/>
      <c r="H1397" s="67"/>
      <c r="I1397" s="68"/>
      <c r="J1397" s="68"/>
      <c r="K1397" s="32"/>
      <c r="L1397" s="75">
        <v>1397</v>
      </c>
      <c r="M1397" s="75"/>
      <c r="N1397" s="70"/>
      <c r="O1397" s="77" t="s">
        <v>1133</v>
      </c>
      <c r="P1397" s="79">
        <v>45182.375</v>
      </c>
      <c r="Q1397" s="77" t="s">
        <v>2484</v>
      </c>
      <c r="R1397" s="77">
        <v>0</v>
      </c>
      <c r="S1397" s="77">
        <v>0</v>
      </c>
      <c r="T1397" s="77">
        <v>0</v>
      </c>
      <c r="U1397" s="77">
        <v>0</v>
      </c>
      <c r="V1397" s="77">
        <v>2</v>
      </c>
      <c r="W1397" s="82" t="s">
        <v>5047</v>
      </c>
      <c r="X1397" s="77"/>
      <c r="Y1397" s="77"/>
      <c r="Z1397" s="77" t="s">
        <v>6127</v>
      </c>
      <c r="AA1397" s="77" t="s">
        <v>7035</v>
      </c>
      <c r="AB1397" s="77" t="s">
        <v>7696</v>
      </c>
      <c r="AC1397" s="82" t="s">
        <v>7706</v>
      </c>
      <c r="AD1397" s="77" t="s">
        <v>7745</v>
      </c>
      <c r="AE1397" s="80" t="str">
        <f>HYPERLINK("https://twitter.com/ourbooksbr/status/1701883416319521140")</f>
        <v>https://twitter.com/ourbooksbr/status/1701883416319521140</v>
      </c>
      <c r="AF1397" s="79">
        <v>45182.375</v>
      </c>
      <c r="AG1397" s="85">
        <v>45182</v>
      </c>
      <c r="AH1397" s="82" t="s">
        <v>8378</v>
      </c>
      <c r="AI1397" s="77" t="b">
        <v>0</v>
      </c>
      <c r="AJ1397" s="77"/>
      <c r="AK1397" s="77"/>
      <c r="AL1397" s="77"/>
      <c r="AM1397" s="77"/>
      <c r="AN1397" s="77"/>
      <c r="AO1397" s="77"/>
      <c r="AP1397" s="77"/>
      <c r="AQ1397" s="77" t="s">
        <v>11542</v>
      </c>
      <c r="AR1397" s="77"/>
      <c r="AS1397" s="77"/>
      <c r="AT1397" s="77"/>
      <c r="AU1397" s="77"/>
      <c r="AV1397" s="80" t="str">
        <f>HYPERLINK("https://pbs.twimg.com/media/F5mYUO9WUAAsQl0.jpg")</f>
        <v>https://pbs.twimg.com/media/F5mYUO9WUAAsQl0.jpg</v>
      </c>
      <c r="AW1397" s="82" t="s">
        <v>13573</v>
      </c>
      <c r="AX1397" s="82" t="s">
        <v>13573</v>
      </c>
      <c r="AY1397" s="77"/>
      <c r="AZ1397" s="82" t="s">
        <v>15804</v>
      </c>
      <c r="BA1397" s="82" t="s">
        <v>15804</v>
      </c>
      <c r="BB1397" s="82" t="s">
        <v>15804</v>
      </c>
      <c r="BC1397" s="82" t="s">
        <v>13573</v>
      </c>
      <c r="BD1397" s="82" t="s">
        <v>16386</v>
      </c>
      <c r="BE1397" s="77"/>
      <c r="BF1397" s="77"/>
      <c r="BG1397" s="77"/>
      <c r="BH1397" s="77"/>
      <c r="BI1397" s="77"/>
    </row>
    <row r="1398" spans="1:61" x14ac:dyDescent="0.25">
      <c r="A1398" s="62" t="s">
        <v>664</v>
      </c>
      <c r="B1398" s="62" t="s">
        <v>664</v>
      </c>
      <c r="C1398" s="63"/>
      <c r="D1398" s="64"/>
      <c r="E1398" s="65"/>
      <c r="F1398" s="66"/>
      <c r="G1398" s="63"/>
      <c r="H1398" s="67"/>
      <c r="I1398" s="68"/>
      <c r="J1398" s="68"/>
      <c r="K1398" s="32"/>
      <c r="L1398" s="75">
        <v>1398</v>
      </c>
      <c r="M1398" s="75"/>
      <c r="N1398" s="70"/>
      <c r="O1398" s="77" t="s">
        <v>1133</v>
      </c>
      <c r="P1398" s="79">
        <v>45180.875011574077</v>
      </c>
      <c r="Q1398" s="77" t="s">
        <v>2485</v>
      </c>
      <c r="R1398" s="77">
        <v>1</v>
      </c>
      <c r="S1398" s="77">
        <v>1</v>
      </c>
      <c r="T1398" s="77">
        <v>0</v>
      </c>
      <c r="U1398" s="77">
        <v>0</v>
      </c>
      <c r="V1398" s="77">
        <v>7</v>
      </c>
      <c r="W1398" s="82" t="s">
        <v>5047</v>
      </c>
      <c r="X1398" s="77"/>
      <c r="Y1398" s="77"/>
      <c r="Z1398" s="77" t="s">
        <v>6127</v>
      </c>
      <c r="AA1398" s="77" t="s">
        <v>7036</v>
      </c>
      <c r="AB1398" s="77" t="s">
        <v>7696</v>
      </c>
      <c r="AC1398" s="82" t="s">
        <v>7706</v>
      </c>
      <c r="AD1398" s="77" t="s">
        <v>7745</v>
      </c>
      <c r="AE1398" s="80" t="str">
        <f>HYPERLINK("https://twitter.com/ourbooksbr/status/1701339836345631071")</f>
        <v>https://twitter.com/ourbooksbr/status/1701339836345631071</v>
      </c>
      <c r="AF1398" s="79">
        <v>45180.875011574077</v>
      </c>
      <c r="AG1398" s="85">
        <v>45180</v>
      </c>
      <c r="AH1398" s="82" t="s">
        <v>8547</v>
      </c>
      <c r="AI1398" s="77" t="b">
        <v>0</v>
      </c>
      <c r="AJ1398" s="77"/>
      <c r="AK1398" s="77"/>
      <c r="AL1398" s="77"/>
      <c r="AM1398" s="77"/>
      <c r="AN1398" s="77"/>
      <c r="AO1398" s="77"/>
      <c r="AP1398" s="77"/>
      <c r="AQ1398" s="77" t="s">
        <v>11543</v>
      </c>
      <c r="AR1398" s="77"/>
      <c r="AS1398" s="77"/>
      <c r="AT1398" s="77"/>
      <c r="AU1398" s="77"/>
      <c r="AV1398" s="80" t="str">
        <f>HYPERLINK("https://pbs.twimg.com/media/F5mRd-nW8AADpB2.jpg")</f>
        <v>https://pbs.twimg.com/media/F5mRd-nW8AADpB2.jpg</v>
      </c>
      <c r="AW1398" s="82" t="s">
        <v>13574</v>
      </c>
      <c r="AX1398" s="82" t="s">
        <v>13574</v>
      </c>
      <c r="AY1398" s="77"/>
      <c r="AZ1398" s="82" t="s">
        <v>15804</v>
      </c>
      <c r="BA1398" s="82" t="s">
        <v>15804</v>
      </c>
      <c r="BB1398" s="82" t="s">
        <v>15804</v>
      </c>
      <c r="BC1398" s="82" t="s">
        <v>13574</v>
      </c>
      <c r="BD1398" s="82" t="s">
        <v>16386</v>
      </c>
      <c r="BE1398" s="77"/>
      <c r="BF1398" s="77"/>
      <c r="BG1398" s="77"/>
      <c r="BH1398" s="77"/>
      <c r="BI1398" s="77"/>
    </row>
    <row r="1399" spans="1:61" x14ac:dyDescent="0.25">
      <c r="A1399" s="62" t="s">
        <v>665</v>
      </c>
      <c r="B1399" s="62" t="s">
        <v>664</v>
      </c>
      <c r="C1399" s="63"/>
      <c r="D1399" s="64"/>
      <c r="E1399" s="65"/>
      <c r="F1399" s="66"/>
      <c r="G1399" s="63"/>
      <c r="H1399" s="67"/>
      <c r="I1399" s="68"/>
      <c r="J1399" s="68"/>
      <c r="K1399" s="32"/>
      <c r="L1399" s="75">
        <v>1399</v>
      </c>
      <c r="M1399" s="75"/>
      <c r="N1399" s="70"/>
      <c r="O1399" s="77" t="s">
        <v>1138</v>
      </c>
      <c r="P1399" s="79">
        <v>45181.618333333332</v>
      </c>
      <c r="Q1399" s="77" t="s">
        <v>2486</v>
      </c>
      <c r="R1399" s="77">
        <v>1</v>
      </c>
      <c r="S1399" s="77">
        <v>0</v>
      </c>
      <c r="T1399" s="77">
        <v>0</v>
      </c>
      <c r="U1399" s="77">
        <v>0</v>
      </c>
      <c r="V1399" s="77"/>
      <c r="W1399" s="77"/>
      <c r="X1399" s="77"/>
      <c r="Y1399" s="77"/>
      <c r="Z1399" s="77" t="s">
        <v>6128</v>
      </c>
      <c r="AA1399" s="77"/>
      <c r="AB1399" s="77"/>
      <c r="AC1399" s="82" t="s">
        <v>7707</v>
      </c>
      <c r="AD1399" s="77" t="s">
        <v>7745</v>
      </c>
      <c r="AE1399" s="80" t="str">
        <f>HYPERLINK("https://twitter.com/cgta_carlos/status/1701609210377859268")</f>
        <v>https://twitter.com/cgta_carlos/status/1701609210377859268</v>
      </c>
      <c r="AF1399" s="79">
        <v>45181.618333333332</v>
      </c>
      <c r="AG1399" s="85">
        <v>45181</v>
      </c>
      <c r="AH1399" s="82" t="s">
        <v>8995</v>
      </c>
      <c r="AI1399" s="77"/>
      <c r="AJ1399" s="77"/>
      <c r="AK1399" s="77"/>
      <c r="AL1399" s="77"/>
      <c r="AM1399" s="77"/>
      <c r="AN1399" s="77"/>
      <c r="AO1399" s="77"/>
      <c r="AP1399" s="77"/>
      <c r="AQ1399" s="77"/>
      <c r="AR1399" s="77"/>
      <c r="AS1399" s="77"/>
      <c r="AT1399" s="77"/>
      <c r="AU1399" s="77"/>
      <c r="AV1399" s="80" t="str">
        <f>HYPERLINK("https://pbs.twimg.com/profile_images/1080333363909718017/WsWHKHAl_normal.jpg")</f>
        <v>https://pbs.twimg.com/profile_images/1080333363909718017/WsWHKHAl_normal.jpg</v>
      </c>
      <c r="AW1399" s="82" t="s">
        <v>13575</v>
      </c>
      <c r="AX1399" s="82" t="s">
        <v>13575</v>
      </c>
      <c r="AY1399" s="77"/>
      <c r="AZ1399" s="82" t="s">
        <v>15804</v>
      </c>
      <c r="BA1399" s="82" t="s">
        <v>15804</v>
      </c>
      <c r="BB1399" s="82" t="s">
        <v>13574</v>
      </c>
      <c r="BC1399" s="82" t="s">
        <v>13574</v>
      </c>
      <c r="BD1399" s="82" t="s">
        <v>16387</v>
      </c>
      <c r="BE1399" s="77"/>
      <c r="BF1399" s="77"/>
      <c r="BG1399" s="77"/>
      <c r="BH1399" s="77"/>
      <c r="BI1399" s="77"/>
    </row>
    <row r="1400" spans="1:61" x14ac:dyDescent="0.25">
      <c r="A1400" s="62" t="s">
        <v>665</v>
      </c>
      <c r="B1400" s="62" t="s">
        <v>664</v>
      </c>
      <c r="C1400" s="63"/>
      <c r="D1400" s="64"/>
      <c r="E1400" s="65"/>
      <c r="F1400" s="66"/>
      <c r="G1400" s="63"/>
      <c r="H1400" s="67"/>
      <c r="I1400" s="68"/>
      <c r="J1400" s="68"/>
      <c r="K1400" s="32"/>
      <c r="L1400" s="75">
        <v>1400</v>
      </c>
      <c r="M1400" s="75"/>
      <c r="N1400" s="70"/>
      <c r="O1400" s="77" t="s">
        <v>1134</v>
      </c>
      <c r="P1400" s="79">
        <v>45181.618333333332</v>
      </c>
      <c r="Q1400" s="77" t="s">
        <v>2486</v>
      </c>
      <c r="R1400" s="77">
        <v>1</v>
      </c>
      <c r="S1400" s="77">
        <v>0</v>
      </c>
      <c r="T1400" s="77">
        <v>0</v>
      </c>
      <c r="U1400" s="77">
        <v>0</v>
      </c>
      <c r="V1400" s="77"/>
      <c r="W1400" s="77"/>
      <c r="X1400" s="77"/>
      <c r="Y1400" s="77"/>
      <c r="Z1400" s="77" t="s">
        <v>6128</v>
      </c>
      <c r="AA1400" s="77"/>
      <c r="AB1400" s="77"/>
      <c r="AC1400" s="82" t="s">
        <v>7707</v>
      </c>
      <c r="AD1400" s="77" t="s">
        <v>7745</v>
      </c>
      <c r="AE1400" s="80" t="str">
        <f>HYPERLINK("https://twitter.com/cgta_carlos/status/1701609210377859268")</f>
        <v>https://twitter.com/cgta_carlos/status/1701609210377859268</v>
      </c>
      <c r="AF1400" s="79">
        <v>45181.618333333332</v>
      </c>
      <c r="AG1400" s="85">
        <v>45181</v>
      </c>
      <c r="AH1400" s="82" t="s">
        <v>8995</v>
      </c>
      <c r="AI1400" s="77"/>
      <c r="AJ1400" s="77"/>
      <c r="AK1400" s="77"/>
      <c r="AL1400" s="77"/>
      <c r="AM1400" s="77"/>
      <c r="AN1400" s="77"/>
      <c r="AO1400" s="77"/>
      <c r="AP1400" s="77"/>
      <c r="AQ1400" s="77"/>
      <c r="AR1400" s="77"/>
      <c r="AS1400" s="77"/>
      <c r="AT1400" s="77"/>
      <c r="AU1400" s="77"/>
      <c r="AV1400" s="80" t="str">
        <f>HYPERLINK("https://pbs.twimg.com/profile_images/1080333363909718017/WsWHKHAl_normal.jpg")</f>
        <v>https://pbs.twimg.com/profile_images/1080333363909718017/WsWHKHAl_normal.jpg</v>
      </c>
      <c r="AW1400" s="82" t="s">
        <v>13575</v>
      </c>
      <c r="AX1400" s="82" t="s">
        <v>13575</v>
      </c>
      <c r="AY1400" s="77"/>
      <c r="AZ1400" s="82" t="s">
        <v>15804</v>
      </c>
      <c r="BA1400" s="82" t="s">
        <v>15804</v>
      </c>
      <c r="BB1400" s="82" t="s">
        <v>13574</v>
      </c>
      <c r="BC1400" s="82" t="s">
        <v>13574</v>
      </c>
      <c r="BD1400" s="82" t="s">
        <v>16387</v>
      </c>
      <c r="BE1400" s="77"/>
      <c r="BF1400" s="77"/>
      <c r="BG1400" s="77"/>
      <c r="BH1400" s="77"/>
      <c r="BI1400" s="77"/>
    </row>
    <row r="1401" spans="1:61" x14ac:dyDescent="0.25">
      <c r="A1401" s="62" t="s">
        <v>665</v>
      </c>
      <c r="B1401" s="62" t="s">
        <v>664</v>
      </c>
      <c r="C1401" s="63"/>
      <c r="D1401" s="64"/>
      <c r="E1401" s="65"/>
      <c r="F1401" s="66"/>
      <c r="G1401" s="63"/>
      <c r="H1401" s="67"/>
      <c r="I1401" s="68"/>
      <c r="J1401" s="68"/>
      <c r="K1401" s="32"/>
      <c r="L1401" s="75">
        <v>1401</v>
      </c>
      <c r="M1401" s="75"/>
      <c r="N1401" s="70"/>
      <c r="O1401" s="77" t="s">
        <v>1138</v>
      </c>
      <c r="P1401" s="79">
        <v>45182.563101851854</v>
      </c>
      <c r="Q1401" s="77" t="s">
        <v>2489</v>
      </c>
      <c r="R1401" s="77">
        <v>1</v>
      </c>
      <c r="S1401" s="77">
        <v>0</v>
      </c>
      <c r="T1401" s="77">
        <v>0</v>
      </c>
      <c r="U1401" s="77">
        <v>0</v>
      </c>
      <c r="V1401" s="77"/>
      <c r="W1401" s="77"/>
      <c r="X1401" s="77"/>
      <c r="Y1401" s="77"/>
      <c r="Z1401" s="77" t="s">
        <v>6129</v>
      </c>
      <c r="AA1401" s="77"/>
      <c r="AB1401" s="77"/>
      <c r="AC1401" s="82" t="s">
        <v>7707</v>
      </c>
      <c r="AD1401" s="77" t="s">
        <v>7745</v>
      </c>
      <c r="AE1401" s="80" t="str">
        <f>HYPERLINK("https://twitter.com/cgta_carlos/status/1701951583238471706")</f>
        <v>https://twitter.com/cgta_carlos/status/1701951583238471706</v>
      </c>
      <c r="AF1401" s="79">
        <v>45182.563101851854</v>
      </c>
      <c r="AG1401" s="85">
        <v>45182</v>
      </c>
      <c r="AH1401" s="82" t="s">
        <v>8998</v>
      </c>
      <c r="AI1401" s="77"/>
      <c r="AJ1401" s="77"/>
      <c r="AK1401" s="77"/>
      <c r="AL1401" s="77"/>
      <c r="AM1401" s="77"/>
      <c r="AN1401" s="77"/>
      <c r="AO1401" s="77"/>
      <c r="AP1401" s="77"/>
      <c r="AQ1401" s="77"/>
      <c r="AR1401" s="77"/>
      <c r="AS1401" s="77"/>
      <c r="AT1401" s="77"/>
      <c r="AU1401" s="77"/>
      <c r="AV1401" s="80" t="str">
        <f>HYPERLINK("https://pbs.twimg.com/profile_images/1080333363909718017/WsWHKHAl_normal.jpg")</f>
        <v>https://pbs.twimg.com/profile_images/1080333363909718017/WsWHKHAl_normal.jpg</v>
      </c>
      <c r="AW1401" s="82" t="s">
        <v>13578</v>
      </c>
      <c r="AX1401" s="82" t="s">
        <v>13578</v>
      </c>
      <c r="AY1401" s="77"/>
      <c r="AZ1401" s="82" t="s">
        <v>15804</v>
      </c>
      <c r="BA1401" s="82" t="s">
        <v>15804</v>
      </c>
      <c r="BB1401" s="82" t="s">
        <v>13577</v>
      </c>
      <c r="BC1401" s="82" t="s">
        <v>13577</v>
      </c>
      <c r="BD1401" s="82" t="s">
        <v>16387</v>
      </c>
      <c r="BE1401" s="77"/>
      <c r="BF1401" s="77"/>
      <c r="BG1401" s="77"/>
      <c r="BH1401" s="77"/>
      <c r="BI1401" s="77"/>
    </row>
    <row r="1402" spans="1:61" x14ac:dyDescent="0.25">
      <c r="A1402" s="62" t="s">
        <v>665</v>
      </c>
      <c r="B1402" s="62" t="s">
        <v>664</v>
      </c>
      <c r="C1402" s="63"/>
      <c r="D1402" s="64"/>
      <c r="E1402" s="65"/>
      <c r="F1402" s="66"/>
      <c r="G1402" s="63"/>
      <c r="H1402" s="67"/>
      <c r="I1402" s="68"/>
      <c r="J1402" s="68"/>
      <c r="K1402" s="32"/>
      <c r="L1402" s="75">
        <v>1402</v>
      </c>
      <c r="M1402" s="75"/>
      <c r="N1402" s="70"/>
      <c r="O1402" s="77" t="s">
        <v>1134</v>
      </c>
      <c r="P1402" s="79">
        <v>45182.563101851854</v>
      </c>
      <c r="Q1402" s="77" t="s">
        <v>2489</v>
      </c>
      <c r="R1402" s="77">
        <v>1</v>
      </c>
      <c r="S1402" s="77">
        <v>0</v>
      </c>
      <c r="T1402" s="77">
        <v>0</v>
      </c>
      <c r="U1402" s="77">
        <v>0</v>
      </c>
      <c r="V1402" s="77"/>
      <c r="W1402" s="77"/>
      <c r="X1402" s="77"/>
      <c r="Y1402" s="77"/>
      <c r="Z1402" s="77" t="s">
        <v>6129</v>
      </c>
      <c r="AA1402" s="77"/>
      <c r="AB1402" s="77"/>
      <c r="AC1402" s="82" t="s">
        <v>7707</v>
      </c>
      <c r="AD1402" s="77" t="s">
        <v>7745</v>
      </c>
      <c r="AE1402" s="80" t="str">
        <f>HYPERLINK("https://twitter.com/cgta_carlos/status/1701951583238471706")</f>
        <v>https://twitter.com/cgta_carlos/status/1701951583238471706</v>
      </c>
      <c r="AF1402" s="79">
        <v>45182.563101851854</v>
      </c>
      <c r="AG1402" s="85">
        <v>45182</v>
      </c>
      <c r="AH1402" s="82" t="s">
        <v>8998</v>
      </c>
      <c r="AI1402" s="77"/>
      <c r="AJ1402" s="77"/>
      <c r="AK1402" s="77"/>
      <c r="AL1402" s="77"/>
      <c r="AM1402" s="77"/>
      <c r="AN1402" s="77"/>
      <c r="AO1402" s="77"/>
      <c r="AP1402" s="77"/>
      <c r="AQ1402" s="77"/>
      <c r="AR1402" s="77"/>
      <c r="AS1402" s="77"/>
      <c r="AT1402" s="77"/>
      <c r="AU1402" s="77"/>
      <c r="AV1402" s="80" t="str">
        <f>HYPERLINK("https://pbs.twimg.com/profile_images/1080333363909718017/WsWHKHAl_normal.jpg")</f>
        <v>https://pbs.twimg.com/profile_images/1080333363909718017/WsWHKHAl_normal.jpg</v>
      </c>
      <c r="AW1402" s="82" t="s">
        <v>13578</v>
      </c>
      <c r="AX1402" s="82" t="s">
        <v>13578</v>
      </c>
      <c r="AY1402" s="77"/>
      <c r="AZ1402" s="82" t="s">
        <v>15804</v>
      </c>
      <c r="BA1402" s="82" t="s">
        <v>15804</v>
      </c>
      <c r="BB1402" s="82" t="s">
        <v>13577</v>
      </c>
      <c r="BC1402" s="82" t="s">
        <v>13577</v>
      </c>
      <c r="BD1402" s="82" t="s">
        <v>16387</v>
      </c>
      <c r="BE1402" s="77"/>
      <c r="BF1402" s="77"/>
      <c r="BG1402" s="77"/>
      <c r="BH1402" s="77"/>
      <c r="BI1402" s="77"/>
    </row>
    <row r="1403" spans="1:61" x14ac:dyDescent="0.25">
      <c r="A1403" s="62" t="s">
        <v>666</v>
      </c>
      <c r="B1403" s="62" t="s">
        <v>666</v>
      </c>
      <c r="C1403" s="63"/>
      <c r="D1403" s="64"/>
      <c r="E1403" s="65"/>
      <c r="F1403" s="66"/>
      <c r="G1403" s="63"/>
      <c r="H1403" s="67"/>
      <c r="I1403" s="68"/>
      <c r="J1403" s="68"/>
      <c r="K1403" s="32"/>
      <c r="L1403" s="75">
        <v>1403</v>
      </c>
      <c r="M1403" s="75"/>
      <c r="N1403" s="70"/>
      <c r="O1403" s="77" t="s">
        <v>179</v>
      </c>
      <c r="P1403" s="79">
        <v>44986.763460648152</v>
      </c>
      <c r="Q1403" s="77" t="s">
        <v>2490</v>
      </c>
      <c r="R1403" s="77">
        <v>0</v>
      </c>
      <c r="S1403" s="77">
        <v>1</v>
      </c>
      <c r="T1403" s="77">
        <v>0</v>
      </c>
      <c r="U1403" s="77">
        <v>0</v>
      </c>
      <c r="V1403" s="77">
        <v>15</v>
      </c>
      <c r="W1403" s="82" t="s">
        <v>5050</v>
      </c>
      <c r="X1403" s="80" t="str">
        <f>HYPERLINK("https://m2msaber.com.br/ead/como-fazer-o-seu-imposto-de-renda-irpf")</f>
        <v>https://m2msaber.com.br/ead/como-fazer-o-seu-imposto-de-renda-irpf</v>
      </c>
      <c r="Y1403" s="77" t="s">
        <v>6002</v>
      </c>
      <c r="Z1403" s="77"/>
      <c r="AA1403" s="77"/>
      <c r="AB1403" s="77"/>
      <c r="AC1403" s="82" t="s">
        <v>7706</v>
      </c>
      <c r="AD1403" s="77" t="s">
        <v>7745</v>
      </c>
      <c r="AE1403" s="80" t="str">
        <f>HYPERLINK("https://twitter.com/m2msaber/status/1630996167524851712")</f>
        <v>https://twitter.com/m2msaber/status/1630996167524851712</v>
      </c>
      <c r="AF1403" s="79">
        <v>44986.763460648152</v>
      </c>
      <c r="AG1403" s="85">
        <v>44986</v>
      </c>
      <c r="AH1403" s="82" t="s">
        <v>8999</v>
      </c>
      <c r="AI1403" s="77" t="b">
        <v>0</v>
      </c>
      <c r="AJ1403" s="77"/>
      <c r="AK1403" s="77"/>
      <c r="AL1403" s="77"/>
      <c r="AM1403" s="77"/>
      <c r="AN1403" s="77"/>
      <c r="AO1403" s="77"/>
      <c r="AP1403" s="77"/>
      <c r="AQ1403" s="77"/>
      <c r="AR1403" s="77"/>
      <c r="AS1403" s="77"/>
      <c r="AT1403" s="77"/>
      <c r="AU1403" s="77"/>
      <c r="AV1403" s="80" t="str">
        <f>HYPERLINK("https://pbs.twimg.com/profile_images/1509236676157181960/7mo-3Qq-_normal.png")</f>
        <v>https://pbs.twimg.com/profile_images/1509236676157181960/7mo-3Qq-_normal.png</v>
      </c>
      <c r="AW1403" s="82" t="s">
        <v>13579</v>
      </c>
      <c r="AX1403" s="82" t="s">
        <v>13579</v>
      </c>
      <c r="AY1403" s="77"/>
      <c r="AZ1403" s="82" t="s">
        <v>15804</v>
      </c>
      <c r="BA1403" s="82" t="s">
        <v>15804</v>
      </c>
      <c r="BB1403" s="82" t="s">
        <v>15804</v>
      </c>
      <c r="BC1403" s="82" t="s">
        <v>13579</v>
      </c>
      <c r="BD1403" s="77">
        <v>491308384</v>
      </c>
      <c r="BE1403" s="77"/>
      <c r="BF1403" s="77"/>
      <c r="BG1403" s="77"/>
      <c r="BH1403" s="77"/>
      <c r="BI1403" s="77"/>
    </row>
    <row r="1404" spans="1:61" x14ac:dyDescent="0.25">
      <c r="A1404" s="62" t="s">
        <v>667</v>
      </c>
      <c r="B1404" s="62" t="s">
        <v>667</v>
      </c>
      <c r="C1404" s="63"/>
      <c r="D1404" s="64"/>
      <c r="E1404" s="65"/>
      <c r="F1404" s="66"/>
      <c r="G1404" s="63"/>
      <c r="H1404" s="67"/>
      <c r="I1404" s="68"/>
      <c r="J1404" s="68"/>
      <c r="K1404" s="32"/>
      <c r="L1404" s="75">
        <v>1404</v>
      </c>
      <c r="M1404" s="75"/>
      <c r="N1404" s="70"/>
      <c r="O1404" s="77" t="s">
        <v>179</v>
      </c>
      <c r="P1404" s="79">
        <v>45177.830925925926</v>
      </c>
      <c r="Q1404" s="77" t="s">
        <v>2491</v>
      </c>
      <c r="R1404" s="77">
        <v>0</v>
      </c>
      <c r="S1404" s="77">
        <v>0</v>
      </c>
      <c r="T1404" s="77">
        <v>0</v>
      </c>
      <c r="U1404" s="77">
        <v>0</v>
      </c>
      <c r="V1404" s="77">
        <v>15</v>
      </c>
      <c r="W1404" s="82" t="s">
        <v>5051</v>
      </c>
      <c r="X1404" s="80" t="str">
        <f>HYPERLINK("https://investireviver.com.br/fazendo-seu-dinheiro-render-com-as-melhores-escolhas-de-investimento/")</f>
        <v>https://investireviver.com.br/fazendo-seu-dinheiro-render-com-as-melhores-escolhas-de-investimento/</v>
      </c>
      <c r="Y1404" s="77" t="s">
        <v>6002</v>
      </c>
      <c r="Z1404" s="77"/>
      <c r="AA1404" s="77"/>
      <c r="AB1404" s="77"/>
      <c r="AC1404" s="82" t="s">
        <v>7706</v>
      </c>
      <c r="AD1404" s="77" t="s">
        <v>7745</v>
      </c>
      <c r="AE1404" s="80" t="str">
        <f>HYPERLINK("https://twitter.com/investireviver8/status/1700236697445765336")</f>
        <v>https://twitter.com/investireviver8/status/1700236697445765336</v>
      </c>
      <c r="AF1404" s="79">
        <v>45177.830925925926</v>
      </c>
      <c r="AG1404" s="85">
        <v>45177</v>
      </c>
      <c r="AH1404" s="82" t="s">
        <v>9000</v>
      </c>
      <c r="AI1404" s="77" t="b">
        <v>0</v>
      </c>
      <c r="AJ1404" s="77"/>
      <c r="AK1404" s="77"/>
      <c r="AL1404" s="77"/>
      <c r="AM1404" s="77"/>
      <c r="AN1404" s="77"/>
      <c r="AO1404" s="77"/>
      <c r="AP1404" s="77"/>
      <c r="AQ1404" s="77"/>
      <c r="AR1404" s="77"/>
      <c r="AS1404" s="77"/>
      <c r="AT1404" s="77"/>
      <c r="AU1404" s="77"/>
      <c r="AV1404" s="80" t="str">
        <f>HYPERLINK("https://pbs.twimg.com/profile_images/1687907833109516288/7INM3SmX_normal.png")</f>
        <v>https://pbs.twimg.com/profile_images/1687907833109516288/7INM3SmX_normal.png</v>
      </c>
      <c r="AW1404" s="82" t="s">
        <v>13580</v>
      </c>
      <c r="AX1404" s="82" t="s">
        <v>13580</v>
      </c>
      <c r="AY1404" s="77"/>
      <c r="AZ1404" s="82" t="s">
        <v>15804</v>
      </c>
      <c r="BA1404" s="82" t="s">
        <v>15804</v>
      </c>
      <c r="BB1404" s="82" t="s">
        <v>15804</v>
      </c>
      <c r="BC1404" s="82" t="s">
        <v>13580</v>
      </c>
      <c r="BD1404" s="82" t="s">
        <v>16388</v>
      </c>
      <c r="BE1404" s="77"/>
      <c r="BF1404" s="77"/>
      <c r="BG1404" s="77"/>
      <c r="BH1404" s="77"/>
      <c r="BI1404" s="77"/>
    </row>
    <row r="1405" spans="1:61" x14ac:dyDescent="0.25">
      <c r="A1405" s="62" t="s">
        <v>668</v>
      </c>
      <c r="B1405" s="62" t="s">
        <v>668</v>
      </c>
      <c r="C1405" s="63"/>
      <c r="D1405" s="64"/>
      <c r="E1405" s="65"/>
      <c r="F1405" s="66"/>
      <c r="G1405" s="63"/>
      <c r="H1405" s="67"/>
      <c r="I1405" s="68"/>
      <c r="J1405" s="68"/>
      <c r="K1405" s="32"/>
      <c r="L1405" s="75">
        <v>1405</v>
      </c>
      <c r="M1405" s="75"/>
      <c r="N1405" s="70"/>
      <c r="O1405" s="77" t="s">
        <v>179</v>
      </c>
      <c r="P1405" s="79">
        <v>45023.708761574075</v>
      </c>
      <c r="Q1405" s="77" t="s">
        <v>2492</v>
      </c>
      <c r="R1405" s="77">
        <v>0</v>
      </c>
      <c r="S1405" s="77">
        <v>0</v>
      </c>
      <c r="T1405" s="77">
        <v>0</v>
      </c>
      <c r="U1405" s="77">
        <v>0</v>
      </c>
      <c r="V1405" s="77">
        <v>31</v>
      </c>
      <c r="W1405" s="82" t="s">
        <v>5052</v>
      </c>
      <c r="X1405" s="80" t="str">
        <f>HYPERLINK("https://mla.bs/10e0bfe5")</f>
        <v>https://mla.bs/10e0bfe5</v>
      </c>
      <c r="Y1405" s="77" t="s">
        <v>6030</v>
      </c>
      <c r="Z1405" s="77"/>
      <c r="AA1405" s="77" t="s">
        <v>7039</v>
      </c>
      <c r="AB1405" s="77" t="s">
        <v>7696</v>
      </c>
      <c r="AC1405" s="82" t="s">
        <v>7708</v>
      </c>
      <c r="AD1405" s="77" t="s">
        <v>7745</v>
      </c>
      <c r="AE1405" s="80" t="str">
        <f>HYPERLINK("https://twitter.com/orcose/status/1644384698439720960")</f>
        <v>https://twitter.com/orcose/status/1644384698439720960</v>
      </c>
      <c r="AF1405" s="79">
        <v>45023.708761574075</v>
      </c>
      <c r="AG1405" s="85">
        <v>45023</v>
      </c>
      <c r="AH1405" s="82" t="s">
        <v>8504</v>
      </c>
      <c r="AI1405" s="77" t="b">
        <v>0</v>
      </c>
      <c r="AJ1405" s="77"/>
      <c r="AK1405" s="77"/>
      <c r="AL1405" s="77"/>
      <c r="AM1405" s="77"/>
      <c r="AN1405" s="77"/>
      <c r="AO1405" s="77"/>
      <c r="AP1405" s="77"/>
      <c r="AQ1405" s="77" t="s">
        <v>11546</v>
      </c>
      <c r="AR1405" s="77"/>
      <c r="AS1405" s="77"/>
      <c r="AT1405" s="77"/>
      <c r="AU1405" s="77"/>
      <c r="AV1405" s="80" t="str">
        <f>HYPERLINK("https://pbs.twimg.com/media/FtIHKzRWABwqfPr.jpg")</f>
        <v>https://pbs.twimg.com/media/FtIHKzRWABwqfPr.jpg</v>
      </c>
      <c r="AW1405" s="82" t="s">
        <v>13581</v>
      </c>
      <c r="AX1405" s="82" t="s">
        <v>13581</v>
      </c>
      <c r="AY1405" s="77"/>
      <c r="AZ1405" s="82" t="s">
        <v>15804</v>
      </c>
      <c r="BA1405" s="82" t="s">
        <v>15804</v>
      </c>
      <c r="BB1405" s="82" t="s">
        <v>15804</v>
      </c>
      <c r="BC1405" s="82" t="s">
        <v>13581</v>
      </c>
      <c r="BD1405" s="77">
        <v>96743223</v>
      </c>
      <c r="BE1405" s="77"/>
      <c r="BF1405" s="77"/>
      <c r="BG1405" s="77"/>
      <c r="BH1405" s="77"/>
      <c r="BI1405" s="77"/>
    </row>
    <row r="1406" spans="1:61" x14ac:dyDescent="0.25">
      <c r="A1406" s="62" t="s">
        <v>668</v>
      </c>
      <c r="B1406" s="62" t="s">
        <v>668</v>
      </c>
      <c r="C1406" s="63"/>
      <c r="D1406" s="64"/>
      <c r="E1406" s="65"/>
      <c r="F1406" s="66"/>
      <c r="G1406" s="63"/>
      <c r="H1406" s="67"/>
      <c r="I1406" s="68"/>
      <c r="J1406" s="68"/>
      <c r="K1406" s="32"/>
      <c r="L1406" s="75">
        <v>1406</v>
      </c>
      <c r="M1406" s="75"/>
      <c r="N1406" s="70"/>
      <c r="O1406" s="77" t="s">
        <v>179</v>
      </c>
      <c r="P1406" s="79">
        <v>45034.708807870367</v>
      </c>
      <c r="Q1406" s="77" t="s">
        <v>2493</v>
      </c>
      <c r="R1406" s="77">
        <v>0</v>
      </c>
      <c r="S1406" s="77">
        <v>0</v>
      </c>
      <c r="T1406" s="77">
        <v>0</v>
      </c>
      <c r="U1406" s="77">
        <v>0</v>
      </c>
      <c r="V1406" s="77">
        <v>38</v>
      </c>
      <c r="W1406" s="82" t="s">
        <v>5053</v>
      </c>
      <c r="X1406" s="80" t="str">
        <f>HYPERLINK("https://mla.bs/3dceff20")</f>
        <v>https://mla.bs/3dceff20</v>
      </c>
      <c r="Y1406" s="77" t="s">
        <v>6030</v>
      </c>
      <c r="Z1406" s="77"/>
      <c r="AA1406" s="77" t="s">
        <v>7040</v>
      </c>
      <c r="AB1406" s="77" t="s">
        <v>7696</v>
      </c>
      <c r="AC1406" s="82" t="s">
        <v>7708</v>
      </c>
      <c r="AD1406" s="77" t="s">
        <v>7745</v>
      </c>
      <c r="AE1406" s="80" t="str">
        <f>HYPERLINK("https://twitter.com/orcose/status/1648370980190928899")</f>
        <v>https://twitter.com/orcose/status/1648370980190928899</v>
      </c>
      <c r="AF1406" s="79">
        <v>45034.708807870367</v>
      </c>
      <c r="AG1406" s="85">
        <v>45034</v>
      </c>
      <c r="AH1406" s="82" t="s">
        <v>9001</v>
      </c>
      <c r="AI1406" s="77" t="b">
        <v>0</v>
      </c>
      <c r="AJ1406" s="77"/>
      <c r="AK1406" s="77"/>
      <c r="AL1406" s="77"/>
      <c r="AM1406" s="77"/>
      <c r="AN1406" s="77"/>
      <c r="AO1406" s="77"/>
      <c r="AP1406" s="77"/>
      <c r="AQ1406" s="77" t="s">
        <v>11547</v>
      </c>
      <c r="AR1406" s="77"/>
      <c r="AS1406" s="77"/>
      <c r="AT1406" s="77"/>
      <c r="AU1406" s="77"/>
      <c r="AV1406" s="80" t="str">
        <f>HYPERLINK("https://pbs.twimg.com/media/FuAwq57XsAAAysD.jpg")</f>
        <v>https://pbs.twimg.com/media/FuAwq57XsAAAysD.jpg</v>
      </c>
      <c r="AW1406" s="82" t="s">
        <v>13582</v>
      </c>
      <c r="AX1406" s="82" t="s">
        <v>13582</v>
      </c>
      <c r="AY1406" s="77"/>
      <c r="AZ1406" s="82" t="s">
        <v>15804</v>
      </c>
      <c r="BA1406" s="82" t="s">
        <v>15804</v>
      </c>
      <c r="BB1406" s="82" t="s">
        <v>15804</v>
      </c>
      <c r="BC1406" s="82" t="s">
        <v>13582</v>
      </c>
      <c r="BD1406" s="77">
        <v>96743223</v>
      </c>
      <c r="BE1406" s="77"/>
      <c r="BF1406" s="77"/>
      <c r="BG1406" s="77"/>
      <c r="BH1406" s="77"/>
      <c r="BI1406" s="77"/>
    </row>
    <row r="1407" spans="1:61" x14ac:dyDescent="0.25">
      <c r="A1407" s="62" t="s">
        <v>668</v>
      </c>
      <c r="B1407" s="62" t="s">
        <v>668</v>
      </c>
      <c r="C1407" s="63"/>
      <c r="D1407" s="64"/>
      <c r="E1407" s="65"/>
      <c r="F1407" s="66"/>
      <c r="G1407" s="63"/>
      <c r="H1407" s="67"/>
      <c r="I1407" s="68"/>
      <c r="J1407" s="68"/>
      <c r="K1407" s="32"/>
      <c r="L1407" s="75">
        <v>1407</v>
      </c>
      <c r="M1407" s="75"/>
      <c r="N1407" s="70"/>
      <c r="O1407" s="77" t="s">
        <v>179</v>
      </c>
      <c r="P1407" s="79">
        <v>45070.834282407406</v>
      </c>
      <c r="Q1407" s="77" t="s">
        <v>2494</v>
      </c>
      <c r="R1407" s="77">
        <v>0</v>
      </c>
      <c r="S1407" s="77">
        <v>0</v>
      </c>
      <c r="T1407" s="77">
        <v>0</v>
      </c>
      <c r="U1407" s="77">
        <v>0</v>
      </c>
      <c r="V1407" s="77">
        <v>44</v>
      </c>
      <c r="W1407" s="82" t="s">
        <v>5054</v>
      </c>
      <c r="X1407" s="77"/>
      <c r="Y1407" s="77"/>
      <c r="Z1407" s="77"/>
      <c r="AA1407" s="77" t="s">
        <v>7041</v>
      </c>
      <c r="AB1407" s="77" t="s">
        <v>7697</v>
      </c>
      <c r="AC1407" s="82" t="s">
        <v>7708</v>
      </c>
      <c r="AD1407" s="77" t="s">
        <v>7745</v>
      </c>
      <c r="AE1407" s="80" t="str">
        <f>HYPERLINK("https://twitter.com/orcose/status/1661462414116659203")</f>
        <v>https://twitter.com/orcose/status/1661462414116659203</v>
      </c>
      <c r="AF1407" s="79">
        <v>45070.834282407406</v>
      </c>
      <c r="AG1407" s="85">
        <v>45070</v>
      </c>
      <c r="AH1407" s="82" t="s">
        <v>9002</v>
      </c>
      <c r="AI1407" s="77" t="b">
        <v>0</v>
      </c>
      <c r="AJ1407" s="77"/>
      <c r="AK1407" s="77"/>
      <c r="AL1407" s="77"/>
      <c r="AM1407" s="77"/>
      <c r="AN1407" s="77"/>
      <c r="AO1407" s="77"/>
      <c r="AP1407" s="77"/>
      <c r="AQ1407" s="77" t="s">
        <v>11548</v>
      </c>
      <c r="AR1407" s="77">
        <v>72863</v>
      </c>
      <c r="AS1407" s="77"/>
      <c r="AT1407" s="77"/>
      <c r="AU1407" s="77">
        <v>13</v>
      </c>
      <c r="AV1407" s="80" t="str">
        <f>HYPERLINK("https://pbs.twimg.com/ext_tw_video_thumb/1661462311356317697/pu/img/k1Qwe-_FabwgR2Lm.jpg")</f>
        <v>https://pbs.twimg.com/ext_tw_video_thumb/1661462311356317697/pu/img/k1Qwe-_FabwgR2Lm.jpg</v>
      </c>
      <c r="AW1407" s="82" t="s">
        <v>13583</v>
      </c>
      <c r="AX1407" s="82" t="s">
        <v>13583</v>
      </c>
      <c r="AY1407" s="77"/>
      <c r="AZ1407" s="82" t="s">
        <v>15804</v>
      </c>
      <c r="BA1407" s="82" t="s">
        <v>15804</v>
      </c>
      <c r="BB1407" s="82" t="s">
        <v>15804</v>
      </c>
      <c r="BC1407" s="82" t="s">
        <v>13583</v>
      </c>
      <c r="BD1407" s="77">
        <v>96743223</v>
      </c>
      <c r="BE1407" s="77"/>
      <c r="BF1407" s="77"/>
      <c r="BG1407" s="77"/>
      <c r="BH1407" s="77"/>
      <c r="BI1407" s="77"/>
    </row>
    <row r="1408" spans="1:61" x14ac:dyDescent="0.25">
      <c r="A1408" s="62" t="s">
        <v>669</v>
      </c>
      <c r="B1408" s="62" t="s">
        <v>669</v>
      </c>
      <c r="C1408" s="63"/>
      <c r="D1408" s="64"/>
      <c r="E1408" s="65"/>
      <c r="F1408" s="66"/>
      <c r="G1408" s="63"/>
      <c r="H1408" s="67"/>
      <c r="I1408" s="68"/>
      <c r="J1408" s="68"/>
      <c r="K1408" s="32"/>
      <c r="L1408" s="75">
        <v>1408</v>
      </c>
      <c r="M1408" s="75"/>
      <c r="N1408" s="70"/>
      <c r="O1408" s="77" t="s">
        <v>179</v>
      </c>
      <c r="P1408" s="79">
        <v>44941.54760416667</v>
      </c>
      <c r="Q1408" s="77" t="s">
        <v>2495</v>
      </c>
      <c r="R1408" s="77">
        <v>0</v>
      </c>
      <c r="S1408" s="77">
        <v>1</v>
      </c>
      <c r="T1408" s="77">
        <v>0</v>
      </c>
      <c r="U1408" s="77">
        <v>0</v>
      </c>
      <c r="V1408" s="77">
        <v>2</v>
      </c>
      <c r="W1408" s="82" t="s">
        <v>5055</v>
      </c>
      <c r="X1408" s="80" t="str">
        <f>HYPERLINK("https://sites.google.com/view/ganhar-dinheiro-meu-negocio/blog/entenda-como-sair-da-crise-financeira-no-lar?authuser=0")</f>
        <v>https://sites.google.com/view/ganhar-dinheiro-meu-negocio/blog/entenda-como-sair-da-crise-financeira-no-lar?authuser=0</v>
      </c>
      <c r="Y1408" s="77" t="s">
        <v>6072</v>
      </c>
      <c r="Z1408" s="77"/>
      <c r="AA1408" s="77"/>
      <c r="AB1408" s="77"/>
      <c r="AC1408" s="82" t="s">
        <v>7706</v>
      </c>
      <c r="AD1408" s="77" t="s">
        <v>7745</v>
      </c>
      <c r="AE1408" s="80" t="str">
        <f>HYPERLINK("https://twitter.com/flaertes27/status/1614610490298191872")</f>
        <v>https://twitter.com/flaertes27/status/1614610490298191872</v>
      </c>
      <c r="AF1408" s="79">
        <v>44941.54760416667</v>
      </c>
      <c r="AG1408" s="85">
        <v>44941</v>
      </c>
      <c r="AH1408" s="82" t="s">
        <v>9003</v>
      </c>
      <c r="AI1408" s="77" t="b">
        <v>0</v>
      </c>
      <c r="AJ1408" s="77"/>
      <c r="AK1408" s="77"/>
      <c r="AL1408" s="77"/>
      <c r="AM1408" s="77"/>
      <c r="AN1408" s="77"/>
      <c r="AO1408" s="77"/>
      <c r="AP1408" s="77"/>
      <c r="AQ1408" s="77"/>
      <c r="AR1408" s="77"/>
      <c r="AS1408" s="77"/>
      <c r="AT1408" s="77"/>
      <c r="AU1408" s="77"/>
      <c r="AV1408" s="80" t="str">
        <f>HYPERLINK("https://pbs.twimg.com/profile_images/1102566780340523008/QNc0CxO2_normal.png")</f>
        <v>https://pbs.twimg.com/profile_images/1102566780340523008/QNc0CxO2_normal.png</v>
      </c>
      <c r="AW1408" s="82" t="s">
        <v>13584</v>
      </c>
      <c r="AX1408" s="82" t="s">
        <v>13584</v>
      </c>
      <c r="AY1408" s="77"/>
      <c r="AZ1408" s="82" t="s">
        <v>15804</v>
      </c>
      <c r="BA1408" s="82" t="s">
        <v>15804</v>
      </c>
      <c r="BB1408" s="82" t="s">
        <v>15804</v>
      </c>
      <c r="BC1408" s="82" t="s">
        <v>13584</v>
      </c>
      <c r="BD1408" s="77">
        <v>89943326</v>
      </c>
      <c r="BE1408" s="77"/>
      <c r="BF1408" s="77"/>
      <c r="BG1408" s="77"/>
      <c r="BH1408" s="77"/>
      <c r="BI1408" s="77"/>
    </row>
    <row r="1409" spans="1:61" x14ac:dyDescent="0.25">
      <c r="A1409" s="62" t="s">
        <v>670</v>
      </c>
      <c r="B1409" s="62" t="s">
        <v>670</v>
      </c>
      <c r="C1409" s="63"/>
      <c r="D1409" s="64"/>
      <c r="E1409" s="65"/>
      <c r="F1409" s="66"/>
      <c r="G1409" s="63"/>
      <c r="H1409" s="67"/>
      <c r="I1409" s="68"/>
      <c r="J1409" s="68"/>
      <c r="K1409" s="32"/>
      <c r="L1409" s="75">
        <v>1409</v>
      </c>
      <c r="M1409" s="75"/>
      <c r="N1409" s="70"/>
      <c r="O1409" s="77" t="s">
        <v>179</v>
      </c>
      <c r="P1409" s="79">
        <v>44928.594849537039</v>
      </c>
      <c r="Q1409" s="77" t="s">
        <v>2496</v>
      </c>
      <c r="R1409" s="77">
        <v>0</v>
      </c>
      <c r="S1409" s="77">
        <v>1</v>
      </c>
      <c r="T1409" s="77">
        <v>0</v>
      </c>
      <c r="U1409" s="77">
        <v>0</v>
      </c>
      <c r="V1409" s="77">
        <v>20</v>
      </c>
      <c r="W1409" s="82" t="s">
        <v>5056</v>
      </c>
      <c r="X1409" s="80" t="str">
        <f>HYPERLINK("https://bit.ly/3Z5Yqj2")</f>
        <v>https://bit.ly/3Z5Yqj2</v>
      </c>
      <c r="Y1409" s="77" t="s">
        <v>6004</v>
      </c>
      <c r="Z1409" s="77"/>
      <c r="AA1409" s="77" t="s">
        <v>7042</v>
      </c>
      <c r="AB1409" s="77" t="s">
        <v>7696</v>
      </c>
      <c r="AC1409" s="82" t="s">
        <v>7710</v>
      </c>
      <c r="AD1409" s="77" t="s">
        <v>7745</v>
      </c>
      <c r="AE1409" s="80" t="str">
        <f>HYPERLINK("https://twitter.com/rmcnoticias1/status/1609916569429200896")</f>
        <v>https://twitter.com/rmcnoticias1/status/1609916569429200896</v>
      </c>
      <c r="AF1409" s="79">
        <v>44928.594849537039</v>
      </c>
      <c r="AG1409" s="85">
        <v>44928</v>
      </c>
      <c r="AH1409" s="82" t="s">
        <v>9004</v>
      </c>
      <c r="AI1409" s="77" t="b">
        <v>0</v>
      </c>
      <c r="AJ1409" s="77"/>
      <c r="AK1409" s="77"/>
      <c r="AL1409" s="77"/>
      <c r="AM1409" s="77"/>
      <c r="AN1409" s="77"/>
      <c r="AO1409" s="77"/>
      <c r="AP1409" s="77"/>
      <c r="AQ1409" s="77" t="s">
        <v>11549</v>
      </c>
      <c r="AR1409" s="77"/>
      <c r="AS1409" s="77"/>
      <c r="AT1409" s="77"/>
      <c r="AU1409" s="77"/>
      <c r="AV1409" s="80" t="str">
        <f>HYPERLINK("https://pbs.twimg.com/media/FleSlrtXgAE-rgJ.jpg")</f>
        <v>https://pbs.twimg.com/media/FleSlrtXgAE-rgJ.jpg</v>
      </c>
      <c r="AW1409" s="82" t="s">
        <v>13585</v>
      </c>
      <c r="AX1409" s="82" t="s">
        <v>13585</v>
      </c>
      <c r="AY1409" s="77"/>
      <c r="AZ1409" s="82" t="s">
        <v>15804</v>
      </c>
      <c r="BA1409" s="82" t="s">
        <v>15804</v>
      </c>
      <c r="BB1409" s="82" t="s">
        <v>15804</v>
      </c>
      <c r="BC1409" s="82" t="s">
        <v>13585</v>
      </c>
      <c r="BD1409" s="82" t="s">
        <v>16389</v>
      </c>
      <c r="BE1409" s="77"/>
      <c r="BF1409" s="77"/>
      <c r="BG1409" s="77"/>
      <c r="BH1409" s="77"/>
      <c r="BI1409" s="77"/>
    </row>
    <row r="1410" spans="1:61" x14ac:dyDescent="0.25">
      <c r="A1410" s="62" t="s">
        <v>671</v>
      </c>
      <c r="B1410" s="62" t="s">
        <v>671</v>
      </c>
      <c r="C1410" s="63"/>
      <c r="D1410" s="64"/>
      <c r="E1410" s="65"/>
      <c r="F1410" s="66"/>
      <c r="G1410" s="63"/>
      <c r="H1410" s="67"/>
      <c r="I1410" s="68"/>
      <c r="J1410" s="68"/>
      <c r="K1410" s="32"/>
      <c r="L1410" s="75">
        <v>1410</v>
      </c>
      <c r="M1410" s="75"/>
      <c r="N1410" s="70"/>
      <c r="O1410" s="77" t="s">
        <v>179</v>
      </c>
      <c r="P1410" s="79">
        <v>45114.556111111109</v>
      </c>
      <c r="Q1410" s="77" t="s">
        <v>2497</v>
      </c>
      <c r="R1410" s="77">
        <v>0</v>
      </c>
      <c r="S1410" s="77">
        <v>0</v>
      </c>
      <c r="T1410" s="77">
        <v>0</v>
      </c>
      <c r="U1410" s="77">
        <v>0</v>
      </c>
      <c r="V1410" s="77">
        <v>6</v>
      </c>
      <c r="W1410" s="82" t="s">
        <v>5057</v>
      </c>
      <c r="X1410" s="77"/>
      <c r="Y1410" s="77"/>
      <c r="Z1410" s="77"/>
      <c r="AA1410" s="77" t="s">
        <v>7043</v>
      </c>
      <c r="AB1410" s="77" t="s">
        <v>7696</v>
      </c>
      <c r="AC1410" s="82" t="s">
        <v>7706</v>
      </c>
      <c r="AD1410" s="77" t="s">
        <v>7745</v>
      </c>
      <c r="AE1410" s="80" t="str">
        <f>HYPERLINK("https://twitter.com/plocplay/status/1677306673470349312")</f>
        <v>https://twitter.com/plocplay/status/1677306673470349312</v>
      </c>
      <c r="AF1410" s="79">
        <v>45114.556111111109</v>
      </c>
      <c r="AG1410" s="85">
        <v>45114</v>
      </c>
      <c r="AH1410" s="82" t="s">
        <v>9005</v>
      </c>
      <c r="AI1410" s="77" t="b">
        <v>0</v>
      </c>
      <c r="AJ1410" s="77"/>
      <c r="AK1410" s="77"/>
      <c r="AL1410" s="77"/>
      <c r="AM1410" s="77"/>
      <c r="AN1410" s="77"/>
      <c r="AO1410" s="77"/>
      <c r="AP1410" s="77"/>
      <c r="AQ1410" s="77" t="s">
        <v>11550</v>
      </c>
      <c r="AR1410" s="77"/>
      <c r="AS1410" s="77"/>
      <c r="AT1410" s="77"/>
      <c r="AU1410" s="77"/>
      <c r="AV1410" s="80" t="str">
        <f>HYPERLINK("https://pbs.twimg.com/media/F0b9WVLWIAEJyPr.jpg")</f>
        <v>https://pbs.twimg.com/media/F0b9WVLWIAEJyPr.jpg</v>
      </c>
      <c r="AW1410" s="82" t="s">
        <v>13586</v>
      </c>
      <c r="AX1410" s="82" t="s">
        <v>13586</v>
      </c>
      <c r="AY1410" s="77"/>
      <c r="AZ1410" s="82" t="s">
        <v>15804</v>
      </c>
      <c r="BA1410" s="82" t="s">
        <v>15804</v>
      </c>
      <c r="BB1410" s="82" t="s">
        <v>15804</v>
      </c>
      <c r="BC1410" s="82" t="s">
        <v>13586</v>
      </c>
      <c r="BD1410" s="82" t="s">
        <v>16390</v>
      </c>
      <c r="BE1410" s="77"/>
      <c r="BF1410" s="77"/>
      <c r="BG1410" s="77"/>
      <c r="BH1410" s="77"/>
      <c r="BI1410" s="77"/>
    </row>
    <row r="1411" spans="1:61" x14ac:dyDescent="0.25">
      <c r="A1411" s="62" t="s">
        <v>672</v>
      </c>
      <c r="B1411" s="62" t="s">
        <v>672</v>
      </c>
      <c r="C1411" s="63"/>
      <c r="D1411" s="64"/>
      <c r="E1411" s="65"/>
      <c r="F1411" s="66"/>
      <c r="G1411" s="63"/>
      <c r="H1411" s="67"/>
      <c r="I1411" s="68"/>
      <c r="J1411" s="68"/>
      <c r="K1411" s="32"/>
      <c r="L1411" s="75">
        <v>1411</v>
      </c>
      <c r="M1411" s="75"/>
      <c r="N1411" s="70"/>
      <c r="O1411" s="77" t="s">
        <v>179</v>
      </c>
      <c r="P1411" s="79">
        <v>44978.728784722225</v>
      </c>
      <c r="Q1411" s="77" t="s">
        <v>2498</v>
      </c>
      <c r="R1411" s="77">
        <v>0</v>
      </c>
      <c r="S1411" s="77">
        <v>1</v>
      </c>
      <c r="T1411" s="77">
        <v>0</v>
      </c>
      <c r="U1411" s="77">
        <v>0</v>
      </c>
      <c r="V1411" s="77">
        <v>28</v>
      </c>
      <c r="W1411" s="82" t="s">
        <v>5058</v>
      </c>
      <c r="X1411" s="77"/>
      <c r="Y1411" s="77"/>
      <c r="Z1411" s="77"/>
      <c r="AA1411" s="77"/>
      <c r="AB1411" s="77"/>
      <c r="AC1411" s="82" t="s">
        <v>7705</v>
      </c>
      <c r="AD1411" s="77" t="s">
        <v>7745</v>
      </c>
      <c r="AE1411" s="80" t="str">
        <f>HYPERLINK("https://twitter.com/fabianemathes/status/1628084498557546512")</f>
        <v>https://twitter.com/fabianemathes/status/1628084498557546512</v>
      </c>
      <c r="AF1411" s="79">
        <v>44978.728784722225</v>
      </c>
      <c r="AG1411" s="85">
        <v>44978</v>
      </c>
      <c r="AH1411" s="82" t="s">
        <v>9006</v>
      </c>
      <c r="AI1411" s="77"/>
      <c r="AJ1411" s="77"/>
      <c r="AK1411" s="77"/>
      <c r="AL1411" s="77"/>
      <c r="AM1411" s="77"/>
      <c r="AN1411" s="77"/>
      <c r="AO1411" s="77"/>
      <c r="AP1411" s="77"/>
      <c r="AQ1411" s="77"/>
      <c r="AR1411" s="77"/>
      <c r="AS1411" s="77"/>
      <c r="AT1411" s="77"/>
      <c r="AU1411" s="77"/>
      <c r="AV1411" s="80" t="str">
        <f>HYPERLINK("https://pbs.twimg.com/profile_images/1543984723441098758/0Vfncazl_normal.jpg")</f>
        <v>https://pbs.twimg.com/profile_images/1543984723441098758/0Vfncazl_normal.jpg</v>
      </c>
      <c r="AW1411" s="82" t="s">
        <v>13587</v>
      </c>
      <c r="AX1411" s="82" t="s">
        <v>13587</v>
      </c>
      <c r="AY1411" s="77"/>
      <c r="AZ1411" s="82" t="s">
        <v>15804</v>
      </c>
      <c r="BA1411" s="82" t="s">
        <v>15804</v>
      </c>
      <c r="BB1411" s="82" t="s">
        <v>15804</v>
      </c>
      <c r="BC1411" s="82" t="s">
        <v>13587</v>
      </c>
      <c r="BD1411" s="82" t="s">
        <v>16391</v>
      </c>
      <c r="BE1411" s="77"/>
      <c r="BF1411" s="77"/>
      <c r="BG1411" s="77"/>
      <c r="BH1411" s="77"/>
      <c r="BI1411" s="77"/>
    </row>
    <row r="1412" spans="1:61" x14ac:dyDescent="0.25">
      <c r="A1412" s="62" t="s">
        <v>673</v>
      </c>
      <c r="B1412" s="62" t="s">
        <v>673</v>
      </c>
      <c r="C1412" s="63"/>
      <c r="D1412" s="64"/>
      <c r="E1412" s="65"/>
      <c r="F1412" s="66"/>
      <c r="G1412" s="63"/>
      <c r="H1412" s="67"/>
      <c r="I1412" s="68"/>
      <c r="J1412" s="68"/>
      <c r="K1412" s="32"/>
      <c r="L1412" s="75">
        <v>1412</v>
      </c>
      <c r="M1412" s="75"/>
      <c r="N1412" s="70"/>
      <c r="O1412" s="77" t="s">
        <v>179</v>
      </c>
      <c r="P1412" s="79">
        <v>44931.604444444441</v>
      </c>
      <c r="Q1412" s="77" t="s">
        <v>2499</v>
      </c>
      <c r="R1412" s="77">
        <v>0</v>
      </c>
      <c r="S1412" s="77">
        <v>0</v>
      </c>
      <c r="T1412" s="77">
        <v>0</v>
      </c>
      <c r="U1412" s="77">
        <v>0</v>
      </c>
      <c r="V1412" s="77">
        <v>24</v>
      </c>
      <c r="W1412" s="82" t="s">
        <v>4080</v>
      </c>
      <c r="X1412" s="77"/>
      <c r="Y1412" s="77"/>
      <c r="Z1412" s="77"/>
      <c r="AA1412" s="77"/>
      <c r="AB1412" s="77"/>
      <c r="AC1412" s="82" t="s">
        <v>7705</v>
      </c>
      <c r="AD1412" s="77" t="s">
        <v>7745</v>
      </c>
      <c r="AE1412" s="80" t="str">
        <f>HYPERLINK("https://twitter.com/marioeudes/status/1611007208329707520")</f>
        <v>https://twitter.com/marioeudes/status/1611007208329707520</v>
      </c>
      <c r="AF1412" s="79">
        <v>44931.604444444441</v>
      </c>
      <c r="AG1412" s="85">
        <v>44931</v>
      </c>
      <c r="AH1412" s="82" t="s">
        <v>9007</v>
      </c>
      <c r="AI1412" s="77"/>
      <c r="AJ1412" s="77"/>
      <c r="AK1412" s="77"/>
      <c r="AL1412" s="77"/>
      <c r="AM1412" s="77"/>
      <c r="AN1412" s="77"/>
      <c r="AO1412" s="77"/>
      <c r="AP1412" s="77"/>
      <c r="AQ1412" s="77"/>
      <c r="AR1412" s="77"/>
      <c r="AS1412" s="77"/>
      <c r="AT1412" s="77"/>
      <c r="AU1412" s="77"/>
      <c r="AV1412" s="80" t="str">
        <f>HYPERLINK("https://pbs.twimg.com/profile_images/1592447304933543936/1XRbIv9y_normal.jpg")</f>
        <v>https://pbs.twimg.com/profile_images/1592447304933543936/1XRbIv9y_normal.jpg</v>
      </c>
      <c r="AW1412" s="82" t="s">
        <v>13588</v>
      </c>
      <c r="AX1412" s="82" t="s">
        <v>13588</v>
      </c>
      <c r="AY1412" s="77"/>
      <c r="AZ1412" s="82" t="s">
        <v>15804</v>
      </c>
      <c r="BA1412" s="82" t="s">
        <v>15804</v>
      </c>
      <c r="BB1412" s="82" t="s">
        <v>15804</v>
      </c>
      <c r="BC1412" s="82" t="s">
        <v>13588</v>
      </c>
      <c r="BD1412" s="77">
        <v>148712151</v>
      </c>
      <c r="BE1412" s="77"/>
      <c r="BF1412" s="77"/>
      <c r="BG1412" s="77"/>
      <c r="BH1412" s="77"/>
      <c r="BI1412" s="77"/>
    </row>
    <row r="1413" spans="1:61" x14ac:dyDescent="0.25">
      <c r="A1413" s="62" t="s">
        <v>674</v>
      </c>
      <c r="B1413" s="62" t="s">
        <v>1085</v>
      </c>
      <c r="C1413" s="63"/>
      <c r="D1413" s="64"/>
      <c r="E1413" s="65"/>
      <c r="F1413" s="66"/>
      <c r="G1413" s="63"/>
      <c r="H1413" s="67"/>
      <c r="I1413" s="68"/>
      <c r="J1413" s="68"/>
      <c r="K1413" s="32"/>
      <c r="L1413" s="75">
        <v>1413</v>
      </c>
      <c r="M1413" s="75"/>
      <c r="N1413" s="70"/>
      <c r="O1413" s="77" t="s">
        <v>1133</v>
      </c>
      <c r="P1413" s="79">
        <v>45084.792233796295</v>
      </c>
      <c r="Q1413" s="77" t="s">
        <v>2500</v>
      </c>
      <c r="R1413" s="77">
        <v>0</v>
      </c>
      <c r="S1413" s="77">
        <v>0</v>
      </c>
      <c r="T1413" s="77">
        <v>0</v>
      </c>
      <c r="U1413" s="77">
        <v>0</v>
      </c>
      <c r="V1413" s="77">
        <v>7</v>
      </c>
      <c r="W1413" s="82" t="s">
        <v>5059</v>
      </c>
      <c r="X1413" s="80" t="str">
        <f>HYPERLINK("https://bit.ly/3CzJ4JD")</f>
        <v>https://bit.ly/3CzJ4JD</v>
      </c>
      <c r="Y1413" s="77" t="s">
        <v>6004</v>
      </c>
      <c r="Z1413" s="77" t="s">
        <v>1085</v>
      </c>
      <c r="AA1413" s="77"/>
      <c r="AB1413" s="77"/>
      <c r="AC1413" s="82" t="s">
        <v>7708</v>
      </c>
      <c r="AD1413" s="77" t="s">
        <v>7745</v>
      </c>
      <c r="AE1413" s="80" t="str">
        <f>HYPERLINK("https://twitter.com/portalcdljovem/status/1666520605087113254")</f>
        <v>https://twitter.com/portalcdljovem/status/1666520605087113254</v>
      </c>
      <c r="AF1413" s="79">
        <v>45084.792233796295</v>
      </c>
      <c r="AG1413" s="85">
        <v>45084</v>
      </c>
      <c r="AH1413" s="82" t="s">
        <v>9008</v>
      </c>
      <c r="AI1413" s="77" t="b">
        <v>0</v>
      </c>
      <c r="AJ1413" s="77"/>
      <c r="AK1413" s="77"/>
      <c r="AL1413" s="77"/>
      <c r="AM1413" s="77"/>
      <c r="AN1413" s="77"/>
      <c r="AO1413" s="77"/>
      <c r="AP1413" s="77"/>
      <c r="AQ1413" s="77"/>
      <c r="AR1413" s="77"/>
      <c r="AS1413" s="77"/>
      <c r="AT1413" s="77"/>
      <c r="AU1413" s="77"/>
      <c r="AV1413" s="80" t="str">
        <f>HYPERLINK("https://pbs.twimg.com/profile_images/1113251364556156928/dDpXSNqF_normal.jpg")</f>
        <v>https://pbs.twimg.com/profile_images/1113251364556156928/dDpXSNqF_normal.jpg</v>
      </c>
      <c r="AW1413" s="82" t="s">
        <v>13589</v>
      </c>
      <c r="AX1413" s="82" t="s">
        <v>13589</v>
      </c>
      <c r="AY1413" s="77"/>
      <c r="AZ1413" s="82" t="s">
        <v>15804</v>
      </c>
      <c r="BA1413" s="82" t="s">
        <v>15804</v>
      </c>
      <c r="BB1413" s="82" t="s">
        <v>15804</v>
      </c>
      <c r="BC1413" s="82" t="s">
        <v>13589</v>
      </c>
      <c r="BD1413" s="82" t="s">
        <v>16392</v>
      </c>
      <c r="BE1413" s="77"/>
      <c r="BF1413" s="77"/>
      <c r="BG1413" s="77"/>
      <c r="BH1413" s="77"/>
      <c r="BI1413" s="77"/>
    </row>
    <row r="1414" spans="1:61" x14ac:dyDescent="0.25">
      <c r="A1414" s="62" t="s">
        <v>675</v>
      </c>
      <c r="B1414" s="62" t="s">
        <v>1091</v>
      </c>
      <c r="C1414" s="63"/>
      <c r="D1414" s="64"/>
      <c r="E1414" s="65"/>
      <c r="F1414" s="66"/>
      <c r="G1414" s="63"/>
      <c r="H1414" s="67"/>
      <c r="I1414" s="68"/>
      <c r="J1414" s="68"/>
      <c r="K1414" s="32"/>
      <c r="L1414" s="75">
        <v>1414</v>
      </c>
      <c r="M1414" s="75"/>
      <c r="N1414" s="70"/>
      <c r="O1414" s="77" t="s">
        <v>1132</v>
      </c>
      <c r="P1414" s="79">
        <v>45168.652349537035</v>
      </c>
      <c r="Q1414" s="77" t="s">
        <v>2501</v>
      </c>
      <c r="R1414" s="77">
        <v>0</v>
      </c>
      <c r="S1414" s="77">
        <v>0</v>
      </c>
      <c r="T1414" s="77">
        <v>0</v>
      </c>
      <c r="U1414" s="77">
        <v>0</v>
      </c>
      <c r="V1414" s="77">
        <v>75</v>
      </c>
      <c r="W1414" s="82" t="s">
        <v>4080</v>
      </c>
      <c r="X1414" s="77"/>
      <c r="Y1414" s="77"/>
      <c r="Z1414" s="77" t="s">
        <v>1091</v>
      </c>
      <c r="AA1414" s="77"/>
      <c r="AB1414" s="77"/>
      <c r="AC1414" s="82" t="s">
        <v>7705</v>
      </c>
      <c r="AD1414" s="77" t="s">
        <v>7745</v>
      </c>
      <c r="AE1414" s="80" t="str">
        <f>HYPERLINK("https://twitter.com/kveira4ever/status/1696910493296783559")</f>
        <v>https://twitter.com/kveira4ever/status/1696910493296783559</v>
      </c>
      <c r="AF1414" s="79">
        <v>45168.652349537035</v>
      </c>
      <c r="AG1414" s="85">
        <v>45168</v>
      </c>
      <c r="AH1414" s="82" t="s">
        <v>8017</v>
      </c>
      <c r="AI1414" s="77"/>
      <c r="AJ1414" s="77"/>
      <c r="AK1414" s="77"/>
      <c r="AL1414" s="77"/>
      <c r="AM1414" s="77"/>
      <c r="AN1414" s="77"/>
      <c r="AO1414" s="77"/>
      <c r="AP1414" s="77"/>
      <c r="AQ1414" s="77"/>
      <c r="AR1414" s="77"/>
      <c r="AS1414" s="77"/>
      <c r="AT1414" s="77"/>
      <c r="AU1414" s="77"/>
      <c r="AV1414" s="80" t="str">
        <f>HYPERLINK("https://pbs.twimg.com/profile_images/1215808420302991365/ilDIeL-7_normal.jpg")</f>
        <v>https://pbs.twimg.com/profile_images/1215808420302991365/ilDIeL-7_normal.jpg</v>
      </c>
      <c r="AW1414" s="82" t="s">
        <v>13590</v>
      </c>
      <c r="AX1414" s="82" t="s">
        <v>15332</v>
      </c>
      <c r="AY1414" s="82" t="s">
        <v>15745</v>
      </c>
      <c r="AZ1414" s="82" t="s">
        <v>15332</v>
      </c>
      <c r="BA1414" s="82" t="s">
        <v>15804</v>
      </c>
      <c r="BB1414" s="82" t="s">
        <v>15804</v>
      </c>
      <c r="BC1414" s="82" t="s">
        <v>15332</v>
      </c>
      <c r="BD1414" s="77">
        <v>528695838</v>
      </c>
      <c r="BE1414" s="77"/>
      <c r="BF1414" s="77"/>
      <c r="BG1414" s="77"/>
      <c r="BH1414" s="77"/>
      <c r="BI1414" s="77"/>
    </row>
    <row r="1415" spans="1:61" x14ac:dyDescent="0.25">
      <c r="A1415" s="62" t="s">
        <v>676</v>
      </c>
      <c r="B1415" s="62" t="s">
        <v>676</v>
      </c>
      <c r="C1415" s="63"/>
      <c r="D1415" s="64"/>
      <c r="E1415" s="65"/>
      <c r="F1415" s="66"/>
      <c r="G1415" s="63"/>
      <c r="H1415" s="67"/>
      <c r="I1415" s="68"/>
      <c r="J1415" s="68"/>
      <c r="K1415" s="32"/>
      <c r="L1415" s="75">
        <v>1415</v>
      </c>
      <c r="M1415" s="75"/>
      <c r="N1415" s="70"/>
      <c r="O1415" s="77" t="s">
        <v>179</v>
      </c>
      <c r="P1415" s="79">
        <v>45150.429074074076</v>
      </c>
      <c r="Q1415" s="77" t="s">
        <v>2502</v>
      </c>
      <c r="R1415" s="77">
        <v>0</v>
      </c>
      <c r="S1415" s="77">
        <v>1</v>
      </c>
      <c r="T1415" s="77">
        <v>0</v>
      </c>
      <c r="U1415" s="77">
        <v>0</v>
      </c>
      <c r="V1415" s="77">
        <v>15</v>
      </c>
      <c r="W1415" s="82" t="s">
        <v>4080</v>
      </c>
      <c r="X1415" s="77"/>
      <c r="Y1415" s="77"/>
      <c r="Z1415" s="77"/>
      <c r="AA1415" s="77" t="s">
        <v>7044</v>
      </c>
      <c r="AB1415" s="77" t="s">
        <v>7696</v>
      </c>
      <c r="AC1415" s="82" t="s">
        <v>7707</v>
      </c>
      <c r="AD1415" s="77" t="s">
        <v>7745</v>
      </c>
      <c r="AE1415" s="80" t="str">
        <f>HYPERLINK("https://twitter.com/alexandrecs79/status/1690306598403448832")</f>
        <v>https://twitter.com/alexandrecs79/status/1690306598403448832</v>
      </c>
      <c r="AF1415" s="79">
        <v>45150.429074074076</v>
      </c>
      <c r="AG1415" s="85">
        <v>45150</v>
      </c>
      <c r="AH1415" s="82" t="s">
        <v>9009</v>
      </c>
      <c r="AI1415" s="77" t="b">
        <v>0</v>
      </c>
      <c r="AJ1415" s="77"/>
      <c r="AK1415" s="77"/>
      <c r="AL1415" s="77"/>
      <c r="AM1415" s="77"/>
      <c r="AN1415" s="77"/>
      <c r="AO1415" s="77"/>
      <c r="AP1415" s="77"/>
      <c r="AQ1415" s="77" t="s">
        <v>11551</v>
      </c>
      <c r="AR1415" s="77"/>
      <c r="AS1415" s="77"/>
      <c r="AT1415" s="77"/>
      <c r="AU1415" s="77"/>
      <c r="AV1415" s="80" t="str">
        <f>HYPERLINK("https://pbs.twimg.com/media/F3Us5KrXYAE8boZ.jpg")</f>
        <v>https://pbs.twimg.com/media/F3Us5KrXYAE8boZ.jpg</v>
      </c>
      <c r="AW1415" s="82" t="s">
        <v>13591</v>
      </c>
      <c r="AX1415" s="82" t="s">
        <v>13591</v>
      </c>
      <c r="AY1415" s="77"/>
      <c r="AZ1415" s="82" t="s">
        <v>15804</v>
      </c>
      <c r="BA1415" s="82" t="s">
        <v>15804</v>
      </c>
      <c r="BB1415" s="82" t="s">
        <v>15804</v>
      </c>
      <c r="BC1415" s="82" t="s">
        <v>13591</v>
      </c>
      <c r="BD1415" s="82" t="s">
        <v>16393</v>
      </c>
      <c r="BE1415" s="77"/>
      <c r="BF1415" s="77"/>
      <c r="BG1415" s="77"/>
      <c r="BH1415" s="77"/>
      <c r="BI1415" s="77"/>
    </row>
    <row r="1416" spans="1:61" x14ac:dyDescent="0.25">
      <c r="A1416" s="62" t="s">
        <v>676</v>
      </c>
      <c r="B1416" s="62" t="s">
        <v>676</v>
      </c>
      <c r="C1416" s="63"/>
      <c r="D1416" s="64"/>
      <c r="E1416" s="65"/>
      <c r="F1416" s="66"/>
      <c r="G1416" s="63"/>
      <c r="H1416" s="67"/>
      <c r="I1416" s="68"/>
      <c r="J1416" s="68"/>
      <c r="K1416" s="32"/>
      <c r="L1416" s="75">
        <v>1416</v>
      </c>
      <c r="M1416" s="75"/>
      <c r="N1416" s="70"/>
      <c r="O1416" s="77" t="s">
        <v>179</v>
      </c>
      <c r="P1416" s="79">
        <v>45150.000219907408</v>
      </c>
      <c r="Q1416" s="77" t="s">
        <v>2503</v>
      </c>
      <c r="R1416" s="77">
        <v>0</v>
      </c>
      <c r="S1416" s="77">
        <v>0</v>
      </c>
      <c r="T1416" s="77">
        <v>0</v>
      </c>
      <c r="U1416" s="77">
        <v>0</v>
      </c>
      <c r="V1416" s="77">
        <v>6</v>
      </c>
      <c r="W1416" s="82" t="s">
        <v>4080</v>
      </c>
      <c r="X1416" s="77"/>
      <c r="Y1416" s="77"/>
      <c r="Z1416" s="77"/>
      <c r="AA1416" s="77" t="s">
        <v>7045</v>
      </c>
      <c r="AB1416" s="77" t="s">
        <v>7702</v>
      </c>
      <c r="AC1416" s="82" t="s">
        <v>7707</v>
      </c>
      <c r="AD1416" s="77" t="s">
        <v>7746</v>
      </c>
      <c r="AE1416" s="80" t="str">
        <f>HYPERLINK("https://twitter.com/alexandrecs79/status/1690151187733999616")</f>
        <v>https://twitter.com/alexandrecs79/status/1690151187733999616</v>
      </c>
      <c r="AF1416" s="79">
        <v>45150.000219907408</v>
      </c>
      <c r="AG1416" s="85">
        <v>45150</v>
      </c>
      <c r="AH1416" s="82" t="s">
        <v>9010</v>
      </c>
      <c r="AI1416" s="77" t="b">
        <v>0</v>
      </c>
      <c r="AJ1416" s="77"/>
      <c r="AK1416" s="77"/>
      <c r="AL1416" s="77"/>
      <c r="AM1416" s="77"/>
      <c r="AN1416" s="77"/>
      <c r="AO1416" s="77"/>
      <c r="AP1416" s="77"/>
      <c r="AQ1416" s="77" t="s">
        <v>11552</v>
      </c>
      <c r="AR1416" s="77"/>
      <c r="AS1416" s="77"/>
      <c r="AT1416" s="77"/>
      <c r="AU1416" s="77"/>
      <c r="AV1416" s="80" t="str">
        <f>HYPERLINK("https://pbs.twimg.com/media/F3SfioAXYAAYIO_.jpg")</f>
        <v>https://pbs.twimg.com/media/F3SfioAXYAAYIO_.jpg</v>
      </c>
      <c r="AW1416" s="82" t="s">
        <v>13592</v>
      </c>
      <c r="AX1416" s="82" t="s">
        <v>13592</v>
      </c>
      <c r="AY1416" s="77"/>
      <c r="AZ1416" s="82" t="s">
        <v>15804</v>
      </c>
      <c r="BA1416" s="82" t="s">
        <v>15804</v>
      </c>
      <c r="BB1416" s="82" t="s">
        <v>15804</v>
      </c>
      <c r="BC1416" s="82" t="s">
        <v>13592</v>
      </c>
      <c r="BD1416" s="82" t="s">
        <v>16393</v>
      </c>
      <c r="BE1416" s="77"/>
      <c r="BF1416" s="77"/>
      <c r="BG1416" s="77"/>
      <c r="BH1416" s="77"/>
      <c r="BI1416" s="77"/>
    </row>
    <row r="1417" spans="1:61" x14ac:dyDescent="0.25">
      <c r="A1417" s="62" t="s">
        <v>677</v>
      </c>
      <c r="B1417" s="62" t="s">
        <v>677</v>
      </c>
      <c r="C1417" s="63"/>
      <c r="D1417" s="64"/>
      <c r="E1417" s="65"/>
      <c r="F1417" s="66"/>
      <c r="G1417" s="63"/>
      <c r="H1417" s="67"/>
      <c r="I1417" s="68"/>
      <c r="J1417" s="68"/>
      <c r="K1417" s="32"/>
      <c r="L1417" s="75">
        <v>1417</v>
      </c>
      <c r="M1417" s="75"/>
      <c r="N1417" s="70"/>
      <c r="O1417" s="77" t="s">
        <v>1132</v>
      </c>
      <c r="P1417" s="79">
        <v>45152.107847222222</v>
      </c>
      <c r="Q1417" s="77" t="s">
        <v>2504</v>
      </c>
      <c r="R1417" s="77">
        <v>0</v>
      </c>
      <c r="S1417" s="77">
        <v>2</v>
      </c>
      <c r="T1417" s="77">
        <v>0</v>
      </c>
      <c r="U1417" s="77">
        <v>0</v>
      </c>
      <c r="V1417" s="77">
        <v>197</v>
      </c>
      <c r="W1417" s="82" t="s">
        <v>5060</v>
      </c>
      <c r="X1417" s="77"/>
      <c r="Y1417" s="77"/>
      <c r="Z1417" s="77"/>
      <c r="AA1417" s="77"/>
      <c r="AB1417" s="77"/>
      <c r="AC1417" s="82" t="s">
        <v>7705</v>
      </c>
      <c r="AD1417" s="77" t="s">
        <v>7745</v>
      </c>
      <c r="AE1417" s="80" t="str">
        <f>HYPERLINK("https://twitter.com/flavia_pribeiro/status/1690914969066352640")</f>
        <v>https://twitter.com/flavia_pribeiro/status/1690914969066352640</v>
      </c>
      <c r="AF1417" s="79">
        <v>45152.107847222222</v>
      </c>
      <c r="AG1417" s="85">
        <v>45152</v>
      </c>
      <c r="AH1417" s="82" t="s">
        <v>9011</v>
      </c>
      <c r="AI1417" s="77"/>
      <c r="AJ1417" s="77" t="s">
        <v>10533</v>
      </c>
      <c r="AK1417" s="77" t="s">
        <v>10552</v>
      </c>
      <c r="AL1417" s="77" t="s">
        <v>10555</v>
      </c>
      <c r="AM1417" s="77" t="s">
        <v>10570</v>
      </c>
      <c r="AN1417" s="77" t="s">
        <v>10600</v>
      </c>
      <c r="AO1417" s="77" t="s">
        <v>10631</v>
      </c>
      <c r="AP1417" s="77" t="s">
        <v>10649</v>
      </c>
      <c r="AQ1417" s="77"/>
      <c r="AR1417" s="77"/>
      <c r="AS1417" s="77"/>
      <c r="AT1417" s="77"/>
      <c r="AU1417" s="77"/>
      <c r="AV1417" s="80" t="str">
        <f>HYPERLINK("https://pbs.twimg.com/profile_images/1681273705614245888/cE7uMCFj_normal.jpg")</f>
        <v>https://pbs.twimg.com/profile_images/1681273705614245888/cE7uMCFj_normal.jpg</v>
      </c>
      <c r="AW1417" s="82" t="s">
        <v>13593</v>
      </c>
      <c r="AX1417" s="82" t="s">
        <v>15333</v>
      </c>
      <c r="AY1417" s="82" t="s">
        <v>15746</v>
      </c>
      <c r="AZ1417" s="82" t="s">
        <v>15885</v>
      </c>
      <c r="BA1417" s="82" t="s">
        <v>15804</v>
      </c>
      <c r="BB1417" s="82" t="s">
        <v>15804</v>
      </c>
      <c r="BC1417" s="82" t="s">
        <v>15885</v>
      </c>
      <c r="BD1417" s="77">
        <v>90903147</v>
      </c>
      <c r="BE1417" s="77"/>
      <c r="BF1417" s="77"/>
      <c r="BG1417" s="77"/>
      <c r="BH1417" s="77"/>
      <c r="BI1417" s="77"/>
    </row>
    <row r="1418" spans="1:61" x14ac:dyDescent="0.25">
      <c r="A1418" s="62" t="s">
        <v>678</v>
      </c>
      <c r="B1418" s="62" t="s">
        <v>678</v>
      </c>
      <c r="C1418" s="63"/>
      <c r="D1418" s="64"/>
      <c r="E1418" s="65"/>
      <c r="F1418" s="66"/>
      <c r="G1418" s="63"/>
      <c r="H1418" s="67"/>
      <c r="I1418" s="68"/>
      <c r="J1418" s="68"/>
      <c r="K1418" s="32"/>
      <c r="L1418" s="75">
        <v>1418</v>
      </c>
      <c r="M1418" s="75"/>
      <c r="N1418" s="70"/>
      <c r="O1418" s="77" t="s">
        <v>179</v>
      </c>
      <c r="P1418" s="79">
        <v>45037.945219907408</v>
      </c>
      <c r="Q1418" s="77" t="s">
        <v>2505</v>
      </c>
      <c r="R1418" s="77">
        <v>0</v>
      </c>
      <c r="S1418" s="77">
        <v>0</v>
      </c>
      <c r="T1418" s="77">
        <v>0</v>
      </c>
      <c r="U1418" s="77">
        <v>0</v>
      </c>
      <c r="V1418" s="77">
        <v>4</v>
      </c>
      <c r="W1418" s="82" t="s">
        <v>4097</v>
      </c>
      <c r="X1418" s="80" t="str">
        <f>HYPERLINK("https://tinyurl.com/yh4yf5xj")</f>
        <v>https://tinyurl.com/yh4yf5xj</v>
      </c>
      <c r="Y1418" s="77" t="s">
        <v>6036</v>
      </c>
      <c r="Z1418" s="77"/>
      <c r="AA1418" s="77"/>
      <c r="AB1418" s="77"/>
      <c r="AC1418" s="82" t="s">
        <v>7706</v>
      </c>
      <c r="AD1418" s="77" t="s">
        <v>7745</v>
      </c>
      <c r="AE1418" s="80" t="str">
        <f>HYPERLINK("https://twitter.com/correa899/status/1649543817450668034")</f>
        <v>https://twitter.com/correa899/status/1649543817450668034</v>
      </c>
      <c r="AF1418" s="79">
        <v>45037.945219907408</v>
      </c>
      <c r="AG1418" s="85">
        <v>45037</v>
      </c>
      <c r="AH1418" s="82" t="s">
        <v>9012</v>
      </c>
      <c r="AI1418" s="77" t="b">
        <v>0</v>
      </c>
      <c r="AJ1418" s="77"/>
      <c r="AK1418" s="77"/>
      <c r="AL1418" s="77"/>
      <c r="AM1418" s="77"/>
      <c r="AN1418" s="77"/>
      <c r="AO1418" s="77"/>
      <c r="AP1418" s="77"/>
      <c r="AQ1418" s="77"/>
      <c r="AR1418" s="77"/>
      <c r="AS1418" s="77"/>
      <c r="AT1418" s="77"/>
      <c r="AU1418" s="77"/>
      <c r="AV1418" s="80" t="str">
        <f>HYPERLINK("https://pbs.twimg.com/profile_images/2725090237/018522894a55aca0ed6cdbc82f9eb1de_normal.png")</f>
        <v>https://pbs.twimg.com/profile_images/2725090237/018522894a55aca0ed6cdbc82f9eb1de_normal.png</v>
      </c>
      <c r="AW1418" s="82" t="s">
        <v>13594</v>
      </c>
      <c r="AX1418" s="82" t="s">
        <v>13594</v>
      </c>
      <c r="AY1418" s="77"/>
      <c r="AZ1418" s="82" t="s">
        <v>15804</v>
      </c>
      <c r="BA1418" s="82" t="s">
        <v>15804</v>
      </c>
      <c r="BB1418" s="82" t="s">
        <v>15804</v>
      </c>
      <c r="BC1418" s="82" t="s">
        <v>13594</v>
      </c>
      <c r="BD1418" s="77">
        <v>360619751</v>
      </c>
      <c r="BE1418" s="77"/>
      <c r="BF1418" s="77"/>
      <c r="BG1418" s="77"/>
      <c r="BH1418" s="77"/>
      <c r="BI1418" s="77"/>
    </row>
    <row r="1419" spans="1:61" x14ac:dyDescent="0.25">
      <c r="A1419" s="62" t="s">
        <v>678</v>
      </c>
      <c r="B1419" s="62" t="s">
        <v>678</v>
      </c>
      <c r="C1419" s="63"/>
      <c r="D1419" s="64"/>
      <c r="E1419" s="65"/>
      <c r="F1419" s="66"/>
      <c r="G1419" s="63"/>
      <c r="H1419" s="67"/>
      <c r="I1419" s="68"/>
      <c r="J1419" s="68"/>
      <c r="K1419" s="32"/>
      <c r="L1419" s="75">
        <v>1419</v>
      </c>
      <c r="M1419" s="75"/>
      <c r="N1419" s="70"/>
      <c r="O1419" s="77" t="s">
        <v>179</v>
      </c>
      <c r="P1419" s="79">
        <v>45059.955925925926</v>
      </c>
      <c r="Q1419" s="77" t="s">
        <v>2506</v>
      </c>
      <c r="R1419" s="77">
        <v>0</v>
      </c>
      <c r="S1419" s="77">
        <v>1</v>
      </c>
      <c r="T1419" s="77">
        <v>1</v>
      </c>
      <c r="U1419" s="77">
        <v>0</v>
      </c>
      <c r="V1419" s="77">
        <v>54</v>
      </c>
      <c r="W1419" s="82" t="s">
        <v>5061</v>
      </c>
      <c r="X1419" s="80" t="str">
        <f>HYPERLINK("https://lnkd.in/dKgV95Gf")</f>
        <v>https://lnkd.in/dKgV95Gf</v>
      </c>
      <c r="Y1419" s="77" t="s">
        <v>6014</v>
      </c>
      <c r="Z1419" s="77"/>
      <c r="AA1419" s="77"/>
      <c r="AB1419" s="77"/>
      <c r="AC1419" s="82" t="s">
        <v>7706</v>
      </c>
      <c r="AD1419" s="77" t="s">
        <v>7745</v>
      </c>
      <c r="AE1419" s="80" t="str">
        <f>HYPERLINK("https://twitter.com/correa899/status/1657520230971715584")</f>
        <v>https://twitter.com/correa899/status/1657520230971715584</v>
      </c>
      <c r="AF1419" s="79">
        <v>45059.955925925926</v>
      </c>
      <c r="AG1419" s="85">
        <v>45059</v>
      </c>
      <c r="AH1419" s="82" t="s">
        <v>9013</v>
      </c>
      <c r="AI1419" s="77" t="b">
        <v>0</v>
      </c>
      <c r="AJ1419" s="77"/>
      <c r="AK1419" s="77"/>
      <c r="AL1419" s="77"/>
      <c r="AM1419" s="77"/>
      <c r="AN1419" s="77"/>
      <c r="AO1419" s="77"/>
      <c r="AP1419" s="77"/>
      <c r="AQ1419" s="77"/>
      <c r="AR1419" s="77"/>
      <c r="AS1419" s="77"/>
      <c r="AT1419" s="77"/>
      <c r="AU1419" s="77"/>
      <c r="AV1419" s="80" t="str">
        <f>HYPERLINK("https://pbs.twimg.com/profile_images/2725090237/018522894a55aca0ed6cdbc82f9eb1de_normal.png")</f>
        <v>https://pbs.twimg.com/profile_images/2725090237/018522894a55aca0ed6cdbc82f9eb1de_normal.png</v>
      </c>
      <c r="AW1419" s="82" t="s">
        <v>13595</v>
      </c>
      <c r="AX1419" s="82" t="s">
        <v>13595</v>
      </c>
      <c r="AY1419" s="77"/>
      <c r="AZ1419" s="82" t="s">
        <v>15804</v>
      </c>
      <c r="BA1419" s="82" t="s">
        <v>15804</v>
      </c>
      <c r="BB1419" s="82" t="s">
        <v>15804</v>
      </c>
      <c r="BC1419" s="82" t="s">
        <v>13595</v>
      </c>
      <c r="BD1419" s="77">
        <v>360619751</v>
      </c>
      <c r="BE1419" s="77"/>
      <c r="BF1419" s="77"/>
      <c r="BG1419" s="77"/>
      <c r="BH1419" s="77"/>
      <c r="BI1419" s="77"/>
    </row>
    <row r="1420" spans="1:61" x14ac:dyDescent="0.25">
      <c r="A1420" s="62" t="s">
        <v>678</v>
      </c>
      <c r="B1420" s="62" t="s">
        <v>678</v>
      </c>
      <c r="C1420" s="63"/>
      <c r="D1420" s="64"/>
      <c r="E1420" s="65"/>
      <c r="F1420" s="66"/>
      <c r="G1420" s="63"/>
      <c r="H1420" s="67"/>
      <c r="I1420" s="68"/>
      <c r="J1420" s="68"/>
      <c r="K1420" s="32"/>
      <c r="L1420" s="75">
        <v>1420</v>
      </c>
      <c r="M1420" s="75"/>
      <c r="N1420" s="70"/>
      <c r="O1420" s="77" t="s">
        <v>179</v>
      </c>
      <c r="P1420" s="79">
        <v>45057.74386574074</v>
      </c>
      <c r="Q1420" s="77" t="s">
        <v>2507</v>
      </c>
      <c r="R1420" s="77">
        <v>0</v>
      </c>
      <c r="S1420" s="77">
        <v>0</v>
      </c>
      <c r="T1420" s="77">
        <v>0</v>
      </c>
      <c r="U1420" s="77">
        <v>0</v>
      </c>
      <c r="V1420" s="77">
        <v>18</v>
      </c>
      <c r="W1420" s="82" t="s">
        <v>5062</v>
      </c>
      <c r="X1420" s="80" t="str">
        <f>HYPERLINK("https://tinyurl.com/4y87nv3a")</f>
        <v>https://tinyurl.com/4y87nv3a</v>
      </c>
      <c r="Y1420" s="77" t="s">
        <v>6036</v>
      </c>
      <c r="Z1420" s="77"/>
      <c r="AA1420" s="77"/>
      <c r="AB1420" s="77"/>
      <c r="AC1420" s="82" t="s">
        <v>7706</v>
      </c>
      <c r="AD1420" s="77" t="s">
        <v>7745</v>
      </c>
      <c r="AE1420" s="80" t="str">
        <f>HYPERLINK("https://twitter.com/correa899/status/1656718606850195474")</f>
        <v>https://twitter.com/correa899/status/1656718606850195474</v>
      </c>
      <c r="AF1420" s="79">
        <v>45057.74386574074</v>
      </c>
      <c r="AG1420" s="85">
        <v>45057</v>
      </c>
      <c r="AH1420" s="82" t="s">
        <v>9014</v>
      </c>
      <c r="AI1420" s="77" t="b">
        <v>0</v>
      </c>
      <c r="AJ1420" s="77"/>
      <c r="AK1420" s="77"/>
      <c r="AL1420" s="77"/>
      <c r="AM1420" s="77"/>
      <c r="AN1420" s="77"/>
      <c r="AO1420" s="77"/>
      <c r="AP1420" s="77"/>
      <c r="AQ1420" s="77"/>
      <c r="AR1420" s="77"/>
      <c r="AS1420" s="77"/>
      <c r="AT1420" s="77"/>
      <c r="AU1420" s="77"/>
      <c r="AV1420" s="80" t="str">
        <f>HYPERLINK("https://pbs.twimg.com/profile_images/2725090237/018522894a55aca0ed6cdbc82f9eb1de_normal.png")</f>
        <v>https://pbs.twimg.com/profile_images/2725090237/018522894a55aca0ed6cdbc82f9eb1de_normal.png</v>
      </c>
      <c r="AW1420" s="82" t="s">
        <v>13596</v>
      </c>
      <c r="AX1420" s="82" t="s">
        <v>13596</v>
      </c>
      <c r="AY1420" s="77"/>
      <c r="AZ1420" s="82" t="s">
        <v>15804</v>
      </c>
      <c r="BA1420" s="82" t="s">
        <v>15804</v>
      </c>
      <c r="BB1420" s="82" t="s">
        <v>15804</v>
      </c>
      <c r="BC1420" s="82" t="s">
        <v>13596</v>
      </c>
      <c r="BD1420" s="77">
        <v>360619751</v>
      </c>
      <c r="BE1420" s="77"/>
      <c r="BF1420" s="77"/>
      <c r="BG1420" s="77"/>
      <c r="BH1420" s="77"/>
      <c r="BI1420" s="77"/>
    </row>
    <row r="1421" spans="1:61" x14ac:dyDescent="0.25">
      <c r="A1421" s="62" t="s">
        <v>679</v>
      </c>
      <c r="B1421" s="62" t="s">
        <v>679</v>
      </c>
      <c r="C1421" s="63"/>
      <c r="D1421" s="64"/>
      <c r="E1421" s="65"/>
      <c r="F1421" s="66"/>
      <c r="G1421" s="63"/>
      <c r="H1421" s="67"/>
      <c r="I1421" s="68"/>
      <c r="J1421" s="68"/>
      <c r="K1421" s="32"/>
      <c r="L1421" s="75">
        <v>1421</v>
      </c>
      <c r="M1421" s="75"/>
      <c r="N1421" s="70"/>
      <c r="O1421" s="77" t="s">
        <v>179</v>
      </c>
      <c r="P1421" s="79">
        <v>45008.829189814816</v>
      </c>
      <c r="Q1421" s="77" t="s">
        <v>2508</v>
      </c>
      <c r="R1421" s="77">
        <v>0</v>
      </c>
      <c r="S1421" s="77">
        <v>0</v>
      </c>
      <c r="T1421" s="77">
        <v>0</v>
      </c>
      <c r="U1421" s="77">
        <v>0</v>
      </c>
      <c r="V1421" s="77">
        <v>23</v>
      </c>
      <c r="W1421" s="82" t="s">
        <v>5063</v>
      </c>
      <c r="X1421" s="77"/>
      <c r="Y1421" s="77"/>
      <c r="Z1421" s="77"/>
      <c r="AA1421" s="77" t="s">
        <v>7046</v>
      </c>
      <c r="AB1421" s="77" t="s">
        <v>7697</v>
      </c>
      <c r="AC1421" s="82" t="s">
        <v>7708</v>
      </c>
      <c r="AD1421" s="77" t="s">
        <v>7745</v>
      </c>
      <c r="AE1421" s="80" t="str">
        <f>HYPERLINK("https://twitter.com/sergioteatro/status/1638992519819300865")</f>
        <v>https://twitter.com/sergioteatro/status/1638992519819300865</v>
      </c>
      <c r="AF1421" s="79">
        <v>45008.829189814816</v>
      </c>
      <c r="AG1421" s="85">
        <v>45008</v>
      </c>
      <c r="AH1421" s="82" t="s">
        <v>9015</v>
      </c>
      <c r="AI1421" s="77" t="b">
        <v>0</v>
      </c>
      <c r="AJ1421" s="77"/>
      <c r="AK1421" s="77"/>
      <c r="AL1421" s="77"/>
      <c r="AM1421" s="77"/>
      <c r="AN1421" s="77"/>
      <c r="AO1421" s="77"/>
      <c r="AP1421" s="77"/>
      <c r="AQ1421" s="77" t="s">
        <v>11553</v>
      </c>
      <c r="AR1421" s="77">
        <v>50266</v>
      </c>
      <c r="AS1421" s="77"/>
      <c r="AT1421" s="77"/>
      <c r="AU1421" s="77">
        <v>7</v>
      </c>
      <c r="AV1421" s="80" t="str">
        <f>HYPERLINK("https://pbs.twimg.com/ext_tw_video_thumb/1638992401594195968/pu/img/dG63TqIXti9YdDXd.jpg")</f>
        <v>https://pbs.twimg.com/ext_tw_video_thumb/1638992401594195968/pu/img/dG63TqIXti9YdDXd.jpg</v>
      </c>
      <c r="AW1421" s="82" t="s">
        <v>13597</v>
      </c>
      <c r="AX1421" s="82" t="s">
        <v>13597</v>
      </c>
      <c r="AY1421" s="77"/>
      <c r="AZ1421" s="82" t="s">
        <v>15804</v>
      </c>
      <c r="BA1421" s="82" t="s">
        <v>15804</v>
      </c>
      <c r="BB1421" s="82" t="s">
        <v>15804</v>
      </c>
      <c r="BC1421" s="82" t="s">
        <v>13597</v>
      </c>
      <c r="BD1421" s="82" t="s">
        <v>16394</v>
      </c>
      <c r="BE1421" s="77"/>
      <c r="BF1421" s="77"/>
      <c r="BG1421" s="77"/>
      <c r="BH1421" s="77"/>
      <c r="BI1421" s="77"/>
    </row>
    <row r="1422" spans="1:61" x14ac:dyDescent="0.25">
      <c r="A1422" s="62" t="s">
        <v>680</v>
      </c>
      <c r="B1422" s="62" t="s">
        <v>680</v>
      </c>
      <c r="C1422" s="63"/>
      <c r="D1422" s="64"/>
      <c r="E1422" s="65"/>
      <c r="F1422" s="66"/>
      <c r="G1422" s="63"/>
      <c r="H1422" s="67"/>
      <c r="I1422" s="68"/>
      <c r="J1422" s="68"/>
      <c r="K1422" s="32"/>
      <c r="L1422" s="75">
        <v>1422</v>
      </c>
      <c r="M1422" s="75"/>
      <c r="N1422" s="70"/>
      <c r="O1422" s="77" t="s">
        <v>179</v>
      </c>
      <c r="P1422" s="79">
        <v>44988.562673611108</v>
      </c>
      <c r="Q1422" s="77" t="s">
        <v>2509</v>
      </c>
      <c r="R1422" s="77">
        <v>0</v>
      </c>
      <c r="S1422" s="77">
        <v>0</v>
      </c>
      <c r="T1422" s="77">
        <v>0</v>
      </c>
      <c r="U1422" s="77">
        <v>0</v>
      </c>
      <c r="V1422" s="77">
        <v>27</v>
      </c>
      <c r="W1422" s="82" t="s">
        <v>5064</v>
      </c>
      <c r="X1422" s="77"/>
      <c r="Y1422" s="77"/>
      <c r="Z1422" s="77"/>
      <c r="AA1422" s="77" t="s">
        <v>7047</v>
      </c>
      <c r="AB1422" s="77" t="s">
        <v>7697</v>
      </c>
      <c r="AC1422" s="82" t="s">
        <v>7705</v>
      </c>
      <c r="AD1422" s="77" t="s">
        <v>7745</v>
      </c>
      <c r="AE1422" s="80" t="str">
        <f>HYPERLINK("https://twitter.com/haramiresearch/status/1631648181418336256")</f>
        <v>https://twitter.com/haramiresearch/status/1631648181418336256</v>
      </c>
      <c r="AF1422" s="79">
        <v>44988.562673611108</v>
      </c>
      <c r="AG1422" s="85">
        <v>44988</v>
      </c>
      <c r="AH1422" s="82" t="s">
        <v>9016</v>
      </c>
      <c r="AI1422" s="77" t="b">
        <v>0</v>
      </c>
      <c r="AJ1422" s="77"/>
      <c r="AK1422" s="77"/>
      <c r="AL1422" s="77"/>
      <c r="AM1422" s="77"/>
      <c r="AN1422" s="77"/>
      <c r="AO1422" s="77"/>
      <c r="AP1422" s="77"/>
      <c r="AQ1422" s="77" t="s">
        <v>11554</v>
      </c>
      <c r="AR1422" s="77">
        <v>57233</v>
      </c>
      <c r="AS1422" s="77"/>
      <c r="AT1422" s="77"/>
      <c r="AU1422" s="77">
        <v>4</v>
      </c>
      <c r="AV1422" s="80" t="str">
        <f>HYPERLINK("https://pbs.twimg.com/ext_tw_video_thumb/1631648106797498369/pu/img/JVjGdHVHGpw4kmjJ.jpg")</f>
        <v>https://pbs.twimg.com/ext_tw_video_thumb/1631648106797498369/pu/img/JVjGdHVHGpw4kmjJ.jpg</v>
      </c>
      <c r="AW1422" s="82" t="s">
        <v>13598</v>
      </c>
      <c r="AX1422" s="82" t="s">
        <v>13598</v>
      </c>
      <c r="AY1422" s="77"/>
      <c r="AZ1422" s="82" t="s">
        <v>15804</v>
      </c>
      <c r="BA1422" s="82" t="s">
        <v>15804</v>
      </c>
      <c r="BB1422" s="82" t="s">
        <v>15804</v>
      </c>
      <c r="BC1422" s="82" t="s">
        <v>13598</v>
      </c>
      <c r="BD1422" s="82" t="s">
        <v>16395</v>
      </c>
      <c r="BE1422" s="77"/>
      <c r="BF1422" s="77"/>
      <c r="BG1422" s="77"/>
      <c r="BH1422" s="77"/>
      <c r="BI1422" s="77"/>
    </row>
    <row r="1423" spans="1:61" x14ac:dyDescent="0.25">
      <c r="A1423" s="62" t="s">
        <v>680</v>
      </c>
      <c r="B1423" s="62" t="s">
        <v>680</v>
      </c>
      <c r="C1423" s="63"/>
      <c r="D1423" s="64"/>
      <c r="E1423" s="65"/>
      <c r="F1423" s="66"/>
      <c r="G1423" s="63"/>
      <c r="H1423" s="67"/>
      <c r="I1423" s="68"/>
      <c r="J1423" s="68"/>
      <c r="K1423" s="32"/>
      <c r="L1423" s="75">
        <v>1423</v>
      </c>
      <c r="M1423" s="75"/>
      <c r="N1423" s="70"/>
      <c r="O1423" s="77" t="s">
        <v>179</v>
      </c>
      <c r="P1423" s="79">
        <v>44994.73715277778</v>
      </c>
      <c r="Q1423" s="77" t="s">
        <v>2510</v>
      </c>
      <c r="R1423" s="77">
        <v>0</v>
      </c>
      <c r="S1423" s="77">
        <v>0</v>
      </c>
      <c r="T1423" s="77">
        <v>0</v>
      </c>
      <c r="U1423" s="77">
        <v>0</v>
      </c>
      <c r="V1423" s="77">
        <v>48</v>
      </c>
      <c r="W1423" s="82" t="s">
        <v>5065</v>
      </c>
      <c r="X1423" s="77"/>
      <c r="Y1423" s="77"/>
      <c r="Z1423" s="77"/>
      <c r="AA1423" s="77" t="s">
        <v>7048</v>
      </c>
      <c r="AB1423" s="77" t="s">
        <v>7697</v>
      </c>
      <c r="AC1423" s="82" t="s">
        <v>7705</v>
      </c>
      <c r="AD1423" s="77" t="s">
        <v>7745</v>
      </c>
      <c r="AE1423" s="80" t="str">
        <f>HYPERLINK("https://twitter.com/haramiresearch/status/1633885736893132800")</f>
        <v>https://twitter.com/haramiresearch/status/1633885736893132800</v>
      </c>
      <c r="AF1423" s="79">
        <v>44994.73715277778</v>
      </c>
      <c r="AG1423" s="85">
        <v>44994</v>
      </c>
      <c r="AH1423" s="82" t="s">
        <v>9017</v>
      </c>
      <c r="AI1423" s="77" t="b">
        <v>0</v>
      </c>
      <c r="AJ1423" s="77"/>
      <c r="AK1423" s="77"/>
      <c r="AL1423" s="77"/>
      <c r="AM1423" s="77"/>
      <c r="AN1423" s="77"/>
      <c r="AO1423" s="77"/>
      <c r="AP1423" s="77"/>
      <c r="AQ1423" s="77" t="s">
        <v>11555</v>
      </c>
      <c r="AR1423" s="77">
        <v>140000</v>
      </c>
      <c r="AS1423" s="77"/>
      <c r="AT1423" s="77"/>
      <c r="AU1423" s="77">
        <v>13</v>
      </c>
      <c r="AV1423" s="80" t="str">
        <f>HYPERLINK("https://pbs.twimg.com/ext_tw_video_thumb/1633885619179929602/pu/img/t09IO_zOby0E2Wit.jpg")</f>
        <v>https://pbs.twimg.com/ext_tw_video_thumb/1633885619179929602/pu/img/t09IO_zOby0E2Wit.jpg</v>
      </c>
      <c r="AW1423" s="82" t="s">
        <v>13599</v>
      </c>
      <c r="AX1423" s="82" t="s">
        <v>13599</v>
      </c>
      <c r="AY1423" s="77"/>
      <c r="AZ1423" s="82" t="s">
        <v>15804</v>
      </c>
      <c r="BA1423" s="82" t="s">
        <v>15804</v>
      </c>
      <c r="BB1423" s="82" t="s">
        <v>15804</v>
      </c>
      <c r="BC1423" s="82" t="s">
        <v>13599</v>
      </c>
      <c r="BD1423" s="82" t="s">
        <v>16395</v>
      </c>
      <c r="BE1423" s="77"/>
      <c r="BF1423" s="77"/>
      <c r="BG1423" s="77"/>
      <c r="BH1423" s="77"/>
      <c r="BI1423" s="77"/>
    </row>
    <row r="1424" spans="1:61" x14ac:dyDescent="0.25">
      <c r="A1424" s="62" t="s">
        <v>680</v>
      </c>
      <c r="B1424" s="62" t="s">
        <v>680</v>
      </c>
      <c r="C1424" s="63"/>
      <c r="D1424" s="64"/>
      <c r="E1424" s="65"/>
      <c r="F1424" s="66"/>
      <c r="G1424" s="63"/>
      <c r="H1424" s="67"/>
      <c r="I1424" s="68"/>
      <c r="J1424" s="68"/>
      <c r="K1424" s="32"/>
      <c r="L1424" s="75">
        <v>1424</v>
      </c>
      <c r="M1424" s="75"/>
      <c r="N1424" s="70"/>
      <c r="O1424" s="77" t="s">
        <v>179</v>
      </c>
      <c r="P1424" s="79">
        <v>44996.676851851851</v>
      </c>
      <c r="Q1424" s="77" t="s">
        <v>2511</v>
      </c>
      <c r="R1424" s="77">
        <v>0</v>
      </c>
      <c r="S1424" s="77">
        <v>0</v>
      </c>
      <c r="T1424" s="77">
        <v>0</v>
      </c>
      <c r="U1424" s="77">
        <v>0</v>
      </c>
      <c r="V1424" s="77">
        <v>23</v>
      </c>
      <c r="W1424" s="82" t="s">
        <v>5066</v>
      </c>
      <c r="X1424" s="80" t="str">
        <f>HYPERLINK("https://www.youtube.com/shorts/05BcLkhoOW4")</f>
        <v>https://www.youtube.com/shorts/05BcLkhoOW4</v>
      </c>
      <c r="Y1424" s="77" t="s">
        <v>6006</v>
      </c>
      <c r="Z1424" s="77"/>
      <c r="AA1424" s="77" t="s">
        <v>7049</v>
      </c>
      <c r="AB1424" s="77" t="s">
        <v>7697</v>
      </c>
      <c r="AC1424" s="82" t="s">
        <v>7707</v>
      </c>
      <c r="AD1424" s="77" t="s">
        <v>7745</v>
      </c>
      <c r="AE1424" s="80" t="str">
        <f>HYPERLINK("https://twitter.com/haramiresearch/status/1634588662045319168")</f>
        <v>https://twitter.com/haramiresearch/status/1634588662045319168</v>
      </c>
      <c r="AF1424" s="79">
        <v>44996.676851851851</v>
      </c>
      <c r="AG1424" s="85">
        <v>44996</v>
      </c>
      <c r="AH1424" s="82" t="s">
        <v>9018</v>
      </c>
      <c r="AI1424" s="77" t="b">
        <v>0</v>
      </c>
      <c r="AJ1424" s="77"/>
      <c r="AK1424" s="77"/>
      <c r="AL1424" s="77"/>
      <c r="AM1424" s="77"/>
      <c r="AN1424" s="77"/>
      <c r="AO1424" s="77"/>
      <c r="AP1424" s="77"/>
      <c r="AQ1424" s="77" t="s">
        <v>11556</v>
      </c>
      <c r="AR1424" s="77">
        <v>42142</v>
      </c>
      <c r="AS1424" s="77"/>
      <c r="AT1424" s="77"/>
      <c r="AU1424" s="77">
        <v>8</v>
      </c>
      <c r="AV1424" s="80" t="str">
        <f>HYPERLINK("https://pbs.twimg.com/ext_tw_video_thumb/1634588579312566273/pu/img/EKhNiU8u1I51hJqh.jpg")</f>
        <v>https://pbs.twimg.com/ext_tw_video_thumb/1634588579312566273/pu/img/EKhNiU8u1I51hJqh.jpg</v>
      </c>
      <c r="AW1424" s="82" t="s">
        <v>13600</v>
      </c>
      <c r="AX1424" s="82" t="s">
        <v>13600</v>
      </c>
      <c r="AY1424" s="77"/>
      <c r="AZ1424" s="82" t="s">
        <v>15804</v>
      </c>
      <c r="BA1424" s="82" t="s">
        <v>15804</v>
      </c>
      <c r="BB1424" s="82" t="s">
        <v>15804</v>
      </c>
      <c r="BC1424" s="82" t="s">
        <v>13600</v>
      </c>
      <c r="BD1424" s="82" t="s">
        <v>16395</v>
      </c>
      <c r="BE1424" s="77"/>
      <c r="BF1424" s="77"/>
      <c r="BG1424" s="77"/>
      <c r="BH1424" s="77"/>
      <c r="BI1424" s="77"/>
    </row>
    <row r="1425" spans="1:61" x14ac:dyDescent="0.25">
      <c r="A1425" s="62" t="s">
        <v>680</v>
      </c>
      <c r="B1425" s="62" t="s">
        <v>680</v>
      </c>
      <c r="C1425" s="63"/>
      <c r="D1425" s="64"/>
      <c r="E1425" s="65"/>
      <c r="F1425" s="66"/>
      <c r="G1425" s="63"/>
      <c r="H1425" s="67"/>
      <c r="I1425" s="68"/>
      <c r="J1425" s="68"/>
      <c r="K1425" s="32"/>
      <c r="L1425" s="75">
        <v>1425</v>
      </c>
      <c r="M1425" s="75"/>
      <c r="N1425" s="70"/>
      <c r="O1425" s="77" t="s">
        <v>179</v>
      </c>
      <c r="P1425" s="79">
        <v>45020.783449074072</v>
      </c>
      <c r="Q1425" s="77" t="s">
        <v>2512</v>
      </c>
      <c r="R1425" s="77">
        <v>0</v>
      </c>
      <c r="S1425" s="77">
        <v>0</v>
      </c>
      <c r="T1425" s="77">
        <v>0</v>
      </c>
      <c r="U1425" s="77">
        <v>0</v>
      </c>
      <c r="V1425" s="77">
        <v>41</v>
      </c>
      <c r="W1425" s="82" t="s">
        <v>5067</v>
      </c>
      <c r="X1425" s="77"/>
      <c r="Y1425" s="77"/>
      <c r="Z1425" s="77"/>
      <c r="AA1425" s="77" t="s">
        <v>7050</v>
      </c>
      <c r="AB1425" s="77" t="s">
        <v>7697</v>
      </c>
      <c r="AC1425" s="82" t="s">
        <v>7705</v>
      </c>
      <c r="AD1425" s="77" t="s">
        <v>7745</v>
      </c>
      <c r="AE1425" s="80" t="str">
        <f>HYPERLINK("https://twitter.com/haramiresearch/status/1643324599004721157")</f>
        <v>https://twitter.com/haramiresearch/status/1643324599004721157</v>
      </c>
      <c r="AF1425" s="79">
        <v>45020.783449074072</v>
      </c>
      <c r="AG1425" s="85">
        <v>45020</v>
      </c>
      <c r="AH1425" s="82" t="s">
        <v>9019</v>
      </c>
      <c r="AI1425" s="77" t="b">
        <v>0</v>
      </c>
      <c r="AJ1425" s="77"/>
      <c r="AK1425" s="77"/>
      <c r="AL1425" s="77"/>
      <c r="AM1425" s="77"/>
      <c r="AN1425" s="77"/>
      <c r="AO1425" s="77"/>
      <c r="AP1425" s="77"/>
      <c r="AQ1425" s="77" t="s">
        <v>11557</v>
      </c>
      <c r="AR1425" s="77">
        <v>140000</v>
      </c>
      <c r="AS1425" s="77"/>
      <c r="AT1425" s="77"/>
      <c r="AU1425" s="77">
        <v>6</v>
      </c>
      <c r="AV1425" s="80" t="str">
        <f>HYPERLINK("https://pbs.twimg.com/ext_tw_video_thumb/1643324480477904901/pu/img/U5YEcE9vkDcGLzVU.jpg")</f>
        <v>https://pbs.twimg.com/ext_tw_video_thumb/1643324480477904901/pu/img/U5YEcE9vkDcGLzVU.jpg</v>
      </c>
      <c r="AW1425" s="82" t="s">
        <v>13601</v>
      </c>
      <c r="AX1425" s="82" t="s">
        <v>13601</v>
      </c>
      <c r="AY1425" s="77"/>
      <c r="AZ1425" s="82" t="s">
        <v>15804</v>
      </c>
      <c r="BA1425" s="82" t="s">
        <v>15804</v>
      </c>
      <c r="BB1425" s="82" t="s">
        <v>15804</v>
      </c>
      <c r="BC1425" s="82" t="s">
        <v>13601</v>
      </c>
      <c r="BD1425" s="82" t="s">
        <v>16395</v>
      </c>
      <c r="BE1425" s="77"/>
      <c r="BF1425" s="77"/>
      <c r="BG1425" s="77"/>
      <c r="BH1425" s="77"/>
      <c r="BI1425" s="77"/>
    </row>
    <row r="1426" spans="1:61" x14ac:dyDescent="0.25">
      <c r="A1426" s="62" t="s">
        <v>681</v>
      </c>
      <c r="B1426" s="62" t="s">
        <v>681</v>
      </c>
      <c r="C1426" s="63"/>
      <c r="D1426" s="64"/>
      <c r="E1426" s="65"/>
      <c r="F1426" s="66"/>
      <c r="G1426" s="63"/>
      <c r="H1426" s="67"/>
      <c r="I1426" s="68"/>
      <c r="J1426" s="68"/>
      <c r="K1426" s="32"/>
      <c r="L1426" s="75">
        <v>1426</v>
      </c>
      <c r="M1426" s="75"/>
      <c r="N1426" s="70"/>
      <c r="O1426" s="77" t="s">
        <v>179</v>
      </c>
      <c r="P1426" s="79">
        <v>45057.571157407408</v>
      </c>
      <c r="Q1426" s="77" t="s">
        <v>2513</v>
      </c>
      <c r="R1426" s="77">
        <v>0</v>
      </c>
      <c r="S1426" s="77">
        <v>0</v>
      </c>
      <c r="T1426" s="77">
        <v>0</v>
      </c>
      <c r="U1426" s="77">
        <v>0</v>
      </c>
      <c r="V1426" s="77">
        <v>30</v>
      </c>
      <c r="W1426" s="82" t="s">
        <v>5068</v>
      </c>
      <c r="X1426" s="80" t="str">
        <f>HYPERLINK("https://revolut.com/referral/?referral-code=pedrogz3p!MAY1-23-AR")</f>
        <v>https://revolut.com/referral/?referral-code=pedrogz3p!MAY1-23-AR</v>
      </c>
      <c r="Y1426" s="77" t="s">
        <v>6073</v>
      </c>
      <c r="Z1426" s="77"/>
      <c r="AA1426" s="77"/>
      <c r="AB1426" s="77"/>
      <c r="AC1426" s="82" t="s">
        <v>7707</v>
      </c>
      <c r="AD1426" s="77" t="s">
        <v>7745</v>
      </c>
      <c r="AE1426" s="80" t="str">
        <f>HYPERLINK("https://twitter.com/tipomdistraido/status/1656656017663328256")</f>
        <v>https://twitter.com/tipomdistraido/status/1656656017663328256</v>
      </c>
      <c r="AF1426" s="79">
        <v>45057.571157407408</v>
      </c>
      <c r="AG1426" s="85">
        <v>45057</v>
      </c>
      <c r="AH1426" s="82" t="s">
        <v>9020</v>
      </c>
      <c r="AI1426" s="77" t="b">
        <v>0</v>
      </c>
      <c r="AJ1426" s="77"/>
      <c r="AK1426" s="77"/>
      <c r="AL1426" s="77"/>
      <c r="AM1426" s="77"/>
      <c r="AN1426" s="77"/>
      <c r="AO1426" s="77"/>
      <c r="AP1426" s="77"/>
      <c r="AQ1426" s="77"/>
      <c r="AR1426" s="77"/>
      <c r="AS1426" s="77"/>
      <c r="AT1426" s="77"/>
      <c r="AU1426" s="77"/>
      <c r="AV1426" s="80" t="str">
        <f>HYPERLINK("https://pbs.twimg.com/profile_images/1631818420583841792/Z78SZ1WY_normal.jpg")</f>
        <v>https://pbs.twimg.com/profile_images/1631818420583841792/Z78SZ1WY_normal.jpg</v>
      </c>
      <c r="AW1426" s="82" t="s">
        <v>13602</v>
      </c>
      <c r="AX1426" s="82" t="s">
        <v>13602</v>
      </c>
      <c r="AY1426" s="77"/>
      <c r="AZ1426" s="82" t="s">
        <v>15804</v>
      </c>
      <c r="BA1426" s="82" t="s">
        <v>15804</v>
      </c>
      <c r="BB1426" s="82" t="s">
        <v>15804</v>
      </c>
      <c r="BC1426" s="82" t="s">
        <v>13602</v>
      </c>
      <c r="BD1426" s="82" t="s">
        <v>16396</v>
      </c>
      <c r="BE1426" s="77"/>
      <c r="BF1426" s="77"/>
      <c r="BG1426" s="77"/>
      <c r="BH1426" s="77"/>
      <c r="BI1426" s="77"/>
    </row>
    <row r="1427" spans="1:61" x14ac:dyDescent="0.25">
      <c r="A1427" s="62" t="s">
        <v>682</v>
      </c>
      <c r="B1427" s="62" t="s">
        <v>682</v>
      </c>
      <c r="C1427" s="63"/>
      <c r="D1427" s="64"/>
      <c r="E1427" s="65"/>
      <c r="F1427" s="66"/>
      <c r="G1427" s="63"/>
      <c r="H1427" s="67"/>
      <c r="I1427" s="68"/>
      <c r="J1427" s="68"/>
      <c r="K1427" s="32"/>
      <c r="L1427" s="75">
        <v>1427</v>
      </c>
      <c r="M1427" s="75"/>
      <c r="N1427" s="70"/>
      <c r="O1427" s="77" t="s">
        <v>179</v>
      </c>
      <c r="P1427" s="79">
        <v>45039.792233796295</v>
      </c>
      <c r="Q1427" s="77" t="s">
        <v>2514</v>
      </c>
      <c r="R1427" s="77">
        <v>1</v>
      </c>
      <c r="S1427" s="77">
        <v>91</v>
      </c>
      <c r="T1427" s="77">
        <v>0</v>
      </c>
      <c r="U1427" s="77">
        <v>1</v>
      </c>
      <c r="V1427" s="77">
        <v>543</v>
      </c>
      <c r="W1427" s="82" t="s">
        <v>5069</v>
      </c>
      <c r="X1427" s="77"/>
      <c r="Y1427" s="77"/>
      <c r="Z1427" s="77"/>
      <c r="AA1427" s="77" t="s">
        <v>7051</v>
      </c>
      <c r="AB1427" s="77" t="s">
        <v>7697</v>
      </c>
      <c r="AC1427" s="82" t="s">
        <v>7707</v>
      </c>
      <c r="AD1427" s="77" t="s">
        <v>7745</v>
      </c>
      <c r="AE1427" s="80" t="str">
        <f>HYPERLINK("https://twitter.com/pinto_matamba/status/1650213151743287297")</f>
        <v>https://twitter.com/pinto_matamba/status/1650213151743287297</v>
      </c>
      <c r="AF1427" s="79">
        <v>45039.792233796295</v>
      </c>
      <c r="AG1427" s="85">
        <v>45039</v>
      </c>
      <c r="AH1427" s="82" t="s">
        <v>9008</v>
      </c>
      <c r="AI1427" s="77" t="b">
        <v>0</v>
      </c>
      <c r="AJ1427" s="77"/>
      <c r="AK1427" s="77"/>
      <c r="AL1427" s="77"/>
      <c r="AM1427" s="77"/>
      <c r="AN1427" s="77"/>
      <c r="AO1427" s="77"/>
      <c r="AP1427" s="77"/>
      <c r="AQ1427" s="77" t="s">
        <v>11558</v>
      </c>
      <c r="AR1427" s="77">
        <v>14531</v>
      </c>
      <c r="AS1427" s="77"/>
      <c r="AT1427" s="77"/>
      <c r="AU1427" s="77">
        <v>168</v>
      </c>
      <c r="AV1427" s="80" t="str">
        <f>HYPERLINK("https://pbs.twimg.com/ext_tw_video_thumb/1650212943714308099/pu/img/xcQNyXzcmWxHHOTP.jpg")</f>
        <v>https://pbs.twimg.com/ext_tw_video_thumb/1650212943714308099/pu/img/xcQNyXzcmWxHHOTP.jpg</v>
      </c>
      <c r="AW1427" s="82" t="s">
        <v>13603</v>
      </c>
      <c r="AX1427" s="82" t="s">
        <v>13603</v>
      </c>
      <c r="AY1427" s="77"/>
      <c r="AZ1427" s="82" t="s">
        <v>15804</v>
      </c>
      <c r="BA1427" s="82" t="s">
        <v>15804</v>
      </c>
      <c r="BB1427" s="82" t="s">
        <v>15804</v>
      </c>
      <c r="BC1427" s="82" t="s">
        <v>13603</v>
      </c>
      <c r="BD1427" s="77">
        <v>1347015354</v>
      </c>
      <c r="BE1427" s="77"/>
      <c r="BF1427" s="77"/>
      <c r="BG1427" s="77"/>
      <c r="BH1427" s="77"/>
      <c r="BI1427" s="77"/>
    </row>
    <row r="1428" spans="1:61" x14ac:dyDescent="0.25">
      <c r="A1428" s="62" t="s">
        <v>683</v>
      </c>
      <c r="B1428" s="62" t="s">
        <v>683</v>
      </c>
      <c r="C1428" s="63"/>
      <c r="D1428" s="64"/>
      <c r="E1428" s="65"/>
      <c r="F1428" s="66"/>
      <c r="G1428" s="63"/>
      <c r="H1428" s="67"/>
      <c r="I1428" s="68"/>
      <c r="J1428" s="68"/>
      <c r="K1428" s="32"/>
      <c r="L1428" s="75">
        <v>1428</v>
      </c>
      <c r="M1428" s="75"/>
      <c r="N1428" s="70"/>
      <c r="O1428" s="77" t="s">
        <v>179</v>
      </c>
      <c r="P1428" s="79">
        <v>44949.94321759259</v>
      </c>
      <c r="Q1428" s="77" t="s">
        <v>2515</v>
      </c>
      <c r="R1428" s="77">
        <v>1</v>
      </c>
      <c r="S1428" s="77">
        <v>110</v>
      </c>
      <c r="T1428" s="77">
        <v>12</v>
      </c>
      <c r="U1428" s="77">
        <v>0</v>
      </c>
      <c r="V1428" s="77">
        <v>15671</v>
      </c>
      <c r="W1428" s="82" t="s">
        <v>5070</v>
      </c>
      <c r="X1428" s="77"/>
      <c r="Y1428" s="77"/>
      <c r="Z1428" s="77"/>
      <c r="AA1428" s="77" t="s">
        <v>7052</v>
      </c>
      <c r="AB1428" s="77" t="s">
        <v>7697</v>
      </c>
      <c r="AC1428" s="82" t="s">
        <v>7716</v>
      </c>
      <c r="AD1428" s="77" t="s">
        <v>7745</v>
      </c>
      <c r="AE1428" s="80" t="str">
        <f>HYPERLINK("https://twitter.com/_rschweitzer/status/1617652957620600833")</f>
        <v>https://twitter.com/_rschweitzer/status/1617652957620600833</v>
      </c>
      <c r="AF1428" s="79">
        <v>44949.94321759259</v>
      </c>
      <c r="AG1428" s="85">
        <v>44949</v>
      </c>
      <c r="AH1428" s="82" t="s">
        <v>9021</v>
      </c>
      <c r="AI1428" s="77" t="b">
        <v>0</v>
      </c>
      <c r="AJ1428" s="77"/>
      <c r="AK1428" s="77"/>
      <c r="AL1428" s="77"/>
      <c r="AM1428" s="77"/>
      <c r="AN1428" s="77"/>
      <c r="AO1428" s="77"/>
      <c r="AP1428" s="77"/>
      <c r="AQ1428" s="77" t="s">
        <v>11559</v>
      </c>
      <c r="AR1428" s="77">
        <v>40333</v>
      </c>
      <c r="AS1428" s="77"/>
      <c r="AT1428" s="77"/>
      <c r="AU1428" s="77">
        <v>5761</v>
      </c>
      <c r="AV1428" s="80" t="str">
        <f>HYPERLINK("https://pbs.twimg.com/ext_tw_video_thumb/1617652906404057088/pu/img/hxLggFpDJHlnL7cO.jpg")</f>
        <v>https://pbs.twimg.com/ext_tw_video_thumb/1617652906404057088/pu/img/hxLggFpDJHlnL7cO.jpg</v>
      </c>
      <c r="AW1428" s="82" t="s">
        <v>13604</v>
      </c>
      <c r="AX1428" s="82" t="s">
        <v>13604</v>
      </c>
      <c r="AY1428" s="77"/>
      <c r="AZ1428" s="82" t="s">
        <v>15804</v>
      </c>
      <c r="BA1428" s="82" t="s">
        <v>15804</v>
      </c>
      <c r="BB1428" s="82" t="s">
        <v>15804</v>
      </c>
      <c r="BC1428" s="82" t="s">
        <v>13604</v>
      </c>
      <c r="BD1428" s="82" t="s">
        <v>16397</v>
      </c>
      <c r="BE1428" s="77"/>
      <c r="BF1428" s="77"/>
      <c r="BG1428" s="77"/>
      <c r="BH1428" s="77"/>
      <c r="BI1428" s="77"/>
    </row>
    <row r="1429" spans="1:61" x14ac:dyDescent="0.25">
      <c r="A1429" s="62" t="s">
        <v>420</v>
      </c>
      <c r="B1429" s="62" t="s">
        <v>684</v>
      </c>
      <c r="C1429" s="63"/>
      <c r="D1429" s="64"/>
      <c r="E1429" s="65"/>
      <c r="F1429" s="66"/>
      <c r="G1429" s="63"/>
      <c r="H1429" s="67"/>
      <c r="I1429" s="68"/>
      <c r="J1429" s="68"/>
      <c r="K1429" s="32"/>
      <c r="L1429" s="75">
        <v>1429</v>
      </c>
      <c r="M1429" s="75"/>
      <c r="N1429" s="70"/>
      <c r="O1429" s="77" t="s">
        <v>1133</v>
      </c>
      <c r="P1429" s="79">
        <v>45177.854166666664</v>
      </c>
      <c r="Q1429" s="77" t="s">
        <v>2516</v>
      </c>
      <c r="R1429" s="77">
        <v>1</v>
      </c>
      <c r="S1429" s="77">
        <v>2</v>
      </c>
      <c r="T1429" s="77">
        <v>0</v>
      </c>
      <c r="U1429" s="77">
        <v>0</v>
      </c>
      <c r="V1429" s="77">
        <v>792</v>
      </c>
      <c r="W1429" s="82" t="s">
        <v>5071</v>
      </c>
      <c r="X1429" s="80" t="str">
        <f>HYPERLINK("https://einvestidor.estadao.com.br/educacao-financeira/leitores-e-investidor-curso-gratuito-comecar-investir/?utm_source=twitter&amp;utm_medium=organic&amp;utm_campaign=&amp;utm_content=materia")</f>
        <v>https://einvestidor.estadao.com.br/educacao-financeira/leitores-e-investidor-curso-gratuito-comecar-investir/?utm_source=twitter&amp;utm_medium=organic&amp;utm_campaign=&amp;utm_content=materia</v>
      </c>
      <c r="Y1429" s="77" t="s">
        <v>6002</v>
      </c>
      <c r="Z1429" s="77" t="s">
        <v>684</v>
      </c>
      <c r="AA1429" s="77"/>
      <c r="AB1429" s="77"/>
      <c r="AC1429" s="82" t="s">
        <v>7706</v>
      </c>
      <c r="AD1429" s="77" t="s">
        <v>7745</v>
      </c>
      <c r="AE1429" s="80" t="str">
        <f>HYPERLINK("https://twitter.com/einvestidor/status/1700245120191226065")</f>
        <v>https://twitter.com/einvestidor/status/1700245120191226065</v>
      </c>
      <c r="AF1429" s="79">
        <v>45177.854166666664</v>
      </c>
      <c r="AG1429" s="85">
        <v>45177</v>
      </c>
      <c r="AH1429" s="82" t="s">
        <v>8575</v>
      </c>
      <c r="AI1429" s="77" t="b">
        <v>0</v>
      </c>
      <c r="AJ1429" s="77"/>
      <c r="AK1429" s="77"/>
      <c r="AL1429" s="77"/>
      <c r="AM1429" s="77"/>
      <c r="AN1429" s="77"/>
      <c r="AO1429" s="77"/>
      <c r="AP1429" s="77"/>
      <c r="AQ1429" s="77"/>
      <c r="AR1429" s="77"/>
      <c r="AS1429" s="77"/>
      <c r="AT1429" s="77"/>
      <c r="AU1429" s="77"/>
      <c r="AV1429" s="80" t="str">
        <f>HYPERLINK("https://pbs.twimg.com/profile_images/1241147984924082183/gZgx_hL-_normal.jpg")</f>
        <v>https://pbs.twimg.com/profile_images/1241147984924082183/gZgx_hL-_normal.jpg</v>
      </c>
      <c r="AW1429" s="82" t="s">
        <v>13605</v>
      </c>
      <c r="AX1429" s="82" t="s">
        <v>13605</v>
      </c>
      <c r="AY1429" s="77"/>
      <c r="AZ1429" s="82" t="s">
        <v>15804</v>
      </c>
      <c r="BA1429" s="82" t="s">
        <v>15804</v>
      </c>
      <c r="BB1429" s="82" t="s">
        <v>15804</v>
      </c>
      <c r="BC1429" s="82" t="s">
        <v>13605</v>
      </c>
      <c r="BD1429" s="82" t="s">
        <v>15756</v>
      </c>
      <c r="BE1429" s="77"/>
      <c r="BF1429" s="77"/>
      <c r="BG1429" s="77"/>
      <c r="BH1429" s="77"/>
      <c r="BI1429" s="77"/>
    </row>
    <row r="1430" spans="1:61" x14ac:dyDescent="0.25">
      <c r="A1430" s="62" t="s">
        <v>684</v>
      </c>
      <c r="B1430" s="62" t="s">
        <v>684</v>
      </c>
      <c r="C1430" s="63"/>
      <c r="D1430" s="64"/>
      <c r="E1430" s="65"/>
      <c r="F1430" s="66"/>
      <c r="G1430" s="63"/>
      <c r="H1430" s="67"/>
      <c r="I1430" s="68"/>
      <c r="J1430" s="68"/>
      <c r="K1430" s="32"/>
      <c r="L1430" s="75">
        <v>1430</v>
      </c>
      <c r="M1430" s="75"/>
      <c r="N1430" s="70"/>
      <c r="O1430" s="77" t="s">
        <v>1138</v>
      </c>
      <c r="P1430" s="79">
        <v>45177.884687500002</v>
      </c>
      <c r="Q1430" s="77" t="s">
        <v>2517</v>
      </c>
      <c r="R1430" s="77">
        <v>1</v>
      </c>
      <c r="S1430" s="77">
        <v>0</v>
      </c>
      <c r="T1430" s="77">
        <v>0</v>
      </c>
      <c r="U1430" s="77">
        <v>0</v>
      </c>
      <c r="V1430" s="77"/>
      <c r="W1430" s="77"/>
      <c r="X1430" s="77"/>
      <c r="Y1430" s="77"/>
      <c r="Z1430" s="77" t="s">
        <v>6130</v>
      </c>
      <c r="AA1430" s="77"/>
      <c r="AB1430" s="77"/>
      <c r="AC1430" s="82" t="s">
        <v>7706</v>
      </c>
      <c r="AD1430" s="77" t="s">
        <v>7745</v>
      </c>
      <c r="AE1430" s="80" t="str">
        <f>HYPERLINK("https://twitter.com/agoracorretora/status/1700256179983982615")</f>
        <v>https://twitter.com/agoracorretora/status/1700256179983982615</v>
      </c>
      <c r="AF1430" s="79">
        <v>45177.884687500002</v>
      </c>
      <c r="AG1430" s="85">
        <v>45177</v>
      </c>
      <c r="AH1430" s="82" t="s">
        <v>9022</v>
      </c>
      <c r="AI1430" s="77" t="b">
        <v>0</v>
      </c>
      <c r="AJ1430" s="77"/>
      <c r="AK1430" s="77"/>
      <c r="AL1430" s="77"/>
      <c r="AM1430" s="77"/>
      <c r="AN1430" s="77"/>
      <c r="AO1430" s="77"/>
      <c r="AP1430" s="77"/>
      <c r="AQ1430" s="77"/>
      <c r="AR1430" s="77"/>
      <c r="AS1430" s="77"/>
      <c r="AT1430" s="77"/>
      <c r="AU1430" s="77"/>
      <c r="AV1430" s="80" t="str">
        <f>HYPERLINK("https://pbs.twimg.com/profile_images/1181220544785584128/YUICrsyV_normal.jpg")</f>
        <v>https://pbs.twimg.com/profile_images/1181220544785584128/YUICrsyV_normal.jpg</v>
      </c>
      <c r="AW1430" s="82" t="s">
        <v>13606</v>
      </c>
      <c r="AX1430" s="82" t="s">
        <v>13606</v>
      </c>
      <c r="AY1430" s="77"/>
      <c r="AZ1430" s="82" t="s">
        <v>15804</v>
      </c>
      <c r="BA1430" s="82" t="s">
        <v>15804</v>
      </c>
      <c r="BB1430" s="82" t="s">
        <v>13605</v>
      </c>
      <c r="BC1430" s="82" t="s">
        <v>13605</v>
      </c>
      <c r="BD1430" s="77">
        <v>22611794</v>
      </c>
      <c r="BE1430" s="77"/>
      <c r="BF1430" s="77"/>
      <c r="BG1430" s="77"/>
      <c r="BH1430" s="77"/>
      <c r="BI1430" s="77"/>
    </row>
    <row r="1431" spans="1:61" x14ac:dyDescent="0.25">
      <c r="A1431" s="62" t="s">
        <v>684</v>
      </c>
      <c r="B1431" s="62" t="s">
        <v>420</v>
      </c>
      <c r="C1431" s="63"/>
      <c r="D1431" s="64"/>
      <c r="E1431" s="65"/>
      <c r="F1431" s="66"/>
      <c r="G1431" s="63"/>
      <c r="H1431" s="67"/>
      <c r="I1431" s="68"/>
      <c r="J1431" s="68"/>
      <c r="K1431" s="32"/>
      <c r="L1431" s="75">
        <v>1431</v>
      </c>
      <c r="M1431" s="75"/>
      <c r="N1431" s="70"/>
      <c r="O1431" s="77" t="s">
        <v>1134</v>
      </c>
      <c r="P1431" s="79">
        <v>45177.884687500002</v>
      </c>
      <c r="Q1431" s="77" t="s">
        <v>2517</v>
      </c>
      <c r="R1431" s="77">
        <v>1</v>
      </c>
      <c r="S1431" s="77">
        <v>0</v>
      </c>
      <c r="T1431" s="77">
        <v>0</v>
      </c>
      <c r="U1431" s="77">
        <v>0</v>
      </c>
      <c r="V1431" s="77"/>
      <c r="W1431" s="77"/>
      <c r="X1431" s="77"/>
      <c r="Y1431" s="77"/>
      <c r="Z1431" s="77" t="s">
        <v>6130</v>
      </c>
      <c r="AA1431" s="77"/>
      <c r="AB1431" s="77"/>
      <c r="AC1431" s="82" t="s">
        <v>7706</v>
      </c>
      <c r="AD1431" s="77" t="s">
        <v>7745</v>
      </c>
      <c r="AE1431" s="80" t="str">
        <f>HYPERLINK("https://twitter.com/agoracorretora/status/1700256179983982615")</f>
        <v>https://twitter.com/agoracorretora/status/1700256179983982615</v>
      </c>
      <c r="AF1431" s="79">
        <v>45177.884687500002</v>
      </c>
      <c r="AG1431" s="85">
        <v>45177</v>
      </c>
      <c r="AH1431" s="82" t="s">
        <v>9022</v>
      </c>
      <c r="AI1431" s="77" t="b">
        <v>0</v>
      </c>
      <c r="AJ1431" s="77"/>
      <c r="AK1431" s="77"/>
      <c r="AL1431" s="77"/>
      <c r="AM1431" s="77"/>
      <c r="AN1431" s="77"/>
      <c r="AO1431" s="77"/>
      <c r="AP1431" s="77"/>
      <c r="AQ1431" s="77"/>
      <c r="AR1431" s="77"/>
      <c r="AS1431" s="77"/>
      <c r="AT1431" s="77"/>
      <c r="AU1431" s="77"/>
      <c r="AV1431" s="80" t="str">
        <f>HYPERLINK("https://pbs.twimg.com/profile_images/1181220544785584128/YUICrsyV_normal.jpg")</f>
        <v>https://pbs.twimg.com/profile_images/1181220544785584128/YUICrsyV_normal.jpg</v>
      </c>
      <c r="AW1431" s="82" t="s">
        <v>13606</v>
      </c>
      <c r="AX1431" s="82" t="s">
        <v>13606</v>
      </c>
      <c r="AY1431" s="77"/>
      <c r="AZ1431" s="82" t="s">
        <v>15804</v>
      </c>
      <c r="BA1431" s="82" t="s">
        <v>15804</v>
      </c>
      <c r="BB1431" s="82" t="s">
        <v>13605</v>
      </c>
      <c r="BC1431" s="82" t="s">
        <v>13605</v>
      </c>
      <c r="BD1431" s="77">
        <v>22611794</v>
      </c>
      <c r="BE1431" s="77"/>
      <c r="BF1431" s="77"/>
      <c r="BG1431" s="77"/>
      <c r="BH1431" s="77"/>
      <c r="BI1431" s="77"/>
    </row>
    <row r="1432" spans="1:61" x14ac:dyDescent="0.25">
      <c r="A1432" s="62" t="s">
        <v>685</v>
      </c>
      <c r="B1432" s="62" t="s">
        <v>685</v>
      </c>
      <c r="C1432" s="63"/>
      <c r="D1432" s="64"/>
      <c r="E1432" s="65"/>
      <c r="F1432" s="66"/>
      <c r="G1432" s="63"/>
      <c r="H1432" s="67"/>
      <c r="I1432" s="68"/>
      <c r="J1432" s="68"/>
      <c r="K1432" s="32"/>
      <c r="L1432" s="75">
        <v>1432</v>
      </c>
      <c r="M1432" s="75"/>
      <c r="N1432" s="70"/>
      <c r="O1432" s="77" t="s">
        <v>179</v>
      </c>
      <c r="P1432" s="79">
        <v>45070.662928240738</v>
      </c>
      <c r="Q1432" s="77" t="s">
        <v>2518</v>
      </c>
      <c r="R1432" s="77">
        <v>0</v>
      </c>
      <c r="S1432" s="77">
        <v>3</v>
      </c>
      <c r="T1432" s="77">
        <v>0</v>
      </c>
      <c r="U1432" s="77">
        <v>0</v>
      </c>
      <c r="V1432" s="77">
        <v>20</v>
      </c>
      <c r="W1432" s="82" t="s">
        <v>5072</v>
      </c>
      <c r="X1432" s="77"/>
      <c r="Y1432" s="77"/>
      <c r="Z1432" s="77"/>
      <c r="AA1432" s="77"/>
      <c r="AB1432" s="77"/>
      <c r="AC1432" s="82" t="s">
        <v>7706</v>
      </c>
      <c r="AD1432" s="77" t="s">
        <v>7745</v>
      </c>
      <c r="AE1432" s="80" t="str">
        <f>HYPERLINK("https://twitter.com/xzibank/status/1661400317408296960")</f>
        <v>https://twitter.com/xzibank/status/1661400317408296960</v>
      </c>
      <c r="AF1432" s="79">
        <v>45070.662928240738</v>
      </c>
      <c r="AG1432" s="85">
        <v>45070</v>
      </c>
      <c r="AH1432" s="82" t="s">
        <v>9023</v>
      </c>
      <c r="AI1432" s="77"/>
      <c r="AJ1432" s="77"/>
      <c r="AK1432" s="77"/>
      <c r="AL1432" s="77"/>
      <c r="AM1432" s="77"/>
      <c r="AN1432" s="77"/>
      <c r="AO1432" s="77"/>
      <c r="AP1432" s="77"/>
      <c r="AQ1432" s="77"/>
      <c r="AR1432" s="77"/>
      <c r="AS1432" s="77"/>
      <c r="AT1432" s="77"/>
      <c r="AU1432" s="77"/>
      <c r="AV1432" s="80" t="str">
        <f>HYPERLINK("https://pbs.twimg.com/profile_images/1639344097834983435/vC5Fb0qP_normal.jpg")</f>
        <v>https://pbs.twimg.com/profile_images/1639344097834983435/vC5Fb0qP_normal.jpg</v>
      </c>
      <c r="AW1432" s="82" t="s">
        <v>13607</v>
      </c>
      <c r="AX1432" s="82" t="s">
        <v>13607</v>
      </c>
      <c r="AY1432" s="77"/>
      <c r="AZ1432" s="82" t="s">
        <v>15804</v>
      </c>
      <c r="BA1432" s="82" t="s">
        <v>15804</v>
      </c>
      <c r="BB1432" s="82" t="s">
        <v>15804</v>
      </c>
      <c r="BC1432" s="82" t="s">
        <v>13607</v>
      </c>
      <c r="BD1432" s="82" t="s">
        <v>16398</v>
      </c>
      <c r="BE1432" s="77"/>
      <c r="BF1432" s="77"/>
      <c r="BG1432" s="77"/>
      <c r="BH1432" s="77"/>
      <c r="BI1432" s="77"/>
    </row>
    <row r="1433" spans="1:61" x14ac:dyDescent="0.25">
      <c r="A1433" s="62" t="s">
        <v>686</v>
      </c>
      <c r="B1433" s="62" t="s">
        <v>686</v>
      </c>
      <c r="C1433" s="63"/>
      <c r="D1433" s="64"/>
      <c r="E1433" s="65"/>
      <c r="F1433" s="66"/>
      <c r="G1433" s="63"/>
      <c r="H1433" s="67"/>
      <c r="I1433" s="68"/>
      <c r="J1433" s="68"/>
      <c r="K1433" s="32"/>
      <c r="L1433" s="75">
        <v>1433</v>
      </c>
      <c r="M1433" s="75"/>
      <c r="N1433" s="70"/>
      <c r="O1433" s="77" t="s">
        <v>179</v>
      </c>
      <c r="P1433" s="79">
        <v>45063.079826388886</v>
      </c>
      <c r="Q1433" s="77" t="s">
        <v>2519</v>
      </c>
      <c r="R1433" s="77">
        <v>0</v>
      </c>
      <c r="S1433" s="77">
        <v>0</v>
      </c>
      <c r="T1433" s="77">
        <v>0</v>
      </c>
      <c r="U1433" s="77">
        <v>0</v>
      </c>
      <c r="V1433" s="77">
        <v>109</v>
      </c>
      <c r="W1433" s="82" t="s">
        <v>5073</v>
      </c>
      <c r="X1433" s="80" t="str">
        <f>HYPERLINK("https://youtu.be/g8SNilz9RNk")</f>
        <v>https://youtu.be/g8SNilz9RNk</v>
      </c>
      <c r="Y1433" s="77" t="s">
        <v>6003</v>
      </c>
      <c r="Z1433" s="77"/>
      <c r="AA1433" s="77"/>
      <c r="AB1433" s="77"/>
      <c r="AC1433" s="82" t="s">
        <v>7705</v>
      </c>
      <c r="AD1433" s="77" t="s">
        <v>7745</v>
      </c>
      <c r="AE1433" s="80" t="str">
        <f>HYPERLINK("https://twitter.com/girofinanceiro/status/1658652294433439745")</f>
        <v>https://twitter.com/girofinanceiro/status/1658652294433439745</v>
      </c>
      <c r="AF1433" s="79">
        <v>45063.079826388886</v>
      </c>
      <c r="AG1433" s="85">
        <v>45063</v>
      </c>
      <c r="AH1433" s="82" t="s">
        <v>9024</v>
      </c>
      <c r="AI1433" s="77" t="b">
        <v>0</v>
      </c>
      <c r="AJ1433" s="77"/>
      <c r="AK1433" s="77"/>
      <c r="AL1433" s="77"/>
      <c r="AM1433" s="77"/>
      <c r="AN1433" s="77"/>
      <c r="AO1433" s="77"/>
      <c r="AP1433" s="77"/>
      <c r="AQ1433" s="77"/>
      <c r="AR1433" s="77"/>
      <c r="AS1433" s="77"/>
      <c r="AT1433" s="77"/>
      <c r="AU1433" s="77"/>
      <c r="AV1433" s="80" t="str">
        <f>HYPERLINK("https://pbs.twimg.com/profile_images/1093983783483785217/TWZqG3VS_normal.jpg")</f>
        <v>https://pbs.twimg.com/profile_images/1093983783483785217/TWZqG3VS_normal.jpg</v>
      </c>
      <c r="AW1433" s="82" t="s">
        <v>13608</v>
      </c>
      <c r="AX1433" s="82" t="s">
        <v>13608</v>
      </c>
      <c r="AY1433" s="77"/>
      <c r="AZ1433" s="82" t="s">
        <v>15804</v>
      </c>
      <c r="BA1433" s="82" t="s">
        <v>15804</v>
      </c>
      <c r="BB1433" s="82" t="s">
        <v>15804</v>
      </c>
      <c r="BC1433" s="82" t="s">
        <v>13608</v>
      </c>
      <c r="BD1433" s="82" t="s">
        <v>16399</v>
      </c>
      <c r="BE1433" s="77"/>
      <c r="BF1433" s="77"/>
      <c r="BG1433" s="77"/>
      <c r="BH1433" s="77"/>
      <c r="BI1433" s="77"/>
    </row>
    <row r="1434" spans="1:61" x14ac:dyDescent="0.25">
      <c r="A1434" s="62" t="s">
        <v>686</v>
      </c>
      <c r="B1434" s="62" t="s">
        <v>686</v>
      </c>
      <c r="C1434" s="63"/>
      <c r="D1434" s="64"/>
      <c r="E1434" s="65"/>
      <c r="F1434" s="66"/>
      <c r="G1434" s="63"/>
      <c r="H1434" s="67"/>
      <c r="I1434" s="68"/>
      <c r="J1434" s="68"/>
      <c r="K1434" s="32"/>
      <c r="L1434" s="75">
        <v>1434</v>
      </c>
      <c r="M1434" s="75"/>
      <c r="N1434" s="70"/>
      <c r="O1434" s="77" t="s">
        <v>179</v>
      </c>
      <c r="P1434" s="79">
        <v>45081.874525462961</v>
      </c>
      <c r="Q1434" s="77" t="s">
        <v>2520</v>
      </c>
      <c r="R1434" s="77">
        <v>1</v>
      </c>
      <c r="S1434" s="77">
        <v>0</v>
      </c>
      <c r="T1434" s="77">
        <v>0</v>
      </c>
      <c r="U1434" s="77">
        <v>0</v>
      </c>
      <c r="V1434" s="77">
        <v>16</v>
      </c>
      <c r="W1434" s="82" t="s">
        <v>5074</v>
      </c>
      <c r="X1434" s="80" t="str">
        <f>HYPERLINK("https://girofinanceiro.com.br/financas-pessoais-como-administrar-suas-financas-e-alcancar-a-estabilidade-financeira/")</f>
        <v>https://girofinanceiro.com.br/financas-pessoais-como-administrar-suas-financas-e-alcancar-a-estabilidade-financeira/</v>
      </c>
      <c r="Y1434" s="77" t="s">
        <v>6002</v>
      </c>
      <c r="Z1434" s="77"/>
      <c r="AA1434" s="77" t="s">
        <v>7053</v>
      </c>
      <c r="AB1434" s="77" t="s">
        <v>7696</v>
      </c>
      <c r="AC1434" s="82" t="s">
        <v>7706</v>
      </c>
      <c r="AD1434" s="77" t="s">
        <v>7745</v>
      </c>
      <c r="AE1434" s="80" t="str">
        <f>HYPERLINK("https://twitter.com/girofinanceiro/status/1665463264849936385")</f>
        <v>https://twitter.com/girofinanceiro/status/1665463264849936385</v>
      </c>
      <c r="AF1434" s="79">
        <v>45081.874525462961</v>
      </c>
      <c r="AG1434" s="85">
        <v>45081</v>
      </c>
      <c r="AH1434" s="82" t="s">
        <v>9025</v>
      </c>
      <c r="AI1434" s="77" t="b">
        <v>0</v>
      </c>
      <c r="AJ1434" s="77"/>
      <c r="AK1434" s="77"/>
      <c r="AL1434" s="77"/>
      <c r="AM1434" s="77"/>
      <c r="AN1434" s="77"/>
      <c r="AO1434" s="77"/>
      <c r="AP1434" s="77"/>
      <c r="AQ1434" s="77" t="s">
        <v>11560</v>
      </c>
      <c r="AR1434" s="77"/>
      <c r="AS1434" s="77"/>
      <c r="AT1434" s="77"/>
      <c r="AU1434" s="77"/>
      <c r="AV1434" s="80" t="str">
        <f>HYPERLINK("https://pbs.twimg.com/media/Fxzp_3UWAAAEq6M.jpg")</f>
        <v>https://pbs.twimg.com/media/Fxzp_3UWAAAEq6M.jpg</v>
      </c>
      <c r="AW1434" s="82" t="s">
        <v>13609</v>
      </c>
      <c r="AX1434" s="82" t="s">
        <v>13609</v>
      </c>
      <c r="AY1434" s="77"/>
      <c r="AZ1434" s="82" t="s">
        <v>15804</v>
      </c>
      <c r="BA1434" s="82" t="s">
        <v>15804</v>
      </c>
      <c r="BB1434" s="82" t="s">
        <v>15804</v>
      </c>
      <c r="BC1434" s="82" t="s">
        <v>13609</v>
      </c>
      <c r="BD1434" s="82" t="s">
        <v>16399</v>
      </c>
      <c r="BE1434" s="77"/>
      <c r="BF1434" s="77"/>
      <c r="BG1434" s="77"/>
      <c r="BH1434" s="77"/>
      <c r="BI1434" s="77"/>
    </row>
    <row r="1435" spans="1:61" x14ac:dyDescent="0.25">
      <c r="A1435" s="62" t="s">
        <v>686</v>
      </c>
      <c r="B1435" s="62" t="s">
        <v>686</v>
      </c>
      <c r="C1435" s="63"/>
      <c r="D1435" s="64"/>
      <c r="E1435" s="65"/>
      <c r="F1435" s="66"/>
      <c r="G1435" s="63"/>
      <c r="H1435" s="67"/>
      <c r="I1435" s="68"/>
      <c r="J1435" s="68"/>
      <c r="K1435" s="32"/>
      <c r="L1435" s="75">
        <v>1435</v>
      </c>
      <c r="M1435" s="75"/>
      <c r="N1435" s="70"/>
      <c r="O1435" s="77" t="s">
        <v>179</v>
      </c>
      <c r="P1435" s="79">
        <v>45065.691805555558</v>
      </c>
      <c r="Q1435" s="77" t="s">
        <v>2521</v>
      </c>
      <c r="R1435" s="77">
        <v>1</v>
      </c>
      <c r="S1435" s="77">
        <v>0</v>
      </c>
      <c r="T1435" s="77">
        <v>0</v>
      </c>
      <c r="U1435" s="77">
        <v>0</v>
      </c>
      <c r="V1435" s="77">
        <v>11</v>
      </c>
      <c r="W1435" s="82" t="s">
        <v>5075</v>
      </c>
      <c r="X1435" s="80" t="str">
        <f>HYPERLINK("https://girofinanceiro.com.br/como-sair-das-dividas-passo-a-passo-para-se-livrar-de-vez-das-dividas-e-recuperar-sua-saude-financeira/")</f>
        <v>https://girofinanceiro.com.br/como-sair-das-dividas-passo-a-passo-para-se-livrar-de-vez-das-dividas-e-recuperar-sua-saude-financeira/</v>
      </c>
      <c r="Y1435" s="77" t="s">
        <v>6002</v>
      </c>
      <c r="Z1435" s="77"/>
      <c r="AA1435" s="77" t="s">
        <v>7054</v>
      </c>
      <c r="AB1435" s="77" t="s">
        <v>7696</v>
      </c>
      <c r="AC1435" s="82" t="s">
        <v>7706</v>
      </c>
      <c r="AD1435" s="77" t="s">
        <v>7745</v>
      </c>
      <c r="AE1435" s="80" t="str">
        <f>HYPERLINK("https://twitter.com/girofinanceiro/status/1659598841031671827")</f>
        <v>https://twitter.com/girofinanceiro/status/1659598841031671827</v>
      </c>
      <c r="AF1435" s="79">
        <v>45065.691805555558</v>
      </c>
      <c r="AG1435" s="85">
        <v>45065</v>
      </c>
      <c r="AH1435" s="82" t="s">
        <v>9026</v>
      </c>
      <c r="AI1435" s="77" t="b">
        <v>0</v>
      </c>
      <c r="AJ1435" s="77"/>
      <c r="AK1435" s="77"/>
      <c r="AL1435" s="77"/>
      <c r="AM1435" s="77"/>
      <c r="AN1435" s="77"/>
      <c r="AO1435" s="77"/>
      <c r="AP1435" s="77"/>
      <c r="AQ1435" s="77" t="s">
        <v>11561</v>
      </c>
      <c r="AR1435" s="77"/>
      <c r="AS1435" s="77"/>
      <c r="AT1435" s="77"/>
      <c r="AU1435" s="77"/>
      <c r="AV1435" s="80" t="str">
        <f>HYPERLINK("https://pbs.twimg.com/media/FwgUQcXXwBcXhlx.jpg")</f>
        <v>https://pbs.twimg.com/media/FwgUQcXXwBcXhlx.jpg</v>
      </c>
      <c r="AW1435" s="82" t="s">
        <v>13610</v>
      </c>
      <c r="AX1435" s="82" t="s">
        <v>13610</v>
      </c>
      <c r="AY1435" s="77"/>
      <c r="AZ1435" s="82" t="s">
        <v>15804</v>
      </c>
      <c r="BA1435" s="82" t="s">
        <v>15804</v>
      </c>
      <c r="BB1435" s="82" t="s">
        <v>15804</v>
      </c>
      <c r="BC1435" s="82" t="s">
        <v>13610</v>
      </c>
      <c r="BD1435" s="82" t="s">
        <v>16399</v>
      </c>
      <c r="BE1435" s="77"/>
      <c r="BF1435" s="77"/>
      <c r="BG1435" s="77"/>
      <c r="BH1435" s="77"/>
      <c r="BI1435" s="77"/>
    </row>
    <row r="1436" spans="1:61" x14ac:dyDescent="0.25">
      <c r="A1436" s="62" t="s">
        <v>687</v>
      </c>
      <c r="B1436" s="62" t="s">
        <v>687</v>
      </c>
      <c r="C1436" s="63"/>
      <c r="D1436" s="64"/>
      <c r="E1436" s="65"/>
      <c r="F1436" s="66"/>
      <c r="G1436" s="63"/>
      <c r="H1436" s="67"/>
      <c r="I1436" s="68"/>
      <c r="J1436" s="68"/>
      <c r="K1436" s="32"/>
      <c r="L1436" s="75">
        <v>1436</v>
      </c>
      <c r="M1436" s="75"/>
      <c r="N1436" s="70"/>
      <c r="O1436" s="77" t="s">
        <v>179</v>
      </c>
      <c r="P1436" s="79">
        <v>44963.896168981482</v>
      </c>
      <c r="Q1436" s="77" t="s">
        <v>2522</v>
      </c>
      <c r="R1436" s="77">
        <v>0</v>
      </c>
      <c r="S1436" s="77">
        <v>1</v>
      </c>
      <c r="T1436" s="77">
        <v>0</v>
      </c>
      <c r="U1436" s="77">
        <v>0</v>
      </c>
      <c r="V1436" s="77">
        <v>229</v>
      </c>
      <c r="W1436" s="82" t="s">
        <v>5076</v>
      </c>
      <c r="X1436" s="80" t="str">
        <f>HYPERLINK("https://lnkd.in/dQggtTM")</f>
        <v>https://lnkd.in/dQggtTM</v>
      </c>
      <c r="Y1436" s="77" t="s">
        <v>6014</v>
      </c>
      <c r="Z1436" s="77"/>
      <c r="AA1436" s="77" t="s">
        <v>7055</v>
      </c>
      <c r="AB1436" s="77" t="s">
        <v>7701</v>
      </c>
      <c r="AC1436" s="82" t="s">
        <v>7705</v>
      </c>
      <c r="AD1436" s="77" t="s">
        <v>7745</v>
      </c>
      <c r="AE1436" s="80" t="str">
        <f>HYPERLINK("https://twitter.com/cvmeducacional/status/1622709337457131520")</f>
        <v>https://twitter.com/cvmeducacional/status/1622709337457131520</v>
      </c>
      <c r="AF1436" s="79">
        <v>44963.896168981482</v>
      </c>
      <c r="AG1436" s="85">
        <v>44963</v>
      </c>
      <c r="AH1436" s="82" t="s">
        <v>9027</v>
      </c>
      <c r="AI1436" s="77" t="b">
        <v>0</v>
      </c>
      <c r="AJ1436" s="77"/>
      <c r="AK1436" s="77"/>
      <c r="AL1436" s="77"/>
      <c r="AM1436" s="77"/>
      <c r="AN1436" s="77"/>
      <c r="AO1436" s="77"/>
      <c r="AP1436" s="77"/>
      <c r="AQ1436" s="77" t="s">
        <v>11562</v>
      </c>
      <c r="AR1436" s="77"/>
      <c r="AS1436" s="77"/>
      <c r="AT1436" s="77"/>
      <c r="AU1436" s="77"/>
      <c r="AV1436" s="80" t="str">
        <f>HYPERLINK("https://pbs.twimg.com/media/FoUFiY-XgAU_yI3.jpg")</f>
        <v>https://pbs.twimg.com/media/FoUFiY-XgAU_yI3.jpg</v>
      </c>
      <c r="AW1436" s="82" t="s">
        <v>13611</v>
      </c>
      <c r="AX1436" s="82" t="s">
        <v>13611</v>
      </c>
      <c r="AY1436" s="77"/>
      <c r="AZ1436" s="82" t="s">
        <v>15804</v>
      </c>
      <c r="BA1436" s="82" t="s">
        <v>15804</v>
      </c>
      <c r="BB1436" s="82" t="s">
        <v>15804</v>
      </c>
      <c r="BC1436" s="82" t="s">
        <v>13611</v>
      </c>
      <c r="BD1436" s="77">
        <v>67008859</v>
      </c>
      <c r="BE1436" s="77"/>
      <c r="BF1436" s="77"/>
      <c r="BG1436" s="77"/>
      <c r="BH1436" s="77"/>
      <c r="BI1436" s="77"/>
    </row>
    <row r="1437" spans="1:61" x14ac:dyDescent="0.25">
      <c r="A1437" s="62" t="s">
        <v>687</v>
      </c>
      <c r="B1437" s="62" t="s">
        <v>687</v>
      </c>
      <c r="C1437" s="63"/>
      <c r="D1437" s="64"/>
      <c r="E1437" s="65"/>
      <c r="F1437" s="66"/>
      <c r="G1437" s="63"/>
      <c r="H1437" s="67"/>
      <c r="I1437" s="68"/>
      <c r="J1437" s="68"/>
      <c r="K1437" s="32"/>
      <c r="L1437" s="75">
        <v>1437</v>
      </c>
      <c r="M1437" s="75"/>
      <c r="N1437" s="70"/>
      <c r="O1437" s="77" t="s">
        <v>179</v>
      </c>
      <c r="P1437" s="79">
        <v>44973.86886574074</v>
      </c>
      <c r="Q1437" s="77" t="s">
        <v>2523</v>
      </c>
      <c r="R1437" s="77">
        <v>1</v>
      </c>
      <c r="S1437" s="77">
        <v>4</v>
      </c>
      <c r="T1437" s="77">
        <v>1</v>
      </c>
      <c r="U1437" s="77">
        <v>0</v>
      </c>
      <c r="V1437" s="77">
        <v>223</v>
      </c>
      <c r="W1437" s="82" t="s">
        <v>5077</v>
      </c>
      <c r="X1437" s="80" t="str">
        <f>HYPERLINK("http://www.gov.br/investidor")</f>
        <v>http://www.gov.br/investidor</v>
      </c>
      <c r="Y1437" s="77" t="s">
        <v>6074</v>
      </c>
      <c r="Z1437" s="77"/>
      <c r="AA1437" s="77" t="s">
        <v>7056</v>
      </c>
      <c r="AB1437" s="77" t="s">
        <v>7698</v>
      </c>
      <c r="AC1437" s="82" t="s">
        <v>7705</v>
      </c>
      <c r="AD1437" s="77" t="s">
        <v>7745</v>
      </c>
      <c r="AE1437" s="80" t="str">
        <f>HYPERLINK("https://twitter.com/cvmeducacional/status/1626323323868127232")</f>
        <v>https://twitter.com/cvmeducacional/status/1626323323868127232</v>
      </c>
      <c r="AF1437" s="79">
        <v>44973.86886574074</v>
      </c>
      <c r="AG1437" s="85">
        <v>44973</v>
      </c>
      <c r="AH1437" s="82" t="s">
        <v>9028</v>
      </c>
      <c r="AI1437" s="77" t="b">
        <v>0</v>
      </c>
      <c r="AJ1437" s="77"/>
      <c r="AK1437" s="77"/>
      <c r="AL1437" s="77"/>
      <c r="AM1437" s="77"/>
      <c r="AN1437" s="77"/>
      <c r="AO1437" s="77"/>
      <c r="AP1437" s="77"/>
      <c r="AQ1437" s="77" t="s">
        <v>11563</v>
      </c>
      <c r="AR1437" s="77"/>
      <c r="AS1437" s="77"/>
      <c r="AT1437" s="77"/>
      <c r="AU1437" s="77"/>
      <c r="AV1437" s="80" t="str">
        <f>HYPERLINK("https://pbs.twimg.com/media/FpHccDJX0AUY48Y.jpg")</f>
        <v>https://pbs.twimg.com/media/FpHccDJX0AUY48Y.jpg</v>
      </c>
      <c r="AW1437" s="82" t="s">
        <v>13612</v>
      </c>
      <c r="AX1437" s="82" t="s">
        <v>13612</v>
      </c>
      <c r="AY1437" s="77"/>
      <c r="AZ1437" s="82" t="s">
        <v>15804</v>
      </c>
      <c r="BA1437" s="82" t="s">
        <v>15804</v>
      </c>
      <c r="BB1437" s="82" t="s">
        <v>15804</v>
      </c>
      <c r="BC1437" s="82" t="s">
        <v>13612</v>
      </c>
      <c r="BD1437" s="77">
        <v>67008859</v>
      </c>
      <c r="BE1437" s="77"/>
      <c r="BF1437" s="77"/>
      <c r="BG1437" s="77"/>
      <c r="BH1437" s="77"/>
      <c r="BI1437" s="77"/>
    </row>
    <row r="1438" spans="1:61" x14ac:dyDescent="0.25">
      <c r="A1438" s="62" t="s">
        <v>687</v>
      </c>
      <c r="B1438" s="62" t="s">
        <v>687</v>
      </c>
      <c r="C1438" s="63"/>
      <c r="D1438" s="64"/>
      <c r="E1438" s="65"/>
      <c r="F1438" s="66"/>
      <c r="G1438" s="63"/>
      <c r="H1438" s="67"/>
      <c r="I1438" s="68"/>
      <c r="J1438" s="68"/>
      <c r="K1438" s="32"/>
      <c r="L1438" s="75">
        <v>1438</v>
      </c>
      <c r="M1438" s="75"/>
      <c r="N1438" s="70"/>
      <c r="O1438" s="77" t="s">
        <v>1132</v>
      </c>
      <c r="P1438" s="79">
        <v>44971.991087962961</v>
      </c>
      <c r="Q1438" s="77" t="s">
        <v>2524</v>
      </c>
      <c r="R1438" s="77">
        <v>0</v>
      </c>
      <c r="S1438" s="77">
        <v>2</v>
      </c>
      <c r="T1438" s="77">
        <v>0</v>
      </c>
      <c r="U1438" s="77">
        <v>0</v>
      </c>
      <c r="V1438" s="77">
        <v>207</v>
      </c>
      <c r="W1438" s="82" t="s">
        <v>5078</v>
      </c>
      <c r="X1438" s="80" t="str">
        <f>HYPERLINK("http://www.gov.br/investidor")</f>
        <v>http://www.gov.br/investidor</v>
      </c>
      <c r="Y1438" s="77" t="s">
        <v>6074</v>
      </c>
      <c r="Z1438" s="77"/>
      <c r="AA1438" s="77" t="s">
        <v>7057</v>
      </c>
      <c r="AB1438" s="77" t="s">
        <v>7701</v>
      </c>
      <c r="AC1438" s="82" t="s">
        <v>7705</v>
      </c>
      <c r="AD1438" s="77" t="s">
        <v>7745</v>
      </c>
      <c r="AE1438" s="80" t="str">
        <f>HYPERLINK("https://twitter.com/cvmeducacional/status/1625642840779882497")</f>
        <v>https://twitter.com/cvmeducacional/status/1625642840779882497</v>
      </c>
      <c r="AF1438" s="79">
        <v>44971.991087962961</v>
      </c>
      <c r="AG1438" s="85">
        <v>44971</v>
      </c>
      <c r="AH1438" s="82" t="s">
        <v>9029</v>
      </c>
      <c r="AI1438" s="77" t="b">
        <v>0</v>
      </c>
      <c r="AJ1438" s="77"/>
      <c r="AK1438" s="77"/>
      <c r="AL1438" s="77"/>
      <c r="AM1438" s="77"/>
      <c r="AN1438" s="77"/>
      <c r="AO1438" s="77"/>
      <c r="AP1438" s="77"/>
      <c r="AQ1438" s="77" t="s">
        <v>11564</v>
      </c>
      <c r="AR1438" s="77"/>
      <c r="AS1438" s="77"/>
      <c r="AT1438" s="77"/>
      <c r="AU1438" s="77"/>
      <c r="AV1438" s="80" t="str">
        <f>HYPERLINK("https://pbs.twimg.com/media/Fo9xi-BXsAA17C1.jpg")</f>
        <v>https://pbs.twimg.com/media/Fo9xi-BXsAA17C1.jpg</v>
      </c>
      <c r="AW1438" s="82" t="s">
        <v>13613</v>
      </c>
      <c r="AX1438" s="82" t="s">
        <v>13630</v>
      </c>
      <c r="AY1438" s="82" t="s">
        <v>15747</v>
      </c>
      <c r="AZ1438" s="82" t="s">
        <v>13630</v>
      </c>
      <c r="BA1438" s="82" t="s">
        <v>15804</v>
      </c>
      <c r="BB1438" s="82" t="s">
        <v>15804</v>
      </c>
      <c r="BC1438" s="82" t="s">
        <v>13630</v>
      </c>
      <c r="BD1438" s="77">
        <v>67008859</v>
      </c>
      <c r="BE1438" s="77"/>
      <c r="BF1438" s="77"/>
      <c r="BG1438" s="77"/>
      <c r="BH1438" s="77"/>
      <c r="BI1438" s="77"/>
    </row>
    <row r="1439" spans="1:61" x14ac:dyDescent="0.25">
      <c r="A1439" s="62" t="s">
        <v>687</v>
      </c>
      <c r="B1439" s="62" t="s">
        <v>687</v>
      </c>
      <c r="C1439" s="63"/>
      <c r="D1439" s="64"/>
      <c r="E1439" s="65"/>
      <c r="F1439" s="66"/>
      <c r="G1439" s="63"/>
      <c r="H1439" s="67"/>
      <c r="I1439" s="68"/>
      <c r="J1439" s="68"/>
      <c r="K1439" s="32"/>
      <c r="L1439" s="75">
        <v>1439</v>
      </c>
      <c r="M1439" s="75"/>
      <c r="N1439" s="70"/>
      <c r="O1439" s="77" t="s">
        <v>179</v>
      </c>
      <c r="P1439" s="79">
        <v>44945.979733796295</v>
      </c>
      <c r="Q1439" s="77" t="s">
        <v>2525</v>
      </c>
      <c r="R1439" s="77">
        <v>2</v>
      </c>
      <c r="S1439" s="77">
        <v>2</v>
      </c>
      <c r="T1439" s="77">
        <v>0</v>
      </c>
      <c r="U1439" s="77">
        <v>0</v>
      </c>
      <c r="V1439" s="77">
        <v>375</v>
      </c>
      <c r="W1439" s="82" t="s">
        <v>5079</v>
      </c>
      <c r="X1439" s="80" t="str">
        <f>HYPERLINK("https://www.gov.br/investidor/pt-br/educacional/publicacoes-educacionais/cvm-sustentavel")</f>
        <v>https://www.gov.br/investidor/pt-br/educacional/publicacoes-educacionais/cvm-sustentavel</v>
      </c>
      <c r="Y1439" s="77" t="s">
        <v>6074</v>
      </c>
      <c r="Z1439" s="77"/>
      <c r="AA1439" s="77" t="s">
        <v>7058</v>
      </c>
      <c r="AB1439" s="77" t="s">
        <v>7698</v>
      </c>
      <c r="AC1439" s="82" t="s">
        <v>7705</v>
      </c>
      <c r="AD1439" s="77" t="s">
        <v>7745</v>
      </c>
      <c r="AE1439" s="80" t="str">
        <f>HYPERLINK("https://twitter.com/cvmeducacional/status/1616216640596889603")</f>
        <v>https://twitter.com/cvmeducacional/status/1616216640596889603</v>
      </c>
      <c r="AF1439" s="79">
        <v>44945.979733796295</v>
      </c>
      <c r="AG1439" s="85">
        <v>44945</v>
      </c>
      <c r="AH1439" s="82" t="s">
        <v>9030</v>
      </c>
      <c r="AI1439" s="77" t="b">
        <v>0</v>
      </c>
      <c r="AJ1439" s="77"/>
      <c r="AK1439" s="77"/>
      <c r="AL1439" s="77"/>
      <c r="AM1439" s="77"/>
      <c r="AN1439" s="77"/>
      <c r="AO1439" s="77"/>
      <c r="AP1439" s="77"/>
      <c r="AQ1439" s="77" t="s">
        <v>11565</v>
      </c>
      <c r="AR1439" s="77"/>
      <c r="AS1439" s="77"/>
      <c r="AT1439" s="77"/>
      <c r="AU1439" s="77"/>
      <c r="AV1439" s="80" t="str">
        <f>HYPERLINK("https://pbs.twimg.com/media/Fm30ddIXwAEgJ2X.jpg")</f>
        <v>https://pbs.twimg.com/media/Fm30ddIXwAEgJ2X.jpg</v>
      </c>
      <c r="AW1439" s="82" t="s">
        <v>13614</v>
      </c>
      <c r="AX1439" s="82" t="s">
        <v>13614</v>
      </c>
      <c r="AY1439" s="77"/>
      <c r="AZ1439" s="82" t="s">
        <v>15804</v>
      </c>
      <c r="BA1439" s="82" t="s">
        <v>15804</v>
      </c>
      <c r="BB1439" s="82" t="s">
        <v>15804</v>
      </c>
      <c r="BC1439" s="82" t="s">
        <v>13614</v>
      </c>
      <c r="BD1439" s="77">
        <v>67008859</v>
      </c>
      <c r="BE1439" s="77"/>
      <c r="BF1439" s="77"/>
      <c r="BG1439" s="77"/>
      <c r="BH1439" s="77"/>
      <c r="BI1439" s="77"/>
    </row>
    <row r="1440" spans="1:61" x14ac:dyDescent="0.25">
      <c r="A1440" s="62" t="s">
        <v>687</v>
      </c>
      <c r="B1440" s="62" t="s">
        <v>687</v>
      </c>
      <c r="C1440" s="63"/>
      <c r="D1440" s="64"/>
      <c r="E1440" s="65"/>
      <c r="F1440" s="66"/>
      <c r="G1440" s="63"/>
      <c r="H1440" s="67"/>
      <c r="I1440" s="68"/>
      <c r="J1440" s="68"/>
      <c r="K1440" s="32"/>
      <c r="L1440" s="75">
        <v>1440</v>
      </c>
      <c r="M1440" s="75"/>
      <c r="N1440" s="70"/>
      <c r="O1440" s="77" t="s">
        <v>179</v>
      </c>
      <c r="P1440" s="79">
        <v>44944.966979166667</v>
      </c>
      <c r="Q1440" s="77" t="s">
        <v>2526</v>
      </c>
      <c r="R1440" s="77">
        <v>3</v>
      </c>
      <c r="S1440" s="77">
        <v>8</v>
      </c>
      <c r="T1440" s="77">
        <v>1</v>
      </c>
      <c r="U1440" s="77">
        <v>2</v>
      </c>
      <c r="V1440" s="77">
        <v>734</v>
      </c>
      <c r="W1440" s="82" t="s">
        <v>5080</v>
      </c>
      <c r="X1440" s="77"/>
      <c r="Y1440" s="77"/>
      <c r="Z1440" s="77"/>
      <c r="AA1440" s="77" t="s">
        <v>7059</v>
      </c>
      <c r="AB1440" s="77" t="s">
        <v>7698</v>
      </c>
      <c r="AC1440" s="82" t="s">
        <v>7705</v>
      </c>
      <c r="AD1440" s="77" t="s">
        <v>7745</v>
      </c>
      <c r="AE1440" s="80" t="str">
        <f>HYPERLINK("https://twitter.com/cvmeducacional/status/1615849628586442753")</f>
        <v>https://twitter.com/cvmeducacional/status/1615849628586442753</v>
      </c>
      <c r="AF1440" s="79">
        <v>44944.966979166667</v>
      </c>
      <c r="AG1440" s="85">
        <v>44944</v>
      </c>
      <c r="AH1440" s="82" t="s">
        <v>9031</v>
      </c>
      <c r="AI1440" s="77" t="b">
        <v>0</v>
      </c>
      <c r="AJ1440" s="77"/>
      <c r="AK1440" s="77"/>
      <c r="AL1440" s="77"/>
      <c r="AM1440" s="77"/>
      <c r="AN1440" s="77"/>
      <c r="AO1440" s="77"/>
      <c r="AP1440" s="77"/>
      <c r="AQ1440" s="77" t="s">
        <v>11566</v>
      </c>
      <c r="AR1440" s="77"/>
      <c r="AS1440" s="77"/>
      <c r="AT1440" s="77"/>
      <c r="AU1440" s="77"/>
      <c r="AV1440" s="80" t="str">
        <f>HYPERLINK("https://pbs.twimg.com/media/Fmymq5gXwAE7aux.jpg")</f>
        <v>https://pbs.twimg.com/media/Fmymq5gXwAE7aux.jpg</v>
      </c>
      <c r="AW1440" s="82" t="s">
        <v>13615</v>
      </c>
      <c r="AX1440" s="82" t="s">
        <v>13615</v>
      </c>
      <c r="AY1440" s="77"/>
      <c r="AZ1440" s="82" t="s">
        <v>15804</v>
      </c>
      <c r="BA1440" s="82" t="s">
        <v>15804</v>
      </c>
      <c r="BB1440" s="82" t="s">
        <v>15804</v>
      </c>
      <c r="BC1440" s="82" t="s">
        <v>13615</v>
      </c>
      <c r="BD1440" s="77">
        <v>67008859</v>
      </c>
      <c r="BE1440" s="77"/>
      <c r="BF1440" s="77"/>
      <c r="BG1440" s="77"/>
      <c r="BH1440" s="77"/>
      <c r="BI1440" s="77"/>
    </row>
    <row r="1441" spans="1:61" x14ac:dyDescent="0.25">
      <c r="A1441" s="62" t="s">
        <v>687</v>
      </c>
      <c r="B1441" s="62" t="s">
        <v>687</v>
      </c>
      <c r="C1441" s="63"/>
      <c r="D1441" s="64"/>
      <c r="E1441" s="65"/>
      <c r="F1441" s="66"/>
      <c r="G1441" s="63"/>
      <c r="H1441" s="67"/>
      <c r="I1441" s="68"/>
      <c r="J1441" s="68"/>
      <c r="K1441" s="32"/>
      <c r="L1441" s="75">
        <v>1441</v>
      </c>
      <c r="M1441" s="75"/>
      <c r="N1441" s="70"/>
      <c r="O1441" s="77" t="s">
        <v>179</v>
      </c>
      <c r="P1441" s="79">
        <v>44937.772106481483</v>
      </c>
      <c r="Q1441" s="77" t="s">
        <v>2527</v>
      </c>
      <c r="R1441" s="77">
        <v>0</v>
      </c>
      <c r="S1441" s="77">
        <v>0</v>
      </c>
      <c r="T1441" s="77">
        <v>0</v>
      </c>
      <c r="U1441" s="77">
        <v>0</v>
      </c>
      <c r="V1441" s="77">
        <v>181</v>
      </c>
      <c r="W1441" s="82" t="s">
        <v>5081</v>
      </c>
      <c r="X1441" s="80" t="str">
        <f>HYPERLINK("https://www.gov.br/investidor/pt-br/educacional/comite-consultivo-de-educacao-da-cvm/iniciativas/projetos/premio-imprensa-de-educacao-ao-investidor")</f>
        <v>https://www.gov.br/investidor/pt-br/educacional/comite-consultivo-de-educacao-da-cvm/iniciativas/projetos/premio-imprensa-de-educacao-ao-investidor</v>
      </c>
      <c r="Y1441" s="77" t="s">
        <v>6074</v>
      </c>
      <c r="Z1441" s="77"/>
      <c r="AA1441" s="77" t="s">
        <v>7060</v>
      </c>
      <c r="AB1441" s="77" t="s">
        <v>7696</v>
      </c>
      <c r="AC1441" s="82" t="s">
        <v>7705</v>
      </c>
      <c r="AD1441" s="77" t="s">
        <v>7745</v>
      </c>
      <c r="AE1441" s="80" t="str">
        <f>HYPERLINK("https://twitter.com/cvmeducacional/status/1613242296916402182")</f>
        <v>https://twitter.com/cvmeducacional/status/1613242296916402182</v>
      </c>
      <c r="AF1441" s="79">
        <v>44937.772106481483</v>
      </c>
      <c r="AG1441" s="85">
        <v>44937</v>
      </c>
      <c r="AH1441" s="82" t="s">
        <v>9032</v>
      </c>
      <c r="AI1441" s="77" t="b">
        <v>0</v>
      </c>
      <c r="AJ1441" s="77"/>
      <c r="AK1441" s="77"/>
      <c r="AL1441" s="77"/>
      <c r="AM1441" s="77"/>
      <c r="AN1441" s="77"/>
      <c r="AO1441" s="77"/>
      <c r="AP1441" s="77"/>
      <c r="AQ1441" s="77" t="s">
        <v>11567</v>
      </c>
      <c r="AR1441" s="77"/>
      <c r="AS1441" s="77"/>
      <c r="AT1441" s="77"/>
      <c r="AU1441" s="77"/>
      <c r="AV1441" s="80" t="str">
        <f>HYPERLINK("https://pbs.twimg.com/media/FmNjUNxWYAE8EVL.jpg")</f>
        <v>https://pbs.twimg.com/media/FmNjUNxWYAE8EVL.jpg</v>
      </c>
      <c r="AW1441" s="82" t="s">
        <v>13616</v>
      </c>
      <c r="AX1441" s="82" t="s">
        <v>13616</v>
      </c>
      <c r="AY1441" s="77"/>
      <c r="AZ1441" s="82" t="s">
        <v>15804</v>
      </c>
      <c r="BA1441" s="82" t="s">
        <v>15804</v>
      </c>
      <c r="BB1441" s="82" t="s">
        <v>15804</v>
      </c>
      <c r="BC1441" s="82" t="s">
        <v>13616</v>
      </c>
      <c r="BD1441" s="77">
        <v>67008859</v>
      </c>
      <c r="BE1441" s="77"/>
      <c r="BF1441" s="77"/>
      <c r="BG1441" s="77"/>
      <c r="BH1441" s="77"/>
      <c r="BI1441" s="77"/>
    </row>
    <row r="1442" spans="1:61" x14ac:dyDescent="0.25">
      <c r="A1442" s="62" t="s">
        <v>687</v>
      </c>
      <c r="B1442" s="62" t="s">
        <v>687</v>
      </c>
      <c r="C1442" s="63"/>
      <c r="D1442" s="64"/>
      <c r="E1442" s="65"/>
      <c r="F1442" s="66"/>
      <c r="G1442" s="63"/>
      <c r="H1442" s="67"/>
      <c r="I1442" s="68"/>
      <c r="J1442" s="68"/>
      <c r="K1442" s="32"/>
      <c r="L1442" s="75">
        <v>1442</v>
      </c>
      <c r="M1442" s="75"/>
      <c r="N1442" s="70"/>
      <c r="O1442" s="77" t="s">
        <v>179</v>
      </c>
      <c r="P1442" s="79">
        <v>44931.646203703705</v>
      </c>
      <c r="Q1442" s="77" t="s">
        <v>2528</v>
      </c>
      <c r="R1442" s="77">
        <v>0</v>
      </c>
      <c r="S1442" s="77">
        <v>2</v>
      </c>
      <c r="T1442" s="77">
        <v>0</v>
      </c>
      <c r="U1442" s="77">
        <v>0</v>
      </c>
      <c r="V1442" s="77">
        <v>203</v>
      </c>
      <c r="W1442" s="82" t="s">
        <v>5082</v>
      </c>
      <c r="X1442" s="80" t="str">
        <f>HYPERLINK("https://pt.surveymonkey.com/r/FGV-CVM")</f>
        <v>https://pt.surveymonkey.com/r/FGV-CVM</v>
      </c>
      <c r="Y1442" s="77" t="s">
        <v>6075</v>
      </c>
      <c r="Z1442" s="77"/>
      <c r="AA1442" s="77" t="s">
        <v>7061</v>
      </c>
      <c r="AB1442" s="77" t="s">
        <v>7696</v>
      </c>
      <c r="AC1442" s="82" t="s">
        <v>7705</v>
      </c>
      <c r="AD1442" s="77" t="s">
        <v>7745</v>
      </c>
      <c r="AE1442" s="80" t="str">
        <f>HYPERLINK("https://twitter.com/cvmeducacional/status/1611022344151093249")</f>
        <v>https://twitter.com/cvmeducacional/status/1611022344151093249</v>
      </c>
      <c r="AF1442" s="79">
        <v>44931.646203703705</v>
      </c>
      <c r="AG1442" s="85">
        <v>44931</v>
      </c>
      <c r="AH1442" s="82" t="s">
        <v>9033</v>
      </c>
      <c r="AI1442" s="77" t="b">
        <v>0</v>
      </c>
      <c r="AJ1442" s="77"/>
      <c r="AK1442" s="77"/>
      <c r="AL1442" s="77"/>
      <c r="AM1442" s="77"/>
      <c r="AN1442" s="77"/>
      <c r="AO1442" s="77"/>
      <c r="AP1442" s="77"/>
      <c r="AQ1442" s="77" t="s">
        <v>11568</v>
      </c>
      <c r="AR1442" s="77"/>
      <c r="AS1442" s="77"/>
      <c r="AT1442" s="77"/>
      <c r="AU1442" s="77"/>
      <c r="AV1442" s="80" t="str">
        <f>HYPERLINK("https://pbs.twimg.com/media/FluASDhWQAEKLCb.jpg")</f>
        <v>https://pbs.twimg.com/media/FluASDhWQAEKLCb.jpg</v>
      </c>
      <c r="AW1442" s="82" t="s">
        <v>13617</v>
      </c>
      <c r="AX1442" s="82" t="s">
        <v>13617</v>
      </c>
      <c r="AY1442" s="77"/>
      <c r="AZ1442" s="82" t="s">
        <v>15804</v>
      </c>
      <c r="BA1442" s="82" t="s">
        <v>15804</v>
      </c>
      <c r="BB1442" s="82" t="s">
        <v>15804</v>
      </c>
      <c r="BC1442" s="82" t="s">
        <v>13617</v>
      </c>
      <c r="BD1442" s="77">
        <v>67008859</v>
      </c>
      <c r="BE1442" s="77"/>
      <c r="BF1442" s="77"/>
      <c r="BG1442" s="77"/>
      <c r="BH1442" s="77"/>
      <c r="BI1442" s="77"/>
    </row>
    <row r="1443" spans="1:61" x14ac:dyDescent="0.25">
      <c r="A1443" s="62" t="s">
        <v>687</v>
      </c>
      <c r="B1443" s="62" t="s">
        <v>687</v>
      </c>
      <c r="C1443" s="63"/>
      <c r="D1443" s="64"/>
      <c r="E1443" s="65"/>
      <c r="F1443" s="66"/>
      <c r="G1443" s="63"/>
      <c r="H1443" s="67"/>
      <c r="I1443" s="68"/>
      <c r="J1443" s="68"/>
      <c r="K1443" s="32"/>
      <c r="L1443" s="75">
        <v>1443</v>
      </c>
      <c r="M1443" s="75"/>
      <c r="N1443" s="70"/>
      <c r="O1443" s="77" t="s">
        <v>179</v>
      </c>
      <c r="P1443" s="79">
        <v>44930.921527777777</v>
      </c>
      <c r="Q1443" s="77" t="s">
        <v>2529</v>
      </c>
      <c r="R1443" s="77">
        <v>0</v>
      </c>
      <c r="S1443" s="77">
        <v>0</v>
      </c>
      <c r="T1443" s="77">
        <v>1</v>
      </c>
      <c r="U1443" s="77">
        <v>0</v>
      </c>
      <c r="V1443" s="77">
        <v>634</v>
      </c>
      <c r="W1443" s="82" t="s">
        <v>5083</v>
      </c>
      <c r="X1443" s="77"/>
      <c r="Y1443" s="77"/>
      <c r="Z1443" s="77"/>
      <c r="AA1443" s="77" t="s">
        <v>7062</v>
      </c>
      <c r="AB1443" s="77" t="s">
        <v>7696</v>
      </c>
      <c r="AC1443" s="82" t="s">
        <v>7705</v>
      </c>
      <c r="AD1443" s="77" t="s">
        <v>7745</v>
      </c>
      <c r="AE1443" s="80" t="str">
        <f>HYPERLINK("https://twitter.com/cvmeducacional/status/1610759730808619008")</f>
        <v>https://twitter.com/cvmeducacional/status/1610759730808619008</v>
      </c>
      <c r="AF1443" s="79">
        <v>44930.921527777777</v>
      </c>
      <c r="AG1443" s="85">
        <v>44930</v>
      </c>
      <c r="AH1443" s="82" t="s">
        <v>7909</v>
      </c>
      <c r="AI1443" s="77" t="b">
        <v>0</v>
      </c>
      <c r="AJ1443" s="77"/>
      <c r="AK1443" s="77"/>
      <c r="AL1443" s="77"/>
      <c r="AM1443" s="77"/>
      <c r="AN1443" s="77"/>
      <c r="AO1443" s="77"/>
      <c r="AP1443" s="77"/>
      <c r="AQ1443" s="77" t="s">
        <v>11569</v>
      </c>
      <c r="AR1443" s="77"/>
      <c r="AS1443" s="77"/>
      <c r="AT1443" s="77"/>
      <c r="AU1443" s="77"/>
      <c r="AV1443" s="80" t="str">
        <f>HYPERLINK("https://pbs.twimg.com/media/FlqRb1oXEAoWkVH.jpg")</f>
        <v>https://pbs.twimg.com/media/FlqRb1oXEAoWkVH.jpg</v>
      </c>
      <c r="AW1443" s="82" t="s">
        <v>13618</v>
      </c>
      <c r="AX1443" s="82" t="s">
        <v>13618</v>
      </c>
      <c r="AY1443" s="77"/>
      <c r="AZ1443" s="82" t="s">
        <v>15804</v>
      </c>
      <c r="BA1443" s="82" t="s">
        <v>15804</v>
      </c>
      <c r="BB1443" s="82" t="s">
        <v>15804</v>
      </c>
      <c r="BC1443" s="82" t="s">
        <v>13618</v>
      </c>
      <c r="BD1443" s="77">
        <v>67008859</v>
      </c>
      <c r="BE1443" s="77"/>
      <c r="BF1443" s="77"/>
      <c r="BG1443" s="77"/>
      <c r="BH1443" s="77"/>
      <c r="BI1443" s="77"/>
    </row>
    <row r="1444" spans="1:61" x14ac:dyDescent="0.25">
      <c r="A1444" s="62" t="s">
        <v>687</v>
      </c>
      <c r="B1444" s="62" t="s">
        <v>687</v>
      </c>
      <c r="C1444" s="63"/>
      <c r="D1444" s="64"/>
      <c r="E1444" s="65"/>
      <c r="F1444" s="66"/>
      <c r="G1444" s="63"/>
      <c r="H1444" s="67"/>
      <c r="I1444" s="68"/>
      <c r="J1444" s="68"/>
      <c r="K1444" s="32"/>
      <c r="L1444" s="75">
        <v>1444</v>
      </c>
      <c r="M1444" s="75"/>
      <c r="N1444" s="70"/>
      <c r="O1444" s="77" t="s">
        <v>1132</v>
      </c>
      <c r="P1444" s="79">
        <v>44943.875636574077</v>
      </c>
      <c r="Q1444" s="77" t="s">
        <v>2530</v>
      </c>
      <c r="R1444" s="77">
        <v>0</v>
      </c>
      <c r="S1444" s="77">
        <v>0</v>
      </c>
      <c r="T1444" s="77">
        <v>0</v>
      </c>
      <c r="U1444" s="77">
        <v>0</v>
      </c>
      <c r="V1444" s="77">
        <v>183</v>
      </c>
      <c r="W1444" s="82" t="s">
        <v>5084</v>
      </c>
      <c r="X1444" s="80" t="str">
        <f>HYPERLINK("https://www.gov.br/investidor/pt-br/educacional/publicacoes-educacionais/guias/guia-de-planejamento-financeiro")</f>
        <v>https://www.gov.br/investidor/pt-br/educacional/publicacoes-educacionais/guias/guia-de-planejamento-financeiro</v>
      </c>
      <c r="Y1444" s="77" t="s">
        <v>6074</v>
      </c>
      <c r="Z1444" s="77"/>
      <c r="AA1444" s="77" t="s">
        <v>7063</v>
      </c>
      <c r="AB1444" s="77" t="s">
        <v>7700</v>
      </c>
      <c r="AC1444" s="82" t="s">
        <v>7705</v>
      </c>
      <c r="AD1444" s="77" t="s">
        <v>7745</v>
      </c>
      <c r="AE1444" s="80" t="str">
        <f>HYPERLINK("https://twitter.com/cvmeducacional/status/1615454141580562432")</f>
        <v>https://twitter.com/cvmeducacional/status/1615454141580562432</v>
      </c>
      <c r="AF1444" s="79">
        <v>44943.875636574077</v>
      </c>
      <c r="AG1444" s="85">
        <v>44943</v>
      </c>
      <c r="AH1444" s="82" t="s">
        <v>8512</v>
      </c>
      <c r="AI1444" s="77" t="b">
        <v>0</v>
      </c>
      <c r="AJ1444" s="77"/>
      <c r="AK1444" s="77"/>
      <c r="AL1444" s="77"/>
      <c r="AM1444" s="77"/>
      <c r="AN1444" s="77"/>
      <c r="AO1444" s="77"/>
      <c r="AP1444" s="77"/>
      <c r="AQ1444" s="77" t="s">
        <v>11570</v>
      </c>
      <c r="AR1444" s="77"/>
      <c r="AS1444" s="77"/>
      <c r="AT1444" s="77"/>
      <c r="AU1444" s="77"/>
      <c r="AV1444" s="80" t="str">
        <f>HYPERLINK("https://pbs.twimg.com/media/Fms--pUXoBsGZyV.jpg")</f>
        <v>https://pbs.twimg.com/media/Fms--pUXoBsGZyV.jpg</v>
      </c>
      <c r="AW1444" s="82" t="s">
        <v>13619</v>
      </c>
      <c r="AX1444" s="82" t="s">
        <v>13620</v>
      </c>
      <c r="AY1444" s="82" t="s">
        <v>15747</v>
      </c>
      <c r="AZ1444" s="82" t="s">
        <v>13620</v>
      </c>
      <c r="BA1444" s="82" t="s">
        <v>15804</v>
      </c>
      <c r="BB1444" s="82" t="s">
        <v>15804</v>
      </c>
      <c r="BC1444" s="82" t="s">
        <v>13620</v>
      </c>
      <c r="BD1444" s="77">
        <v>67008859</v>
      </c>
      <c r="BE1444" s="77"/>
      <c r="BF1444" s="77"/>
      <c r="BG1444" s="77"/>
      <c r="BH1444" s="77"/>
      <c r="BI1444" s="77"/>
    </row>
    <row r="1445" spans="1:61" x14ac:dyDescent="0.25">
      <c r="A1445" s="62" t="s">
        <v>687</v>
      </c>
      <c r="B1445" s="62" t="s">
        <v>687</v>
      </c>
      <c r="C1445" s="63"/>
      <c r="D1445" s="64"/>
      <c r="E1445" s="65"/>
      <c r="F1445" s="66"/>
      <c r="G1445" s="63"/>
      <c r="H1445" s="67"/>
      <c r="I1445" s="68"/>
      <c r="J1445" s="68"/>
      <c r="K1445" s="32"/>
      <c r="L1445" s="75">
        <v>1445</v>
      </c>
      <c r="M1445" s="75"/>
      <c r="N1445" s="70"/>
      <c r="O1445" s="77" t="s">
        <v>179</v>
      </c>
      <c r="P1445" s="79">
        <v>44943.875613425924</v>
      </c>
      <c r="Q1445" s="77" t="s">
        <v>2531</v>
      </c>
      <c r="R1445" s="77">
        <v>0</v>
      </c>
      <c r="S1445" s="77">
        <v>0</v>
      </c>
      <c r="T1445" s="77">
        <v>1</v>
      </c>
      <c r="U1445" s="77">
        <v>0</v>
      </c>
      <c r="V1445" s="77">
        <v>307</v>
      </c>
      <c r="W1445" s="82" t="s">
        <v>5084</v>
      </c>
      <c r="X1445" s="80" t="str">
        <f>HYPERLINK("https://www.gov.br/investidor/pt-br/educacional/publicacoes-educacionais/guias/guia-de-planejamento-financeiro")</f>
        <v>https://www.gov.br/investidor/pt-br/educacional/publicacoes-educacionais/guias/guia-de-planejamento-financeiro</v>
      </c>
      <c r="Y1445" s="77" t="s">
        <v>6074</v>
      </c>
      <c r="Z1445" s="77"/>
      <c r="AA1445" s="77" t="s">
        <v>7064</v>
      </c>
      <c r="AB1445" s="77" t="s">
        <v>7701</v>
      </c>
      <c r="AC1445" s="82" t="s">
        <v>7705</v>
      </c>
      <c r="AD1445" s="77" t="s">
        <v>7745</v>
      </c>
      <c r="AE1445" s="80" t="str">
        <f>HYPERLINK("https://twitter.com/cvmeducacional/status/1615454134462816262")</f>
        <v>https://twitter.com/cvmeducacional/status/1615454134462816262</v>
      </c>
      <c r="AF1445" s="79">
        <v>44943.875613425924</v>
      </c>
      <c r="AG1445" s="85">
        <v>44943</v>
      </c>
      <c r="AH1445" s="82" t="s">
        <v>9034</v>
      </c>
      <c r="AI1445" s="77" t="b">
        <v>0</v>
      </c>
      <c r="AJ1445" s="77"/>
      <c r="AK1445" s="77"/>
      <c r="AL1445" s="77"/>
      <c r="AM1445" s="77"/>
      <c r="AN1445" s="77"/>
      <c r="AO1445" s="77"/>
      <c r="AP1445" s="77"/>
      <c r="AQ1445" s="77" t="s">
        <v>11571</v>
      </c>
      <c r="AR1445" s="77"/>
      <c r="AS1445" s="77"/>
      <c r="AT1445" s="77"/>
      <c r="AU1445" s="77"/>
      <c r="AV1445" s="80" t="str">
        <f>HYPERLINK("https://pbs.twimg.com/media/Fms--ODXoBY9h8g.jpg")</f>
        <v>https://pbs.twimg.com/media/Fms--ODXoBY9h8g.jpg</v>
      </c>
      <c r="AW1445" s="82" t="s">
        <v>13620</v>
      </c>
      <c r="AX1445" s="82" t="s">
        <v>13620</v>
      </c>
      <c r="AY1445" s="77"/>
      <c r="AZ1445" s="82" t="s">
        <v>15804</v>
      </c>
      <c r="BA1445" s="82" t="s">
        <v>15804</v>
      </c>
      <c r="BB1445" s="82" t="s">
        <v>15804</v>
      </c>
      <c r="BC1445" s="82" t="s">
        <v>13620</v>
      </c>
      <c r="BD1445" s="77">
        <v>67008859</v>
      </c>
      <c r="BE1445" s="77"/>
      <c r="BF1445" s="77"/>
      <c r="BG1445" s="77"/>
      <c r="BH1445" s="77"/>
      <c r="BI1445" s="77"/>
    </row>
    <row r="1446" spans="1:61" x14ac:dyDescent="0.25">
      <c r="A1446" s="62" t="s">
        <v>687</v>
      </c>
      <c r="B1446" s="62" t="s">
        <v>687</v>
      </c>
      <c r="C1446" s="63"/>
      <c r="D1446" s="64"/>
      <c r="E1446" s="65"/>
      <c r="F1446" s="66"/>
      <c r="G1446" s="63"/>
      <c r="H1446" s="67"/>
      <c r="I1446" s="68"/>
      <c r="J1446" s="68"/>
      <c r="K1446" s="32"/>
      <c r="L1446" s="75">
        <v>1446</v>
      </c>
      <c r="M1446" s="75"/>
      <c r="N1446" s="70"/>
      <c r="O1446" s="77" t="s">
        <v>1132</v>
      </c>
      <c r="P1446" s="79">
        <v>44981.90315972222</v>
      </c>
      <c r="Q1446" s="77" t="s">
        <v>2532</v>
      </c>
      <c r="R1446" s="77">
        <v>1</v>
      </c>
      <c r="S1446" s="77">
        <v>4</v>
      </c>
      <c r="T1446" s="77">
        <v>0</v>
      </c>
      <c r="U1446" s="77">
        <v>0</v>
      </c>
      <c r="V1446" s="77">
        <v>203</v>
      </c>
      <c r="W1446" s="82" t="s">
        <v>5085</v>
      </c>
      <c r="X1446" s="80" t="str">
        <f>HYPERLINK("http://www.gov.br/investidor")</f>
        <v>http://www.gov.br/investidor</v>
      </c>
      <c r="Y1446" s="77" t="s">
        <v>6074</v>
      </c>
      <c r="Z1446" s="77"/>
      <c r="AA1446" s="77" t="s">
        <v>7065</v>
      </c>
      <c r="AB1446" s="77" t="s">
        <v>7700</v>
      </c>
      <c r="AC1446" s="82" t="s">
        <v>7705</v>
      </c>
      <c r="AD1446" s="77" t="s">
        <v>7745</v>
      </c>
      <c r="AE1446" s="80" t="str">
        <f>HYPERLINK("https://twitter.com/cvmeducacional/status/1629234853928439810")</f>
        <v>https://twitter.com/cvmeducacional/status/1629234853928439810</v>
      </c>
      <c r="AF1446" s="79">
        <v>44981.90315972222</v>
      </c>
      <c r="AG1446" s="85">
        <v>44981</v>
      </c>
      <c r="AH1446" s="82" t="s">
        <v>9035</v>
      </c>
      <c r="AI1446" s="77" t="b">
        <v>0</v>
      </c>
      <c r="AJ1446" s="77"/>
      <c r="AK1446" s="77"/>
      <c r="AL1446" s="77"/>
      <c r="AM1446" s="77"/>
      <c r="AN1446" s="77"/>
      <c r="AO1446" s="77"/>
      <c r="AP1446" s="77"/>
      <c r="AQ1446" s="77" t="s">
        <v>11572</v>
      </c>
      <c r="AR1446" s="77"/>
      <c r="AS1446" s="77"/>
      <c r="AT1446" s="77"/>
      <c r="AU1446" s="77"/>
      <c r="AV1446" s="80" t="str">
        <f>HYPERLINK("https://pbs.twimg.com/media/Fpw0cw_WIAAyCDW.jpg")</f>
        <v>https://pbs.twimg.com/media/Fpw0cw_WIAAyCDW.jpg</v>
      </c>
      <c r="AW1446" s="82" t="s">
        <v>13621</v>
      </c>
      <c r="AX1446" s="82" t="s">
        <v>13622</v>
      </c>
      <c r="AY1446" s="82" t="s">
        <v>15747</v>
      </c>
      <c r="AZ1446" s="82" t="s">
        <v>13622</v>
      </c>
      <c r="BA1446" s="82" t="s">
        <v>15804</v>
      </c>
      <c r="BB1446" s="82" t="s">
        <v>15804</v>
      </c>
      <c r="BC1446" s="82" t="s">
        <v>13622</v>
      </c>
      <c r="BD1446" s="77">
        <v>67008859</v>
      </c>
      <c r="BE1446" s="77"/>
      <c r="BF1446" s="77"/>
      <c r="BG1446" s="77"/>
      <c r="BH1446" s="77"/>
      <c r="BI1446" s="77"/>
    </row>
    <row r="1447" spans="1:61" x14ac:dyDescent="0.25">
      <c r="A1447" s="62" t="s">
        <v>687</v>
      </c>
      <c r="B1447" s="62" t="s">
        <v>687</v>
      </c>
      <c r="C1447" s="63"/>
      <c r="D1447" s="64"/>
      <c r="E1447" s="65"/>
      <c r="F1447" s="66"/>
      <c r="G1447" s="63"/>
      <c r="H1447" s="67"/>
      <c r="I1447" s="68"/>
      <c r="J1447" s="68"/>
      <c r="K1447" s="32"/>
      <c r="L1447" s="75">
        <v>1447</v>
      </c>
      <c r="M1447" s="75"/>
      <c r="N1447" s="70"/>
      <c r="O1447" s="77" t="s">
        <v>179</v>
      </c>
      <c r="P1447" s="79">
        <v>44981.903090277781</v>
      </c>
      <c r="Q1447" s="77" t="s">
        <v>2533</v>
      </c>
      <c r="R1447" s="77">
        <v>3</v>
      </c>
      <c r="S1447" s="77">
        <v>5</v>
      </c>
      <c r="T1447" s="77">
        <v>1</v>
      </c>
      <c r="U1447" s="77">
        <v>0</v>
      </c>
      <c r="V1447" s="77">
        <v>329</v>
      </c>
      <c r="W1447" s="82" t="s">
        <v>5085</v>
      </c>
      <c r="X1447" s="80" t="str">
        <f>HYPERLINK("http://www.gov.br/investidor")</f>
        <v>http://www.gov.br/investidor</v>
      </c>
      <c r="Y1447" s="77" t="s">
        <v>6074</v>
      </c>
      <c r="Z1447" s="77"/>
      <c r="AA1447" s="77" t="s">
        <v>7066</v>
      </c>
      <c r="AB1447" s="77" t="s">
        <v>7696</v>
      </c>
      <c r="AC1447" s="82" t="s">
        <v>7705</v>
      </c>
      <c r="AD1447" s="77" t="s">
        <v>7745</v>
      </c>
      <c r="AE1447" s="80" t="str">
        <f>HYPERLINK("https://twitter.com/cvmeducacional/status/1629234829861478400")</f>
        <v>https://twitter.com/cvmeducacional/status/1629234829861478400</v>
      </c>
      <c r="AF1447" s="79">
        <v>44981.903090277781</v>
      </c>
      <c r="AG1447" s="85">
        <v>44981</v>
      </c>
      <c r="AH1447" s="82" t="s">
        <v>9036</v>
      </c>
      <c r="AI1447" s="77" t="b">
        <v>0</v>
      </c>
      <c r="AJ1447" s="77"/>
      <c r="AK1447" s="77"/>
      <c r="AL1447" s="77"/>
      <c r="AM1447" s="77"/>
      <c r="AN1447" s="77"/>
      <c r="AO1447" s="77"/>
      <c r="AP1447" s="77"/>
      <c r="AQ1447" s="77" t="s">
        <v>11573</v>
      </c>
      <c r="AR1447" s="77"/>
      <c r="AS1447" s="77"/>
      <c r="AT1447" s="77"/>
      <c r="AU1447" s="77"/>
      <c r="AV1447" s="80" t="str">
        <f>HYPERLINK("https://pbs.twimg.com/media/Fpw0bqYXoAAmsGs.jpg")</f>
        <v>https://pbs.twimg.com/media/Fpw0bqYXoAAmsGs.jpg</v>
      </c>
      <c r="AW1447" s="82" t="s">
        <v>13622</v>
      </c>
      <c r="AX1447" s="82" t="s">
        <v>13622</v>
      </c>
      <c r="AY1447" s="77"/>
      <c r="AZ1447" s="82" t="s">
        <v>15804</v>
      </c>
      <c r="BA1447" s="82" t="s">
        <v>15804</v>
      </c>
      <c r="BB1447" s="82" t="s">
        <v>15804</v>
      </c>
      <c r="BC1447" s="82" t="s">
        <v>13622</v>
      </c>
      <c r="BD1447" s="77">
        <v>67008859</v>
      </c>
      <c r="BE1447" s="77"/>
      <c r="BF1447" s="77"/>
      <c r="BG1447" s="77"/>
      <c r="BH1447" s="77"/>
      <c r="BI1447" s="77"/>
    </row>
    <row r="1448" spans="1:61" x14ac:dyDescent="0.25">
      <c r="A1448" s="62" t="s">
        <v>687</v>
      </c>
      <c r="B1448" s="62" t="s">
        <v>687</v>
      </c>
      <c r="C1448" s="63"/>
      <c r="D1448" s="64"/>
      <c r="E1448" s="65"/>
      <c r="F1448" s="66"/>
      <c r="G1448" s="63"/>
      <c r="H1448" s="67"/>
      <c r="I1448" s="68"/>
      <c r="J1448" s="68"/>
      <c r="K1448" s="32"/>
      <c r="L1448" s="75">
        <v>1448</v>
      </c>
      <c r="M1448" s="75"/>
      <c r="N1448" s="70"/>
      <c r="O1448" s="77" t="s">
        <v>179</v>
      </c>
      <c r="P1448" s="79">
        <v>44980.900150462963</v>
      </c>
      <c r="Q1448" s="77" t="s">
        <v>2534</v>
      </c>
      <c r="R1448" s="77">
        <v>0</v>
      </c>
      <c r="S1448" s="77">
        <v>4</v>
      </c>
      <c r="T1448" s="77">
        <v>0</v>
      </c>
      <c r="U1448" s="77">
        <v>0</v>
      </c>
      <c r="V1448" s="77">
        <v>198</v>
      </c>
      <c r="W1448" s="82" t="s">
        <v>5077</v>
      </c>
      <c r="X1448" s="80" t="str">
        <f>HYPERLINK("http://www.gov.br/investidor")</f>
        <v>http://www.gov.br/investidor</v>
      </c>
      <c r="Y1448" s="77" t="s">
        <v>6074</v>
      </c>
      <c r="Z1448" s="77"/>
      <c r="AA1448" s="77" t="s">
        <v>7067</v>
      </c>
      <c r="AB1448" s="77" t="s">
        <v>7698</v>
      </c>
      <c r="AC1448" s="82" t="s">
        <v>7705</v>
      </c>
      <c r="AD1448" s="77" t="s">
        <v>7745</v>
      </c>
      <c r="AE1448" s="80" t="str">
        <f>HYPERLINK("https://twitter.com/cvmeducacional/status/1628871375556423686")</f>
        <v>https://twitter.com/cvmeducacional/status/1628871375556423686</v>
      </c>
      <c r="AF1448" s="79">
        <v>44980.900150462963</v>
      </c>
      <c r="AG1448" s="85">
        <v>44980</v>
      </c>
      <c r="AH1448" s="82" t="s">
        <v>9037</v>
      </c>
      <c r="AI1448" s="77" t="b">
        <v>0</v>
      </c>
      <c r="AJ1448" s="77"/>
      <c r="AK1448" s="77"/>
      <c r="AL1448" s="77"/>
      <c r="AM1448" s="77"/>
      <c r="AN1448" s="77"/>
      <c r="AO1448" s="77"/>
      <c r="AP1448" s="77"/>
      <c r="AQ1448" s="77" t="s">
        <v>11574</v>
      </c>
      <c r="AR1448" s="77"/>
      <c r="AS1448" s="77"/>
      <c r="AT1448" s="77"/>
      <c r="AU1448" s="77"/>
      <c r="AV1448" s="80" t="str">
        <f>HYPERLINK("https://pbs.twimg.com/media/Fprp4W_XEAEe2FQ.jpg")</f>
        <v>https://pbs.twimg.com/media/Fprp4W_XEAEe2FQ.jpg</v>
      </c>
      <c r="AW1448" s="82" t="s">
        <v>13623</v>
      </c>
      <c r="AX1448" s="82" t="s">
        <v>13623</v>
      </c>
      <c r="AY1448" s="77"/>
      <c r="AZ1448" s="82" t="s">
        <v>15804</v>
      </c>
      <c r="BA1448" s="82" t="s">
        <v>15804</v>
      </c>
      <c r="BB1448" s="82" t="s">
        <v>15804</v>
      </c>
      <c r="BC1448" s="82" t="s">
        <v>13623</v>
      </c>
      <c r="BD1448" s="77">
        <v>67008859</v>
      </c>
      <c r="BE1448" s="77"/>
      <c r="BF1448" s="77"/>
      <c r="BG1448" s="77"/>
      <c r="BH1448" s="77"/>
      <c r="BI1448" s="77"/>
    </row>
    <row r="1449" spans="1:61" x14ac:dyDescent="0.25">
      <c r="A1449" s="62" t="s">
        <v>687</v>
      </c>
      <c r="B1449" s="62" t="s">
        <v>687</v>
      </c>
      <c r="C1449" s="63"/>
      <c r="D1449" s="64"/>
      <c r="E1449" s="65"/>
      <c r="F1449" s="66"/>
      <c r="G1449" s="63"/>
      <c r="H1449" s="67"/>
      <c r="I1449" s="68"/>
      <c r="J1449" s="68"/>
      <c r="K1449" s="32"/>
      <c r="L1449" s="75">
        <v>1449</v>
      </c>
      <c r="M1449" s="75"/>
      <c r="N1449" s="70"/>
      <c r="O1449" s="77" t="s">
        <v>179</v>
      </c>
      <c r="P1449" s="79">
        <v>44928.906666666669</v>
      </c>
      <c r="Q1449" s="77" t="s">
        <v>2535</v>
      </c>
      <c r="R1449" s="77">
        <v>0</v>
      </c>
      <c r="S1449" s="77">
        <v>10</v>
      </c>
      <c r="T1449" s="77">
        <v>1</v>
      </c>
      <c r="U1449" s="77">
        <v>0</v>
      </c>
      <c r="V1449" s="77">
        <v>1736</v>
      </c>
      <c r="W1449" s="82" t="s">
        <v>5083</v>
      </c>
      <c r="X1449" s="77"/>
      <c r="Y1449" s="77"/>
      <c r="Z1449" s="77"/>
      <c r="AA1449" s="77" t="s">
        <v>7068</v>
      </c>
      <c r="AB1449" s="77" t="s">
        <v>7696</v>
      </c>
      <c r="AC1449" s="82" t="s">
        <v>7705</v>
      </c>
      <c r="AD1449" s="77" t="s">
        <v>7745</v>
      </c>
      <c r="AE1449" s="80" t="str">
        <f>HYPERLINK("https://twitter.com/cvmeducacional/status/1610029569204961280")</f>
        <v>https://twitter.com/cvmeducacional/status/1610029569204961280</v>
      </c>
      <c r="AF1449" s="79">
        <v>44928.906666666669</v>
      </c>
      <c r="AG1449" s="85">
        <v>44928</v>
      </c>
      <c r="AH1449" s="82" t="s">
        <v>9038</v>
      </c>
      <c r="AI1449" s="77" t="b">
        <v>0</v>
      </c>
      <c r="AJ1449" s="77"/>
      <c r="AK1449" s="77"/>
      <c r="AL1449" s="77"/>
      <c r="AM1449" s="77"/>
      <c r="AN1449" s="77"/>
      <c r="AO1449" s="77"/>
      <c r="AP1449" s="77"/>
      <c r="AQ1449" s="77" t="s">
        <v>11575</v>
      </c>
      <c r="AR1449" s="77"/>
      <c r="AS1449" s="77"/>
      <c r="AT1449" s="77"/>
      <c r="AU1449" s="77"/>
      <c r="AV1449" s="80" t="str">
        <f>HYPERLINK("https://pbs.twimg.com/media/Flf5W5gXwAA-LJZ.jpg")</f>
        <v>https://pbs.twimg.com/media/Flf5W5gXwAA-LJZ.jpg</v>
      </c>
      <c r="AW1449" s="82" t="s">
        <v>13624</v>
      </c>
      <c r="AX1449" s="82" t="s">
        <v>13624</v>
      </c>
      <c r="AY1449" s="77"/>
      <c r="AZ1449" s="82" t="s">
        <v>15804</v>
      </c>
      <c r="BA1449" s="82" t="s">
        <v>15804</v>
      </c>
      <c r="BB1449" s="82" t="s">
        <v>15804</v>
      </c>
      <c r="BC1449" s="82" t="s">
        <v>13624</v>
      </c>
      <c r="BD1449" s="77">
        <v>67008859</v>
      </c>
      <c r="BE1449" s="77"/>
      <c r="BF1449" s="77"/>
      <c r="BG1449" s="77"/>
      <c r="BH1449" s="77"/>
      <c r="BI1449" s="77"/>
    </row>
    <row r="1450" spans="1:61" x14ac:dyDescent="0.25">
      <c r="A1450" s="62" t="s">
        <v>687</v>
      </c>
      <c r="B1450" s="62" t="s">
        <v>687</v>
      </c>
      <c r="C1450" s="63"/>
      <c r="D1450" s="64"/>
      <c r="E1450" s="65"/>
      <c r="F1450" s="66"/>
      <c r="G1450" s="63"/>
      <c r="H1450" s="67"/>
      <c r="I1450" s="68"/>
      <c r="J1450" s="68"/>
      <c r="K1450" s="32"/>
      <c r="L1450" s="75">
        <v>1450</v>
      </c>
      <c r="M1450" s="75"/>
      <c r="N1450" s="70"/>
      <c r="O1450" s="77" t="s">
        <v>179</v>
      </c>
      <c r="P1450" s="79">
        <v>44959.927743055552</v>
      </c>
      <c r="Q1450" s="77" t="s">
        <v>2536</v>
      </c>
      <c r="R1450" s="77">
        <v>1</v>
      </c>
      <c r="S1450" s="77">
        <v>1</v>
      </c>
      <c r="T1450" s="77">
        <v>0</v>
      </c>
      <c r="U1450" s="77">
        <v>0</v>
      </c>
      <c r="V1450" s="77">
        <v>186</v>
      </c>
      <c r="W1450" s="82" t="s">
        <v>5079</v>
      </c>
      <c r="X1450" s="80" t="str">
        <f>HYPERLINK("https://lnkd.in/dHH5Swec")</f>
        <v>https://lnkd.in/dHH5Swec</v>
      </c>
      <c r="Y1450" s="77" t="s">
        <v>6014</v>
      </c>
      <c r="Z1450" s="77"/>
      <c r="AA1450" s="77" t="s">
        <v>7069</v>
      </c>
      <c r="AB1450" s="77" t="s">
        <v>7700</v>
      </c>
      <c r="AC1450" s="82" t="s">
        <v>7705</v>
      </c>
      <c r="AD1450" s="77" t="s">
        <v>7745</v>
      </c>
      <c r="AE1450" s="80" t="str">
        <f>HYPERLINK("https://twitter.com/cvmeducacional/status/1621271231025627138")</f>
        <v>https://twitter.com/cvmeducacional/status/1621271231025627138</v>
      </c>
      <c r="AF1450" s="79">
        <v>44959.927743055552</v>
      </c>
      <c r="AG1450" s="85">
        <v>44959</v>
      </c>
      <c r="AH1450" s="82" t="s">
        <v>9039</v>
      </c>
      <c r="AI1450" s="77" t="b">
        <v>0</v>
      </c>
      <c r="AJ1450" s="77"/>
      <c r="AK1450" s="77"/>
      <c r="AL1450" s="77"/>
      <c r="AM1450" s="77"/>
      <c r="AN1450" s="77"/>
      <c r="AO1450" s="77"/>
      <c r="AP1450" s="77"/>
      <c r="AQ1450" s="77" t="s">
        <v>11576</v>
      </c>
      <c r="AR1450" s="77"/>
      <c r="AS1450" s="77"/>
      <c r="AT1450" s="77"/>
      <c r="AU1450" s="77"/>
      <c r="AV1450" s="80" t="str">
        <f>HYPERLINK("https://pbs.twimg.com/media/Fn_plqIWIAAAUrL.jpg")</f>
        <v>https://pbs.twimg.com/media/Fn_plqIWIAAAUrL.jpg</v>
      </c>
      <c r="AW1450" s="82" t="s">
        <v>13625</v>
      </c>
      <c r="AX1450" s="82" t="s">
        <v>13625</v>
      </c>
      <c r="AY1450" s="77"/>
      <c r="AZ1450" s="82" t="s">
        <v>15804</v>
      </c>
      <c r="BA1450" s="82" t="s">
        <v>15804</v>
      </c>
      <c r="BB1450" s="82" t="s">
        <v>15804</v>
      </c>
      <c r="BC1450" s="82" t="s">
        <v>13625</v>
      </c>
      <c r="BD1450" s="77">
        <v>67008859</v>
      </c>
      <c r="BE1450" s="77"/>
      <c r="BF1450" s="77"/>
      <c r="BG1450" s="77"/>
      <c r="BH1450" s="77"/>
      <c r="BI1450" s="77"/>
    </row>
    <row r="1451" spans="1:61" x14ac:dyDescent="0.25">
      <c r="A1451" s="62" t="s">
        <v>687</v>
      </c>
      <c r="B1451" s="62" t="s">
        <v>687</v>
      </c>
      <c r="C1451" s="63"/>
      <c r="D1451" s="64"/>
      <c r="E1451" s="65"/>
      <c r="F1451" s="66"/>
      <c r="G1451" s="63"/>
      <c r="H1451" s="67"/>
      <c r="I1451" s="68"/>
      <c r="J1451" s="68"/>
      <c r="K1451" s="32"/>
      <c r="L1451" s="75">
        <v>1451</v>
      </c>
      <c r="M1451" s="75"/>
      <c r="N1451" s="70"/>
      <c r="O1451" s="77" t="s">
        <v>1132</v>
      </c>
      <c r="P1451" s="79">
        <v>44958.000787037039</v>
      </c>
      <c r="Q1451" s="77" t="s">
        <v>2537</v>
      </c>
      <c r="R1451" s="77">
        <v>0</v>
      </c>
      <c r="S1451" s="77">
        <v>0</v>
      </c>
      <c r="T1451" s="77">
        <v>0</v>
      </c>
      <c r="U1451" s="77">
        <v>0</v>
      </c>
      <c r="V1451" s="77">
        <v>122</v>
      </c>
      <c r="W1451" s="82" t="s">
        <v>5086</v>
      </c>
      <c r="X1451" s="80" t="str">
        <f>HYPERLINK("http://gov.br/investidor")</f>
        <v>http://gov.br/investidor</v>
      </c>
      <c r="Y1451" s="77" t="s">
        <v>6074</v>
      </c>
      <c r="Z1451" s="77"/>
      <c r="AA1451" s="77" t="s">
        <v>7070</v>
      </c>
      <c r="AB1451" s="77" t="s">
        <v>7700</v>
      </c>
      <c r="AC1451" s="82" t="s">
        <v>7705</v>
      </c>
      <c r="AD1451" s="77" t="s">
        <v>7745</v>
      </c>
      <c r="AE1451" s="80" t="str">
        <f>HYPERLINK("https://twitter.com/cvmeducacional/status/1620572924142034944")</f>
        <v>https://twitter.com/cvmeducacional/status/1620572924142034944</v>
      </c>
      <c r="AF1451" s="79">
        <v>44958.000787037039</v>
      </c>
      <c r="AG1451" s="85">
        <v>44958</v>
      </c>
      <c r="AH1451" s="82" t="s">
        <v>9040</v>
      </c>
      <c r="AI1451" s="77" t="b">
        <v>0</v>
      </c>
      <c r="AJ1451" s="77"/>
      <c r="AK1451" s="77"/>
      <c r="AL1451" s="77"/>
      <c r="AM1451" s="77"/>
      <c r="AN1451" s="77"/>
      <c r="AO1451" s="77"/>
      <c r="AP1451" s="77"/>
      <c r="AQ1451" s="77" t="s">
        <v>11577</v>
      </c>
      <c r="AR1451" s="77"/>
      <c r="AS1451" s="77"/>
      <c r="AT1451" s="77"/>
      <c r="AU1451" s="77"/>
      <c r="AV1451" s="80" t="str">
        <f>HYPERLINK("https://pbs.twimg.com/media/Fn1ue6LX0AIAk2I.jpg")</f>
        <v>https://pbs.twimg.com/media/Fn1ue6LX0AIAk2I.jpg</v>
      </c>
      <c r="AW1451" s="82" t="s">
        <v>13626</v>
      </c>
      <c r="AX1451" s="82" t="s">
        <v>13627</v>
      </c>
      <c r="AY1451" s="82" t="s">
        <v>15747</v>
      </c>
      <c r="AZ1451" s="82" t="s">
        <v>13627</v>
      </c>
      <c r="BA1451" s="82" t="s">
        <v>15804</v>
      </c>
      <c r="BB1451" s="82" t="s">
        <v>15804</v>
      </c>
      <c r="BC1451" s="82" t="s">
        <v>13627</v>
      </c>
      <c r="BD1451" s="77">
        <v>67008859</v>
      </c>
      <c r="BE1451" s="77"/>
      <c r="BF1451" s="77"/>
      <c r="BG1451" s="77"/>
      <c r="BH1451" s="77"/>
      <c r="BI1451" s="77"/>
    </row>
    <row r="1452" spans="1:61" x14ac:dyDescent="0.25">
      <c r="A1452" s="62" t="s">
        <v>687</v>
      </c>
      <c r="B1452" s="62" t="s">
        <v>687</v>
      </c>
      <c r="C1452" s="63"/>
      <c r="D1452" s="64"/>
      <c r="E1452" s="65"/>
      <c r="F1452" s="66"/>
      <c r="G1452" s="63"/>
      <c r="H1452" s="67"/>
      <c r="I1452" s="68"/>
      <c r="J1452" s="68"/>
      <c r="K1452" s="32"/>
      <c r="L1452" s="75">
        <v>1452</v>
      </c>
      <c r="M1452" s="75"/>
      <c r="N1452" s="70"/>
      <c r="O1452" s="77" t="s">
        <v>179</v>
      </c>
      <c r="P1452" s="79">
        <v>44958.000763888886</v>
      </c>
      <c r="Q1452" s="77" t="s">
        <v>2538</v>
      </c>
      <c r="R1452" s="77">
        <v>2</v>
      </c>
      <c r="S1452" s="77">
        <v>1</v>
      </c>
      <c r="T1452" s="77">
        <v>1</v>
      </c>
      <c r="U1452" s="77">
        <v>0</v>
      </c>
      <c r="V1452" s="77">
        <v>267</v>
      </c>
      <c r="W1452" s="82" t="s">
        <v>5086</v>
      </c>
      <c r="X1452" s="80" t="str">
        <f>HYPERLINK("http://gov.br/investidor")</f>
        <v>http://gov.br/investidor</v>
      </c>
      <c r="Y1452" s="77" t="s">
        <v>6074</v>
      </c>
      <c r="Z1452" s="77"/>
      <c r="AA1452" s="77" t="s">
        <v>7071</v>
      </c>
      <c r="AB1452" s="77" t="s">
        <v>7701</v>
      </c>
      <c r="AC1452" s="82" t="s">
        <v>7705</v>
      </c>
      <c r="AD1452" s="77" t="s">
        <v>7745</v>
      </c>
      <c r="AE1452" s="80" t="str">
        <f>HYPERLINK("https://twitter.com/cvmeducacional/status/1620572914725814275")</f>
        <v>https://twitter.com/cvmeducacional/status/1620572914725814275</v>
      </c>
      <c r="AF1452" s="79">
        <v>44958.000763888886</v>
      </c>
      <c r="AG1452" s="85">
        <v>44958</v>
      </c>
      <c r="AH1452" s="82" t="s">
        <v>9041</v>
      </c>
      <c r="AI1452" s="77" t="b">
        <v>0</v>
      </c>
      <c r="AJ1452" s="77"/>
      <c r="AK1452" s="77"/>
      <c r="AL1452" s="77"/>
      <c r="AM1452" s="77"/>
      <c r="AN1452" s="77"/>
      <c r="AO1452" s="77"/>
      <c r="AP1452" s="77"/>
      <c r="AQ1452" s="77" t="s">
        <v>11578</v>
      </c>
      <c r="AR1452" s="77"/>
      <c r="AS1452" s="77"/>
      <c r="AT1452" s="77"/>
      <c r="AU1452" s="77"/>
      <c r="AV1452" s="80" t="str">
        <f>HYPERLINK("https://pbs.twimg.com/media/Fn1ueWZXgAUJ5ss.jpg")</f>
        <v>https://pbs.twimg.com/media/Fn1ueWZXgAUJ5ss.jpg</v>
      </c>
      <c r="AW1452" s="82" t="s">
        <v>13627</v>
      </c>
      <c r="AX1452" s="82" t="s">
        <v>13627</v>
      </c>
      <c r="AY1452" s="77"/>
      <c r="AZ1452" s="82" t="s">
        <v>15804</v>
      </c>
      <c r="BA1452" s="82" t="s">
        <v>15804</v>
      </c>
      <c r="BB1452" s="82" t="s">
        <v>15804</v>
      </c>
      <c r="BC1452" s="82" t="s">
        <v>13627</v>
      </c>
      <c r="BD1452" s="77">
        <v>67008859</v>
      </c>
      <c r="BE1452" s="77"/>
      <c r="BF1452" s="77"/>
      <c r="BG1452" s="77"/>
      <c r="BH1452" s="77"/>
      <c r="BI1452" s="77"/>
    </row>
    <row r="1453" spans="1:61" x14ac:dyDescent="0.25">
      <c r="A1453" s="62" t="s">
        <v>687</v>
      </c>
      <c r="B1453" s="62" t="s">
        <v>687</v>
      </c>
      <c r="C1453" s="63"/>
      <c r="D1453" s="64"/>
      <c r="E1453" s="65"/>
      <c r="F1453" s="66"/>
      <c r="G1453" s="63"/>
      <c r="H1453" s="67"/>
      <c r="I1453" s="68"/>
      <c r="J1453" s="68"/>
      <c r="K1453" s="32"/>
      <c r="L1453" s="75">
        <v>1453</v>
      </c>
      <c r="M1453" s="75"/>
      <c r="N1453" s="70"/>
      <c r="O1453" s="77" t="s">
        <v>1132</v>
      </c>
      <c r="P1453" s="79">
        <v>44950.899050925924</v>
      </c>
      <c r="Q1453" s="77" t="s">
        <v>2539</v>
      </c>
      <c r="R1453" s="77">
        <v>0</v>
      </c>
      <c r="S1453" s="77">
        <v>0</v>
      </c>
      <c r="T1453" s="77">
        <v>0</v>
      </c>
      <c r="U1453" s="77">
        <v>0</v>
      </c>
      <c r="V1453" s="77">
        <v>138</v>
      </c>
      <c r="W1453" s="82" t="s">
        <v>5087</v>
      </c>
      <c r="X1453" s="80" t="str">
        <f>HYPERLINK("http://gov.br/investidor/pt-")</f>
        <v>http://gov.br/investidor/pt-</v>
      </c>
      <c r="Y1453" s="77" t="s">
        <v>6074</v>
      </c>
      <c r="Z1453" s="77"/>
      <c r="AA1453" s="77" t="s">
        <v>7072</v>
      </c>
      <c r="AB1453" s="77" t="s">
        <v>7700</v>
      </c>
      <c r="AC1453" s="82" t="s">
        <v>7705</v>
      </c>
      <c r="AD1453" s="77" t="s">
        <v>7745</v>
      </c>
      <c r="AE1453" s="80" t="str">
        <f>HYPERLINK("https://twitter.com/cvmeducacional/status/1617999339045130241")</f>
        <v>https://twitter.com/cvmeducacional/status/1617999339045130241</v>
      </c>
      <c r="AF1453" s="79">
        <v>44950.899050925924</v>
      </c>
      <c r="AG1453" s="85">
        <v>44950</v>
      </c>
      <c r="AH1453" s="82" t="s">
        <v>9042</v>
      </c>
      <c r="AI1453" s="77" t="b">
        <v>0</v>
      </c>
      <c r="AJ1453" s="77"/>
      <c r="AK1453" s="77"/>
      <c r="AL1453" s="77"/>
      <c r="AM1453" s="77"/>
      <c r="AN1453" s="77"/>
      <c r="AO1453" s="77"/>
      <c r="AP1453" s="77"/>
      <c r="AQ1453" s="77" t="s">
        <v>11579</v>
      </c>
      <c r="AR1453" s="77"/>
      <c r="AS1453" s="77"/>
      <c r="AT1453" s="77"/>
      <c r="AU1453" s="77"/>
      <c r="AV1453" s="80" t="str">
        <f>HYPERLINK("https://pbs.twimg.com/media/FnRJ0hKX0CEepkL.jpg")</f>
        <v>https://pbs.twimg.com/media/FnRJ0hKX0CEepkL.jpg</v>
      </c>
      <c r="AW1453" s="82" t="s">
        <v>13628</v>
      </c>
      <c r="AX1453" s="82" t="s">
        <v>13629</v>
      </c>
      <c r="AY1453" s="82" t="s">
        <v>15747</v>
      </c>
      <c r="AZ1453" s="82" t="s">
        <v>13629</v>
      </c>
      <c r="BA1453" s="82" t="s">
        <v>15804</v>
      </c>
      <c r="BB1453" s="82" t="s">
        <v>15804</v>
      </c>
      <c r="BC1453" s="82" t="s">
        <v>13629</v>
      </c>
      <c r="BD1453" s="77">
        <v>67008859</v>
      </c>
      <c r="BE1453" s="77"/>
      <c r="BF1453" s="77"/>
      <c r="BG1453" s="77"/>
      <c r="BH1453" s="77"/>
      <c r="BI1453" s="77"/>
    </row>
    <row r="1454" spans="1:61" x14ac:dyDescent="0.25">
      <c r="A1454" s="62" t="s">
        <v>687</v>
      </c>
      <c r="B1454" s="62" t="s">
        <v>687</v>
      </c>
      <c r="C1454" s="63"/>
      <c r="D1454" s="64"/>
      <c r="E1454" s="65"/>
      <c r="F1454" s="66"/>
      <c r="G1454" s="63"/>
      <c r="H1454" s="67"/>
      <c r="I1454" s="68"/>
      <c r="J1454" s="68"/>
      <c r="K1454" s="32"/>
      <c r="L1454" s="75">
        <v>1454</v>
      </c>
      <c r="M1454" s="75"/>
      <c r="N1454" s="70"/>
      <c r="O1454" s="77" t="s">
        <v>179</v>
      </c>
      <c r="P1454" s="79">
        <v>44950.899016203701</v>
      </c>
      <c r="Q1454" s="77" t="s">
        <v>2540</v>
      </c>
      <c r="R1454" s="77">
        <v>2</v>
      </c>
      <c r="S1454" s="77">
        <v>1</v>
      </c>
      <c r="T1454" s="77">
        <v>1</v>
      </c>
      <c r="U1454" s="77">
        <v>0</v>
      </c>
      <c r="V1454" s="77">
        <v>333</v>
      </c>
      <c r="W1454" s="82" t="s">
        <v>5087</v>
      </c>
      <c r="X1454" s="80" t="str">
        <f>HYPERLINK("http://gov.br/investidor/pt-")</f>
        <v>http://gov.br/investidor/pt-</v>
      </c>
      <c r="Y1454" s="77" t="s">
        <v>6074</v>
      </c>
      <c r="Z1454" s="77"/>
      <c r="AA1454" s="77" t="s">
        <v>7073</v>
      </c>
      <c r="AB1454" s="77" t="s">
        <v>7701</v>
      </c>
      <c r="AC1454" s="82" t="s">
        <v>7705</v>
      </c>
      <c r="AD1454" s="77" t="s">
        <v>7745</v>
      </c>
      <c r="AE1454" s="80" t="str">
        <f>HYPERLINK("https://twitter.com/cvmeducacional/status/1617999328945278978")</f>
        <v>https://twitter.com/cvmeducacional/status/1617999328945278978</v>
      </c>
      <c r="AF1454" s="79">
        <v>44950.899016203701</v>
      </c>
      <c r="AG1454" s="85">
        <v>44950</v>
      </c>
      <c r="AH1454" s="82" t="s">
        <v>9043</v>
      </c>
      <c r="AI1454" s="77" t="b">
        <v>0</v>
      </c>
      <c r="AJ1454" s="77"/>
      <c r="AK1454" s="77"/>
      <c r="AL1454" s="77"/>
      <c r="AM1454" s="77"/>
      <c r="AN1454" s="77"/>
      <c r="AO1454" s="77"/>
      <c r="AP1454" s="77"/>
      <c r="AQ1454" s="77" t="s">
        <v>11580</v>
      </c>
      <c r="AR1454" s="77"/>
      <c r="AS1454" s="77"/>
      <c r="AT1454" s="77"/>
      <c r="AU1454" s="77"/>
      <c r="AV1454" s="80" t="str">
        <f>HYPERLINK("https://pbs.twimg.com/media/FnRJz_vX0B4NobG.jpg")</f>
        <v>https://pbs.twimg.com/media/FnRJz_vX0B4NobG.jpg</v>
      </c>
      <c r="AW1454" s="82" t="s">
        <v>13629</v>
      </c>
      <c r="AX1454" s="82" t="s">
        <v>13629</v>
      </c>
      <c r="AY1454" s="77"/>
      <c r="AZ1454" s="82" t="s">
        <v>15804</v>
      </c>
      <c r="BA1454" s="82" t="s">
        <v>15804</v>
      </c>
      <c r="BB1454" s="82" t="s">
        <v>15804</v>
      </c>
      <c r="BC1454" s="82" t="s">
        <v>13629</v>
      </c>
      <c r="BD1454" s="77">
        <v>67008859</v>
      </c>
      <c r="BE1454" s="77"/>
      <c r="BF1454" s="77"/>
      <c r="BG1454" s="77"/>
      <c r="BH1454" s="77"/>
      <c r="BI1454" s="77"/>
    </row>
    <row r="1455" spans="1:61" x14ac:dyDescent="0.25">
      <c r="A1455" s="62" t="s">
        <v>687</v>
      </c>
      <c r="B1455" s="62" t="s">
        <v>687</v>
      </c>
      <c r="C1455" s="63"/>
      <c r="D1455" s="64"/>
      <c r="E1455" s="65"/>
      <c r="F1455" s="66"/>
      <c r="G1455" s="63"/>
      <c r="H1455" s="67"/>
      <c r="I1455" s="68"/>
      <c r="J1455" s="68"/>
      <c r="K1455" s="32"/>
      <c r="L1455" s="75">
        <v>1455</v>
      </c>
      <c r="M1455" s="75"/>
      <c r="N1455" s="70"/>
      <c r="O1455" s="77" t="s">
        <v>179</v>
      </c>
      <c r="P1455" s="79">
        <v>44971.991076388891</v>
      </c>
      <c r="Q1455" s="77" t="s">
        <v>2541</v>
      </c>
      <c r="R1455" s="77">
        <v>1</v>
      </c>
      <c r="S1455" s="77">
        <v>2</v>
      </c>
      <c r="T1455" s="77">
        <v>1</v>
      </c>
      <c r="U1455" s="77">
        <v>0</v>
      </c>
      <c r="V1455" s="77">
        <v>254</v>
      </c>
      <c r="W1455" s="82" t="s">
        <v>5078</v>
      </c>
      <c r="X1455" s="80" t="str">
        <f>HYPERLINK("http://www.gov.br/investidor")</f>
        <v>http://www.gov.br/investidor</v>
      </c>
      <c r="Y1455" s="77" t="s">
        <v>6074</v>
      </c>
      <c r="Z1455" s="77"/>
      <c r="AA1455" s="77" t="s">
        <v>7074</v>
      </c>
      <c r="AB1455" s="77" t="s">
        <v>7701</v>
      </c>
      <c r="AC1455" s="82" t="s">
        <v>7705</v>
      </c>
      <c r="AD1455" s="77" t="s">
        <v>7745</v>
      </c>
      <c r="AE1455" s="80" t="str">
        <f>HYPERLINK("https://twitter.com/cvmeducacional/status/1625642833712492545")</f>
        <v>https://twitter.com/cvmeducacional/status/1625642833712492545</v>
      </c>
      <c r="AF1455" s="79">
        <v>44971.991076388891</v>
      </c>
      <c r="AG1455" s="85">
        <v>44971</v>
      </c>
      <c r="AH1455" s="82" t="s">
        <v>9044</v>
      </c>
      <c r="AI1455" s="77" t="b">
        <v>0</v>
      </c>
      <c r="AJ1455" s="77"/>
      <c r="AK1455" s="77"/>
      <c r="AL1455" s="77"/>
      <c r="AM1455" s="77"/>
      <c r="AN1455" s="77"/>
      <c r="AO1455" s="77"/>
      <c r="AP1455" s="77"/>
      <c r="AQ1455" s="77" t="s">
        <v>11581</v>
      </c>
      <c r="AR1455" s="77"/>
      <c r="AS1455" s="77"/>
      <c r="AT1455" s="77"/>
      <c r="AU1455" s="77"/>
      <c r="AV1455" s="80" t="str">
        <f>HYPERLINK("https://pbs.twimg.com/media/Fo9xiZTX0AAXsCY.jpg")</f>
        <v>https://pbs.twimg.com/media/Fo9xiZTX0AAXsCY.jpg</v>
      </c>
      <c r="AW1455" s="82" t="s">
        <v>13630</v>
      </c>
      <c r="AX1455" s="82" t="s">
        <v>13630</v>
      </c>
      <c r="AY1455" s="77"/>
      <c r="AZ1455" s="82" t="s">
        <v>15804</v>
      </c>
      <c r="BA1455" s="82" t="s">
        <v>15804</v>
      </c>
      <c r="BB1455" s="82" t="s">
        <v>15804</v>
      </c>
      <c r="BC1455" s="82" t="s">
        <v>13630</v>
      </c>
      <c r="BD1455" s="77">
        <v>67008859</v>
      </c>
      <c r="BE1455" s="77"/>
      <c r="BF1455" s="77"/>
      <c r="BG1455" s="77"/>
      <c r="BH1455" s="77"/>
      <c r="BI1455" s="77"/>
    </row>
    <row r="1456" spans="1:61" x14ac:dyDescent="0.25">
      <c r="A1456" s="62" t="s">
        <v>688</v>
      </c>
      <c r="B1456" s="62" t="s">
        <v>688</v>
      </c>
      <c r="C1456" s="63"/>
      <c r="D1456" s="64"/>
      <c r="E1456" s="65"/>
      <c r="F1456" s="66"/>
      <c r="G1456" s="63"/>
      <c r="H1456" s="67"/>
      <c r="I1456" s="68"/>
      <c r="J1456" s="68"/>
      <c r="K1456" s="32"/>
      <c r="L1456" s="75">
        <v>1456</v>
      </c>
      <c r="M1456" s="75"/>
      <c r="N1456" s="70"/>
      <c r="O1456" s="77" t="s">
        <v>179</v>
      </c>
      <c r="P1456" s="79">
        <v>44948.065983796296</v>
      </c>
      <c r="Q1456" s="77" t="s">
        <v>2542</v>
      </c>
      <c r="R1456" s="77">
        <v>0</v>
      </c>
      <c r="S1456" s="77">
        <v>0</v>
      </c>
      <c r="T1456" s="77">
        <v>0</v>
      </c>
      <c r="U1456" s="77">
        <v>0</v>
      </c>
      <c r="V1456" s="77">
        <v>15</v>
      </c>
      <c r="W1456" s="82" t="s">
        <v>5088</v>
      </c>
      <c r="X1456" s="77"/>
      <c r="Y1456" s="77"/>
      <c r="Z1456" s="77"/>
      <c r="AA1456" s="77" t="s">
        <v>7075</v>
      </c>
      <c r="AB1456" s="77" t="s">
        <v>7696</v>
      </c>
      <c r="AC1456" s="82" t="s">
        <v>7708</v>
      </c>
      <c r="AD1456" s="77" t="s">
        <v>7745</v>
      </c>
      <c r="AE1456" s="80" t="str">
        <f>HYPERLINK("https://twitter.com/hermilton5/status/1616972671035609088")</f>
        <v>https://twitter.com/hermilton5/status/1616972671035609088</v>
      </c>
      <c r="AF1456" s="79">
        <v>44948.065983796296</v>
      </c>
      <c r="AG1456" s="85">
        <v>44948</v>
      </c>
      <c r="AH1456" s="82" t="s">
        <v>9045</v>
      </c>
      <c r="AI1456" s="77" t="b">
        <v>0</v>
      </c>
      <c r="AJ1456" s="77"/>
      <c r="AK1456" s="77"/>
      <c r="AL1456" s="77"/>
      <c r="AM1456" s="77"/>
      <c r="AN1456" s="77"/>
      <c r="AO1456" s="77"/>
      <c r="AP1456" s="77"/>
      <c r="AQ1456" s="77" t="s">
        <v>11582</v>
      </c>
      <c r="AR1456" s="77"/>
      <c r="AS1456" s="77"/>
      <c r="AT1456" s="77"/>
      <c r="AU1456" s="77"/>
      <c r="AV1456" s="80" t="str">
        <f>HYPERLINK("https://pbs.twimg.com/media/FnCkEz2WYAEL2a-.jpg")</f>
        <v>https://pbs.twimg.com/media/FnCkEz2WYAEL2a-.jpg</v>
      </c>
      <c r="AW1456" s="82" t="s">
        <v>13631</v>
      </c>
      <c r="AX1456" s="82" t="s">
        <v>13631</v>
      </c>
      <c r="AY1456" s="77"/>
      <c r="AZ1456" s="82" t="s">
        <v>15804</v>
      </c>
      <c r="BA1456" s="82" t="s">
        <v>15804</v>
      </c>
      <c r="BB1456" s="82" t="s">
        <v>15804</v>
      </c>
      <c r="BC1456" s="82" t="s">
        <v>13631</v>
      </c>
      <c r="BD1456" s="82" t="s">
        <v>16400</v>
      </c>
      <c r="BE1456" s="77"/>
      <c r="BF1456" s="77"/>
      <c r="BG1456" s="77"/>
      <c r="BH1456" s="77"/>
      <c r="BI1456" s="77"/>
    </row>
    <row r="1457" spans="1:61" x14ac:dyDescent="0.25">
      <c r="A1457" s="62" t="s">
        <v>689</v>
      </c>
      <c r="B1457" s="62" t="s">
        <v>689</v>
      </c>
      <c r="C1457" s="63"/>
      <c r="D1457" s="64"/>
      <c r="E1457" s="65"/>
      <c r="F1457" s="66"/>
      <c r="G1457" s="63"/>
      <c r="H1457" s="67"/>
      <c r="I1457" s="68"/>
      <c r="J1457" s="68"/>
      <c r="K1457" s="32"/>
      <c r="L1457" s="75">
        <v>1457</v>
      </c>
      <c r="M1457" s="75"/>
      <c r="N1457" s="70"/>
      <c r="O1457" s="77" t="s">
        <v>179</v>
      </c>
      <c r="P1457" s="79">
        <v>45017.402951388889</v>
      </c>
      <c r="Q1457" s="77" t="s">
        <v>2543</v>
      </c>
      <c r="R1457" s="77">
        <v>0</v>
      </c>
      <c r="S1457" s="77">
        <v>0</v>
      </c>
      <c r="T1457" s="77">
        <v>0</v>
      </c>
      <c r="U1457" s="77">
        <v>0</v>
      </c>
      <c r="V1457" s="77">
        <v>12</v>
      </c>
      <c r="W1457" s="82" t="s">
        <v>5089</v>
      </c>
      <c r="X1457" s="77"/>
      <c r="Y1457" s="77"/>
      <c r="Z1457" s="77"/>
      <c r="AA1457" s="77" t="s">
        <v>7076</v>
      </c>
      <c r="AB1457" s="77" t="s">
        <v>7699</v>
      </c>
      <c r="AC1457" s="82" t="s">
        <v>7706</v>
      </c>
      <c r="AD1457" s="77" t="s">
        <v>7747</v>
      </c>
      <c r="AE1457" s="80" t="str">
        <f>HYPERLINK("https://twitter.com/milan_prosper/status/1642099547005394946")</f>
        <v>https://twitter.com/milan_prosper/status/1642099547005394946</v>
      </c>
      <c r="AF1457" s="79">
        <v>45017.402951388889</v>
      </c>
      <c r="AG1457" s="85">
        <v>45017</v>
      </c>
      <c r="AH1457" s="82" t="s">
        <v>9046</v>
      </c>
      <c r="AI1457" s="77" t="b">
        <v>0</v>
      </c>
      <c r="AJ1457" s="77"/>
      <c r="AK1457" s="77"/>
      <c r="AL1457" s="77"/>
      <c r="AM1457" s="77"/>
      <c r="AN1457" s="77"/>
      <c r="AO1457" s="77"/>
      <c r="AP1457" s="77"/>
      <c r="AQ1457" s="77" t="s">
        <v>11583</v>
      </c>
      <c r="AR1457" s="77"/>
      <c r="AS1457" s="77"/>
      <c r="AT1457" s="77"/>
      <c r="AU1457" s="77"/>
      <c r="AV1457" s="80" t="str">
        <f>HYPERLINK("https://pbs.twimg.com/tweet_video_thumb/FsnomMSXgAAGUWi.jpg")</f>
        <v>https://pbs.twimg.com/tweet_video_thumb/FsnomMSXgAAGUWi.jpg</v>
      </c>
      <c r="AW1457" s="82" t="s">
        <v>13632</v>
      </c>
      <c r="AX1457" s="82" t="s">
        <v>13632</v>
      </c>
      <c r="AY1457" s="77"/>
      <c r="AZ1457" s="82" t="s">
        <v>15804</v>
      </c>
      <c r="BA1457" s="82" t="s">
        <v>15804</v>
      </c>
      <c r="BB1457" s="82" t="s">
        <v>15804</v>
      </c>
      <c r="BC1457" s="82" t="s">
        <v>13632</v>
      </c>
      <c r="BD1457" s="82" t="s">
        <v>16401</v>
      </c>
      <c r="BE1457" s="77"/>
      <c r="BF1457" s="77"/>
      <c r="BG1457" s="77"/>
      <c r="BH1457" s="77"/>
      <c r="BI1457" s="77"/>
    </row>
    <row r="1458" spans="1:61" x14ac:dyDescent="0.25">
      <c r="A1458" s="62" t="s">
        <v>690</v>
      </c>
      <c r="B1458" s="62" t="s">
        <v>1092</v>
      </c>
      <c r="C1458" s="63"/>
      <c r="D1458" s="64"/>
      <c r="E1458" s="65"/>
      <c r="F1458" s="66"/>
      <c r="G1458" s="63"/>
      <c r="H1458" s="67"/>
      <c r="I1458" s="68"/>
      <c r="J1458" s="68"/>
      <c r="K1458" s="32"/>
      <c r="L1458" s="75">
        <v>1458</v>
      </c>
      <c r="M1458" s="75"/>
      <c r="N1458" s="70"/>
      <c r="O1458" s="77" t="s">
        <v>1133</v>
      </c>
      <c r="P1458" s="79">
        <v>45017.671122685184</v>
      </c>
      <c r="Q1458" s="77" t="s">
        <v>2544</v>
      </c>
      <c r="R1458" s="77">
        <v>0</v>
      </c>
      <c r="S1458" s="77">
        <v>4</v>
      </c>
      <c r="T1458" s="77">
        <v>0</v>
      </c>
      <c r="U1458" s="77">
        <v>0</v>
      </c>
      <c r="V1458" s="77">
        <v>101</v>
      </c>
      <c r="W1458" s="82" t="s">
        <v>5090</v>
      </c>
      <c r="X1458" s="77"/>
      <c r="Y1458" s="77"/>
      <c r="Z1458" s="77" t="s">
        <v>1092</v>
      </c>
      <c r="AA1458" s="77" t="s">
        <v>7077</v>
      </c>
      <c r="AB1458" s="77" t="s">
        <v>7698</v>
      </c>
      <c r="AC1458" s="82" t="s">
        <v>7706</v>
      </c>
      <c r="AD1458" s="77" t="s">
        <v>7745</v>
      </c>
      <c r="AE1458" s="80" t="str">
        <f>HYPERLINK("https://twitter.com/conciergebtc/status/1642196728085458951")</f>
        <v>https://twitter.com/conciergebtc/status/1642196728085458951</v>
      </c>
      <c r="AF1458" s="79">
        <v>45017.671122685184</v>
      </c>
      <c r="AG1458" s="85">
        <v>45017</v>
      </c>
      <c r="AH1458" s="82" t="s">
        <v>9047</v>
      </c>
      <c r="AI1458" s="77" t="b">
        <v>0</v>
      </c>
      <c r="AJ1458" s="77"/>
      <c r="AK1458" s="77"/>
      <c r="AL1458" s="77"/>
      <c r="AM1458" s="77"/>
      <c r="AN1458" s="77"/>
      <c r="AO1458" s="77"/>
      <c r="AP1458" s="77"/>
      <c r="AQ1458" s="77" t="s">
        <v>11584</v>
      </c>
      <c r="AR1458" s="77"/>
      <c r="AS1458" s="77"/>
      <c r="AT1458" s="77"/>
      <c r="AU1458" s="77"/>
      <c r="AV1458" s="80" t="str">
        <f>HYPERLINK("https://pbs.twimg.com/media/FspA3DCWwAIfsXl.jpg")</f>
        <v>https://pbs.twimg.com/media/FspA3DCWwAIfsXl.jpg</v>
      </c>
      <c r="AW1458" s="82" t="s">
        <v>13633</v>
      </c>
      <c r="AX1458" s="82" t="s">
        <v>13633</v>
      </c>
      <c r="AY1458" s="77"/>
      <c r="AZ1458" s="82" t="s">
        <v>15804</v>
      </c>
      <c r="BA1458" s="82" t="s">
        <v>15804</v>
      </c>
      <c r="BB1458" s="82" t="s">
        <v>15804</v>
      </c>
      <c r="BC1458" s="82" t="s">
        <v>13633</v>
      </c>
      <c r="BD1458" s="82" t="s">
        <v>15748</v>
      </c>
      <c r="BE1458" s="77"/>
      <c r="BF1458" s="77"/>
      <c r="BG1458" s="77"/>
      <c r="BH1458" s="77"/>
      <c r="BI1458" s="77"/>
    </row>
    <row r="1459" spans="1:61" x14ac:dyDescent="0.25">
      <c r="A1459" s="62" t="s">
        <v>690</v>
      </c>
      <c r="B1459" s="62" t="s">
        <v>1093</v>
      </c>
      <c r="C1459" s="63"/>
      <c r="D1459" s="64"/>
      <c r="E1459" s="65"/>
      <c r="F1459" s="66"/>
      <c r="G1459" s="63"/>
      <c r="H1459" s="67"/>
      <c r="I1459" s="68"/>
      <c r="J1459" s="68"/>
      <c r="K1459" s="32"/>
      <c r="L1459" s="75">
        <v>1459</v>
      </c>
      <c r="M1459" s="75"/>
      <c r="N1459" s="70"/>
      <c r="O1459" s="77" t="s">
        <v>1133</v>
      </c>
      <c r="P1459" s="79">
        <v>45050.798472222225</v>
      </c>
      <c r="Q1459" s="77" t="s">
        <v>2545</v>
      </c>
      <c r="R1459" s="77">
        <v>0</v>
      </c>
      <c r="S1459" s="77">
        <v>1</v>
      </c>
      <c r="T1459" s="77">
        <v>0</v>
      </c>
      <c r="U1459" s="77">
        <v>0</v>
      </c>
      <c r="V1459" s="77">
        <v>75</v>
      </c>
      <c r="W1459" s="82" t="s">
        <v>5090</v>
      </c>
      <c r="X1459" s="77"/>
      <c r="Y1459" s="77"/>
      <c r="Z1459" s="77" t="s">
        <v>1093</v>
      </c>
      <c r="AA1459" s="77" t="s">
        <v>7078</v>
      </c>
      <c r="AB1459" s="77" t="s">
        <v>7698</v>
      </c>
      <c r="AC1459" s="82" t="s">
        <v>7706</v>
      </c>
      <c r="AD1459" s="77" t="s">
        <v>7745</v>
      </c>
      <c r="AE1459" s="80" t="str">
        <f>HYPERLINK("https://twitter.com/conciergebtc/status/1654201679460421640")</f>
        <v>https://twitter.com/conciergebtc/status/1654201679460421640</v>
      </c>
      <c r="AF1459" s="79">
        <v>45050.798472222225</v>
      </c>
      <c r="AG1459" s="85">
        <v>45050</v>
      </c>
      <c r="AH1459" s="82" t="s">
        <v>9048</v>
      </c>
      <c r="AI1459" s="77" t="b">
        <v>0</v>
      </c>
      <c r="AJ1459" s="77"/>
      <c r="AK1459" s="77"/>
      <c r="AL1459" s="77"/>
      <c r="AM1459" s="77"/>
      <c r="AN1459" s="77"/>
      <c r="AO1459" s="77"/>
      <c r="AP1459" s="77"/>
      <c r="AQ1459" s="77" t="s">
        <v>11585</v>
      </c>
      <c r="AR1459" s="77"/>
      <c r="AS1459" s="77"/>
      <c r="AT1459" s="77"/>
      <c r="AU1459" s="77"/>
      <c r="AV1459" s="80" t="str">
        <f>HYPERLINK("https://pbs.twimg.com/media/FvTngmyX0AI7ioC.jpg")</f>
        <v>https://pbs.twimg.com/media/FvTngmyX0AI7ioC.jpg</v>
      </c>
      <c r="AW1459" s="82" t="s">
        <v>13634</v>
      </c>
      <c r="AX1459" s="82" t="s">
        <v>13634</v>
      </c>
      <c r="AY1459" s="77"/>
      <c r="AZ1459" s="82" t="s">
        <v>15804</v>
      </c>
      <c r="BA1459" s="82" t="s">
        <v>15804</v>
      </c>
      <c r="BB1459" s="82" t="s">
        <v>15804</v>
      </c>
      <c r="BC1459" s="82" t="s">
        <v>13634</v>
      </c>
      <c r="BD1459" s="82" t="s">
        <v>15748</v>
      </c>
      <c r="BE1459" s="77"/>
      <c r="BF1459" s="77"/>
      <c r="BG1459" s="77"/>
      <c r="BH1459" s="77"/>
      <c r="BI1459" s="77"/>
    </row>
    <row r="1460" spans="1:61" x14ac:dyDescent="0.25">
      <c r="A1460" s="62" t="s">
        <v>690</v>
      </c>
      <c r="B1460" s="62" t="s">
        <v>1093</v>
      </c>
      <c r="C1460" s="63"/>
      <c r="D1460" s="64"/>
      <c r="E1460" s="65"/>
      <c r="F1460" s="66"/>
      <c r="G1460" s="63"/>
      <c r="H1460" s="67"/>
      <c r="I1460" s="68"/>
      <c r="J1460" s="68"/>
      <c r="K1460" s="32"/>
      <c r="L1460" s="75">
        <v>1460</v>
      </c>
      <c r="M1460" s="75"/>
      <c r="N1460" s="70"/>
      <c r="O1460" s="77" t="s">
        <v>1133</v>
      </c>
      <c r="P1460" s="79">
        <v>45003.68608796296</v>
      </c>
      <c r="Q1460" s="77" t="s">
        <v>2546</v>
      </c>
      <c r="R1460" s="77">
        <v>0</v>
      </c>
      <c r="S1460" s="77">
        <v>1</v>
      </c>
      <c r="T1460" s="77">
        <v>0</v>
      </c>
      <c r="U1460" s="77">
        <v>0</v>
      </c>
      <c r="V1460" s="77">
        <v>42</v>
      </c>
      <c r="W1460" s="82" t="s">
        <v>5091</v>
      </c>
      <c r="X1460" s="77"/>
      <c r="Y1460" s="77"/>
      <c r="Z1460" s="77" t="s">
        <v>1093</v>
      </c>
      <c r="AA1460" s="77" t="s">
        <v>7079</v>
      </c>
      <c r="AB1460" s="77" t="s">
        <v>7698</v>
      </c>
      <c r="AC1460" s="82" t="s">
        <v>7706</v>
      </c>
      <c r="AD1460" s="77" t="s">
        <v>7745</v>
      </c>
      <c r="AE1460" s="80" t="str">
        <f>HYPERLINK("https://twitter.com/conciergebtc/status/1637128720514273283")</f>
        <v>https://twitter.com/conciergebtc/status/1637128720514273283</v>
      </c>
      <c r="AF1460" s="79">
        <v>45003.68608796296</v>
      </c>
      <c r="AG1460" s="85">
        <v>45003</v>
      </c>
      <c r="AH1460" s="82" t="s">
        <v>9049</v>
      </c>
      <c r="AI1460" s="77" t="b">
        <v>0</v>
      </c>
      <c r="AJ1460" s="77"/>
      <c r="AK1460" s="77"/>
      <c r="AL1460" s="77"/>
      <c r="AM1460" s="77"/>
      <c r="AN1460" s="77"/>
      <c r="AO1460" s="77"/>
      <c r="AP1460" s="77"/>
      <c r="AQ1460" s="77" t="s">
        <v>11586</v>
      </c>
      <c r="AR1460" s="77"/>
      <c r="AS1460" s="77"/>
      <c r="AT1460" s="77"/>
      <c r="AU1460" s="77"/>
      <c r="AV1460" s="80" t="str">
        <f>HYPERLINK("https://pbs.twimg.com/media/Frg_1PxWIAEbnVo.jpg")</f>
        <v>https://pbs.twimg.com/media/Frg_1PxWIAEbnVo.jpg</v>
      </c>
      <c r="AW1460" s="82" t="s">
        <v>13635</v>
      </c>
      <c r="AX1460" s="82" t="s">
        <v>13635</v>
      </c>
      <c r="AY1460" s="77"/>
      <c r="AZ1460" s="82" t="s">
        <v>15804</v>
      </c>
      <c r="BA1460" s="82" t="s">
        <v>15804</v>
      </c>
      <c r="BB1460" s="82" t="s">
        <v>15804</v>
      </c>
      <c r="BC1460" s="82" t="s">
        <v>13635</v>
      </c>
      <c r="BD1460" s="82" t="s">
        <v>15748</v>
      </c>
      <c r="BE1460" s="77"/>
      <c r="BF1460" s="77"/>
      <c r="BG1460" s="77"/>
      <c r="BH1460" s="77"/>
      <c r="BI1460" s="77"/>
    </row>
    <row r="1461" spans="1:61" x14ac:dyDescent="0.25">
      <c r="A1461" s="62" t="s">
        <v>690</v>
      </c>
      <c r="B1461" s="62" t="s">
        <v>1093</v>
      </c>
      <c r="C1461" s="63"/>
      <c r="D1461" s="64"/>
      <c r="E1461" s="65"/>
      <c r="F1461" s="66"/>
      <c r="G1461" s="63"/>
      <c r="H1461" s="67"/>
      <c r="I1461" s="68"/>
      <c r="J1461" s="68"/>
      <c r="K1461" s="32"/>
      <c r="L1461" s="75">
        <v>1461</v>
      </c>
      <c r="M1461" s="75"/>
      <c r="N1461" s="70"/>
      <c r="O1461" s="77" t="s">
        <v>1133</v>
      </c>
      <c r="P1461" s="79">
        <v>44997.725289351853</v>
      </c>
      <c r="Q1461" s="77" t="s">
        <v>2547</v>
      </c>
      <c r="R1461" s="77">
        <v>0</v>
      </c>
      <c r="S1461" s="77">
        <v>3</v>
      </c>
      <c r="T1461" s="77">
        <v>0</v>
      </c>
      <c r="U1461" s="77">
        <v>0</v>
      </c>
      <c r="V1461" s="77">
        <v>95</v>
      </c>
      <c r="W1461" s="82" t="s">
        <v>5091</v>
      </c>
      <c r="X1461" s="77"/>
      <c r="Y1461" s="77"/>
      <c r="Z1461" s="77" t="s">
        <v>1093</v>
      </c>
      <c r="AA1461" s="77" t="s">
        <v>7080</v>
      </c>
      <c r="AB1461" s="77" t="s">
        <v>7698</v>
      </c>
      <c r="AC1461" s="82" t="s">
        <v>7706</v>
      </c>
      <c r="AD1461" s="77" t="s">
        <v>7745</v>
      </c>
      <c r="AE1461" s="80" t="str">
        <f>HYPERLINK("https://twitter.com/conciergebtc/status/1634968600569315329")</f>
        <v>https://twitter.com/conciergebtc/status/1634968600569315329</v>
      </c>
      <c r="AF1461" s="79">
        <v>44997.725289351853</v>
      </c>
      <c r="AG1461" s="85">
        <v>44997</v>
      </c>
      <c r="AH1461" s="82" t="s">
        <v>9050</v>
      </c>
      <c r="AI1461" s="77" t="b">
        <v>0</v>
      </c>
      <c r="AJ1461" s="77"/>
      <c r="AK1461" s="77"/>
      <c r="AL1461" s="77"/>
      <c r="AM1461" s="77"/>
      <c r="AN1461" s="77"/>
      <c r="AO1461" s="77"/>
      <c r="AP1461" s="77"/>
      <c r="AQ1461" s="77" t="s">
        <v>11587</v>
      </c>
      <c r="AR1461" s="77"/>
      <c r="AS1461" s="77"/>
      <c r="AT1461" s="77"/>
      <c r="AU1461" s="77"/>
      <c r="AV1461" s="80" t="str">
        <f>HYPERLINK("https://pbs.twimg.com/media/FrCSs7pWIAQWZHw.jpg")</f>
        <v>https://pbs.twimg.com/media/FrCSs7pWIAQWZHw.jpg</v>
      </c>
      <c r="AW1461" s="82" t="s">
        <v>13636</v>
      </c>
      <c r="AX1461" s="82" t="s">
        <v>13636</v>
      </c>
      <c r="AY1461" s="77"/>
      <c r="AZ1461" s="82" t="s">
        <v>15804</v>
      </c>
      <c r="BA1461" s="82" t="s">
        <v>15804</v>
      </c>
      <c r="BB1461" s="82" t="s">
        <v>15804</v>
      </c>
      <c r="BC1461" s="82" t="s">
        <v>13636</v>
      </c>
      <c r="BD1461" s="82" t="s">
        <v>15748</v>
      </c>
      <c r="BE1461" s="77"/>
      <c r="BF1461" s="77"/>
      <c r="BG1461" s="77"/>
      <c r="BH1461" s="77"/>
      <c r="BI1461" s="77"/>
    </row>
    <row r="1462" spans="1:61" x14ac:dyDescent="0.25">
      <c r="A1462" s="62" t="s">
        <v>690</v>
      </c>
      <c r="B1462" s="62" t="s">
        <v>1093</v>
      </c>
      <c r="C1462" s="63"/>
      <c r="D1462" s="64"/>
      <c r="E1462" s="65"/>
      <c r="F1462" s="66"/>
      <c r="G1462" s="63"/>
      <c r="H1462" s="67"/>
      <c r="I1462" s="68"/>
      <c r="J1462" s="68"/>
      <c r="K1462" s="32"/>
      <c r="L1462" s="75">
        <v>1462</v>
      </c>
      <c r="M1462" s="75"/>
      <c r="N1462" s="70"/>
      <c r="O1462" s="77" t="s">
        <v>1133</v>
      </c>
      <c r="P1462" s="79">
        <v>45008.737592592595</v>
      </c>
      <c r="Q1462" s="77" t="s">
        <v>2548</v>
      </c>
      <c r="R1462" s="77">
        <v>0</v>
      </c>
      <c r="S1462" s="77">
        <v>2</v>
      </c>
      <c r="T1462" s="77">
        <v>0</v>
      </c>
      <c r="U1462" s="77">
        <v>0</v>
      </c>
      <c r="V1462" s="77">
        <v>70</v>
      </c>
      <c r="W1462" s="82" t="s">
        <v>5091</v>
      </c>
      <c r="X1462" s="77"/>
      <c r="Y1462" s="77"/>
      <c r="Z1462" s="77" t="s">
        <v>1093</v>
      </c>
      <c r="AA1462" s="77" t="s">
        <v>7081</v>
      </c>
      <c r="AB1462" s="77" t="s">
        <v>7698</v>
      </c>
      <c r="AC1462" s="82" t="s">
        <v>7706</v>
      </c>
      <c r="AD1462" s="77" t="s">
        <v>7745</v>
      </c>
      <c r="AE1462" s="80" t="str">
        <f>HYPERLINK("https://twitter.com/conciergebtc/status/1638959326801850375")</f>
        <v>https://twitter.com/conciergebtc/status/1638959326801850375</v>
      </c>
      <c r="AF1462" s="79">
        <v>45008.737592592595</v>
      </c>
      <c r="AG1462" s="85">
        <v>45008</v>
      </c>
      <c r="AH1462" s="82" t="s">
        <v>9051</v>
      </c>
      <c r="AI1462" s="77" t="b">
        <v>0</v>
      </c>
      <c r="AJ1462" s="77"/>
      <c r="AK1462" s="77"/>
      <c r="AL1462" s="77"/>
      <c r="AM1462" s="77"/>
      <c r="AN1462" s="77"/>
      <c r="AO1462" s="77"/>
      <c r="AP1462" s="77"/>
      <c r="AQ1462" s="77" t="s">
        <v>11588</v>
      </c>
      <c r="AR1462" s="77"/>
      <c r="AS1462" s="77"/>
      <c r="AT1462" s="77"/>
      <c r="AU1462" s="77"/>
      <c r="AV1462" s="80" t="str">
        <f>HYPERLINK("https://pbs.twimg.com/media/Fr7Ap_VWcBEfQtw.jpg")</f>
        <v>https://pbs.twimg.com/media/Fr7Ap_VWcBEfQtw.jpg</v>
      </c>
      <c r="AW1462" s="82" t="s">
        <v>13637</v>
      </c>
      <c r="AX1462" s="82" t="s">
        <v>13637</v>
      </c>
      <c r="AY1462" s="77"/>
      <c r="AZ1462" s="82" t="s">
        <v>15804</v>
      </c>
      <c r="BA1462" s="82" t="s">
        <v>15804</v>
      </c>
      <c r="BB1462" s="82" t="s">
        <v>15804</v>
      </c>
      <c r="BC1462" s="82" t="s">
        <v>13637</v>
      </c>
      <c r="BD1462" s="82" t="s">
        <v>15748</v>
      </c>
      <c r="BE1462" s="77"/>
      <c r="BF1462" s="77"/>
      <c r="BG1462" s="77"/>
      <c r="BH1462" s="77"/>
      <c r="BI1462" s="77"/>
    </row>
    <row r="1463" spans="1:61" x14ac:dyDescent="0.25">
      <c r="A1463" s="62" t="s">
        <v>690</v>
      </c>
      <c r="B1463" s="62" t="s">
        <v>1093</v>
      </c>
      <c r="C1463" s="63"/>
      <c r="D1463" s="64"/>
      <c r="E1463" s="65"/>
      <c r="F1463" s="66"/>
      <c r="G1463" s="63"/>
      <c r="H1463" s="67"/>
      <c r="I1463" s="68"/>
      <c r="J1463" s="68"/>
      <c r="K1463" s="32"/>
      <c r="L1463" s="75">
        <v>1463</v>
      </c>
      <c r="M1463" s="75"/>
      <c r="N1463" s="70"/>
      <c r="O1463" s="77" t="s">
        <v>1133</v>
      </c>
      <c r="P1463" s="79">
        <v>45036.768229166664</v>
      </c>
      <c r="Q1463" s="77" t="s">
        <v>2549</v>
      </c>
      <c r="R1463" s="77">
        <v>0</v>
      </c>
      <c r="S1463" s="77">
        <v>2</v>
      </c>
      <c r="T1463" s="77">
        <v>0</v>
      </c>
      <c r="U1463" s="77">
        <v>0</v>
      </c>
      <c r="V1463" s="77">
        <v>86</v>
      </c>
      <c r="W1463" s="82" t="s">
        <v>5090</v>
      </c>
      <c r="X1463" s="77"/>
      <c r="Y1463" s="77"/>
      <c r="Z1463" s="77" t="s">
        <v>1093</v>
      </c>
      <c r="AA1463" s="77" t="s">
        <v>7082</v>
      </c>
      <c r="AB1463" s="77" t="s">
        <v>7698</v>
      </c>
      <c r="AC1463" s="82" t="s">
        <v>7706</v>
      </c>
      <c r="AD1463" s="77" t="s">
        <v>7745</v>
      </c>
      <c r="AE1463" s="80" t="str">
        <f>HYPERLINK("https://twitter.com/conciergebtc/status/1649117291181637634")</f>
        <v>https://twitter.com/conciergebtc/status/1649117291181637634</v>
      </c>
      <c r="AF1463" s="79">
        <v>45036.768229166664</v>
      </c>
      <c r="AG1463" s="85">
        <v>45036</v>
      </c>
      <c r="AH1463" s="82" t="s">
        <v>9052</v>
      </c>
      <c r="AI1463" s="77" t="b">
        <v>0</v>
      </c>
      <c r="AJ1463" s="77"/>
      <c r="AK1463" s="77"/>
      <c r="AL1463" s="77"/>
      <c r="AM1463" s="77"/>
      <c r="AN1463" s="77"/>
      <c r="AO1463" s="77"/>
      <c r="AP1463" s="77"/>
      <c r="AQ1463" s="77" t="s">
        <v>11589</v>
      </c>
      <c r="AR1463" s="77"/>
      <c r="AS1463" s="77"/>
      <c r="AT1463" s="77"/>
      <c r="AU1463" s="77"/>
      <c r="AV1463" s="80" t="str">
        <f>HYPERLINK("https://pbs.twimg.com/media/FuLXWy5WAAwDUnT.jpg")</f>
        <v>https://pbs.twimg.com/media/FuLXWy5WAAwDUnT.jpg</v>
      </c>
      <c r="AW1463" s="82" t="s">
        <v>13638</v>
      </c>
      <c r="AX1463" s="82" t="s">
        <v>13638</v>
      </c>
      <c r="AY1463" s="77"/>
      <c r="AZ1463" s="82" t="s">
        <v>15804</v>
      </c>
      <c r="BA1463" s="82" t="s">
        <v>15804</v>
      </c>
      <c r="BB1463" s="82" t="s">
        <v>15804</v>
      </c>
      <c r="BC1463" s="82" t="s">
        <v>13638</v>
      </c>
      <c r="BD1463" s="82" t="s">
        <v>15748</v>
      </c>
      <c r="BE1463" s="77"/>
      <c r="BF1463" s="77"/>
      <c r="BG1463" s="77"/>
      <c r="BH1463" s="77"/>
      <c r="BI1463" s="77"/>
    </row>
    <row r="1464" spans="1:61" x14ac:dyDescent="0.25">
      <c r="A1464" s="62" t="s">
        <v>690</v>
      </c>
      <c r="B1464" s="62" t="s">
        <v>1093</v>
      </c>
      <c r="C1464" s="63"/>
      <c r="D1464" s="64"/>
      <c r="E1464" s="65"/>
      <c r="F1464" s="66"/>
      <c r="G1464" s="63"/>
      <c r="H1464" s="67"/>
      <c r="I1464" s="68"/>
      <c r="J1464" s="68"/>
      <c r="K1464" s="32"/>
      <c r="L1464" s="75">
        <v>1464</v>
      </c>
      <c r="M1464" s="75"/>
      <c r="N1464" s="70"/>
      <c r="O1464" s="77" t="s">
        <v>1133</v>
      </c>
      <c r="P1464" s="79">
        <v>45146.660787037035</v>
      </c>
      <c r="Q1464" s="77" t="s">
        <v>2550</v>
      </c>
      <c r="R1464" s="77">
        <v>0</v>
      </c>
      <c r="S1464" s="77">
        <v>1</v>
      </c>
      <c r="T1464" s="77">
        <v>1</v>
      </c>
      <c r="U1464" s="77">
        <v>0</v>
      </c>
      <c r="V1464" s="77">
        <v>113</v>
      </c>
      <c r="W1464" s="82" t="s">
        <v>5092</v>
      </c>
      <c r="X1464" s="77"/>
      <c r="Y1464" s="77"/>
      <c r="Z1464" s="77" t="s">
        <v>1093</v>
      </c>
      <c r="AA1464" s="77" t="s">
        <v>7083</v>
      </c>
      <c r="AB1464" s="77" t="s">
        <v>7698</v>
      </c>
      <c r="AC1464" s="82" t="s">
        <v>7706</v>
      </c>
      <c r="AD1464" s="77" t="s">
        <v>7745</v>
      </c>
      <c r="AE1464" s="80" t="str">
        <f>HYPERLINK("https://twitter.com/conciergebtc/status/1688941020455501824")</f>
        <v>https://twitter.com/conciergebtc/status/1688941020455501824</v>
      </c>
      <c r="AF1464" s="79">
        <v>45146.660787037035</v>
      </c>
      <c r="AG1464" s="85">
        <v>45146</v>
      </c>
      <c r="AH1464" s="82" t="s">
        <v>9053</v>
      </c>
      <c r="AI1464" s="77" t="b">
        <v>0</v>
      </c>
      <c r="AJ1464" s="77"/>
      <c r="AK1464" s="77"/>
      <c r="AL1464" s="77"/>
      <c r="AM1464" s="77"/>
      <c r="AN1464" s="77"/>
      <c r="AO1464" s="77"/>
      <c r="AP1464" s="77"/>
      <c r="AQ1464" s="77" t="s">
        <v>11590</v>
      </c>
      <c r="AR1464" s="77"/>
      <c r="AS1464" s="77"/>
      <c r="AT1464" s="77"/>
      <c r="AU1464" s="77"/>
      <c r="AV1464" s="80" t="str">
        <f>HYPERLINK("https://pbs.twimg.com/media/F3BS42OWAAAASY9.jpg")</f>
        <v>https://pbs.twimg.com/media/F3BS42OWAAAASY9.jpg</v>
      </c>
      <c r="AW1464" s="82" t="s">
        <v>13639</v>
      </c>
      <c r="AX1464" s="82" t="s">
        <v>13639</v>
      </c>
      <c r="AY1464" s="77"/>
      <c r="AZ1464" s="82" t="s">
        <v>15804</v>
      </c>
      <c r="BA1464" s="82" t="s">
        <v>15804</v>
      </c>
      <c r="BB1464" s="82" t="s">
        <v>15804</v>
      </c>
      <c r="BC1464" s="82" t="s">
        <v>13639</v>
      </c>
      <c r="BD1464" s="82" t="s">
        <v>15748</v>
      </c>
      <c r="BE1464" s="77"/>
      <c r="BF1464" s="77"/>
      <c r="BG1464" s="77"/>
      <c r="BH1464" s="77"/>
      <c r="BI1464" s="77"/>
    </row>
    <row r="1465" spans="1:61" x14ac:dyDescent="0.25">
      <c r="A1465" s="62" t="s">
        <v>690</v>
      </c>
      <c r="B1465" s="62" t="s">
        <v>1093</v>
      </c>
      <c r="C1465" s="63"/>
      <c r="D1465" s="64"/>
      <c r="E1465" s="65"/>
      <c r="F1465" s="66"/>
      <c r="G1465" s="63"/>
      <c r="H1465" s="67"/>
      <c r="I1465" s="68"/>
      <c r="J1465" s="68"/>
      <c r="K1465" s="32"/>
      <c r="L1465" s="75">
        <v>1465</v>
      </c>
      <c r="M1465" s="75"/>
      <c r="N1465" s="70"/>
      <c r="O1465" s="77" t="s">
        <v>1133</v>
      </c>
      <c r="P1465" s="79">
        <v>45082.822962962964</v>
      </c>
      <c r="Q1465" s="77" t="s">
        <v>2551</v>
      </c>
      <c r="R1465" s="77">
        <v>0</v>
      </c>
      <c r="S1465" s="77">
        <v>0</v>
      </c>
      <c r="T1465" s="77">
        <v>0</v>
      </c>
      <c r="U1465" s="77">
        <v>0</v>
      </c>
      <c r="V1465" s="77">
        <v>99</v>
      </c>
      <c r="W1465" s="82" t="s">
        <v>5090</v>
      </c>
      <c r="X1465" s="77"/>
      <c r="Y1465" s="77"/>
      <c r="Z1465" s="77" t="s">
        <v>1093</v>
      </c>
      <c r="AA1465" s="77" t="s">
        <v>7084</v>
      </c>
      <c r="AB1465" s="77" t="s">
        <v>7698</v>
      </c>
      <c r="AC1465" s="82" t="s">
        <v>7706</v>
      </c>
      <c r="AD1465" s="77" t="s">
        <v>7745</v>
      </c>
      <c r="AE1465" s="80" t="str">
        <f>HYPERLINK("https://twitter.com/conciergebtc/status/1665806965388320769")</f>
        <v>https://twitter.com/conciergebtc/status/1665806965388320769</v>
      </c>
      <c r="AF1465" s="79">
        <v>45082.822962962964</v>
      </c>
      <c r="AG1465" s="85">
        <v>45082</v>
      </c>
      <c r="AH1465" s="82" t="s">
        <v>9054</v>
      </c>
      <c r="AI1465" s="77" t="b">
        <v>0</v>
      </c>
      <c r="AJ1465" s="77"/>
      <c r="AK1465" s="77"/>
      <c r="AL1465" s="77"/>
      <c r="AM1465" s="77"/>
      <c r="AN1465" s="77"/>
      <c r="AO1465" s="77"/>
      <c r="AP1465" s="77"/>
      <c r="AQ1465" s="77" t="s">
        <v>11591</v>
      </c>
      <c r="AR1465" s="77"/>
      <c r="AS1465" s="77"/>
      <c r="AT1465" s="77"/>
      <c r="AU1465" s="77"/>
      <c r="AV1465" s="80" t="str">
        <f>HYPERLINK("https://pbs.twimg.com/media/Fx4hiSOXsAA-tIW.jpg")</f>
        <v>https://pbs.twimg.com/media/Fx4hiSOXsAA-tIW.jpg</v>
      </c>
      <c r="AW1465" s="82" t="s">
        <v>13640</v>
      </c>
      <c r="AX1465" s="82" t="s">
        <v>13640</v>
      </c>
      <c r="AY1465" s="77"/>
      <c r="AZ1465" s="82" t="s">
        <v>15804</v>
      </c>
      <c r="BA1465" s="82" t="s">
        <v>15804</v>
      </c>
      <c r="BB1465" s="82" t="s">
        <v>15804</v>
      </c>
      <c r="BC1465" s="82" t="s">
        <v>13640</v>
      </c>
      <c r="BD1465" s="82" t="s">
        <v>15748</v>
      </c>
      <c r="BE1465" s="77"/>
      <c r="BF1465" s="77"/>
      <c r="BG1465" s="77"/>
      <c r="BH1465" s="77"/>
      <c r="BI1465" s="77"/>
    </row>
    <row r="1466" spans="1:61" x14ac:dyDescent="0.25">
      <c r="A1466" s="62" t="s">
        <v>690</v>
      </c>
      <c r="B1466" s="62" t="s">
        <v>690</v>
      </c>
      <c r="C1466" s="63"/>
      <c r="D1466" s="64"/>
      <c r="E1466" s="65"/>
      <c r="F1466" s="66"/>
      <c r="G1466" s="63"/>
      <c r="H1466" s="67"/>
      <c r="I1466" s="68"/>
      <c r="J1466" s="68"/>
      <c r="K1466" s="32"/>
      <c r="L1466" s="75">
        <v>1466</v>
      </c>
      <c r="M1466" s="75"/>
      <c r="N1466" s="70"/>
      <c r="O1466" s="77" t="s">
        <v>179</v>
      </c>
      <c r="P1466" s="79">
        <v>45090.765821759262</v>
      </c>
      <c r="Q1466" s="77" t="s">
        <v>2552</v>
      </c>
      <c r="R1466" s="77">
        <v>0</v>
      </c>
      <c r="S1466" s="77">
        <v>0</v>
      </c>
      <c r="T1466" s="77">
        <v>2</v>
      </c>
      <c r="U1466" s="77">
        <v>0</v>
      </c>
      <c r="V1466" s="77">
        <v>37</v>
      </c>
      <c r="W1466" s="82" t="s">
        <v>5093</v>
      </c>
      <c r="X1466" s="77"/>
      <c r="Y1466" s="77"/>
      <c r="Z1466" s="77"/>
      <c r="AA1466" s="77" t="s">
        <v>7085</v>
      </c>
      <c r="AB1466" s="77" t="s">
        <v>7700</v>
      </c>
      <c r="AC1466" s="82" t="s">
        <v>7706</v>
      </c>
      <c r="AD1466" s="77" t="s">
        <v>7745</v>
      </c>
      <c r="AE1466" s="80" t="str">
        <f>HYPERLINK("https://twitter.com/conciergebtc/status/1668685359390007551")</f>
        <v>https://twitter.com/conciergebtc/status/1668685359390007551</v>
      </c>
      <c r="AF1466" s="79">
        <v>45090.765821759262</v>
      </c>
      <c r="AG1466" s="85">
        <v>45090</v>
      </c>
      <c r="AH1466" s="82" t="s">
        <v>9055</v>
      </c>
      <c r="AI1466" s="77" t="b">
        <v>0</v>
      </c>
      <c r="AJ1466" s="77"/>
      <c r="AK1466" s="77"/>
      <c r="AL1466" s="77"/>
      <c r="AM1466" s="77"/>
      <c r="AN1466" s="77"/>
      <c r="AO1466" s="77"/>
      <c r="AP1466" s="77"/>
      <c r="AQ1466" s="77" t="s">
        <v>11592</v>
      </c>
      <c r="AR1466" s="77"/>
      <c r="AS1466" s="77"/>
      <c r="AT1466" s="77"/>
      <c r="AU1466" s="77"/>
      <c r="AV1466" s="80" t="str">
        <f>HYPERLINK("https://pbs.twimg.com/media/FyhbJgIWcAAeuDo.jpg")</f>
        <v>https://pbs.twimg.com/media/FyhbJgIWcAAeuDo.jpg</v>
      </c>
      <c r="AW1466" s="82" t="s">
        <v>13641</v>
      </c>
      <c r="AX1466" s="82" t="s">
        <v>13641</v>
      </c>
      <c r="AY1466" s="77"/>
      <c r="AZ1466" s="82" t="s">
        <v>15804</v>
      </c>
      <c r="BA1466" s="82" t="s">
        <v>15804</v>
      </c>
      <c r="BB1466" s="82" t="s">
        <v>15804</v>
      </c>
      <c r="BC1466" s="82" t="s">
        <v>13641</v>
      </c>
      <c r="BD1466" s="82" t="s">
        <v>15748</v>
      </c>
      <c r="BE1466" s="77"/>
      <c r="BF1466" s="77"/>
      <c r="BG1466" s="77"/>
      <c r="BH1466" s="77"/>
      <c r="BI1466" s="77"/>
    </row>
    <row r="1467" spans="1:61" x14ac:dyDescent="0.25">
      <c r="A1467" s="62" t="s">
        <v>690</v>
      </c>
      <c r="B1467" s="62" t="s">
        <v>690</v>
      </c>
      <c r="C1467" s="63"/>
      <c r="D1467" s="64"/>
      <c r="E1467" s="65"/>
      <c r="F1467" s="66"/>
      <c r="G1467" s="63"/>
      <c r="H1467" s="67"/>
      <c r="I1467" s="68"/>
      <c r="J1467" s="68"/>
      <c r="K1467" s="32"/>
      <c r="L1467" s="75">
        <v>1467</v>
      </c>
      <c r="M1467" s="75"/>
      <c r="N1467" s="70"/>
      <c r="O1467" s="77" t="s">
        <v>179</v>
      </c>
      <c r="P1467" s="79">
        <v>45118.836377314816</v>
      </c>
      <c r="Q1467" s="77" t="s">
        <v>2553</v>
      </c>
      <c r="R1467" s="77">
        <v>0</v>
      </c>
      <c r="S1467" s="77">
        <v>0</v>
      </c>
      <c r="T1467" s="77">
        <v>2</v>
      </c>
      <c r="U1467" s="77">
        <v>0</v>
      </c>
      <c r="V1467" s="77">
        <v>56</v>
      </c>
      <c r="W1467" s="82" t="s">
        <v>5094</v>
      </c>
      <c r="X1467" s="77"/>
      <c r="Y1467" s="77"/>
      <c r="Z1467" s="77"/>
      <c r="AA1467" s="77" t="s">
        <v>7086</v>
      </c>
      <c r="AB1467" s="77" t="s">
        <v>7701</v>
      </c>
      <c r="AC1467" s="82" t="s">
        <v>7706</v>
      </c>
      <c r="AD1467" s="77" t="s">
        <v>7745</v>
      </c>
      <c r="AE1467" s="80" t="str">
        <f>HYPERLINK("https://twitter.com/conciergebtc/status/1678857792252198912")</f>
        <v>https://twitter.com/conciergebtc/status/1678857792252198912</v>
      </c>
      <c r="AF1467" s="79">
        <v>45118.836377314816</v>
      </c>
      <c r="AG1467" s="85">
        <v>45118</v>
      </c>
      <c r="AH1467" s="82" t="s">
        <v>9056</v>
      </c>
      <c r="AI1467" s="77" t="b">
        <v>0</v>
      </c>
      <c r="AJ1467" s="77"/>
      <c r="AK1467" s="77"/>
      <c r="AL1467" s="77"/>
      <c r="AM1467" s="77"/>
      <c r="AN1467" s="77"/>
      <c r="AO1467" s="77"/>
      <c r="AP1467" s="77"/>
      <c r="AQ1467" s="77" t="s">
        <v>11593</v>
      </c>
      <c r="AR1467" s="77"/>
      <c r="AS1467" s="77"/>
      <c r="AT1467" s="77"/>
      <c r="AU1467" s="77"/>
      <c r="AV1467" s="80" t="str">
        <f>HYPERLINK("https://pbs.twimg.com/media/F0yAFgwWAAc-_OF.jpg")</f>
        <v>https://pbs.twimg.com/media/F0yAFgwWAAc-_OF.jpg</v>
      </c>
      <c r="AW1467" s="82" t="s">
        <v>13642</v>
      </c>
      <c r="AX1467" s="82" t="s">
        <v>13642</v>
      </c>
      <c r="AY1467" s="77"/>
      <c r="AZ1467" s="82" t="s">
        <v>15804</v>
      </c>
      <c r="BA1467" s="82" t="s">
        <v>15804</v>
      </c>
      <c r="BB1467" s="82" t="s">
        <v>15804</v>
      </c>
      <c r="BC1467" s="82" t="s">
        <v>13642</v>
      </c>
      <c r="BD1467" s="82" t="s">
        <v>15748</v>
      </c>
      <c r="BE1467" s="77"/>
      <c r="BF1467" s="77"/>
      <c r="BG1467" s="77"/>
      <c r="BH1467" s="77"/>
      <c r="BI1467" s="77"/>
    </row>
    <row r="1468" spans="1:61" x14ac:dyDescent="0.25">
      <c r="A1468" s="62" t="s">
        <v>690</v>
      </c>
      <c r="B1468" s="62" t="s">
        <v>690</v>
      </c>
      <c r="C1468" s="63"/>
      <c r="D1468" s="64"/>
      <c r="E1468" s="65"/>
      <c r="F1468" s="66"/>
      <c r="G1468" s="63"/>
      <c r="H1468" s="67"/>
      <c r="I1468" s="68"/>
      <c r="J1468" s="68"/>
      <c r="K1468" s="32"/>
      <c r="L1468" s="75">
        <v>1468</v>
      </c>
      <c r="M1468" s="75"/>
      <c r="N1468" s="70"/>
      <c r="O1468" s="77" t="s">
        <v>179</v>
      </c>
      <c r="P1468" s="79">
        <v>45006.753541666665</v>
      </c>
      <c r="Q1468" s="77" t="s">
        <v>2554</v>
      </c>
      <c r="R1468" s="77">
        <v>0</v>
      </c>
      <c r="S1468" s="77">
        <v>2</v>
      </c>
      <c r="T1468" s="77">
        <v>11</v>
      </c>
      <c r="U1468" s="77">
        <v>0</v>
      </c>
      <c r="V1468" s="77">
        <v>72</v>
      </c>
      <c r="W1468" s="82" t="s">
        <v>5091</v>
      </c>
      <c r="X1468" s="77"/>
      <c r="Y1468" s="77"/>
      <c r="Z1468" s="77"/>
      <c r="AA1468" s="77" t="s">
        <v>7087</v>
      </c>
      <c r="AB1468" s="77" t="s">
        <v>7700</v>
      </c>
      <c r="AC1468" s="82" t="s">
        <v>7706</v>
      </c>
      <c r="AD1468" s="77" t="s">
        <v>7745</v>
      </c>
      <c r="AE1468" s="80" t="str">
        <f>HYPERLINK("https://twitter.com/conciergebtc/status/1638240332029521926")</f>
        <v>https://twitter.com/conciergebtc/status/1638240332029521926</v>
      </c>
      <c r="AF1468" s="79">
        <v>45006.753541666665</v>
      </c>
      <c r="AG1468" s="85">
        <v>45006</v>
      </c>
      <c r="AH1468" s="82" t="s">
        <v>9057</v>
      </c>
      <c r="AI1468" s="77" t="b">
        <v>0</v>
      </c>
      <c r="AJ1468" s="77"/>
      <c r="AK1468" s="77"/>
      <c r="AL1468" s="77"/>
      <c r="AM1468" s="77"/>
      <c r="AN1468" s="77"/>
      <c r="AO1468" s="77"/>
      <c r="AP1468" s="77"/>
      <c r="AQ1468" s="77" t="s">
        <v>11594</v>
      </c>
      <c r="AR1468" s="77"/>
      <c r="AS1468" s="77"/>
      <c r="AT1468" s="77"/>
      <c r="AU1468" s="77"/>
      <c r="AV1468" s="80" t="str">
        <f>HYPERLINK("https://pbs.twimg.com/media/Frwy13uWcAwXX2M.jpg")</f>
        <v>https://pbs.twimg.com/media/Frwy13uWcAwXX2M.jpg</v>
      </c>
      <c r="AW1468" s="82" t="s">
        <v>13643</v>
      </c>
      <c r="AX1468" s="82" t="s">
        <v>13643</v>
      </c>
      <c r="AY1468" s="77"/>
      <c r="AZ1468" s="82" t="s">
        <v>15804</v>
      </c>
      <c r="BA1468" s="82" t="s">
        <v>15804</v>
      </c>
      <c r="BB1468" s="82" t="s">
        <v>15804</v>
      </c>
      <c r="BC1468" s="82" t="s">
        <v>13643</v>
      </c>
      <c r="BD1468" s="82" t="s">
        <v>15748</v>
      </c>
      <c r="BE1468" s="77"/>
      <c r="BF1468" s="77"/>
      <c r="BG1468" s="77"/>
      <c r="BH1468" s="77"/>
      <c r="BI1468" s="77"/>
    </row>
    <row r="1469" spans="1:61" x14ac:dyDescent="0.25">
      <c r="A1469" s="62" t="s">
        <v>690</v>
      </c>
      <c r="B1469" s="62" t="s">
        <v>690</v>
      </c>
      <c r="C1469" s="63"/>
      <c r="D1469" s="64"/>
      <c r="E1469" s="65"/>
      <c r="F1469" s="66"/>
      <c r="G1469" s="63"/>
      <c r="H1469" s="67"/>
      <c r="I1469" s="68"/>
      <c r="J1469" s="68"/>
      <c r="K1469" s="32"/>
      <c r="L1469" s="75">
        <v>1469</v>
      </c>
      <c r="M1469" s="75"/>
      <c r="N1469" s="70"/>
      <c r="O1469" s="77" t="s">
        <v>179</v>
      </c>
      <c r="P1469" s="79">
        <v>45124.718807870369</v>
      </c>
      <c r="Q1469" s="77" t="s">
        <v>2555</v>
      </c>
      <c r="R1469" s="77">
        <v>0</v>
      </c>
      <c r="S1469" s="77">
        <v>0</v>
      </c>
      <c r="T1469" s="77">
        <v>2</v>
      </c>
      <c r="U1469" s="77">
        <v>0</v>
      </c>
      <c r="V1469" s="77">
        <v>82</v>
      </c>
      <c r="W1469" s="82" t="s">
        <v>5094</v>
      </c>
      <c r="X1469" s="77"/>
      <c r="Y1469" s="77"/>
      <c r="Z1469" s="77"/>
      <c r="AA1469" s="77" t="s">
        <v>7088</v>
      </c>
      <c r="AB1469" s="77" t="s">
        <v>7701</v>
      </c>
      <c r="AC1469" s="82" t="s">
        <v>7706</v>
      </c>
      <c r="AD1469" s="77" t="s">
        <v>7745</v>
      </c>
      <c r="AE1469" s="80" t="str">
        <f>HYPERLINK("https://twitter.com/conciergebtc/status/1680989509775654920")</f>
        <v>https://twitter.com/conciergebtc/status/1680989509775654920</v>
      </c>
      <c r="AF1469" s="79">
        <v>45124.718807870369</v>
      </c>
      <c r="AG1469" s="85">
        <v>45124</v>
      </c>
      <c r="AH1469" s="82" t="s">
        <v>9058</v>
      </c>
      <c r="AI1469" s="77" t="b">
        <v>0</v>
      </c>
      <c r="AJ1469" s="77"/>
      <c r="AK1469" s="77"/>
      <c r="AL1469" s="77"/>
      <c r="AM1469" s="77"/>
      <c r="AN1469" s="77"/>
      <c r="AO1469" s="77"/>
      <c r="AP1469" s="77"/>
      <c r="AQ1469" s="77" t="s">
        <v>11595</v>
      </c>
      <c r="AR1469" s="77"/>
      <c r="AS1469" s="77"/>
      <c r="AT1469" s="77"/>
      <c r="AU1469" s="77"/>
      <c r="AV1469" s="80" t="str">
        <f>HYPERLINK("https://pbs.twimg.com/media/F1QSwwgXsAATD85.jpg")</f>
        <v>https://pbs.twimg.com/media/F1QSwwgXsAATD85.jpg</v>
      </c>
      <c r="AW1469" s="82" t="s">
        <v>13644</v>
      </c>
      <c r="AX1469" s="82" t="s">
        <v>13644</v>
      </c>
      <c r="AY1469" s="77"/>
      <c r="AZ1469" s="82" t="s">
        <v>15804</v>
      </c>
      <c r="BA1469" s="82" t="s">
        <v>15804</v>
      </c>
      <c r="BB1469" s="82" t="s">
        <v>15804</v>
      </c>
      <c r="BC1469" s="82" t="s">
        <v>13644</v>
      </c>
      <c r="BD1469" s="82" t="s">
        <v>15748</v>
      </c>
      <c r="BE1469" s="77"/>
      <c r="BF1469" s="77"/>
      <c r="BG1469" s="77"/>
      <c r="BH1469" s="77"/>
      <c r="BI1469" s="77"/>
    </row>
    <row r="1470" spans="1:61" x14ac:dyDescent="0.25">
      <c r="A1470" s="62" t="s">
        <v>690</v>
      </c>
      <c r="B1470" s="62" t="s">
        <v>690</v>
      </c>
      <c r="C1470" s="63"/>
      <c r="D1470" s="64"/>
      <c r="E1470" s="65"/>
      <c r="F1470" s="66"/>
      <c r="G1470" s="63"/>
      <c r="H1470" s="67"/>
      <c r="I1470" s="68"/>
      <c r="J1470" s="68"/>
      <c r="K1470" s="32"/>
      <c r="L1470" s="75">
        <v>1470</v>
      </c>
      <c r="M1470" s="75"/>
      <c r="N1470" s="70"/>
      <c r="O1470" s="77" t="s">
        <v>1132</v>
      </c>
      <c r="P1470" s="79">
        <v>45115.746087962965</v>
      </c>
      <c r="Q1470" s="77" t="s">
        <v>2556</v>
      </c>
      <c r="R1470" s="77">
        <v>0</v>
      </c>
      <c r="S1470" s="77">
        <v>0</v>
      </c>
      <c r="T1470" s="77">
        <v>0</v>
      </c>
      <c r="U1470" s="77">
        <v>0</v>
      </c>
      <c r="V1470" s="77">
        <v>28</v>
      </c>
      <c r="W1470" s="82" t="s">
        <v>5095</v>
      </c>
      <c r="X1470" s="77"/>
      <c r="Y1470" s="77"/>
      <c r="Z1470" s="77" t="s">
        <v>690</v>
      </c>
      <c r="AA1470" s="77"/>
      <c r="AB1470" s="77"/>
      <c r="AC1470" s="82" t="s">
        <v>7706</v>
      </c>
      <c r="AD1470" s="77" t="s">
        <v>7745</v>
      </c>
      <c r="AE1470" s="80" t="str">
        <f>HYPERLINK("https://twitter.com/conciergebtc/status/1677737904867536897")</f>
        <v>https://twitter.com/conciergebtc/status/1677737904867536897</v>
      </c>
      <c r="AF1470" s="79">
        <v>45115.746087962965</v>
      </c>
      <c r="AG1470" s="85">
        <v>45115</v>
      </c>
      <c r="AH1470" s="82" t="s">
        <v>9059</v>
      </c>
      <c r="AI1470" s="77"/>
      <c r="AJ1470" s="77"/>
      <c r="AK1470" s="77"/>
      <c r="AL1470" s="77"/>
      <c r="AM1470" s="77"/>
      <c r="AN1470" s="77"/>
      <c r="AO1470" s="77"/>
      <c r="AP1470" s="77"/>
      <c r="AQ1470" s="77"/>
      <c r="AR1470" s="77"/>
      <c r="AS1470" s="77"/>
      <c r="AT1470" s="77"/>
      <c r="AU1470" s="77"/>
      <c r="AV1470" s="80" t="str">
        <f>HYPERLINK("https://pbs.twimg.com/profile_images/1595465759035211778/gwp3Mwa9_normal.jpg")</f>
        <v>https://pbs.twimg.com/profile_images/1595465759035211778/gwp3Mwa9_normal.jpg</v>
      </c>
      <c r="AW1470" s="82" t="s">
        <v>13645</v>
      </c>
      <c r="AX1470" s="82" t="s">
        <v>15334</v>
      </c>
      <c r="AY1470" s="82" t="s">
        <v>15748</v>
      </c>
      <c r="AZ1470" s="82" t="s">
        <v>15886</v>
      </c>
      <c r="BA1470" s="82" t="s">
        <v>15804</v>
      </c>
      <c r="BB1470" s="82" t="s">
        <v>15804</v>
      </c>
      <c r="BC1470" s="82" t="s">
        <v>15886</v>
      </c>
      <c r="BD1470" s="82" t="s">
        <v>15748</v>
      </c>
      <c r="BE1470" s="77"/>
      <c r="BF1470" s="77"/>
      <c r="BG1470" s="77"/>
      <c r="BH1470" s="77"/>
      <c r="BI1470" s="77"/>
    </row>
    <row r="1471" spans="1:61" x14ac:dyDescent="0.25">
      <c r="A1471" s="62" t="s">
        <v>690</v>
      </c>
      <c r="B1471" s="62" t="s">
        <v>690</v>
      </c>
      <c r="C1471" s="63"/>
      <c r="D1471" s="64"/>
      <c r="E1471" s="65"/>
      <c r="F1471" s="66"/>
      <c r="G1471" s="63"/>
      <c r="H1471" s="67"/>
      <c r="I1471" s="68"/>
      <c r="J1471" s="68"/>
      <c r="K1471" s="32"/>
      <c r="L1471" s="75">
        <v>1471</v>
      </c>
      <c r="M1471" s="75"/>
      <c r="N1471" s="70"/>
      <c r="O1471" s="77" t="s">
        <v>179</v>
      </c>
      <c r="P1471" s="79">
        <v>45128.655231481483</v>
      </c>
      <c r="Q1471" s="77" t="s">
        <v>2557</v>
      </c>
      <c r="R1471" s="77">
        <v>0</v>
      </c>
      <c r="S1471" s="77">
        <v>0</v>
      </c>
      <c r="T1471" s="77">
        <v>0</v>
      </c>
      <c r="U1471" s="77">
        <v>0</v>
      </c>
      <c r="V1471" s="77">
        <v>32</v>
      </c>
      <c r="W1471" s="82" t="s">
        <v>5092</v>
      </c>
      <c r="X1471" s="77"/>
      <c r="Y1471" s="77"/>
      <c r="Z1471" s="77"/>
      <c r="AA1471" s="77" t="s">
        <v>7089</v>
      </c>
      <c r="AB1471" s="77" t="s">
        <v>7696</v>
      </c>
      <c r="AC1471" s="82" t="s">
        <v>7706</v>
      </c>
      <c r="AD1471" s="77" t="s">
        <v>7745</v>
      </c>
      <c r="AE1471" s="80" t="str">
        <f>HYPERLINK("https://twitter.com/conciergebtc/status/1682416024635822081")</f>
        <v>https://twitter.com/conciergebtc/status/1682416024635822081</v>
      </c>
      <c r="AF1471" s="79">
        <v>45128.655231481483</v>
      </c>
      <c r="AG1471" s="85">
        <v>45128</v>
      </c>
      <c r="AH1471" s="82" t="s">
        <v>9060</v>
      </c>
      <c r="AI1471" s="77" t="b">
        <v>0</v>
      </c>
      <c r="AJ1471" s="77"/>
      <c r="AK1471" s="77"/>
      <c r="AL1471" s="77"/>
      <c r="AM1471" s="77"/>
      <c r="AN1471" s="77"/>
      <c r="AO1471" s="77"/>
      <c r="AP1471" s="77"/>
      <c r="AQ1471" s="77" t="s">
        <v>11596</v>
      </c>
      <c r="AR1471" s="77"/>
      <c r="AS1471" s="77"/>
      <c r="AT1471" s="77"/>
      <c r="AU1471" s="77"/>
      <c r="AV1471" s="80" t="str">
        <f>HYPERLINK("https://pbs.twimg.com/media/F1kkWUWX0AEvWP8.jpg")</f>
        <v>https://pbs.twimg.com/media/F1kkWUWX0AEvWP8.jpg</v>
      </c>
      <c r="AW1471" s="82" t="s">
        <v>13646</v>
      </c>
      <c r="AX1471" s="82" t="s">
        <v>13646</v>
      </c>
      <c r="AY1471" s="77"/>
      <c r="AZ1471" s="82" t="s">
        <v>15804</v>
      </c>
      <c r="BA1471" s="82" t="s">
        <v>15804</v>
      </c>
      <c r="BB1471" s="82" t="s">
        <v>15804</v>
      </c>
      <c r="BC1471" s="82" t="s">
        <v>13646</v>
      </c>
      <c r="BD1471" s="82" t="s">
        <v>15748</v>
      </c>
      <c r="BE1471" s="77"/>
      <c r="BF1471" s="77"/>
      <c r="BG1471" s="77"/>
      <c r="BH1471" s="77"/>
      <c r="BI1471" s="77"/>
    </row>
    <row r="1472" spans="1:61" x14ac:dyDescent="0.25">
      <c r="A1472" s="62" t="s">
        <v>690</v>
      </c>
      <c r="B1472" s="62" t="s">
        <v>690</v>
      </c>
      <c r="C1472" s="63"/>
      <c r="D1472" s="64"/>
      <c r="E1472" s="65"/>
      <c r="F1472" s="66"/>
      <c r="G1472" s="63"/>
      <c r="H1472" s="67"/>
      <c r="I1472" s="68"/>
      <c r="J1472" s="68"/>
      <c r="K1472" s="32"/>
      <c r="L1472" s="75">
        <v>1472</v>
      </c>
      <c r="M1472" s="75"/>
      <c r="N1472" s="70"/>
      <c r="O1472" s="77" t="s">
        <v>179</v>
      </c>
      <c r="P1472" s="79">
        <v>45117.608553240738</v>
      </c>
      <c r="Q1472" s="77" t="s">
        <v>2558</v>
      </c>
      <c r="R1472" s="77">
        <v>0</v>
      </c>
      <c r="S1472" s="77">
        <v>2</v>
      </c>
      <c r="T1472" s="77">
        <v>0</v>
      </c>
      <c r="U1472" s="77">
        <v>0</v>
      </c>
      <c r="V1472" s="77">
        <v>50</v>
      </c>
      <c r="W1472" s="82" t="s">
        <v>5092</v>
      </c>
      <c r="X1472" s="77"/>
      <c r="Y1472" s="77"/>
      <c r="Z1472" s="77"/>
      <c r="AA1472" s="77" t="s">
        <v>7090</v>
      </c>
      <c r="AB1472" s="77" t="s">
        <v>7696</v>
      </c>
      <c r="AC1472" s="82" t="s">
        <v>7705</v>
      </c>
      <c r="AD1472" s="77" t="s">
        <v>7745</v>
      </c>
      <c r="AE1472" s="80" t="str">
        <f>HYPERLINK("https://twitter.com/conciergebtc/status/1678412840808464386")</f>
        <v>https://twitter.com/conciergebtc/status/1678412840808464386</v>
      </c>
      <c r="AF1472" s="79">
        <v>45117.608553240738</v>
      </c>
      <c r="AG1472" s="85">
        <v>45117</v>
      </c>
      <c r="AH1472" s="82" t="s">
        <v>9061</v>
      </c>
      <c r="AI1472" s="77" t="b">
        <v>0</v>
      </c>
      <c r="AJ1472" s="77"/>
      <c r="AK1472" s="77"/>
      <c r="AL1472" s="77"/>
      <c r="AM1472" s="77"/>
      <c r="AN1472" s="77"/>
      <c r="AO1472" s="77"/>
      <c r="AP1472" s="77"/>
      <c r="AQ1472" s="77" t="s">
        <v>11597</v>
      </c>
      <c r="AR1472" s="77"/>
      <c r="AS1472" s="77"/>
      <c r="AT1472" s="77"/>
      <c r="AU1472" s="77"/>
      <c r="AV1472" s="80" t="str">
        <f>HYPERLINK("https://pbs.twimg.com/media/F0rrlL1WAAARj-i.jpg")</f>
        <v>https://pbs.twimg.com/media/F0rrlL1WAAARj-i.jpg</v>
      </c>
      <c r="AW1472" s="82" t="s">
        <v>13647</v>
      </c>
      <c r="AX1472" s="82" t="s">
        <v>13647</v>
      </c>
      <c r="AY1472" s="77"/>
      <c r="AZ1472" s="82" t="s">
        <v>15804</v>
      </c>
      <c r="BA1472" s="82" t="s">
        <v>15804</v>
      </c>
      <c r="BB1472" s="82" t="s">
        <v>15804</v>
      </c>
      <c r="BC1472" s="82" t="s">
        <v>13647</v>
      </c>
      <c r="BD1472" s="82" t="s">
        <v>15748</v>
      </c>
      <c r="BE1472" s="77"/>
      <c r="BF1472" s="77"/>
      <c r="BG1472" s="77"/>
      <c r="BH1472" s="77"/>
      <c r="BI1472" s="77"/>
    </row>
    <row r="1473" spans="1:61" x14ac:dyDescent="0.25">
      <c r="A1473" s="62" t="s">
        <v>690</v>
      </c>
      <c r="B1473" s="62" t="s">
        <v>690</v>
      </c>
      <c r="C1473" s="63"/>
      <c r="D1473" s="64"/>
      <c r="E1473" s="65"/>
      <c r="F1473" s="66"/>
      <c r="G1473" s="63"/>
      <c r="H1473" s="67"/>
      <c r="I1473" s="68"/>
      <c r="J1473" s="68"/>
      <c r="K1473" s="32"/>
      <c r="L1473" s="75">
        <v>1473</v>
      </c>
      <c r="M1473" s="75"/>
      <c r="N1473" s="70"/>
      <c r="O1473" s="77" t="s">
        <v>179</v>
      </c>
      <c r="P1473" s="79">
        <v>45020.69259259259</v>
      </c>
      <c r="Q1473" s="77" t="s">
        <v>2559</v>
      </c>
      <c r="R1473" s="77">
        <v>0</v>
      </c>
      <c r="S1473" s="77">
        <v>4</v>
      </c>
      <c r="T1473" s="77">
        <v>0</v>
      </c>
      <c r="U1473" s="77">
        <v>0</v>
      </c>
      <c r="V1473" s="77">
        <v>57</v>
      </c>
      <c r="W1473" s="82" t="s">
        <v>5096</v>
      </c>
      <c r="X1473" s="77"/>
      <c r="Y1473" s="77"/>
      <c r="Z1473" s="77"/>
      <c r="AA1473" s="77" t="s">
        <v>7091</v>
      </c>
      <c r="AB1473" s="77" t="s">
        <v>7701</v>
      </c>
      <c r="AC1473" s="82" t="s">
        <v>7706</v>
      </c>
      <c r="AD1473" s="77" t="s">
        <v>7745</v>
      </c>
      <c r="AE1473" s="80" t="str">
        <f>HYPERLINK("https://twitter.com/conciergebtc/status/1643291675022835714")</f>
        <v>https://twitter.com/conciergebtc/status/1643291675022835714</v>
      </c>
      <c r="AF1473" s="79">
        <v>45020.69259259259</v>
      </c>
      <c r="AG1473" s="85">
        <v>45020</v>
      </c>
      <c r="AH1473" s="82" t="s">
        <v>9062</v>
      </c>
      <c r="AI1473" s="77" t="b">
        <v>0</v>
      </c>
      <c r="AJ1473" s="77"/>
      <c r="AK1473" s="77"/>
      <c r="AL1473" s="77"/>
      <c r="AM1473" s="77"/>
      <c r="AN1473" s="77"/>
      <c r="AO1473" s="77"/>
      <c r="AP1473" s="77"/>
      <c r="AQ1473" s="77" t="s">
        <v>11598</v>
      </c>
      <c r="AR1473" s="77"/>
      <c r="AS1473" s="77"/>
      <c r="AT1473" s="77"/>
      <c r="AU1473" s="77"/>
      <c r="AV1473" s="80" t="str">
        <f>HYPERLINK("https://pbs.twimg.com/media/Fs4k_tiWYAgcxBG.jpg")</f>
        <v>https://pbs.twimg.com/media/Fs4k_tiWYAgcxBG.jpg</v>
      </c>
      <c r="AW1473" s="82" t="s">
        <v>13648</v>
      </c>
      <c r="AX1473" s="82" t="s">
        <v>13648</v>
      </c>
      <c r="AY1473" s="77"/>
      <c r="AZ1473" s="82" t="s">
        <v>15804</v>
      </c>
      <c r="BA1473" s="82" t="s">
        <v>15804</v>
      </c>
      <c r="BB1473" s="82" t="s">
        <v>15804</v>
      </c>
      <c r="BC1473" s="82" t="s">
        <v>13648</v>
      </c>
      <c r="BD1473" s="82" t="s">
        <v>15748</v>
      </c>
      <c r="BE1473" s="77"/>
      <c r="BF1473" s="77"/>
      <c r="BG1473" s="77"/>
      <c r="BH1473" s="77"/>
      <c r="BI1473" s="77"/>
    </row>
    <row r="1474" spans="1:61" x14ac:dyDescent="0.25">
      <c r="A1474" s="62" t="s">
        <v>690</v>
      </c>
      <c r="B1474" s="62" t="s">
        <v>690</v>
      </c>
      <c r="C1474" s="63"/>
      <c r="D1474" s="64"/>
      <c r="E1474" s="65"/>
      <c r="F1474" s="66"/>
      <c r="G1474" s="63"/>
      <c r="H1474" s="67"/>
      <c r="I1474" s="68"/>
      <c r="J1474" s="68"/>
      <c r="K1474" s="32"/>
      <c r="L1474" s="75">
        <v>1474</v>
      </c>
      <c r="M1474" s="75"/>
      <c r="N1474" s="70"/>
      <c r="O1474" s="77" t="s">
        <v>179</v>
      </c>
      <c r="P1474" s="79">
        <v>45016.637557870374</v>
      </c>
      <c r="Q1474" s="77" t="s">
        <v>2560</v>
      </c>
      <c r="R1474" s="77">
        <v>0</v>
      </c>
      <c r="S1474" s="77">
        <v>4</v>
      </c>
      <c r="T1474" s="77">
        <v>1</v>
      </c>
      <c r="U1474" s="77">
        <v>0</v>
      </c>
      <c r="V1474" s="77">
        <v>64</v>
      </c>
      <c r="W1474" s="82" t="s">
        <v>5096</v>
      </c>
      <c r="X1474" s="77"/>
      <c r="Y1474" s="77"/>
      <c r="Z1474" s="77"/>
      <c r="AA1474" s="77" t="s">
        <v>7092</v>
      </c>
      <c r="AB1474" s="77" t="s">
        <v>7700</v>
      </c>
      <c r="AC1474" s="82" t="s">
        <v>7706</v>
      </c>
      <c r="AD1474" s="77" t="s">
        <v>7745</v>
      </c>
      <c r="AE1474" s="80" t="str">
        <f>HYPERLINK("https://twitter.com/conciergebtc/status/1641822178021654531")</f>
        <v>https://twitter.com/conciergebtc/status/1641822178021654531</v>
      </c>
      <c r="AF1474" s="79">
        <v>45016.637557870374</v>
      </c>
      <c r="AG1474" s="85">
        <v>45016</v>
      </c>
      <c r="AH1474" s="82" t="s">
        <v>9063</v>
      </c>
      <c r="AI1474" s="77" t="b">
        <v>0</v>
      </c>
      <c r="AJ1474" s="77"/>
      <c r="AK1474" s="77"/>
      <c r="AL1474" s="77"/>
      <c r="AM1474" s="77"/>
      <c r="AN1474" s="77"/>
      <c r="AO1474" s="77"/>
      <c r="AP1474" s="77"/>
      <c r="AQ1474" s="77" t="s">
        <v>11599</v>
      </c>
      <c r="AR1474" s="77"/>
      <c r="AS1474" s="77"/>
      <c r="AT1474" s="77"/>
      <c r="AU1474" s="77"/>
      <c r="AV1474" s="80" t="str">
        <f>HYPERLINK("https://pbs.twimg.com/media/FsjritLXgAIUTkX.jpg")</f>
        <v>https://pbs.twimg.com/media/FsjritLXgAIUTkX.jpg</v>
      </c>
      <c r="AW1474" s="82" t="s">
        <v>13649</v>
      </c>
      <c r="AX1474" s="82" t="s">
        <v>13649</v>
      </c>
      <c r="AY1474" s="77"/>
      <c r="AZ1474" s="82" t="s">
        <v>15804</v>
      </c>
      <c r="BA1474" s="82" t="s">
        <v>15804</v>
      </c>
      <c r="BB1474" s="82" t="s">
        <v>15804</v>
      </c>
      <c r="BC1474" s="82" t="s">
        <v>13649</v>
      </c>
      <c r="BD1474" s="82" t="s">
        <v>15748</v>
      </c>
      <c r="BE1474" s="77"/>
      <c r="BF1474" s="77"/>
      <c r="BG1474" s="77"/>
      <c r="BH1474" s="77"/>
      <c r="BI1474" s="77"/>
    </row>
    <row r="1475" spans="1:61" x14ac:dyDescent="0.25">
      <c r="A1475" s="62" t="s">
        <v>690</v>
      </c>
      <c r="B1475" s="62" t="s">
        <v>690</v>
      </c>
      <c r="C1475" s="63"/>
      <c r="D1475" s="64"/>
      <c r="E1475" s="65"/>
      <c r="F1475" s="66"/>
      <c r="G1475" s="63"/>
      <c r="H1475" s="67"/>
      <c r="I1475" s="68"/>
      <c r="J1475" s="68"/>
      <c r="K1475" s="32"/>
      <c r="L1475" s="75">
        <v>1475</v>
      </c>
      <c r="M1475" s="75"/>
      <c r="N1475" s="70"/>
      <c r="O1475" s="77" t="s">
        <v>179</v>
      </c>
      <c r="P1475" s="79">
        <v>45148.646157407406</v>
      </c>
      <c r="Q1475" s="77" t="s">
        <v>2561</v>
      </c>
      <c r="R1475" s="77">
        <v>0</v>
      </c>
      <c r="S1475" s="77">
        <v>0</v>
      </c>
      <c r="T1475" s="77">
        <v>1</v>
      </c>
      <c r="U1475" s="77">
        <v>0</v>
      </c>
      <c r="V1475" s="77">
        <v>38</v>
      </c>
      <c r="W1475" s="82" t="s">
        <v>5094</v>
      </c>
      <c r="X1475" s="77"/>
      <c r="Y1475" s="77"/>
      <c r="Z1475" s="77"/>
      <c r="AA1475" s="77" t="s">
        <v>7093</v>
      </c>
      <c r="AB1475" s="77" t="s">
        <v>7700</v>
      </c>
      <c r="AC1475" s="82" t="s">
        <v>7706</v>
      </c>
      <c r="AD1475" s="77" t="s">
        <v>7745</v>
      </c>
      <c r="AE1475" s="80" t="str">
        <f>HYPERLINK("https://twitter.com/conciergebtc/status/1689660493021999104")</f>
        <v>https://twitter.com/conciergebtc/status/1689660493021999104</v>
      </c>
      <c r="AF1475" s="79">
        <v>45148.646157407406</v>
      </c>
      <c r="AG1475" s="85">
        <v>45148</v>
      </c>
      <c r="AH1475" s="82" t="s">
        <v>9064</v>
      </c>
      <c r="AI1475" s="77" t="b">
        <v>0</v>
      </c>
      <c r="AJ1475" s="77"/>
      <c r="AK1475" s="77"/>
      <c r="AL1475" s="77"/>
      <c r="AM1475" s="77"/>
      <c r="AN1475" s="77"/>
      <c r="AO1475" s="77"/>
      <c r="AP1475" s="77"/>
      <c r="AQ1475" s="77" t="s">
        <v>11600</v>
      </c>
      <c r="AR1475" s="77"/>
      <c r="AS1475" s="77"/>
      <c r="AT1475" s="77"/>
      <c r="AU1475" s="77"/>
      <c r="AV1475" s="80" t="str">
        <f>HYPERLINK("https://pbs.twimg.com/media/F3LhIhEXQAASpzO.jpg")</f>
        <v>https://pbs.twimg.com/media/F3LhIhEXQAASpzO.jpg</v>
      </c>
      <c r="AW1475" s="82" t="s">
        <v>13650</v>
      </c>
      <c r="AX1475" s="82" t="s">
        <v>13650</v>
      </c>
      <c r="AY1475" s="77"/>
      <c r="AZ1475" s="82" t="s">
        <v>15804</v>
      </c>
      <c r="BA1475" s="82" t="s">
        <v>15804</v>
      </c>
      <c r="BB1475" s="82" t="s">
        <v>15804</v>
      </c>
      <c r="BC1475" s="82" t="s">
        <v>13650</v>
      </c>
      <c r="BD1475" s="82" t="s">
        <v>15748</v>
      </c>
      <c r="BE1475" s="77"/>
      <c r="BF1475" s="77"/>
      <c r="BG1475" s="77"/>
      <c r="BH1475" s="77"/>
      <c r="BI1475" s="77"/>
    </row>
    <row r="1476" spans="1:61" x14ac:dyDescent="0.25">
      <c r="A1476" s="62" t="s">
        <v>690</v>
      </c>
      <c r="B1476" s="62" t="s">
        <v>690</v>
      </c>
      <c r="C1476" s="63"/>
      <c r="D1476" s="64"/>
      <c r="E1476" s="65"/>
      <c r="F1476" s="66"/>
      <c r="G1476" s="63"/>
      <c r="H1476" s="67"/>
      <c r="I1476" s="68"/>
      <c r="J1476" s="68"/>
      <c r="K1476" s="32"/>
      <c r="L1476" s="75">
        <v>1476</v>
      </c>
      <c r="M1476" s="75"/>
      <c r="N1476" s="70"/>
      <c r="O1476" s="77" t="s">
        <v>1132</v>
      </c>
      <c r="P1476" s="79">
        <v>45113.647638888891</v>
      </c>
      <c r="Q1476" s="77" t="s">
        <v>2562</v>
      </c>
      <c r="R1476" s="77">
        <v>0</v>
      </c>
      <c r="S1476" s="77">
        <v>0</v>
      </c>
      <c r="T1476" s="77">
        <v>0</v>
      </c>
      <c r="U1476" s="77">
        <v>0</v>
      </c>
      <c r="V1476" s="77">
        <v>25</v>
      </c>
      <c r="W1476" s="82" t="s">
        <v>5097</v>
      </c>
      <c r="X1476" s="77"/>
      <c r="Y1476" s="77"/>
      <c r="Z1476" s="77"/>
      <c r="AA1476" s="77"/>
      <c r="AB1476" s="77"/>
      <c r="AC1476" s="82" t="s">
        <v>7706</v>
      </c>
      <c r="AD1476" s="77" t="s">
        <v>7745</v>
      </c>
      <c r="AE1476" s="80" t="str">
        <f>HYPERLINK("https://twitter.com/conciergebtc/status/1676977454236200961")</f>
        <v>https://twitter.com/conciergebtc/status/1676977454236200961</v>
      </c>
      <c r="AF1476" s="79">
        <v>45113.647638888891</v>
      </c>
      <c r="AG1476" s="85">
        <v>45113</v>
      </c>
      <c r="AH1476" s="82" t="s">
        <v>9065</v>
      </c>
      <c r="AI1476" s="77"/>
      <c r="AJ1476" s="77"/>
      <c r="AK1476" s="77"/>
      <c r="AL1476" s="77"/>
      <c r="AM1476" s="77"/>
      <c r="AN1476" s="77"/>
      <c r="AO1476" s="77"/>
      <c r="AP1476" s="77"/>
      <c r="AQ1476" s="77"/>
      <c r="AR1476" s="77"/>
      <c r="AS1476" s="77"/>
      <c r="AT1476" s="77"/>
      <c r="AU1476" s="77"/>
      <c r="AV1476" s="80" t="str">
        <f>HYPERLINK("https://pbs.twimg.com/profile_images/1595465759035211778/gwp3Mwa9_normal.jpg")</f>
        <v>https://pbs.twimg.com/profile_images/1595465759035211778/gwp3Mwa9_normal.jpg</v>
      </c>
      <c r="AW1476" s="82" t="s">
        <v>13651</v>
      </c>
      <c r="AX1476" s="82" t="s">
        <v>15335</v>
      </c>
      <c r="AY1476" s="82" t="s">
        <v>15748</v>
      </c>
      <c r="AZ1476" s="82" t="s">
        <v>15887</v>
      </c>
      <c r="BA1476" s="82" t="s">
        <v>15804</v>
      </c>
      <c r="BB1476" s="82" t="s">
        <v>15804</v>
      </c>
      <c r="BC1476" s="82" t="s">
        <v>15887</v>
      </c>
      <c r="BD1476" s="82" t="s">
        <v>15748</v>
      </c>
      <c r="BE1476" s="77"/>
      <c r="BF1476" s="77"/>
      <c r="BG1476" s="77"/>
      <c r="BH1476" s="77"/>
      <c r="BI1476" s="77"/>
    </row>
    <row r="1477" spans="1:61" x14ac:dyDescent="0.25">
      <c r="A1477" s="62" t="s">
        <v>690</v>
      </c>
      <c r="B1477" s="62" t="s">
        <v>690</v>
      </c>
      <c r="C1477" s="63"/>
      <c r="D1477" s="64"/>
      <c r="E1477" s="65"/>
      <c r="F1477" s="66"/>
      <c r="G1477" s="63"/>
      <c r="H1477" s="67"/>
      <c r="I1477" s="68"/>
      <c r="J1477" s="68"/>
      <c r="K1477" s="32"/>
      <c r="L1477" s="75">
        <v>1477</v>
      </c>
      <c r="M1477" s="75"/>
      <c r="N1477" s="70"/>
      <c r="O1477" s="77" t="s">
        <v>179</v>
      </c>
      <c r="P1477" s="79">
        <v>45111.73065972222</v>
      </c>
      <c r="Q1477" s="77" t="s">
        <v>2563</v>
      </c>
      <c r="R1477" s="77">
        <v>0</v>
      </c>
      <c r="S1477" s="77">
        <v>3</v>
      </c>
      <c r="T1477" s="77">
        <v>1</v>
      </c>
      <c r="U1477" s="77">
        <v>0</v>
      </c>
      <c r="V1477" s="77">
        <v>85</v>
      </c>
      <c r="W1477" s="82" t="s">
        <v>5098</v>
      </c>
      <c r="X1477" s="77"/>
      <c r="Y1477" s="77"/>
      <c r="Z1477" s="77"/>
      <c r="AA1477" s="77" t="s">
        <v>7094</v>
      </c>
      <c r="AB1477" s="77" t="s">
        <v>7698</v>
      </c>
      <c r="AC1477" s="82" t="s">
        <v>7706</v>
      </c>
      <c r="AD1477" s="77" t="s">
        <v>7745</v>
      </c>
      <c r="AE1477" s="80" t="str">
        <f>HYPERLINK("https://twitter.com/conciergebtc/status/1676282765879156748")</f>
        <v>https://twitter.com/conciergebtc/status/1676282765879156748</v>
      </c>
      <c r="AF1477" s="79">
        <v>45111.73065972222</v>
      </c>
      <c r="AG1477" s="85">
        <v>45111</v>
      </c>
      <c r="AH1477" s="82" t="s">
        <v>9066</v>
      </c>
      <c r="AI1477" s="77" t="b">
        <v>0</v>
      </c>
      <c r="AJ1477" s="77"/>
      <c r="AK1477" s="77"/>
      <c r="AL1477" s="77"/>
      <c r="AM1477" s="77"/>
      <c r="AN1477" s="77"/>
      <c r="AO1477" s="77"/>
      <c r="AP1477" s="77"/>
      <c r="AQ1477" s="77" t="s">
        <v>11601</v>
      </c>
      <c r="AR1477" s="77"/>
      <c r="AS1477" s="77"/>
      <c r="AT1477" s="77"/>
      <c r="AU1477" s="77"/>
      <c r="AV1477" s="80" t="str">
        <f>HYPERLINK("https://pbs.twimg.com/media/F0NaN0MWIAcD9bu.jpg")</f>
        <v>https://pbs.twimg.com/media/F0NaN0MWIAcD9bu.jpg</v>
      </c>
      <c r="AW1477" s="82" t="s">
        <v>13652</v>
      </c>
      <c r="AX1477" s="82" t="s">
        <v>13652</v>
      </c>
      <c r="AY1477" s="77"/>
      <c r="AZ1477" s="82" t="s">
        <v>15804</v>
      </c>
      <c r="BA1477" s="82" t="s">
        <v>15804</v>
      </c>
      <c r="BB1477" s="82" t="s">
        <v>15804</v>
      </c>
      <c r="BC1477" s="82" t="s">
        <v>13652</v>
      </c>
      <c r="BD1477" s="82" t="s">
        <v>15748</v>
      </c>
      <c r="BE1477" s="77"/>
      <c r="BF1477" s="77"/>
      <c r="BG1477" s="77"/>
      <c r="BH1477" s="77"/>
      <c r="BI1477" s="77"/>
    </row>
    <row r="1478" spans="1:61" x14ac:dyDescent="0.25">
      <c r="A1478" s="62" t="s">
        <v>690</v>
      </c>
      <c r="B1478" s="62" t="s">
        <v>690</v>
      </c>
      <c r="C1478" s="63"/>
      <c r="D1478" s="64"/>
      <c r="E1478" s="65"/>
      <c r="F1478" s="66"/>
      <c r="G1478" s="63"/>
      <c r="H1478" s="67"/>
      <c r="I1478" s="68"/>
      <c r="J1478" s="68"/>
      <c r="K1478" s="32"/>
      <c r="L1478" s="75">
        <v>1478</v>
      </c>
      <c r="M1478" s="75"/>
      <c r="N1478" s="70"/>
      <c r="O1478" s="77" t="s">
        <v>1132</v>
      </c>
      <c r="P1478" s="79">
        <v>44989.683599537035</v>
      </c>
      <c r="Q1478" s="77" t="s">
        <v>2564</v>
      </c>
      <c r="R1478" s="77">
        <v>0</v>
      </c>
      <c r="S1478" s="77">
        <v>0</v>
      </c>
      <c r="T1478" s="77">
        <v>0</v>
      </c>
      <c r="U1478" s="77">
        <v>0</v>
      </c>
      <c r="V1478" s="77">
        <v>15</v>
      </c>
      <c r="W1478" s="82" t="s">
        <v>5099</v>
      </c>
      <c r="X1478" s="77"/>
      <c r="Y1478" s="77"/>
      <c r="Z1478" s="77"/>
      <c r="AA1478" s="77"/>
      <c r="AB1478" s="77"/>
      <c r="AC1478" s="82" t="s">
        <v>7706</v>
      </c>
      <c r="AD1478" s="77" t="s">
        <v>7748</v>
      </c>
      <c r="AE1478" s="80" t="str">
        <f>HYPERLINK("https://twitter.com/conciergebtc/status/1632054388985413638")</f>
        <v>https://twitter.com/conciergebtc/status/1632054388985413638</v>
      </c>
      <c r="AF1478" s="79">
        <v>44989.683599537035</v>
      </c>
      <c r="AG1478" s="85">
        <v>44989</v>
      </c>
      <c r="AH1478" s="82" t="s">
        <v>9067</v>
      </c>
      <c r="AI1478" s="77"/>
      <c r="AJ1478" s="77"/>
      <c r="AK1478" s="77"/>
      <c r="AL1478" s="77"/>
      <c r="AM1478" s="77"/>
      <c r="AN1478" s="77"/>
      <c r="AO1478" s="77"/>
      <c r="AP1478" s="77"/>
      <c r="AQ1478" s="77"/>
      <c r="AR1478" s="77"/>
      <c r="AS1478" s="77"/>
      <c r="AT1478" s="77"/>
      <c r="AU1478" s="77"/>
      <c r="AV1478" s="80" t="str">
        <f>HYPERLINK("https://pbs.twimg.com/profile_images/1595465759035211778/gwp3Mwa9_normal.jpg")</f>
        <v>https://pbs.twimg.com/profile_images/1595465759035211778/gwp3Mwa9_normal.jpg</v>
      </c>
      <c r="AW1478" s="82" t="s">
        <v>13653</v>
      </c>
      <c r="AX1478" s="82" t="s">
        <v>15336</v>
      </c>
      <c r="AY1478" s="82" t="s">
        <v>15748</v>
      </c>
      <c r="AZ1478" s="82" t="s">
        <v>15336</v>
      </c>
      <c r="BA1478" s="82" t="s">
        <v>15804</v>
      </c>
      <c r="BB1478" s="82" t="s">
        <v>15804</v>
      </c>
      <c r="BC1478" s="82" t="s">
        <v>15336</v>
      </c>
      <c r="BD1478" s="82" t="s">
        <v>15748</v>
      </c>
      <c r="BE1478" s="77"/>
      <c r="BF1478" s="77"/>
      <c r="BG1478" s="77"/>
      <c r="BH1478" s="77"/>
      <c r="BI1478" s="77"/>
    </row>
    <row r="1479" spans="1:61" x14ac:dyDescent="0.25">
      <c r="A1479" s="62" t="s">
        <v>690</v>
      </c>
      <c r="B1479" s="62" t="s">
        <v>690</v>
      </c>
      <c r="C1479" s="63"/>
      <c r="D1479" s="64"/>
      <c r="E1479" s="65"/>
      <c r="F1479" s="66"/>
      <c r="G1479" s="63"/>
      <c r="H1479" s="67"/>
      <c r="I1479" s="68"/>
      <c r="J1479" s="68"/>
      <c r="K1479" s="32"/>
      <c r="L1479" s="75">
        <v>1479</v>
      </c>
      <c r="M1479" s="75"/>
      <c r="N1479" s="70"/>
      <c r="O1479" s="77" t="s">
        <v>179</v>
      </c>
      <c r="P1479" s="79">
        <v>45120.900462962964</v>
      </c>
      <c r="Q1479" s="77" t="s">
        <v>2565</v>
      </c>
      <c r="R1479" s="77">
        <v>0</v>
      </c>
      <c r="S1479" s="77">
        <v>1</v>
      </c>
      <c r="T1479" s="77">
        <v>0</v>
      </c>
      <c r="U1479" s="77">
        <v>0</v>
      </c>
      <c r="V1479" s="77">
        <v>46</v>
      </c>
      <c r="W1479" s="82" t="s">
        <v>5092</v>
      </c>
      <c r="X1479" s="77"/>
      <c r="Y1479" s="77"/>
      <c r="Z1479" s="77"/>
      <c r="AA1479" s="77" t="s">
        <v>7095</v>
      </c>
      <c r="AB1479" s="77" t="s">
        <v>7696</v>
      </c>
      <c r="AC1479" s="82" t="s">
        <v>7705</v>
      </c>
      <c r="AD1479" s="77" t="s">
        <v>7745</v>
      </c>
      <c r="AE1479" s="80" t="str">
        <f>HYPERLINK("https://twitter.com/conciergebtc/status/1679605791425216513")</f>
        <v>https://twitter.com/conciergebtc/status/1679605791425216513</v>
      </c>
      <c r="AF1479" s="79">
        <v>45120.900462962964</v>
      </c>
      <c r="AG1479" s="85">
        <v>45120</v>
      </c>
      <c r="AH1479" s="82" t="s">
        <v>9068</v>
      </c>
      <c r="AI1479" s="77" t="b">
        <v>0</v>
      </c>
      <c r="AJ1479" s="77"/>
      <c r="AK1479" s="77"/>
      <c r="AL1479" s="77"/>
      <c r="AM1479" s="77"/>
      <c r="AN1479" s="77"/>
      <c r="AO1479" s="77"/>
      <c r="AP1479" s="77"/>
      <c r="AQ1479" s="77" t="s">
        <v>11602</v>
      </c>
      <c r="AR1479" s="77"/>
      <c r="AS1479" s="77"/>
      <c r="AT1479" s="77"/>
      <c r="AU1479" s="77"/>
      <c r="AV1479" s="80" t="str">
        <f>HYPERLINK("https://pbs.twimg.com/media/F08okELXsAAvUGx.jpg")</f>
        <v>https://pbs.twimg.com/media/F08okELXsAAvUGx.jpg</v>
      </c>
      <c r="AW1479" s="82" t="s">
        <v>13654</v>
      </c>
      <c r="AX1479" s="82" t="s">
        <v>13654</v>
      </c>
      <c r="AY1479" s="77"/>
      <c r="AZ1479" s="82" t="s">
        <v>15804</v>
      </c>
      <c r="BA1479" s="82" t="s">
        <v>15804</v>
      </c>
      <c r="BB1479" s="82" t="s">
        <v>15804</v>
      </c>
      <c r="BC1479" s="82" t="s">
        <v>13654</v>
      </c>
      <c r="BD1479" s="82" t="s">
        <v>15748</v>
      </c>
      <c r="BE1479" s="77"/>
      <c r="BF1479" s="77"/>
      <c r="BG1479" s="77"/>
      <c r="BH1479" s="77"/>
      <c r="BI1479" s="77"/>
    </row>
    <row r="1480" spans="1:61" x14ac:dyDescent="0.25">
      <c r="A1480" s="62" t="s">
        <v>690</v>
      </c>
      <c r="B1480" s="62" t="s">
        <v>690</v>
      </c>
      <c r="C1480" s="63"/>
      <c r="D1480" s="64"/>
      <c r="E1480" s="65"/>
      <c r="F1480" s="66"/>
      <c r="G1480" s="63"/>
      <c r="H1480" s="67"/>
      <c r="I1480" s="68"/>
      <c r="J1480" s="68"/>
      <c r="K1480" s="32"/>
      <c r="L1480" s="75">
        <v>1480</v>
      </c>
      <c r="M1480" s="75"/>
      <c r="N1480" s="70"/>
      <c r="O1480" s="77" t="s">
        <v>179</v>
      </c>
      <c r="P1480" s="79">
        <v>45103.637361111112</v>
      </c>
      <c r="Q1480" s="77" t="s">
        <v>2566</v>
      </c>
      <c r="R1480" s="77">
        <v>0</v>
      </c>
      <c r="S1480" s="77">
        <v>0</v>
      </c>
      <c r="T1480" s="77">
        <v>1</v>
      </c>
      <c r="U1480" s="77">
        <v>0</v>
      </c>
      <c r="V1480" s="77">
        <v>59</v>
      </c>
      <c r="W1480" s="82" t="s">
        <v>5100</v>
      </c>
      <c r="X1480" s="77"/>
      <c r="Y1480" s="77"/>
      <c r="Z1480" s="77"/>
      <c r="AA1480" s="77" t="s">
        <v>7096</v>
      </c>
      <c r="AB1480" s="77" t="s">
        <v>7696</v>
      </c>
      <c r="AC1480" s="82" t="s">
        <v>7706</v>
      </c>
      <c r="AD1480" s="77" t="s">
        <v>7745</v>
      </c>
      <c r="AE1480" s="80" t="str">
        <f>HYPERLINK("https://twitter.com/conciergebtc/status/1673349849591300096")</f>
        <v>https://twitter.com/conciergebtc/status/1673349849591300096</v>
      </c>
      <c r="AF1480" s="79">
        <v>45103.637361111112</v>
      </c>
      <c r="AG1480" s="85">
        <v>45103</v>
      </c>
      <c r="AH1480" s="82" t="s">
        <v>9069</v>
      </c>
      <c r="AI1480" s="77" t="b">
        <v>0</v>
      </c>
      <c r="AJ1480" s="77"/>
      <c r="AK1480" s="77"/>
      <c r="AL1480" s="77"/>
      <c r="AM1480" s="77"/>
      <c r="AN1480" s="77"/>
      <c r="AO1480" s="77"/>
      <c r="AP1480" s="77"/>
      <c r="AQ1480" s="77" t="s">
        <v>11603</v>
      </c>
      <c r="AR1480" s="77"/>
      <c r="AS1480" s="77"/>
      <c r="AT1480" s="77"/>
      <c r="AU1480" s="77"/>
      <c r="AV1480" s="80" t="str">
        <f>HYPERLINK("https://pbs.twimg.com/media/FzjuWKbX0AAsDG7.jpg")</f>
        <v>https://pbs.twimg.com/media/FzjuWKbX0AAsDG7.jpg</v>
      </c>
      <c r="AW1480" s="82" t="s">
        <v>13655</v>
      </c>
      <c r="AX1480" s="82" t="s">
        <v>13655</v>
      </c>
      <c r="AY1480" s="77"/>
      <c r="AZ1480" s="82" t="s">
        <v>15804</v>
      </c>
      <c r="BA1480" s="82" t="s">
        <v>15804</v>
      </c>
      <c r="BB1480" s="82" t="s">
        <v>15804</v>
      </c>
      <c r="BC1480" s="82" t="s">
        <v>13655</v>
      </c>
      <c r="BD1480" s="82" t="s">
        <v>15748</v>
      </c>
      <c r="BE1480" s="77"/>
      <c r="BF1480" s="77"/>
      <c r="BG1480" s="77"/>
      <c r="BH1480" s="77"/>
      <c r="BI1480" s="77"/>
    </row>
    <row r="1481" spans="1:61" x14ac:dyDescent="0.25">
      <c r="A1481" s="62" t="s">
        <v>690</v>
      </c>
      <c r="B1481" s="62" t="s">
        <v>690</v>
      </c>
      <c r="C1481" s="63"/>
      <c r="D1481" s="64"/>
      <c r="E1481" s="65"/>
      <c r="F1481" s="66"/>
      <c r="G1481" s="63"/>
      <c r="H1481" s="67"/>
      <c r="I1481" s="68"/>
      <c r="J1481" s="68"/>
      <c r="K1481" s="32"/>
      <c r="L1481" s="75">
        <v>1481</v>
      </c>
      <c r="M1481" s="75"/>
      <c r="N1481" s="70"/>
      <c r="O1481" s="77" t="s">
        <v>179</v>
      </c>
      <c r="P1481" s="79">
        <v>45064.723194444443</v>
      </c>
      <c r="Q1481" s="77" t="s">
        <v>2567</v>
      </c>
      <c r="R1481" s="77">
        <v>0</v>
      </c>
      <c r="S1481" s="77">
        <v>2</v>
      </c>
      <c r="T1481" s="77">
        <v>3</v>
      </c>
      <c r="U1481" s="77">
        <v>0</v>
      </c>
      <c r="V1481" s="77">
        <v>62</v>
      </c>
      <c r="W1481" s="82" t="s">
        <v>5090</v>
      </c>
      <c r="X1481" s="77"/>
      <c r="Y1481" s="77"/>
      <c r="Z1481" s="77"/>
      <c r="AA1481" s="77" t="s">
        <v>7097</v>
      </c>
      <c r="AB1481" s="77" t="s">
        <v>7696</v>
      </c>
      <c r="AC1481" s="82" t="s">
        <v>7706</v>
      </c>
      <c r="AD1481" s="77" t="s">
        <v>7745</v>
      </c>
      <c r="AE1481" s="80" t="str">
        <f>HYPERLINK("https://twitter.com/conciergebtc/status/1659247830676930560")</f>
        <v>https://twitter.com/conciergebtc/status/1659247830676930560</v>
      </c>
      <c r="AF1481" s="79">
        <v>45064.723194444443</v>
      </c>
      <c r="AG1481" s="85">
        <v>45064</v>
      </c>
      <c r="AH1481" s="82" t="s">
        <v>9070</v>
      </c>
      <c r="AI1481" s="77" t="b">
        <v>0</v>
      </c>
      <c r="AJ1481" s="77"/>
      <c r="AK1481" s="77"/>
      <c r="AL1481" s="77"/>
      <c r="AM1481" s="77"/>
      <c r="AN1481" s="77"/>
      <c r="AO1481" s="77"/>
      <c r="AP1481" s="77"/>
      <c r="AQ1481" s="77" t="s">
        <v>11604</v>
      </c>
      <c r="AR1481" s="77"/>
      <c r="AS1481" s="77"/>
      <c r="AT1481" s="77"/>
      <c r="AU1481" s="77"/>
      <c r="AV1481" s="80" t="str">
        <f>HYPERLINK("https://pbs.twimg.com/media/FwbVCP8WAB8gKI0.jpg")</f>
        <v>https://pbs.twimg.com/media/FwbVCP8WAB8gKI0.jpg</v>
      </c>
      <c r="AW1481" s="82" t="s">
        <v>13656</v>
      </c>
      <c r="AX1481" s="82" t="s">
        <v>13656</v>
      </c>
      <c r="AY1481" s="77"/>
      <c r="AZ1481" s="82" t="s">
        <v>15804</v>
      </c>
      <c r="BA1481" s="82" t="s">
        <v>15804</v>
      </c>
      <c r="BB1481" s="82" t="s">
        <v>15804</v>
      </c>
      <c r="BC1481" s="82" t="s">
        <v>13656</v>
      </c>
      <c r="BD1481" s="82" t="s">
        <v>15748</v>
      </c>
      <c r="BE1481" s="77"/>
      <c r="BF1481" s="77"/>
      <c r="BG1481" s="77"/>
      <c r="BH1481" s="77"/>
      <c r="BI1481" s="77"/>
    </row>
    <row r="1482" spans="1:61" x14ac:dyDescent="0.25">
      <c r="A1482" s="62" t="s">
        <v>691</v>
      </c>
      <c r="B1482" s="62" t="s">
        <v>691</v>
      </c>
      <c r="C1482" s="63"/>
      <c r="D1482" s="64"/>
      <c r="E1482" s="65"/>
      <c r="F1482" s="66"/>
      <c r="G1482" s="63"/>
      <c r="H1482" s="67"/>
      <c r="I1482" s="68"/>
      <c r="J1482" s="68"/>
      <c r="K1482" s="32"/>
      <c r="L1482" s="75">
        <v>1482</v>
      </c>
      <c r="M1482" s="75"/>
      <c r="N1482" s="70"/>
      <c r="O1482" s="77" t="s">
        <v>179</v>
      </c>
      <c r="P1482" s="79">
        <v>44986.616875</v>
      </c>
      <c r="Q1482" s="77" t="s">
        <v>2568</v>
      </c>
      <c r="R1482" s="77">
        <v>0</v>
      </c>
      <c r="S1482" s="77">
        <v>0</v>
      </c>
      <c r="T1482" s="77">
        <v>0</v>
      </c>
      <c r="U1482" s="77">
        <v>0</v>
      </c>
      <c r="V1482" s="77">
        <v>9</v>
      </c>
      <c r="W1482" s="82" t="s">
        <v>5101</v>
      </c>
      <c r="X1482" s="80" t="str">
        <f>HYPERLINK("https://www.esmaelmorais.com.br/problema-do-endividamento-no-brasil-nao-e-falta-de-educacao-financeira-mas-salarios-indignos-e-tarifas-publicas-abusivas/")</f>
        <v>https://www.esmaelmorais.com.br/problema-do-endividamento-no-brasil-nao-e-falta-de-educacao-financeira-mas-salarios-indignos-e-tarifas-publicas-abusivas/</v>
      </c>
      <c r="Y1482" s="77" t="s">
        <v>6002</v>
      </c>
      <c r="Z1482" s="77"/>
      <c r="AA1482" s="77"/>
      <c r="AB1482" s="77"/>
      <c r="AC1482" s="82" t="s">
        <v>7706</v>
      </c>
      <c r="AD1482" s="77" t="s">
        <v>7745</v>
      </c>
      <c r="AE1482" s="80" t="str">
        <f>HYPERLINK("https://twitter.com/esmaelmorais/status/1630943048979869697")</f>
        <v>https://twitter.com/esmaelmorais/status/1630943048979869697</v>
      </c>
      <c r="AF1482" s="79">
        <v>44986.616875</v>
      </c>
      <c r="AG1482" s="85">
        <v>44986</v>
      </c>
      <c r="AH1482" s="82" t="s">
        <v>9071</v>
      </c>
      <c r="AI1482" s="77" t="b">
        <v>0</v>
      </c>
      <c r="AJ1482" s="77"/>
      <c r="AK1482" s="77"/>
      <c r="AL1482" s="77"/>
      <c r="AM1482" s="77"/>
      <c r="AN1482" s="77"/>
      <c r="AO1482" s="77"/>
      <c r="AP1482" s="77"/>
      <c r="AQ1482" s="77"/>
      <c r="AR1482" s="77"/>
      <c r="AS1482" s="77"/>
      <c r="AT1482" s="77"/>
      <c r="AU1482" s="77"/>
      <c r="AV1482" s="80" t="str">
        <f>HYPERLINK("https://pbs.twimg.com/profile_images/1700222685584801792/3Y04rIwE_normal.jpg")</f>
        <v>https://pbs.twimg.com/profile_images/1700222685584801792/3Y04rIwE_normal.jpg</v>
      </c>
      <c r="AW1482" s="82" t="s">
        <v>13657</v>
      </c>
      <c r="AX1482" s="82" t="s">
        <v>13657</v>
      </c>
      <c r="AY1482" s="77"/>
      <c r="AZ1482" s="82" t="s">
        <v>15804</v>
      </c>
      <c r="BA1482" s="82" t="s">
        <v>15804</v>
      </c>
      <c r="BB1482" s="82" t="s">
        <v>15804</v>
      </c>
      <c r="BC1482" s="82" t="s">
        <v>13657</v>
      </c>
      <c r="BD1482" s="82" t="s">
        <v>16402</v>
      </c>
      <c r="BE1482" s="77"/>
      <c r="BF1482" s="77"/>
      <c r="BG1482" s="77"/>
      <c r="BH1482" s="77"/>
      <c r="BI1482" s="77"/>
    </row>
    <row r="1483" spans="1:61" x14ac:dyDescent="0.25">
      <c r="A1483" s="62" t="s">
        <v>692</v>
      </c>
      <c r="B1483" s="62" t="s">
        <v>1094</v>
      </c>
      <c r="C1483" s="63"/>
      <c r="D1483" s="64"/>
      <c r="E1483" s="65"/>
      <c r="F1483" s="66"/>
      <c r="G1483" s="63"/>
      <c r="H1483" s="67"/>
      <c r="I1483" s="68"/>
      <c r="J1483" s="68"/>
      <c r="K1483" s="32"/>
      <c r="L1483" s="75">
        <v>1483</v>
      </c>
      <c r="M1483" s="75"/>
      <c r="N1483" s="70"/>
      <c r="O1483" s="77" t="s">
        <v>1133</v>
      </c>
      <c r="P1483" s="79">
        <v>45166.81722222222</v>
      </c>
      <c r="Q1483" s="77" t="s">
        <v>2569</v>
      </c>
      <c r="R1483" s="77">
        <v>0</v>
      </c>
      <c r="S1483" s="77">
        <v>0</v>
      </c>
      <c r="T1483" s="77">
        <v>0</v>
      </c>
      <c r="U1483" s="77">
        <v>0</v>
      </c>
      <c r="V1483" s="77">
        <v>139</v>
      </c>
      <c r="W1483" s="82" t="s">
        <v>5102</v>
      </c>
      <c r="X1483" s="77"/>
      <c r="Y1483" s="77"/>
      <c r="Z1483" s="77" t="s">
        <v>1094</v>
      </c>
      <c r="AA1483" s="77" t="s">
        <v>7098</v>
      </c>
      <c r="AB1483" s="77" t="s">
        <v>7696</v>
      </c>
      <c r="AC1483" s="82" t="s">
        <v>7706</v>
      </c>
      <c r="AD1483" s="77" t="s">
        <v>7745</v>
      </c>
      <c r="AE1483" s="80" t="str">
        <f>HYPERLINK("https://twitter.com/rosiellepegado/status/1696245466743119980")</f>
        <v>https://twitter.com/rosiellepegado/status/1696245466743119980</v>
      </c>
      <c r="AF1483" s="79">
        <v>45166.81722222222</v>
      </c>
      <c r="AG1483" s="85">
        <v>45166</v>
      </c>
      <c r="AH1483" s="82" t="s">
        <v>9072</v>
      </c>
      <c r="AI1483" s="77" t="b">
        <v>0</v>
      </c>
      <c r="AJ1483" s="77"/>
      <c r="AK1483" s="77"/>
      <c r="AL1483" s="77"/>
      <c r="AM1483" s="77"/>
      <c r="AN1483" s="77"/>
      <c r="AO1483" s="77"/>
      <c r="AP1483" s="77"/>
      <c r="AQ1483" s="77" t="s">
        <v>11605</v>
      </c>
      <c r="AR1483" s="77"/>
      <c r="AS1483" s="77"/>
      <c r="AT1483" s="77"/>
      <c r="AU1483" s="77"/>
      <c r="AV1483" s="80" t="str">
        <f>HYPERLINK("https://pbs.twimg.com/media/F4pF6jdWgAAx2AI.jpg")</f>
        <v>https://pbs.twimg.com/media/F4pF6jdWgAAx2AI.jpg</v>
      </c>
      <c r="AW1483" s="82" t="s">
        <v>13658</v>
      </c>
      <c r="AX1483" s="82" t="s">
        <v>13658</v>
      </c>
      <c r="AY1483" s="77"/>
      <c r="AZ1483" s="82" t="s">
        <v>15804</v>
      </c>
      <c r="BA1483" s="82" t="s">
        <v>15804</v>
      </c>
      <c r="BB1483" s="82" t="s">
        <v>15804</v>
      </c>
      <c r="BC1483" s="82" t="s">
        <v>13658</v>
      </c>
      <c r="BD1483" s="82" t="s">
        <v>16403</v>
      </c>
      <c r="BE1483" s="77"/>
      <c r="BF1483" s="77"/>
      <c r="BG1483" s="77"/>
      <c r="BH1483" s="77"/>
      <c r="BI1483" s="77"/>
    </row>
    <row r="1484" spans="1:61" x14ac:dyDescent="0.25">
      <c r="A1484" s="62" t="s">
        <v>693</v>
      </c>
      <c r="B1484" s="62" t="s">
        <v>693</v>
      </c>
      <c r="C1484" s="63"/>
      <c r="D1484" s="64"/>
      <c r="E1484" s="65"/>
      <c r="F1484" s="66"/>
      <c r="G1484" s="63"/>
      <c r="H1484" s="67"/>
      <c r="I1484" s="68"/>
      <c r="J1484" s="68"/>
      <c r="K1484" s="32"/>
      <c r="L1484" s="75">
        <v>1484</v>
      </c>
      <c r="M1484" s="75"/>
      <c r="N1484" s="70"/>
      <c r="O1484" s="77" t="s">
        <v>179</v>
      </c>
      <c r="P1484" s="79">
        <v>44935.563263888886</v>
      </c>
      <c r="Q1484" s="77" t="s">
        <v>2570</v>
      </c>
      <c r="R1484" s="77">
        <v>0</v>
      </c>
      <c r="S1484" s="77">
        <v>19</v>
      </c>
      <c r="T1484" s="77">
        <v>2</v>
      </c>
      <c r="U1484" s="77">
        <v>1</v>
      </c>
      <c r="V1484" s="77">
        <v>1488</v>
      </c>
      <c r="W1484" s="77"/>
      <c r="X1484" s="77"/>
      <c r="Y1484" s="77"/>
      <c r="Z1484" s="77"/>
      <c r="AA1484" s="77" t="s">
        <v>7099</v>
      </c>
      <c r="AB1484" s="77" t="s">
        <v>7696</v>
      </c>
      <c r="AC1484" s="82" t="s">
        <v>7708</v>
      </c>
      <c r="AD1484" s="77" t="s">
        <v>7745</v>
      </c>
      <c r="AE1484" s="80" t="str">
        <f>HYPERLINK("https://twitter.com/organizze/status/1612441836437606402")</f>
        <v>https://twitter.com/organizze/status/1612441836437606402</v>
      </c>
      <c r="AF1484" s="79">
        <v>44935.563263888886</v>
      </c>
      <c r="AG1484" s="85">
        <v>44935</v>
      </c>
      <c r="AH1484" s="82" t="s">
        <v>9073</v>
      </c>
      <c r="AI1484" s="77" t="b">
        <v>0</v>
      </c>
      <c r="AJ1484" s="77"/>
      <c r="AK1484" s="77"/>
      <c r="AL1484" s="77"/>
      <c r="AM1484" s="77"/>
      <c r="AN1484" s="77"/>
      <c r="AO1484" s="77"/>
      <c r="AP1484" s="77"/>
      <c r="AQ1484" s="77" t="s">
        <v>11606</v>
      </c>
      <c r="AR1484" s="77"/>
      <c r="AS1484" s="77"/>
      <c r="AT1484" s="77"/>
      <c r="AU1484" s="77"/>
      <c r="AV1484" s="80" t="str">
        <f>HYPERLINK("https://pbs.twimg.com/media/FmCLTjjWIAAe8aU.jpg")</f>
        <v>https://pbs.twimg.com/media/FmCLTjjWIAAe8aU.jpg</v>
      </c>
      <c r="AW1484" s="82" t="s">
        <v>13659</v>
      </c>
      <c r="AX1484" s="82" t="s">
        <v>13659</v>
      </c>
      <c r="AY1484" s="77"/>
      <c r="AZ1484" s="82" t="s">
        <v>15804</v>
      </c>
      <c r="BA1484" s="82" t="s">
        <v>15804</v>
      </c>
      <c r="BB1484" s="82" t="s">
        <v>15804</v>
      </c>
      <c r="BC1484" s="82" t="s">
        <v>13659</v>
      </c>
      <c r="BD1484" s="77">
        <v>109091764</v>
      </c>
      <c r="BE1484" s="77"/>
      <c r="BF1484" s="77"/>
      <c r="BG1484" s="77"/>
      <c r="BH1484" s="77"/>
      <c r="BI1484" s="77"/>
    </row>
    <row r="1485" spans="1:61" x14ac:dyDescent="0.25">
      <c r="A1485" s="62" t="s">
        <v>693</v>
      </c>
      <c r="B1485" s="62" t="s">
        <v>693</v>
      </c>
      <c r="C1485" s="63"/>
      <c r="D1485" s="64"/>
      <c r="E1485" s="65"/>
      <c r="F1485" s="66"/>
      <c r="G1485" s="63"/>
      <c r="H1485" s="67"/>
      <c r="I1485" s="68"/>
      <c r="J1485" s="68"/>
      <c r="K1485" s="32"/>
      <c r="L1485" s="75">
        <v>1485</v>
      </c>
      <c r="M1485" s="75"/>
      <c r="N1485" s="70"/>
      <c r="O1485" s="77" t="s">
        <v>179</v>
      </c>
      <c r="P1485" s="79">
        <v>44927.510462962964</v>
      </c>
      <c r="Q1485" s="77" t="s">
        <v>2571</v>
      </c>
      <c r="R1485" s="77">
        <v>0</v>
      </c>
      <c r="S1485" s="77">
        <v>20</v>
      </c>
      <c r="T1485" s="77">
        <v>1</v>
      </c>
      <c r="U1485" s="77">
        <v>1</v>
      </c>
      <c r="V1485" s="77">
        <v>1532</v>
      </c>
      <c r="W1485" s="77"/>
      <c r="X1485" s="77"/>
      <c r="Y1485" s="77"/>
      <c r="Z1485" s="77"/>
      <c r="AA1485" s="77" t="s">
        <v>7100</v>
      </c>
      <c r="AB1485" s="77" t="s">
        <v>7696</v>
      </c>
      <c r="AC1485" s="82" t="s">
        <v>7708</v>
      </c>
      <c r="AD1485" s="77" t="s">
        <v>7751</v>
      </c>
      <c r="AE1485" s="80" t="str">
        <f>HYPERLINK("https://twitter.com/organizze/status/1609523599798304768")</f>
        <v>https://twitter.com/organizze/status/1609523599798304768</v>
      </c>
      <c r="AF1485" s="79">
        <v>44927.510462962964</v>
      </c>
      <c r="AG1485" s="85">
        <v>44927</v>
      </c>
      <c r="AH1485" s="82" t="s">
        <v>9074</v>
      </c>
      <c r="AI1485" s="77" t="b">
        <v>0</v>
      </c>
      <c r="AJ1485" s="77"/>
      <c r="AK1485" s="77"/>
      <c r="AL1485" s="77"/>
      <c r="AM1485" s="77"/>
      <c r="AN1485" s="77"/>
      <c r="AO1485" s="77"/>
      <c r="AP1485" s="77"/>
      <c r="AQ1485" s="77" t="s">
        <v>11607</v>
      </c>
      <c r="AR1485" s="77"/>
      <c r="AS1485" s="77"/>
      <c r="AT1485" s="77"/>
      <c r="AU1485" s="77"/>
      <c r="AV1485" s="80" t="str">
        <f>HYPERLINK("https://pbs.twimg.com/media/FlYtL0mWIAAtTcj.jpg")</f>
        <v>https://pbs.twimg.com/media/FlYtL0mWIAAtTcj.jpg</v>
      </c>
      <c r="AW1485" s="82" t="s">
        <v>13660</v>
      </c>
      <c r="AX1485" s="82" t="s">
        <v>13660</v>
      </c>
      <c r="AY1485" s="77"/>
      <c r="AZ1485" s="82" t="s">
        <v>15804</v>
      </c>
      <c r="BA1485" s="82" t="s">
        <v>15804</v>
      </c>
      <c r="BB1485" s="82" t="s">
        <v>15804</v>
      </c>
      <c r="BC1485" s="82" t="s">
        <v>13660</v>
      </c>
      <c r="BD1485" s="77">
        <v>109091764</v>
      </c>
      <c r="BE1485" s="77"/>
      <c r="BF1485" s="77"/>
      <c r="BG1485" s="77"/>
      <c r="BH1485" s="77"/>
      <c r="BI1485" s="77"/>
    </row>
    <row r="1486" spans="1:61" x14ac:dyDescent="0.25">
      <c r="A1486" s="62" t="s">
        <v>693</v>
      </c>
      <c r="B1486" s="62" t="s">
        <v>693</v>
      </c>
      <c r="C1486" s="63"/>
      <c r="D1486" s="64"/>
      <c r="E1486" s="65"/>
      <c r="F1486" s="66"/>
      <c r="G1486" s="63"/>
      <c r="H1486" s="67"/>
      <c r="I1486" s="68"/>
      <c r="J1486" s="68"/>
      <c r="K1486" s="32"/>
      <c r="L1486" s="75">
        <v>1486</v>
      </c>
      <c r="M1486" s="75"/>
      <c r="N1486" s="70"/>
      <c r="O1486" s="77" t="s">
        <v>179</v>
      </c>
      <c r="P1486" s="79">
        <v>44916.614907407406</v>
      </c>
      <c r="Q1486" s="77" t="s">
        <v>2572</v>
      </c>
      <c r="R1486" s="77">
        <v>1</v>
      </c>
      <c r="S1486" s="77">
        <v>9</v>
      </c>
      <c r="T1486" s="77">
        <v>0</v>
      </c>
      <c r="U1486" s="77">
        <v>1</v>
      </c>
      <c r="V1486" s="77">
        <v>675</v>
      </c>
      <c r="W1486" s="82" t="s">
        <v>5103</v>
      </c>
      <c r="X1486" s="77"/>
      <c r="Y1486" s="77"/>
      <c r="Z1486" s="77"/>
      <c r="AA1486" s="77" t="s">
        <v>7101</v>
      </c>
      <c r="AB1486" s="77" t="s">
        <v>7696</v>
      </c>
      <c r="AC1486" s="82" t="s">
        <v>7708</v>
      </c>
      <c r="AD1486" s="77" t="s">
        <v>7745</v>
      </c>
      <c r="AE1486" s="80" t="str">
        <f>HYPERLINK("https://twitter.com/organizze/status/1605575185301753858")</f>
        <v>https://twitter.com/organizze/status/1605575185301753858</v>
      </c>
      <c r="AF1486" s="79">
        <v>44916.614907407406</v>
      </c>
      <c r="AG1486" s="85">
        <v>44916</v>
      </c>
      <c r="AH1486" s="82" t="s">
        <v>9075</v>
      </c>
      <c r="AI1486" s="77" t="b">
        <v>0</v>
      </c>
      <c r="AJ1486" s="77"/>
      <c r="AK1486" s="77"/>
      <c r="AL1486" s="77"/>
      <c r="AM1486" s="77"/>
      <c r="AN1486" s="77"/>
      <c r="AO1486" s="77"/>
      <c r="AP1486" s="77"/>
      <c r="AQ1486" s="77" t="s">
        <v>11608</v>
      </c>
      <c r="AR1486" s="77"/>
      <c r="AS1486" s="77"/>
      <c r="AT1486" s="77"/>
      <c r="AU1486" s="77"/>
      <c r="AV1486" s="80" t="str">
        <f>HYPERLINK("https://pbs.twimg.com/media/FkgmH2DWYAApQzW.jpg")</f>
        <v>https://pbs.twimg.com/media/FkgmH2DWYAApQzW.jpg</v>
      </c>
      <c r="AW1486" s="82" t="s">
        <v>13661</v>
      </c>
      <c r="AX1486" s="82" t="s">
        <v>13661</v>
      </c>
      <c r="AY1486" s="77"/>
      <c r="AZ1486" s="82" t="s">
        <v>15804</v>
      </c>
      <c r="BA1486" s="82" t="s">
        <v>15804</v>
      </c>
      <c r="BB1486" s="82" t="s">
        <v>15804</v>
      </c>
      <c r="BC1486" s="82" t="s">
        <v>13661</v>
      </c>
      <c r="BD1486" s="77">
        <v>109091764</v>
      </c>
      <c r="BE1486" s="77"/>
      <c r="BF1486" s="77"/>
      <c r="BG1486" s="77"/>
      <c r="BH1486" s="77"/>
      <c r="BI1486" s="77"/>
    </row>
    <row r="1487" spans="1:61" x14ac:dyDescent="0.25">
      <c r="A1487" s="62" t="s">
        <v>693</v>
      </c>
      <c r="B1487" s="62" t="s">
        <v>693</v>
      </c>
      <c r="C1487" s="63"/>
      <c r="D1487" s="64"/>
      <c r="E1487" s="65"/>
      <c r="F1487" s="66"/>
      <c r="G1487" s="63"/>
      <c r="H1487" s="67"/>
      <c r="I1487" s="68"/>
      <c r="J1487" s="68"/>
      <c r="K1487" s="32"/>
      <c r="L1487" s="75">
        <v>1487</v>
      </c>
      <c r="M1487" s="75"/>
      <c r="N1487" s="70"/>
      <c r="O1487" s="77" t="s">
        <v>179</v>
      </c>
      <c r="P1487" s="79">
        <v>44971.614884259259</v>
      </c>
      <c r="Q1487" s="77" t="s">
        <v>2573</v>
      </c>
      <c r="R1487" s="77">
        <v>0</v>
      </c>
      <c r="S1487" s="77">
        <v>5</v>
      </c>
      <c r="T1487" s="77">
        <v>0</v>
      </c>
      <c r="U1487" s="77">
        <v>1</v>
      </c>
      <c r="V1487" s="77">
        <v>532</v>
      </c>
      <c r="W1487" s="77"/>
      <c r="X1487" s="80" t="str">
        <f>HYPERLINK("https://blog.organizze.com.br/newsletter")</f>
        <v>https://blog.organizze.com.br/newsletter</v>
      </c>
      <c r="Y1487" s="77" t="s">
        <v>6002</v>
      </c>
      <c r="Z1487" s="77"/>
      <c r="AA1487" s="77" t="s">
        <v>7102</v>
      </c>
      <c r="AB1487" s="77" t="s">
        <v>7696</v>
      </c>
      <c r="AC1487" s="82" t="s">
        <v>7708</v>
      </c>
      <c r="AD1487" s="77" t="s">
        <v>7745</v>
      </c>
      <c r="AE1487" s="80" t="str">
        <f>HYPERLINK("https://twitter.com/organizze/status/1625506507147059208")</f>
        <v>https://twitter.com/organizze/status/1625506507147059208</v>
      </c>
      <c r="AF1487" s="79">
        <v>44971.614884259259</v>
      </c>
      <c r="AG1487" s="85">
        <v>44971</v>
      </c>
      <c r="AH1487" s="82" t="s">
        <v>9076</v>
      </c>
      <c r="AI1487" s="77" t="b">
        <v>0</v>
      </c>
      <c r="AJ1487" s="77"/>
      <c r="AK1487" s="77"/>
      <c r="AL1487" s="77"/>
      <c r="AM1487" s="77"/>
      <c r="AN1487" s="77"/>
      <c r="AO1487" s="77"/>
      <c r="AP1487" s="77"/>
      <c r="AQ1487" s="77" t="s">
        <v>11609</v>
      </c>
      <c r="AR1487" s="77"/>
      <c r="AS1487" s="77"/>
      <c r="AT1487" s="77"/>
      <c r="AU1487" s="77"/>
      <c r="AV1487" s="80" t="str">
        <f>HYPERLINK("https://pbs.twimg.com/media/Fo71jeaWYAE3mIJ.jpg")</f>
        <v>https://pbs.twimg.com/media/Fo71jeaWYAE3mIJ.jpg</v>
      </c>
      <c r="AW1487" s="82" t="s">
        <v>13662</v>
      </c>
      <c r="AX1487" s="82" t="s">
        <v>13662</v>
      </c>
      <c r="AY1487" s="77"/>
      <c r="AZ1487" s="82" t="s">
        <v>15804</v>
      </c>
      <c r="BA1487" s="82" t="s">
        <v>15804</v>
      </c>
      <c r="BB1487" s="82" t="s">
        <v>15804</v>
      </c>
      <c r="BC1487" s="82" t="s">
        <v>13662</v>
      </c>
      <c r="BD1487" s="77">
        <v>109091764</v>
      </c>
      <c r="BE1487" s="77"/>
      <c r="BF1487" s="77"/>
      <c r="BG1487" s="77"/>
      <c r="BH1487" s="77"/>
      <c r="BI1487" s="77"/>
    </row>
    <row r="1488" spans="1:61" x14ac:dyDescent="0.25">
      <c r="A1488" s="62" t="s">
        <v>693</v>
      </c>
      <c r="B1488" s="62" t="s">
        <v>693</v>
      </c>
      <c r="C1488" s="63"/>
      <c r="D1488" s="64"/>
      <c r="E1488" s="65"/>
      <c r="F1488" s="66"/>
      <c r="G1488" s="63"/>
      <c r="H1488" s="67"/>
      <c r="I1488" s="68"/>
      <c r="J1488" s="68"/>
      <c r="K1488" s="32"/>
      <c r="L1488" s="75">
        <v>1488</v>
      </c>
      <c r="M1488" s="75"/>
      <c r="N1488" s="70"/>
      <c r="O1488" s="77" t="s">
        <v>179</v>
      </c>
      <c r="P1488" s="79">
        <v>44950.885601851849</v>
      </c>
      <c r="Q1488" s="77" t="s">
        <v>2574</v>
      </c>
      <c r="R1488" s="77">
        <v>1</v>
      </c>
      <c r="S1488" s="77">
        <v>5</v>
      </c>
      <c r="T1488" s="77">
        <v>1</v>
      </c>
      <c r="U1488" s="77">
        <v>1</v>
      </c>
      <c r="V1488" s="77">
        <v>755</v>
      </c>
      <c r="W1488" s="77"/>
      <c r="X1488" s="77"/>
      <c r="Y1488" s="77"/>
      <c r="Z1488" s="77"/>
      <c r="AA1488" s="77" t="s">
        <v>7103</v>
      </c>
      <c r="AB1488" s="77" t="s">
        <v>7698</v>
      </c>
      <c r="AC1488" s="82" t="s">
        <v>7708</v>
      </c>
      <c r="AD1488" s="77" t="s">
        <v>7745</v>
      </c>
      <c r="AE1488" s="80" t="str">
        <f>HYPERLINK("https://twitter.com/organizze/status/1617994468472377358")</f>
        <v>https://twitter.com/organizze/status/1617994468472377358</v>
      </c>
      <c r="AF1488" s="79">
        <v>44950.885601851849</v>
      </c>
      <c r="AG1488" s="85">
        <v>44950</v>
      </c>
      <c r="AH1488" s="82" t="s">
        <v>9077</v>
      </c>
      <c r="AI1488" s="77" t="b">
        <v>0</v>
      </c>
      <c r="AJ1488" s="77"/>
      <c r="AK1488" s="77"/>
      <c r="AL1488" s="77"/>
      <c r="AM1488" s="77"/>
      <c r="AN1488" s="77"/>
      <c r="AO1488" s="77"/>
      <c r="AP1488" s="77"/>
      <c r="AQ1488" s="77" t="s">
        <v>11610</v>
      </c>
      <c r="AR1488" s="77"/>
      <c r="AS1488" s="77"/>
      <c r="AT1488" s="77"/>
      <c r="AU1488" s="77"/>
      <c r="AV1488" s="80" t="str">
        <f>HYPERLINK("https://pbs.twimg.com/media/FnRFZPpX0BsJm9_.jpg")</f>
        <v>https://pbs.twimg.com/media/FnRFZPpX0BsJm9_.jpg</v>
      </c>
      <c r="AW1488" s="82" t="s">
        <v>13663</v>
      </c>
      <c r="AX1488" s="82" t="s">
        <v>13663</v>
      </c>
      <c r="AY1488" s="77"/>
      <c r="AZ1488" s="82" t="s">
        <v>15804</v>
      </c>
      <c r="BA1488" s="82" t="s">
        <v>15804</v>
      </c>
      <c r="BB1488" s="82" t="s">
        <v>15804</v>
      </c>
      <c r="BC1488" s="82" t="s">
        <v>13663</v>
      </c>
      <c r="BD1488" s="77">
        <v>109091764</v>
      </c>
      <c r="BE1488" s="77"/>
      <c r="BF1488" s="77"/>
      <c r="BG1488" s="77"/>
      <c r="BH1488" s="77"/>
      <c r="BI1488" s="77"/>
    </row>
    <row r="1489" spans="1:61" x14ac:dyDescent="0.25">
      <c r="A1489" s="62" t="s">
        <v>693</v>
      </c>
      <c r="B1489" s="62" t="s">
        <v>693</v>
      </c>
      <c r="C1489" s="63"/>
      <c r="D1489" s="64"/>
      <c r="E1489" s="65"/>
      <c r="F1489" s="66"/>
      <c r="G1489" s="63"/>
      <c r="H1489" s="67"/>
      <c r="I1489" s="68"/>
      <c r="J1489" s="68"/>
      <c r="K1489" s="32"/>
      <c r="L1489" s="75">
        <v>1489</v>
      </c>
      <c r="M1489" s="75"/>
      <c r="N1489" s="70"/>
      <c r="O1489" s="77" t="s">
        <v>179</v>
      </c>
      <c r="P1489" s="79">
        <v>44967.614976851852</v>
      </c>
      <c r="Q1489" s="77" t="s">
        <v>2575</v>
      </c>
      <c r="R1489" s="77">
        <v>0</v>
      </c>
      <c r="S1489" s="77">
        <v>8</v>
      </c>
      <c r="T1489" s="77">
        <v>1</v>
      </c>
      <c r="U1489" s="77">
        <v>1</v>
      </c>
      <c r="V1489" s="77">
        <v>682</v>
      </c>
      <c r="W1489" s="77"/>
      <c r="X1489" s="77"/>
      <c r="Y1489" s="77"/>
      <c r="Z1489" s="77"/>
      <c r="AA1489" s="77" t="s">
        <v>7104</v>
      </c>
      <c r="AB1489" s="77" t="s">
        <v>7697</v>
      </c>
      <c r="AC1489" s="82" t="s">
        <v>7708</v>
      </c>
      <c r="AD1489" s="77" t="s">
        <v>7745</v>
      </c>
      <c r="AE1489" s="80" t="str">
        <f>HYPERLINK("https://twitter.com/organizze/status/1624056989155303433")</f>
        <v>https://twitter.com/organizze/status/1624056989155303433</v>
      </c>
      <c r="AF1489" s="79">
        <v>44967.614976851852</v>
      </c>
      <c r="AG1489" s="85">
        <v>44967</v>
      </c>
      <c r="AH1489" s="82" t="s">
        <v>9078</v>
      </c>
      <c r="AI1489" s="77" t="b">
        <v>0</v>
      </c>
      <c r="AJ1489" s="77"/>
      <c r="AK1489" s="77"/>
      <c r="AL1489" s="77"/>
      <c r="AM1489" s="77"/>
      <c r="AN1489" s="77"/>
      <c r="AO1489" s="77"/>
      <c r="AP1489" s="77"/>
      <c r="AQ1489" s="77" t="s">
        <v>11611</v>
      </c>
      <c r="AR1489" s="77">
        <v>30000</v>
      </c>
      <c r="AS1489" s="77"/>
      <c r="AT1489" s="77"/>
      <c r="AU1489" s="77">
        <v>209</v>
      </c>
      <c r="AV1489" s="80" t="str">
        <f>HYPERLINK("https://pbs.twimg.com/ext_tw_video_thumb/1624056962575998976/pu/img/E8ERUyDJv4Rxe5-E.jpg")</f>
        <v>https://pbs.twimg.com/ext_tw_video_thumb/1624056962575998976/pu/img/E8ERUyDJv4Rxe5-E.jpg</v>
      </c>
      <c r="AW1489" s="82" t="s">
        <v>13664</v>
      </c>
      <c r="AX1489" s="82" t="s">
        <v>13664</v>
      </c>
      <c r="AY1489" s="77"/>
      <c r="AZ1489" s="82" t="s">
        <v>15804</v>
      </c>
      <c r="BA1489" s="82" t="s">
        <v>15804</v>
      </c>
      <c r="BB1489" s="82" t="s">
        <v>15804</v>
      </c>
      <c r="BC1489" s="82" t="s">
        <v>13664</v>
      </c>
      <c r="BD1489" s="77">
        <v>109091764</v>
      </c>
      <c r="BE1489" s="77"/>
      <c r="BF1489" s="77"/>
      <c r="BG1489" s="77"/>
      <c r="BH1489" s="77"/>
      <c r="BI1489" s="77"/>
    </row>
    <row r="1490" spans="1:61" x14ac:dyDescent="0.25">
      <c r="A1490" s="62" t="s">
        <v>693</v>
      </c>
      <c r="B1490" s="62" t="s">
        <v>693</v>
      </c>
      <c r="C1490" s="63"/>
      <c r="D1490" s="64"/>
      <c r="E1490" s="65"/>
      <c r="F1490" s="66"/>
      <c r="G1490" s="63"/>
      <c r="H1490" s="67"/>
      <c r="I1490" s="68"/>
      <c r="J1490" s="68"/>
      <c r="K1490" s="32"/>
      <c r="L1490" s="75">
        <v>1490</v>
      </c>
      <c r="M1490" s="75"/>
      <c r="N1490" s="70"/>
      <c r="O1490" s="77" t="s">
        <v>179</v>
      </c>
      <c r="P1490" s="79">
        <v>45078.541701388887</v>
      </c>
      <c r="Q1490" s="77" t="s">
        <v>2576</v>
      </c>
      <c r="R1490" s="77">
        <v>0</v>
      </c>
      <c r="S1490" s="77">
        <v>6</v>
      </c>
      <c r="T1490" s="77">
        <v>0</v>
      </c>
      <c r="U1490" s="77">
        <v>0</v>
      </c>
      <c r="V1490" s="77">
        <v>438</v>
      </c>
      <c r="W1490" s="82" t="s">
        <v>5104</v>
      </c>
      <c r="X1490" s="77"/>
      <c r="Y1490" s="77"/>
      <c r="Z1490" s="77"/>
      <c r="AA1490" s="77"/>
      <c r="AB1490" s="77"/>
      <c r="AC1490" s="82" t="s">
        <v>7706</v>
      </c>
      <c r="AD1490" s="77" t="s">
        <v>7745</v>
      </c>
      <c r="AE1490" s="80" t="str">
        <f>HYPERLINK("https://twitter.com/organizze/status/1664255488337547266")</f>
        <v>https://twitter.com/organizze/status/1664255488337547266</v>
      </c>
      <c r="AF1490" s="79">
        <v>45078.541701388887</v>
      </c>
      <c r="AG1490" s="85">
        <v>45078</v>
      </c>
      <c r="AH1490" s="82" t="s">
        <v>9079</v>
      </c>
      <c r="AI1490" s="77"/>
      <c r="AJ1490" s="77"/>
      <c r="AK1490" s="77"/>
      <c r="AL1490" s="77"/>
      <c r="AM1490" s="77"/>
      <c r="AN1490" s="77"/>
      <c r="AO1490" s="77"/>
      <c r="AP1490" s="77"/>
      <c r="AQ1490" s="77"/>
      <c r="AR1490" s="77"/>
      <c r="AS1490" s="77"/>
      <c r="AT1490" s="77"/>
      <c r="AU1490" s="77"/>
      <c r="AV1490" s="80" t="str">
        <f>HYPERLINK("https://pbs.twimg.com/profile_images/1654470883371565058/UJIlAYCp_normal.jpg")</f>
        <v>https://pbs.twimg.com/profile_images/1654470883371565058/UJIlAYCp_normal.jpg</v>
      </c>
      <c r="AW1490" s="82" t="s">
        <v>13665</v>
      </c>
      <c r="AX1490" s="82" t="s">
        <v>13665</v>
      </c>
      <c r="AY1490" s="77"/>
      <c r="AZ1490" s="82" t="s">
        <v>15804</v>
      </c>
      <c r="BA1490" s="82" t="s">
        <v>15804</v>
      </c>
      <c r="BB1490" s="82" t="s">
        <v>15804</v>
      </c>
      <c r="BC1490" s="82" t="s">
        <v>13665</v>
      </c>
      <c r="BD1490" s="77">
        <v>109091764</v>
      </c>
      <c r="BE1490" s="77"/>
      <c r="BF1490" s="77"/>
      <c r="BG1490" s="77"/>
      <c r="BH1490" s="77"/>
      <c r="BI1490" s="77"/>
    </row>
    <row r="1491" spans="1:61" x14ac:dyDescent="0.25">
      <c r="A1491" s="62" t="s">
        <v>693</v>
      </c>
      <c r="B1491" s="62" t="s">
        <v>693</v>
      </c>
      <c r="C1491" s="63"/>
      <c r="D1491" s="64"/>
      <c r="E1491" s="65"/>
      <c r="F1491" s="66"/>
      <c r="G1491" s="63"/>
      <c r="H1491" s="67"/>
      <c r="I1491" s="68"/>
      <c r="J1491" s="68"/>
      <c r="K1491" s="32"/>
      <c r="L1491" s="75">
        <v>1491</v>
      </c>
      <c r="M1491" s="75"/>
      <c r="N1491" s="70"/>
      <c r="O1491" s="77" t="s">
        <v>179</v>
      </c>
      <c r="P1491" s="79">
        <v>45056.604166666664</v>
      </c>
      <c r="Q1491" s="77" t="s">
        <v>2577</v>
      </c>
      <c r="R1491" s="77">
        <v>0</v>
      </c>
      <c r="S1491" s="77">
        <v>11</v>
      </c>
      <c r="T1491" s="77">
        <v>0</v>
      </c>
      <c r="U1491" s="77">
        <v>1</v>
      </c>
      <c r="V1491" s="77">
        <v>666</v>
      </c>
      <c r="W1491" s="77"/>
      <c r="X1491" s="80" t="str">
        <f>HYPERLINK("https://blog.organizze.com.br/newsletter")</f>
        <v>https://blog.organizze.com.br/newsletter</v>
      </c>
      <c r="Y1491" s="77" t="s">
        <v>6002</v>
      </c>
      <c r="Z1491" s="77"/>
      <c r="AA1491" s="77" t="s">
        <v>7105</v>
      </c>
      <c r="AB1491" s="77" t="s">
        <v>7696</v>
      </c>
      <c r="AC1491" s="82" t="s">
        <v>7706</v>
      </c>
      <c r="AD1491" s="77" t="s">
        <v>7745</v>
      </c>
      <c r="AE1491" s="80" t="str">
        <f>HYPERLINK("https://twitter.com/organizze/status/1656305590879268864")</f>
        <v>https://twitter.com/organizze/status/1656305590879268864</v>
      </c>
      <c r="AF1491" s="79">
        <v>45056.604166666664</v>
      </c>
      <c r="AG1491" s="85">
        <v>45056</v>
      </c>
      <c r="AH1491" s="82" t="s">
        <v>8129</v>
      </c>
      <c r="AI1491" s="77" t="b">
        <v>0</v>
      </c>
      <c r="AJ1491" s="77"/>
      <c r="AK1491" s="77"/>
      <c r="AL1491" s="77"/>
      <c r="AM1491" s="77"/>
      <c r="AN1491" s="77"/>
      <c r="AO1491" s="77"/>
      <c r="AP1491" s="77"/>
      <c r="AQ1491" s="77" t="s">
        <v>11612</v>
      </c>
      <c r="AR1491" s="77"/>
      <c r="AS1491" s="77"/>
      <c r="AT1491" s="77"/>
      <c r="AU1491" s="77"/>
      <c r="AV1491" s="80" t="str">
        <f>HYPERLINK("https://pbs.twimg.com/media/FvxCNEXWYAMZmlY.jpg")</f>
        <v>https://pbs.twimg.com/media/FvxCNEXWYAMZmlY.jpg</v>
      </c>
      <c r="AW1491" s="82" t="s">
        <v>13666</v>
      </c>
      <c r="AX1491" s="82" t="s">
        <v>13666</v>
      </c>
      <c r="AY1491" s="77"/>
      <c r="AZ1491" s="82" t="s">
        <v>15804</v>
      </c>
      <c r="BA1491" s="82" t="s">
        <v>15804</v>
      </c>
      <c r="BB1491" s="82" t="s">
        <v>15804</v>
      </c>
      <c r="BC1491" s="82" t="s">
        <v>13666</v>
      </c>
      <c r="BD1491" s="77">
        <v>109091764</v>
      </c>
      <c r="BE1491" s="77"/>
      <c r="BF1491" s="77"/>
      <c r="BG1491" s="77"/>
      <c r="BH1491" s="77"/>
      <c r="BI1491" s="77"/>
    </row>
    <row r="1492" spans="1:61" x14ac:dyDescent="0.25">
      <c r="A1492" s="62" t="s">
        <v>693</v>
      </c>
      <c r="B1492" s="62" t="s">
        <v>693</v>
      </c>
      <c r="C1492" s="63"/>
      <c r="D1492" s="64"/>
      <c r="E1492" s="65"/>
      <c r="F1492" s="66"/>
      <c r="G1492" s="63"/>
      <c r="H1492" s="67"/>
      <c r="I1492" s="68"/>
      <c r="J1492" s="68"/>
      <c r="K1492" s="32"/>
      <c r="L1492" s="75">
        <v>1492</v>
      </c>
      <c r="M1492" s="75"/>
      <c r="N1492" s="70"/>
      <c r="O1492" s="77" t="s">
        <v>179</v>
      </c>
      <c r="P1492" s="79">
        <v>44972.708043981482</v>
      </c>
      <c r="Q1492" s="77" t="s">
        <v>2578</v>
      </c>
      <c r="R1492" s="77">
        <v>0</v>
      </c>
      <c r="S1492" s="77">
        <v>1</v>
      </c>
      <c r="T1492" s="77">
        <v>1</v>
      </c>
      <c r="U1492" s="77">
        <v>1</v>
      </c>
      <c r="V1492" s="77">
        <v>540</v>
      </c>
      <c r="W1492" s="77"/>
      <c r="X1492" s="80" t="str">
        <f>HYPERLINK("https://blog.organizze.com.br/14-dicas-para-proteger-app-de-banco-no-seu-celular")</f>
        <v>https://blog.organizze.com.br/14-dicas-para-proteger-app-de-banco-no-seu-celular</v>
      </c>
      <c r="Y1492" s="77" t="s">
        <v>6002</v>
      </c>
      <c r="Z1492" s="77"/>
      <c r="AA1492" s="77"/>
      <c r="AB1492" s="77"/>
      <c r="AC1492" s="82" t="s">
        <v>7706</v>
      </c>
      <c r="AD1492" s="77" t="s">
        <v>7745</v>
      </c>
      <c r="AE1492" s="80" t="str">
        <f>HYPERLINK("https://twitter.com/organizze/status/1625902653766086659")</f>
        <v>https://twitter.com/organizze/status/1625902653766086659</v>
      </c>
      <c r="AF1492" s="79">
        <v>44972.708043981482</v>
      </c>
      <c r="AG1492" s="85">
        <v>44972</v>
      </c>
      <c r="AH1492" s="82" t="s">
        <v>9080</v>
      </c>
      <c r="AI1492" s="77" t="b">
        <v>0</v>
      </c>
      <c r="AJ1492" s="77"/>
      <c r="AK1492" s="77"/>
      <c r="AL1492" s="77"/>
      <c r="AM1492" s="77"/>
      <c r="AN1492" s="77"/>
      <c r="AO1492" s="77"/>
      <c r="AP1492" s="77"/>
      <c r="AQ1492" s="77"/>
      <c r="AR1492" s="77"/>
      <c r="AS1492" s="77"/>
      <c r="AT1492" s="77"/>
      <c r="AU1492" s="77"/>
      <c r="AV1492" s="80" t="str">
        <f>HYPERLINK("https://pbs.twimg.com/profile_images/1654470883371565058/UJIlAYCp_normal.jpg")</f>
        <v>https://pbs.twimg.com/profile_images/1654470883371565058/UJIlAYCp_normal.jpg</v>
      </c>
      <c r="AW1492" s="82" t="s">
        <v>13667</v>
      </c>
      <c r="AX1492" s="82" t="s">
        <v>13667</v>
      </c>
      <c r="AY1492" s="77"/>
      <c r="AZ1492" s="82" t="s">
        <v>15804</v>
      </c>
      <c r="BA1492" s="82" t="s">
        <v>15804</v>
      </c>
      <c r="BB1492" s="82" t="s">
        <v>15804</v>
      </c>
      <c r="BC1492" s="82" t="s">
        <v>13667</v>
      </c>
      <c r="BD1492" s="77">
        <v>109091764</v>
      </c>
      <c r="BE1492" s="77"/>
      <c r="BF1492" s="77"/>
      <c r="BG1492" s="77"/>
      <c r="BH1492" s="77"/>
      <c r="BI1492" s="77"/>
    </row>
    <row r="1493" spans="1:61" x14ac:dyDescent="0.25">
      <c r="A1493" s="62" t="s">
        <v>693</v>
      </c>
      <c r="B1493" s="62" t="s">
        <v>693</v>
      </c>
      <c r="C1493" s="63"/>
      <c r="D1493" s="64"/>
      <c r="E1493" s="65"/>
      <c r="F1493" s="66"/>
      <c r="G1493" s="63"/>
      <c r="H1493" s="67"/>
      <c r="I1493" s="68"/>
      <c r="J1493" s="68"/>
      <c r="K1493" s="32"/>
      <c r="L1493" s="75">
        <v>1493</v>
      </c>
      <c r="M1493" s="75"/>
      <c r="N1493" s="70"/>
      <c r="O1493" s="77" t="s">
        <v>179</v>
      </c>
      <c r="P1493" s="79">
        <v>45113.772152777776</v>
      </c>
      <c r="Q1493" s="77" t="s">
        <v>2579</v>
      </c>
      <c r="R1493" s="77">
        <v>1</v>
      </c>
      <c r="S1493" s="77">
        <v>3</v>
      </c>
      <c r="T1493" s="77">
        <v>0</v>
      </c>
      <c r="U1493" s="77">
        <v>0</v>
      </c>
      <c r="V1493" s="77">
        <v>411</v>
      </c>
      <c r="W1493" s="82" t="s">
        <v>5105</v>
      </c>
      <c r="X1493" s="77"/>
      <c r="Y1493" s="77"/>
      <c r="Z1493" s="77"/>
      <c r="AA1493" s="77" t="s">
        <v>7106</v>
      </c>
      <c r="AB1493" s="77" t="s">
        <v>7696</v>
      </c>
      <c r="AC1493" s="82" t="s">
        <v>7705</v>
      </c>
      <c r="AD1493" s="77" t="s">
        <v>7745</v>
      </c>
      <c r="AE1493" s="80" t="str">
        <f>HYPERLINK("https://twitter.com/organizze/status/1677022574578917398")</f>
        <v>https://twitter.com/organizze/status/1677022574578917398</v>
      </c>
      <c r="AF1493" s="79">
        <v>45113.772152777776</v>
      </c>
      <c r="AG1493" s="85">
        <v>45113</v>
      </c>
      <c r="AH1493" s="82" t="s">
        <v>9081</v>
      </c>
      <c r="AI1493" s="77" t="b">
        <v>0</v>
      </c>
      <c r="AJ1493" s="77"/>
      <c r="AK1493" s="77"/>
      <c r="AL1493" s="77"/>
      <c r="AM1493" s="77"/>
      <c r="AN1493" s="77"/>
      <c r="AO1493" s="77"/>
      <c r="AP1493" s="77"/>
      <c r="AQ1493" s="77" t="s">
        <v>11613</v>
      </c>
      <c r="AR1493" s="77"/>
      <c r="AS1493" s="77"/>
      <c r="AT1493" s="77"/>
      <c r="AU1493" s="77"/>
      <c r="AV1493" s="80" t="str">
        <f>HYPERLINK("https://pbs.twimg.com/media/F0X7JJ6WYBUhs4l.jpg")</f>
        <v>https://pbs.twimg.com/media/F0X7JJ6WYBUhs4l.jpg</v>
      </c>
      <c r="AW1493" s="82" t="s">
        <v>13668</v>
      </c>
      <c r="AX1493" s="82" t="s">
        <v>13668</v>
      </c>
      <c r="AY1493" s="77"/>
      <c r="AZ1493" s="82" t="s">
        <v>15804</v>
      </c>
      <c r="BA1493" s="82" t="s">
        <v>15804</v>
      </c>
      <c r="BB1493" s="82" t="s">
        <v>15804</v>
      </c>
      <c r="BC1493" s="82" t="s">
        <v>13668</v>
      </c>
      <c r="BD1493" s="77">
        <v>109091764</v>
      </c>
      <c r="BE1493" s="77"/>
      <c r="BF1493" s="77"/>
      <c r="BG1493" s="77"/>
      <c r="BH1493" s="77"/>
      <c r="BI1493" s="77"/>
    </row>
    <row r="1494" spans="1:61" x14ac:dyDescent="0.25">
      <c r="A1494" s="62" t="s">
        <v>694</v>
      </c>
      <c r="B1494" s="62" t="s">
        <v>694</v>
      </c>
      <c r="C1494" s="63"/>
      <c r="D1494" s="64"/>
      <c r="E1494" s="65"/>
      <c r="F1494" s="66"/>
      <c r="G1494" s="63"/>
      <c r="H1494" s="67"/>
      <c r="I1494" s="68"/>
      <c r="J1494" s="68"/>
      <c r="K1494" s="32"/>
      <c r="L1494" s="75">
        <v>1494</v>
      </c>
      <c r="M1494" s="75"/>
      <c r="N1494" s="70"/>
      <c r="O1494" s="77" t="s">
        <v>1132</v>
      </c>
      <c r="P1494" s="79">
        <v>44937.531550925924</v>
      </c>
      <c r="Q1494" s="77" t="s">
        <v>2580</v>
      </c>
      <c r="R1494" s="77">
        <v>0</v>
      </c>
      <c r="S1494" s="77">
        <v>0</v>
      </c>
      <c r="T1494" s="77">
        <v>0</v>
      </c>
      <c r="U1494" s="77">
        <v>0</v>
      </c>
      <c r="V1494" s="77">
        <v>20</v>
      </c>
      <c r="W1494" s="82" t="s">
        <v>5106</v>
      </c>
      <c r="X1494" s="77"/>
      <c r="Y1494" s="77"/>
      <c r="Z1494" s="77"/>
      <c r="AA1494" s="77" t="s">
        <v>7107</v>
      </c>
      <c r="AB1494" s="77" t="s">
        <v>7696</v>
      </c>
      <c r="AC1494" s="82" t="s">
        <v>7705</v>
      </c>
      <c r="AD1494" s="77" t="s">
        <v>7745</v>
      </c>
      <c r="AE1494" s="80" t="str">
        <f>HYPERLINK("https://twitter.com/diogocavalcante/status/1613155123181588483")</f>
        <v>https://twitter.com/diogocavalcante/status/1613155123181588483</v>
      </c>
      <c r="AF1494" s="79">
        <v>44937.531550925924</v>
      </c>
      <c r="AG1494" s="85">
        <v>44937</v>
      </c>
      <c r="AH1494" s="82" t="s">
        <v>9082</v>
      </c>
      <c r="AI1494" s="77" t="b">
        <v>0</v>
      </c>
      <c r="AJ1494" s="77"/>
      <c r="AK1494" s="77"/>
      <c r="AL1494" s="77"/>
      <c r="AM1494" s="77"/>
      <c r="AN1494" s="77"/>
      <c r="AO1494" s="77"/>
      <c r="AP1494" s="77"/>
      <c r="AQ1494" s="77" t="s">
        <v>11614</v>
      </c>
      <c r="AR1494" s="77"/>
      <c r="AS1494" s="77"/>
      <c r="AT1494" s="77"/>
      <c r="AU1494" s="77"/>
      <c r="AV1494" s="80" t="str">
        <f>HYPERLINK("https://pbs.twimg.com/media/FmMUCGrWIAAwVgf.jpg")</f>
        <v>https://pbs.twimg.com/media/FmMUCGrWIAAwVgf.jpg</v>
      </c>
      <c r="AW1494" s="82" t="s">
        <v>13669</v>
      </c>
      <c r="AX1494" s="82" t="s">
        <v>15337</v>
      </c>
      <c r="AY1494" s="82" t="s">
        <v>15749</v>
      </c>
      <c r="AZ1494" s="82" t="s">
        <v>15888</v>
      </c>
      <c r="BA1494" s="82" t="s">
        <v>15804</v>
      </c>
      <c r="BB1494" s="82" t="s">
        <v>15804</v>
      </c>
      <c r="BC1494" s="82" t="s">
        <v>15888</v>
      </c>
      <c r="BD1494" s="77">
        <v>37792011</v>
      </c>
      <c r="BE1494" s="77"/>
      <c r="BF1494" s="77"/>
      <c r="BG1494" s="77"/>
      <c r="BH1494" s="77"/>
      <c r="BI1494" s="77"/>
    </row>
    <row r="1495" spans="1:61" x14ac:dyDescent="0.25">
      <c r="A1495" s="62" t="s">
        <v>695</v>
      </c>
      <c r="B1495" s="62" t="s">
        <v>695</v>
      </c>
      <c r="C1495" s="63"/>
      <c r="D1495" s="64"/>
      <c r="E1495" s="65"/>
      <c r="F1495" s="66"/>
      <c r="G1495" s="63"/>
      <c r="H1495" s="67"/>
      <c r="I1495" s="68"/>
      <c r="J1495" s="68"/>
      <c r="K1495" s="32"/>
      <c r="L1495" s="75">
        <v>1495</v>
      </c>
      <c r="M1495" s="75"/>
      <c r="N1495" s="70"/>
      <c r="O1495" s="77" t="s">
        <v>179</v>
      </c>
      <c r="P1495" s="79">
        <v>44935.792268518519</v>
      </c>
      <c r="Q1495" s="77" t="s">
        <v>2581</v>
      </c>
      <c r="R1495" s="77">
        <v>0</v>
      </c>
      <c r="S1495" s="77">
        <v>0</v>
      </c>
      <c r="T1495" s="77">
        <v>0</v>
      </c>
      <c r="U1495" s="77">
        <v>0</v>
      </c>
      <c r="V1495" s="77">
        <v>59</v>
      </c>
      <c r="W1495" s="82" t="s">
        <v>5107</v>
      </c>
      <c r="X1495" s="77"/>
      <c r="Y1495" s="77"/>
      <c r="Z1495" s="77"/>
      <c r="AA1495" s="77" t="s">
        <v>7108</v>
      </c>
      <c r="AB1495" s="77" t="s">
        <v>7697</v>
      </c>
      <c r="AC1495" s="82" t="s">
        <v>7708</v>
      </c>
      <c r="AD1495" s="77" t="s">
        <v>7745</v>
      </c>
      <c r="AE1495" s="80" t="str">
        <f>HYPERLINK("https://twitter.com/micpodcastmedia/status/1612524825368485888")</f>
        <v>https://twitter.com/micpodcastmedia/status/1612524825368485888</v>
      </c>
      <c r="AF1495" s="79">
        <v>44935.792268518519</v>
      </c>
      <c r="AG1495" s="85">
        <v>44935</v>
      </c>
      <c r="AH1495" s="82" t="s">
        <v>9083</v>
      </c>
      <c r="AI1495" s="77" t="b">
        <v>0</v>
      </c>
      <c r="AJ1495" s="77"/>
      <c r="AK1495" s="77"/>
      <c r="AL1495" s="77"/>
      <c r="AM1495" s="77"/>
      <c r="AN1495" s="77"/>
      <c r="AO1495" s="77"/>
      <c r="AP1495" s="77"/>
      <c r="AQ1495" s="77" t="s">
        <v>11615</v>
      </c>
      <c r="AR1495" s="77">
        <v>59559</v>
      </c>
      <c r="AS1495" s="77"/>
      <c r="AT1495" s="77"/>
      <c r="AU1495" s="77">
        <v>12</v>
      </c>
      <c r="AV1495" s="80" t="str">
        <f>HYPERLINK("https://pbs.twimg.com/ext_tw_video_thumb/1612524727121108993/pu/img/-1nz8ddinBEXenDO.jpg")</f>
        <v>https://pbs.twimg.com/ext_tw_video_thumb/1612524727121108993/pu/img/-1nz8ddinBEXenDO.jpg</v>
      </c>
      <c r="AW1495" s="82" t="s">
        <v>13670</v>
      </c>
      <c r="AX1495" s="82" t="s">
        <v>13670</v>
      </c>
      <c r="AY1495" s="77"/>
      <c r="AZ1495" s="82" t="s">
        <v>15804</v>
      </c>
      <c r="BA1495" s="82" t="s">
        <v>15804</v>
      </c>
      <c r="BB1495" s="82" t="s">
        <v>15804</v>
      </c>
      <c r="BC1495" s="82" t="s">
        <v>13670</v>
      </c>
      <c r="BD1495" s="82" t="s">
        <v>16404</v>
      </c>
      <c r="BE1495" s="77"/>
      <c r="BF1495" s="77"/>
      <c r="BG1495" s="77"/>
      <c r="BH1495" s="77"/>
      <c r="BI1495" s="77"/>
    </row>
    <row r="1496" spans="1:61" x14ac:dyDescent="0.25">
      <c r="A1496" s="62" t="s">
        <v>695</v>
      </c>
      <c r="B1496" s="62" t="s">
        <v>695</v>
      </c>
      <c r="C1496" s="63"/>
      <c r="D1496" s="64"/>
      <c r="E1496" s="65"/>
      <c r="F1496" s="66"/>
      <c r="G1496" s="63"/>
      <c r="H1496" s="67"/>
      <c r="I1496" s="68"/>
      <c r="J1496" s="68"/>
      <c r="K1496" s="32"/>
      <c r="L1496" s="75">
        <v>1496</v>
      </c>
      <c r="M1496" s="75"/>
      <c r="N1496" s="70"/>
      <c r="O1496" s="77" t="s">
        <v>179</v>
      </c>
      <c r="P1496" s="79">
        <v>44934.792094907411</v>
      </c>
      <c r="Q1496" s="77" t="s">
        <v>2582</v>
      </c>
      <c r="R1496" s="77">
        <v>0</v>
      </c>
      <c r="S1496" s="77">
        <v>0</v>
      </c>
      <c r="T1496" s="77">
        <v>0</v>
      </c>
      <c r="U1496" s="77">
        <v>0</v>
      </c>
      <c r="V1496" s="77">
        <v>65</v>
      </c>
      <c r="W1496" s="82" t="s">
        <v>5108</v>
      </c>
      <c r="X1496" s="77"/>
      <c r="Y1496" s="77"/>
      <c r="Z1496" s="77"/>
      <c r="AA1496" s="77" t="s">
        <v>7109</v>
      </c>
      <c r="AB1496" s="77" t="s">
        <v>7697</v>
      </c>
      <c r="AC1496" s="82" t="s">
        <v>7708</v>
      </c>
      <c r="AD1496" s="77" t="s">
        <v>7745</v>
      </c>
      <c r="AE1496" s="80" t="str">
        <f>HYPERLINK("https://twitter.com/micpodcastmedia/status/1612162374844178432")</f>
        <v>https://twitter.com/micpodcastmedia/status/1612162374844178432</v>
      </c>
      <c r="AF1496" s="79">
        <v>44934.792094907411</v>
      </c>
      <c r="AG1496" s="85">
        <v>44934</v>
      </c>
      <c r="AH1496" s="82" t="s">
        <v>9084</v>
      </c>
      <c r="AI1496" s="77" t="b">
        <v>0</v>
      </c>
      <c r="AJ1496" s="77"/>
      <c r="AK1496" s="77"/>
      <c r="AL1496" s="77"/>
      <c r="AM1496" s="77"/>
      <c r="AN1496" s="77"/>
      <c r="AO1496" s="77"/>
      <c r="AP1496" s="77"/>
      <c r="AQ1496" s="77" t="s">
        <v>11616</v>
      </c>
      <c r="AR1496" s="77">
        <v>50967</v>
      </c>
      <c r="AS1496" s="77"/>
      <c r="AT1496" s="77"/>
      <c r="AU1496" s="77">
        <v>18</v>
      </c>
      <c r="AV1496" s="80" t="str">
        <f>HYPERLINK("https://pbs.twimg.com/ext_tw_video_thumb/1612162266853527557/pu/img/w0FfGSA83uKODBmh.jpg")</f>
        <v>https://pbs.twimg.com/ext_tw_video_thumb/1612162266853527557/pu/img/w0FfGSA83uKODBmh.jpg</v>
      </c>
      <c r="AW1496" s="82" t="s">
        <v>13671</v>
      </c>
      <c r="AX1496" s="82" t="s">
        <v>13671</v>
      </c>
      <c r="AY1496" s="77"/>
      <c r="AZ1496" s="82" t="s">
        <v>15804</v>
      </c>
      <c r="BA1496" s="82" t="s">
        <v>15804</v>
      </c>
      <c r="BB1496" s="82" t="s">
        <v>15804</v>
      </c>
      <c r="BC1496" s="82" t="s">
        <v>13671</v>
      </c>
      <c r="BD1496" s="82" t="s">
        <v>16404</v>
      </c>
      <c r="BE1496" s="77"/>
      <c r="BF1496" s="77"/>
      <c r="BG1496" s="77"/>
      <c r="BH1496" s="77"/>
      <c r="BI1496" s="77"/>
    </row>
    <row r="1497" spans="1:61" x14ac:dyDescent="0.25">
      <c r="A1497" s="62" t="s">
        <v>696</v>
      </c>
      <c r="B1497" s="62" t="s">
        <v>696</v>
      </c>
      <c r="C1497" s="63"/>
      <c r="D1497" s="64"/>
      <c r="E1497" s="65"/>
      <c r="F1497" s="66"/>
      <c r="G1497" s="63"/>
      <c r="H1497" s="67"/>
      <c r="I1497" s="68"/>
      <c r="J1497" s="68"/>
      <c r="K1497" s="32"/>
      <c r="L1497" s="75">
        <v>1497</v>
      </c>
      <c r="M1497" s="75"/>
      <c r="N1497" s="70"/>
      <c r="O1497" s="77" t="s">
        <v>1132</v>
      </c>
      <c r="P1497" s="79">
        <v>44986.661076388889</v>
      </c>
      <c r="Q1497" s="77" t="s">
        <v>2583</v>
      </c>
      <c r="R1497" s="77">
        <v>0</v>
      </c>
      <c r="S1497" s="77">
        <v>0</v>
      </c>
      <c r="T1497" s="77">
        <v>0</v>
      </c>
      <c r="U1497" s="77">
        <v>0</v>
      </c>
      <c r="V1497" s="77">
        <v>35</v>
      </c>
      <c r="W1497" s="82" t="s">
        <v>5109</v>
      </c>
      <c r="X1497" s="77"/>
      <c r="Y1497" s="77"/>
      <c r="Z1497" s="77"/>
      <c r="AA1497" s="77"/>
      <c r="AB1497" s="77"/>
      <c r="AC1497" s="82" t="s">
        <v>7707</v>
      </c>
      <c r="AD1497" s="77" t="s">
        <v>7748</v>
      </c>
      <c r="AE1497" s="80" t="str">
        <f>HYPERLINK("https://twitter.com/revistacoletiva/status/1630959063000334339")</f>
        <v>https://twitter.com/revistacoletiva/status/1630959063000334339</v>
      </c>
      <c r="AF1497" s="79">
        <v>44986.661076388889</v>
      </c>
      <c r="AG1497" s="85">
        <v>44986</v>
      </c>
      <c r="AH1497" s="82" t="s">
        <v>9085</v>
      </c>
      <c r="AI1497" s="77"/>
      <c r="AJ1497" s="77"/>
      <c r="AK1497" s="77"/>
      <c r="AL1497" s="77"/>
      <c r="AM1497" s="77"/>
      <c r="AN1497" s="77"/>
      <c r="AO1497" s="77"/>
      <c r="AP1497" s="77"/>
      <c r="AQ1497" s="77"/>
      <c r="AR1497" s="77"/>
      <c r="AS1497" s="77"/>
      <c r="AT1497" s="77"/>
      <c r="AU1497" s="77"/>
      <c r="AV1497" s="80" t="str">
        <f>HYPERLINK("https://pbs.twimg.com/profile_images/1599747375333089280/JPc_rGdW_normal.jpg")</f>
        <v>https://pbs.twimg.com/profile_images/1599747375333089280/JPc_rGdW_normal.jpg</v>
      </c>
      <c r="AW1497" s="82" t="s">
        <v>13672</v>
      </c>
      <c r="AX1497" s="82" t="s">
        <v>15338</v>
      </c>
      <c r="AY1497" s="82" t="s">
        <v>15750</v>
      </c>
      <c r="AZ1497" s="82" t="s">
        <v>15889</v>
      </c>
      <c r="BA1497" s="82" t="s">
        <v>15804</v>
      </c>
      <c r="BB1497" s="82" t="s">
        <v>15804</v>
      </c>
      <c r="BC1497" s="82" t="s">
        <v>15889</v>
      </c>
      <c r="BD1497" s="77">
        <v>124178356</v>
      </c>
      <c r="BE1497" s="77"/>
      <c r="BF1497" s="77"/>
      <c r="BG1497" s="77"/>
      <c r="BH1497" s="77"/>
      <c r="BI1497" s="77"/>
    </row>
    <row r="1498" spans="1:61" x14ac:dyDescent="0.25">
      <c r="A1498" s="62" t="s">
        <v>697</v>
      </c>
      <c r="B1498" s="62" t="s">
        <v>891</v>
      </c>
      <c r="C1498" s="63"/>
      <c r="D1498" s="64"/>
      <c r="E1498" s="65"/>
      <c r="F1498" s="66"/>
      <c r="G1498" s="63"/>
      <c r="H1498" s="67"/>
      <c r="I1498" s="68"/>
      <c r="J1498" s="68"/>
      <c r="K1498" s="32"/>
      <c r="L1498" s="75">
        <v>1498</v>
      </c>
      <c r="M1498" s="75"/>
      <c r="N1498" s="70"/>
      <c r="O1498" s="77" t="s">
        <v>1134</v>
      </c>
      <c r="P1498" s="79">
        <v>45173.748356481483</v>
      </c>
      <c r="Q1498" s="77" t="s">
        <v>2478</v>
      </c>
      <c r="R1498" s="77">
        <v>7</v>
      </c>
      <c r="S1498" s="77">
        <v>0</v>
      </c>
      <c r="T1498" s="77">
        <v>0</v>
      </c>
      <c r="U1498" s="77">
        <v>0</v>
      </c>
      <c r="V1498" s="77"/>
      <c r="W1498" s="82" t="s">
        <v>5043</v>
      </c>
      <c r="X1498" s="77"/>
      <c r="Y1498" s="77"/>
      <c r="Z1498" s="77" t="s">
        <v>891</v>
      </c>
      <c r="AA1498" s="77"/>
      <c r="AB1498" s="77"/>
      <c r="AC1498" s="82" t="s">
        <v>7706</v>
      </c>
      <c r="AD1498" s="77" t="s">
        <v>7745</v>
      </c>
      <c r="AE1498" s="80" t="str">
        <f>HYPERLINK("https://twitter.com/nomenascimento/status/1698757223961215324")</f>
        <v>https://twitter.com/nomenascimento/status/1698757223961215324</v>
      </c>
      <c r="AF1498" s="79">
        <v>45173.748356481483</v>
      </c>
      <c r="AG1498" s="85">
        <v>45173</v>
      </c>
      <c r="AH1498" s="82" t="s">
        <v>9086</v>
      </c>
      <c r="AI1498" s="77"/>
      <c r="AJ1498" s="77"/>
      <c r="AK1498" s="77"/>
      <c r="AL1498" s="77"/>
      <c r="AM1498" s="77"/>
      <c r="AN1498" s="77"/>
      <c r="AO1498" s="77"/>
      <c r="AP1498" s="77"/>
      <c r="AQ1498" s="77"/>
      <c r="AR1498" s="77"/>
      <c r="AS1498" s="77"/>
      <c r="AT1498" s="77"/>
      <c r="AU1498" s="77"/>
      <c r="AV1498" s="80" t="str">
        <f>HYPERLINK("https://pbs.twimg.com/profile_images/1632915350860750848/jE2NQ40h_normal.jpg")</f>
        <v>https://pbs.twimg.com/profile_images/1632915350860750848/jE2NQ40h_normal.jpg</v>
      </c>
      <c r="AW1498" s="82" t="s">
        <v>13673</v>
      </c>
      <c r="AX1498" s="82" t="s">
        <v>13673</v>
      </c>
      <c r="AY1498" s="77"/>
      <c r="AZ1498" s="82" t="s">
        <v>15804</v>
      </c>
      <c r="BA1498" s="82" t="s">
        <v>15804</v>
      </c>
      <c r="BB1498" s="82" t="s">
        <v>14425</v>
      </c>
      <c r="BC1498" s="82" t="s">
        <v>14425</v>
      </c>
      <c r="BD1498" s="77">
        <v>313013991</v>
      </c>
      <c r="BE1498" s="77"/>
      <c r="BF1498" s="77"/>
      <c r="BG1498" s="77"/>
      <c r="BH1498" s="77"/>
      <c r="BI1498" s="77"/>
    </row>
    <row r="1499" spans="1:61" x14ac:dyDescent="0.25">
      <c r="A1499" s="62" t="s">
        <v>698</v>
      </c>
      <c r="B1499" s="62" t="s">
        <v>891</v>
      </c>
      <c r="C1499" s="63"/>
      <c r="D1499" s="64"/>
      <c r="E1499" s="65"/>
      <c r="F1499" s="66"/>
      <c r="G1499" s="63"/>
      <c r="H1499" s="67"/>
      <c r="I1499" s="68"/>
      <c r="J1499" s="68"/>
      <c r="K1499" s="32"/>
      <c r="L1499" s="75">
        <v>1499</v>
      </c>
      <c r="M1499" s="75"/>
      <c r="N1499" s="70"/>
      <c r="O1499" s="77" t="s">
        <v>1134</v>
      </c>
      <c r="P1499" s="79">
        <v>45173.755358796298</v>
      </c>
      <c r="Q1499" s="77" t="s">
        <v>2478</v>
      </c>
      <c r="R1499" s="77">
        <v>7</v>
      </c>
      <c r="S1499" s="77">
        <v>0</v>
      </c>
      <c r="T1499" s="77">
        <v>0</v>
      </c>
      <c r="U1499" s="77">
        <v>0</v>
      </c>
      <c r="V1499" s="77"/>
      <c r="W1499" s="82" t="s">
        <v>5043</v>
      </c>
      <c r="X1499" s="77"/>
      <c r="Y1499" s="77"/>
      <c r="Z1499" s="77" t="s">
        <v>891</v>
      </c>
      <c r="AA1499" s="77"/>
      <c r="AB1499" s="77"/>
      <c r="AC1499" s="82" t="s">
        <v>7706</v>
      </c>
      <c r="AD1499" s="77" t="s">
        <v>7745</v>
      </c>
      <c r="AE1499" s="80" t="str">
        <f>HYPERLINK("https://twitter.com/profandersonmat/status/1698759761502626089")</f>
        <v>https://twitter.com/profandersonmat/status/1698759761502626089</v>
      </c>
      <c r="AF1499" s="79">
        <v>45173.755358796298</v>
      </c>
      <c r="AG1499" s="85">
        <v>45173</v>
      </c>
      <c r="AH1499" s="82" t="s">
        <v>9087</v>
      </c>
      <c r="AI1499" s="77"/>
      <c r="AJ1499" s="77"/>
      <c r="AK1499" s="77"/>
      <c r="AL1499" s="77"/>
      <c r="AM1499" s="77"/>
      <c r="AN1499" s="77"/>
      <c r="AO1499" s="77"/>
      <c r="AP1499" s="77"/>
      <c r="AQ1499" s="77"/>
      <c r="AR1499" s="77"/>
      <c r="AS1499" s="77"/>
      <c r="AT1499" s="77"/>
      <c r="AU1499" s="77"/>
      <c r="AV1499" s="80" t="str">
        <f>HYPERLINK("https://pbs.twimg.com/profile_images/1649923906227126273/JTSk0ERO_normal.jpg")</f>
        <v>https://pbs.twimg.com/profile_images/1649923906227126273/JTSk0ERO_normal.jpg</v>
      </c>
      <c r="AW1499" s="82" t="s">
        <v>13674</v>
      </c>
      <c r="AX1499" s="82" t="s">
        <v>13674</v>
      </c>
      <c r="AY1499" s="77"/>
      <c r="AZ1499" s="82" t="s">
        <v>15804</v>
      </c>
      <c r="BA1499" s="82" t="s">
        <v>15804</v>
      </c>
      <c r="BB1499" s="82" t="s">
        <v>14425</v>
      </c>
      <c r="BC1499" s="82" t="s">
        <v>14425</v>
      </c>
      <c r="BD1499" s="82" t="s">
        <v>16405</v>
      </c>
      <c r="BE1499" s="77"/>
      <c r="BF1499" s="77"/>
      <c r="BG1499" s="77"/>
      <c r="BH1499" s="77"/>
      <c r="BI1499" s="77"/>
    </row>
    <row r="1500" spans="1:61" x14ac:dyDescent="0.25">
      <c r="A1500" s="62" t="s">
        <v>699</v>
      </c>
      <c r="B1500" s="62" t="s">
        <v>699</v>
      </c>
      <c r="C1500" s="63"/>
      <c r="D1500" s="64"/>
      <c r="E1500" s="65"/>
      <c r="F1500" s="66"/>
      <c r="G1500" s="63"/>
      <c r="H1500" s="67"/>
      <c r="I1500" s="68"/>
      <c r="J1500" s="68"/>
      <c r="K1500" s="32"/>
      <c r="L1500" s="75">
        <v>1500</v>
      </c>
      <c r="M1500" s="75"/>
      <c r="N1500" s="70"/>
      <c r="O1500" s="77" t="s">
        <v>179</v>
      </c>
      <c r="P1500" s="79">
        <v>44996.136273148149</v>
      </c>
      <c r="Q1500" s="77" t="s">
        <v>2584</v>
      </c>
      <c r="R1500" s="77">
        <v>0</v>
      </c>
      <c r="S1500" s="77">
        <v>0</v>
      </c>
      <c r="T1500" s="77">
        <v>0</v>
      </c>
      <c r="U1500" s="77">
        <v>0</v>
      </c>
      <c r="V1500" s="77">
        <v>10</v>
      </c>
      <c r="W1500" s="82" t="s">
        <v>4622</v>
      </c>
      <c r="X1500" s="77"/>
      <c r="Y1500" s="77"/>
      <c r="Z1500" s="77"/>
      <c r="AA1500" s="77"/>
      <c r="AB1500" s="77"/>
      <c r="AC1500" s="82" t="s">
        <v>7707</v>
      </c>
      <c r="AD1500" s="77" t="s">
        <v>7745</v>
      </c>
      <c r="AE1500" s="80" t="str">
        <f>HYPERLINK("https://twitter.com/saosonegocios/status/1634392762383572992")</f>
        <v>https://twitter.com/saosonegocios/status/1634392762383572992</v>
      </c>
      <c r="AF1500" s="79">
        <v>44996.136273148149</v>
      </c>
      <c r="AG1500" s="85">
        <v>44996</v>
      </c>
      <c r="AH1500" s="82" t="s">
        <v>9088</v>
      </c>
      <c r="AI1500" s="77"/>
      <c r="AJ1500" s="77"/>
      <c r="AK1500" s="77"/>
      <c r="AL1500" s="77"/>
      <c r="AM1500" s="77"/>
      <c r="AN1500" s="77"/>
      <c r="AO1500" s="77"/>
      <c r="AP1500" s="77"/>
      <c r="AQ1500" s="77"/>
      <c r="AR1500" s="77"/>
      <c r="AS1500" s="77"/>
      <c r="AT1500" s="77"/>
      <c r="AU1500" s="77"/>
      <c r="AV1500" s="80" t="str">
        <f>HYPERLINK("https://pbs.twimg.com/profile_images/1634373755383291904/PKS6Ou4z_normal.jpg")</f>
        <v>https://pbs.twimg.com/profile_images/1634373755383291904/PKS6Ou4z_normal.jpg</v>
      </c>
      <c r="AW1500" s="82" t="s">
        <v>13675</v>
      </c>
      <c r="AX1500" s="82" t="s">
        <v>13675</v>
      </c>
      <c r="AY1500" s="77"/>
      <c r="AZ1500" s="82" t="s">
        <v>15804</v>
      </c>
      <c r="BA1500" s="82" t="s">
        <v>15804</v>
      </c>
      <c r="BB1500" s="82" t="s">
        <v>15804</v>
      </c>
      <c r="BC1500" s="82" t="s">
        <v>13675</v>
      </c>
      <c r="BD1500" s="82" t="s">
        <v>16406</v>
      </c>
      <c r="BE1500" s="77"/>
      <c r="BF1500" s="77"/>
      <c r="BG1500" s="77"/>
      <c r="BH1500" s="77"/>
      <c r="BI1500" s="77"/>
    </row>
    <row r="1501" spans="1:61" x14ac:dyDescent="0.25">
      <c r="A1501" s="62" t="s">
        <v>700</v>
      </c>
      <c r="B1501" s="62" t="s">
        <v>700</v>
      </c>
      <c r="C1501" s="63"/>
      <c r="D1501" s="64"/>
      <c r="E1501" s="65"/>
      <c r="F1501" s="66"/>
      <c r="G1501" s="63"/>
      <c r="H1501" s="67"/>
      <c r="I1501" s="68"/>
      <c r="J1501" s="68"/>
      <c r="K1501" s="32"/>
      <c r="L1501" s="75">
        <v>1501</v>
      </c>
      <c r="M1501" s="75"/>
      <c r="N1501" s="70"/>
      <c r="O1501" s="77" t="s">
        <v>179</v>
      </c>
      <c r="P1501" s="79">
        <v>45054.246168981481</v>
      </c>
      <c r="Q1501" s="77" t="s">
        <v>2585</v>
      </c>
      <c r="R1501" s="77">
        <v>1</v>
      </c>
      <c r="S1501" s="77">
        <v>0</v>
      </c>
      <c r="T1501" s="77">
        <v>0</v>
      </c>
      <c r="U1501" s="77">
        <v>0</v>
      </c>
      <c r="V1501" s="77">
        <v>46</v>
      </c>
      <c r="W1501" s="82" t="s">
        <v>5110</v>
      </c>
      <c r="X1501" s="77"/>
      <c r="Y1501" s="77"/>
      <c r="Z1501" s="77"/>
      <c r="AA1501" s="77" t="s">
        <v>7110</v>
      </c>
      <c r="AB1501" s="77" t="s">
        <v>7696</v>
      </c>
      <c r="AC1501" s="82" t="s">
        <v>7705</v>
      </c>
      <c r="AD1501" s="77" t="s">
        <v>7745</v>
      </c>
      <c r="AE1501" s="80" t="str">
        <f>HYPERLINK("https://twitter.com/econcompleta/status/1655451082359812096")</f>
        <v>https://twitter.com/econcompleta/status/1655451082359812096</v>
      </c>
      <c r="AF1501" s="79">
        <v>45054.246168981481</v>
      </c>
      <c r="AG1501" s="85">
        <v>45054</v>
      </c>
      <c r="AH1501" s="82" t="s">
        <v>9089</v>
      </c>
      <c r="AI1501" s="77" t="b">
        <v>0</v>
      </c>
      <c r="AJ1501" s="77"/>
      <c r="AK1501" s="77"/>
      <c r="AL1501" s="77"/>
      <c r="AM1501" s="77"/>
      <c r="AN1501" s="77"/>
      <c r="AO1501" s="77"/>
      <c r="AP1501" s="77"/>
      <c r="AQ1501" s="77" t="s">
        <v>11617</v>
      </c>
      <c r="AR1501" s="77"/>
      <c r="AS1501" s="77"/>
      <c r="AT1501" s="77"/>
      <c r="AU1501" s="77"/>
      <c r="AV1501" s="80" t="str">
        <f>HYPERLINK("https://pbs.twimg.com/media/FvlX-_HXwAAKhnE.jpg")</f>
        <v>https://pbs.twimg.com/media/FvlX-_HXwAAKhnE.jpg</v>
      </c>
      <c r="AW1501" s="82" t="s">
        <v>13676</v>
      </c>
      <c r="AX1501" s="82" t="s">
        <v>13676</v>
      </c>
      <c r="AY1501" s="77"/>
      <c r="AZ1501" s="82" t="s">
        <v>15804</v>
      </c>
      <c r="BA1501" s="82" t="s">
        <v>15804</v>
      </c>
      <c r="BB1501" s="82" t="s">
        <v>15804</v>
      </c>
      <c r="BC1501" s="82" t="s">
        <v>13676</v>
      </c>
      <c r="BD1501" s="82" t="s">
        <v>16407</v>
      </c>
      <c r="BE1501" s="77"/>
      <c r="BF1501" s="77"/>
      <c r="BG1501" s="77"/>
      <c r="BH1501" s="77"/>
      <c r="BI1501" s="77"/>
    </row>
    <row r="1502" spans="1:61" x14ac:dyDescent="0.25">
      <c r="A1502" s="62" t="s">
        <v>701</v>
      </c>
      <c r="B1502" s="62" t="s">
        <v>701</v>
      </c>
      <c r="C1502" s="63"/>
      <c r="D1502" s="64"/>
      <c r="E1502" s="65"/>
      <c r="F1502" s="66"/>
      <c r="G1502" s="63"/>
      <c r="H1502" s="67"/>
      <c r="I1502" s="68"/>
      <c r="J1502" s="68"/>
      <c r="K1502" s="32"/>
      <c r="L1502" s="75">
        <v>1502</v>
      </c>
      <c r="M1502" s="75"/>
      <c r="N1502" s="70"/>
      <c r="O1502" s="77" t="s">
        <v>179</v>
      </c>
      <c r="P1502" s="79">
        <v>45058.826562499999</v>
      </c>
      <c r="Q1502" s="77" t="s">
        <v>2586</v>
      </c>
      <c r="R1502" s="77">
        <v>0</v>
      </c>
      <c r="S1502" s="77">
        <v>0</v>
      </c>
      <c r="T1502" s="77">
        <v>0</v>
      </c>
      <c r="U1502" s="77">
        <v>0</v>
      </c>
      <c r="V1502" s="77">
        <v>9</v>
      </c>
      <c r="W1502" s="82" t="s">
        <v>5111</v>
      </c>
      <c r="X1502" s="80" t="str">
        <f>HYPERLINK("https://conteudo.paivapiovesan.com/dia-das-maes")</f>
        <v>https://conteudo.paivapiovesan.com/dia-das-maes</v>
      </c>
      <c r="Y1502" s="77" t="s">
        <v>6076</v>
      </c>
      <c r="Z1502" s="77"/>
      <c r="AA1502" s="77" t="s">
        <v>7111</v>
      </c>
      <c r="AB1502" s="77" t="s">
        <v>7696</v>
      </c>
      <c r="AC1502" s="82" t="s">
        <v>7706</v>
      </c>
      <c r="AD1502" s="77" t="s">
        <v>7745</v>
      </c>
      <c r="AE1502" s="80" t="str">
        <f>HYPERLINK("https://twitter.com/paivapiovesan/status/1657110959503163393")</f>
        <v>https://twitter.com/paivapiovesan/status/1657110959503163393</v>
      </c>
      <c r="AF1502" s="79">
        <v>45058.826562499999</v>
      </c>
      <c r="AG1502" s="85">
        <v>45058</v>
      </c>
      <c r="AH1502" s="82" t="s">
        <v>9090</v>
      </c>
      <c r="AI1502" s="77" t="b">
        <v>0</v>
      </c>
      <c r="AJ1502" s="77"/>
      <c r="AK1502" s="77"/>
      <c r="AL1502" s="77"/>
      <c r="AM1502" s="77"/>
      <c r="AN1502" s="77"/>
      <c r="AO1502" s="77"/>
      <c r="AP1502" s="77"/>
      <c r="AQ1502" s="77" t="s">
        <v>11618</v>
      </c>
      <c r="AR1502" s="77"/>
      <c r="AS1502" s="77"/>
      <c r="AT1502" s="77"/>
      <c r="AU1502" s="77"/>
      <c r="AV1502" s="80" t="str">
        <f>HYPERLINK("https://pbs.twimg.com/media/Fv89oP2X0BkzxH4.jpg")</f>
        <v>https://pbs.twimg.com/media/Fv89oP2X0BkzxH4.jpg</v>
      </c>
      <c r="AW1502" s="82" t="s">
        <v>13677</v>
      </c>
      <c r="AX1502" s="82" t="s">
        <v>13677</v>
      </c>
      <c r="AY1502" s="77"/>
      <c r="AZ1502" s="82" t="s">
        <v>15804</v>
      </c>
      <c r="BA1502" s="82" t="s">
        <v>15804</v>
      </c>
      <c r="BB1502" s="82" t="s">
        <v>15804</v>
      </c>
      <c r="BC1502" s="82" t="s">
        <v>13677</v>
      </c>
      <c r="BD1502" s="77">
        <v>43351877</v>
      </c>
      <c r="BE1502" s="77"/>
      <c r="BF1502" s="77"/>
      <c r="BG1502" s="77"/>
      <c r="BH1502" s="77"/>
      <c r="BI1502" s="77"/>
    </row>
    <row r="1503" spans="1:61" x14ac:dyDescent="0.25">
      <c r="A1503" s="62" t="s">
        <v>702</v>
      </c>
      <c r="B1503" s="62" t="s">
        <v>702</v>
      </c>
      <c r="C1503" s="63"/>
      <c r="D1503" s="64"/>
      <c r="E1503" s="65"/>
      <c r="F1503" s="66"/>
      <c r="G1503" s="63"/>
      <c r="H1503" s="67"/>
      <c r="I1503" s="68"/>
      <c r="J1503" s="68"/>
      <c r="K1503" s="32"/>
      <c r="L1503" s="75">
        <v>1503</v>
      </c>
      <c r="M1503" s="75"/>
      <c r="N1503" s="70"/>
      <c r="O1503" s="77" t="s">
        <v>179</v>
      </c>
      <c r="P1503" s="79">
        <v>44948.705671296295</v>
      </c>
      <c r="Q1503" s="77" t="s">
        <v>2587</v>
      </c>
      <c r="R1503" s="77">
        <v>0</v>
      </c>
      <c r="S1503" s="77">
        <v>1</v>
      </c>
      <c r="T1503" s="77">
        <v>0</v>
      </c>
      <c r="U1503" s="77">
        <v>0</v>
      </c>
      <c r="V1503" s="77">
        <v>13</v>
      </c>
      <c r="W1503" s="82" t="s">
        <v>5112</v>
      </c>
      <c r="X1503" s="80" t="str">
        <f>HYPERLINK("https://www.instagram.com/p/CnuThTKOJ3b/?igshid=MDJmNzVkMjY=")</f>
        <v>https://www.instagram.com/p/CnuThTKOJ3b/?igshid=MDJmNzVkMjY=</v>
      </c>
      <c r="Y1503" s="77" t="s">
        <v>6000</v>
      </c>
      <c r="Z1503" s="77"/>
      <c r="AA1503" s="77"/>
      <c r="AB1503" s="77"/>
      <c r="AC1503" s="82" t="s">
        <v>7707</v>
      </c>
      <c r="AD1503" s="77" t="s">
        <v>7745</v>
      </c>
      <c r="AE1503" s="80" t="str">
        <f>HYPERLINK("https://twitter.com/viscondesd/status/1617204486077808642")</f>
        <v>https://twitter.com/viscondesd/status/1617204486077808642</v>
      </c>
      <c r="AF1503" s="79">
        <v>44948.705671296295</v>
      </c>
      <c r="AG1503" s="85">
        <v>44948</v>
      </c>
      <c r="AH1503" s="82" t="s">
        <v>9091</v>
      </c>
      <c r="AI1503" s="77" t="b">
        <v>0</v>
      </c>
      <c r="AJ1503" s="77"/>
      <c r="AK1503" s="77"/>
      <c r="AL1503" s="77"/>
      <c r="AM1503" s="77"/>
      <c r="AN1503" s="77"/>
      <c r="AO1503" s="77"/>
      <c r="AP1503" s="77"/>
      <c r="AQ1503" s="77"/>
      <c r="AR1503" s="77"/>
      <c r="AS1503" s="77"/>
      <c r="AT1503" s="77"/>
      <c r="AU1503" s="77"/>
      <c r="AV1503" s="80" t="str">
        <f>HYPERLINK("https://pbs.twimg.com/profile_images/1601752653381386246/NiU8X6t__normal.jpg")</f>
        <v>https://pbs.twimg.com/profile_images/1601752653381386246/NiU8X6t__normal.jpg</v>
      </c>
      <c r="AW1503" s="82" t="s">
        <v>13678</v>
      </c>
      <c r="AX1503" s="82" t="s">
        <v>13678</v>
      </c>
      <c r="AY1503" s="77"/>
      <c r="AZ1503" s="82" t="s">
        <v>15804</v>
      </c>
      <c r="BA1503" s="82" t="s">
        <v>15804</v>
      </c>
      <c r="BB1503" s="82" t="s">
        <v>15804</v>
      </c>
      <c r="BC1503" s="82" t="s">
        <v>13678</v>
      </c>
      <c r="BD1503" s="82" t="s">
        <v>16408</v>
      </c>
      <c r="BE1503" s="77"/>
      <c r="BF1503" s="77"/>
      <c r="BG1503" s="77"/>
      <c r="BH1503" s="77"/>
      <c r="BI1503" s="77"/>
    </row>
    <row r="1504" spans="1:61" x14ac:dyDescent="0.25">
      <c r="A1504" s="62" t="s">
        <v>703</v>
      </c>
      <c r="B1504" s="62" t="s">
        <v>1095</v>
      </c>
      <c r="C1504" s="63"/>
      <c r="D1504" s="64"/>
      <c r="E1504" s="65"/>
      <c r="F1504" s="66"/>
      <c r="G1504" s="63"/>
      <c r="H1504" s="67"/>
      <c r="I1504" s="68"/>
      <c r="J1504" s="68"/>
      <c r="K1504" s="32"/>
      <c r="L1504" s="75">
        <v>1504</v>
      </c>
      <c r="M1504" s="75"/>
      <c r="N1504" s="70"/>
      <c r="O1504" s="77" t="s">
        <v>1137</v>
      </c>
      <c r="P1504" s="79">
        <v>45106.51090277778</v>
      </c>
      <c r="Q1504" s="77" t="s">
        <v>2588</v>
      </c>
      <c r="R1504" s="77">
        <v>0</v>
      </c>
      <c r="S1504" s="77">
        <v>6</v>
      </c>
      <c r="T1504" s="77">
        <v>0</v>
      </c>
      <c r="U1504" s="77">
        <v>0</v>
      </c>
      <c r="V1504" s="77">
        <v>427</v>
      </c>
      <c r="W1504" s="82" t="s">
        <v>5113</v>
      </c>
      <c r="X1504" s="77"/>
      <c r="Y1504" s="77"/>
      <c r="Z1504" s="77" t="s">
        <v>6131</v>
      </c>
      <c r="AA1504" s="77"/>
      <c r="AB1504" s="77"/>
      <c r="AC1504" s="82" t="s">
        <v>7705</v>
      </c>
      <c r="AD1504" s="77" t="s">
        <v>7745</v>
      </c>
      <c r="AE1504" s="80" t="str">
        <f>HYPERLINK("https://twitter.com/denisectoledo8/status/1674391188374257669")</f>
        <v>https://twitter.com/denisectoledo8/status/1674391188374257669</v>
      </c>
      <c r="AF1504" s="79">
        <v>45106.51090277778</v>
      </c>
      <c r="AG1504" s="85">
        <v>45106</v>
      </c>
      <c r="AH1504" s="82" t="s">
        <v>9092</v>
      </c>
      <c r="AI1504" s="77"/>
      <c r="AJ1504" s="77"/>
      <c r="AK1504" s="77"/>
      <c r="AL1504" s="77"/>
      <c r="AM1504" s="77"/>
      <c r="AN1504" s="77"/>
      <c r="AO1504" s="77"/>
      <c r="AP1504" s="77"/>
      <c r="AQ1504" s="77"/>
      <c r="AR1504" s="77"/>
      <c r="AS1504" s="77"/>
      <c r="AT1504" s="77"/>
      <c r="AU1504" s="77"/>
      <c r="AV1504" s="80" t="str">
        <f>HYPERLINK("https://pbs.twimg.com/profile_images/1232518826866155525/uMW_Km2P_normal.jpg")</f>
        <v>https://pbs.twimg.com/profile_images/1232518826866155525/uMW_Km2P_normal.jpg</v>
      </c>
      <c r="AW1504" s="82" t="s">
        <v>13679</v>
      </c>
      <c r="AX1504" s="82" t="s">
        <v>13679</v>
      </c>
      <c r="AY1504" s="77"/>
      <c r="AZ1504" s="82" t="s">
        <v>15804</v>
      </c>
      <c r="BA1504" s="82" t="s">
        <v>13680</v>
      </c>
      <c r="BB1504" s="82" t="s">
        <v>15804</v>
      </c>
      <c r="BC1504" s="82" t="s">
        <v>13680</v>
      </c>
      <c r="BD1504" s="77">
        <v>2670530420</v>
      </c>
      <c r="BE1504" s="77"/>
      <c r="BF1504" s="77"/>
      <c r="BG1504" s="77"/>
      <c r="BH1504" s="77"/>
      <c r="BI1504" s="77"/>
    </row>
    <row r="1505" spans="1:61" x14ac:dyDescent="0.25">
      <c r="A1505" s="62" t="s">
        <v>704</v>
      </c>
      <c r="B1505" s="62" t="s">
        <v>704</v>
      </c>
      <c r="C1505" s="63"/>
      <c r="D1505" s="64"/>
      <c r="E1505" s="65"/>
      <c r="F1505" s="66"/>
      <c r="G1505" s="63"/>
      <c r="H1505" s="67"/>
      <c r="I1505" s="68"/>
      <c r="J1505" s="68"/>
      <c r="K1505" s="32"/>
      <c r="L1505" s="75">
        <v>1505</v>
      </c>
      <c r="M1505" s="75"/>
      <c r="N1505" s="70"/>
      <c r="O1505" s="77" t="s">
        <v>179</v>
      </c>
      <c r="P1505" s="79">
        <v>45105.944907407407</v>
      </c>
      <c r="Q1505" s="77" t="s">
        <v>2589</v>
      </c>
      <c r="R1505" s="77">
        <v>0</v>
      </c>
      <c r="S1505" s="77">
        <v>0</v>
      </c>
      <c r="T1505" s="77">
        <v>0</v>
      </c>
      <c r="U1505" s="77">
        <v>1</v>
      </c>
      <c r="V1505" s="77">
        <v>496</v>
      </c>
      <c r="W1505" s="77"/>
      <c r="X1505" s="77"/>
      <c r="Y1505" s="77"/>
      <c r="Z1505" s="77"/>
      <c r="AA1505" s="77" t="s">
        <v>7112</v>
      </c>
      <c r="AB1505" s="77" t="s">
        <v>7697</v>
      </c>
      <c r="AC1505" s="82" t="s">
        <v>7734</v>
      </c>
      <c r="AD1505" s="77" t="s">
        <v>7745</v>
      </c>
      <c r="AE1505" s="80" t="str">
        <f>HYPERLINK("https://twitter.com/jornaldagazeta/status/1674186076288876545")</f>
        <v>https://twitter.com/jornaldagazeta/status/1674186076288876545</v>
      </c>
      <c r="AF1505" s="79">
        <v>45105.944907407407</v>
      </c>
      <c r="AG1505" s="85">
        <v>45105</v>
      </c>
      <c r="AH1505" s="82" t="s">
        <v>9093</v>
      </c>
      <c r="AI1505" s="77" t="b">
        <v>0</v>
      </c>
      <c r="AJ1505" s="77"/>
      <c r="AK1505" s="77"/>
      <c r="AL1505" s="77"/>
      <c r="AM1505" s="77"/>
      <c r="AN1505" s="77"/>
      <c r="AO1505" s="77"/>
      <c r="AP1505" s="77"/>
      <c r="AQ1505" s="77" t="s">
        <v>11619</v>
      </c>
      <c r="AR1505" s="77">
        <v>156107</v>
      </c>
      <c r="AS1505" s="77"/>
      <c r="AT1505" s="77"/>
      <c r="AU1505" s="77">
        <v>160</v>
      </c>
      <c r="AV1505" s="80" t="str">
        <f>HYPERLINK("https://pbs.twimg.com/amplify_video_thumb/1674185878233833473/img/OhppG6LTU2pvYG-T.jpg")</f>
        <v>https://pbs.twimg.com/amplify_video_thumb/1674185878233833473/img/OhppG6LTU2pvYG-T.jpg</v>
      </c>
      <c r="AW1505" s="82" t="s">
        <v>13680</v>
      </c>
      <c r="AX1505" s="82" t="s">
        <v>13680</v>
      </c>
      <c r="AY1505" s="77"/>
      <c r="AZ1505" s="82" t="s">
        <v>15804</v>
      </c>
      <c r="BA1505" s="82" t="s">
        <v>15804</v>
      </c>
      <c r="BB1505" s="82" t="s">
        <v>15804</v>
      </c>
      <c r="BC1505" s="82" t="s">
        <v>13680</v>
      </c>
      <c r="BD1505" s="77">
        <v>35005785</v>
      </c>
      <c r="BE1505" s="77"/>
      <c r="BF1505" s="77"/>
      <c r="BG1505" s="77"/>
      <c r="BH1505" s="77"/>
      <c r="BI1505" s="77"/>
    </row>
    <row r="1506" spans="1:61" x14ac:dyDescent="0.25">
      <c r="A1506" s="62" t="s">
        <v>703</v>
      </c>
      <c r="B1506" s="62" t="s">
        <v>704</v>
      </c>
      <c r="C1506" s="63"/>
      <c r="D1506" s="64"/>
      <c r="E1506" s="65"/>
      <c r="F1506" s="66"/>
      <c r="G1506" s="63"/>
      <c r="H1506" s="67"/>
      <c r="I1506" s="68"/>
      <c r="J1506" s="68"/>
      <c r="K1506" s="32"/>
      <c r="L1506" s="75">
        <v>1506</v>
      </c>
      <c r="M1506" s="75"/>
      <c r="N1506" s="70"/>
      <c r="O1506" s="77" t="s">
        <v>1137</v>
      </c>
      <c r="P1506" s="79">
        <v>45106.51090277778</v>
      </c>
      <c r="Q1506" s="77" t="s">
        <v>2588</v>
      </c>
      <c r="R1506" s="77">
        <v>0</v>
      </c>
      <c r="S1506" s="77">
        <v>6</v>
      </c>
      <c r="T1506" s="77">
        <v>0</v>
      </c>
      <c r="U1506" s="77">
        <v>0</v>
      </c>
      <c r="V1506" s="77">
        <v>427</v>
      </c>
      <c r="W1506" s="82" t="s">
        <v>5113</v>
      </c>
      <c r="X1506" s="77"/>
      <c r="Y1506" s="77"/>
      <c r="Z1506" s="77" t="s">
        <v>6131</v>
      </c>
      <c r="AA1506" s="77"/>
      <c r="AB1506" s="77"/>
      <c r="AC1506" s="82" t="s">
        <v>7705</v>
      </c>
      <c r="AD1506" s="77" t="s">
        <v>7745</v>
      </c>
      <c r="AE1506" s="80" t="str">
        <f>HYPERLINK("https://twitter.com/denisectoledo8/status/1674391188374257669")</f>
        <v>https://twitter.com/denisectoledo8/status/1674391188374257669</v>
      </c>
      <c r="AF1506" s="79">
        <v>45106.51090277778</v>
      </c>
      <c r="AG1506" s="85">
        <v>45106</v>
      </c>
      <c r="AH1506" s="82" t="s">
        <v>9092</v>
      </c>
      <c r="AI1506" s="77"/>
      <c r="AJ1506" s="77"/>
      <c r="AK1506" s="77"/>
      <c r="AL1506" s="77"/>
      <c r="AM1506" s="77"/>
      <c r="AN1506" s="77"/>
      <c r="AO1506" s="77"/>
      <c r="AP1506" s="77"/>
      <c r="AQ1506" s="77"/>
      <c r="AR1506" s="77"/>
      <c r="AS1506" s="77"/>
      <c r="AT1506" s="77"/>
      <c r="AU1506" s="77"/>
      <c r="AV1506" s="80" t="str">
        <f>HYPERLINK("https://pbs.twimg.com/profile_images/1232518826866155525/uMW_Km2P_normal.jpg")</f>
        <v>https://pbs.twimg.com/profile_images/1232518826866155525/uMW_Km2P_normal.jpg</v>
      </c>
      <c r="AW1506" s="82" t="s">
        <v>13679</v>
      </c>
      <c r="AX1506" s="82" t="s">
        <v>13679</v>
      </c>
      <c r="AY1506" s="77"/>
      <c r="AZ1506" s="82" t="s">
        <v>15804</v>
      </c>
      <c r="BA1506" s="82" t="s">
        <v>13680</v>
      </c>
      <c r="BB1506" s="82" t="s">
        <v>15804</v>
      </c>
      <c r="BC1506" s="82" t="s">
        <v>13680</v>
      </c>
      <c r="BD1506" s="77">
        <v>2670530420</v>
      </c>
      <c r="BE1506" s="77"/>
      <c r="BF1506" s="77"/>
      <c r="BG1506" s="77"/>
      <c r="BH1506" s="77"/>
      <c r="BI1506" s="77"/>
    </row>
    <row r="1507" spans="1:61" x14ac:dyDescent="0.25">
      <c r="A1507" s="62" t="s">
        <v>703</v>
      </c>
      <c r="B1507" s="62" t="s">
        <v>704</v>
      </c>
      <c r="C1507" s="63"/>
      <c r="D1507" s="64"/>
      <c r="E1507" s="65"/>
      <c r="F1507" s="66"/>
      <c r="G1507" s="63"/>
      <c r="H1507" s="67"/>
      <c r="I1507" s="68"/>
      <c r="J1507" s="68"/>
      <c r="K1507" s="32"/>
      <c r="L1507" s="75">
        <v>1507</v>
      </c>
      <c r="M1507" s="75"/>
      <c r="N1507" s="70"/>
      <c r="O1507" s="77" t="s">
        <v>1135</v>
      </c>
      <c r="P1507" s="79">
        <v>45106.51090277778</v>
      </c>
      <c r="Q1507" s="77" t="s">
        <v>2588</v>
      </c>
      <c r="R1507" s="77">
        <v>0</v>
      </c>
      <c r="S1507" s="77">
        <v>6</v>
      </c>
      <c r="T1507" s="77">
        <v>0</v>
      </c>
      <c r="U1507" s="77">
        <v>0</v>
      </c>
      <c r="V1507" s="77">
        <v>427</v>
      </c>
      <c r="W1507" s="82" t="s">
        <v>5113</v>
      </c>
      <c r="X1507" s="77"/>
      <c r="Y1507" s="77"/>
      <c r="Z1507" s="77" t="s">
        <v>6131</v>
      </c>
      <c r="AA1507" s="77"/>
      <c r="AB1507" s="77"/>
      <c r="AC1507" s="82" t="s">
        <v>7705</v>
      </c>
      <c r="AD1507" s="77" t="s">
        <v>7745</v>
      </c>
      <c r="AE1507" s="80" t="str">
        <f>HYPERLINK("https://twitter.com/denisectoledo8/status/1674391188374257669")</f>
        <v>https://twitter.com/denisectoledo8/status/1674391188374257669</v>
      </c>
      <c r="AF1507" s="79">
        <v>45106.51090277778</v>
      </c>
      <c r="AG1507" s="85">
        <v>45106</v>
      </c>
      <c r="AH1507" s="82" t="s">
        <v>9092</v>
      </c>
      <c r="AI1507" s="77"/>
      <c r="AJ1507" s="77"/>
      <c r="AK1507" s="77"/>
      <c r="AL1507" s="77"/>
      <c r="AM1507" s="77"/>
      <c r="AN1507" s="77"/>
      <c r="AO1507" s="77"/>
      <c r="AP1507" s="77"/>
      <c r="AQ1507" s="77"/>
      <c r="AR1507" s="77"/>
      <c r="AS1507" s="77"/>
      <c r="AT1507" s="77"/>
      <c r="AU1507" s="77"/>
      <c r="AV1507" s="80" t="str">
        <f>HYPERLINK("https://pbs.twimg.com/profile_images/1232518826866155525/uMW_Km2P_normal.jpg")</f>
        <v>https://pbs.twimg.com/profile_images/1232518826866155525/uMW_Km2P_normal.jpg</v>
      </c>
      <c r="AW1507" s="82" t="s">
        <v>13679</v>
      </c>
      <c r="AX1507" s="82" t="s">
        <v>13679</v>
      </c>
      <c r="AY1507" s="77"/>
      <c r="AZ1507" s="82" t="s">
        <v>15804</v>
      </c>
      <c r="BA1507" s="82" t="s">
        <v>13680</v>
      </c>
      <c r="BB1507" s="82" t="s">
        <v>15804</v>
      </c>
      <c r="BC1507" s="82" t="s">
        <v>13680</v>
      </c>
      <c r="BD1507" s="77">
        <v>2670530420</v>
      </c>
      <c r="BE1507" s="77"/>
      <c r="BF1507" s="77"/>
      <c r="BG1507" s="77"/>
      <c r="BH1507" s="77"/>
      <c r="BI1507" s="77"/>
    </row>
    <row r="1508" spans="1:61" x14ac:dyDescent="0.25">
      <c r="A1508" s="62" t="s">
        <v>705</v>
      </c>
      <c r="B1508" s="62" t="s">
        <v>705</v>
      </c>
      <c r="C1508" s="63"/>
      <c r="D1508" s="64"/>
      <c r="E1508" s="65"/>
      <c r="F1508" s="66"/>
      <c r="G1508" s="63"/>
      <c r="H1508" s="67"/>
      <c r="I1508" s="68"/>
      <c r="J1508" s="68"/>
      <c r="K1508" s="32"/>
      <c r="L1508" s="75">
        <v>1508</v>
      </c>
      <c r="M1508" s="75"/>
      <c r="N1508" s="70"/>
      <c r="O1508" s="77" t="s">
        <v>1132</v>
      </c>
      <c r="P1508" s="79">
        <v>44938.435729166667</v>
      </c>
      <c r="Q1508" s="77" t="s">
        <v>2590</v>
      </c>
      <c r="R1508" s="77">
        <v>0</v>
      </c>
      <c r="S1508" s="77">
        <v>0</v>
      </c>
      <c r="T1508" s="77">
        <v>0</v>
      </c>
      <c r="U1508" s="77">
        <v>0</v>
      </c>
      <c r="V1508" s="77">
        <v>32</v>
      </c>
      <c r="W1508" s="82" t="s">
        <v>5114</v>
      </c>
      <c r="X1508" s="77"/>
      <c r="Y1508" s="77"/>
      <c r="Z1508" s="77"/>
      <c r="AA1508" s="77"/>
      <c r="AB1508" s="77"/>
      <c r="AC1508" s="82" t="s">
        <v>7705</v>
      </c>
      <c r="AD1508" s="77" t="s">
        <v>7748</v>
      </c>
      <c r="AE1508" s="80" t="str">
        <f>HYPERLINK("https://twitter.com/rafael__costa__/status/1613482783787171841")</f>
        <v>https://twitter.com/rafael__costa__/status/1613482783787171841</v>
      </c>
      <c r="AF1508" s="79">
        <v>44938.435729166667</v>
      </c>
      <c r="AG1508" s="85">
        <v>44938</v>
      </c>
      <c r="AH1508" s="82" t="s">
        <v>9094</v>
      </c>
      <c r="AI1508" s="77"/>
      <c r="AJ1508" s="77"/>
      <c r="AK1508" s="77"/>
      <c r="AL1508" s="77"/>
      <c r="AM1508" s="77"/>
      <c r="AN1508" s="77"/>
      <c r="AO1508" s="77"/>
      <c r="AP1508" s="77"/>
      <c r="AQ1508" s="77"/>
      <c r="AR1508" s="77"/>
      <c r="AS1508" s="77"/>
      <c r="AT1508" s="77"/>
      <c r="AU1508" s="77"/>
      <c r="AV1508" s="80" t="str">
        <f>HYPERLINK("https://pbs.twimg.com/profile_images/1460727419829116929/1hfB_OTD_normal.jpg")</f>
        <v>https://pbs.twimg.com/profile_images/1460727419829116929/1hfB_OTD_normal.jpg</v>
      </c>
      <c r="AW1508" s="82" t="s">
        <v>13681</v>
      </c>
      <c r="AX1508" s="82" t="s">
        <v>15339</v>
      </c>
      <c r="AY1508" s="82" t="s">
        <v>15751</v>
      </c>
      <c r="AZ1508" s="82" t="s">
        <v>15890</v>
      </c>
      <c r="BA1508" s="82" t="s">
        <v>15804</v>
      </c>
      <c r="BB1508" s="82" t="s">
        <v>15804</v>
      </c>
      <c r="BC1508" s="82" t="s">
        <v>15890</v>
      </c>
      <c r="BD1508" s="82" t="s">
        <v>15751</v>
      </c>
      <c r="BE1508" s="77"/>
      <c r="BF1508" s="77"/>
      <c r="BG1508" s="77"/>
      <c r="BH1508" s="77"/>
      <c r="BI1508" s="77"/>
    </row>
    <row r="1509" spans="1:61" x14ac:dyDescent="0.25">
      <c r="A1509" s="62" t="s">
        <v>705</v>
      </c>
      <c r="B1509" s="62" t="s">
        <v>705</v>
      </c>
      <c r="C1509" s="63"/>
      <c r="D1509" s="64"/>
      <c r="E1509" s="65"/>
      <c r="F1509" s="66"/>
      <c r="G1509" s="63"/>
      <c r="H1509" s="67"/>
      <c r="I1509" s="68"/>
      <c r="J1509" s="68"/>
      <c r="K1509" s="32"/>
      <c r="L1509" s="75">
        <v>1509</v>
      </c>
      <c r="M1509" s="75"/>
      <c r="N1509" s="70"/>
      <c r="O1509" s="77" t="s">
        <v>1132</v>
      </c>
      <c r="P1509" s="79">
        <v>44966.444374999999</v>
      </c>
      <c r="Q1509" s="77" t="s">
        <v>2591</v>
      </c>
      <c r="R1509" s="77">
        <v>0</v>
      </c>
      <c r="S1509" s="77">
        <v>0</v>
      </c>
      <c r="T1509" s="77">
        <v>1</v>
      </c>
      <c r="U1509" s="77">
        <v>0</v>
      </c>
      <c r="V1509" s="77">
        <v>30</v>
      </c>
      <c r="W1509" s="82" t="s">
        <v>5115</v>
      </c>
      <c r="X1509" s="77"/>
      <c r="Y1509" s="77"/>
      <c r="Z1509" s="77"/>
      <c r="AA1509" s="77"/>
      <c r="AB1509" s="77"/>
      <c r="AC1509" s="82" t="s">
        <v>7705</v>
      </c>
      <c r="AD1509" s="77" t="s">
        <v>7745</v>
      </c>
      <c r="AE1509" s="80" t="str">
        <f>HYPERLINK("https://twitter.com/rafael__costa__/status/1623632779400323074")</f>
        <v>https://twitter.com/rafael__costa__/status/1623632779400323074</v>
      </c>
      <c r="AF1509" s="79">
        <v>44966.444374999999</v>
      </c>
      <c r="AG1509" s="85">
        <v>44966</v>
      </c>
      <c r="AH1509" s="82" t="s">
        <v>9095</v>
      </c>
      <c r="AI1509" s="77"/>
      <c r="AJ1509" s="77"/>
      <c r="AK1509" s="77"/>
      <c r="AL1509" s="77"/>
      <c r="AM1509" s="77"/>
      <c r="AN1509" s="77"/>
      <c r="AO1509" s="77"/>
      <c r="AP1509" s="77"/>
      <c r="AQ1509" s="77"/>
      <c r="AR1509" s="77"/>
      <c r="AS1509" s="77"/>
      <c r="AT1509" s="77"/>
      <c r="AU1509" s="77"/>
      <c r="AV1509" s="80" t="str">
        <f>HYPERLINK("https://pbs.twimg.com/profile_images/1460727419829116929/1hfB_OTD_normal.jpg")</f>
        <v>https://pbs.twimg.com/profile_images/1460727419829116929/1hfB_OTD_normal.jpg</v>
      </c>
      <c r="AW1509" s="82" t="s">
        <v>13682</v>
      </c>
      <c r="AX1509" s="82" t="s">
        <v>15340</v>
      </c>
      <c r="AY1509" s="82" t="s">
        <v>15751</v>
      </c>
      <c r="AZ1509" s="82" t="s">
        <v>15891</v>
      </c>
      <c r="BA1509" s="82" t="s">
        <v>15804</v>
      </c>
      <c r="BB1509" s="82" t="s">
        <v>15804</v>
      </c>
      <c r="BC1509" s="82" t="s">
        <v>15891</v>
      </c>
      <c r="BD1509" s="82" t="s">
        <v>15751</v>
      </c>
      <c r="BE1509" s="77"/>
      <c r="BF1509" s="77"/>
      <c r="BG1509" s="77"/>
      <c r="BH1509" s="77"/>
      <c r="BI1509" s="77"/>
    </row>
    <row r="1510" spans="1:61" x14ac:dyDescent="0.25">
      <c r="A1510" s="62" t="s">
        <v>705</v>
      </c>
      <c r="B1510" s="62" t="s">
        <v>705</v>
      </c>
      <c r="C1510" s="63"/>
      <c r="D1510" s="64"/>
      <c r="E1510" s="65"/>
      <c r="F1510" s="66"/>
      <c r="G1510" s="63"/>
      <c r="H1510" s="67"/>
      <c r="I1510" s="68"/>
      <c r="J1510" s="68"/>
      <c r="K1510" s="32"/>
      <c r="L1510" s="75">
        <v>1510</v>
      </c>
      <c r="M1510" s="75"/>
      <c r="N1510" s="70"/>
      <c r="O1510" s="77" t="s">
        <v>1132</v>
      </c>
      <c r="P1510" s="79">
        <v>45020.918993055559</v>
      </c>
      <c r="Q1510" s="77" t="s">
        <v>2592</v>
      </c>
      <c r="R1510" s="77">
        <v>0</v>
      </c>
      <c r="S1510" s="77">
        <v>0</v>
      </c>
      <c r="T1510" s="77">
        <v>0</v>
      </c>
      <c r="U1510" s="77">
        <v>0</v>
      </c>
      <c r="V1510" s="77">
        <v>122</v>
      </c>
      <c r="W1510" s="82" t="s">
        <v>5116</v>
      </c>
      <c r="X1510" s="77"/>
      <c r="Y1510" s="77"/>
      <c r="Z1510" s="77"/>
      <c r="AA1510" s="77" t="s">
        <v>7113</v>
      </c>
      <c r="AB1510" s="77" t="s">
        <v>7696</v>
      </c>
      <c r="AC1510" s="82" t="s">
        <v>7705</v>
      </c>
      <c r="AD1510" s="77" t="s">
        <v>7746</v>
      </c>
      <c r="AE1510" s="80" t="str">
        <f>HYPERLINK("https://twitter.com/rafael__costa__/status/1643373717035048960")</f>
        <v>https://twitter.com/rafael__costa__/status/1643373717035048960</v>
      </c>
      <c r="AF1510" s="79">
        <v>45020.918993055559</v>
      </c>
      <c r="AG1510" s="85">
        <v>45020</v>
      </c>
      <c r="AH1510" s="82" t="s">
        <v>9096</v>
      </c>
      <c r="AI1510" s="77" t="b">
        <v>0</v>
      </c>
      <c r="AJ1510" s="77"/>
      <c r="AK1510" s="77"/>
      <c r="AL1510" s="77"/>
      <c r="AM1510" s="77"/>
      <c r="AN1510" s="77"/>
      <c r="AO1510" s="77"/>
      <c r="AP1510" s="77"/>
      <c r="AQ1510" s="77" t="s">
        <v>11620</v>
      </c>
      <c r="AR1510" s="77"/>
      <c r="AS1510" s="77"/>
      <c r="AT1510" s="77"/>
      <c r="AU1510" s="77"/>
      <c r="AV1510" s="80" t="str">
        <f>HYPERLINK("https://pbs.twimg.com/media/Fs5vrp-XwAI5tOq.jpg")</f>
        <v>https://pbs.twimg.com/media/Fs5vrp-XwAI5tOq.jpg</v>
      </c>
      <c r="AW1510" s="82" t="s">
        <v>13683</v>
      </c>
      <c r="AX1510" s="82" t="s">
        <v>15341</v>
      </c>
      <c r="AY1510" s="82" t="s">
        <v>15751</v>
      </c>
      <c r="AZ1510" s="82" t="s">
        <v>15892</v>
      </c>
      <c r="BA1510" s="82" t="s">
        <v>15804</v>
      </c>
      <c r="BB1510" s="82" t="s">
        <v>15804</v>
      </c>
      <c r="BC1510" s="82" t="s">
        <v>15892</v>
      </c>
      <c r="BD1510" s="82" t="s">
        <v>15751</v>
      </c>
      <c r="BE1510" s="77"/>
      <c r="BF1510" s="77"/>
      <c r="BG1510" s="77"/>
      <c r="BH1510" s="77"/>
      <c r="BI1510" s="77"/>
    </row>
    <row r="1511" spans="1:61" x14ac:dyDescent="0.25">
      <c r="A1511" s="62" t="s">
        <v>705</v>
      </c>
      <c r="B1511" s="62" t="s">
        <v>705</v>
      </c>
      <c r="C1511" s="63"/>
      <c r="D1511" s="64"/>
      <c r="E1511" s="65"/>
      <c r="F1511" s="66"/>
      <c r="G1511" s="63"/>
      <c r="H1511" s="67"/>
      <c r="I1511" s="68"/>
      <c r="J1511" s="68"/>
      <c r="K1511" s="32"/>
      <c r="L1511" s="75">
        <v>1511</v>
      </c>
      <c r="M1511" s="75"/>
      <c r="N1511" s="70"/>
      <c r="O1511" s="77" t="s">
        <v>1132</v>
      </c>
      <c r="P1511" s="79">
        <v>45127.445775462962</v>
      </c>
      <c r="Q1511" s="77" t="s">
        <v>2593</v>
      </c>
      <c r="R1511" s="77">
        <v>0</v>
      </c>
      <c r="S1511" s="77">
        <v>0</v>
      </c>
      <c r="T1511" s="77">
        <v>0</v>
      </c>
      <c r="U1511" s="77">
        <v>0</v>
      </c>
      <c r="V1511" s="77">
        <v>54</v>
      </c>
      <c r="W1511" s="82" t="s">
        <v>5117</v>
      </c>
      <c r="X1511" s="77"/>
      <c r="Y1511" s="77"/>
      <c r="Z1511" s="77"/>
      <c r="AA1511" s="77"/>
      <c r="AB1511" s="77"/>
      <c r="AC1511" s="82" t="s">
        <v>7705</v>
      </c>
      <c r="AD1511" s="77" t="s">
        <v>7748</v>
      </c>
      <c r="AE1511" s="80" t="str">
        <f>HYPERLINK("https://twitter.com/rafael__costa__/status/1681977730710089728")</f>
        <v>https://twitter.com/rafael__costa__/status/1681977730710089728</v>
      </c>
      <c r="AF1511" s="79">
        <v>45127.445775462962</v>
      </c>
      <c r="AG1511" s="85">
        <v>45127</v>
      </c>
      <c r="AH1511" s="82" t="s">
        <v>9097</v>
      </c>
      <c r="AI1511" s="77"/>
      <c r="AJ1511" s="77"/>
      <c r="AK1511" s="77"/>
      <c r="AL1511" s="77"/>
      <c r="AM1511" s="77"/>
      <c r="AN1511" s="77"/>
      <c r="AO1511" s="77"/>
      <c r="AP1511" s="77"/>
      <c r="AQ1511" s="77"/>
      <c r="AR1511" s="77"/>
      <c r="AS1511" s="77"/>
      <c r="AT1511" s="77"/>
      <c r="AU1511" s="77"/>
      <c r="AV1511" s="80" t="str">
        <f>HYPERLINK("https://pbs.twimg.com/profile_images/1460727419829116929/1hfB_OTD_normal.jpg")</f>
        <v>https://pbs.twimg.com/profile_images/1460727419829116929/1hfB_OTD_normal.jpg</v>
      </c>
      <c r="AW1511" s="82" t="s">
        <v>13684</v>
      </c>
      <c r="AX1511" s="82" t="s">
        <v>15342</v>
      </c>
      <c r="AY1511" s="82" t="s">
        <v>15751</v>
      </c>
      <c r="AZ1511" s="82" t="s">
        <v>15893</v>
      </c>
      <c r="BA1511" s="82" t="s">
        <v>15804</v>
      </c>
      <c r="BB1511" s="82" t="s">
        <v>15804</v>
      </c>
      <c r="BC1511" s="82" t="s">
        <v>15893</v>
      </c>
      <c r="BD1511" s="82" t="s">
        <v>15751</v>
      </c>
      <c r="BE1511" s="77"/>
      <c r="BF1511" s="77"/>
      <c r="BG1511" s="77"/>
      <c r="BH1511" s="77"/>
      <c r="BI1511" s="77"/>
    </row>
    <row r="1512" spans="1:61" x14ac:dyDescent="0.25">
      <c r="A1512" s="62" t="s">
        <v>705</v>
      </c>
      <c r="B1512" s="62" t="s">
        <v>705</v>
      </c>
      <c r="C1512" s="63"/>
      <c r="D1512" s="64"/>
      <c r="E1512" s="65"/>
      <c r="F1512" s="66"/>
      <c r="G1512" s="63"/>
      <c r="H1512" s="67"/>
      <c r="I1512" s="68"/>
      <c r="J1512" s="68"/>
      <c r="K1512" s="32"/>
      <c r="L1512" s="75">
        <v>1512</v>
      </c>
      <c r="M1512" s="75"/>
      <c r="N1512" s="70"/>
      <c r="O1512" s="77" t="s">
        <v>1132</v>
      </c>
      <c r="P1512" s="79">
        <v>45001.517013888886</v>
      </c>
      <c r="Q1512" s="77" t="s">
        <v>2594</v>
      </c>
      <c r="R1512" s="77">
        <v>0</v>
      </c>
      <c r="S1512" s="77">
        <v>0</v>
      </c>
      <c r="T1512" s="77">
        <v>0</v>
      </c>
      <c r="U1512" s="77">
        <v>0</v>
      </c>
      <c r="V1512" s="77">
        <v>39</v>
      </c>
      <c r="W1512" s="82" t="s">
        <v>5118</v>
      </c>
      <c r="X1512" s="77"/>
      <c r="Y1512" s="77"/>
      <c r="Z1512" s="77"/>
      <c r="AA1512" s="77"/>
      <c r="AB1512" s="77"/>
      <c r="AC1512" s="82" t="s">
        <v>7705</v>
      </c>
      <c r="AD1512" s="77" t="s">
        <v>7748</v>
      </c>
      <c r="AE1512" s="80" t="str">
        <f>HYPERLINK("https://twitter.com/rafael__costa__/status/1636342678492258304")</f>
        <v>https://twitter.com/rafael__costa__/status/1636342678492258304</v>
      </c>
      <c r="AF1512" s="79">
        <v>45001.517013888886</v>
      </c>
      <c r="AG1512" s="85">
        <v>45001</v>
      </c>
      <c r="AH1512" s="82" t="s">
        <v>9098</v>
      </c>
      <c r="AI1512" s="77"/>
      <c r="AJ1512" s="77"/>
      <c r="AK1512" s="77"/>
      <c r="AL1512" s="77"/>
      <c r="AM1512" s="77"/>
      <c r="AN1512" s="77"/>
      <c r="AO1512" s="77"/>
      <c r="AP1512" s="77"/>
      <c r="AQ1512" s="77"/>
      <c r="AR1512" s="77"/>
      <c r="AS1512" s="77"/>
      <c r="AT1512" s="77"/>
      <c r="AU1512" s="77"/>
      <c r="AV1512" s="80" t="str">
        <f>HYPERLINK("https://pbs.twimg.com/profile_images/1460727419829116929/1hfB_OTD_normal.jpg")</f>
        <v>https://pbs.twimg.com/profile_images/1460727419829116929/1hfB_OTD_normal.jpg</v>
      </c>
      <c r="AW1512" s="82" t="s">
        <v>13685</v>
      </c>
      <c r="AX1512" s="82" t="s">
        <v>15343</v>
      </c>
      <c r="AY1512" s="82" t="s">
        <v>15751</v>
      </c>
      <c r="AZ1512" s="82" t="s">
        <v>15894</v>
      </c>
      <c r="BA1512" s="82" t="s">
        <v>15804</v>
      </c>
      <c r="BB1512" s="82" t="s">
        <v>15804</v>
      </c>
      <c r="BC1512" s="82" t="s">
        <v>15894</v>
      </c>
      <c r="BD1512" s="82" t="s">
        <v>15751</v>
      </c>
      <c r="BE1512" s="77"/>
      <c r="BF1512" s="77"/>
      <c r="BG1512" s="77"/>
      <c r="BH1512" s="77"/>
      <c r="BI1512" s="77"/>
    </row>
    <row r="1513" spans="1:61" x14ac:dyDescent="0.25">
      <c r="A1513" s="62" t="s">
        <v>705</v>
      </c>
      <c r="B1513" s="62" t="s">
        <v>705</v>
      </c>
      <c r="C1513" s="63"/>
      <c r="D1513" s="64"/>
      <c r="E1513" s="65"/>
      <c r="F1513" s="66"/>
      <c r="G1513" s="63"/>
      <c r="H1513" s="67"/>
      <c r="I1513" s="68"/>
      <c r="J1513" s="68"/>
      <c r="K1513" s="32"/>
      <c r="L1513" s="75">
        <v>1513</v>
      </c>
      <c r="M1513" s="75"/>
      <c r="N1513" s="70"/>
      <c r="O1513" s="77" t="s">
        <v>1132</v>
      </c>
      <c r="P1513" s="79">
        <v>44939.36278935185</v>
      </c>
      <c r="Q1513" s="77" t="s">
        <v>2595</v>
      </c>
      <c r="R1513" s="77">
        <v>0</v>
      </c>
      <c r="S1513" s="77">
        <v>0</v>
      </c>
      <c r="T1513" s="77">
        <v>0</v>
      </c>
      <c r="U1513" s="77">
        <v>0</v>
      </c>
      <c r="V1513" s="77">
        <v>95</v>
      </c>
      <c r="W1513" s="82" t="s">
        <v>5119</v>
      </c>
      <c r="X1513" s="77"/>
      <c r="Y1513" s="77"/>
      <c r="Z1513" s="77"/>
      <c r="AA1513" s="77" t="s">
        <v>7114</v>
      </c>
      <c r="AB1513" s="77" t="s">
        <v>7696</v>
      </c>
      <c r="AC1513" s="82" t="s">
        <v>7705</v>
      </c>
      <c r="AD1513" s="77" t="s">
        <v>7746</v>
      </c>
      <c r="AE1513" s="80" t="str">
        <f>HYPERLINK("https://twitter.com/rafael__costa__/status/1613818738817617920")</f>
        <v>https://twitter.com/rafael__costa__/status/1613818738817617920</v>
      </c>
      <c r="AF1513" s="79">
        <v>44939.36278935185</v>
      </c>
      <c r="AG1513" s="85">
        <v>44939</v>
      </c>
      <c r="AH1513" s="82" t="s">
        <v>9099</v>
      </c>
      <c r="AI1513" s="77" t="b">
        <v>0</v>
      </c>
      <c r="AJ1513" s="77"/>
      <c r="AK1513" s="77"/>
      <c r="AL1513" s="77"/>
      <c r="AM1513" s="77"/>
      <c r="AN1513" s="77"/>
      <c r="AO1513" s="77"/>
      <c r="AP1513" s="77"/>
      <c r="AQ1513" s="77" t="s">
        <v>11621</v>
      </c>
      <c r="AR1513" s="77"/>
      <c r="AS1513" s="77"/>
      <c r="AT1513" s="77"/>
      <c r="AU1513" s="77"/>
      <c r="AV1513" s="80" t="str">
        <f>HYPERLINK("https://pbs.twimg.com/media/FmVvlpeXEAEFD1X.jpg")</f>
        <v>https://pbs.twimg.com/media/FmVvlpeXEAEFD1X.jpg</v>
      </c>
      <c r="AW1513" s="82" t="s">
        <v>13686</v>
      </c>
      <c r="AX1513" s="82" t="s">
        <v>15344</v>
      </c>
      <c r="AY1513" s="82" t="s">
        <v>15751</v>
      </c>
      <c r="AZ1513" s="82" t="s">
        <v>15895</v>
      </c>
      <c r="BA1513" s="82" t="s">
        <v>15804</v>
      </c>
      <c r="BB1513" s="82" t="s">
        <v>15804</v>
      </c>
      <c r="BC1513" s="82" t="s">
        <v>15895</v>
      </c>
      <c r="BD1513" s="82" t="s">
        <v>15751</v>
      </c>
      <c r="BE1513" s="77"/>
      <c r="BF1513" s="77"/>
      <c r="BG1513" s="77"/>
      <c r="BH1513" s="77"/>
      <c r="BI1513" s="77"/>
    </row>
    <row r="1514" spans="1:61" x14ac:dyDescent="0.25">
      <c r="A1514" s="62" t="s">
        <v>706</v>
      </c>
      <c r="B1514" s="62" t="s">
        <v>706</v>
      </c>
      <c r="C1514" s="63"/>
      <c r="D1514" s="64"/>
      <c r="E1514" s="65"/>
      <c r="F1514" s="66"/>
      <c r="G1514" s="63"/>
      <c r="H1514" s="67"/>
      <c r="I1514" s="68"/>
      <c r="J1514" s="68"/>
      <c r="K1514" s="32"/>
      <c r="L1514" s="75">
        <v>1514</v>
      </c>
      <c r="M1514" s="75"/>
      <c r="N1514" s="70"/>
      <c r="O1514" s="77" t="s">
        <v>179</v>
      </c>
      <c r="P1514" s="79">
        <v>45168.678113425929</v>
      </c>
      <c r="Q1514" s="77" t="s">
        <v>2596</v>
      </c>
      <c r="R1514" s="77">
        <v>3</v>
      </c>
      <c r="S1514" s="77">
        <v>17</v>
      </c>
      <c r="T1514" s="77">
        <v>1</v>
      </c>
      <c r="U1514" s="77">
        <v>0</v>
      </c>
      <c r="V1514" s="77">
        <v>2941</v>
      </c>
      <c r="W1514" s="82" t="s">
        <v>5120</v>
      </c>
      <c r="X1514" s="80" t="str">
        <f>HYPERLINK("https://open.spotify.com/episode/4QijoXM4HmMPTTyoYXLSAp?si=HWGQTsnATvqcj3M_73FSNA")</f>
        <v>https://open.spotify.com/episode/4QijoXM4HmMPTTyoYXLSAp?si=HWGQTsnATvqcj3M_73FSNA</v>
      </c>
      <c r="Y1514" s="77" t="s">
        <v>6034</v>
      </c>
      <c r="Z1514" s="77"/>
      <c r="AA1514" s="77"/>
      <c r="AB1514" s="77"/>
      <c r="AC1514" s="82" t="s">
        <v>7706</v>
      </c>
      <c r="AD1514" s="77" t="s">
        <v>7745</v>
      </c>
      <c r="AE1514" s="80" t="str">
        <f>HYPERLINK("https://twitter.com/luizpersechini/status/1696919830564159519")</f>
        <v>https://twitter.com/luizpersechini/status/1696919830564159519</v>
      </c>
      <c r="AF1514" s="79">
        <v>45168.678113425929</v>
      </c>
      <c r="AG1514" s="85">
        <v>45168</v>
      </c>
      <c r="AH1514" s="82" t="s">
        <v>9100</v>
      </c>
      <c r="AI1514" s="77" t="b">
        <v>0</v>
      </c>
      <c r="AJ1514" s="77"/>
      <c r="AK1514" s="77"/>
      <c r="AL1514" s="77"/>
      <c r="AM1514" s="77"/>
      <c r="AN1514" s="77"/>
      <c r="AO1514" s="77"/>
      <c r="AP1514" s="77"/>
      <c r="AQ1514" s="77"/>
      <c r="AR1514" s="77"/>
      <c r="AS1514" s="77"/>
      <c r="AT1514" s="77"/>
      <c r="AU1514" s="77"/>
      <c r="AV1514" s="80" t="str">
        <f>HYPERLINK("https://pbs.twimg.com/profile_images/1656856449551564801/yWnByCAX_normal.jpg")</f>
        <v>https://pbs.twimg.com/profile_images/1656856449551564801/yWnByCAX_normal.jpg</v>
      </c>
      <c r="AW1514" s="82" t="s">
        <v>13687</v>
      </c>
      <c r="AX1514" s="82" t="s">
        <v>13687</v>
      </c>
      <c r="AY1514" s="77"/>
      <c r="AZ1514" s="82" t="s">
        <v>15804</v>
      </c>
      <c r="BA1514" s="82" t="s">
        <v>15804</v>
      </c>
      <c r="BB1514" s="82" t="s">
        <v>15804</v>
      </c>
      <c r="BC1514" s="82" t="s">
        <v>13687</v>
      </c>
      <c r="BD1514" s="82" t="s">
        <v>16409</v>
      </c>
      <c r="BE1514" s="77"/>
      <c r="BF1514" s="77"/>
      <c r="BG1514" s="77"/>
      <c r="BH1514" s="77"/>
      <c r="BI1514" s="77"/>
    </row>
    <row r="1515" spans="1:61" x14ac:dyDescent="0.25">
      <c r="A1515" s="62" t="s">
        <v>707</v>
      </c>
      <c r="B1515" s="62" t="s">
        <v>891</v>
      </c>
      <c r="C1515" s="63"/>
      <c r="D1515" s="64"/>
      <c r="E1515" s="65"/>
      <c r="F1515" s="66"/>
      <c r="G1515" s="63"/>
      <c r="H1515" s="67"/>
      <c r="I1515" s="68"/>
      <c r="J1515" s="68"/>
      <c r="K1515" s="32"/>
      <c r="L1515" s="75">
        <v>1515</v>
      </c>
      <c r="M1515" s="75"/>
      <c r="N1515" s="70"/>
      <c r="O1515" s="77" t="s">
        <v>1134</v>
      </c>
      <c r="P1515" s="79">
        <v>45176.616006944445</v>
      </c>
      <c r="Q1515" s="77" t="s">
        <v>2386</v>
      </c>
      <c r="R1515" s="77">
        <v>4</v>
      </c>
      <c r="S1515" s="77">
        <v>0</v>
      </c>
      <c r="T1515" s="77">
        <v>0</v>
      </c>
      <c r="U1515" s="77">
        <v>0</v>
      </c>
      <c r="V1515" s="77"/>
      <c r="W1515" s="82" t="s">
        <v>4962</v>
      </c>
      <c r="X1515" s="77"/>
      <c r="Y1515" s="77"/>
      <c r="Z1515" s="77" t="s">
        <v>891</v>
      </c>
      <c r="AA1515" s="77"/>
      <c r="AB1515" s="77"/>
      <c r="AC1515" s="82" t="s">
        <v>7707</v>
      </c>
      <c r="AD1515" s="77" t="s">
        <v>7745</v>
      </c>
      <c r="AE1515" s="80" t="str">
        <f>HYPERLINK("https://twitter.com/mariade80544716/status/1699796426325475624")</f>
        <v>https://twitter.com/mariade80544716/status/1699796426325475624</v>
      </c>
      <c r="AF1515" s="79">
        <v>45176.616006944445</v>
      </c>
      <c r="AG1515" s="85">
        <v>45176</v>
      </c>
      <c r="AH1515" s="82" t="s">
        <v>9101</v>
      </c>
      <c r="AI1515" s="77"/>
      <c r="AJ1515" s="77"/>
      <c r="AK1515" s="77"/>
      <c r="AL1515" s="77"/>
      <c r="AM1515" s="77"/>
      <c r="AN1515" s="77"/>
      <c r="AO1515" s="77"/>
      <c r="AP1515" s="77"/>
      <c r="AQ1515" s="77"/>
      <c r="AR1515" s="77"/>
      <c r="AS1515" s="77"/>
      <c r="AT1515" s="77"/>
      <c r="AU1515" s="77"/>
      <c r="AV1515" s="80" t="str">
        <f>HYPERLINK("https://pbs.twimg.com/profile_images/1466162389225807880/ilB2ixsU_normal.jpg")</f>
        <v>https://pbs.twimg.com/profile_images/1466162389225807880/ilB2ixsU_normal.jpg</v>
      </c>
      <c r="AW1515" s="82" t="s">
        <v>13688</v>
      </c>
      <c r="AX1515" s="82" t="s">
        <v>13688</v>
      </c>
      <c r="AY1515" s="77"/>
      <c r="AZ1515" s="82" t="s">
        <v>15804</v>
      </c>
      <c r="BA1515" s="82" t="s">
        <v>15804</v>
      </c>
      <c r="BB1515" s="82" t="s">
        <v>14424</v>
      </c>
      <c r="BC1515" s="82" t="s">
        <v>14424</v>
      </c>
      <c r="BD1515" s="82" t="s">
        <v>16410</v>
      </c>
      <c r="BE1515" s="77"/>
      <c r="BF1515" s="77"/>
      <c r="BG1515" s="77"/>
      <c r="BH1515" s="77"/>
      <c r="BI1515" s="77"/>
    </row>
    <row r="1516" spans="1:61" x14ac:dyDescent="0.25">
      <c r="A1516" s="62" t="s">
        <v>708</v>
      </c>
      <c r="B1516" s="62" t="s">
        <v>708</v>
      </c>
      <c r="C1516" s="63"/>
      <c r="D1516" s="64"/>
      <c r="E1516" s="65"/>
      <c r="F1516" s="66"/>
      <c r="G1516" s="63"/>
      <c r="H1516" s="67"/>
      <c r="I1516" s="68"/>
      <c r="J1516" s="68"/>
      <c r="K1516" s="32"/>
      <c r="L1516" s="75">
        <v>1516</v>
      </c>
      <c r="M1516" s="75"/>
      <c r="N1516" s="70"/>
      <c r="O1516" s="77" t="s">
        <v>179</v>
      </c>
      <c r="P1516" s="79">
        <v>45022.635497685187</v>
      </c>
      <c r="Q1516" s="77" t="s">
        <v>2597</v>
      </c>
      <c r="R1516" s="77">
        <v>0</v>
      </c>
      <c r="S1516" s="77">
        <v>0</v>
      </c>
      <c r="T1516" s="77">
        <v>0</v>
      </c>
      <c r="U1516" s="77">
        <v>0</v>
      </c>
      <c r="V1516" s="77">
        <v>14</v>
      </c>
      <c r="W1516" s="82" t="s">
        <v>5121</v>
      </c>
      <c r="X1516" s="77"/>
      <c r="Y1516" s="77"/>
      <c r="Z1516" s="77"/>
      <c r="AA1516" s="77"/>
      <c r="AB1516" s="77"/>
      <c r="AC1516" s="82" t="s">
        <v>7707</v>
      </c>
      <c r="AD1516" s="77" t="s">
        <v>7745</v>
      </c>
      <c r="AE1516" s="80" t="str">
        <f>HYPERLINK("https://twitter.com/oalissonpatrick/status/1643995760726269953")</f>
        <v>https://twitter.com/oalissonpatrick/status/1643995760726269953</v>
      </c>
      <c r="AF1516" s="79">
        <v>45022.635497685187</v>
      </c>
      <c r="AG1516" s="85">
        <v>45022</v>
      </c>
      <c r="AH1516" s="82" t="s">
        <v>9102</v>
      </c>
      <c r="AI1516" s="77"/>
      <c r="AJ1516" s="77"/>
      <c r="AK1516" s="77"/>
      <c r="AL1516" s="77"/>
      <c r="AM1516" s="77"/>
      <c r="AN1516" s="77"/>
      <c r="AO1516" s="77"/>
      <c r="AP1516" s="77"/>
      <c r="AQ1516" s="77"/>
      <c r="AR1516" s="77"/>
      <c r="AS1516" s="77"/>
      <c r="AT1516" s="77"/>
      <c r="AU1516" s="77"/>
      <c r="AV1516" s="80" t="str">
        <f>HYPERLINK("https://pbs.twimg.com/profile_images/1576536135282688002/Hiw460nK_normal.jpg")</f>
        <v>https://pbs.twimg.com/profile_images/1576536135282688002/Hiw460nK_normal.jpg</v>
      </c>
      <c r="AW1516" s="82" t="s">
        <v>13689</v>
      </c>
      <c r="AX1516" s="82" t="s">
        <v>13689</v>
      </c>
      <c r="AY1516" s="77"/>
      <c r="AZ1516" s="82" t="s">
        <v>15804</v>
      </c>
      <c r="BA1516" s="82" t="s">
        <v>15804</v>
      </c>
      <c r="BB1516" s="82" t="s">
        <v>15804</v>
      </c>
      <c r="BC1516" s="82" t="s">
        <v>13689</v>
      </c>
      <c r="BD1516" s="77">
        <v>363065411</v>
      </c>
      <c r="BE1516" s="77"/>
      <c r="BF1516" s="77"/>
      <c r="BG1516" s="77"/>
      <c r="BH1516" s="77"/>
      <c r="BI1516" s="77"/>
    </row>
    <row r="1517" spans="1:61" x14ac:dyDescent="0.25">
      <c r="A1517" s="62" t="s">
        <v>709</v>
      </c>
      <c r="B1517" s="62" t="s">
        <v>709</v>
      </c>
      <c r="C1517" s="63"/>
      <c r="D1517" s="64"/>
      <c r="E1517" s="65"/>
      <c r="F1517" s="66"/>
      <c r="G1517" s="63"/>
      <c r="H1517" s="67"/>
      <c r="I1517" s="68"/>
      <c r="J1517" s="68"/>
      <c r="K1517" s="32"/>
      <c r="L1517" s="75">
        <v>1517</v>
      </c>
      <c r="M1517" s="75"/>
      <c r="N1517" s="70"/>
      <c r="O1517" s="77" t="s">
        <v>1132</v>
      </c>
      <c r="P1517" s="79">
        <v>45008.571412037039</v>
      </c>
      <c r="Q1517" s="77" t="s">
        <v>2598</v>
      </c>
      <c r="R1517" s="77">
        <v>0</v>
      </c>
      <c r="S1517" s="77">
        <v>0</v>
      </c>
      <c r="T1517" s="77">
        <v>0</v>
      </c>
      <c r="U1517" s="77">
        <v>0</v>
      </c>
      <c r="V1517" s="77">
        <v>23</v>
      </c>
      <c r="W1517" s="82" t="s">
        <v>5122</v>
      </c>
      <c r="X1517" s="77"/>
      <c r="Y1517" s="77"/>
      <c r="Z1517" s="77"/>
      <c r="AA1517" s="77"/>
      <c r="AB1517" s="77"/>
      <c r="AC1517" s="82" t="s">
        <v>7705</v>
      </c>
      <c r="AD1517" s="77" t="s">
        <v>7748</v>
      </c>
      <c r="AE1517" s="80" t="str">
        <f>HYPERLINK("https://twitter.com/tiagokeilerr/status/1638899105953902593")</f>
        <v>https://twitter.com/tiagokeilerr/status/1638899105953902593</v>
      </c>
      <c r="AF1517" s="79">
        <v>45008.571412037039</v>
      </c>
      <c r="AG1517" s="85">
        <v>45008</v>
      </c>
      <c r="AH1517" s="82" t="s">
        <v>9103</v>
      </c>
      <c r="AI1517" s="77"/>
      <c r="AJ1517" s="77"/>
      <c r="AK1517" s="77"/>
      <c r="AL1517" s="77"/>
      <c r="AM1517" s="77"/>
      <c r="AN1517" s="77"/>
      <c r="AO1517" s="77"/>
      <c r="AP1517" s="77"/>
      <c r="AQ1517" s="77"/>
      <c r="AR1517" s="77"/>
      <c r="AS1517" s="77"/>
      <c r="AT1517" s="77"/>
      <c r="AU1517" s="77"/>
      <c r="AV1517" s="80" t="str">
        <f>HYPERLINK("https://pbs.twimg.com/profile_images/1377341061174079499/SxtxEITG_normal.jpg")</f>
        <v>https://pbs.twimg.com/profile_images/1377341061174079499/SxtxEITG_normal.jpg</v>
      </c>
      <c r="AW1517" s="82" t="s">
        <v>13690</v>
      </c>
      <c r="AX1517" s="82" t="s">
        <v>15345</v>
      </c>
      <c r="AY1517" s="82" t="s">
        <v>15752</v>
      </c>
      <c r="AZ1517" s="82" t="s">
        <v>15345</v>
      </c>
      <c r="BA1517" s="82" t="s">
        <v>15804</v>
      </c>
      <c r="BB1517" s="82" t="s">
        <v>15804</v>
      </c>
      <c r="BC1517" s="82" t="s">
        <v>15345</v>
      </c>
      <c r="BD1517" s="82" t="s">
        <v>15752</v>
      </c>
      <c r="BE1517" s="77"/>
      <c r="BF1517" s="77"/>
      <c r="BG1517" s="77"/>
      <c r="BH1517" s="77"/>
      <c r="BI1517" s="77"/>
    </row>
    <row r="1518" spans="1:61" x14ac:dyDescent="0.25">
      <c r="A1518" s="62" t="s">
        <v>710</v>
      </c>
      <c r="B1518" s="62" t="s">
        <v>1085</v>
      </c>
      <c r="C1518" s="63"/>
      <c r="D1518" s="64"/>
      <c r="E1518" s="65"/>
      <c r="F1518" s="66"/>
      <c r="G1518" s="63"/>
      <c r="H1518" s="67"/>
      <c r="I1518" s="68"/>
      <c r="J1518" s="68"/>
      <c r="K1518" s="32"/>
      <c r="L1518" s="75">
        <v>1518</v>
      </c>
      <c r="M1518" s="75"/>
      <c r="N1518" s="70"/>
      <c r="O1518" s="77" t="s">
        <v>1133</v>
      </c>
      <c r="P1518" s="79">
        <v>45084.792233796295</v>
      </c>
      <c r="Q1518" s="77" t="s">
        <v>2599</v>
      </c>
      <c r="R1518" s="77">
        <v>0</v>
      </c>
      <c r="S1518" s="77">
        <v>2</v>
      </c>
      <c r="T1518" s="77">
        <v>0</v>
      </c>
      <c r="U1518" s="77">
        <v>0</v>
      </c>
      <c r="V1518" s="77">
        <v>17</v>
      </c>
      <c r="W1518" s="82" t="s">
        <v>5059</v>
      </c>
      <c r="X1518" s="80" t="str">
        <f>HYPERLINK("https://bit.ly/3CzJ4JD")</f>
        <v>https://bit.ly/3CzJ4JD</v>
      </c>
      <c r="Y1518" s="77" t="s">
        <v>6004</v>
      </c>
      <c r="Z1518" s="77" t="s">
        <v>1085</v>
      </c>
      <c r="AA1518" s="77"/>
      <c r="AB1518" s="77"/>
      <c r="AC1518" s="82" t="s">
        <v>7708</v>
      </c>
      <c r="AD1518" s="77" t="s">
        <v>7745</v>
      </c>
      <c r="AE1518" s="80" t="str">
        <f>HYPERLINK("https://twitter.com/sistemacndl/status/1666520604118229012")</f>
        <v>https://twitter.com/sistemacndl/status/1666520604118229012</v>
      </c>
      <c r="AF1518" s="79">
        <v>45084.792233796295</v>
      </c>
      <c r="AG1518" s="85">
        <v>45084</v>
      </c>
      <c r="AH1518" s="82" t="s">
        <v>9008</v>
      </c>
      <c r="AI1518" s="77" t="b">
        <v>0</v>
      </c>
      <c r="AJ1518" s="77"/>
      <c r="AK1518" s="77"/>
      <c r="AL1518" s="77"/>
      <c r="AM1518" s="77"/>
      <c r="AN1518" s="77"/>
      <c r="AO1518" s="77"/>
      <c r="AP1518" s="77"/>
      <c r="AQ1518" s="77"/>
      <c r="AR1518" s="77"/>
      <c r="AS1518" s="77"/>
      <c r="AT1518" s="77"/>
      <c r="AU1518" s="77"/>
      <c r="AV1518" s="80" t="str">
        <f>HYPERLINK("https://pbs.twimg.com/profile_images/1466025574212714497/_HwNJwD9_normal.jpg")</f>
        <v>https://pbs.twimg.com/profile_images/1466025574212714497/_HwNJwD9_normal.jpg</v>
      </c>
      <c r="AW1518" s="82" t="s">
        <v>13691</v>
      </c>
      <c r="AX1518" s="82" t="s">
        <v>13691</v>
      </c>
      <c r="AY1518" s="77"/>
      <c r="AZ1518" s="82" t="s">
        <v>15804</v>
      </c>
      <c r="BA1518" s="82" t="s">
        <v>15804</v>
      </c>
      <c r="BB1518" s="82" t="s">
        <v>15804</v>
      </c>
      <c r="BC1518" s="82" t="s">
        <v>13691</v>
      </c>
      <c r="BD1518" s="77">
        <v>63834444</v>
      </c>
      <c r="BE1518" s="77"/>
      <c r="BF1518" s="77"/>
      <c r="BG1518" s="77"/>
      <c r="BH1518" s="77"/>
      <c r="BI1518" s="77"/>
    </row>
    <row r="1519" spans="1:61" x14ac:dyDescent="0.25">
      <c r="A1519" s="62" t="s">
        <v>711</v>
      </c>
      <c r="B1519" s="62" t="s">
        <v>711</v>
      </c>
      <c r="C1519" s="63"/>
      <c r="D1519" s="64"/>
      <c r="E1519" s="65"/>
      <c r="F1519" s="66"/>
      <c r="G1519" s="63"/>
      <c r="H1519" s="67"/>
      <c r="I1519" s="68"/>
      <c r="J1519" s="68"/>
      <c r="K1519" s="32"/>
      <c r="L1519" s="75">
        <v>1519</v>
      </c>
      <c r="M1519" s="75"/>
      <c r="N1519" s="70"/>
      <c r="O1519" s="77" t="s">
        <v>1132</v>
      </c>
      <c r="P1519" s="79">
        <v>45026.66474537037</v>
      </c>
      <c r="Q1519" s="77" t="s">
        <v>2600</v>
      </c>
      <c r="R1519" s="77">
        <v>2</v>
      </c>
      <c r="S1519" s="77">
        <v>10</v>
      </c>
      <c r="T1519" s="77">
        <v>1</v>
      </c>
      <c r="U1519" s="77">
        <v>0</v>
      </c>
      <c r="V1519" s="77">
        <v>1598</v>
      </c>
      <c r="W1519" s="82" t="s">
        <v>5123</v>
      </c>
      <c r="X1519" s="80" t="str">
        <f>HYPERLINK("http://bit.ly/3JHPgAW")</f>
        <v>http://bit.ly/3JHPgAW</v>
      </c>
      <c r="Y1519" s="77" t="s">
        <v>6004</v>
      </c>
      <c r="Z1519" s="77"/>
      <c r="AA1519" s="77" t="s">
        <v>7115</v>
      </c>
      <c r="AB1519" s="77" t="s">
        <v>7700</v>
      </c>
      <c r="AC1519" s="82" t="s">
        <v>7706</v>
      </c>
      <c r="AD1519" s="77" t="s">
        <v>7745</v>
      </c>
      <c r="AE1519" s="80" t="str">
        <f>HYPERLINK("https://twitter.com/receitafederal/status/1645455908464386051")</f>
        <v>https://twitter.com/receitafederal/status/1645455908464386051</v>
      </c>
      <c r="AF1519" s="79">
        <v>45026.66474537037</v>
      </c>
      <c r="AG1519" s="85">
        <v>45026</v>
      </c>
      <c r="AH1519" s="82" t="s">
        <v>9104</v>
      </c>
      <c r="AI1519" s="77" t="b">
        <v>0</v>
      </c>
      <c r="AJ1519" s="77"/>
      <c r="AK1519" s="77"/>
      <c r="AL1519" s="77"/>
      <c r="AM1519" s="77"/>
      <c r="AN1519" s="77"/>
      <c r="AO1519" s="77"/>
      <c r="AP1519" s="77"/>
      <c r="AQ1519" s="77" t="s">
        <v>11622</v>
      </c>
      <c r="AR1519" s="77"/>
      <c r="AS1519" s="77"/>
      <c r="AT1519" s="77"/>
      <c r="AU1519" s="77"/>
      <c r="AV1519" s="80" t="str">
        <f>HYPERLINK("https://pbs.twimg.com/media/FtXVVl4WYAESDTF.jpg")</f>
        <v>https://pbs.twimg.com/media/FtXVVl4WYAESDTF.jpg</v>
      </c>
      <c r="AW1519" s="82" t="s">
        <v>13692</v>
      </c>
      <c r="AX1519" s="82" t="s">
        <v>15346</v>
      </c>
      <c r="AY1519" s="82" t="s">
        <v>15753</v>
      </c>
      <c r="AZ1519" s="82" t="s">
        <v>15346</v>
      </c>
      <c r="BA1519" s="82" t="s">
        <v>15804</v>
      </c>
      <c r="BB1519" s="82" t="s">
        <v>15804</v>
      </c>
      <c r="BC1519" s="82" t="s">
        <v>15346</v>
      </c>
      <c r="BD1519" s="77">
        <v>18718638</v>
      </c>
      <c r="BE1519" s="77"/>
      <c r="BF1519" s="77"/>
      <c r="BG1519" s="77"/>
      <c r="BH1519" s="77"/>
      <c r="BI1519" s="77"/>
    </row>
    <row r="1520" spans="1:61" x14ac:dyDescent="0.25">
      <c r="A1520" s="62" t="s">
        <v>711</v>
      </c>
      <c r="B1520" s="62" t="s">
        <v>711</v>
      </c>
      <c r="C1520" s="63"/>
      <c r="D1520" s="64"/>
      <c r="E1520" s="65"/>
      <c r="F1520" s="66"/>
      <c r="G1520" s="63"/>
      <c r="H1520" s="67"/>
      <c r="I1520" s="68"/>
      <c r="J1520" s="68"/>
      <c r="K1520" s="32"/>
      <c r="L1520" s="75">
        <v>1520</v>
      </c>
      <c r="M1520" s="75"/>
      <c r="N1520" s="70"/>
      <c r="O1520" s="77" t="s">
        <v>1132</v>
      </c>
      <c r="P1520" s="79">
        <v>45021.880358796298</v>
      </c>
      <c r="Q1520" s="77" t="s">
        <v>2601</v>
      </c>
      <c r="R1520" s="77">
        <v>1</v>
      </c>
      <c r="S1520" s="77">
        <v>6</v>
      </c>
      <c r="T1520" s="77">
        <v>0</v>
      </c>
      <c r="U1520" s="77">
        <v>1</v>
      </c>
      <c r="V1520" s="77">
        <v>1079</v>
      </c>
      <c r="W1520" s="82" t="s">
        <v>5124</v>
      </c>
      <c r="X1520" s="77"/>
      <c r="Y1520" s="77"/>
      <c r="Z1520" s="77"/>
      <c r="AA1520" s="77"/>
      <c r="AB1520" s="77"/>
      <c r="AC1520" s="82" t="s">
        <v>7706</v>
      </c>
      <c r="AD1520" s="77" t="s">
        <v>7746</v>
      </c>
      <c r="AE1520" s="80" t="str">
        <f>HYPERLINK("https://twitter.com/receitafederal/status/1643722105018630145")</f>
        <v>https://twitter.com/receitafederal/status/1643722105018630145</v>
      </c>
      <c r="AF1520" s="79">
        <v>45021.880358796298</v>
      </c>
      <c r="AG1520" s="85">
        <v>45021</v>
      </c>
      <c r="AH1520" s="82" t="s">
        <v>9105</v>
      </c>
      <c r="AI1520" s="77"/>
      <c r="AJ1520" s="77"/>
      <c r="AK1520" s="77"/>
      <c r="AL1520" s="77"/>
      <c r="AM1520" s="77"/>
      <c r="AN1520" s="77"/>
      <c r="AO1520" s="77"/>
      <c r="AP1520" s="77"/>
      <c r="AQ1520" s="77"/>
      <c r="AR1520" s="77"/>
      <c r="AS1520" s="77"/>
      <c r="AT1520" s="77"/>
      <c r="AU1520" s="77"/>
      <c r="AV1520" s="80" t="str">
        <f>HYPERLINK("https://pbs.twimg.com/profile_images/1404755042750537730/S3rQyPr9_normal.jpg")</f>
        <v>https://pbs.twimg.com/profile_images/1404755042750537730/S3rQyPr9_normal.jpg</v>
      </c>
      <c r="AW1520" s="82" t="s">
        <v>13693</v>
      </c>
      <c r="AX1520" s="82" t="s">
        <v>15347</v>
      </c>
      <c r="AY1520" s="82" t="s">
        <v>15753</v>
      </c>
      <c r="AZ1520" s="82" t="s">
        <v>15896</v>
      </c>
      <c r="BA1520" s="82" t="s">
        <v>15804</v>
      </c>
      <c r="BB1520" s="82" t="s">
        <v>15804</v>
      </c>
      <c r="BC1520" s="82" t="s">
        <v>15896</v>
      </c>
      <c r="BD1520" s="77">
        <v>18718638</v>
      </c>
      <c r="BE1520" s="77"/>
      <c r="BF1520" s="77"/>
      <c r="BG1520" s="77"/>
      <c r="BH1520" s="77"/>
      <c r="BI1520" s="77"/>
    </row>
    <row r="1521" spans="1:61" x14ac:dyDescent="0.25">
      <c r="A1521" s="62" t="s">
        <v>712</v>
      </c>
      <c r="B1521" s="62" t="s">
        <v>712</v>
      </c>
      <c r="C1521" s="63"/>
      <c r="D1521" s="64"/>
      <c r="E1521" s="65"/>
      <c r="F1521" s="66"/>
      <c r="G1521" s="63"/>
      <c r="H1521" s="67"/>
      <c r="I1521" s="68"/>
      <c r="J1521" s="68"/>
      <c r="K1521" s="32"/>
      <c r="L1521" s="75">
        <v>1521</v>
      </c>
      <c r="M1521" s="75"/>
      <c r="N1521" s="70"/>
      <c r="O1521" s="77" t="s">
        <v>179</v>
      </c>
      <c r="P1521" s="79">
        <v>45017.880752314813</v>
      </c>
      <c r="Q1521" s="77" t="s">
        <v>2602</v>
      </c>
      <c r="R1521" s="77">
        <v>0</v>
      </c>
      <c r="S1521" s="77">
        <v>1</v>
      </c>
      <c r="T1521" s="77">
        <v>1</v>
      </c>
      <c r="U1521" s="77">
        <v>0</v>
      </c>
      <c r="V1521" s="77">
        <v>38</v>
      </c>
      <c r="W1521" s="82" t="s">
        <v>5125</v>
      </c>
      <c r="X1521" s="77"/>
      <c r="Y1521" s="77"/>
      <c r="Z1521" s="77"/>
      <c r="AA1521" s="77" t="s">
        <v>7116</v>
      </c>
      <c r="AB1521" s="77" t="s">
        <v>7696</v>
      </c>
      <c r="AC1521" s="82" t="s">
        <v>7707</v>
      </c>
      <c r="AD1521" s="77" t="s">
        <v>7747</v>
      </c>
      <c r="AE1521" s="80" t="str">
        <f>HYPERLINK("https://twitter.com/investoom_com/status/1642272697794142208")</f>
        <v>https://twitter.com/investoom_com/status/1642272697794142208</v>
      </c>
      <c r="AF1521" s="79">
        <v>45017.880752314813</v>
      </c>
      <c r="AG1521" s="85">
        <v>45017</v>
      </c>
      <c r="AH1521" s="82" t="s">
        <v>9106</v>
      </c>
      <c r="AI1521" s="77" t="b">
        <v>0</v>
      </c>
      <c r="AJ1521" s="77"/>
      <c r="AK1521" s="77"/>
      <c r="AL1521" s="77"/>
      <c r="AM1521" s="77"/>
      <c r="AN1521" s="77"/>
      <c r="AO1521" s="77"/>
      <c r="AP1521" s="77"/>
      <c r="AQ1521" s="77" t="s">
        <v>11623</v>
      </c>
      <c r="AR1521" s="77"/>
      <c r="AS1521" s="77"/>
      <c r="AT1521" s="77"/>
      <c r="AU1521" s="77"/>
      <c r="AV1521" s="80" t="str">
        <f>HYPERLINK("https://pbs.twimg.com/media/FsqGUHhXoAMHUAu.jpg")</f>
        <v>https://pbs.twimg.com/media/FsqGUHhXoAMHUAu.jpg</v>
      </c>
      <c r="AW1521" s="82" t="s">
        <v>13694</v>
      </c>
      <c r="AX1521" s="82" t="s">
        <v>13694</v>
      </c>
      <c r="AY1521" s="77"/>
      <c r="AZ1521" s="82" t="s">
        <v>15804</v>
      </c>
      <c r="BA1521" s="82" t="s">
        <v>15804</v>
      </c>
      <c r="BB1521" s="82" t="s">
        <v>15804</v>
      </c>
      <c r="BC1521" s="82" t="s">
        <v>13694</v>
      </c>
      <c r="BD1521" s="82" t="s">
        <v>16411</v>
      </c>
      <c r="BE1521" s="77"/>
      <c r="BF1521" s="77"/>
      <c r="BG1521" s="77"/>
      <c r="BH1521" s="77"/>
      <c r="BI1521" s="77"/>
    </row>
    <row r="1522" spans="1:61" x14ac:dyDescent="0.25">
      <c r="A1522" s="62" t="s">
        <v>713</v>
      </c>
      <c r="B1522" s="62" t="s">
        <v>713</v>
      </c>
      <c r="C1522" s="63"/>
      <c r="D1522" s="64"/>
      <c r="E1522" s="65"/>
      <c r="F1522" s="66"/>
      <c r="G1522" s="63"/>
      <c r="H1522" s="67"/>
      <c r="I1522" s="68"/>
      <c r="J1522" s="68"/>
      <c r="K1522" s="32"/>
      <c r="L1522" s="75">
        <v>1522</v>
      </c>
      <c r="M1522" s="75"/>
      <c r="N1522" s="70"/>
      <c r="O1522" s="77" t="s">
        <v>179</v>
      </c>
      <c r="P1522" s="79">
        <v>45084.758321759262</v>
      </c>
      <c r="Q1522" s="77" t="s">
        <v>2603</v>
      </c>
      <c r="R1522" s="77">
        <v>0</v>
      </c>
      <c r="S1522" s="77">
        <v>1</v>
      </c>
      <c r="T1522" s="77">
        <v>0</v>
      </c>
      <c r="U1522" s="77">
        <v>0</v>
      </c>
      <c r="V1522" s="77">
        <v>4</v>
      </c>
      <c r="W1522" s="82" t="s">
        <v>5126</v>
      </c>
      <c r="X1522" s="80" t="str">
        <f>HYPERLINK("http://agenciabrasil.ebc.com.br")</f>
        <v>http://agenciabrasil.ebc.com.br</v>
      </c>
      <c r="Y1522" s="77" t="s">
        <v>6002</v>
      </c>
      <c r="Z1522" s="77"/>
      <c r="AA1522" s="77" t="s">
        <v>7117</v>
      </c>
      <c r="AB1522" s="77" t="s">
        <v>7696</v>
      </c>
      <c r="AC1522" s="82" t="s">
        <v>7708</v>
      </c>
      <c r="AD1522" s="77" t="s">
        <v>7745</v>
      </c>
      <c r="AE1522" s="80" t="str">
        <f>HYPERLINK("https://twitter.com/teiadigital/status/1666508315751227472")</f>
        <v>https://twitter.com/teiadigital/status/1666508315751227472</v>
      </c>
      <c r="AF1522" s="79">
        <v>45084.758321759262</v>
      </c>
      <c r="AG1522" s="85">
        <v>45084</v>
      </c>
      <c r="AH1522" s="82" t="s">
        <v>9107</v>
      </c>
      <c r="AI1522" s="77" t="b">
        <v>0</v>
      </c>
      <c r="AJ1522" s="77"/>
      <c r="AK1522" s="77"/>
      <c r="AL1522" s="77"/>
      <c r="AM1522" s="77"/>
      <c r="AN1522" s="77"/>
      <c r="AO1522" s="77"/>
      <c r="AP1522" s="77"/>
      <c r="AQ1522" s="77" t="s">
        <v>11624</v>
      </c>
      <c r="AR1522" s="77"/>
      <c r="AS1522" s="77"/>
      <c r="AT1522" s="77"/>
      <c r="AU1522" s="77"/>
      <c r="AV1522" s="80" t="str">
        <f>HYPERLINK("https://pbs.twimg.com/media/FyCge0UXgAElloj.jpg")</f>
        <v>https://pbs.twimg.com/media/FyCge0UXgAElloj.jpg</v>
      </c>
      <c r="AW1522" s="82" t="s">
        <v>13695</v>
      </c>
      <c r="AX1522" s="82" t="s">
        <v>13695</v>
      </c>
      <c r="AY1522" s="77"/>
      <c r="AZ1522" s="82" t="s">
        <v>15804</v>
      </c>
      <c r="BA1522" s="82" t="s">
        <v>15804</v>
      </c>
      <c r="BB1522" s="82" t="s">
        <v>15804</v>
      </c>
      <c r="BC1522" s="82" t="s">
        <v>13695</v>
      </c>
      <c r="BD1522" s="77">
        <v>70455289</v>
      </c>
      <c r="BE1522" s="77"/>
      <c r="BF1522" s="77"/>
      <c r="BG1522" s="77"/>
      <c r="BH1522" s="77"/>
      <c r="BI1522" s="77"/>
    </row>
    <row r="1523" spans="1:61" x14ac:dyDescent="0.25">
      <c r="A1523" s="62" t="s">
        <v>714</v>
      </c>
      <c r="B1523" s="62" t="s">
        <v>714</v>
      </c>
      <c r="C1523" s="63"/>
      <c r="D1523" s="64"/>
      <c r="E1523" s="65"/>
      <c r="F1523" s="66"/>
      <c r="G1523" s="63"/>
      <c r="H1523" s="67"/>
      <c r="I1523" s="68"/>
      <c r="J1523" s="68"/>
      <c r="K1523" s="32"/>
      <c r="L1523" s="75">
        <v>1523</v>
      </c>
      <c r="M1523" s="75"/>
      <c r="N1523" s="70"/>
      <c r="O1523" s="77" t="s">
        <v>179</v>
      </c>
      <c r="P1523" s="79">
        <v>45125.500532407408</v>
      </c>
      <c r="Q1523" s="77" t="s">
        <v>2604</v>
      </c>
      <c r="R1523" s="77">
        <v>0</v>
      </c>
      <c r="S1523" s="77">
        <v>0</v>
      </c>
      <c r="T1523" s="77">
        <v>0</v>
      </c>
      <c r="U1523" s="77">
        <v>0</v>
      </c>
      <c r="V1523" s="77">
        <v>26</v>
      </c>
      <c r="W1523" s="82" t="s">
        <v>5127</v>
      </c>
      <c r="X1523" s="77"/>
      <c r="Y1523" s="77"/>
      <c r="Z1523" s="77"/>
      <c r="AA1523" s="77" t="s">
        <v>7118</v>
      </c>
      <c r="AB1523" s="77" t="s">
        <v>7696</v>
      </c>
      <c r="AC1523" s="82" t="s">
        <v>7708</v>
      </c>
      <c r="AD1523" s="77" t="s">
        <v>7745</v>
      </c>
      <c r="AE1523" s="80" t="str">
        <f>HYPERLINK("https://twitter.com/cgdcursos/status/1681272798105292800")</f>
        <v>https://twitter.com/cgdcursos/status/1681272798105292800</v>
      </c>
      <c r="AF1523" s="79">
        <v>45125.500532407408</v>
      </c>
      <c r="AG1523" s="85">
        <v>45125</v>
      </c>
      <c r="AH1523" s="82" t="s">
        <v>9108</v>
      </c>
      <c r="AI1523" s="77" t="b">
        <v>0</v>
      </c>
      <c r="AJ1523" s="77"/>
      <c r="AK1523" s="77"/>
      <c r="AL1523" s="77"/>
      <c r="AM1523" s="77"/>
      <c r="AN1523" s="77"/>
      <c r="AO1523" s="77"/>
      <c r="AP1523" s="77"/>
      <c r="AQ1523" s="77" t="s">
        <v>11625</v>
      </c>
      <c r="AR1523" s="77"/>
      <c r="AS1523" s="77"/>
      <c r="AT1523" s="77"/>
      <c r="AU1523" s="77"/>
      <c r="AV1523" s="80" t="str">
        <f>HYPERLINK("https://pbs.twimg.com/media/F1UUstvXgAMuKB7.jpg")</f>
        <v>https://pbs.twimg.com/media/F1UUstvXgAMuKB7.jpg</v>
      </c>
      <c r="AW1523" s="82" t="s">
        <v>13696</v>
      </c>
      <c r="AX1523" s="82" t="s">
        <v>13696</v>
      </c>
      <c r="AY1523" s="77"/>
      <c r="AZ1523" s="82" t="s">
        <v>15804</v>
      </c>
      <c r="BA1523" s="82" t="s">
        <v>15804</v>
      </c>
      <c r="BB1523" s="82" t="s">
        <v>15804</v>
      </c>
      <c r="BC1523" s="82" t="s">
        <v>13696</v>
      </c>
      <c r="BD1523" s="82" t="s">
        <v>16412</v>
      </c>
      <c r="BE1523" s="77"/>
      <c r="BF1523" s="77"/>
      <c r="BG1523" s="77"/>
      <c r="BH1523" s="77"/>
      <c r="BI1523" s="77"/>
    </row>
    <row r="1524" spans="1:61" x14ac:dyDescent="0.25">
      <c r="A1524" s="62" t="s">
        <v>714</v>
      </c>
      <c r="B1524" s="62" t="s">
        <v>714</v>
      </c>
      <c r="C1524" s="63"/>
      <c r="D1524" s="64"/>
      <c r="E1524" s="65"/>
      <c r="F1524" s="66"/>
      <c r="G1524" s="63"/>
      <c r="H1524" s="67"/>
      <c r="I1524" s="68"/>
      <c r="J1524" s="68"/>
      <c r="K1524" s="32"/>
      <c r="L1524" s="75">
        <v>1524</v>
      </c>
      <c r="M1524" s="75"/>
      <c r="N1524" s="70"/>
      <c r="O1524" s="77" t="s">
        <v>179</v>
      </c>
      <c r="P1524" s="79">
        <v>45124.722395833334</v>
      </c>
      <c r="Q1524" s="77" t="s">
        <v>2605</v>
      </c>
      <c r="R1524" s="77">
        <v>0</v>
      </c>
      <c r="S1524" s="77">
        <v>0</v>
      </c>
      <c r="T1524" s="77">
        <v>0</v>
      </c>
      <c r="U1524" s="77">
        <v>0</v>
      </c>
      <c r="V1524" s="77">
        <v>10</v>
      </c>
      <c r="W1524" s="82" t="s">
        <v>5128</v>
      </c>
      <c r="X1524" s="77"/>
      <c r="Y1524" s="77"/>
      <c r="Z1524" s="77"/>
      <c r="AA1524" s="77" t="s">
        <v>7119</v>
      </c>
      <c r="AB1524" s="77" t="s">
        <v>7696</v>
      </c>
      <c r="AC1524" s="82" t="s">
        <v>7708</v>
      </c>
      <c r="AD1524" s="77" t="s">
        <v>7745</v>
      </c>
      <c r="AE1524" s="80" t="str">
        <f>HYPERLINK("https://twitter.com/cgdcursos/status/1680990809766674435")</f>
        <v>https://twitter.com/cgdcursos/status/1680990809766674435</v>
      </c>
      <c r="AF1524" s="79">
        <v>45124.722395833334</v>
      </c>
      <c r="AG1524" s="85">
        <v>45124</v>
      </c>
      <c r="AH1524" s="82" t="s">
        <v>9109</v>
      </c>
      <c r="AI1524" s="77" t="b">
        <v>0</v>
      </c>
      <c r="AJ1524" s="77"/>
      <c r="AK1524" s="77"/>
      <c r="AL1524" s="77"/>
      <c r="AM1524" s="77"/>
      <c r="AN1524" s="77"/>
      <c r="AO1524" s="77"/>
      <c r="AP1524" s="77"/>
      <c r="AQ1524" s="77" t="s">
        <v>11626</v>
      </c>
      <c r="AR1524" s="77"/>
      <c r="AS1524" s="77"/>
      <c r="AT1524" s="77"/>
      <c r="AU1524" s="77"/>
      <c r="AV1524" s="80" t="str">
        <f>HYPERLINK("https://pbs.twimg.com/media/F1QUO73XsAAbDxJ.jpg")</f>
        <v>https://pbs.twimg.com/media/F1QUO73XsAAbDxJ.jpg</v>
      </c>
      <c r="AW1524" s="82" t="s">
        <v>13697</v>
      </c>
      <c r="AX1524" s="82" t="s">
        <v>13697</v>
      </c>
      <c r="AY1524" s="77"/>
      <c r="AZ1524" s="82" t="s">
        <v>15804</v>
      </c>
      <c r="BA1524" s="82" t="s">
        <v>15804</v>
      </c>
      <c r="BB1524" s="82" t="s">
        <v>15804</v>
      </c>
      <c r="BC1524" s="82" t="s">
        <v>13697</v>
      </c>
      <c r="BD1524" s="82" t="s">
        <v>16412</v>
      </c>
      <c r="BE1524" s="77"/>
      <c r="BF1524" s="77"/>
      <c r="BG1524" s="77"/>
      <c r="BH1524" s="77"/>
      <c r="BI1524" s="77"/>
    </row>
    <row r="1525" spans="1:61" x14ac:dyDescent="0.25">
      <c r="A1525" s="62" t="s">
        <v>715</v>
      </c>
      <c r="B1525" s="62" t="s">
        <v>715</v>
      </c>
      <c r="C1525" s="63"/>
      <c r="D1525" s="64"/>
      <c r="E1525" s="65"/>
      <c r="F1525" s="66"/>
      <c r="G1525" s="63"/>
      <c r="H1525" s="67"/>
      <c r="I1525" s="68"/>
      <c r="J1525" s="68"/>
      <c r="K1525" s="32"/>
      <c r="L1525" s="75">
        <v>1525</v>
      </c>
      <c r="M1525" s="75"/>
      <c r="N1525" s="70"/>
      <c r="O1525" s="77" t="s">
        <v>179</v>
      </c>
      <c r="P1525" s="79">
        <v>45067.792442129627</v>
      </c>
      <c r="Q1525" s="77" t="s">
        <v>2606</v>
      </c>
      <c r="R1525" s="77">
        <v>0</v>
      </c>
      <c r="S1525" s="77">
        <v>0</v>
      </c>
      <c r="T1525" s="77">
        <v>0</v>
      </c>
      <c r="U1525" s="77">
        <v>0</v>
      </c>
      <c r="V1525" s="77">
        <v>13</v>
      </c>
      <c r="W1525" s="82" t="s">
        <v>5129</v>
      </c>
      <c r="X1525" s="80" t="str">
        <f>HYPERLINK("https://www.diegohenrique.com.br/post/os-queridinhosda-renda-fixa-em-2022")</f>
        <v>https://www.diegohenrique.com.br/post/os-queridinhosda-renda-fixa-em-2022</v>
      </c>
      <c r="Y1525" s="77" t="s">
        <v>6002</v>
      </c>
      <c r="Z1525" s="77"/>
      <c r="AA1525" s="77"/>
      <c r="AB1525" s="77"/>
      <c r="AC1525" s="82" t="s">
        <v>7707</v>
      </c>
      <c r="AD1525" s="77" t="s">
        <v>7746</v>
      </c>
      <c r="AE1525" s="80" t="str">
        <f>HYPERLINK("https://twitter.com/diegohenrique_i/status/1660360088115113990")</f>
        <v>https://twitter.com/diegohenrique_i/status/1660360088115113990</v>
      </c>
      <c r="AF1525" s="79">
        <v>45067.792442129627</v>
      </c>
      <c r="AG1525" s="85">
        <v>45067</v>
      </c>
      <c r="AH1525" s="82" t="s">
        <v>9110</v>
      </c>
      <c r="AI1525" s="77" t="b">
        <v>0</v>
      </c>
      <c r="AJ1525" s="77"/>
      <c r="AK1525" s="77"/>
      <c r="AL1525" s="77"/>
      <c r="AM1525" s="77"/>
      <c r="AN1525" s="77"/>
      <c r="AO1525" s="77"/>
      <c r="AP1525" s="77"/>
      <c r="AQ1525" s="77"/>
      <c r="AR1525" s="77"/>
      <c r="AS1525" s="77"/>
      <c r="AT1525" s="77"/>
      <c r="AU1525" s="77"/>
      <c r="AV1525" s="80" t="str">
        <f>HYPERLINK("https://pbs.twimg.com/profile_images/1654158973719703554/i35irQdO_normal.jpg")</f>
        <v>https://pbs.twimg.com/profile_images/1654158973719703554/i35irQdO_normal.jpg</v>
      </c>
      <c r="AW1525" s="82" t="s">
        <v>13698</v>
      </c>
      <c r="AX1525" s="82" t="s">
        <v>13698</v>
      </c>
      <c r="AY1525" s="77"/>
      <c r="AZ1525" s="82" t="s">
        <v>15804</v>
      </c>
      <c r="BA1525" s="82" t="s">
        <v>15804</v>
      </c>
      <c r="BB1525" s="82" t="s">
        <v>15804</v>
      </c>
      <c r="BC1525" s="82" t="s">
        <v>13698</v>
      </c>
      <c r="BD1525" s="77">
        <v>245551895</v>
      </c>
      <c r="BE1525" s="77"/>
      <c r="BF1525" s="77"/>
      <c r="BG1525" s="77"/>
      <c r="BH1525" s="77"/>
      <c r="BI1525" s="77"/>
    </row>
    <row r="1526" spans="1:61" x14ac:dyDescent="0.25">
      <c r="A1526" s="62" t="s">
        <v>715</v>
      </c>
      <c r="B1526" s="62" t="s">
        <v>715</v>
      </c>
      <c r="C1526" s="63"/>
      <c r="D1526" s="64"/>
      <c r="E1526" s="65"/>
      <c r="F1526" s="66"/>
      <c r="G1526" s="63"/>
      <c r="H1526" s="67"/>
      <c r="I1526" s="68"/>
      <c r="J1526" s="68"/>
      <c r="K1526" s="32"/>
      <c r="L1526" s="75">
        <v>1526</v>
      </c>
      <c r="M1526" s="75"/>
      <c r="N1526" s="70"/>
      <c r="O1526" s="77" t="s">
        <v>179</v>
      </c>
      <c r="P1526" s="79">
        <v>45074.781805555554</v>
      </c>
      <c r="Q1526" s="77" t="s">
        <v>2607</v>
      </c>
      <c r="R1526" s="77">
        <v>0</v>
      </c>
      <c r="S1526" s="77">
        <v>0</v>
      </c>
      <c r="T1526" s="77">
        <v>0</v>
      </c>
      <c r="U1526" s="77">
        <v>0</v>
      </c>
      <c r="V1526" s="77">
        <v>11</v>
      </c>
      <c r="W1526" s="82" t="s">
        <v>5130</v>
      </c>
      <c r="X1526" s="80" t="str">
        <f>HYPERLINK("https://www.diegohenrique.com.br/post/renda-variavel-descubra-o-poder-das-variacoes-financeira")</f>
        <v>https://www.diegohenrique.com.br/post/renda-variavel-descubra-o-poder-das-variacoes-financeira</v>
      </c>
      <c r="Y1526" s="77" t="s">
        <v>6002</v>
      </c>
      <c r="Z1526" s="77"/>
      <c r="AA1526" s="77"/>
      <c r="AB1526" s="77"/>
      <c r="AC1526" s="82" t="s">
        <v>7735</v>
      </c>
      <c r="AD1526" s="77" t="s">
        <v>7745</v>
      </c>
      <c r="AE1526" s="80" t="str">
        <f>HYPERLINK("https://twitter.com/diegohenrique_i/status/1662892948059725824")</f>
        <v>https://twitter.com/diegohenrique_i/status/1662892948059725824</v>
      </c>
      <c r="AF1526" s="79">
        <v>45074.781805555554</v>
      </c>
      <c r="AG1526" s="85">
        <v>45074</v>
      </c>
      <c r="AH1526" s="82" t="s">
        <v>9111</v>
      </c>
      <c r="AI1526" s="77" t="b">
        <v>0</v>
      </c>
      <c r="AJ1526" s="77"/>
      <c r="AK1526" s="77"/>
      <c r="AL1526" s="77"/>
      <c r="AM1526" s="77"/>
      <c r="AN1526" s="77"/>
      <c r="AO1526" s="77"/>
      <c r="AP1526" s="77"/>
      <c r="AQ1526" s="77"/>
      <c r="AR1526" s="77"/>
      <c r="AS1526" s="77"/>
      <c r="AT1526" s="77"/>
      <c r="AU1526" s="77"/>
      <c r="AV1526" s="80" t="str">
        <f>HYPERLINK("https://pbs.twimg.com/profile_images/1654158973719703554/i35irQdO_normal.jpg")</f>
        <v>https://pbs.twimg.com/profile_images/1654158973719703554/i35irQdO_normal.jpg</v>
      </c>
      <c r="AW1526" s="82" t="s">
        <v>13699</v>
      </c>
      <c r="AX1526" s="82" t="s">
        <v>13699</v>
      </c>
      <c r="AY1526" s="77"/>
      <c r="AZ1526" s="82" t="s">
        <v>15804</v>
      </c>
      <c r="BA1526" s="82" t="s">
        <v>15804</v>
      </c>
      <c r="BB1526" s="82" t="s">
        <v>15804</v>
      </c>
      <c r="BC1526" s="82" t="s">
        <v>13699</v>
      </c>
      <c r="BD1526" s="77">
        <v>245551895</v>
      </c>
      <c r="BE1526" s="77"/>
      <c r="BF1526" s="77"/>
      <c r="BG1526" s="77"/>
      <c r="BH1526" s="77"/>
      <c r="BI1526" s="77"/>
    </row>
    <row r="1527" spans="1:61" x14ac:dyDescent="0.25">
      <c r="A1527" s="62" t="s">
        <v>715</v>
      </c>
      <c r="B1527" s="62" t="s">
        <v>715</v>
      </c>
      <c r="C1527" s="63"/>
      <c r="D1527" s="64"/>
      <c r="E1527" s="65"/>
      <c r="F1527" s="66"/>
      <c r="G1527" s="63"/>
      <c r="H1527" s="67"/>
      <c r="I1527" s="68"/>
      <c r="J1527" s="68"/>
      <c r="K1527" s="32"/>
      <c r="L1527" s="75">
        <v>1527</v>
      </c>
      <c r="M1527" s="75"/>
      <c r="N1527" s="70"/>
      <c r="O1527" s="77" t="s">
        <v>179</v>
      </c>
      <c r="P1527" s="79">
        <v>45060.97550925926</v>
      </c>
      <c r="Q1527" s="77" t="s">
        <v>2608</v>
      </c>
      <c r="R1527" s="77">
        <v>0</v>
      </c>
      <c r="S1527" s="77">
        <v>0</v>
      </c>
      <c r="T1527" s="77">
        <v>0</v>
      </c>
      <c r="U1527" s="77">
        <v>0</v>
      </c>
      <c r="V1527" s="77">
        <v>15</v>
      </c>
      <c r="W1527" s="82" t="s">
        <v>5129</v>
      </c>
      <c r="X1527" s="80" t="str">
        <f>HYPERLINK("https://www.diegohenrique.com.br/post/quebra-cabeca-de-escolhas-e-momentos-para-investir")</f>
        <v>https://www.diegohenrique.com.br/post/quebra-cabeca-de-escolhas-e-momentos-para-investir</v>
      </c>
      <c r="Y1527" s="77" t="s">
        <v>6002</v>
      </c>
      <c r="Z1527" s="77"/>
      <c r="AA1527" s="77"/>
      <c r="AB1527" s="77"/>
      <c r="AC1527" s="82" t="s">
        <v>7707</v>
      </c>
      <c r="AD1527" s="77" t="s">
        <v>7746</v>
      </c>
      <c r="AE1527" s="80" t="str">
        <f>HYPERLINK("https://twitter.com/diegohenrique_i/status/1657889713414340608")</f>
        <v>https://twitter.com/diegohenrique_i/status/1657889713414340608</v>
      </c>
      <c r="AF1527" s="79">
        <v>45060.97550925926</v>
      </c>
      <c r="AG1527" s="85">
        <v>45060</v>
      </c>
      <c r="AH1527" s="82" t="s">
        <v>9112</v>
      </c>
      <c r="AI1527" s="77" t="b">
        <v>0</v>
      </c>
      <c r="AJ1527" s="77"/>
      <c r="AK1527" s="77"/>
      <c r="AL1527" s="77"/>
      <c r="AM1527" s="77"/>
      <c r="AN1527" s="77"/>
      <c r="AO1527" s="77"/>
      <c r="AP1527" s="77"/>
      <c r="AQ1527" s="77"/>
      <c r="AR1527" s="77"/>
      <c r="AS1527" s="77"/>
      <c r="AT1527" s="77"/>
      <c r="AU1527" s="77"/>
      <c r="AV1527" s="80" t="str">
        <f>HYPERLINK("https://pbs.twimg.com/profile_images/1654158973719703554/i35irQdO_normal.jpg")</f>
        <v>https://pbs.twimg.com/profile_images/1654158973719703554/i35irQdO_normal.jpg</v>
      </c>
      <c r="AW1527" s="82" t="s">
        <v>13700</v>
      </c>
      <c r="AX1527" s="82" t="s">
        <v>13700</v>
      </c>
      <c r="AY1527" s="77"/>
      <c r="AZ1527" s="82" t="s">
        <v>15804</v>
      </c>
      <c r="BA1527" s="82" t="s">
        <v>15804</v>
      </c>
      <c r="BB1527" s="82" t="s">
        <v>15804</v>
      </c>
      <c r="BC1527" s="82" t="s">
        <v>13700</v>
      </c>
      <c r="BD1527" s="77">
        <v>245551895</v>
      </c>
      <c r="BE1527" s="77"/>
      <c r="BF1527" s="77"/>
      <c r="BG1527" s="77"/>
      <c r="BH1527" s="77"/>
      <c r="BI1527" s="77"/>
    </row>
    <row r="1528" spans="1:61" x14ac:dyDescent="0.25">
      <c r="A1528" s="62" t="s">
        <v>716</v>
      </c>
      <c r="B1528" s="62" t="s">
        <v>716</v>
      </c>
      <c r="C1528" s="63"/>
      <c r="D1528" s="64"/>
      <c r="E1528" s="65"/>
      <c r="F1528" s="66"/>
      <c r="G1528" s="63"/>
      <c r="H1528" s="67"/>
      <c r="I1528" s="68"/>
      <c r="J1528" s="68"/>
      <c r="K1528" s="32"/>
      <c r="L1528" s="75">
        <v>1528</v>
      </c>
      <c r="M1528" s="75"/>
      <c r="N1528" s="70"/>
      <c r="O1528" s="77" t="s">
        <v>179</v>
      </c>
      <c r="P1528" s="79">
        <v>45104.583356481482</v>
      </c>
      <c r="Q1528" s="77" t="s">
        <v>2609</v>
      </c>
      <c r="R1528" s="77">
        <v>1</v>
      </c>
      <c r="S1528" s="77">
        <v>12</v>
      </c>
      <c r="T1528" s="77">
        <v>0</v>
      </c>
      <c r="U1528" s="77">
        <v>0</v>
      </c>
      <c r="V1528" s="77">
        <v>656</v>
      </c>
      <c r="W1528" s="82" t="s">
        <v>5131</v>
      </c>
      <c r="X1528" s="80" t="str">
        <f>HYPERLINK("https://bit.ly/3CI1aZH")</f>
        <v>https://bit.ly/3CI1aZH</v>
      </c>
      <c r="Y1528" s="77" t="s">
        <v>6004</v>
      </c>
      <c r="Z1528" s="77"/>
      <c r="AA1528" s="77" t="s">
        <v>7120</v>
      </c>
      <c r="AB1528" s="77" t="s">
        <v>7696</v>
      </c>
      <c r="AC1528" s="82" t="s">
        <v>7713</v>
      </c>
      <c r="AD1528" s="77" t="s">
        <v>7745</v>
      </c>
      <c r="AE1528" s="80" t="str">
        <f>HYPERLINK("https://twitter.com/unifesp/status/1673692668201959430")</f>
        <v>https://twitter.com/unifesp/status/1673692668201959430</v>
      </c>
      <c r="AF1528" s="79">
        <v>45104.583356481482</v>
      </c>
      <c r="AG1528" s="85">
        <v>45104</v>
      </c>
      <c r="AH1528" s="82" t="s">
        <v>8439</v>
      </c>
      <c r="AI1528" s="77" t="b">
        <v>0</v>
      </c>
      <c r="AJ1528" s="77"/>
      <c r="AK1528" s="77"/>
      <c r="AL1528" s="77"/>
      <c r="AM1528" s="77"/>
      <c r="AN1528" s="77"/>
      <c r="AO1528" s="77"/>
      <c r="AP1528" s="77"/>
      <c r="AQ1528" s="77" t="s">
        <v>11627</v>
      </c>
      <c r="AR1528" s="77"/>
      <c r="AS1528" s="77"/>
      <c r="AT1528" s="77"/>
      <c r="AU1528" s="77"/>
      <c r="AV1528" s="80" t="str">
        <f>HYPERLINK("https://pbs.twimg.com/media/FzO9nl3aYAMm07e.jpg")</f>
        <v>https://pbs.twimg.com/media/FzO9nl3aYAMm07e.jpg</v>
      </c>
      <c r="AW1528" s="82" t="s">
        <v>13701</v>
      </c>
      <c r="AX1528" s="82" t="s">
        <v>13701</v>
      </c>
      <c r="AY1528" s="77"/>
      <c r="AZ1528" s="82" t="s">
        <v>15804</v>
      </c>
      <c r="BA1528" s="82" t="s">
        <v>15804</v>
      </c>
      <c r="BB1528" s="82" t="s">
        <v>15804</v>
      </c>
      <c r="BC1528" s="82" t="s">
        <v>13701</v>
      </c>
      <c r="BD1528" s="82" t="s">
        <v>16413</v>
      </c>
      <c r="BE1528" s="77"/>
      <c r="BF1528" s="77"/>
      <c r="BG1528" s="77"/>
      <c r="BH1528" s="77"/>
      <c r="BI1528" s="77"/>
    </row>
    <row r="1529" spans="1:61" x14ac:dyDescent="0.25">
      <c r="A1529" s="62" t="s">
        <v>717</v>
      </c>
      <c r="B1529" s="62" t="s">
        <v>717</v>
      </c>
      <c r="C1529" s="63"/>
      <c r="D1529" s="64"/>
      <c r="E1529" s="65"/>
      <c r="F1529" s="66"/>
      <c r="G1529" s="63"/>
      <c r="H1529" s="67"/>
      <c r="I1529" s="68"/>
      <c r="J1529" s="68"/>
      <c r="K1529" s="32"/>
      <c r="L1529" s="75">
        <v>1529</v>
      </c>
      <c r="M1529" s="75"/>
      <c r="N1529" s="70"/>
      <c r="O1529" s="77" t="s">
        <v>179</v>
      </c>
      <c r="P1529" s="79">
        <v>45005.561261574076</v>
      </c>
      <c r="Q1529" s="77" t="s">
        <v>2610</v>
      </c>
      <c r="R1529" s="77">
        <v>0</v>
      </c>
      <c r="S1529" s="77">
        <v>0</v>
      </c>
      <c r="T1529" s="77">
        <v>0</v>
      </c>
      <c r="U1529" s="77">
        <v>0</v>
      </c>
      <c r="V1529" s="77">
        <v>17</v>
      </c>
      <c r="W1529" s="82" t="s">
        <v>5132</v>
      </c>
      <c r="X1529" s="80" t="str">
        <f>HYPERLINK("https://www.instagram.com/p/CqAy0yVOtos/?igshid=YTgzYjQ4ZTY=")</f>
        <v>https://www.instagram.com/p/CqAy0yVOtos/?igshid=YTgzYjQ4ZTY=</v>
      </c>
      <c r="Y1529" s="77" t="s">
        <v>6000</v>
      </c>
      <c r="Z1529" s="77"/>
      <c r="AA1529" s="77"/>
      <c r="AB1529" s="77"/>
      <c r="AC1529" s="82" t="s">
        <v>7704</v>
      </c>
      <c r="AD1529" s="77" t="s">
        <v>7745</v>
      </c>
      <c r="AE1529" s="80" t="str">
        <f>HYPERLINK("https://twitter.com/rodtogneri/status/1637808262820114433")</f>
        <v>https://twitter.com/rodtogneri/status/1637808262820114433</v>
      </c>
      <c r="AF1529" s="79">
        <v>45005.561261574076</v>
      </c>
      <c r="AG1529" s="85">
        <v>45005</v>
      </c>
      <c r="AH1529" s="82" t="s">
        <v>9113</v>
      </c>
      <c r="AI1529" s="77" t="b">
        <v>0</v>
      </c>
      <c r="AJ1529" s="77"/>
      <c r="AK1529" s="77"/>
      <c r="AL1529" s="77"/>
      <c r="AM1529" s="77"/>
      <c r="AN1529" s="77"/>
      <c r="AO1529" s="77"/>
      <c r="AP1529" s="77"/>
      <c r="AQ1529" s="77"/>
      <c r="AR1529" s="77"/>
      <c r="AS1529" s="77"/>
      <c r="AT1529" s="77"/>
      <c r="AU1529" s="77"/>
      <c r="AV1529" s="80" t="str">
        <f>HYPERLINK("https://pbs.twimg.com/profile_images/479627480429379584/MYB86Obg_normal.jpeg")</f>
        <v>https://pbs.twimg.com/profile_images/479627480429379584/MYB86Obg_normal.jpeg</v>
      </c>
      <c r="AW1529" s="82" t="s">
        <v>13702</v>
      </c>
      <c r="AX1529" s="82" t="s">
        <v>13702</v>
      </c>
      <c r="AY1529" s="77"/>
      <c r="AZ1529" s="82" t="s">
        <v>15804</v>
      </c>
      <c r="BA1529" s="82" t="s">
        <v>15804</v>
      </c>
      <c r="BB1529" s="82" t="s">
        <v>15804</v>
      </c>
      <c r="BC1529" s="82" t="s">
        <v>13702</v>
      </c>
      <c r="BD1529" s="77">
        <v>173970122</v>
      </c>
      <c r="BE1529" s="77"/>
      <c r="BF1529" s="77"/>
      <c r="BG1529" s="77"/>
      <c r="BH1529" s="77"/>
      <c r="BI1529" s="77"/>
    </row>
    <row r="1530" spans="1:61" x14ac:dyDescent="0.25">
      <c r="A1530" s="62" t="s">
        <v>717</v>
      </c>
      <c r="B1530" s="62" t="s">
        <v>717</v>
      </c>
      <c r="C1530" s="63"/>
      <c r="D1530" s="64"/>
      <c r="E1530" s="65"/>
      <c r="F1530" s="66"/>
      <c r="G1530" s="63"/>
      <c r="H1530" s="67"/>
      <c r="I1530" s="68"/>
      <c r="J1530" s="68"/>
      <c r="K1530" s="32"/>
      <c r="L1530" s="75">
        <v>1530</v>
      </c>
      <c r="M1530" s="75"/>
      <c r="N1530" s="70"/>
      <c r="O1530" s="77" t="s">
        <v>179</v>
      </c>
      <c r="P1530" s="79">
        <v>45012.626273148147</v>
      </c>
      <c r="Q1530" s="77" t="s">
        <v>2611</v>
      </c>
      <c r="R1530" s="77">
        <v>0</v>
      </c>
      <c r="S1530" s="77">
        <v>0</v>
      </c>
      <c r="T1530" s="77">
        <v>0</v>
      </c>
      <c r="U1530" s="77">
        <v>0</v>
      </c>
      <c r="V1530" s="77">
        <v>24</v>
      </c>
      <c r="W1530" s="82" t="s">
        <v>5133</v>
      </c>
      <c r="X1530" s="77"/>
      <c r="Y1530" s="77"/>
      <c r="Z1530" s="77"/>
      <c r="AA1530" s="77" t="s">
        <v>7121</v>
      </c>
      <c r="AB1530" s="77" t="s">
        <v>7700</v>
      </c>
      <c r="AC1530" s="82" t="s">
        <v>7707</v>
      </c>
      <c r="AD1530" s="77" t="s">
        <v>7745</v>
      </c>
      <c r="AE1530" s="80" t="str">
        <f>HYPERLINK("https://twitter.com/rodtogneri/status/1640368535598772228")</f>
        <v>https://twitter.com/rodtogneri/status/1640368535598772228</v>
      </c>
      <c r="AF1530" s="79">
        <v>45012.626273148147</v>
      </c>
      <c r="AG1530" s="85">
        <v>45012</v>
      </c>
      <c r="AH1530" s="82" t="s">
        <v>9114</v>
      </c>
      <c r="AI1530" s="77" t="b">
        <v>0</v>
      </c>
      <c r="AJ1530" s="77"/>
      <c r="AK1530" s="77"/>
      <c r="AL1530" s="77"/>
      <c r="AM1530" s="77"/>
      <c r="AN1530" s="77"/>
      <c r="AO1530" s="77"/>
      <c r="AP1530" s="77"/>
      <c r="AQ1530" s="77" t="s">
        <v>11628</v>
      </c>
      <c r="AR1530" s="77"/>
      <c r="AS1530" s="77"/>
      <c r="AT1530" s="77"/>
      <c r="AU1530" s="77"/>
      <c r="AV1530" s="80" t="str">
        <f>HYPERLINK("https://pbs.twimg.com/media/FsPCe0mWIAAP4nM.jpg")</f>
        <v>https://pbs.twimg.com/media/FsPCe0mWIAAP4nM.jpg</v>
      </c>
      <c r="AW1530" s="82" t="s">
        <v>13703</v>
      </c>
      <c r="AX1530" s="82" t="s">
        <v>13703</v>
      </c>
      <c r="AY1530" s="77"/>
      <c r="AZ1530" s="82" t="s">
        <v>15804</v>
      </c>
      <c r="BA1530" s="82" t="s">
        <v>15804</v>
      </c>
      <c r="BB1530" s="82" t="s">
        <v>15804</v>
      </c>
      <c r="BC1530" s="82" t="s">
        <v>13703</v>
      </c>
      <c r="BD1530" s="77">
        <v>173970122</v>
      </c>
      <c r="BE1530" s="77"/>
      <c r="BF1530" s="77"/>
      <c r="BG1530" s="77"/>
      <c r="BH1530" s="77"/>
      <c r="BI1530" s="77"/>
    </row>
    <row r="1531" spans="1:61" x14ac:dyDescent="0.25">
      <c r="A1531" s="62" t="s">
        <v>718</v>
      </c>
      <c r="B1531" s="62" t="s">
        <v>718</v>
      </c>
      <c r="C1531" s="63"/>
      <c r="D1531" s="64"/>
      <c r="E1531" s="65"/>
      <c r="F1531" s="66"/>
      <c r="G1531" s="63"/>
      <c r="H1531" s="67"/>
      <c r="I1531" s="68"/>
      <c r="J1531" s="68"/>
      <c r="K1531" s="32"/>
      <c r="L1531" s="75">
        <v>1531</v>
      </c>
      <c r="M1531" s="75"/>
      <c r="N1531" s="70"/>
      <c r="O1531" s="77" t="s">
        <v>179</v>
      </c>
      <c r="P1531" s="79">
        <v>44958.887476851851</v>
      </c>
      <c r="Q1531" s="77" t="s">
        <v>2612</v>
      </c>
      <c r="R1531" s="77">
        <v>1</v>
      </c>
      <c r="S1531" s="77">
        <v>3</v>
      </c>
      <c r="T1531" s="77">
        <v>0</v>
      </c>
      <c r="U1531" s="77">
        <v>0</v>
      </c>
      <c r="V1531" s="77">
        <v>93</v>
      </c>
      <c r="W1531" s="82" t="s">
        <v>5134</v>
      </c>
      <c r="X1531" s="77"/>
      <c r="Y1531" s="77"/>
      <c r="Z1531" s="77"/>
      <c r="AA1531" s="77"/>
      <c r="AB1531" s="77"/>
      <c r="AC1531" s="82" t="s">
        <v>7707</v>
      </c>
      <c r="AD1531" s="77" t="s">
        <v>7745</v>
      </c>
      <c r="AE1531" s="80" t="str">
        <f>HYPERLINK("https://twitter.com/mcovesa/status/1620894248387358720")</f>
        <v>https://twitter.com/mcovesa/status/1620894248387358720</v>
      </c>
      <c r="AF1531" s="79">
        <v>44958.887476851851</v>
      </c>
      <c r="AG1531" s="85">
        <v>44958</v>
      </c>
      <c r="AH1531" s="82" t="s">
        <v>9115</v>
      </c>
      <c r="AI1531" s="77"/>
      <c r="AJ1531" s="77"/>
      <c r="AK1531" s="77"/>
      <c r="AL1531" s="77"/>
      <c r="AM1531" s="77"/>
      <c r="AN1531" s="77"/>
      <c r="AO1531" s="77"/>
      <c r="AP1531" s="77"/>
      <c r="AQ1531" s="77"/>
      <c r="AR1531" s="77"/>
      <c r="AS1531" s="77"/>
      <c r="AT1531" s="77"/>
      <c r="AU1531" s="77"/>
      <c r="AV1531" s="80" t="str">
        <f>HYPERLINK("https://pbs.twimg.com/profile_images/1281160374142803968/BSr5Ucpb_normal.jpg")</f>
        <v>https://pbs.twimg.com/profile_images/1281160374142803968/BSr5Ucpb_normal.jpg</v>
      </c>
      <c r="AW1531" s="82" t="s">
        <v>13704</v>
      </c>
      <c r="AX1531" s="82" t="s">
        <v>13704</v>
      </c>
      <c r="AY1531" s="77"/>
      <c r="AZ1531" s="82" t="s">
        <v>15804</v>
      </c>
      <c r="BA1531" s="82" t="s">
        <v>15804</v>
      </c>
      <c r="BB1531" s="82" t="s">
        <v>15804</v>
      </c>
      <c r="BC1531" s="82" t="s">
        <v>13704</v>
      </c>
      <c r="BD1531" s="77">
        <v>2911189884</v>
      </c>
      <c r="BE1531" s="77"/>
      <c r="BF1531" s="77"/>
      <c r="BG1531" s="77"/>
      <c r="BH1531" s="77"/>
      <c r="BI1531" s="77"/>
    </row>
    <row r="1532" spans="1:61" x14ac:dyDescent="0.25">
      <c r="A1532" s="62" t="s">
        <v>719</v>
      </c>
      <c r="B1532" s="62" t="s">
        <v>719</v>
      </c>
      <c r="C1532" s="63"/>
      <c r="D1532" s="64"/>
      <c r="E1532" s="65"/>
      <c r="F1532" s="66"/>
      <c r="G1532" s="63"/>
      <c r="H1532" s="67"/>
      <c r="I1532" s="68"/>
      <c r="J1532" s="68"/>
      <c r="K1532" s="32"/>
      <c r="L1532" s="75">
        <v>1532</v>
      </c>
      <c r="M1532" s="75"/>
      <c r="N1532" s="70"/>
      <c r="O1532" s="77" t="s">
        <v>179</v>
      </c>
      <c r="P1532" s="79">
        <v>45020.623518518521</v>
      </c>
      <c r="Q1532" s="77" t="s">
        <v>2613</v>
      </c>
      <c r="R1532" s="77">
        <v>0</v>
      </c>
      <c r="S1532" s="77">
        <v>0</v>
      </c>
      <c r="T1532" s="77">
        <v>0</v>
      </c>
      <c r="U1532" s="77">
        <v>0</v>
      </c>
      <c r="V1532" s="77">
        <v>19</v>
      </c>
      <c r="W1532" s="82" t="s">
        <v>5135</v>
      </c>
      <c r="X1532" s="80" t="str">
        <f>HYPERLINK("http://bit.ly/WhatsApp_AlineAmaral")</f>
        <v>http://bit.ly/WhatsApp_AlineAmaral</v>
      </c>
      <c r="Y1532" s="77" t="s">
        <v>6004</v>
      </c>
      <c r="Z1532" s="77"/>
      <c r="AA1532" s="77" t="s">
        <v>7122</v>
      </c>
      <c r="AB1532" s="77" t="s">
        <v>7697</v>
      </c>
      <c r="AC1532" s="82" t="s">
        <v>7705</v>
      </c>
      <c r="AD1532" s="77" t="s">
        <v>7745</v>
      </c>
      <c r="AE1532" s="80" t="str">
        <f>HYPERLINK("https://twitter.com/aline_tarot/status/1643266642103730179")</f>
        <v>https://twitter.com/aline_tarot/status/1643266642103730179</v>
      </c>
      <c r="AF1532" s="79">
        <v>45020.623518518521</v>
      </c>
      <c r="AG1532" s="85">
        <v>45020</v>
      </c>
      <c r="AH1532" s="82" t="s">
        <v>9116</v>
      </c>
      <c r="AI1532" s="77" t="b">
        <v>0</v>
      </c>
      <c r="AJ1532" s="77"/>
      <c r="AK1532" s="77"/>
      <c r="AL1532" s="77"/>
      <c r="AM1532" s="77"/>
      <c r="AN1532" s="77"/>
      <c r="AO1532" s="77"/>
      <c r="AP1532" s="77"/>
      <c r="AQ1532" s="77" t="s">
        <v>11629</v>
      </c>
      <c r="AR1532" s="77">
        <v>59100</v>
      </c>
      <c r="AS1532" s="77"/>
      <c r="AT1532" s="77"/>
      <c r="AU1532" s="77">
        <v>6</v>
      </c>
      <c r="AV1532" s="80" t="str">
        <f>HYPERLINK("https://pbs.twimg.com/ext_tw_video_thumb/1643266546951659521/pu/img/ol-wC5psAlAp5a4P.jpg")</f>
        <v>https://pbs.twimg.com/ext_tw_video_thumb/1643266546951659521/pu/img/ol-wC5psAlAp5a4P.jpg</v>
      </c>
      <c r="AW1532" s="82" t="s">
        <v>13705</v>
      </c>
      <c r="AX1532" s="82" t="s">
        <v>13705</v>
      </c>
      <c r="AY1532" s="77"/>
      <c r="AZ1532" s="82" t="s">
        <v>15804</v>
      </c>
      <c r="BA1532" s="82" t="s">
        <v>15804</v>
      </c>
      <c r="BB1532" s="82" t="s">
        <v>15804</v>
      </c>
      <c r="BC1532" s="82" t="s">
        <v>13705</v>
      </c>
      <c r="BD1532" s="82" t="s">
        <v>16414</v>
      </c>
      <c r="BE1532" s="77"/>
      <c r="BF1532" s="77"/>
      <c r="BG1532" s="77"/>
      <c r="BH1532" s="77"/>
      <c r="BI1532" s="77"/>
    </row>
    <row r="1533" spans="1:61" x14ac:dyDescent="0.25">
      <c r="A1533" s="62" t="s">
        <v>720</v>
      </c>
      <c r="B1533" s="62" t="s">
        <v>720</v>
      </c>
      <c r="C1533" s="63"/>
      <c r="D1533" s="64"/>
      <c r="E1533" s="65"/>
      <c r="F1533" s="66"/>
      <c r="G1533" s="63"/>
      <c r="H1533" s="67"/>
      <c r="I1533" s="68"/>
      <c r="J1533" s="68"/>
      <c r="K1533" s="32"/>
      <c r="L1533" s="75">
        <v>1533</v>
      </c>
      <c r="M1533" s="75"/>
      <c r="N1533" s="70"/>
      <c r="O1533" s="77" t="s">
        <v>179</v>
      </c>
      <c r="P1533" s="79">
        <v>45002.128460648149</v>
      </c>
      <c r="Q1533" s="77" t="s">
        <v>2614</v>
      </c>
      <c r="R1533" s="77">
        <v>0</v>
      </c>
      <c r="S1533" s="77">
        <v>0</v>
      </c>
      <c r="T1533" s="77">
        <v>0</v>
      </c>
      <c r="U1533" s="77">
        <v>0</v>
      </c>
      <c r="V1533" s="77">
        <v>4</v>
      </c>
      <c r="W1533" s="82" t="s">
        <v>5136</v>
      </c>
      <c r="X1533" s="77"/>
      <c r="Y1533" s="77"/>
      <c r="Z1533" s="77"/>
      <c r="AA1533" s="77"/>
      <c r="AB1533" s="77"/>
      <c r="AC1533" s="82" t="s">
        <v>7707</v>
      </c>
      <c r="AD1533" s="77" t="s">
        <v>7745</v>
      </c>
      <c r="AE1533" s="80" t="str">
        <f>HYPERLINK("https://twitter.com/soutosistina/status/1636564258715475970")</f>
        <v>https://twitter.com/soutosistina/status/1636564258715475970</v>
      </c>
      <c r="AF1533" s="79">
        <v>45002.128460648149</v>
      </c>
      <c r="AG1533" s="85">
        <v>45002</v>
      </c>
      <c r="AH1533" s="82" t="s">
        <v>9117</v>
      </c>
      <c r="AI1533" s="77"/>
      <c r="AJ1533" s="77"/>
      <c r="AK1533" s="77"/>
      <c r="AL1533" s="77"/>
      <c r="AM1533" s="77"/>
      <c r="AN1533" s="77"/>
      <c r="AO1533" s="77"/>
      <c r="AP1533" s="77"/>
      <c r="AQ1533" s="77"/>
      <c r="AR1533" s="77"/>
      <c r="AS1533" s="77"/>
      <c r="AT1533" s="77"/>
      <c r="AU1533" s="77"/>
      <c r="AV1533" s="80" t="str">
        <f>HYPERLINK("https://pbs.twimg.com/profile_images/1581782703648768000/wNCFNRjF_normal.png")</f>
        <v>https://pbs.twimg.com/profile_images/1581782703648768000/wNCFNRjF_normal.png</v>
      </c>
      <c r="AW1533" s="82" t="s">
        <v>13706</v>
      </c>
      <c r="AX1533" s="82" t="s">
        <v>13706</v>
      </c>
      <c r="AY1533" s="77"/>
      <c r="AZ1533" s="82" t="s">
        <v>15804</v>
      </c>
      <c r="BA1533" s="82" t="s">
        <v>15804</v>
      </c>
      <c r="BB1533" s="82" t="s">
        <v>15804</v>
      </c>
      <c r="BC1533" s="82" t="s">
        <v>13706</v>
      </c>
      <c r="BD1533" s="82" t="s">
        <v>16415</v>
      </c>
      <c r="BE1533" s="77"/>
      <c r="BF1533" s="77"/>
      <c r="BG1533" s="77"/>
      <c r="BH1533" s="77"/>
      <c r="BI1533" s="77"/>
    </row>
    <row r="1534" spans="1:61" x14ac:dyDescent="0.25">
      <c r="A1534" s="62" t="s">
        <v>721</v>
      </c>
      <c r="B1534" s="62" t="s">
        <v>721</v>
      </c>
      <c r="C1534" s="63"/>
      <c r="D1534" s="64"/>
      <c r="E1534" s="65"/>
      <c r="F1534" s="66"/>
      <c r="G1534" s="63"/>
      <c r="H1534" s="67"/>
      <c r="I1534" s="68"/>
      <c r="J1534" s="68"/>
      <c r="K1534" s="32"/>
      <c r="L1534" s="75">
        <v>1534</v>
      </c>
      <c r="M1534" s="75"/>
      <c r="N1534" s="70"/>
      <c r="O1534" s="77" t="s">
        <v>179</v>
      </c>
      <c r="P1534" s="79">
        <v>44970.794710648152</v>
      </c>
      <c r="Q1534" s="77" t="s">
        <v>2615</v>
      </c>
      <c r="R1534" s="77">
        <v>6</v>
      </c>
      <c r="S1534" s="77">
        <v>35</v>
      </c>
      <c r="T1534" s="77">
        <v>6</v>
      </c>
      <c r="U1534" s="77">
        <v>2</v>
      </c>
      <c r="V1534" s="77">
        <v>14507</v>
      </c>
      <c r="W1534" s="77"/>
      <c r="X1534" s="80" t="str">
        <f>HYPERLINK("https://cnnbr.app/short/c1593071917/")</f>
        <v>https://cnnbr.app/short/c1593071917/</v>
      </c>
      <c r="Y1534" s="77" t="s">
        <v>6077</v>
      </c>
      <c r="Z1534" s="77"/>
      <c r="AA1534" s="77"/>
      <c r="AB1534" s="77"/>
      <c r="AC1534" s="82" t="s">
        <v>7731</v>
      </c>
      <c r="AD1534" s="77" t="s">
        <v>7745</v>
      </c>
      <c r="AE1534" s="80" t="str">
        <f>HYPERLINK("https://twitter.com/cnneconomia/status/1625209284546990095")</f>
        <v>https://twitter.com/cnneconomia/status/1625209284546990095</v>
      </c>
      <c r="AF1534" s="79">
        <v>44970.794710648152</v>
      </c>
      <c r="AG1534" s="85">
        <v>44970</v>
      </c>
      <c r="AH1534" s="82" t="s">
        <v>9118</v>
      </c>
      <c r="AI1534" s="77" t="b">
        <v>0</v>
      </c>
      <c r="AJ1534" s="77"/>
      <c r="AK1534" s="77"/>
      <c r="AL1534" s="77"/>
      <c r="AM1534" s="77"/>
      <c r="AN1534" s="77"/>
      <c r="AO1534" s="77"/>
      <c r="AP1534" s="77"/>
      <c r="AQ1534" s="77"/>
      <c r="AR1534" s="77"/>
      <c r="AS1534" s="77"/>
      <c r="AT1534" s="77"/>
      <c r="AU1534" s="77"/>
      <c r="AV1534" s="80" t="str">
        <f>HYPERLINK("https://pbs.twimg.com/profile_images/1635339386563731466/B0cAkPp-_normal.jpg")</f>
        <v>https://pbs.twimg.com/profile_images/1635339386563731466/B0cAkPp-_normal.jpg</v>
      </c>
      <c r="AW1534" s="82" t="s">
        <v>13707</v>
      </c>
      <c r="AX1534" s="82" t="s">
        <v>13707</v>
      </c>
      <c r="AY1534" s="77"/>
      <c r="AZ1534" s="82" t="s">
        <v>15804</v>
      </c>
      <c r="BA1534" s="82" t="s">
        <v>15804</v>
      </c>
      <c r="BB1534" s="82" t="s">
        <v>15804</v>
      </c>
      <c r="BC1534" s="82" t="s">
        <v>13707</v>
      </c>
      <c r="BD1534" s="82" t="s">
        <v>16416</v>
      </c>
      <c r="BE1534" s="77"/>
      <c r="BF1534" s="77"/>
      <c r="BG1534" s="77"/>
      <c r="BH1534" s="77"/>
      <c r="BI1534" s="77"/>
    </row>
    <row r="1535" spans="1:61" x14ac:dyDescent="0.25">
      <c r="A1535" s="62" t="s">
        <v>722</v>
      </c>
      <c r="B1535" s="62" t="s">
        <v>721</v>
      </c>
      <c r="C1535" s="63"/>
      <c r="D1535" s="64"/>
      <c r="E1535" s="65"/>
      <c r="F1535" s="66"/>
      <c r="G1535" s="63"/>
      <c r="H1535" s="67"/>
      <c r="I1535" s="68"/>
      <c r="J1535" s="68"/>
      <c r="K1535" s="32"/>
      <c r="L1535" s="75">
        <v>1535</v>
      </c>
      <c r="M1535" s="75"/>
      <c r="N1535" s="70"/>
      <c r="O1535" s="77" t="s">
        <v>1135</v>
      </c>
      <c r="P1535" s="79">
        <v>44970.845763888887</v>
      </c>
      <c r="Q1535" s="77" t="s">
        <v>2616</v>
      </c>
      <c r="R1535" s="77">
        <v>0</v>
      </c>
      <c r="S1535" s="77">
        <v>0</v>
      </c>
      <c r="T1535" s="77">
        <v>0</v>
      </c>
      <c r="U1535" s="77">
        <v>0</v>
      </c>
      <c r="V1535" s="77">
        <v>27</v>
      </c>
      <c r="W1535" s="82" t="s">
        <v>5137</v>
      </c>
      <c r="X1535" s="77"/>
      <c r="Y1535" s="77"/>
      <c r="Z1535" s="77"/>
      <c r="AA1535" s="77"/>
      <c r="AB1535" s="77"/>
      <c r="AC1535" s="82" t="s">
        <v>7707</v>
      </c>
      <c r="AD1535" s="77" t="s">
        <v>7745</v>
      </c>
      <c r="AE1535" s="80" t="str">
        <f>HYPERLINK("https://twitter.com/pedromestr/status/1625227787983282176")</f>
        <v>https://twitter.com/pedromestr/status/1625227787983282176</v>
      </c>
      <c r="AF1535" s="79">
        <v>44970.845763888887</v>
      </c>
      <c r="AG1535" s="85">
        <v>44970</v>
      </c>
      <c r="AH1535" s="82" t="s">
        <v>9119</v>
      </c>
      <c r="AI1535" s="77"/>
      <c r="AJ1535" s="77"/>
      <c r="AK1535" s="77"/>
      <c r="AL1535" s="77"/>
      <c r="AM1535" s="77"/>
      <c r="AN1535" s="77"/>
      <c r="AO1535" s="77"/>
      <c r="AP1535" s="77"/>
      <c r="AQ1535" s="77"/>
      <c r="AR1535" s="77"/>
      <c r="AS1535" s="77"/>
      <c r="AT1535" s="77"/>
      <c r="AU1535" s="77"/>
      <c r="AV1535" s="80" t="str">
        <f>HYPERLINK("https://pbs.twimg.com/profile_images/1641396253903683585/H2hUe8ZN_normal.jpg")</f>
        <v>https://pbs.twimg.com/profile_images/1641396253903683585/H2hUe8ZN_normal.jpg</v>
      </c>
      <c r="AW1535" s="82" t="s">
        <v>13708</v>
      </c>
      <c r="AX1535" s="82" t="s">
        <v>13708</v>
      </c>
      <c r="AY1535" s="77"/>
      <c r="AZ1535" s="82" t="s">
        <v>15804</v>
      </c>
      <c r="BA1535" s="82" t="s">
        <v>13707</v>
      </c>
      <c r="BB1535" s="82" t="s">
        <v>15804</v>
      </c>
      <c r="BC1535" s="82" t="s">
        <v>13707</v>
      </c>
      <c r="BD1535" s="77">
        <v>240849616</v>
      </c>
      <c r="BE1535" s="77"/>
      <c r="BF1535" s="77"/>
      <c r="BG1535" s="77"/>
      <c r="BH1535" s="77"/>
      <c r="BI1535" s="77"/>
    </row>
    <row r="1536" spans="1:61" x14ac:dyDescent="0.25">
      <c r="A1536" s="62" t="s">
        <v>723</v>
      </c>
      <c r="B1536" s="62" t="s">
        <v>723</v>
      </c>
      <c r="C1536" s="63"/>
      <c r="D1536" s="64"/>
      <c r="E1536" s="65"/>
      <c r="F1536" s="66"/>
      <c r="G1536" s="63"/>
      <c r="H1536" s="67"/>
      <c r="I1536" s="68"/>
      <c r="J1536" s="68"/>
      <c r="K1536" s="32"/>
      <c r="L1536" s="75">
        <v>1536</v>
      </c>
      <c r="M1536" s="75"/>
      <c r="N1536" s="70"/>
      <c r="O1536" s="77" t="s">
        <v>179</v>
      </c>
      <c r="P1536" s="79">
        <v>44942.083333333336</v>
      </c>
      <c r="Q1536" s="77" t="s">
        <v>2617</v>
      </c>
      <c r="R1536" s="77">
        <v>0</v>
      </c>
      <c r="S1536" s="77">
        <v>1</v>
      </c>
      <c r="T1536" s="77">
        <v>0</v>
      </c>
      <c r="U1536" s="77">
        <v>0</v>
      </c>
      <c r="V1536" s="77">
        <v>137</v>
      </c>
      <c r="W1536" s="82" t="s">
        <v>5138</v>
      </c>
      <c r="X1536" s="80" t="str">
        <f>HYPERLINK("https://www.jornalcontabil.com.br/beneficiarios-do-bolsa-familia-comecam-a-receber-a-partir-do-dia-18/")</f>
        <v>https://www.jornalcontabil.com.br/beneficiarios-do-bolsa-familia-comecam-a-receber-a-partir-do-dia-18/</v>
      </c>
      <c r="Y1536" s="77" t="s">
        <v>6002</v>
      </c>
      <c r="Z1536" s="77"/>
      <c r="AA1536" s="77"/>
      <c r="AB1536" s="77"/>
      <c r="AC1536" s="82" t="s">
        <v>7708</v>
      </c>
      <c r="AD1536" s="77" t="s">
        <v>7745</v>
      </c>
      <c r="AE1536" s="80" t="str">
        <f>HYPERLINK("https://twitter.com/jornalcontabil_/status/1614804633100210179")</f>
        <v>https://twitter.com/jornalcontabil_/status/1614804633100210179</v>
      </c>
      <c r="AF1536" s="79">
        <v>44942.083333333336</v>
      </c>
      <c r="AG1536" s="85">
        <v>44942</v>
      </c>
      <c r="AH1536" s="82" t="s">
        <v>9120</v>
      </c>
      <c r="AI1536" s="77" t="b">
        <v>0</v>
      </c>
      <c r="AJ1536" s="77"/>
      <c r="AK1536" s="77"/>
      <c r="AL1536" s="77"/>
      <c r="AM1536" s="77"/>
      <c r="AN1536" s="77"/>
      <c r="AO1536" s="77"/>
      <c r="AP1536" s="77"/>
      <c r="AQ1536" s="77"/>
      <c r="AR1536" s="77"/>
      <c r="AS1536" s="77"/>
      <c r="AT1536" s="77"/>
      <c r="AU1536" s="77"/>
      <c r="AV1536" s="80" t="str">
        <f>HYPERLINK("https://pbs.twimg.com/profile_images/1618704448913645585/SRa-pW4s_normal.jpg")</f>
        <v>https://pbs.twimg.com/profile_images/1618704448913645585/SRa-pW4s_normal.jpg</v>
      </c>
      <c r="AW1536" s="82" t="s">
        <v>13709</v>
      </c>
      <c r="AX1536" s="82" t="s">
        <v>13709</v>
      </c>
      <c r="AY1536" s="77"/>
      <c r="AZ1536" s="82" t="s">
        <v>15804</v>
      </c>
      <c r="BA1536" s="82" t="s">
        <v>15804</v>
      </c>
      <c r="BB1536" s="82" t="s">
        <v>15804</v>
      </c>
      <c r="BC1536" s="82" t="s">
        <v>13709</v>
      </c>
      <c r="BD1536" s="77">
        <v>212916157</v>
      </c>
      <c r="BE1536" s="77"/>
      <c r="BF1536" s="77"/>
      <c r="BG1536" s="77"/>
      <c r="BH1536" s="77"/>
      <c r="BI1536" s="77"/>
    </row>
    <row r="1537" spans="1:61" x14ac:dyDescent="0.25">
      <c r="A1537" s="62" t="s">
        <v>723</v>
      </c>
      <c r="B1537" s="62" t="s">
        <v>723</v>
      </c>
      <c r="C1537" s="63"/>
      <c r="D1537" s="64"/>
      <c r="E1537" s="65"/>
      <c r="F1537" s="66"/>
      <c r="G1537" s="63"/>
      <c r="H1537" s="67"/>
      <c r="I1537" s="68"/>
      <c r="J1537" s="68"/>
      <c r="K1537" s="32"/>
      <c r="L1537" s="75">
        <v>1537</v>
      </c>
      <c r="M1537" s="75"/>
      <c r="N1537" s="70"/>
      <c r="O1537" s="77" t="s">
        <v>179</v>
      </c>
      <c r="P1537" s="79">
        <v>45003.375162037039</v>
      </c>
      <c r="Q1537" s="77" t="s">
        <v>2618</v>
      </c>
      <c r="R1537" s="77">
        <v>2</v>
      </c>
      <c r="S1537" s="77">
        <v>4</v>
      </c>
      <c r="T1537" s="77">
        <v>0</v>
      </c>
      <c r="U1537" s="77">
        <v>1</v>
      </c>
      <c r="V1537" s="77">
        <v>373</v>
      </c>
      <c r="W1537" s="77"/>
      <c r="X1537" s="80" t="str">
        <f>HYPERLINK("https://www.jornalcontabil.com.br/e-possivel-pagar-inss-retroativo/")</f>
        <v>https://www.jornalcontabil.com.br/e-possivel-pagar-inss-retroativo/</v>
      </c>
      <c r="Y1537" s="77" t="s">
        <v>6002</v>
      </c>
      <c r="Z1537" s="77"/>
      <c r="AA1537" s="77" t="s">
        <v>7123</v>
      </c>
      <c r="AB1537" s="77" t="s">
        <v>7696</v>
      </c>
      <c r="AC1537" s="82" t="s">
        <v>7708</v>
      </c>
      <c r="AD1537" s="77" t="s">
        <v>7745</v>
      </c>
      <c r="AE1537" s="80" t="str">
        <f>HYPERLINK("https://twitter.com/jornalcontabil_/status/1637016048728776704")</f>
        <v>https://twitter.com/jornalcontabil_/status/1637016048728776704</v>
      </c>
      <c r="AF1537" s="79">
        <v>45003.375162037039</v>
      </c>
      <c r="AG1537" s="85">
        <v>45003</v>
      </c>
      <c r="AH1537" s="82" t="s">
        <v>9121</v>
      </c>
      <c r="AI1537" s="77" t="b">
        <v>0</v>
      </c>
      <c r="AJ1537" s="77"/>
      <c r="AK1537" s="77"/>
      <c r="AL1537" s="77"/>
      <c r="AM1537" s="77"/>
      <c r="AN1537" s="77"/>
      <c r="AO1537" s="77"/>
      <c r="AP1537" s="77"/>
      <c r="AQ1537" s="77" t="s">
        <v>11630</v>
      </c>
      <c r="AR1537" s="77"/>
      <c r="AS1537" s="77"/>
      <c r="AT1537" s="77"/>
      <c r="AU1537" s="77"/>
      <c r="AV1537" s="80" t="str">
        <f>HYPERLINK("https://pbs.twimg.com/media/FrfZa4LWYAECiIK.jpg")</f>
        <v>https://pbs.twimg.com/media/FrfZa4LWYAECiIK.jpg</v>
      </c>
      <c r="AW1537" s="82" t="s">
        <v>13710</v>
      </c>
      <c r="AX1537" s="82" t="s">
        <v>13710</v>
      </c>
      <c r="AY1537" s="77"/>
      <c r="AZ1537" s="82" t="s">
        <v>15804</v>
      </c>
      <c r="BA1537" s="82" t="s">
        <v>15804</v>
      </c>
      <c r="BB1537" s="82" t="s">
        <v>15804</v>
      </c>
      <c r="BC1537" s="82" t="s">
        <v>13710</v>
      </c>
      <c r="BD1537" s="77">
        <v>212916157</v>
      </c>
      <c r="BE1537" s="77"/>
      <c r="BF1537" s="77"/>
      <c r="BG1537" s="77"/>
      <c r="BH1537" s="77"/>
      <c r="BI1537" s="77"/>
    </row>
    <row r="1538" spans="1:61" x14ac:dyDescent="0.25">
      <c r="A1538" s="62" t="s">
        <v>723</v>
      </c>
      <c r="B1538" s="62" t="s">
        <v>723</v>
      </c>
      <c r="C1538" s="63"/>
      <c r="D1538" s="64"/>
      <c r="E1538" s="65"/>
      <c r="F1538" s="66"/>
      <c r="G1538" s="63"/>
      <c r="H1538" s="67"/>
      <c r="I1538" s="68"/>
      <c r="J1538" s="68"/>
      <c r="K1538" s="32"/>
      <c r="L1538" s="75">
        <v>1538</v>
      </c>
      <c r="M1538" s="75"/>
      <c r="N1538" s="70"/>
      <c r="O1538" s="77" t="s">
        <v>179</v>
      </c>
      <c r="P1538" s="79">
        <v>44936.747662037036</v>
      </c>
      <c r="Q1538" s="77" t="s">
        <v>2619</v>
      </c>
      <c r="R1538" s="77">
        <v>2</v>
      </c>
      <c r="S1538" s="77">
        <v>1</v>
      </c>
      <c r="T1538" s="77">
        <v>0</v>
      </c>
      <c r="U1538" s="77">
        <v>0</v>
      </c>
      <c r="V1538" s="77">
        <v>154</v>
      </c>
      <c r="W1538" s="82" t="s">
        <v>5139</v>
      </c>
      <c r="X1538" s="80" t="str">
        <f>HYPERLINK("https://www.jornalcontabil.com.br/como-aumentar-a-restituicao-no-imposto-de-renda-2023/")</f>
        <v>https://www.jornalcontabil.com.br/como-aumentar-a-restituicao-no-imposto-de-renda-2023/</v>
      </c>
      <c r="Y1538" s="77" t="s">
        <v>6002</v>
      </c>
      <c r="Z1538" s="77"/>
      <c r="AA1538" s="77"/>
      <c r="AB1538" s="77"/>
      <c r="AC1538" s="82" t="s">
        <v>7708</v>
      </c>
      <c r="AD1538" s="77" t="s">
        <v>7745</v>
      </c>
      <c r="AE1538" s="80" t="str">
        <f>HYPERLINK("https://twitter.com/jornalcontabil_/status/1612871048399028224")</f>
        <v>https://twitter.com/jornalcontabil_/status/1612871048399028224</v>
      </c>
      <c r="AF1538" s="79">
        <v>44936.747662037036</v>
      </c>
      <c r="AG1538" s="85">
        <v>44936</v>
      </c>
      <c r="AH1538" s="82" t="s">
        <v>9122</v>
      </c>
      <c r="AI1538" s="77" t="b">
        <v>0</v>
      </c>
      <c r="AJ1538" s="77"/>
      <c r="AK1538" s="77"/>
      <c r="AL1538" s="77"/>
      <c r="AM1538" s="77"/>
      <c r="AN1538" s="77"/>
      <c r="AO1538" s="77"/>
      <c r="AP1538" s="77"/>
      <c r="AQ1538" s="77"/>
      <c r="AR1538" s="77"/>
      <c r="AS1538" s="77"/>
      <c r="AT1538" s="77"/>
      <c r="AU1538" s="77"/>
      <c r="AV1538" s="80" t="str">
        <f>HYPERLINK("https://pbs.twimg.com/profile_images/1618704448913645585/SRa-pW4s_normal.jpg")</f>
        <v>https://pbs.twimg.com/profile_images/1618704448913645585/SRa-pW4s_normal.jpg</v>
      </c>
      <c r="AW1538" s="82" t="s">
        <v>13711</v>
      </c>
      <c r="AX1538" s="82" t="s">
        <v>13711</v>
      </c>
      <c r="AY1538" s="77"/>
      <c r="AZ1538" s="82" t="s">
        <v>15804</v>
      </c>
      <c r="BA1538" s="82" t="s">
        <v>15804</v>
      </c>
      <c r="BB1538" s="82" t="s">
        <v>15804</v>
      </c>
      <c r="BC1538" s="82" t="s">
        <v>13711</v>
      </c>
      <c r="BD1538" s="77">
        <v>212916157</v>
      </c>
      <c r="BE1538" s="77"/>
      <c r="BF1538" s="77"/>
      <c r="BG1538" s="77"/>
      <c r="BH1538" s="77"/>
      <c r="BI1538" s="77"/>
    </row>
    <row r="1539" spans="1:61" x14ac:dyDescent="0.25">
      <c r="A1539" s="62" t="s">
        <v>723</v>
      </c>
      <c r="B1539" s="62" t="s">
        <v>723</v>
      </c>
      <c r="C1539" s="63"/>
      <c r="D1539" s="64"/>
      <c r="E1539" s="65"/>
      <c r="F1539" s="66"/>
      <c r="G1539" s="63"/>
      <c r="H1539" s="67"/>
      <c r="I1539" s="68"/>
      <c r="J1539" s="68"/>
      <c r="K1539" s="32"/>
      <c r="L1539" s="75">
        <v>1539</v>
      </c>
      <c r="M1539" s="75"/>
      <c r="N1539" s="70"/>
      <c r="O1539" s="77" t="s">
        <v>179</v>
      </c>
      <c r="P1539" s="79">
        <v>45077.490254629629</v>
      </c>
      <c r="Q1539" s="77" t="s">
        <v>2620</v>
      </c>
      <c r="R1539" s="77">
        <v>1</v>
      </c>
      <c r="S1539" s="77">
        <v>0</v>
      </c>
      <c r="T1539" s="77">
        <v>0</v>
      </c>
      <c r="U1539" s="77">
        <v>0</v>
      </c>
      <c r="V1539" s="77">
        <v>108</v>
      </c>
      <c r="W1539" s="82" t="s">
        <v>5140</v>
      </c>
      <c r="X1539" s="80" t="str">
        <f>HYPERLINK("https://www.jornalcontabil.com.br/a-importancia-da-alfabetizacao-financeira-na-era-moderna/")</f>
        <v>https://www.jornalcontabil.com.br/a-importancia-da-alfabetizacao-financeira-na-era-moderna/</v>
      </c>
      <c r="Y1539" s="77" t="s">
        <v>6002</v>
      </c>
      <c r="Z1539" s="77"/>
      <c r="AA1539" s="77"/>
      <c r="AB1539" s="77"/>
      <c r="AC1539" s="82" t="s">
        <v>7706</v>
      </c>
      <c r="AD1539" s="77" t="s">
        <v>7745</v>
      </c>
      <c r="AE1539" s="80" t="str">
        <f>HYPERLINK("https://twitter.com/jornalcontabil_/status/1663874457511899137")</f>
        <v>https://twitter.com/jornalcontabil_/status/1663874457511899137</v>
      </c>
      <c r="AF1539" s="79">
        <v>45077.490254629629</v>
      </c>
      <c r="AG1539" s="85">
        <v>45077</v>
      </c>
      <c r="AH1539" s="82" t="s">
        <v>9123</v>
      </c>
      <c r="AI1539" s="77" t="b">
        <v>0</v>
      </c>
      <c r="AJ1539" s="77"/>
      <c r="AK1539" s="77"/>
      <c r="AL1539" s="77"/>
      <c r="AM1539" s="77"/>
      <c r="AN1539" s="77"/>
      <c r="AO1539" s="77"/>
      <c r="AP1539" s="77"/>
      <c r="AQ1539" s="77"/>
      <c r="AR1539" s="77"/>
      <c r="AS1539" s="77"/>
      <c r="AT1539" s="77"/>
      <c r="AU1539" s="77"/>
      <c r="AV1539" s="80" t="str">
        <f>HYPERLINK("https://pbs.twimg.com/profile_images/1618704448913645585/SRa-pW4s_normal.jpg")</f>
        <v>https://pbs.twimg.com/profile_images/1618704448913645585/SRa-pW4s_normal.jpg</v>
      </c>
      <c r="AW1539" s="82" t="s">
        <v>13712</v>
      </c>
      <c r="AX1539" s="82" t="s">
        <v>13712</v>
      </c>
      <c r="AY1539" s="77"/>
      <c r="AZ1539" s="82" t="s">
        <v>15804</v>
      </c>
      <c r="BA1539" s="82" t="s">
        <v>15804</v>
      </c>
      <c r="BB1539" s="82" t="s">
        <v>15804</v>
      </c>
      <c r="BC1539" s="82" t="s">
        <v>13712</v>
      </c>
      <c r="BD1539" s="77">
        <v>212916157</v>
      </c>
      <c r="BE1539" s="77"/>
      <c r="BF1539" s="77"/>
      <c r="BG1539" s="77"/>
      <c r="BH1539" s="77"/>
      <c r="BI1539" s="77"/>
    </row>
    <row r="1540" spans="1:61" x14ac:dyDescent="0.25">
      <c r="A1540" s="62" t="s">
        <v>723</v>
      </c>
      <c r="B1540" s="62" t="s">
        <v>723</v>
      </c>
      <c r="C1540" s="63"/>
      <c r="D1540" s="64"/>
      <c r="E1540" s="65"/>
      <c r="F1540" s="66"/>
      <c r="G1540" s="63"/>
      <c r="H1540" s="67"/>
      <c r="I1540" s="68"/>
      <c r="J1540" s="68"/>
      <c r="K1540" s="32"/>
      <c r="L1540" s="75">
        <v>1540</v>
      </c>
      <c r="M1540" s="75"/>
      <c r="N1540" s="70"/>
      <c r="O1540" s="77" t="s">
        <v>179</v>
      </c>
      <c r="P1540" s="79">
        <v>44929.083344907405</v>
      </c>
      <c r="Q1540" s="77" t="s">
        <v>2621</v>
      </c>
      <c r="R1540" s="77">
        <v>0</v>
      </c>
      <c r="S1540" s="77">
        <v>0</v>
      </c>
      <c r="T1540" s="77">
        <v>0</v>
      </c>
      <c r="U1540" s="77">
        <v>0</v>
      </c>
      <c r="V1540" s="77">
        <v>127</v>
      </c>
      <c r="W1540" s="82" t="s">
        <v>5141</v>
      </c>
      <c r="X1540" s="80" t="str">
        <f>HYPERLINK("https://www.jornalcontabil.com.br/7-dicas-de-como-economizar-no-material-escolar/")</f>
        <v>https://www.jornalcontabil.com.br/7-dicas-de-como-economizar-no-material-escolar/</v>
      </c>
      <c r="Y1540" s="77" t="s">
        <v>6002</v>
      </c>
      <c r="Z1540" s="77"/>
      <c r="AA1540" s="77"/>
      <c r="AB1540" s="77"/>
      <c r="AC1540" s="82" t="s">
        <v>7708</v>
      </c>
      <c r="AD1540" s="77" t="s">
        <v>7745</v>
      </c>
      <c r="AE1540" s="80" t="str">
        <f>HYPERLINK("https://twitter.com/jornalcontabil_/status/1610093593263325190")</f>
        <v>https://twitter.com/jornalcontabil_/status/1610093593263325190</v>
      </c>
      <c r="AF1540" s="79">
        <v>44929.083344907405</v>
      </c>
      <c r="AG1540" s="85">
        <v>44929</v>
      </c>
      <c r="AH1540" s="82" t="s">
        <v>9124</v>
      </c>
      <c r="AI1540" s="77" t="b">
        <v>0</v>
      </c>
      <c r="AJ1540" s="77"/>
      <c r="AK1540" s="77"/>
      <c r="AL1540" s="77"/>
      <c r="AM1540" s="77"/>
      <c r="AN1540" s="77"/>
      <c r="AO1540" s="77"/>
      <c r="AP1540" s="77"/>
      <c r="AQ1540" s="77"/>
      <c r="AR1540" s="77"/>
      <c r="AS1540" s="77"/>
      <c r="AT1540" s="77"/>
      <c r="AU1540" s="77"/>
      <c r="AV1540" s="80" t="str">
        <f>HYPERLINK("https://pbs.twimg.com/profile_images/1618704448913645585/SRa-pW4s_normal.jpg")</f>
        <v>https://pbs.twimg.com/profile_images/1618704448913645585/SRa-pW4s_normal.jpg</v>
      </c>
      <c r="AW1540" s="82" t="s">
        <v>13713</v>
      </c>
      <c r="AX1540" s="82" t="s">
        <v>13713</v>
      </c>
      <c r="AY1540" s="77"/>
      <c r="AZ1540" s="82" t="s">
        <v>15804</v>
      </c>
      <c r="BA1540" s="82" t="s">
        <v>15804</v>
      </c>
      <c r="BB1540" s="82" t="s">
        <v>15804</v>
      </c>
      <c r="BC1540" s="82" t="s">
        <v>13713</v>
      </c>
      <c r="BD1540" s="77">
        <v>212916157</v>
      </c>
      <c r="BE1540" s="77"/>
      <c r="BF1540" s="77"/>
      <c r="BG1540" s="77"/>
      <c r="BH1540" s="77"/>
      <c r="BI1540" s="77"/>
    </row>
    <row r="1541" spans="1:61" x14ac:dyDescent="0.25">
      <c r="A1541" s="62" t="s">
        <v>723</v>
      </c>
      <c r="B1541" s="62" t="s">
        <v>723</v>
      </c>
      <c r="C1541" s="63"/>
      <c r="D1541" s="64"/>
      <c r="E1541" s="65"/>
      <c r="F1541" s="66"/>
      <c r="G1541" s="63"/>
      <c r="H1541" s="67"/>
      <c r="I1541" s="68"/>
      <c r="J1541" s="68"/>
      <c r="K1541" s="32"/>
      <c r="L1541" s="75">
        <v>1541</v>
      </c>
      <c r="M1541" s="75"/>
      <c r="N1541" s="70"/>
      <c r="O1541" s="77" t="s">
        <v>179</v>
      </c>
      <c r="P1541" s="79">
        <v>45099.000011574077</v>
      </c>
      <c r="Q1541" s="77" t="s">
        <v>2622</v>
      </c>
      <c r="R1541" s="77">
        <v>2</v>
      </c>
      <c r="S1541" s="77">
        <v>1</v>
      </c>
      <c r="T1541" s="77">
        <v>0</v>
      </c>
      <c r="U1541" s="77">
        <v>0</v>
      </c>
      <c r="V1541" s="77">
        <v>144</v>
      </c>
      <c r="W1541" s="82" t="s">
        <v>5142</v>
      </c>
      <c r="X1541" s="80" t="str">
        <f>HYPERLINK("https://www.jornalcontabil.com.br/veja-nove-dicas-para-organizar-as-suas-financas-pessoais/")</f>
        <v>https://www.jornalcontabil.com.br/veja-nove-dicas-para-organizar-as-suas-financas-pessoais/</v>
      </c>
      <c r="Y1541" s="77" t="s">
        <v>6002</v>
      </c>
      <c r="Z1541" s="77"/>
      <c r="AA1541" s="77"/>
      <c r="AB1541" s="77"/>
      <c r="AC1541" s="82" t="s">
        <v>7706</v>
      </c>
      <c r="AD1541" s="77" t="s">
        <v>7745</v>
      </c>
      <c r="AE1541" s="80" t="str">
        <f>HYPERLINK("https://twitter.com/jornalcontabil_/status/1671669331644776448")</f>
        <v>https://twitter.com/jornalcontabil_/status/1671669331644776448</v>
      </c>
      <c r="AF1541" s="79">
        <v>45099.000011574077</v>
      </c>
      <c r="AG1541" s="85">
        <v>45099</v>
      </c>
      <c r="AH1541" s="82" t="s">
        <v>9125</v>
      </c>
      <c r="AI1541" s="77" t="b">
        <v>0</v>
      </c>
      <c r="AJ1541" s="77"/>
      <c r="AK1541" s="77"/>
      <c r="AL1541" s="77"/>
      <c r="AM1541" s="77"/>
      <c r="AN1541" s="77"/>
      <c r="AO1541" s="77"/>
      <c r="AP1541" s="77"/>
      <c r="AQ1541" s="77"/>
      <c r="AR1541" s="77"/>
      <c r="AS1541" s="77"/>
      <c r="AT1541" s="77"/>
      <c r="AU1541" s="77"/>
      <c r="AV1541" s="80" t="str">
        <f>HYPERLINK("https://pbs.twimg.com/profile_images/1618704448913645585/SRa-pW4s_normal.jpg")</f>
        <v>https://pbs.twimg.com/profile_images/1618704448913645585/SRa-pW4s_normal.jpg</v>
      </c>
      <c r="AW1541" s="82" t="s">
        <v>13714</v>
      </c>
      <c r="AX1541" s="82" t="s">
        <v>13714</v>
      </c>
      <c r="AY1541" s="77"/>
      <c r="AZ1541" s="82" t="s">
        <v>15804</v>
      </c>
      <c r="BA1541" s="82" t="s">
        <v>15804</v>
      </c>
      <c r="BB1541" s="82" t="s">
        <v>15804</v>
      </c>
      <c r="BC1541" s="82" t="s">
        <v>13714</v>
      </c>
      <c r="BD1541" s="77">
        <v>212916157</v>
      </c>
      <c r="BE1541" s="77"/>
      <c r="BF1541" s="77"/>
      <c r="BG1541" s="77"/>
      <c r="BH1541" s="77"/>
      <c r="BI1541" s="77"/>
    </row>
    <row r="1542" spans="1:61" x14ac:dyDescent="0.25">
      <c r="A1542" s="62" t="s">
        <v>723</v>
      </c>
      <c r="B1542" s="62" t="s">
        <v>723</v>
      </c>
      <c r="C1542" s="63"/>
      <c r="D1542" s="64"/>
      <c r="E1542" s="65"/>
      <c r="F1542" s="66"/>
      <c r="G1542" s="63"/>
      <c r="H1542" s="67"/>
      <c r="I1542" s="68"/>
      <c r="J1542" s="68"/>
      <c r="K1542" s="32"/>
      <c r="L1542" s="75">
        <v>1542</v>
      </c>
      <c r="M1542" s="75"/>
      <c r="N1542" s="70"/>
      <c r="O1542" s="77" t="s">
        <v>179</v>
      </c>
      <c r="P1542" s="79">
        <v>45094.958333333336</v>
      </c>
      <c r="Q1542" s="77" t="s">
        <v>2623</v>
      </c>
      <c r="R1542" s="77">
        <v>0</v>
      </c>
      <c r="S1542" s="77">
        <v>0</v>
      </c>
      <c r="T1542" s="77">
        <v>0</v>
      </c>
      <c r="U1542" s="77">
        <v>0</v>
      </c>
      <c r="V1542" s="77">
        <v>213</v>
      </c>
      <c r="W1542" s="82" t="s">
        <v>5143</v>
      </c>
      <c r="X1542" s="80" t="str">
        <f>HYPERLINK("https://www.jornalcontabil.com.br/10-dicas-para-voce-juntar-e-multiplicar-o-seu-dinheiro/#goog_rewarded")</f>
        <v>https://www.jornalcontabil.com.br/10-dicas-para-voce-juntar-e-multiplicar-o-seu-dinheiro/#goog_rewarded</v>
      </c>
      <c r="Y1542" s="77" t="s">
        <v>6002</v>
      </c>
      <c r="Z1542" s="77"/>
      <c r="AA1542" s="77" t="s">
        <v>7124</v>
      </c>
      <c r="AB1542" s="77" t="s">
        <v>7697</v>
      </c>
      <c r="AC1542" s="82" t="s">
        <v>7706</v>
      </c>
      <c r="AD1542" s="77" t="s">
        <v>7745</v>
      </c>
      <c r="AE1542" s="80" t="str">
        <f>HYPERLINK("https://twitter.com/jornalcontabil_/status/1670204675470024704")</f>
        <v>https://twitter.com/jornalcontabil_/status/1670204675470024704</v>
      </c>
      <c r="AF1542" s="79">
        <v>45094.958333333336</v>
      </c>
      <c r="AG1542" s="85">
        <v>45094</v>
      </c>
      <c r="AH1542" s="82" t="s">
        <v>8382</v>
      </c>
      <c r="AI1542" s="77" t="b">
        <v>0</v>
      </c>
      <c r="AJ1542" s="77"/>
      <c r="AK1542" s="77"/>
      <c r="AL1542" s="77"/>
      <c r="AM1542" s="77"/>
      <c r="AN1542" s="77"/>
      <c r="AO1542" s="77"/>
      <c r="AP1542" s="77"/>
      <c r="AQ1542" s="77" t="s">
        <v>11631</v>
      </c>
      <c r="AR1542" s="77">
        <v>58539</v>
      </c>
      <c r="AS1542" s="77"/>
      <c r="AT1542" s="77"/>
      <c r="AU1542" s="77">
        <v>54</v>
      </c>
      <c r="AV1542" s="80" t="str">
        <f>HYPERLINK("https://pbs.twimg.com/ext_tw_video_thumb/1669770813107478528/pu/img/kD8re_u4j2kgGa-h.jpg")</f>
        <v>https://pbs.twimg.com/ext_tw_video_thumb/1669770813107478528/pu/img/kD8re_u4j2kgGa-h.jpg</v>
      </c>
      <c r="AW1542" s="82" t="s">
        <v>13715</v>
      </c>
      <c r="AX1542" s="82" t="s">
        <v>13715</v>
      </c>
      <c r="AY1542" s="77"/>
      <c r="AZ1542" s="82" t="s">
        <v>15804</v>
      </c>
      <c r="BA1542" s="82" t="s">
        <v>15804</v>
      </c>
      <c r="BB1542" s="82" t="s">
        <v>15804</v>
      </c>
      <c r="BC1542" s="82" t="s">
        <v>13715</v>
      </c>
      <c r="BD1542" s="77">
        <v>212916157</v>
      </c>
      <c r="BE1542" s="77"/>
      <c r="BF1542" s="77"/>
      <c r="BG1542" s="77"/>
      <c r="BH1542" s="77"/>
      <c r="BI1542" s="77"/>
    </row>
    <row r="1543" spans="1:61" x14ac:dyDescent="0.25">
      <c r="A1543" s="62" t="s">
        <v>723</v>
      </c>
      <c r="B1543" s="62" t="s">
        <v>723</v>
      </c>
      <c r="C1543" s="63"/>
      <c r="D1543" s="64"/>
      <c r="E1543" s="65"/>
      <c r="F1543" s="66"/>
      <c r="G1543" s="63"/>
      <c r="H1543" s="67"/>
      <c r="I1543" s="68"/>
      <c r="J1543" s="68"/>
      <c r="K1543" s="32"/>
      <c r="L1543" s="75">
        <v>1543</v>
      </c>
      <c r="M1543" s="75"/>
      <c r="N1543" s="70"/>
      <c r="O1543" s="77" t="s">
        <v>179</v>
      </c>
      <c r="P1543" s="79">
        <v>44977.583796296298</v>
      </c>
      <c r="Q1543" s="77" t="s">
        <v>2624</v>
      </c>
      <c r="R1543" s="77">
        <v>0</v>
      </c>
      <c r="S1543" s="77">
        <v>1</v>
      </c>
      <c r="T1543" s="77">
        <v>0</v>
      </c>
      <c r="U1543" s="77">
        <v>0</v>
      </c>
      <c r="V1543" s="77">
        <v>112</v>
      </c>
      <c r="W1543" s="82" t="s">
        <v>5144</v>
      </c>
      <c r="X1543" s="80" t="str">
        <f>HYPERLINK("https://www.jornalcontabil.com.br/educacao-financeira-devera-representar-o-grande-diferencial-nas-escolas-do-futuro/")</f>
        <v>https://www.jornalcontabil.com.br/educacao-financeira-devera-representar-o-grande-diferencial-nas-escolas-do-futuro/</v>
      </c>
      <c r="Y1543" s="77" t="s">
        <v>6002</v>
      </c>
      <c r="Z1543" s="77"/>
      <c r="AA1543" s="77"/>
      <c r="AB1543" s="77"/>
      <c r="AC1543" s="82" t="s">
        <v>7708</v>
      </c>
      <c r="AD1543" s="77" t="s">
        <v>7745</v>
      </c>
      <c r="AE1543" s="80" t="str">
        <f>HYPERLINK("https://twitter.com/jornalcontabil_/status/1627669569526456320")</f>
        <v>https://twitter.com/jornalcontabil_/status/1627669569526456320</v>
      </c>
      <c r="AF1543" s="79">
        <v>44977.583796296298</v>
      </c>
      <c r="AG1543" s="85">
        <v>44977</v>
      </c>
      <c r="AH1543" s="82" t="s">
        <v>8931</v>
      </c>
      <c r="AI1543" s="77" t="b">
        <v>0</v>
      </c>
      <c r="AJ1543" s="77"/>
      <c r="AK1543" s="77"/>
      <c r="AL1543" s="77"/>
      <c r="AM1543" s="77"/>
      <c r="AN1543" s="77"/>
      <c r="AO1543" s="77"/>
      <c r="AP1543" s="77"/>
      <c r="AQ1543" s="77"/>
      <c r="AR1543" s="77"/>
      <c r="AS1543" s="77"/>
      <c r="AT1543" s="77"/>
      <c r="AU1543" s="77"/>
      <c r="AV1543" s="80" t="str">
        <f>HYPERLINK("https://pbs.twimg.com/profile_images/1618704448913645585/SRa-pW4s_normal.jpg")</f>
        <v>https://pbs.twimg.com/profile_images/1618704448913645585/SRa-pW4s_normal.jpg</v>
      </c>
      <c r="AW1543" s="82" t="s">
        <v>13716</v>
      </c>
      <c r="AX1543" s="82" t="s">
        <v>13716</v>
      </c>
      <c r="AY1543" s="77"/>
      <c r="AZ1543" s="82" t="s">
        <v>15804</v>
      </c>
      <c r="BA1543" s="82" t="s">
        <v>15804</v>
      </c>
      <c r="BB1543" s="82" t="s">
        <v>15804</v>
      </c>
      <c r="BC1543" s="82" t="s">
        <v>13716</v>
      </c>
      <c r="BD1543" s="77">
        <v>212916157</v>
      </c>
      <c r="BE1543" s="77"/>
      <c r="BF1543" s="77"/>
      <c r="BG1543" s="77"/>
      <c r="BH1543" s="77"/>
      <c r="BI1543" s="77"/>
    </row>
    <row r="1544" spans="1:61" x14ac:dyDescent="0.25">
      <c r="A1544" s="62" t="s">
        <v>723</v>
      </c>
      <c r="B1544" s="62" t="s">
        <v>723</v>
      </c>
      <c r="C1544" s="63"/>
      <c r="D1544" s="64"/>
      <c r="E1544" s="65"/>
      <c r="F1544" s="66"/>
      <c r="G1544" s="63"/>
      <c r="H1544" s="67"/>
      <c r="I1544" s="68"/>
      <c r="J1544" s="68"/>
      <c r="K1544" s="32"/>
      <c r="L1544" s="75">
        <v>1544</v>
      </c>
      <c r="M1544" s="75"/>
      <c r="N1544" s="70"/>
      <c r="O1544" s="77" t="s">
        <v>179</v>
      </c>
      <c r="P1544" s="79">
        <v>45133.857071759259</v>
      </c>
      <c r="Q1544" s="77" t="s">
        <v>2625</v>
      </c>
      <c r="R1544" s="77">
        <v>0</v>
      </c>
      <c r="S1544" s="77">
        <v>0</v>
      </c>
      <c r="T1544" s="77">
        <v>0</v>
      </c>
      <c r="U1544" s="77">
        <v>0</v>
      </c>
      <c r="V1544" s="77">
        <v>87</v>
      </c>
      <c r="W1544" s="82" t="s">
        <v>5145</v>
      </c>
      <c r="X1544" s="80" t="str">
        <f>HYPERLINK("https://www.jornalcontabil.com.br/engajamento-de-professores-e-alunos-em-educacao-financeira-aumenta-mas-ainda-ha-barreiras/")</f>
        <v>https://www.jornalcontabil.com.br/engajamento-de-professores-e-alunos-em-educacao-financeira-aumenta-mas-ainda-ha-barreiras/</v>
      </c>
      <c r="Y1544" s="77" t="s">
        <v>6002</v>
      </c>
      <c r="Z1544" s="77"/>
      <c r="AA1544" s="77" t="s">
        <v>7125</v>
      </c>
      <c r="AB1544" s="77" t="s">
        <v>7696</v>
      </c>
      <c r="AC1544" s="82" t="s">
        <v>7706</v>
      </c>
      <c r="AD1544" s="77" t="s">
        <v>7745</v>
      </c>
      <c r="AE1544" s="80" t="str">
        <f>HYPERLINK("https://twitter.com/jornalcontabil_/status/1684301109081382913")</f>
        <v>https://twitter.com/jornalcontabil_/status/1684301109081382913</v>
      </c>
      <c r="AF1544" s="79">
        <v>45133.857071759259</v>
      </c>
      <c r="AG1544" s="85">
        <v>45133</v>
      </c>
      <c r="AH1544" s="82" t="s">
        <v>9126</v>
      </c>
      <c r="AI1544" s="77" t="b">
        <v>0</v>
      </c>
      <c r="AJ1544" s="77"/>
      <c r="AK1544" s="77"/>
      <c r="AL1544" s="77"/>
      <c r="AM1544" s="77"/>
      <c r="AN1544" s="77"/>
      <c r="AO1544" s="77"/>
      <c r="AP1544" s="77"/>
      <c r="AQ1544" s="77" t="s">
        <v>11632</v>
      </c>
      <c r="AR1544" s="77"/>
      <c r="AS1544" s="77"/>
      <c r="AT1544" s="77"/>
      <c r="AU1544" s="77"/>
      <c r="AV1544" s="80" t="str">
        <f>HYPERLINK("https://pbs.twimg.com/media/F1_W7JqXsAATJfA.jpg")</f>
        <v>https://pbs.twimg.com/media/F1_W7JqXsAATJfA.jpg</v>
      </c>
      <c r="AW1544" s="82" t="s">
        <v>13717</v>
      </c>
      <c r="AX1544" s="82" t="s">
        <v>13717</v>
      </c>
      <c r="AY1544" s="77"/>
      <c r="AZ1544" s="82" t="s">
        <v>15804</v>
      </c>
      <c r="BA1544" s="82" t="s">
        <v>15804</v>
      </c>
      <c r="BB1544" s="82" t="s">
        <v>15804</v>
      </c>
      <c r="BC1544" s="82" t="s">
        <v>13717</v>
      </c>
      <c r="BD1544" s="77">
        <v>212916157</v>
      </c>
      <c r="BE1544" s="77"/>
      <c r="BF1544" s="77"/>
      <c r="BG1544" s="77"/>
      <c r="BH1544" s="77"/>
      <c r="BI1544" s="77"/>
    </row>
    <row r="1545" spans="1:61" x14ac:dyDescent="0.25">
      <c r="A1545" s="62" t="s">
        <v>723</v>
      </c>
      <c r="B1545" s="62" t="s">
        <v>723</v>
      </c>
      <c r="C1545" s="63"/>
      <c r="D1545" s="64"/>
      <c r="E1545" s="65"/>
      <c r="F1545" s="66"/>
      <c r="G1545" s="63"/>
      <c r="H1545" s="67"/>
      <c r="I1545" s="68"/>
      <c r="J1545" s="68"/>
      <c r="K1545" s="32"/>
      <c r="L1545" s="75">
        <v>1545</v>
      </c>
      <c r="M1545" s="75"/>
      <c r="N1545" s="70"/>
      <c r="O1545" s="77" t="s">
        <v>179</v>
      </c>
      <c r="P1545" s="79">
        <v>45113.795868055553</v>
      </c>
      <c r="Q1545" s="77" t="s">
        <v>2626</v>
      </c>
      <c r="R1545" s="77">
        <v>0</v>
      </c>
      <c r="S1545" s="77">
        <v>0</v>
      </c>
      <c r="T1545" s="77">
        <v>0</v>
      </c>
      <c r="U1545" s="77">
        <v>0</v>
      </c>
      <c r="V1545" s="77">
        <v>95</v>
      </c>
      <c r="W1545" s="82" t="s">
        <v>5146</v>
      </c>
      <c r="X1545" s="80" t="str">
        <f>HYPERLINK("https://www.jornalcontabil.com.br/curso-gratuito-de-educacao-financeira-para-docentes-buscar-um-porto-seguro-para-professores-e-alunos/")</f>
        <v>https://www.jornalcontabil.com.br/curso-gratuito-de-educacao-financeira-para-docentes-buscar-um-porto-seguro-para-professores-e-alunos/</v>
      </c>
      <c r="Y1545" s="77" t="s">
        <v>6002</v>
      </c>
      <c r="Z1545" s="77"/>
      <c r="AA1545" s="77"/>
      <c r="AB1545" s="77"/>
      <c r="AC1545" s="82" t="s">
        <v>7706</v>
      </c>
      <c r="AD1545" s="77" t="s">
        <v>7745</v>
      </c>
      <c r="AE1545" s="80" t="str">
        <f>HYPERLINK("https://twitter.com/jornalcontabil_/status/1677031169190252544")</f>
        <v>https://twitter.com/jornalcontabil_/status/1677031169190252544</v>
      </c>
      <c r="AF1545" s="79">
        <v>45113.795868055553</v>
      </c>
      <c r="AG1545" s="85">
        <v>45113</v>
      </c>
      <c r="AH1545" s="82" t="s">
        <v>9127</v>
      </c>
      <c r="AI1545" s="77" t="b">
        <v>0</v>
      </c>
      <c r="AJ1545" s="77"/>
      <c r="AK1545" s="77"/>
      <c r="AL1545" s="77"/>
      <c r="AM1545" s="77"/>
      <c r="AN1545" s="77"/>
      <c r="AO1545" s="77"/>
      <c r="AP1545" s="77"/>
      <c r="AQ1545" s="77"/>
      <c r="AR1545" s="77"/>
      <c r="AS1545" s="77"/>
      <c r="AT1545" s="77"/>
      <c r="AU1545" s="77"/>
      <c r="AV1545" s="80" t="str">
        <f>HYPERLINK("https://pbs.twimg.com/profile_images/1618704448913645585/SRa-pW4s_normal.jpg")</f>
        <v>https://pbs.twimg.com/profile_images/1618704448913645585/SRa-pW4s_normal.jpg</v>
      </c>
      <c r="AW1545" s="82" t="s">
        <v>13718</v>
      </c>
      <c r="AX1545" s="82" t="s">
        <v>13718</v>
      </c>
      <c r="AY1545" s="77"/>
      <c r="AZ1545" s="82" t="s">
        <v>15804</v>
      </c>
      <c r="BA1545" s="82" t="s">
        <v>15804</v>
      </c>
      <c r="BB1545" s="82" t="s">
        <v>15804</v>
      </c>
      <c r="BC1545" s="82" t="s">
        <v>13718</v>
      </c>
      <c r="BD1545" s="77">
        <v>212916157</v>
      </c>
      <c r="BE1545" s="77"/>
      <c r="BF1545" s="77"/>
      <c r="BG1545" s="77"/>
      <c r="BH1545" s="77"/>
      <c r="BI1545" s="77"/>
    </row>
    <row r="1546" spans="1:61" x14ac:dyDescent="0.25">
      <c r="A1546" s="62" t="s">
        <v>723</v>
      </c>
      <c r="B1546" s="62" t="s">
        <v>723</v>
      </c>
      <c r="C1546" s="63"/>
      <c r="D1546" s="64"/>
      <c r="E1546" s="65"/>
      <c r="F1546" s="66"/>
      <c r="G1546" s="63"/>
      <c r="H1546" s="67"/>
      <c r="I1546" s="68"/>
      <c r="J1546" s="68"/>
      <c r="K1546" s="32"/>
      <c r="L1546" s="75">
        <v>1546</v>
      </c>
      <c r="M1546" s="75"/>
      <c r="N1546" s="70"/>
      <c r="O1546" s="77" t="s">
        <v>179</v>
      </c>
      <c r="P1546" s="79">
        <v>45130.708333333336</v>
      </c>
      <c r="Q1546" s="77" t="s">
        <v>2627</v>
      </c>
      <c r="R1546" s="77">
        <v>1</v>
      </c>
      <c r="S1546" s="77">
        <v>0</v>
      </c>
      <c r="T1546" s="77">
        <v>0</v>
      </c>
      <c r="U1546" s="77">
        <v>0</v>
      </c>
      <c r="V1546" s="77">
        <v>141</v>
      </c>
      <c r="W1546" s="82" t="s">
        <v>5147</v>
      </c>
      <c r="X1546" s="80" t="str">
        <f>HYPERLINK("https://www.jornalcontabil.com.br/brasil-quebra-recorde-de-endividados-e-falha-no-incentivo-a-educacao-financeira/")</f>
        <v>https://www.jornalcontabil.com.br/brasil-quebra-recorde-de-endividados-e-falha-no-incentivo-a-educacao-financeira/</v>
      </c>
      <c r="Y1546" s="77" t="s">
        <v>6002</v>
      </c>
      <c r="Z1546" s="77"/>
      <c r="AA1546" s="77"/>
      <c r="AB1546" s="77"/>
      <c r="AC1546" s="82" t="s">
        <v>7706</v>
      </c>
      <c r="AD1546" s="77" t="s">
        <v>7745</v>
      </c>
      <c r="AE1546" s="80" t="str">
        <f>HYPERLINK("https://twitter.com/jornalcontabil_/status/1683160042617331714")</f>
        <v>https://twitter.com/jornalcontabil_/status/1683160042617331714</v>
      </c>
      <c r="AF1546" s="79">
        <v>45130.708333333336</v>
      </c>
      <c r="AG1546" s="85">
        <v>45130</v>
      </c>
      <c r="AH1546" s="82" t="s">
        <v>9128</v>
      </c>
      <c r="AI1546" s="77" t="b">
        <v>0</v>
      </c>
      <c r="AJ1546" s="77"/>
      <c r="AK1546" s="77"/>
      <c r="AL1546" s="77"/>
      <c r="AM1546" s="77"/>
      <c r="AN1546" s="77"/>
      <c r="AO1546" s="77"/>
      <c r="AP1546" s="77"/>
      <c r="AQ1546" s="77"/>
      <c r="AR1546" s="77"/>
      <c r="AS1546" s="77"/>
      <c r="AT1546" s="77"/>
      <c r="AU1546" s="77"/>
      <c r="AV1546" s="80" t="str">
        <f>HYPERLINK("https://pbs.twimg.com/profile_images/1618704448913645585/SRa-pW4s_normal.jpg")</f>
        <v>https://pbs.twimg.com/profile_images/1618704448913645585/SRa-pW4s_normal.jpg</v>
      </c>
      <c r="AW1546" s="82" t="s">
        <v>13719</v>
      </c>
      <c r="AX1546" s="82" t="s">
        <v>13719</v>
      </c>
      <c r="AY1546" s="77"/>
      <c r="AZ1546" s="82" t="s">
        <v>15804</v>
      </c>
      <c r="BA1546" s="82" t="s">
        <v>15804</v>
      </c>
      <c r="BB1546" s="82" t="s">
        <v>15804</v>
      </c>
      <c r="BC1546" s="82" t="s">
        <v>13719</v>
      </c>
      <c r="BD1546" s="77">
        <v>212916157</v>
      </c>
      <c r="BE1546" s="77"/>
      <c r="BF1546" s="77"/>
      <c r="BG1546" s="77"/>
      <c r="BH1546" s="77"/>
      <c r="BI1546" s="77"/>
    </row>
    <row r="1547" spans="1:61" x14ac:dyDescent="0.25">
      <c r="A1547" s="62" t="s">
        <v>723</v>
      </c>
      <c r="B1547" s="62" t="s">
        <v>723</v>
      </c>
      <c r="C1547" s="63"/>
      <c r="D1547" s="64"/>
      <c r="E1547" s="65"/>
      <c r="F1547" s="66"/>
      <c r="G1547" s="63"/>
      <c r="H1547" s="67"/>
      <c r="I1547" s="68"/>
      <c r="J1547" s="68"/>
      <c r="K1547" s="32"/>
      <c r="L1547" s="75">
        <v>1547</v>
      </c>
      <c r="M1547" s="75"/>
      <c r="N1547" s="70"/>
      <c r="O1547" s="77" t="s">
        <v>179</v>
      </c>
      <c r="P1547" s="79">
        <v>45081.875011574077</v>
      </c>
      <c r="Q1547" s="77" t="s">
        <v>2628</v>
      </c>
      <c r="R1547" s="77">
        <v>2</v>
      </c>
      <c r="S1547" s="77">
        <v>2</v>
      </c>
      <c r="T1547" s="77">
        <v>0</v>
      </c>
      <c r="U1547" s="77">
        <v>0</v>
      </c>
      <c r="V1547" s="77">
        <v>247</v>
      </c>
      <c r="W1547" s="82" t="s">
        <v>5148</v>
      </c>
      <c r="X1547" s="80" t="str">
        <f>HYPERLINK("https://www.jornalcontabil.com.br/a-importancia-da-alfabetizacao-financeira-na-era-moderna/#goog_rewarded")</f>
        <v>https://www.jornalcontabil.com.br/a-importancia-da-alfabetizacao-financeira-na-era-moderna/#goog_rewarded</v>
      </c>
      <c r="Y1547" s="77" t="s">
        <v>6002</v>
      </c>
      <c r="Z1547" s="77"/>
      <c r="AA1547" s="77" t="s">
        <v>7126</v>
      </c>
      <c r="AB1547" s="77" t="s">
        <v>7696</v>
      </c>
      <c r="AC1547" s="82" t="s">
        <v>7706</v>
      </c>
      <c r="AD1547" s="77" t="s">
        <v>7745</v>
      </c>
      <c r="AE1547" s="80" t="str">
        <f>HYPERLINK("https://twitter.com/jornalcontabil_/status/1665463440100696064")</f>
        <v>https://twitter.com/jornalcontabil_/status/1665463440100696064</v>
      </c>
      <c r="AF1547" s="79">
        <v>45081.875011574077</v>
      </c>
      <c r="AG1547" s="85">
        <v>45081</v>
      </c>
      <c r="AH1547" s="82" t="s">
        <v>8547</v>
      </c>
      <c r="AI1547" s="77" t="b">
        <v>0</v>
      </c>
      <c r="AJ1547" s="77"/>
      <c r="AK1547" s="77"/>
      <c r="AL1547" s="77"/>
      <c r="AM1547" s="77"/>
      <c r="AN1547" s="77"/>
      <c r="AO1547" s="77"/>
      <c r="AP1547" s="77"/>
      <c r="AQ1547" s="77" t="s">
        <v>11633</v>
      </c>
      <c r="AR1547" s="77"/>
      <c r="AS1547" s="77"/>
      <c r="AT1547" s="77"/>
      <c r="AU1547" s="77"/>
      <c r="AV1547" s="80" t="str">
        <f>HYPERLINK("https://pbs.twimg.com/media/Fxop3peXoAAmavn.jpg")</f>
        <v>https://pbs.twimg.com/media/Fxop3peXoAAmavn.jpg</v>
      </c>
      <c r="AW1547" s="82" t="s">
        <v>13720</v>
      </c>
      <c r="AX1547" s="82" t="s">
        <v>13720</v>
      </c>
      <c r="AY1547" s="77"/>
      <c r="AZ1547" s="82" t="s">
        <v>15804</v>
      </c>
      <c r="BA1547" s="82" t="s">
        <v>15804</v>
      </c>
      <c r="BB1547" s="82" t="s">
        <v>15804</v>
      </c>
      <c r="BC1547" s="82" t="s">
        <v>13720</v>
      </c>
      <c r="BD1547" s="77">
        <v>212916157</v>
      </c>
      <c r="BE1547" s="77"/>
      <c r="BF1547" s="77"/>
      <c r="BG1547" s="77"/>
      <c r="BH1547" s="77"/>
      <c r="BI1547" s="77"/>
    </row>
    <row r="1548" spans="1:61" x14ac:dyDescent="0.25">
      <c r="A1548" s="62" t="s">
        <v>722</v>
      </c>
      <c r="B1548" s="62" t="s">
        <v>723</v>
      </c>
      <c r="C1548" s="63"/>
      <c r="D1548" s="64"/>
      <c r="E1548" s="65"/>
      <c r="F1548" s="66"/>
      <c r="G1548" s="63"/>
      <c r="H1548" s="67"/>
      <c r="I1548" s="68"/>
      <c r="J1548" s="68"/>
      <c r="K1548" s="32"/>
      <c r="L1548" s="75">
        <v>1548</v>
      </c>
      <c r="M1548" s="75"/>
      <c r="N1548" s="70"/>
      <c r="O1548" s="77" t="s">
        <v>1135</v>
      </c>
      <c r="P1548" s="79">
        <v>45003.415625000001</v>
      </c>
      <c r="Q1548" s="77" t="s">
        <v>2629</v>
      </c>
      <c r="R1548" s="77">
        <v>0</v>
      </c>
      <c r="S1548" s="77">
        <v>2</v>
      </c>
      <c r="T1548" s="77">
        <v>0</v>
      </c>
      <c r="U1548" s="77">
        <v>0</v>
      </c>
      <c r="V1548" s="77">
        <v>100</v>
      </c>
      <c r="W1548" s="82" t="s">
        <v>5149</v>
      </c>
      <c r="X1548" s="77"/>
      <c r="Y1548" s="77"/>
      <c r="Z1548" s="77"/>
      <c r="AA1548" s="77"/>
      <c r="AB1548" s="77"/>
      <c r="AC1548" s="82" t="s">
        <v>7707</v>
      </c>
      <c r="AD1548" s="77" t="s">
        <v>7745</v>
      </c>
      <c r="AE1548" s="80" t="str">
        <f>HYPERLINK("https://twitter.com/pedromestr/status/1637030709826289664")</f>
        <v>https://twitter.com/pedromestr/status/1637030709826289664</v>
      </c>
      <c r="AF1548" s="79">
        <v>45003.415625000001</v>
      </c>
      <c r="AG1548" s="85">
        <v>45003</v>
      </c>
      <c r="AH1548" s="82" t="s">
        <v>9129</v>
      </c>
      <c r="AI1548" s="77"/>
      <c r="AJ1548" s="77"/>
      <c r="AK1548" s="77"/>
      <c r="AL1548" s="77"/>
      <c r="AM1548" s="77"/>
      <c r="AN1548" s="77"/>
      <c r="AO1548" s="77"/>
      <c r="AP1548" s="77"/>
      <c r="AQ1548" s="77"/>
      <c r="AR1548" s="77"/>
      <c r="AS1548" s="77"/>
      <c r="AT1548" s="77"/>
      <c r="AU1548" s="77"/>
      <c r="AV1548" s="80" t="str">
        <f>HYPERLINK("https://pbs.twimg.com/profile_images/1641396253903683585/H2hUe8ZN_normal.jpg")</f>
        <v>https://pbs.twimg.com/profile_images/1641396253903683585/H2hUe8ZN_normal.jpg</v>
      </c>
      <c r="AW1548" s="82" t="s">
        <v>13721</v>
      </c>
      <c r="AX1548" s="82" t="s">
        <v>13721</v>
      </c>
      <c r="AY1548" s="77"/>
      <c r="AZ1548" s="82" t="s">
        <v>15804</v>
      </c>
      <c r="BA1548" s="82" t="s">
        <v>13710</v>
      </c>
      <c r="BB1548" s="82" t="s">
        <v>15804</v>
      </c>
      <c r="BC1548" s="82" t="s">
        <v>13710</v>
      </c>
      <c r="BD1548" s="77">
        <v>240849616</v>
      </c>
      <c r="BE1548" s="77"/>
      <c r="BF1548" s="77"/>
      <c r="BG1548" s="77"/>
      <c r="BH1548" s="77"/>
      <c r="BI1548" s="77"/>
    </row>
    <row r="1549" spans="1:61" x14ac:dyDescent="0.25">
      <c r="A1549" s="62" t="s">
        <v>722</v>
      </c>
      <c r="B1549" s="62" t="s">
        <v>1096</v>
      </c>
      <c r="C1549" s="63"/>
      <c r="D1549" s="64"/>
      <c r="E1549" s="65"/>
      <c r="F1549" s="66"/>
      <c r="G1549" s="63"/>
      <c r="H1549" s="67"/>
      <c r="I1549" s="68"/>
      <c r="J1549" s="68"/>
      <c r="K1549" s="32"/>
      <c r="L1549" s="75">
        <v>1549</v>
      </c>
      <c r="M1549" s="75"/>
      <c r="N1549" s="70"/>
      <c r="O1549" s="77" t="s">
        <v>1136</v>
      </c>
      <c r="P1549" s="79">
        <v>45135.816250000003</v>
      </c>
      <c r="Q1549" s="77" t="s">
        <v>2630</v>
      </c>
      <c r="R1549" s="77">
        <v>0</v>
      </c>
      <c r="S1549" s="77">
        <v>1</v>
      </c>
      <c r="T1549" s="77">
        <v>0</v>
      </c>
      <c r="U1549" s="77">
        <v>0</v>
      </c>
      <c r="V1549" s="77">
        <v>40</v>
      </c>
      <c r="W1549" s="82" t="s">
        <v>5150</v>
      </c>
      <c r="X1549" s="77"/>
      <c r="Y1549" s="77"/>
      <c r="Z1549" s="77" t="s">
        <v>6132</v>
      </c>
      <c r="AA1549" s="77"/>
      <c r="AB1549" s="77"/>
      <c r="AC1549" s="82" t="s">
        <v>7707</v>
      </c>
      <c r="AD1549" s="77" t="s">
        <v>7745</v>
      </c>
      <c r="AE1549" s="80" t="str">
        <f>HYPERLINK("https://twitter.com/pedromestr/status/1685011088381722624")</f>
        <v>https://twitter.com/pedromestr/status/1685011088381722624</v>
      </c>
      <c r="AF1549" s="79">
        <v>45135.816250000003</v>
      </c>
      <c r="AG1549" s="85">
        <v>45135</v>
      </c>
      <c r="AH1549" s="82" t="s">
        <v>9130</v>
      </c>
      <c r="AI1549" s="77"/>
      <c r="AJ1549" s="77"/>
      <c r="AK1549" s="77"/>
      <c r="AL1549" s="77"/>
      <c r="AM1549" s="77"/>
      <c r="AN1549" s="77"/>
      <c r="AO1549" s="77"/>
      <c r="AP1549" s="77"/>
      <c r="AQ1549" s="77"/>
      <c r="AR1549" s="77"/>
      <c r="AS1549" s="77"/>
      <c r="AT1549" s="77"/>
      <c r="AU1549" s="77"/>
      <c r="AV1549" s="80" t="str">
        <f>HYPERLINK("https://pbs.twimg.com/profile_images/1641396253903683585/H2hUe8ZN_normal.jpg")</f>
        <v>https://pbs.twimg.com/profile_images/1641396253903683585/H2hUe8ZN_normal.jpg</v>
      </c>
      <c r="AW1549" s="82" t="s">
        <v>13722</v>
      </c>
      <c r="AX1549" s="82" t="s">
        <v>15348</v>
      </c>
      <c r="AY1549" s="82" t="s">
        <v>15754</v>
      </c>
      <c r="AZ1549" s="82" t="s">
        <v>15348</v>
      </c>
      <c r="BA1549" s="82" t="s">
        <v>15804</v>
      </c>
      <c r="BB1549" s="82" t="s">
        <v>15804</v>
      </c>
      <c r="BC1549" s="82" t="s">
        <v>15348</v>
      </c>
      <c r="BD1549" s="77">
        <v>240849616</v>
      </c>
      <c r="BE1549" s="77"/>
      <c r="BF1549" s="77"/>
      <c r="BG1549" s="77"/>
      <c r="BH1549" s="77"/>
      <c r="BI1549" s="77"/>
    </row>
    <row r="1550" spans="1:61" x14ac:dyDescent="0.25">
      <c r="A1550" s="62" t="s">
        <v>722</v>
      </c>
      <c r="B1550" s="62" t="s">
        <v>1097</v>
      </c>
      <c r="C1550" s="63"/>
      <c r="D1550" s="64"/>
      <c r="E1550" s="65"/>
      <c r="F1550" s="66"/>
      <c r="G1550" s="63"/>
      <c r="H1550" s="67"/>
      <c r="I1550" s="68"/>
      <c r="J1550" s="68"/>
      <c r="K1550" s="32"/>
      <c r="L1550" s="75">
        <v>1550</v>
      </c>
      <c r="M1550" s="75"/>
      <c r="N1550" s="70"/>
      <c r="O1550" s="77" t="s">
        <v>1132</v>
      </c>
      <c r="P1550" s="79">
        <v>45135.816250000003</v>
      </c>
      <c r="Q1550" s="77" t="s">
        <v>2630</v>
      </c>
      <c r="R1550" s="77">
        <v>0</v>
      </c>
      <c r="S1550" s="77">
        <v>1</v>
      </c>
      <c r="T1550" s="77">
        <v>0</v>
      </c>
      <c r="U1550" s="77">
        <v>0</v>
      </c>
      <c r="V1550" s="77">
        <v>40</v>
      </c>
      <c r="W1550" s="82" t="s">
        <v>5150</v>
      </c>
      <c r="X1550" s="77"/>
      <c r="Y1550" s="77"/>
      <c r="Z1550" s="77" t="s">
        <v>6132</v>
      </c>
      <c r="AA1550" s="77"/>
      <c r="AB1550" s="77"/>
      <c r="AC1550" s="82" t="s">
        <v>7707</v>
      </c>
      <c r="AD1550" s="77" t="s">
        <v>7745</v>
      </c>
      <c r="AE1550" s="80" t="str">
        <f>HYPERLINK("https://twitter.com/pedromestr/status/1685011088381722624")</f>
        <v>https://twitter.com/pedromestr/status/1685011088381722624</v>
      </c>
      <c r="AF1550" s="79">
        <v>45135.816250000003</v>
      </c>
      <c r="AG1550" s="85">
        <v>45135</v>
      </c>
      <c r="AH1550" s="82" t="s">
        <v>9130</v>
      </c>
      <c r="AI1550" s="77"/>
      <c r="AJ1550" s="77"/>
      <c r="AK1550" s="77"/>
      <c r="AL1550" s="77"/>
      <c r="AM1550" s="77"/>
      <c r="AN1550" s="77"/>
      <c r="AO1550" s="77"/>
      <c r="AP1550" s="77"/>
      <c r="AQ1550" s="77"/>
      <c r="AR1550" s="77"/>
      <c r="AS1550" s="77"/>
      <c r="AT1550" s="77"/>
      <c r="AU1550" s="77"/>
      <c r="AV1550" s="80" t="str">
        <f>HYPERLINK("https://pbs.twimg.com/profile_images/1641396253903683585/H2hUe8ZN_normal.jpg")</f>
        <v>https://pbs.twimg.com/profile_images/1641396253903683585/H2hUe8ZN_normal.jpg</v>
      </c>
      <c r="AW1550" s="82" t="s">
        <v>13722</v>
      </c>
      <c r="AX1550" s="82" t="s">
        <v>15348</v>
      </c>
      <c r="AY1550" s="82" t="s">
        <v>15754</v>
      </c>
      <c r="AZ1550" s="82" t="s">
        <v>15348</v>
      </c>
      <c r="BA1550" s="82" t="s">
        <v>15804</v>
      </c>
      <c r="BB1550" s="82" t="s">
        <v>15804</v>
      </c>
      <c r="BC1550" s="82" t="s">
        <v>15348</v>
      </c>
      <c r="BD1550" s="77">
        <v>240849616</v>
      </c>
      <c r="BE1550" s="77"/>
      <c r="BF1550" s="77"/>
      <c r="BG1550" s="77"/>
      <c r="BH1550" s="77"/>
      <c r="BI1550" s="77"/>
    </row>
    <row r="1551" spans="1:61" x14ac:dyDescent="0.25">
      <c r="A1551" s="62" t="s">
        <v>722</v>
      </c>
      <c r="B1551" s="62" t="s">
        <v>1098</v>
      </c>
      <c r="C1551" s="63"/>
      <c r="D1551" s="64"/>
      <c r="E1551" s="65"/>
      <c r="F1551" s="66"/>
      <c r="G1551" s="63"/>
      <c r="H1551" s="67"/>
      <c r="I1551" s="68"/>
      <c r="J1551" s="68"/>
      <c r="K1551" s="32"/>
      <c r="L1551" s="75">
        <v>1551</v>
      </c>
      <c r="M1551" s="75"/>
      <c r="N1551" s="70"/>
      <c r="O1551" s="77" t="s">
        <v>1136</v>
      </c>
      <c r="P1551" s="79">
        <v>44999.411087962966</v>
      </c>
      <c r="Q1551" s="77" t="s">
        <v>2631</v>
      </c>
      <c r="R1551" s="77">
        <v>0</v>
      </c>
      <c r="S1551" s="77">
        <v>1</v>
      </c>
      <c r="T1551" s="77">
        <v>0</v>
      </c>
      <c r="U1551" s="77">
        <v>0</v>
      </c>
      <c r="V1551" s="77">
        <v>87</v>
      </c>
      <c r="W1551" s="82" t="s">
        <v>5151</v>
      </c>
      <c r="X1551" s="77"/>
      <c r="Y1551" s="77"/>
      <c r="Z1551" s="77" t="s">
        <v>6133</v>
      </c>
      <c r="AA1551" s="77"/>
      <c r="AB1551" s="77"/>
      <c r="AC1551" s="82" t="s">
        <v>7707</v>
      </c>
      <c r="AD1551" s="77" t="s">
        <v>7745</v>
      </c>
      <c r="AE1551" s="80" t="str">
        <f>HYPERLINK("https://twitter.com/pedromestr/status/1635579512640479232")</f>
        <v>https://twitter.com/pedromestr/status/1635579512640479232</v>
      </c>
      <c r="AF1551" s="79">
        <v>44999.411087962966</v>
      </c>
      <c r="AG1551" s="85">
        <v>44999</v>
      </c>
      <c r="AH1551" s="82" t="s">
        <v>9131</v>
      </c>
      <c r="AI1551" s="77"/>
      <c r="AJ1551" s="77"/>
      <c r="AK1551" s="77"/>
      <c r="AL1551" s="77"/>
      <c r="AM1551" s="77"/>
      <c r="AN1551" s="77"/>
      <c r="AO1551" s="77"/>
      <c r="AP1551" s="77"/>
      <c r="AQ1551" s="77"/>
      <c r="AR1551" s="77"/>
      <c r="AS1551" s="77"/>
      <c r="AT1551" s="77"/>
      <c r="AU1551" s="77"/>
      <c r="AV1551" s="80" t="str">
        <f>HYPERLINK("https://pbs.twimg.com/profile_images/1641396253903683585/H2hUe8ZN_normal.jpg")</f>
        <v>https://pbs.twimg.com/profile_images/1641396253903683585/H2hUe8ZN_normal.jpg</v>
      </c>
      <c r="AW1551" s="82" t="s">
        <v>13723</v>
      </c>
      <c r="AX1551" s="82" t="s">
        <v>15349</v>
      </c>
      <c r="AY1551" s="82" t="s">
        <v>15721</v>
      </c>
      <c r="AZ1551" s="82" t="s">
        <v>15349</v>
      </c>
      <c r="BA1551" s="82" t="s">
        <v>15804</v>
      </c>
      <c r="BB1551" s="82" t="s">
        <v>15804</v>
      </c>
      <c r="BC1551" s="82" t="s">
        <v>15349</v>
      </c>
      <c r="BD1551" s="77">
        <v>240849616</v>
      </c>
      <c r="BE1551" s="77"/>
      <c r="BF1551" s="77"/>
      <c r="BG1551" s="77"/>
      <c r="BH1551" s="77"/>
      <c r="BI1551" s="77"/>
    </row>
    <row r="1552" spans="1:61" x14ac:dyDescent="0.25">
      <c r="A1552" s="62" t="s">
        <v>722</v>
      </c>
      <c r="B1552" s="62" t="s">
        <v>1099</v>
      </c>
      <c r="C1552" s="63"/>
      <c r="D1552" s="64"/>
      <c r="E1552" s="65"/>
      <c r="F1552" s="66"/>
      <c r="G1552" s="63"/>
      <c r="H1552" s="67"/>
      <c r="I1552" s="68"/>
      <c r="J1552" s="68"/>
      <c r="K1552" s="32"/>
      <c r="L1552" s="75">
        <v>1552</v>
      </c>
      <c r="M1552" s="75"/>
      <c r="N1552" s="70"/>
      <c r="O1552" s="77" t="s">
        <v>1136</v>
      </c>
      <c r="P1552" s="79">
        <v>44959.458171296297</v>
      </c>
      <c r="Q1552" s="77" t="s">
        <v>2632</v>
      </c>
      <c r="R1552" s="77">
        <v>0</v>
      </c>
      <c r="S1552" s="77">
        <v>0</v>
      </c>
      <c r="T1552" s="77">
        <v>0</v>
      </c>
      <c r="U1552" s="77">
        <v>0</v>
      </c>
      <c r="V1552" s="77">
        <v>32</v>
      </c>
      <c r="W1552" s="82" t="s">
        <v>5152</v>
      </c>
      <c r="X1552" s="77"/>
      <c r="Y1552" s="77"/>
      <c r="Z1552" s="77" t="s">
        <v>6134</v>
      </c>
      <c r="AA1552" s="77"/>
      <c r="AB1552" s="77"/>
      <c r="AC1552" s="82" t="s">
        <v>7707</v>
      </c>
      <c r="AD1552" s="77" t="s">
        <v>7745</v>
      </c>
      <c r="AE1552" s="80" t="str">
        <f>HYPERLINK("https://twitter.com/pedromestr/status/1621101063657906179")</f>
        <v>https://twitter.com/pedromestr/status/1621101063657906179</v>
      </c>
      <c r="AF1552" s="79">
        <v>44959.458171296297</v>
      </c>
      <c r="AG1552" s="85">
        <v>44959</v>
      </c>
      <c r="AH1552" s="82" t="s">
        <v>9132</v>
      </c>
      <c r="AI1552" s="77"/>
      <c r="AJ1552" s="77"/>
      <c r="AK1552" s="77"/>
      <c r="AL1552" s="77"/>
      <c r="AM1552" s="77"/>
      <c r="AN1552" s="77"/>
      <c r="AO1552" s="77"/>
      <c r="AP1552" s="77"/>
      <c r="AQ1552" s="77"/>
      <c r="AR1552" s="77"/>
      <c r="AS1552" s="77"/>
      <c r="AT1552" s="77"/>
      <c r="AU1552" s="77"/>
      <c r="AV1552" s="80" t="str">
        <f>HYPERLINK("https://pbs.twimg.com/profile_images/1641396253903683585/H2hUe8ZN_normal.jpg")</f>
        <v>https://pbs.twimg.com/profile_images/1641396253903683585/H2hUe8ZN_normal.jpg</v>
      </c>
      <c r="AW1552" s="82" t="s">
        <v>13724</v>
      </c>
      <c r="AX1552" s="82" t="s">
        <v>15350</v>
      </c>
      <c r="AY1552" s="82" t="s">
        <v>15755</v>
      </c>
      <c r="AZ1552" s="82" t="s">
        <v>15350</v>
      </c>
      <c r="BA1552" s="82" t="s">
        <v>15804</v>
      </c>
      <c r="BB1552" s="82" t="s">
        <v>15804</v>
      </c>
      <c r="BC1552" s="82" t="s">
        <v>15350</v>
      </c>
      <c r="BD1552" s="77">
        <v>240849616</v>
      </c>
      <c r="BE1552" s="77"/>
      <c r="BF1552" s="77"/>
      <c r="BG1552" s="77"/>
      <c r="BH1552" s="77"/>
      <c r="BI1552" s="77"/>
    </row>
    <row r="1553" spans="1:61" x14ac:dyDescent="0.25">
      <c r="A1553" s="62" t="s">
        <v>722</v>
      </c>
      <c r="B1553" s="62" t="s">
        <v>1100</v>
      </c>
      <c r="C1553" s="63"/>
      <c r="D1553" s="64"/>
      <c r="E1553" s="65"/>
      <c r="F1553" s="66"/>
      <c r="G1553" s="63"/>
      <c r="H1553" s="67"/>
      <c r="I1553" s="68"/>
      <c r="J1553" s="68"/>
      <c r="K1553" s="32"/>
      <c r="L1553" s="75">
        <v>1553</v>
      </c>
      <c r="M1553" s="75"/>
      <c r="N1553" s="70"/>
      <c r="O1553" s="77" t="s">
        <v>1132</v>
      </c>
      <c r="P1553" s="79">
        <v>44959.458171296297</v>
      </c>
      <c r="Q1553" s="77" t="s">
        <v>2632</v>
      </c>
      <c r="R1553" s="77">
        <v>0</v>
      </c>
      <c r="S1553" s="77">
        <v>0</v>
      </c>
      <c r="T1553" s="77">
        <v>0</v>
      </c>
      <c r="U1553" s="77">
        <v>0</v>
      </c>
      <c r="V1553" s="77">
        <v>32</v>
      </c>
      <c r="W1553" s="82" t="s">
        <v>5152</v>
      </c>
      <c r="X1553" s="77"/>
      <c r="Y1553" s="77"/>
      <c r="Z1553" s="77" t="s">
        <v>6134</v>
      </c>
      <c r="AA1553" s="77"/>
      <c r="AB1553" s="77"/>
      <c r="AC1553" s="82" t="s">
        <v>7707</v>
      </c>
      <c r="AD1553" s="77" t="s">
        <v>7745</v>
      </c>
      <c r="AE1553" s="80" t="str">
        <f>HYPERLINK("https://twitter.com/pedromestr/status/1621101063657906179")</f>
        <v>https://twitter.com/pedromestr/status/1621101063657906179</v>
      </c>
      <c r="AF1553" s="79">
        <v>44959.458171296297</v>
      </c>
      <c r="AG1553" s="85">
        <v>44959</v>
      </c>
      <c r="AH1553" s="82" t="s">
        <v>9132</v>
      </c>
      <c r="AI1553" s="77"/>
      <c r="AJ1553" s="77"/>
      <c r="AK1553" s="77"/>
      <c r="AL1553" s="77"/>
      <c r="AM1553" s="77"/>
      <c r="AN1553" s="77"/>
      <c r="AO1553" s="77"/>
      <c r="AP1553" s="77"/>
      <c r="AQ1553" s="77"/>
      <c r="AR1553" s="77"/>
      <c r="AS1553" s="77"/>
      <c r="AT1553" s="77"/>
      <c r="AU1553" s="77"/>
      <c r="AV1553" s="80" t="str">
        <f>HYPERLINK("https://pbs.twimg.com/profile_images/1641396253903683585/H2hUe8ZN_normal.jpg")</f>
        <v>https://pbs.twimg.com/profile_images/1641396253903683585/H2hUe8ZN_normal.jpg</v>
      </c>
      <c r="AW1553" s="82" t="s">
        <v>13724</v>
      </c>
      <c r="AX1553" s="82" t="s">
        <v>15350</v>
      </c>
      <c r="AY1553" s="82" t="s">
        <v>15755</v>
      </c>
      <c r="AZ1553" s="82" t="s">
        <v>15350</v>
      </c>
      <c r="BA1553" s="82" t="s">
        <v>15804</v>
      </c>
      <c r="BB1553" s="82" t="s">
        <v>15804</v>
      </c>
      <c r="BC1553" s="82" t="s">
        <v>15350</v>
      </c>
      <c r="BD1553" s="77">
        <v>240849616</v>
      </c>
      <c r="BE1553" s="77"/>
      <c r="BF1553" s="77"/>
      <c r="BG1553" s="77"/>
      <c r="BH1553" s="77"/>
      <c r="BI1553" s="77"/>
    </row>
    <row r="1554" spans="1:61" x14ac:dyDescent="0.25">
      <c r="A1554" s="62" t="s">
        <v>722</v>
      </c>
      <c r="B1554" s="62" t="s">
        <v>1079</v>
      </c>
      <c r="C1554" s="63"/>
      <c r="D1554" s="64"/>
      <c r="E1554" s="65"/>
      <c r="F1554" s="66"/>
      <c r="G1554" s="63"/>
      <c r="H1554" s="67"/>
      <c r="I1554" s="68"/>
      <c r="J1554" s="68"/>
      <c r="K1554" s="32"/>
      <c r="L1554" s="75">
        <v>1554</v>
      </c>
      <c r="M1554" s="75"/>
      <c r="N1554" s="70"/>
      <c r="O1554" s="77" t="s">
        <v>1132</v>
      </c>
      <c r="P1554" s="79">
        <v>44999.411087962966</v>
      </c>
      <c r="Q1554" s="77" t="s">
        <v>2631</v>
      </c>
      <c r="R1554" s="77">
        <v>0</v>
      </c>
      <c r="S1554" s="77">
        <v>1</v>
      </c>
      <c r="T1554" s="77">
        <v>0</v>
      </c>
      <c r="U1554" s="77">
        <v>0</v>
      </c>
      <c r="V1554" s="77">
        <v>87</v>
      </c>
      <c r="W1554" s="82" t="s">
        <v>5151</v>
      </c>
      <c r="X1554" s="77"/>
      <c r="Y1554" s="77"/>
      <c r="Z1554" s="77" t="s">
        <v>6133</v>
      </c>
      <c r="AA1554" s="77"/>
      <c r="AB1554" s="77"/>
      <c r="AC1554" s="82" t="s">
        <v>7707</v>
      </c>
      <c r="AD1554" s="77" t="s">
        <v>7745</v>
      </c>
      <c r="AE1554" s="80" t="str">
        <f>HYPERLINK("https://twitter.com/pedromestr/status/1635579512640479232")</f>
        <v>https://twitter.com/pedromestr/status/1635579512640479232</v>
      </c>
      <c r="AF1554" s="79">
        <v>44999.411087962966</v>
      </c>
      <c r="AG1554" s="85">
        <v>44999</v>
      </c>
      <c r="AH1554" s="82" t="s">
        <v>9131</v>
      </c>
      <c r="AI1554" s="77"/>
      <c r="AJ1554" s="77"/>
      <c r="AK1554" s="77"/>
      <c r="AL1554" s="77"/>
      <c r="AM1554" s="77"/>
      <c r="AN1554" s="77"/>
      <c r="AO1554" s="77"/>
      <c r="AP1554" s="77"/>
      <c r="AQ1554" s="77"/>
      <c r="AR1554" s="77"/>
      <c r="AS1554" s="77"/>
      <c r="AT1554" s="77"/>
      <c r="AU1554" s="77"/>
      <c r="AV1554" s="80" t="str">
        <f>HYPERLINK("https://pbs.twimg.com/profile_images/1641396253903683585/H2hUe8ZN_normal.jpg")</f>
        <v>https://pbs.twimg.com/profile_images/1641396253903683585/H2hUe8ZN_normal.jpg</v>
      </c>
      <c r="AW1554" s="82" t="s">
        <v>13723</v>
      </c>
      <c r="AX1554" s="82" t="s">
        <v>15349</v>
      </c>
      <c r="AY1554" s="82" t="s">
        <v>15721</v>
      </c>
      <c r="AZ1554" s="82" t="s">
        <v>15349</v>
      </c>
      <c r="BA1554" s="82" t="s">
        <v>15804</v>
      </c>
      <c r="BB1554" s="82" t="s">
        <v>15804</v>
      </c>
      <c r="BC1554" s="82" t="s">
        <v>15349</v>
      </c>
      <c r="BD1554" s="77">
        <v>240849616</v>
      </c>
      <c r="BE1554" s="77"/>
      <c r="BF1554" s="77"/>
      <c r="BG1554" s="77"/>
      <c r="BH1554" s="77"/>
      <c r="BI1554" s="77"/>
    </row>
    <row r="1555" spans="1:61" x14ac:dyDescent="0.25">
      <c r="A1555" s="62" t="s">
        <v>722</v>
      </c>
      <c r="B1555" s="62" t="s">
        <v>1079</v>
      </c>
      <c r="C1555" s="63"/>
      <c r="D1555" s="64"/>
      <c r="E1555" s="65"/>
      <c r="F1555" s="66"/>
      <c r="G1555" s="63"/>
      <c r="H1555" s="67"/>
      <c r="I1555" s="68"/>
      <c r="J1555" s="68"/>
      <c r="K1555" s="32"/>
      <c r="L1555" s="75">
        <v>1555</v>
      </c>
      <c r="M1555" s="75"/>
      <c r="N1555" s="70"/>
      <c r="O1555" s="77" t="s">
        <v>1132</v>
      </c>
      <c r="P1555" s="79">
        <v>45154.463796296295</v>
      </c>
      <c r="Q1555" s="77" t="s">
        <v>2633</v>
      </c>
      <c r="R1555" s="77">
        <v>0</v>
      </c>
      <c r="S1555" s="77">
        <v>1</v>
      </c>
      <c r="T1555" s="77">
        <v>0</v>
      </c>
      <c r="U1555" s="77">
        <v>0</v>
      </c>
      <c r="V1555" s="77">
        <v>81</v>
      </c>
      <c r="W1555" s="82" t="s">
        <v>4160</v>
      </c>
      <c r="X1555" s="77"/>
      <c r="Y1555" s="77"/>
      <c r="Z1555" s="77" t="s">
        <v>6135</v>
      </c>
      <c r="AA1555" s="77"/>
      <c r="AB1555" s="77"/>
      <c r="AC1555" s="82" t="s">
        <v>7707</v>
      </c>
      <c r="AD1555" s="77" t="s">
        <v>7745</v>
      </c>
      <c r="AE1555" s="80" t="str">
        <f>HYPERLINK("https://twitter.com/pedromestr/status/1691768735147671854")</f>
        <v>https://twitter.com/pedromestr/status/1691768735147671854</v>
      </c>
      <c r="AF1555" s="79">
        <v>45154.463796296295</v>
      </c>
      <c r="AG1555" s="85">
        <v>45154</v>
      </c>
      <c r="AH1555" s="82" t="s">
        <v>9133</v>
      </c>
      <c r="AI1555" s="77"/>
      <c r="AJ1555" s="77"/>
      <c r="AK1555" s="77"/>
      <c r="AL1555" s="77"/>
      <c r="AM1555" s="77"/>
      <c r="AN1555" s="77"/>
      <c r="AO1555" s="77"/>
      <c r="AP1555" s="77"/>
      <c r="AQ1555" s="77"/>
      <c r="AR1555" s="77"/>
      <c r="AS1555" s="77"/>
      <c r="AT1555" s="77"/>
      <c r="AU1555" s="77"/>
      <c r="AV1555" s="80" t="str">
        <f>HYPERLINK("https://pbs.twimg.com/profile_images/1641396253903683585/H2hUe8ZN_normal.jpg")</f>
        <v>https://pbs.twimg.com/profile_images/1641396253903683585/H2hUe8ZN_normal.jpg</v>
      </c>
      <c r="AW1555" s="82" t="s">
        <v>13725</v>
      </c>
      <c r="AX1555" s="82" t="s">
        <v>15351</v>
      </c>
      <c r="AY1555" s="82" t="s">
        <v>15721</v>
      </c>
      <c r="AZ1555" s="82" t="s">
        <v>15897</v>
      </c>
      <c r="BA1555" s="82" t="s">
        <v>15804</v>
      </c>
      <c r="BB1555" s="82" t="s">
        <v>15804</v>
      </c>
      <c r="BC1555" s="82" t="s">
        <v>15897</v>
      </c>
      <c r="BD1555" s="77">
        <v>240849616</v>
      </c>
      <c r="BE1555" s="77"/>
      <c r="BF1555" s="77"/>
      <c r="BG1555" s="77"/>
      <c r="BH1555" s="77"/>
      <c r="BI1555" s="77"/>
    </row>
    <row r="1556" spans="1:61" x14ac:dyDescent="0.25">
      <c r="A1556" s="62" t="s">
        <v>722</v>
      </c>
      <c r="B1556" s="62" t="s">
        <v>1079</v>
      </c>
      <c r="C1556" s="63"/>
      <c r="D1556" s="64"/>
      <c r="E1556" s="65"/>
      <c r="F1556" s="66"/>
      <c r="G1556" s="63"/>
      <c r="H1556" s="67"/>
      <c r="I1556" s="68"/>
      <c r="J1556" s="68"/>
      <c r="K1556" s="32"/>
      <c r="L1556" s="75">
        <v>1556</v>
      </c>
      <c r="M1556" s="75"/>
      <c r="N1556" s="70"/>
      <c r="O1556" s="77" t="s">
        <v>1132</v>
      </c>
      <c r="P1556" s="79">
        <v>45147.451539351852</v>
      </c>
      <c r="Q1556" s="77" t="s">
        <v>2634</v>
      </c>
      <c r="R1556" s="77">
        <v>0</v>
      </c>
      <c r="S1556" s="77">
        <v>3</v>
      </c>
      <c r="T1556" s="77">
        <v>1</v>
      </c>
      <c r="U1556" s="77">
        <v>0</v>
      </c>
      <c r="V1556" s="77">
        <v>349</v>
      </c>
      <c r="W1556" s="82" t="s">
        <v>4160</v>
      </c>
      <c r="X1556" s="77"/>
      <c r="Y1556" s="77"/>
      <c r="Z1556" s="77" t="s">
        <v>6135</v>
      </c>
      <c r="AA1556" s="77"/>
      <c r="AB1556" s="77"/>
      <c r="AC1556" s="82" t="s">
        <v>7707</v>
      </c>
      <c r="AD1556" s="77" t="s">
        <v>7745</v>
      </c>
      <c r="AE1556" s="80" t="str">
        <f>HYPERLINK("https://twitter.com/pedromestr/status/1689227577485832192")</f>
        <v>https://twitter.com/pedromestr/status/1689227577485832192</v>
      </c>
      <c r="AF1556" s="79">
        <v>45147.451539351852</v>
      </c>
      <c r="AG1556" s="85">
        <v>45147</v>
      </c>
      <c r="AH1556" s="82" t="s">
        <v>9134</v>
      </c>
      <c r="AI1556" s="77"/>
      <c r="AJ1556" s="77"/>
      <c r="AK1556" s="77"/>
      <c r="AL1556" s="77"/>
      <c r="AM1556" s="77"/>
      <c r="AN1556" s="77"/>
      <c r="AO1556" s="77"/>
      <c r="AP1556" s="77"/>
      <c r="AQ1556" s="77"/>
      <c r="AR1556" s="77"/>
      <c r="AS1556" s="77"/>
      <c r="AT1556" s="77"/>
      <c r="AU1556" s="77"/>
      <c r="AV1556" s="80" t="str">
        <f>HYPERLINK("https://pbs.twimg.com/profile_images/1641396253903683585/H2hUe8ZN_normal.jpg")</f>
        <v>https://pbs.twimg.com/profile_images/1641396253903683585/H2hUe8ZN_normal.jpg</v>
      </c>
      <c r="AW1556" s="82" t="s">
        <v>13726</v>
      </c>
      <c r="AX1556" s="82" t="s">
        <v>15352</v>
      </c>
      <c r="AY1556" s="82" t="s">
        <v>15721</v>
      </c>
      <c r="AZ1556" s="82" t="s">
        <v>15352</v>
      </c>
      <c r="BA1556" s="82" t="s">
        <v>15804</v>
      </c>
      <c r="BB1556" s="82" t="s">
        <v>15804</v>
      </c>
      <c r="BC1556" s="82" t="s">
        <v>15352</v>
      </c>
      <c r="BD1556" s="77">
        <v>240849616</v>
      </c>
      <c r="BE1556" s="77"/>
      <c r="BF1556" s="77"/>
      <c r="BG1556" s="77"/>
      <c r="BH1556" s="77"/>
      <c r="BI1556" s="77"/>
    </row>
    <row r="1557" spans="1:61" x14ac:dyDescent="0.25">
      <c r="A1557" s="62" t="s">
        <v>722</v>
      </c>
      <c r="B1557" s="62" t="s">
        <v>722</v>
      </c>
      <c r="C1557" s="63"/>
      <c r="D1557" s="64"/>
      <c r="E1557" s="65"/>
      <c r="F1557" s="66"/>
      <c r="G1557" s="63"/>
      <c r="H1557" s="67"/>
      <c r="I1557" s="68"/>
      <c r="J1557" s="68"/>
      <c r="K1557" s="32"/>
      <c r="L1557" s="75">
        <v>1557</v>
      </c>
      <c r="M1557" s="75"/>
      <c r="N1557" s="70"/>
      <c r="O1557" s="77" t="s">
        <v>179</v>
      </c>
      <c r="P1557" s="79">
        <v>45069.454016203701</v>
      </c>
      <c r="Q1557" s="77" t="s">
        <v>2635</v>
      </c>
      <c r="R1557" s="77">
        <v>0</v>
      </c>
      <c r="S1557" s="77">
        <v>0</v>
      </c>
      <c r="T1557" s="77">
        <v>0</v>
      </c>
      <c r="U1557" s="77">
        <v>0</v>
      </c>
      <c r="V1557" s="77">
        <v>93</v>
      </c>
      <c r="W1557" s="82" t="s">
        <v>4160</v>
      </c>
      <c r="X1557" s="80" t="str">
        <f>HYPERLINK("https://agenciabrasil.ebc.com.br/economia/noticia/2023-05/carteira-meu-inss-da-desconto-em-farmacias-cinemas-shows-e-servicos")</f>
        <v>https://agenciabrasil.ebc.com.br/economia/noticia/2023-05/carteira-meu-inss-da-desconto-em-farmacias-cinemas-shows-e-servicos</v>
      </c>
      <c r="Y1557" s="77" t="s">
        <v>6002</v>
      </c>
      <c r="Z1557" s="77"/>
      <c r="AA1557" s="77"/>
      <c r="AB1557" s="77"/>
      <c r="AC1557" s="82" t="s">
        <v>7706</v>
      </c>
      <c r="AD1557" s="77" t="s">
        <v>7745</v>
      </c>
      <c r="AE1557" s="80" t="str">
        <f>HYPERLINK("https://twitter.com/pedromestr/status/1660962223441805312")</f>
        <v>https://twitter.com/pedromestr/status/1660962223441805312</v>
      </c>
      <c r="AF1557" s="79">
        <v>45069.454016203701</v>
      </c>
      <c r="AG1557" s="85">
        <v>45069</v>
      </c>
      <c r="AH1557" s="82" t="s">
        <v>9135</v>
      </c>
      <c r="AI1557" s="77" t="b">
        <v>0</v>
      </c>
      <c r="AJ1557" s="77"/>
      <c r="AK1557" s="77"/>
      <c r="AL1557" s="77"/>
      <c r="AM1557" s="77"/>
      <c r="AN1557" s="77"/>
      <c r="AO1557" s="77"/>
      <c r="AP1557" s="77"/>
      <c r="AQ1557" s="77"/>
      <c r="AR1557" s="77"/>
      <c r="AS1557" s="77"/>
      <c r="AT1557" s="77"/>
      <c r="AU1557" s="77"/>
      <c r="AV1557" s="80" t="str">
        <f>HYPERLINK("https://pbs.twimg.com/profile_images/1641396253903683585/H2hUe8ZN_normal.jpg")</f>
        <v>https://pbs.twimg.com/profile_images/1641396253903683585/H2hUe8ZN_normal.jpg</v>
      </c>
      <c r="AW1557" s="82" t="s">
        <v>13727</v>
      </c>
      <c r="AX1557" s="82" t="s">
        <v>13727</v>
      </c>
      <c r="AY1557" s="77"/>
      <c r="AZ1557" s="82" t="s">
        <v>15804</v>
      </c>
      <c r="BA1557" s="82" t="s">
        <v>15804</v>
      </c>
      <c r="BB1557" s="82" t="s">
        <v>15804</v>
      </c>
      <c r="BC1557" s="82" t="s">
        <v>13727</v>
      </c>
      <c r="BD1557" s="77">
        <v>240849616</v>
      </c>
      <c r="BE1557" s="77"/>
      <c r="BF1557" s="77"/>
      <c r="BG1557" s="77"/>
      <c r="BH1557" s="77"/>
      <c r="BI1557" s="77"/>
    </row>
    <row r="1558" spans="1:61" x14ac:dyDescent="0.25">
      <c r="A1558" s="62" t="s">
        <v>722</v>
      </c>
      <c r="B1558" s="62" t="s">
        <v>722</v>
      </c>
      <c r="C1558" s="63"/>
      <c r="D1558" s="64"/>
      <c r="E1558" s="65"/>
      <c r="F1558" s="66"/>
      <c r="G1558" s="63"/>
      <c r="H1558" s="67"/>
      <c r="I1558" s="68"/>
      <c r="J1558" s="68"/>
      <c r="K1558" s="32"/>
      <c r="L1558" s="75">
        <v>1558</v>
      </c>
      <c r="M1558" s="75"/>
      <c r="N1558" s="70"/>
      <c r="O1558" s="77" t="s">
        <v>179</v>
      </c>
      <c r="P1558" s="79">
        <v>45071.465937499997</v>
      </c>
      <c r="Q1558" s="77" t="s">
        <v>2636</v>
      </c>
      <c r="R1558" s="77">
        <v>0</v>
      </c>
      <c r="S1558" s="77">
        <v>0</v>
      </c>
      <c r="T1558" s="77">
        <v>0</v>
      </c>
      <c r="U1558" s="77">
        <v>0</v>
      </c>
      <c r="V1558" s="77">
        <v>45</v>
      </c>
      <c r="W1558" s="82" t="s">
        <v>5153</v>
      </c>
      <c r="X1558" s="77"/>
      <c r="Y1558" s="77"/>
      <c r="Z1558" s="77"/>
      <c r="AA1558" s="77"/>
      <c r="AB1558" s="77"/>
      <c r="AC1558" s="82" t="s">
        <v>7707</v>
      </c>
      <c r="AD1558" s="77" t="s">
        <v>7745</v>
      </c>
      <c r="AE1558" s="80" t="str">
        <f>HYPERLINK("https://twitter.com/pedromestr/status/1661691317250932736")</f>
        <v>https://twitter.com/pedromestr/status/1661691317250932736</v>
      </c>
      <c r="AF1558" s="79">
        <v>45071.465937499997</v>
      </c>
      <c r="AG1558" s="85">
        <v>45071</v>
      </c>
      <c r="AH1558" s="82" t="s">
        <v>9136</v>
      </c>
      <c r="AI1558" s="77"/>
      <c r="AJ1558" s="77"/>
      <c r="AK1558" s="77"/>
      <c r="AL1558" s="77"/>
      <c r="AM1558" s="77"/>
      <c r="AN1558" s="77"/>
      <c r="AO1558" s="77"/>
      <c r="AP1558" s="77"/>
      <c r="AQ1558" s="77"/>
      <c r="AR1558" s="77"/>
      <c r="AS1558" s="77"/>
      <c r="AT1558" s="77"/>
      <c r="AU1558" s="77"/>
      <c r="AV1558" s="80" t="str">
        <f>HYPERLINK("https://pbs.twimg.com/profile_images/1641396253903683585/H2hUe8ZN_normal.jpg")</f>
        <v>https://pbs.twimg.com/profile_images/1641396253903683585/H2hUe8ZN_normal.jpg</v>
      </c>
      <c r="AW1558" s="82" t="s">
        <v>13728</v>
      </c>
      <c r="AX1558" s="82" t="s">
        <v>13728</v>
      </c>
      <c r="AY1558" s="77"/>
      <c r="AZ1558" s="82" t="s">
        <v>15804</v>
      </c>
      <c r="BA1558" s="82" t="s">
        <v>15804</v>
      </c>
      <c r="BB1558" s="82" t="s">
        <v>15804</v>
      </c>
      <c r="BC1558" s="82" t="s">
        <v>13728</v>
      </c>
      <c r="BD1558" s="77">
        <v>240849616</v>
      </c>
      <c r="BE1558" s="77"/>
      <c r="BF1558" s="77"/>
      <c r="BG1558" s="77"/>
      <c r="BH1558" s="77"/>
      <c r="BI1558" s="77"/>
    </row>
    <row r="1559" spans="1:61" x14ac:dyDescent="0.25">
      <c r="A1559" s="62" t="s">
        <v>722</v>
      </c>
      <c r="B1559" s="62" t="s">
        <v>935</v>
      </c>
      <c r="C1559" s="63"/>
      <c r="D1559" s="64"/>
      <c r="E1559" s="65"/>
      <c r="F1559" s="66"/>
      <c r="G1559" s="63"/>
      <c r="H1559" s="67"/>
      <c r="I1559" s="68"/>
      <c r="J1559" s="68"/>
      <c r="K1559" s="32"/>
      <c r="L1559" s="75">
        <v>1559</v>
      </c>
      <c r="M1559" s="75"/>
      <c r="N1559" s="70"/>
      <c r="O1559" s="77" t="s">
        <v>1136</v>
      </c>
      <c r="P1559" s="79">
        <v>45046.434201388889</v>
      </c>
      <c r="Q1559" s="77" t="s">
        <v>2637</v>
      </c>
      <c r="R1559" s="77">
        <v>0</v>
      </c>
      <c r="S1559" s="77">
        <v>0</v>
      </c>
      <c r="T1559" s="77">
        <v>0</v>
      </c>
      <c r="U1559" s="77">
        <v>0</v>
      </c>
      <c r="V1559" s="77">
        <v>88</v>
      </c>
      <c r="W1559" s="82" t="s">
        <v>4160</v>
      </c>
      <c r="X1559" s="77"/>
      <c r="Y1559" s="77"/>
      <c r="Z1559" s="77" t="s">
        <v>6136</v>
      </c>
      <c r="AA1559" s="77"/>
      <c r="AB1559" s="77"/>
      <c r="AC1559" s="82" t="s">
        <v>7707</v>
      </c>
      <c r="AD1559" s="77" t="s">
        <v>7745</v>
      </c>
      <c r="AE1559" s="80" t="str">
        <f>HYPERLINK("https://twitter.com/pedromestr/status/1652620120567545856")</f>
        <v>https://twitter.com/pedromestr/status/1652620120567545856</v>
      </c>
      <c r="AF1559" s="79">
        <v>45046.434201388889</v>
      </c>
      <c r="AG1559" s="85">
        <v>45046</v>
      </c>
      <c r="AH1559" s="82" t="s">
        <v>9137</v>
      </c>
      <c r="AI1559" s="77"/>
      <c r="AJ1559" s="77"/>
      <c r="AK1559" s="77"/>
      <c r="AL1559" s="77"/>
      <c r="AM1559" s="77"/>
      <c r="AN1559" s="77"/>
      <c r="AO1559" s="77"/>
      <c r="AP1559" s="77"/>
      <c r="AQ1559" s="77"/>
      <c r="AR1559" s="77"/>
      <c r="AS1559" s="77"/>
      <c r="AT1559" s="77"/>
      <c r="AU1559" s="77"/>
      <c r="AV1559" s="80" t="str">
        <f>HYPERLINK("https://pbs.twimg.com/profile_images/1641396253903683585/H2hUe8ZN_normal.jpg")</f>
        <v>https://pbs.twimg.com/profile_images/1641396253903683585/H2hUe8ZN_normal.jpg</v>
      </c>
      <c r="AW1559" s="82" t="s">
        <v>13729</v>
      </c>
      <c r="AX1559" s="82" t="s">
        <v>15353</v>
      </c>
      <c r="AY1559" s="82" t="s">
        <v>15756</v>
      </c>
      <c r="AZ1559" s="82" t="s">
        <v>15353</v>
      </c>
      <c r="BA1559" s="82" t="s">
        <v>15804</v>
      </c>
      <c r="BB1559" s="82" t="s">
        <v>15804</v>
      </c>
      <c r="BC1559" s="82" t="s">
        <v>15353</v>
      </c>
      <c r="BD1559" s="77">
        <v>240849616</v>
      </c>
      <c r="BE1559" s="77"/>
      <c r="BF1559" s="77"/>
      <c r="BG1559" s="77"/>
      <c r="BH1559" s="77"/>
      <c r="BI1559" s="77"/>
    </row>
    <row r="1560" spans="1:61" x14ac:dyDescent="0.25">
      <c r="A1560" s="62" t="s">
        <v>722</v>
      </c>
      <c r="B1560" s="62" t="s">
        <v>420</v>
      </c>
      <c r="C1560" s="63"/>
      <c r="D1560" s="64"/>
      <c r="E1560" s="65"/>
      <c r="F1560" s="66"/>
      <c r="G1560" s="63"/>
      <c r="H1560" s="67"/>
      <c r="I1560" s="68"/>
      <c r="J1560" s="68"/>
      <c r="K1560" s="32"/>
      <c r="L1560" s="75">
        <v>1560</v>
      </c>
      <c r="M1560" s="75"/>
      <c r="N1560" s="70"/>
      <c r="O1560" s="77" t="s">
        <v>1132</v>
      </c>
      <c r="P1560" s="79">
        <v>45046.434201388889</v>
      </c>
      <c r="Q1560" s="77" t="s">
        <v>2637</v>
      </c>
      <c r="R1560" s="77">
        <v>0</v>
      </c>
      <c r="S1560" s="77">
        <v>0</v>
      </c>
      <c r="T1560" s="77">
        <v>0</v>
      </c>
      <c r="U1560" s="77">
        <v>0</v>
      </c>
      <c r="V1560" s="77">
        <v>88</v>
      </c>
      <c r="W1560" s="82" t="s">
        <v>4160</v>
      </c>
      <c r="X1560" s="77"/>
      <c r="Y1560" s="77"/>
      <c r="Z1560" s="77" t="s">
        <v>6136</v>
      </c>
      <c r="AA1560" s="77"/>
      <c r="AB1560" s="77"/>
      <c r="AC1560" s="82" t="s">
        <v>7707</v>
      </c>
      <c r="AD1560" s="77" t="s">
        <v>7745</v>
      </c>
      <c r="AE1560" s="80" t="str">
        <f>HYPERLINK("https://twitter.com/pedromestr/status/1652620120567545856")</f>
        <v>https://twitter.com/pedromestr/status/1652620120567545856</v>
      </c>
      <c r="AF1560" s="79">
        <v>45046.434201388889</v>
      </c>
      <c r="AG1560" s="85">
        <v>45046</v>
      </c>
      <c r="AH1560" s="82" t="s">
        <v>9137</v>
      </c>
      <c r="AI1560" s="77"/>
      <c r="AJ1560" s="77"/>
      <c r="AK1560" s="77"/>
      <c r="AL1560" s="77"/>
      <c r="AM1560" s="77"/>
      <c r="AN1560" s="77"/>
      <c r="AO1560" s="77"/>
      <c r="AP1560" s="77"/>
      <c r="AQ1560" s="77"/>
      <c r="AR1560" s="77"/>
      <c r="AS1560" s="77"/>
      <c r="AT1560" s="77"/>
      <c r="AU1560" s="77"/>
      <c r="AV1560" s="80" t="str">
        <f>HYPERLINK("https://pbs.twimg.com/profile_images/1641396253903683585/H2hUe8ZN_normal.jpg")</f>
        <v>https://pbs.twimg.com/profile_images/1641396253903683585/H2hUe8ZN_normal.jpg</v>
      </c>
      <c r="AW1560" s="82" t="s">
        <v>13729</v>
      </c>
      <c r="AX1560" s="82" t="s">
        <v>15353</v>
      </c>
      <c r="AY1560" s="82" t="s">
        <v>15756</v>
      </c>
      <c r="AZ1560" s="82" t="s">
        <v>15353</v>
      </c>
      <c r="BA1560" s="82" t="s">
        <v>15804</v>
      </c>
      <c r="BB1560" s="82" t="s">
        <v>15804</v>
      </c>
      <c r="BC1560" s="82" t="s">
        <v>15353</v>
      </c>
      <c r="BD1560" s="77">
        <v>240849616</v>
      </c>
      <c r="BE1560" s="77"/>
      <c r="BF1560" s="77"/>
      <c r="BG1560" s="77"/>
      <c r="BH1560" s="77"/>
      <c r="BI1560" s="77"/>
    </row>
    <row r="1561" spans="1:61" x14ac:dyDescent="0.25">
      <c r="A1561" s="62" t="s">
        <v>722</v>
      </c>
      <c r="B1561" s="62" t="s">
        <v>922</v>
      </c>
      <c r="C1561" s="63"/>
      <c r="D1561" s="64"/>
      <c r="E1561" s="65"/>
      <c r="F1561" s="66"/>
      <c r="G1561" s="63"/>
      <c r="H1561" s="67"/>
      <c r="I1561" s="68"/>
      <c r="J1561" s="68"/>
      <c r="K1561" s="32"/>
      <c r="L1561" s="75">
        <v>1561</v>
      </c>
      <c r="M1561" s="75"/>
      <c r="N1561" s="70"/>
      <c r="O1561" s="77" t="s">
        <v>1135</v>
      </c>
      <c r="P1561" s="79">
        <v>44995.861006944448</v>
      </c>
      <c r="Q1561" s="77" t="s">
        <v>2638</v>
      </c>
      <c r="R1561" s="77">
        <v>0</v>
      </c>
      <c r="S1561" s="77">
        <v>1</v>
      </c>
      <c r="T1561" s="77">
        <v>0</v>
      </c>
      <c r="U1561" s="77">
        <v>0</v>
      </c>
      <c r="V1561" s="77">
        <v>21</v>
      </c>
      <c r="W1561" s="82" t="s">
        <v>4160</v>
      </c>
      <c r="X1561" s="77"/>
      <c r="Y1561" s="77"/>
      <c r="Z1561" s="77"/>
      <c r="AA1561" s="77"/>
      <c r="AB1561" s="77"/>
      <c r="AC1561" s="82" t="s">
        <v>7707</v>
      </c>
      <c r="AD1561" s="77" t="s">
        <v>7745</v>
      </c>
      <c r="AE1561" s="80" t="str">
        <f>HYPERLINK("https://twitter.com/pedromestr/status/1634293009234681859")</f>
        <v>https://twitter.com/pedromestr/status/1634293009234681859</v>
      </c>
      <c r="AF1561" s="79">
        <v>44995.861006944448</v>
      </c>
      <c r="AG1561" s="85">
        <v>44995</v>
      </c>
      <c r="AH1561" s="82" t="s">
        <v>9138</v>
      </c>
      <c r="AI1561" s="77"/>
      <c r="AJ1561" s="77"/>
      <c r="AK1561" s="77"/>
      <c r="AL1561" s="77"/>
      <c r="AM1561" s="77"/>
      <c r="AN1561" s="77"/>
      <c r="AO1561" s="77"/>
      <c r="AP1561" s="77"/>
      <c r="AQ1561" s="77"/>
      <c r="AR1561" s="77"/>
      <c r="AS1561" s="77"/>
      <c r="AT1561" s="77"/>
      <c r="AU1561" s="77"/>
      <c r="AV1561" s="80" t="str">
        <f>HYPERLINK("https://pbs.twimg.com/profile_images/1641396253903683585/H2hUe8ZN_normal.jpg")</f>
        <v>https://pbs.twimg.com/profile_images/1641396253903683585/H2hUe8ZN_normal.jpg</v>
      </c>
      <c r="AW1561" s="82" t="s">
        <v>13730</v>
      </c>
      <c r="AX1561" s="82" t="s">
        <v>13730</v>
      </c>
      <c r="AY1561" s="77"/>
      <c r="AZ1561" s="82" t="s">
        <v>15804</v>
      </c>
      <c r="BA1561" s="82" t="s">
        <v>14533</v>
      </c>
      <c r="BB1561" s="82" t="s">
        <v>15804</v>
      </c>
      <c r="BC1561" s="82" t="s">
        <v>14533</v>
      </c>
      <c r="BD1561" s="77">
        <v>240849616</v>
      </c>
      <c r="BE1561" s="77"/>
      <c r="BF1561" s="77"/>
      <c r="BG1561" s="77"/>
      <c r="BH1561" s="77"/>
      <c r="BI1561" s="77"/>
    </row>
    <row r="1562" spans="1:61" x14ac:dyDescent="0.25">
      <c r="A1562" s="62" t="s">
        <v>722</v>
      </c>
      <c r="B1562" s="62" t="s">
        <v>722</v>
      </c>
      <c r="C1562" s="63"/>
      <c r="D1562" s="64"/>
      <c r="E1562" s="65"/>
      <c r="F1562" s="66"/>
      <c r="G1562" s="63"/>
      <c r="H1562" s="67"/>
      <c r="I1562" s="68"/>
      <c r="J1562" s="68"/>
      <c r="K1562" s="32"/>
      <c r="L1562" s="75">
        <v>1562</v>
      </c>
      <c r="M1562" s="75"/>
      <c r="N1562" s="70"/>
      <c r="O1562" s="77" t="s">
        <v>179</v>
      </c>
      <c r="P1562" s="79">
        <v>44945.41951388889</v>
      </c>
      <c r="Q1562" s="77" t="s">
        <v>2639</v>
      </c>
      <c r="R1562" s="77">
        <v>0</v>
      </c>
      <c r="S1562" s="77">
        <v>0</v>
      </c>
      <c r="T1562" s="77">
        <v>0</v>
      </c>
      <c r="U1562" s="77">
        <v>0</v>
      </c>
      <c r="V1562" s="77">
        <v>42</v>
      </c>
      <c r="W1562" s="82" t="s">
        <v>5154</v>
      </c>
      <c r="X1562" s="77"/>
      <c r="Y1562" s="77"/>
      <c r="Z1562" s="77"/>
      <c r="AA1562" s="77"/>
      <c r="AB1562" s="77"/>
      <c r="AC1562" s="82" t="s">
        <v>7707</v>
      </c>
      <c r="AD1562" s="77" t="s">
        <v>7745</v>
      </c>
      <c r="AE1562" s="80" t="str">
        <f>HYPERLINK("https://twitter.com/pedromestr/status/1616013622349529088")</f>
        <v>https://twitter.com/pedromestr/status/1616013622349529088</v>
      </c>
      <c r="AF1562" s="79">
        <v>44945.41951388889</v>
      </c>
      <c r="AG1562" s="85">
        <v>44945</v>
      </c>
      <c r="AH1562" s="82" t="s">
        <v>9139</v>
      </c>
      <c r="AI1562" s="77"/>
      <c r="AJ1562" s="77"/>
      <c r="AK1562" s="77"/>
      <c r="AL1562" s="77"/>
      <c r="AM1562" s="77"/>
      <c r="AN1562" s="77"/>
      <c r="AO1562" s="77"/>
      <c r="AP1562" s="77"/>
      <c r="AQ1562" s="77"/>
      <c r="AR1562" s="77"/>
      <c r="AS1562" s="77"/>
      <c r="AT1562" s="77"/>
      <c r="AU1562" s="77"/>
      <c r="AV1562" s="80" t="str">
        <f>HYPERLINK("https://pbs.twimg.com/profile_images/1641396253903683585/H2hUe8ZN_normal.jpg")</f>
        <v>https://pbs.twimg.com/profile_images/1641396253903683585/H2hUe8ZN_normal.jpg</v>
      </c>
      <c r="AW1562" s="82" t="s">
        <v>13731</v>
      </c>
      <c r="AX1562" s="82" t="s">
        <v>13731</v>
      </c>
      <c r="AY1562" s="77"/>
      <c r="AZ1562" s="82" t="s">
        <v>15804</v>
      </c>
      <c r="BA1562" s="82" t="s">
        <v>15804</v>
      </c>
      <c r="BB1562" s="82" t="s">
        <v>15804</v>
      </c>
      <c r="BC1562" s="82" t="s">
        <v>13731</v>
      </c>
      <c r="BD1562" s="77">
        <v>240849616</v>
      </c>
      <c r="BE1562" s="77"/>
      <c r="BF1562" s="77"/>
      <c r="BG1562" s="77"/>
      <c r="BH1562" s="77"/>
      <c r="BI1562" s="77"/>
    </row>
    <row r="1563" spans="1:61" x14ac:dyDescent="0.25">
      <c r="A1563" s="62" t="s">
        <v>722</v>
      </c>
      <c r="B1563" s="62" t="s">
        <v>1101</v>
      </c>
      <c r="C1563" s="63"/>
      <c r="D1563" s="64"/>
      <c r="E1563" s="65"/>
      <c r="F1563" s="66"/>
      <c r="G1563" s="63"/>
      <c r="H1563" s="67"/>
      <c r="I1563" s="68"/>
      <c r="J1563" s="68"/>
      <c r="K1563" s="32"/>
      <c r="L1563" s="75">
        <v>1563</v>
      </c>
      <c r="M1563" s="75"/>
      <c r="N1563" s="70"/>
      <c r="O1563" s="77" t="s">
        <v>1132</v>
      </c>
      <c r="P1563" s="79">
        <v>44937.530162037037</v>
      </c>
      <c r="Q1563" s="77" t="s">
        <v>2640</v>
      </c>
      <c r="R1563" s="77">
        <v>0</v>
      </c>
      <c r="S1563" s="77">
        <v>0</v>
      </c>
      <c r="T1563" s="77">
        <v>0</v>
      </c>
      <c r="U1563" s="77">
        <v>0</v>
      </c>
      <c r="V1563" s="77">
        <v>11</v>
      </c>
      <c r="W1563" s="82" t="s">
        <v>4160</v>
      </c>
      <c r="X1563" s="77"/>
      <c r="Y1563" s="77"/>
      <c r="Z1563" s="77" t="s">
        <v>1101</v>
      </c>
      <c r="AA1563" s="77"/>
      <c r="AB1563" s="77"/>
      <c r="AC1563" s="82" t="s">
        <v>7707</v>
      </c>
      <c r="AD1563" s="77" t="s">
        <v>7745</v>
      </c>
      <c r="AE1563" s="80" t="str">
        <f>HYPERLINK("https://twitter.com/pedromestr/status/1613154617369526272")</f>
        <v>https://twitter.com/pedromestr/status/1613154617369526272</v>
      </c>
      <c r="AF1563" s="79">
        <v>44937.530162037037</v>
      </c>
      <c r="AG1563" s="85">
        <v>44937</v>
      </c>
      <c r="AH1563" s="82" t="s">
        <v>9140</v>
      </c>
      <c r="AI1563" s="77"/>
      <c r="AJ1563" s="77"/>
      <c r="AK1563" s="77"/>
      <c r="AL1563" s="77"/>
      <c r="AM1563" s="77"/>
      <c r="AN1563" s="77"/>
      <c r="AO1563" s="77"/>
      <c r="AP1563" s="77"/>
      <c r="AQ1563" s="77"/>
      <c r="AR1563" s="77"/>
      <c r="AS1563" s="77"/>
      <c r="AT1563" s="77"/>
      <c r="AU1563" s="77"/>
      <c r="AV1563" s="80" t="str">
        <f>HYPERLINK("https://pbs.twimg.com/profile_images/1641396253903683585/H2hUe8ZN_normal.jpg")</f>
        <v>https://pbs.twimg.com/profile_images/1641396253903683585/H2hUe8ZN_normal.jpg</v>
      </c>
      <c r="AW1563" s="82" t="s">
        <v>13732</v>
      </c>
      <c r="AX1563" s="82" t="s">
        <v>15354</v>
      </c>
      <c r="AY1563" s="82" t="s">
        <v>15757</v>
      </c>
      <c r="AZ1563" s="82" t="s">
        <v>15354</v>
      </c>
      <c r="BA1563" s="82" t="s">
        <v>15804</v>
      </c>
      <c r="BB1563" s="82" t="s">
        <v>15804</v>
      </c>
      <c r="BC1563" s="82" t="s">
        <v>15354</v>
      </c>
      <c r="BD1563" s="77">
        <v>240849616</v>
      </c>
      <c r="BE1563" s="77"/>
      <c r="BF1563" s="77"/>
      <c r="BG1563" s="77"/>
      <c r="BH1563" s="77"/>
      <c r="BI1563" s="77"/>
    </row>
    <row r="1564" spans="1:61" x14ac:dyDescent="0.25">
      <c r="A1564" s="62" t="s">
        <v>722</v>
      </c>
      <c r="B1564" s="62" t="s">
        <v>922</v>
      </c>
      <c r="C1564" s="63"/>
      <c r="D1564" s="64"/>
      <c r="E1564" s="65"/>
      <c r="F1564" s="66"/>
      <c r="G1564" s="63"/>
      <c r="H1564" s="67"/>
      <c r="I1564" s="68"/>
      <c r="J1564" s="68"/>
      <c r="K1564" s="32"/>
      <c r="L1564" s="75">
        <v>1564</v>
      </c>
      <c r="M1564" s="75"/>
      <c r="N1564" s="70"/>
      <c r="O1564" s="77" t="s">
        <v>1135</v>
      </c>
      <c r="P1564" s="79">
        <v>44935.494583333333</v>
      </c>
      <c r="Q1564" s="77" t="s">
        <v>2641</v>
      </c>
      <c r="R1564" s="77">
        <v>0</v>
      </c>
      <c r="S1564" s="77">
        <v>0</v>
      </c>
      <c r="T1564" s="77">
        <v>0</v>
      </c>
      <c r="U1564" s="77">
        <v>0</v>
      </c>
      <c r="V1564" s="77">
        <v>30</v>
      </c>
      <c r="W1564" s="82" t="s">
        <v>5155</v>
      </c>
      <c r="X1564" s="77"/>
      <c r="Y1564" s="77"/>
      <c r="Z1564" s="77"/>
      <c r="AA1564" s="77"/>
      <c r="AB1564" s="77"/>
      <c r="AC1564" s="82" t="s">
        <v>7707</v>
      </c>
      <c r="AD1564" s="77" t="s">
        <v>7745</v>
      </c>
      <c r="AE1564" s="80" t="str">
        <f>HYPERLINK("https://twitter.com/pedromestr/status/1612416950415626242")</f>
        <v>https://twitter.com/pedromestr/status/1612416950415626242</v>
      </c>
      <c r="AF1564" s="79">
        <v>44935.494583333333</v>
      </c>
      <c r="AG1564" s="85">
        <v>44935</v>
      </c>
      <c r="AH1564" s="82" t="s">
        <v>9141</v>
      </c>
      <c r="AI1564" s="77"/>
      <c r="AJ1564" s="77"/>
      <c r="AK1564" s="77"/>
      <c r="AL1564" s="77"/>
      <c r="AM1564" s="77"/>
      <c r="AN1564" s="77"/>
      <c r="AO1564" s="77"/>
      <c r="AP1564" s="77"/>
      <c r="AQ1564" s="77"/>
      <c r="AR1564" s="77"/>
      <c r="AS1564" s="77"/>
      <c r="AT1564" s="77"/>
      <c r="AU1564" s="77"/>
      <c r="AV1564" s="80" t="str">
        <f>HYPERLINK("https://pbs.twimg.com/profile_images/1641396253903683585/H2hUe8ZN_normal.jpg")</f>
        <v>https://pbs.twimg.com/profile_images/1641396253903683585/H2hUe8ZN_normal.jpg</v>
      </c>
      <c r="AW1564" s="82" t="s">
        <v>13733</v>
      </c>
      <c r="AX1564" s="82" t="s">
        <v>13733</v>
      </c>
      <c r="AY1564" s="77"/>
      <c r="AZ1564" s="82" t="s">
        <v>15804</v>
      </c>
      <c r="BA1564" s="82" t="s">
        <v>14536</v>
      </c>
      <c r="BB1564" s="82" t="s">
        <v>15804</v>
      </c>
      <c r="BC1564" s="82" t="s">
        <v>14536</v>
      </c>
      <c r="BD1564" s="77">
        <v>240849616</v>
      </c>
      <c r="BE1564" s="77"/>
      <c r="BF1564" s="77"/>
      <c r="BG1564" s="77"/>
      <c r="BH1564" s="77"/>
      <c r="BI1564" s="77"/>
    </row>
    <row r="1565" spans="1:61" x14ac:dyDescent="0.25">
      <c r="A1565" s="62" t="s">
        <v>722</v>
      </c>
      <c r="B1565" s="62" t="s">
        <v>1010</v>
      </c>
      <c r="C1565" s="63"/>
      <c r="D1565" s="64"/>
      <c r="E1565" s="65"/>
      <c r="F1565" s="66"/>
      <c r="G1565" s="63"/>
      <c r="H1565" s="67"/>
      <c r="I1565" s="68"/>
      <c r="J1565" s="68"/>
      <c r="K1565" s="32"/>
      <c r="L1565" s="75">
        <v>1565</v>
      </c>
      <c r="M1565" s="75"/>
      <c r="N1565" s="70"/>
      <c r="O1565" s="77" t="s">
        <v>1135</v>
      </c>
      <c r="P1565" s="79">
        <v>45081.6090625</v>
      </c>
      <c r="Q1565" s="77" t="s">
        <v>2642</v>
      </c>
      <c r="R1565" s="77">
        <v>0</v>
      </c>
      <c r="S1565" s="77">
        <v>0</v>
      </c>
      <c r="T1565" s="77">
        <v>0</v>
      </c>
      <c r="U1565" s="77">
        <v>0</v>
      </c>
      <c r="V1565" s="77">
        <v>52</v>
      </c>
      <c r="W1565" s="82" t="s">
        <v>4160</v>
      </c>
      <c r="X1565" s="77"/>
      <c r="Y1565" s="77"/>
      <c r="Z1565" s="77"/>
      <c r="AA1565" s="77"/>
      <c r="AB1565" s="77"/>
      <c r="AC1565" s="82" t="s">
        <v>7707</v>
      </c>
      <c r="AD1565" s="77" t="s">
        <v>7745</v>
      </c>
      <c r="AE1565" s="80" t="str">
        <f>HYPERLINK("https://twitter.com/pedromestr/status/1665367062334636034")</f>
        <v>https://twitter.com/pedromestr/status/1665367062334636034</v>
      </c>
      <c r="AF1565" s="79">
        <v>45081.6090625</v>
      </c>
      <c r="AG1565" s="85">
        <v>45081</v>
      </c>
      <c r="AH1565" s="82" t="s">
        <v>9142</v>
      </c>
      <c r="AI1565" s="77"/>
      <c r="AJ1565" s="77"/>
      <c r="AK1565" s="77"/>
      <c r="AL1565" s="77"/>
      <c r="AM1565" s="77"/>
      <c r="AN1565" s="77"/>
      <c r="AO1565" s="77"/>
      <c r="AP1565" s="77"/>
      <c r="AQ1565" s="77"/>
      <c r="AR1565" s="77"/>
      <c r="AS1565" s="77"/>
      <c r="AT1565" s="77"/>
      <c r="AU1565" s="77"/>
      <c r="AV1565" s="80" t="str">
        <f>HYPERLINK("https://pbs.twimg.com/profile_images/1641396253903683585/H2hUe8ZN_normal.jpg")</f>
        <v>https://pbs.twimg.com/profile_images/1641396253903683585/H2hUe8ZN_normal.jpg</v>
      </c>
      <c r="AW1565" s="82" t="s">
        <v>13734</v>
      </c>
      <c r="AX1565" s="82" t="s">
        <v>13734</v>
      </c>
      <c r="AY1565" s="77"/>
      <c r="AZ1565" s="82" t="s">
        <v>15804</v>
      </c>
      <c r="BA1565" s="82" t="s">
        <v>14910</v>
      </c>
      <c r="BB1565" s="82" t="s">
        <v>15804</v>
      </c>
      <c r="BC1565" s="82" t="s">
        <v>14910</v>
      </c>
      <c r="BD1565" s="77">
        <v>240849616</v>
      </c>
      <c r="BE1565" s="77"/>
      <c r="BF1565" s="77"/>
      <c r="BG1565" s="77"/>
      <c r="BH1565" s="77"/>
      <c r="BI1565" s="77"/>
    </row>
    <row r="1566" spans="1:61" x14ac:dyDescent="0.25">
      <c r="A1566" s="62" t="s">
        <v>722</v>
      </c>
      <c r="B1566" s="62" t="s">
        <v>769</v>
      </c>
      <c r="C1566" s="63"/>
      <c r="D1566" s="64"/>
      <c r="E1566" s="65"/>
      <c r="F1566" s="66"/>
      <c r="G1566" s="63"/>
      <c r="H1566" s="67"/>
      <c r="I1566" s="68"/>
      <c r="J1566" s="68"/>
      <c r="K1566" s="32"/>
      <c r="L1566" s="75">
        <v>1566</v>
      </c>
      <c r="M1566" s="75"/>
      <c r="N1566" s="70"/>
      <c r="O1566" s="77" t="s">
        <v>1135</v>
      </c>
      <c r="P1566" s="79">
        <v>45061.425347222219</v>
      </c>
      <c r="Q1566" s="77" t="s">
        <v>2643</v>
      </c>
      <c r="R1566" s="77">
        <v>0</v>
      </c>
      <c r="S1566" s="77">
        <v>0</v>
      </c>
      <c r="T1566" s="77">
        <v>0</v>
      </c>
      <c r="U1566" s="77">
        <v>0</v>
      </c>
      <c r="V1566" s="77">
        <v>28</v>
      </c>
      <c r="W1566" s="82" t="s">
        <v>4160</v>
      </c>
      <c r="X1566" s="77"/>
      <c r="Y1566" s="77"/>
      <c r="Z1566" s="77"/>
      <c r="AA1566" s="77"/>
      <c r="AB1566" s="77"/>
      <c r="AC1566" s="82" t="s">
        <v>7707</v>
      </c>
      <c r="AD1566" s="77" t="s">
        <v>7748</v>
      </c>
      <c r="AE1566" s="80" t="str">
        <f>HYPERLINK("https://twitter.com/pedromestr/status/1658052730328436736")</f>
        <v>https://twitter.com/pedromestr/status/1658052730328436736</v>
      </c>
      <c r="AF1566" s="79">
        <v>45061.425347222219</v>
      </c>
      <c r="AG1566" s="85">
        <v>45061</v>
      </c>
      <c r="AH1566" s="82" t="s">
        <v>9143</v>
      </c>
      <c r="AI1566" s="77"/>
      <c r="AJ1566" s="77"/>
      <c r="AK1566" s="77"/>
      <c r="AL1566" s="77"/>
      <c r="AM1566" s="77"/>
      <c r="AN1566" s="77"/>
      <c r="AO1566" s="77"/>
      <c r="AP1566" s="77"/>
      <c r="AQ1566" s="77"/>
      <c r="AR1566" s="77"/>
      <c r="AS1566" s="77"/>
      <c r="AT1566" s="77"/>
      <c r="AU1566" s="77"/>
      <c r="AV1566" s="80" t="str">
        <f>HYPERLINK("https://pbs.twimg.com/profile_images/1641396253903683585/H2hUe8ZN_normal.jpg")</f>
        <v>https://pbs.twimg.com/profile_images/1641396253903683585/H2hUe8ZN_normal.jpg</v>
      </c>
      <c r="AW1566" s="82" t="s">
        <v>13735</v>
      </c>
      <c r="AX1566" s="82" t="s">
        <v>13735</v>
      </c>
      <c r="AY1566" s="77"/>
      <c r="AZ1566" s="82" t="s">
        <v>15804</v>
      </c>
      <c r="BA1566" s="82" t="s">
        <v>13878</v>
      </c>
      <c r="BB1566" s="82" t="s">
        <v>15804</v>
      </c>
      <c r="BC1566" s="82" t="s">
        <v>13878</v>
      </c>
      <c r="BD1566" s="77">
        <v>240849616</v>
      </c>
      <c r="BE1566" s="77"/>
      <c r="BF1566" s="77"/>
      <c r="BG1566" s="77"/>
      <c r="BH1566" s="77"/>
      <c r="BI1566" s="77"/>
    </row>
    <row r="1567" spans="1:61" x14ac:dyDescent="0.25">
      <c r="A1567" s="62" t="s">
        <v>722</v>
      </c>
      <c r="B1567" s="62" t="s">
        <v>722</v>
      </c>
      <c r="C1567" s="63"/>
      <c r="D1567" s="64"/>
      <c r="E1567" s="65"/>
      <c r="F1567" s="66"/>
      <c r="G1567" s="63"/>
      <c r="H1567" s="67"/>
      <c r="I1567" s="68"/>
      <c r="J1567" s="68"/>
      <c r="K1567" s="32"/>
      <c r="L1567" s="75">
        <v>1567</v>
      </c>
      <c r="M1567" s="75"/>
      <c r="N1567" s="70"/>
      <c r="O1567" s="77" t="s">
        <v>179</v>
      </c>
      <c r="P1567" s="79">
        <v>45015.648020833331</v>
      </c>
      <c r="Q1567" s="77" t="s">
        <v>2644</v>
      </c>
      <c r="R1567" s="77">
        <v>0</v>
      </c>
      <c r="S1567" s="77">
        <v>0</v>
      </c>
      <c r="T1567" s="77">
        <v>0</v>
      </c>
      <c r="U1567" s="77">
        <v>0</v>
      </c>
      <c r="V1567" s="77">
        <v>21</v>
      </c>
      <c r="W1567" s="82" t="s">
        <v>4673</v>
      </c>
      <c r="X1567" s="77"/>
      <c r="Y1567" s="77"/>
      <c r="Z1567" s="77"/>
      <c r="AA1567" s="77"/>
      <c r="AB1567" s="77"/>
      <c r="AC1567" s="82" t="s">
        <v>7736</v>
      </c>
      <c r="AD1567" s="77" t="s">
        <v>7745</v>
      </c>
      <c r="AE1567" s="80" t="str">
        <f>HYPERLINK("https://twitter.com/pedromestr/status/1641463581550968832")</f>
        <v>https://twitter.com/pedromestr/status/1641463581550968832</v>
      </c>
      <c r="AF1567" s="79">
        <v>45015.648020833331</v>
      </c>
      <c r="AG1567" s="85">
        <v>45015</v>
      </c>
      <c r="AH1567" s="82" t="s">
        <v>9144</v>
      </c>
      <c r="AI1567" s="77"/>
      <c r="AJ1567" s="77"/>
      <c r="AK1567" s="77"/>
      <c r="AL1567" s="77"/>
      <c r="AM1567" s="77"/>
      <c r="AN1567" s="77"/>
      <c r="AO1567" s="77"/>
      <c r="AP1567" s="77"/>
      <c r="AQ1567" s="77"/>
      <c r="AR1567" s="77"/>
      <c r="AS1567" s="77"/>
      <c r="AT1567" s="77"/>
      <c r="AU1567" s="77"/>
      <c r="AV1567" s="80" t="str">
        <f>HYPERLINK("https://pbs.twimg.com/profile_images/1641396253903683585/H2hUe8ZN_normal.jpg")</f>
        <v>https://pbs.twimg.com/profile_images/1641396253903683585/H2hUe8ZN_normal.jpg</v>
      </c>
      <c r="AW1567" s="82" t="s">
        <v>13736</v>
      </c>
      <c r="AX1567" s="82" t="s">
        <v>13736</v>
      </c>
      <c r="AY1567" s="77"/>
      <c r="AZ1567" s="82" t="s">
        <v>15804</v>
      </c>
      <c r="BA1567" s="82" t="s">
        <v>15804</v>
      </c>
      <c r="BB1567" s="82" t="s">
        <v>15804</v>
      </c>
      <c r="BC1567" s="82" t="s">
        <v>13736</v>
      </c>
      <c r="BD1567" s="77">
        <v>240849616</v>
      </c>
      <c r="BE1567" s="77"/>
      <c r="BF1567" s="77"/>
      <c r="BG1567" s="77"/>
      <c r="BH1567" s="77"/>
      <c r="BI1567" s="77"/>
    </row>
    <row r="1568" spans="1:61" x14ac:dyDescent="0.25">
      <c r="A1568" s="62" t="s">
        <v>722</v>
      </c>
      <c r="B1568" s="62" t="s">
        <v>722</v>
      </c>
      <c r="C1568" s="63"/>
      <c r="D1568" s="64"/>
      <c r="E1568" s="65"/>
      <c r="F1568" s="66"/>
      <c r="G1568" s="63"/>
      <c r="H1568" s="67"/>
      <c r="I1568" s="68"/>
      <c r="J1568" s="68"/>
      <c r="K1568" s="32"/>
      <c r="L1568" s="75">
        <v>1568</v>
      </c>
      <c r="M1568" s="75"/>
      <c r="N1568" s="70"/>
      <c r="O1568" s="77" t="s">
        <v>179</v>
      </c>
      <c r="P1568" s="79">
        <v>44974.472881944443</v>
      </c>
      <c r="Q1568" s="77" t="s">
        <v>2645</v>
      </c>
      <c r="R1568" s="77">
        <v>0</v>
      </c>
      <c r="S1568" s="77">
        <v>0</v>
      </c>
      <c r="T1568" s="77">
        <v>0</v>
      </c>
      <c r="U1568" s="77">
        <v>0</v>
      </c>
      <c r="V1568" s="77">
        <v>46</v>
      </c>
      <c r="W1568" s="82" t="s">
        <v>5156</v>
      </c>
      <c r="X1568" s="77"/>
      <c r="Y1568" s="77"/>
      <c r="Z1568" s="77"/>
      <c r="AA1568" s="77"/>
      <c r="AB1568" s="77"/>
      <c r="AC1568" s="82" t="s">
        <v>7707</v>
      </c>
      <c r="AD1568" s="77" t="s">
        <v>7745</v>
      </c>
      <c r="AE1568" s="80" t="str">
        <f>HYPERLINK("https://twitter.com/pedromestr/status/1626542212048625664")</f>
        <v>https://twitter.com/pedromestr/status/1626542212048625664</v>
      </c>
      <c r="AF1568" s="79">
        <v>44974.472881944443</v>
      </c>
      <c r="AG1568" s="85">
        <v>44974</v>
      </c>
      <c r="AH1568" s="82" t="s">
        <v>9145</v>
      </c>
      <c r="AI1568" s="77"/>
      <c r="AJ1568" s="77"/>
      <c r="AK1568" s="77"/>
      <c r="AL1568" s="77"/>
      <c r="AM1568" s="77"/>
      <c r="AN1568" s="77"/>
      <c r="AO1568" s="77"/>
      <c r="AP1568" s="77"/>
      <c r="AQ1568" s="77"/>
      <c r="AR1568" s="77"/>
      <c r="AS1568" s="77"/>
      <c r="AT1568" s="77"/>
      <c r="AU1568" s="77"/>
      <c r="AV1568" s="80" t="str">
        <f>HYPERLINK("https://pbs.twimg.com/profile_images/1641396253903683585/H2hUe8ZN_normal.jpg")</f>
        <v>https://pbs.twimg.com/profile_images/1641396253903683585/H2hUe8ZN_normal.jpg</v>
      </c>
      <c r="AW1568" s="82" t="s">
        <v>13737</v>
      </c>
      <c r="AX1568" s="82" t="s">
        <v>13737</v>
      </c>
      <c r="AY1568" s="77"/>
      <c r="AZ1568" s="82" t="s">
        <v>15804</v>
      </c>
      <c r="BA1568" s="82" t="s">
        <v>15804</v>
      </c>
      <c r="BB1568" s="82" t="s">
        <v>15804</v>
      </c>
      <c r="BC1568" s="82" t="s">
        <v>13737</v>
      </c>
      <c r="BD1568" s="77">
        <v>240849616</v>
      </c>
      <c r="BE1568" s="77"/>
      <c r="BF1568" s="77"/>
      <c r="BG1568" s="77"/>
      <c r="BH1568" s="77"/>
      <c r="BI1568" s="77"/>
    </row>
    <row r="1569" spans="1:61" x14ac:dyDescent="0.25">
      <c r="A1569" s="62" t="s">
        <v>722</v>
      </c>
      <c r="B1569" s="62" t="s">
        <v>722</v>
      </c>
      <c r="C1569" s="63"/>
      <c r="D1569" s="64"/>
      <c r="E1569" s="65"/>
      <c r="F1569" s="66"/>
      <c r="G1569" s="63"/>
      <c r="H1569" s="67"/>
      <c r="I1569" s="68"/>
      <c r="J1569" s="68"/>
      <c r="K1569" s="32"/>
      <c r="L1569" s="75">
        <v>1569</v>
      </c>
      <c r="M1569" s="75"/>
      <c r="N1569" s="70"/>
      <c r="O1569" s="77" t="s">
        <v>179</v>
      </c>
      <c r="P1569" s="79">
        <v>44973.433379629627</v>
      </c>
      <c r="Q1569" s="77" t="s">
        <v>2646</v>
      </c>
      <c r="R1569" s="77">
        <v>0</v>
      </c>
      <c r="S1569" s="77">
        <v>2</v>
      </c>
      <c r="T1569" s="77">
        <v>0</v>
      </c>
      <c r="U1569" s="77">
        <v>0</v>
      </c>
      <c r="V1569" s="77">
        <v>180</v>
      </c>
      <c r="W1569" s="82" t="s">
        <v>5157</v>
      </c>
      <c r="X1569" s="77"/>
      <c r="Y1569" s="77"/>
      <c r="Z1569" s="77"/>
      <c r="AA1569" s="77"/>
      <c r="AB1569" s="77"/>
      <c r="AC1569" s="82" t="s">
        <v>7707</v>
      </c>
      <c r="AD1569" s="77" t="s">
        <v>7745</v>
      </c>
      <c r="AE1569" s="80" t="str">
        <f>HYPERLINK("https://twitter.com/pedromestr/status/1626165507966570496")</f>
        <v>https://twitter.com/pedromestr/status/1626165507966570496</v>
      </c>
      <c r="AF1569" s="79">
        <v>44973.433379629627</v>
      </c>
      <c r="AG1569" s="85">
        <v>44973</v>
      </c>
      <c r="AH1569" s="82" t="s">
        <v>9146</v>
      </c>
      <c r="AI1569" s="77"/>
      <c r="AJ1569" s="77"/>
      <c r="AK1569" s="77"/>
      <c r="AL1569" s="77"/>
      <c r="AM1569" s="77"/>
      <c r="AN1569" s="77"/>
      <c r="AO1569" s="77"/>
      <c r="AP1569" s="77"/>
      <c r="AQ1569" s="77"/>
      <c r="AR1569" s="77"/>
      <c r="AS1569" s="77"/>
      <c r="AT1569" s="77"/>
      <c r="AU1569" s="77"/>
      <c r="AV1569" s="80" t="str">
        <f>HYPERLINK("https://pbs.twimg.com/profile_images/1641396253903683585/H2hUe8ZN_normal.jpg")</f>
        <v>https://pbs.twimg.com/profile_images/1641396253903683585/H2hUe8ZN_normal.jpg</v>
      </c>
      <c r="AW1569" s="82" t="s">
        <v>13738</v>
      </c>
      <c r="AX1569" s="82" t="s">
        <v>13738</v>
      </c>
      <c r="AY1569" s="77"/>
      <c r="AZ1569" s="82" t="s">
        <v>15804</v>
      </c>
      <c r="BA1569" s="82" t="s">
        <v>15804</v>
      </c>
      <c r="BB1569" s="82" t="s">
        <v>15804</v>
      </c>
      <c r="BC1569" s="82" t="s">
        <v>13738</v>
      </c>
      <c r="BD1569" s="77">
        <v>240849616</v>
      </c>
      <c r="BE1569" s="77"/>
      <c r="BF1569" s="77"/>
      <c r="BG1569" s="77"/>
      <c r="BH1569" s="77"/>
      <c r="BI1569" s="77"/>
    </row>
    <row r="1570" spans="1:61" x14ac:dyDescent="0.25">
      <c r="A1570" s="62" t="s">
        <v>722</v>
      </c>
      <c r="B1570" s="62" t="s">
        <v>722</v>
      </c>
      <c r="C1570" s="63"/>
      <c r="D1570" s="64"/>
      <c r="E1570" s="65"/>
      <c r="F1570" s="66"/>
      <c r="G1570" s="63"/>
      <c r="H1570" s="67"/>
      <c r="I1570" s="68"/>
      <c r="J1570" s="68"/>
      <c r="K1570" s="32"/>
      <c r="L1570" s="75">
        <v>1570</v>
      </c>
      <c r="M1570" s="75"/>
      <c r="N1570" s="70"/>
      <c r="O1570" s="77" t="s">
        <v>179</v>
      </c>
      <c r="P1570" s="79">
        <v>45092.557627314818</v>
      </c>
      <c r="Q1570" s="77" t="s">
        <v>2647</v>
      </c>
      <c r="R1570" s="77">
        <v>0</v>
      </c>
      <c r="S1570" s="77">
        <v>1</v>
      </c>
      <c r="T1570" s="77">
        <v>0</v>
      </c>
      <c r="U1570" s="77">
        <v>0</v>
      </c>
      <c r="V1570" s="77">
        <v>37</v>
      </c>
      <c r="W1570" s="82" t="s">
        <v>5158</v>
      </c>
      <c r="X1570" s="80" t="str">
        <f>HYPERLINK("https://www1.folha.uol.com.br/mercado/2023/06/contribuicao-ao-inss-do-autonomo-muda-nesta-quinta-feira-15.shtml?utm_source=twitter&amp;utm_medium=social&amp;utm_campaign=comptw")</f>
        <v>https://www1.folha.uol.com.br/mercado/2023/06/contribuicao-ao-inss-do-autonomo-muda-nesta-quinta-feira-15.shtml?utm_source=twitter&amp;utm_medium=social&amp;utm_campaign=comptw</v>
      </c>
      <c r="Y1570" s="77" t="s">
        <v>6002</v>
      </c>
      <c r="Z1570" s="77"/>
      <c r="AA1570" s="77"/>
      <c r="AB1570" s="77"/>
      <c r="AC1570" s="82" t="s">
        <v>7706</v>
      </c>
      <c r="AD1570" s="77" t="s">
        <v>7745</v>
      </c>
      <c r="AE1570" s="80" t="str">
        <f>HYPERLINK("https://twitter.com/pedromestr/status/1669334689541234690")</f>
        <v>https://twitter.com/pedromestr/status/1669334689541234690</v>
      </c>
      <c r="AF1570" s="79">
        <v>45092.557627314818</v>
      </c>
      <c r="AG1570" s="85">
        <v>45092</v>
      </c>
      <c r="AH1570" s="82" t="s">
        <v>9147</v>
      </c>
      <c r="AI1570" s="77" t="b">
        <v>0</v>
      </c>
      <c r="AJ1570" s="77"/>
      <c r="AK1570" s="77"/>
      <c r="AL1570" s="77"/>
      <c r="AM1570" s="77"/>
      <c r="AN1570" s="77"/>
      <c r="AO1570" s="77"/>
      <c r="AP1570" s="77"/>
      <c r="AQ1570" s="77"/>
      <c r="AR1570" s="77"/>
      <c r="AS1570" s="77"/>
      <c r="AT1570" s="77"/>
      <c r="AU1570" s="77"/>
      <c r="AV1570" s="80" t="str">
        <f>HYPERLINK("https://pbs.twimg.com/profile_images/1641396253903683585/H2hUe8ZN_normal.jpg")</f>
        <v>https://pbs.twimg.com/profile_images/1641396253903683585/H2hUe8ZN_normal.jpg</v>
      </c>
      <c r="AW1570" s="82" t="s">
        <v>13739</v>
      </c>
      <c r="AX1570" s="82" t="s">
        <v>13739</v>
      </c>
      <c r="AY1570" s="77"/>
      <c r="AZ1570" s="82" t="s">
        <v>15804</v>
      </c>
      <c r="BA1570" s="82" t="s">
        <v>15804</v>
      </c>
      <c r="BB1570" s="82" t="s">
        <v>15804</v>
      </c>
      <c r="BC1570" s="82" t="s">
        <v>13739</v>
      </c>
      <c r="BD1570" s="77">
        <v>240849616</v>
      </c>
      <c r="BE1570" s="77"/>
      <c r="BF1570" s="77"/>
      <c r="BG1570" s="77"/>
      <c r="BH1570" s="77"/>
      <c r="BI1570" s="77"/>
    </row>
    <row r="1571" spans="1:61" x14ac:dyDescent="0.25">
      <c r="A1571" s="62" t="s">
        <v>722</v>
      </c>
      <c r="B1571" s="62" t="s">
        <v>722</v>
      </c>
      <c r="C1571" s="63"/>
      <c r="D1571" s="64"/>
      <c r="E1571" s="65"/>
      <c r="F1571" s="66"/>
      <c r="G1571" s="63"/>
      <c r="H1571" s="67"/>
      <c r="I1571" s="68"/>
      <c r="J1571" s="68"/>
      <c r="K1571" s="32"/>
      <c r="L1571" s="75">
        <v>1571</v>
      </c>
      <c r="M1571" s="75"/>
      <c r="N1571" s="70"/>
      <c r="O1571" s="77" t="s">
        <v>179</v>
      </c>
      <c r="P1571" s="79">
        <v>45029.478530092594</v>
      </c>
      <c r="Q1571" s="77" t="s">
        <v>2648</v>
      </c>
      <c r="R1571" s="77">
        <v>0</v>
      </c>
      <c r="S1571" s="77">
        <v>0</v>
      </c>
      <c r="T1571" s="77">
        <v>0</v>
      </c>
      <c r="U1571" s="77">
        <v>0</v>
      </c>
      <c r="V1571" s="77">
        <v>24</v>
      </c>
      <c r="W1571" s="82" t="s">
        <v>5159</v>
      </c>
      <c r="X1571" s="77"/>
      <c r="Y1571" s="77"/>
      <c r="Z1571" s="77"/>
      <c r="AA1571" s="77"/>
      <c r="AB1571" s="77"/>
      <c r="AC1571" s="82" t="s">
        <v>7707</v>
      </c>
      <c r="AD1571" s="77" t="s">
        <v>7745</v>
      </c>
      <c r="AE1571" s="80" t="str">
        <f>HYPERLINK("https://twitter.com/pedromestr/status/1646475590470344704")</f>
        <v>https://twitter.com/pedromestr/status/1646475590470344704</v>
      </c>
      <c r="AF1571" s="79">
        <v>45029.478530092594</v>
      </c>
      <c r="AG1571" s="85">
        <v>45029</v>
      </c>
      <c r="AH1571" s="82" t="s">
        <v>9148</v>
      </c>
      <c r="AI1571" s="77"/>
      <c r="AJ1571" s="77"/>
      <c r="AK1571" s="77"/>
      <c r="AL1571" s="77"/>
      <c r="AM1571" s="77"/>
      <c r="AN1571" s="77"/>
      <c r="AO1571" s="77"/>
      <c r="AP1571" s="77"/>
      <c r="AQ1571" s="77"/>
      <c r="AR1571" s="77"/>
      <c r="AS1571" s="77"/>
      <c r="AT1571" s="77"/>
      <c r="AU1571" s="77"/>
      <c r="AV1571" s="80" t="str">
        <f>HYPERLINK("https://pbs.twimg.com/profile_images/1641396253903683585/H2hUe8ZN_normal.jpg")</f>
        <v>https://pbs.twimg.com/profile_images/1641396253903683585/H2hUe8ZN_normal.jpg</v>
      </c>
      <c r="AW1571" s="82" t="s">
        <v>13740</v>
      </c>
      <c r="AX1571" s="82" t="s">
        <v>13740</v>
      </c>
      <c r="AY1571" s="77"/>
      <c r="AZ1571" s="82" t="s">
        <v>15804</v>
      </c>
      <c r="BA1571" s="82" t="s">
        <v>15804</v>
      </c>
      <c r="BB1571" s="82" t="s">
        <v>15804</v>
      </c>
      <c r="BC1571" s="82" t="s">
        <v>13740</v>
      </c>
      <c r="BD1571" s="77">
        <v>240849616</v>
      </c>
      <c r="BE1571" s="77"/>
      <c r="BF1571" s="77"/>
      <c r="BG1571" s="77"/>
      <c r="BH1571" s="77"/>
      <c r="BI1571" s="77"/>
    </row>
    <row r="1572" spans="1:61" x14ac:dyDescent="0.25">
      <c r="A1572" s="62" t="s">
        <v>722</v>
      </c>
      <c r="B1572" s="62" t="s">
        <v>722</v>
      </c>
      <c r="C1572" s="63"/>
      <c r="D1572" s="64"/>
      <c r="E1572" s="65"/>
      <c r="F1572" s="66"/>
      <c r="G1572" s="63"/>
      <c r="H1572" s="67"/>
      <c r="I1572" s="68"/>
      <c r="J1572" s="68"/>
      <c r="K1572" s="32"/>
      <c r="L1572" s="75">
        <v>1572</v>
      </c>
      <c r="M1572" s="75"/>
      <c r="N1572" s="70"/>
      <c r="O1572" s="77" t="s">
        <v>179</v>
      </c>
      <c r="P1572" s="79">
        <v>45027.46675925926</v>
      </c>
      <c r="Q1572" s="77" t="s">
        <v>2649</v>
      </c>
      <c r="R1572" s="77">
        <v>0</v>
      </c>
      <c r="S1572" s="77">
        <v>0</v>
      </c>
      <c r="T1572" s="77">
        <v>0</v>
      </c>
      <c r="U1572" s="77">
        <v>0</v>
      </c>
      <c r="V1572" s="77">
        <v>58</v>
      </c>
      <c r="W1572" s="82" t="s">
        <v>5160</v>
      </c>
      <c r="X1572" s="77"/>
      <c r="Y1572" s="77"/>
      <c r="Z1572" s="77"/>
      <c r="AA1572" s="77"/>
      <c r="AB1572" s="77"/>
      <c r="AC1572" s="82" t="s">
        <v>7707</v>
      </c>
      <c r="AD1572" s="77" t="s">
        <v>7745</v>
      </c>
      <c r="AE1572" s="80" t="str">
        <f>HYPERLINK("https://twitter.com/pedromestr/status/1645746548133773312")</f>
        <v>https://twitter.com/pedromestr/status/1645746548133773312</v>
      </c>
      <c r="AF1572" s="79">
        <v>45027.46675925926</v>
      </c>
      <c r="AG1572" s="85">
        <v>45027</v>
      </c>
      <c r="AH1572" s="82" t="s">
        <v>9149</v>
      </c>
      <c r="AI1572" s="77"/>
      <c r="AJ1572" s="77"/>
      <c r="AK1572" s="77"/>
      <c r="AL1572" s="77"/>
      <c r="AM1572" s="77"/>
      <c r="AN1572" s="77"/>
      <c r="AO1572" s="77"/>
      <c r="AP1572" s="77"/>
      <c r="AQ1572" s="77"/>
      <c r="AR1572" s="77"/>
      <c r="AS1572" s="77"/>
      <c r="AT1572" s="77"/>
      <c r="AU1572" s="77"/>
      <c r="AV1572" s="80" t="str">
        <f>HYPERLINK("https://pbs.twimg.com/profile_images/1641396253903683585/H2hUe8ZN_normal.jpg")</f>
        <v>https://pbs.twimg.com/profile_images/1641396253903683585/H2hUe8ZN_normal.jpg</v>
      </c>
      <c r="AW1572" s="82" t="s">
        <v>13741</v>
      </c>
      <c r="AX1572" s="82" t="s">
        <v>13741</v>
      </c>
      <c r="AY1572" s="77"/>
      <c r="AZ1572" s="82" t="s">
        <v>15804</v>
      </c>
      <c r="BA1572" s="82" t="s">
        <v>15804</v>
      </c>
      <c r="BB1572" s="82" t="s">
        <v>15804</v>
      </c>
      <c r="BC1572" s="82" t="s">
        <v>13741</v>
      </c>
      <c r="BD1572" s="77">
        <v>240849616</v>
      </c>
      <c r="BE1572" s="77"/>
      <c r="BF1572" s="77"/>
      <c r="BG1572" s="77"/>
      <c r="BH1572" s="77"/>
      <c r="BI1572" s="77"/>
    </row>
    <row r="1573" spans="1:61" x14ac:dyDescent="0.25">
      <c r="A1573" s="62" t="s">
        <v>722</v>
      </c>
      <c r="B1573" s="62" t="s">
        <v>722</v>
      </c>
      <c r="C1573" s="63"/>
      <c r="D1573" s="64"/>
      <c r="E1573" s="65"/>
      <c r="F1573" s="66"/>
      <c r="G1573" s="63"/>
      <c r="H1573" s="67"/>
      <c r="I1573" s="68"/>
      <c r="J1573" s="68"/>
      <c r="K1573" s="32"/>
      <c r="L1573" s="75">
        <v>1573</v>
      </c>
      <c r="M1573" s="75"/>
      <c r="N1573" s="70"/>
      <c r="O1573" s="77" t="s">
        <v>179</v>
      </c>
      <c r="P1573" s="79">
        <v>44984.425694444442</v>
      </c>
      <c r="Q1573" s="77" t="s">
        <v>2650</v>
      </c>
      <c r="R1573" s="77">
        <v>0</v>
      </c>
      <c r="S1573" s="77">
        <v>0</v>
      </c>
      <c r="T1573" s="77">
        <v>0</v>
      </c>
      <c r="U1573" s="77">
        <v>0</v>
      </c>
      <c r="V1573" s="77">
        <v>31</v>
      </c>
      <c r="W1573" s="82" t="s">
        <v>4097</v>
      </c>
      <c r="X1573" s="77"/>
      <c r="Y1573" s="77"/>
      <c r="Z1573" s="77"/>
      <c r="AA1573" s="77"/>
      <c r="AB1573" s="77"/>
      <c r="AC1573" s="82" t="s">
        <v>7707</v>
      </c>
      <c r="AD1573" s="77" t="s">
        <v>7745</v>
      </c>
      <c r="AE1573" s="80" t="str">
        <f>HYPERLINK("https://twitter.com/pedromestr/status/1630148989638017033")</f>
        <v>https://twitter.com/pedromestr/status/1630148989638017033</v>
      </c>
      <c r="AF1573" s="79">
        <v>44984.425694444442</v>
      </c>
      <c r="AG1573" s="85">
        <v>44984</v>
      </c>
      <c r="AH1573" s="82" t="s">
        <v>9150</v>
      </c>
      <c r="AI1573" s="77"/>
      <c r="AJ1573" s="77"/>
      <c r="AK1573" s="77"/>
      <c r="AL1573" s="77"/>
      <c r="AM1573" s="77"/>
      <c r="AN1573" s="77"/>
      <c r="AO1573" s="77"/>
      <c r="AP1573" s="77"/>
      <c r="AQ1573" s="77"/>
      <c r="AR1573" s="77"/>
      <c r="AS1573" s="77"/>
      <c r="AT1573" s="77"/>
      <c r="AU1573" s="77"/>
      <c r="AV1573" s="80" t="str">
        <f>HYPERLINK("https://pbs.twimg.com/profile_images/1641396253903683585/H2hUe8ZN_normal.jpg")</f>
        <v>https://pbs.twimg.com/profile_images/1641396253903683585/H2hUe8ZN_normal.jpg</v>
      </c>
      <c r="AW1573" s="82" t="s">
        <v>13742</v>
      </c>
      <c r="AX1573" s="82" t="s">
        <v>13742</v>
      </c>
      <c r="AY1573" s="77"/>
      <c r="AZ1573" s="82" t="s">
        <v>15804</v>
      </c>
      <c r="BA1573" s="82" t="s">
        <v>15804</v>
      </c>
      <c r="BB1573" s="82" t="s">
        <v>15804</v>
      </c>
      <c r="BC1573" s="82" t="s">
        <v>13742</v>
      </c>
      <c r="BD1573" s="77">
        <v>240849616</v>
      </c>
      <c r="BE1573" s="77"/>
      <c r="BF1573" s="77"/>
      <c r="BG1573" s="77"/>
      <c r="BH1573" s="77"/>
      <c r="BI1573" s="77"/>
    </row>
    <row r="1574" spans="1:61" x14ac:dyDescent="0.25">
      <c r="A1574" s="62" t="s">
        <v>722</v>
      </c>
      <c r="B1574" s="62" t="s">
        <v>722</v>
      </c>
      <c r="C1574" s="63"/>
      <c r="D1574" s="64"/>
      <c r="E1574" s="65"/>
      <c r="F1574" s="66"/>
      <c r="G1574" s="63"/>
      <c r="H1574" s="67"/>
      <c r="I1574" s="68"/>
      <c r="J1574" s="68"/>
      <c r="K1574" s="32"/>
      <c r="L1574" s="75">
        <v>1574</v>
      </c>
      <c r="M1574" s="75"/>
      <c r="N1574" s="70"/>
      <c r="O1574" s="77" t="s">
        <v>179</v>
      </c>
      <c r="P1574" s="79">
        <v>44999.43476851852</v>
      </c>
      <c r="Q1574" s="77" t="s">
        <v>2651</v>
      </c>
      <c r="R1574" s="77">
        <v>0</v>
      </c>
      <c r="S1574" s="77">
        <v>0</v>
      </c>
      <c r="T1574" s="77">
        <v>0</v>
      </c>
      <c r="U1574" s="77">
        <v>0</v>
      </c>
      <c r="V1574" s="77">
        <v>24</v>
      </c>
      <c r="W1574" s="82" t="s">
        <v>4097</v>
      </c>
      <c r="X1574" s="77"/>
      <c r="Y1574" s="77"/>
      <c r="Z1574" s="77"/>
      <c r="AA1574" s="77"/>
      <c r="AB1574" s="77"/>
      <c r="AC1574" s="82" t="s">
        <v>7707</v>
      </c>
      <c r="AD1574" s="77" t="s">
        <v>7745</v>
      </c>
      <c r="AE1574" s="80" t="str">
        <f>HYPERLINK("https://twitter.com/pedromestr/status/1635588095969034242")</f>
        <v>https://twitter.com/pedromestr/status/1635588095969034242</v>
      </c>
      <c r="AF1574" s="79">
        <v>44999.43476851852</v>
      </c>
      <c r="AG1574" s="85">
        <v>44999</v>
      </c>
      <c r="AH1574" s="82" t="s">
        <v>9151</v>
      </c>
      <c r="AI1574" s="77"/>
      <c r="AJ1574" s="77"/>
      <c r="AK1574" s="77"/>
      <c r="AL1574" s="77"/>
      <c r="AM1574" s="77"/>
      <c r="AN1574" s="77"/>
      <c r="AO1574" s="77"/>
      <c r="AP1574" s="77"/>
      <c r="AQ1574" s="77"/>
      <c r="AR1574" s="77"/>
      <c r="AS1574" s="77"/>
      <c r="AT1574" s="77"/>
      <c r="AU1574" s="77"/>
      <c r="AV1574" s="80" t="str">
        <f>HYPERLINK("https://pbs.twimg.com/profile_images/1641396253903683585/H2hUe8ZN_normal.jpg")</f>
        <v>https://pbs.twimg.com/profile_images/1641396253903683585/H2hUe8ZN_normal.jpg</v>
      </c>
      <c r="AW1574" s="82" t="s">
        <v>13743</v>
      </c>
      <c r="AX1574" s="82" t="s">
        <v>13743</v>
      </c>
      <c r="AY1574" s="77"/>
      <c r="AZ1574" s="82" t="s">
        <v>15804</v>
      </c>
      <c r="BA1574" s="82" t="s">
        <v>15804</v>
      </c>
      <c r="BB1574" s="82" t="s">
        <v>15804</v>
      </c>
      <c r="BC1574" s="82" t="s">
        <v>13743</v>
      </c>
      <c r="BD1574" s="77">
        <v>240849616</v>
      </c>
      <c r="BE1574" s="77"/>
      <c r="BF1574" s="77"/>
      <c r="BG1574" s="77"/>
      <c r="BH1574" s="77"/>
      <c r="BI1574" s="77"/>
    </row>
    <row r="1575" spans="1:61" x14ac:dyDescent="0.25">
      <c r="A1575" s="62" t="s">
        <v>722</v>
      </c>
      <c r="B1575" s="62" t="s">
        <v>722</v>
      </c>
      <c r="C1575" s="63"/>
      <c r="D1575" s="64"/>
      <c r="E1575" s="65"/>
      <c r="F1575" s="66"/>
      <c r="G1575" s="63"/>
      <c r="H1575" s="67"/>
      <c r="I1575" s="68"/>
      <c r="J1575" s="68"/>
      <c r="K1575" s="32"/>
      <c r="L1575" s="75">
        <v>1575</v>
      </c>
      <c r="M1575" s="75"/>
      <c r="N1575" s="70"/>
      <c r="O1575" s="77" t="s">
        <v>179</v>
      </c>
      <c r="P1575" s="79">
        <v>44943.487314814818</v>
      </c>
      <c r="Q1575" s="77" t="s">
        <v>2652</v>
      </c>
      <c r="R1575" s="77">
        <v>0</v>
      </c>
      <c r="S1575" s="77">
        <v>2</v>
      </c>
      <c r="T1575" s="77">
        <v>0</v>
      </c>
      <c r="U1575" s="77">
        <v>0</v>
      </c>
      <c r="V1575" s="77">
        <v>48</v>
      </c>
      <c r="W1575" s="82" t="s">
        <v>4160</v>
      </c>
      <c r="X1575" s="77"/>
      <c r="Y1575" s="77"/>
      <c r="Z1575" s="77"/>
      <c r="AA1575" s="77"/>
      <c r="AB1575" s="77"/>
      <c r="AC1575" s="82" t="s">
        <v>7707</v>
      </c>
      <c r="AD1575" s="77" t="s">
        <v>7745</v>
      </c>
      <c r="AE1575" s="80" t="str">
        <f>HYPERLINK("https://twitter.com/pedromestr/status/1615313417358966786")</f>
        <v>https://twitter.com/pedromestr/status/1615313417358966786</v>
      </c>
      <c r="AF1575" s="79">
        <v>44943.487314814818</v>
      </c>
      <c r="AG1575" s="85">
        <v>44943</v>
      </c>
      <c r="AH1575" s="82" t="s">
        <v>9152</v>
      </c>
      <c r="AI1575" s="77"/>
      <c r="AJ1575" s="77"/>
      <c r="AK1575" s="77"/>
      <c r="AL1575" s="77"/>
      <c r="AM1575" s="77"/>
      <c r="AN1575" s="77"/>
      <c r="AO1575" s="77"/>
      <c r="AP1575" s="77"/>
      <c r="AQ1575" s="77"/>
      <c r="AR1575" s="77"/>
      <c r="AS1575" s="77"/>
      <c r="AT1575" s="77"/>
      <c r="AU1575" s="77"/>
      <c r="AV1575" s="80" t="str">
        <f>HYPERLINK("https://pbs.twimg.com/profile_images/1641396253903683585/H2hUe8ZN_normal.jpg")</f>
        <v>https://pbs.twimg.com/profile_images/1641396253903683585/H2hUe8ZN_normal.jpg</v>
      </c>
      <c r="AW1575" s="82" t="s">
        <v>13744</v>
      </c>
      <c r="AX1575" s="82" t="s">
        <v>13744</v>
      </c>
      <c r="AY1575" s="77"/>
      <c r="AZ1575" s="82" t="s">
        <v>15804</v>
      </c>
      <c r="BA1575" s="82" t="s">
        <v>15804</v>
      </c>
      <c r="BB1575" s="82" t="s">
        <v>15804</v>
      </c>
      <c r="BC1575" s="82" t="s">
        <v>13744</v>
      </c>
      <c r="BD1575" s="77">
        <v>240849616</v>
      </c>
      <c r="BE1575" s="77"/>
      <c r="BF1575" s="77"/>
      <c r="BG1575" s="77"/>
      <c r="BH1575" s="77"/>
      <c r="BI1575" s="77"/>
    </row>
    <row r="1576" spans="1:61" x14ac:dyDescent="0.25">
      <c r="A1576" s="62" t="s">
        <v>722</v>
      </c>
      <c r="B1576" s="62" t="s">
        <v>1102</v>
      </c>
      <c r="C1576" s="63"/>
      <c r="D1576" s="64"/>
      <c r="E1576" s="65"/>
      <c r="F1576" s="66"/>
      <c r="G1576" s="63"/>
      <c r="H1576" s="67"/>
      <c r="I1576" s="68"/>
      <c r="J1576" s="68"/>
      <c r="K1576" s="32"/>
      <c r="L1576" s="75">
        <v>1576</v>
      </c>
      <c r="M1576" s="75"/>
      <c r="N1576" s="70"/>
      <c r="O1576" s="77" t="s">
        <v>1136</v>
      </c>
      <c r="P1576" s="79">
        <v>45154.463796296295</v>
      </c>
      <c r="Q1576" s="77" t="s">
        <v>2633</v>
      </c>
      <c r="R1576" s="77">
        <v>0</v>
      </c>
      <c r="S1576" s="77">
        <v>1</v>
      </c>
      <c r="T1576" s="77">
        <v>0</v>
      </c>
      <c r="U1576" s="77">
        <v>0</v>
      </c>
      <c r="V1576" s="77">
        <v>81</v>
      </c>
      <c r="W1576" s="82" t="s">
        <v>4160</v>
      </c>
      <c r="X1576" s="77"/>
      <c r="Y1576" s="77"/>
      <c r="Z1576" s="77" t="s">
        <v>6135</v>
      </c>
      <c r="AA1576" s="77"/>
      <c r="AB1576" s="77"/>
      <c r="AC1576" s="82" t="s">
        <v>7707</v>
      </c>
      <c r="AD1576" s="77" t="s">
        <v>7745</v>
      </c>
      <c r="AE1576" s="80" t="str">
        <f>HYPERLINK("https://twitter.com/pedromestr/status/1691768735147671854")</f>
        <v>https://twitter.com/pedromestr/status/1691768735147671854</v>
      </c>
      <c r="AF1576" s="79">
        <v>45154.463796296295</v>
      </c>
      <c r="AG1576" s="85">
        <v>45154</v>
      </c>
      <c r="AH1576" s="82" t="s">
        <v>9133</v>
      </c>
      <c r="AI1576" s="77"/>
      <c r="AJ1576" s="77"/>
      <c r="AK1576" s="77"/>
      <c r="AL1576" s="77"/>
      <c r="AM1576" s="77"/>
      <c r="AN1576" s="77"/>
      <c r="AO1576" s="77"/>
      <c r="AP1576" s="77"/>
      <c r="AQ1576" s="77"/>
      <c r="AR1576" s="77"/>
      <c r="AS1576" s="77"/>
      <c r="AT1576" s="77"/>
      <c r="AU1576" s="77"/>
      <c r="AV1576" s="80" t="str">
        <f>HYPERLINK("https://pbs.twimg.com/profile_images/1641396253903683585/H2hUe8ZN_normal.jpg")</f>
        <v>https://pbs.twimg.com/profile_images/1641396253903683585/H2hUe8ZN_normal.jpg</v>
      </c>
      <c r="AW1576" s="82" t="s">
        <v>13725</v>
      </c>
      <c r="AX1576" s="82" t="s">
        <v>15351</v>
      </c>
      <c r="AY1576" s="82" t="s">
        <v>15721</v>
      </c>
      <c r="AZ1576" s="82" t="s">
        <v>15897</v>
      </c>
      <c r="BA1576" s="82" t="s">
        <v>15804</v>
      </c>
      <c r="BB1576" s="82" t="s">
        <v>15804</v>
      </c>
      <c r="BC1576" s="82" t="s">
        <v>15897</v>
      </c>
      <c r="BD1576" s="77">
        <v>240849616</v>
      </c>
      <c r="BE1576" s="77"/>
      <c r="BF1576" s="77"/>
      <c r="BG1576" s="77"/>
      <c r="BH1576" s="77"/>
      <c r="BI1576" s="77"/>
    </row>
    <row r="1577" spans="1:61" x14ac:dyDescent="0.25">
      <c r="A1577" s="62" t="s">
        <v>722</v>
      </c>
      <c r="B1577" s="62" t="s">
        <v>722</v>
      </c>
      <c r="C1577" s="63"/>
      <c r="D1577" s="64"/>
      <c r="E1577" s="65"/>
      <c r="F1577" s="66"/>
      <c r="G1577" s="63"/>
      <c r="H1577" s="67"/>
      <c r="I1577" s="68"/>
      <c r="J1577" s="68"/>
      <c r="K1577" s="32"/>
      <c r="L1577" s="75">
        <v>1577</v>
      </c>
      <c r="M1577" s="75"/>
      <c r="N1577" s="70"/>
      <c r="O1577" s="77" t="s">
        <v>179</v>
      </c>
      <c r="P1577" s="79">
        <v>45005.442719907405</v>
      </c>
      <c r="Q1577" s="77" t="s">
        <v>2653</v>
      </c>
      <c r="R1577" s="77">
        <v>0</v>
      </c>
      <c r="S1577" s="77">
        <v>0</v>
      </c>
      <c r="T1577" s="77">
        <v>0</v>
      </c>
      <c r="U1577" s="77">
        <v>0</v>
      </c>
      <c r="V1577" s="77">
        <v>22</v>
      </c>
      <c r="W1577" s="82" t="s">
        <v>5161</v>
      </c>
      <c r="X1577" s="80" t="str">
        <f>HYPERLINK("http://fgc.org.br")</f>
        <v>http://fgc.org.br</v>
      </c>
      <c r="Y1577" s="77" t="s">
        <v>6007</v>
      </c>
      <c r="Z1577" s="77"/>
      <c r="AA1577" s="77"/>
      <c r="AB1577" s="77"/>
      <c r="AC1577" s="82" t="s">
        <v>7707</v>
      </c>
      <c r="AD1577" s="77" t="s">
        <v>7745</v>
      </c>
      <c r="AE1577" s="80" t="str">
        <f>HYPERLINK("https://twitter.com/pedromestr/status/1637765306209779712")</f>
        <v>https://twitter.com/pedromestr/status/1637765306209779712</v>
      </c>
      <c r="AF1577" s="79">
        <v>45005.442719907405</v>
      </c>
      <c r="AG1577" s="85">
        <v>45005</v>
      </c>
      <c r="AH1577" s="82" t="s">
        <v>9153</v>
      </c>
      <c r="AI1577" s="77" t="b">
        <v>0</v>
      </c>
      <c r="AJ1577" s="77"/>
      <c r="AK1577" s="77"/>
      <c r="AL1577" s="77"/>
      <c r="AM1577" s="77"/>
      <c r="AN1577" s="77"/>
      <c r="AO1577" s="77"/>
      <c r="AP1577" s="77"/>
      <c r="AQ1577" s="77"/>
      <c r="AR1577" s="77"/>
      <c r="AS1577" s="77"/>
      <c r="AT1577" s="77"/>
      <c r="AU1577" s="77"/>
      <c r="AV1577" s="80" t="str">
        <f>HYPERLINK("https://pbs.twimg.com/profile_images/1641396253903683585/H2hUe8ZN_normal.jpg")</f>
        <v>https://pbs.twimg.com/profile_images/1641396253903683585/H2hUe8ZN_normal.jpg</v>
      </c>
      <c r="AW1577" s="82" t="s">
        <v>13745</v>
      </c>
      <c r="AX1577" s="82" t="s">
        <v>13745</v>
      </c>
      <c r="AY1577" s="77"/>
      <c r="AZ1577" s="82" t="s">
        <v>15804</v>
      </c>
      <c r="BA1577" s="82" t="s">
        <v>15804</v>
      </c>
      <c r="BB1577" s="82" t="s">
        <v>15804</v>
      </c>
      <c r="BC1577" s="82" t="s">
        <v>13745</v>
      </c>
      <c r="BD1577" s="77">
        <v>240849616</v>
      </c>
      <c r="BE1577" s="77"/>
      <c r="BF1577" s="77"/>
      <c r="BG1577" s="77"/>
      <c r="BH1577" s="77"/>
      <c r="BI1577" s="77"/>
    </row>
    <row r="1578" spans="1:61" x14ac:dyDescent="0.25">
      <c r="A1578" s="62" t="s">
        <v>722</v>
      </c>
      <c r="B1578" s="62" t="s">
        <v>722</v>
      </c>
      <c r="C1578" s="63"/>
      <c r="D1578" s="64"/>
      <c r="E1578" s="65"/>
      <c r="F1578" s="66"/>
      <c r="G1578" s="63"/>
      <c r="H1578" s="67"/>
      <c r="I1578" s="68"/>
      <c r="J1578" s="68"/>
      <c r="K1578" s="32"/>
      <c r="L1578" s="75">
        <v>1578</v>
      </c>
      <c r="M1578" s="75"/>
      <c r="N1578" s="70"/>
      <c r="O1578" s="77" t="s">
        <v>179</v>
      </c>
      <c r="P1578" s="79">
        <v>44950.793912037036</v>
      </c>
      <c r="Q1578" s="77" t="s">
        <v>2654</v>
      </c>
      <c r="R1578" s="77">
        <v>0</v>
      </c>
      <c r="S1578" s="77">
        <v>0</v>
      </c>
      <c r="T1578" s="77">
        <v>0</v>
      </c>
      <c r="U1578" s="77">
        <v>0</v>
      </c>
      <c r="V1578" s="77">
        <v>40</v>
      </c>
      <c r="W1578" s="82" t="s">
        <v>5162</v>
      </c>
      <c r="X1578" s="77"/>
      <c r="Y1578" s="77"/>
      <c r="Z1578" s="77"/>
      <c r="AA1578" s="77"/>
      <c r="AB1578" s="77"/>
      <c r="AC1578" s="82" t="s">
        <v>7707</v>
      </c>
      <c r="AD1578" s="77" t="s">
        <v>7745</v>
      </c>
      <c r="AE1578" s="80" t="str">
        <f>HYPERLINK("https://twitter.com/pedromestr/status/1617961240340615168")</f>
        <v>https://twitter.com/pedromestr/status/1617961240340615168</v>
      </c>
      <c r="AF1578" s="79">
        <v>44950.793912037036</v>
      </c>
      <c r="AG1578" s="85">
        <v>44950</v>
      </c>
      <c r="AH1578" s="82" t="s">
        <v>9154</v>
      </c>
      <c r="AI1578" s="77"/>
      <c r="AJ1578" s="77"/>
      <c r="AK1578" s="77"/>
      <c r="AL1578" s="77"/>
      <c r="AM1578" s="77"/>
      <c r="AN1578" s="77"/>
      <c r="AO1578" s="77"/>
      <c r="AP1578" s="77"/>
      <c r="AQ1578" s="77"/>
      <c r="AR1578" s="77"/>
      <c r="AS1578" s="77"/>
      <c r="AT1578" s="77"/>
      <c r="AU1578" s="77"/>
      <c r="AV1578" s="80" t="str">
        <f>HYPERLINK("https://pbs.twimg.com/profile_images/1641396253903683585/H2hUe8ZN_normal.jpg")</f>
        <v>https://pbs.twimg.com/profile_images/1641396253903683585/H2hUe8ZN_normal.jpg</v>
      </c>
      <c r="AW1578" s="82" t="s">
        <v>13746</v>
      </c>
      <c r="AX1578" s="82" t="s">
        <v>13746</v>
      </c>
      <c r="AY1578" s="77"/>
      <c r="AZ1578" s="82" t="s">
        <v>15804</v>
      </c>
      <c r="BA1578" s="82" t="s">
        <v>15804</v>
      </c>
      <c r="BB1578" s="82" t="s">
        <v>15804</v>
      </c>
      <c r="BC1578" s="82" t="s">
        <v>13746</v>
      </c>
      <c r="BD1578" s="77">
        <v>240849616</v>
      </c>
      <c r="BE1578" s="77"/>
      <c r="BF1578" s="77"/>
      <c r="BG1578" s="77"/>
      <c r="BH1578" s="77"/>
      <c r="BI1578" s="77"/>
    </row>
    <row r="1579" spans="1:61" x14ac:dyDescent="0.25">
      <c r="A1579" s="62" t="s">
        <v>722</v>
      </c>
      <c r="B1579" s="62" t="s">
        <v>1102</v>
      </c>
      <c r="C1579" s="63"/>
      <c r="D1579" s="64"/>
      <c r="E1579" s="65"/>
      <c r="F1579" s="66"/>
      <c r="G1579" s="63"/>
      <c r="H1579" s="67"/>
      <c r="I1579" s="68"/>
      <c r="J1579" s="68"/>
      <c r="K1579" s="32"/>
      <c r="L1579" s="75">
        <v>1579</v>
      </c>
      <c r="M1579" s="75"/>
      <c r="N1579" s="70"/>
      <c r="O1579" s="77" t="s">
        <v>1136</v>
      </c>
      <c r="P1579" s="79">
        <v>45147.451539351852</v>
      </c>
      <c r="Q1579" s="77" t="s">
        <v>2634</v>
      </c>
      <c r="R1579" s="77">
        <v>0</v>
      </c>
      <c r="S1579" s="77">
        <v>3</v>
      </c>
      <c r="T1579" s="77">
        <v>1</v>
      </c>
      <c r="U1579" s="77">
        <v>0</v>
      </c>
      <c r="V1579" s="77">
        <v>349</v>
      </c>
      <c r="W1579" s="82" t="s">
        <v>4160</v>
      </c>
      <c r="X1579" s="77"/>
      <c r="Y1579" s="77"/>
      <c r="Z1579" s="77" t="s">
        <v>6135</v>
      </c>
      <c r="AA1579" s="77"/>
      <c r="AB1579" s="77"/>
      <c r="AC1579" s="82" t="s">
        <v>7707</v>
      </c>
      <c r="AD1579" s="77" t="s">
        <v>7745</v>
      </c>
      <c r="AE1579" s="80" t="str">
        <f>HYPERLINK("https://twitter.com/pedromestr/status/1689227577485832192")</f>
        <v>https://twitter.com/pedromestr/status/1689227577485832192</v>
      </c>
      <c r="AF1579" s="79">
        <v>45147.451539351852</v>
      </c>
      <c r="AG1579" s="85">
        <v>45147</v>
      </c>
      <c r="AH1579" s="82" t="s">
        <v>9134</v>
      </c>
      <c r="AI1579" s="77"/>
      <c r="AJ1579" s="77"/>
      <c r="AK1579" s="77"/>
      <c r="AL1579" s="77"/>
      <c r="AM1579" s="77"/>
      <c r="AN1579" s="77"/>
      <c r="AO1579" s="77"/>
      <c r="AP1579" s="77"/>
      <c r="AQ1579" s="77"/>
      <c r="AR1579" s="77"/>
      <c r="AS1579" s="77"/>
      <c r="AT1579" s="77"/>
      <c r="AU1579" s="77"/>
      <c r="AV1579" s="80" t="str">
        <f>HYPERLINK("https://pbs.twimg.com/profile_images/1641396253903683585/H2hUe8ZN_normal.jpg")</f>
        <v>https://pbs.twimg.com/profile_images/1641396253903683585/H2hUe8ZN_normal.jpg</v>
      </c>
      <c r="AW1579" s="82" t="s">
        <v>13726</v>
      </c>
      <c r="AX1579" s="82" t="s">
        <v>15352</v>
      </c>
      <c r="AY1579" s="82" t="s">
        <v>15721</v>
      </c>
      <c r="AZ1579" s="82" t="s">
        <v>15352</v>
      </c>
      <c r="BA1579" s="82" t="s">
        <v>15804</v>
      </c>
      <c r="BB1579" s="82" t="s">
        <v>15804</v>
      </c>
      <c r="BC1579" s="82" t="s">
        <v>15352</v>
      </c>
      <c r="BD1579" s="77">
        <v>240849616</v>
      </c>
      <c r="BE1579" s="77"/>
      <c r="BF1579" s="77"/>
      <c r="BG1579" s="77"/>
      <c r="BH1579" s="77"/>
      <c r="BI1579" s="77"/>
    </row>
    <row r="1580" spans="1:61" x14ac:dyDescent="0.25">
      <c r="A1580" s="62" t="s">
        <v>722</v>
      </c>
      <c r="B1580" s="62" t="s">
        <v>722</v>
      </c>
      <c r="C1580" s="63"/>
      <c r="D1580" s="64"/>
      <c r="E1580" s="65"/>
      <c r="F1580" s="66"/>
      <c r="G1580" s="63"/>
      <c r="H1580" s="67"/>
      <c r="I1580" s="68"/>
      <c r="J1580" s="68"/>
      <c r="K1580" s="32"/>
      <c r="L1580" s="75">
        <v>1580</v>
      </c>
      <c r="M1580" s="75"/>
      <c r="N1580" s="70"/>
      <c r="O1580" s="77" t="s">
        <v>179</v>
      </c>
      <c r="P1580" s="79">
        <v>44965.488252314812</v>
      </c>
      <c r="Q1580" s="77" t="s">
        <v>2655</v>
      </c>
      <c r="R1580" s="77">
        <v>0</v>
      </c>
      <c r="S1580" s="77">
        <v>0</v>
      </c>
      <c r="T1580" s="77">
        <v>0</v>
      </c>
      <c r="U1580" s="77">
        <v>0</v>
      </c>
      <c r="V1580" s="77">
        <v>32</v>
      </c>
      <c r="W1580" s="82" t="s">
        <v>5163</v>
      </c>
      <c r="X1580" s="77"/>
      <c r="Y1580" s="77"/>
      <c r="Z1580" s="77"/>
      <c r="AA1580" s="77"/>
      <c r="AB1580" s="77"/>
      <c r="AC1580" s="82" t="s">
        <v>7707</v>
      </c>
      <c r="AD1580" s="77" t="s">
        <v>7745</v>
      </c>
      <c r="AE1580" s="80" t="str">
        <f>HYPERLINK("https://twitter.com/pedromestr/status/1623286288496439298")</f>
        <v>https://twitter.com/pedromestr/status/1623286288496439298</v>
      </c>
      <c r="AF1580" s="79">
        <v>44965.488252314812</v>
      </c>
      <c r="AG1580" s="85">
        <v>44965</v>
      </c>
      <c r="AH1580" s="82" t="s">
        <v>9155</v>
      </c>
      <c r="AI1580" s="77"/>
      <c r="AJ1580" s="77"/>
      <c r="AK1580" s="77"/>
      <c r="AL1580" s="77"/>
      <c r="AM1580" s="77"/>
      <c r="AN1580" s="77"/>
      <c r="AO1580" s="77"/>
      <c r="AP1580" s="77"/>
      <c r="AQ1580" s="77"/>
      <c r="AR1580" s="77"/>
      <c r="AS1580" s="77"/>
      <c r="AT1580" s="77"/>
      <c r="AU1580" s="77"/>
      <c r="AV1580" s="80" t="str">
        <f>HYPERLINK("https://pbs.twimg.com/profile_images/1641396253903683585/H2hUe8ZN_normal.jpg")</f>
        <v>https://pbs.twimg.com/profile_images/1641396253903683585/H2hUe8ZN_normal.jpg</v>
      </c>
      <c r="AW1580" s="82" t="s">
        <v>13747</v>
      </c>
      <c r="AX1580" s="82" t="s">
        <v>13747</v>
      </c>
      <c r="AY1580" s="77"/>
      <c r="AZ1580" s="82" t="s">
        <v>15804</v>
      </c>
      <c r="BA1580" s="82" t="s">
        <v>15804</v>
      </c>
      <c r="BB1580" s="82" t="s">
        <v>15804</v>
      </c>
      <c r="BC1580" s="82" t="s">
        <v>13747</v>
      </c>
      <c r="BD1580" s="77">
        <v>240849616</v>
      </c>
      <c r="BE1580" s="77"/>
      <c r="BF1580" s="77"/>
      <c r="BG1580" s="77"/>
      <c r="BH1580" s="77"/>
      <c r="BI1580" s="77"/>
    </row>
    <row r="1581" spans="1:61" x14ac:dyDescent="0.25">
      <c r="A1581" s="62" t="s">
        <v>722</v>
      </c>
      <c r="B1581" s="62" t="s">
        <v>722</v>
      </c>
      <c r="C1581" s="63"/>
      <c r="D1581" s="64"/>
      <c r="E1581" s="65"/>
      <c r="F1581" s="66"/>
      <c r="G1581" s="63"/>
      <c r="H1581" s="67"/>
      <c r="I1581" s="68"/>
      <c r="J1581" s="68"/>
      <c r="K1581" s="32"/>
      <c r="L1581" s="75">
        <v>1581</v>
      </c>
      <c r="M1581" s="75"/>
      <c r="N1581" s="70"/>
      <c r="O1581" s="77" t="s">
        <v>179</v>
      </c>
      <c r="P1581" s="79">
        <v>45164.476967592593</v>
      </c>
      <c r="Q1581" s="77" t="s">
        <v>2656</v>
      </c>
      <c r="R1581" s="77">
        <v>1</v>
      </c>
      <c r="S1581" s="77">
        <v>3</v>
      </c>
      <c r="T1581" s="77">
        <v>0</v>
      </c>
      <c r="U1581" s="77">
        <v>0</v>
      </c>
      <c r="V1581" s="77">
        <v>92</v>
      </c>
      <c r="W1581" s="82" t="s">
        <v>4160</v>
      </c>
      <c r="X1581" s="77"/>
      <c r="Y1581" s="77"/>
      <c r="Z1581" s="77"/>
      <c r="AA1581" s="77"/>
      <c r="AB1581" s="77"/>
      <c r="AC1581" s="82" t="s">
        <v>7707</v>
      </c>
      <c r="AD1581" s="77" t="s">
        <v>7745</v>
      </c>
      <c r="AE1581" s="80" t="str">
        <f>HYPERLINK("https://twitter.com/pedromestr/status/1695397387450171783")</f>
        <v>https://twitter.com/pedromestr/status/1695397387450171783</v>
      </c>
      <c r="AF1581" s="79">
        <v>45164.476967592593</v>
      </c>
      <c r="AG1581" s="85">
        <v>45164</v>
      </c>
      <c r="AH1581" s="82" t="s">
        <v>9156</v>
      </c>
      <c r="AI1581" s="77"/>
      <c r="AJ1581" s="77"/>
      <c r="AK1581" s="77"/>
      <c r="AL1581" s="77"/>
      <c r="AM1581" s="77"/>
      <c r="AN1581" s="77"/>
      <c r="AO1581" s="77"/>
      <c r="AP1581" s="77"/>
      <c r="AQ1581" s="77"/>
      <c r="AR1581" s="77"/>
      <c r="AS1581" s="77"/>
      <c r="AT1581" s="77"/>
      <c r="AU1581" s="77"/>
      <c r="AV1581" s="80" t="str">
        <f>HYPERLINK("https://pbs.twimg.com/profile_images/1641396253903683585/H2hUe8ZN_normal.jpg")</f>
        <v>https://pbs.twimg.com/profile_images/1641396253903683585/H2hUe8ZN_normal.jpg</v>
      </c>
      <c r="AW1581" s="82" t="s">
        <v>13748</v>
      </c>
      <c r="AX1581" s="82" t="s">
        <v>13748</v>
      </c>
      <c r="AY1581" s="77"/>
      <c r="AZ1581" s="82" t="s">
        <v>15804</v>
      </c>
      <c r="BA1581" s="82" t="s">
        <v>15804</v>
      </c>
      <c r="BB1581" s="82" t="s">
        <v>15804</v>
      </c>
      <c r="BC1581" s="82" t="s">
        <v>13748</v>
      </c>
      <c r="BD1581" s="77">
        <v>240849616</v>
      </c>
      <c r="BE1581" s="77"/>
      <c r="BF1581" s="77"/>
      <c r="BG1581" s="77"/>
      <c r="BH1581" s="77"/>
      <c r="BI1581" s="77"/>
    </row>
    <row r="1582" spans="1:61" x14ac:dyDescent="0.25">
      <c r="A1582" s="62" t="s">
        <v>724</v>
      </c>
      <c r="B1582" s="62" t="s">
        <v>724</v>
      </c>
      <c r="C1582" s="63"/>
      <c r="D1582" s="64"/>
      <c r="E1582" s="65"/>
      <c r="F1582" s="66"/>
      <c r="G1582" s="63"/>
      <c r="H1582" s="67"/>
      <c r="I1582" s="68"/>
      <c r="J1582" s="68"/>
      <c r="K1582" s="32"/>
      <c r="L1582" s="75">
        <v>1582</v>
      </c>
      <c r="M1582" s="75"/>
      <c r="N1582" s="70"/>
      <c r="O1582" s="77" t="s">
        <v>179</v>
      </c>
      <c r="P1582" s="79">
        <v>44983.497777777775</v>
      </c>
      <c r="Q1582" s="77" t="s">
        <v>2657</v>
      </c>
      <c r="R1582" s="77">
        <v>0</v>
      </c>
      <c r="S1582" s="77">
        <v>1</v>
      </c>
      <c r="T1582" s="77">
        <v>0</v>
      </c>
      <c r="U1582" s="77">
        <v>0</v>
      </c>
      <c r="V1582" s="77">
        <v>18</v>
      </c>
      <c r="W1582" s="82" t="s">
        <v>5164</v>
      </c>
      <c r="X1582" s="80" t="str">
        <f>HYPERLINK("https://amzn.to/3SxQMuA")</f>
        <v>https://amzn.to/3SxQMuA</v>
      </c>
      <c r="Y1582" s="77" t="s">
        <v>6043</v>
      </c>
      <c r="Z1582" s="77"/>
      <c r="AA1582" s="77" t="s">
        <v>7127</v>
      </c>
      <c r="AB1582" s="77" t="s">
        <v>7698</v>
      </c>
      <c r="AC1582" s="82" t="s">
        <v>7707</v>
      </c>
      <c r="AD1582" s="77" t="s">
        <v>7745</v>
      </c>
      <c r="AE1582" s="80" t="str">
        <f>HYPERLINK("https://twitter.com/livrosextraordi/status/1629812723675455489")</f>
        <v>https://twitter.com/livrosextraordi/status/1629812723675455489</v>
      </c>
      <c r="AF1582" s="79">
        <v>44983.497777777775</v>
      </c>
      <c r="AG1582" s="85">
        <v>44983</v>
      </c>
      <c r="AH1582" s="82" t="s">
        <v>9157</v>
      </c>
      <c r="AI1582" s="77" t="b">
        <v>0</v>
      </c>
      <c r="AJ1582" s="77"/>
      <c r="AK1582" s="77"/>
      <c r="AL1582" s="77"/>
      <c r="AM1582" s="77"/>
      <c r="AN1582" s="77"/>
      <c r="AO1582" s="77"/>
      <c r="AP1582" s="77"/>
      <c r="AQ1582" s="77" t="s">
        <v>11634</v>
      </c>
      <c r="AR1582" s="77"/>
      <c r="AS1582" s="77"/>
      <c r="AT1582" s="77"/>
      <c r="AU1582" s="77"/>
      <c r="AV1582" s="80" t="str">
        <f>HYPERLINK("https://pbs.twimg.com/media/Fp5CB9xXwAMJXbz.jpg")</f>
        <v>https://pbs.twimg.com/media/Fp5CB9xXwAMJXbz.jpg</v>
      </c>
      <c r="AW1582" s="82" t="s">
        <v>13749</v>
      </c>
      <c r="AX1582" s="82" t="s">
        <v>13749</v>
      </c>
      <c r="AY1582" s="77"/>
      <c r="AZ1582" s="82" t="s">
        <v>15804</v>
      </c>
      <c r="BA1582" s="82" t="s">
        <v>15804</v>
      </c>
      <c r="BB1582" s="82" t="s">
        <v>15804</v>
      </c>
      <c r="BC1582" s="82" t="s">
        <v>13749</v>
      </c>
      <c r="BD1582" s="82" t="s">
        <v>16417</v>
      </c>
      <c r="BE1582" s="77"/>
      <c r="BF1582" s="77"/>
      <c r="BG1582" s="77"/>
      <c r="BH1582" s="77"/>
      <c r="BI1582" s="77"/>
    </row>
    <row r="1583" spans="1:61" x14ac:dyDescent="0.25">
      <c r="A1583" s="62" t="s">
        <v>724</v>
      </c>
      <c r="B1583" s="62" t="s">
        <v>724</v>
      </c>
      <c r="C1583" s="63"/>
      <c r="D1583" s="64"/>
      <c r="E1583" s="65"/>
      <c r="F1583" s="66"/>
      <c r="G1583" s="63"/>
      <c r="H1583" s="67"/>
      <c r="I1583" s="68"/>
      <c r="J1583" s="68"/>
      <c r="K1583" s="32"/>
      <c r="L1583" s="75">
        <v>1583</v>
      </c>
      <c r="M1583" s="75"/>
      <c r="N1583" s="70"/>
      <c r="O1583" s="77" t="s">
        <v>179</v>
      </c>
      <c r="P1583" s="79">
        <v>44979.8362037037</v>
      </c>
      <c r="Q1583" s="77" t="s">
        <v>2658</v>
      </c>
      <c r="R1583" s="77">
        <v>0</v>
      </c>
      <c r="S1583" s="77">
        <v>1</v>
      </c>
      <c r="T1583" s="77">
        <v>0</v>
      </c>
      <c r="U1583" s="77">
        <v>0</v>
      </c>
      <c r="V1583" s="77">
        <v>23</v>
      </c>
      <c r="W1583" s="82" t="s">
        <v>5165</v>
      </c>
      <c r="X1583" s="80" t="str">
        <f>HYPERLINK("https://amzn.to/3m3HdaA")</f>
        <v>https://amzn.to/3m3HdaA</v>
      </c>
      <c r="Y1583" s="77" t="s">
        <v>6043</v>
      </c>
      <c r="Z1583" s="77"/>
      <c r="AA1583" s="77" t="s">
        <v>7128</v>
      </c>
      <c r="AB1583" s="77" t="s">
        <v>7698</v>
      </c>
      <c r="AC1583" s="82" t="s">
        <v>7707</v>
      </c>
      <c r="AD1583" s="77" t="s">
        <v>7745</v>
      </c>
      <c r="AE1583" s="80" t="str">
        <f>HYPERLINK("https://twitter.com/livrosextraordi/status/1628485814777745412")</f>
        <v>https://twitter.com/livrosextraordi/status/1628485814777745412</v>
      </c>
      <c r="AF1583" s="79">
        <v>44979.8362037037</v>
      </c>
      <c r="AG1583" s="85">
        <v>44979</v>
      </c>
      <c r="AH1583" s="82" t="s">
        <v>9158</v>
      </c>
      <c r="AI1583" s="77" t="b">
        <v>0</v>
      </c>
      <c r="AJ1583" s="77" t="s">
        <v>10539</v>
      </c>
      <c r="AK1583" s="77" t="s">
        <v>10552</v>
      </c>
      <c r="AL1583" s="77" t="s">
        <v>10555</v>
      </c>
      <c r="AM1583" s="77" t="s">
        <v>10576</v>
      </c>
      <c r="AN1583" s="77" t="s">
        <v>10606</v>
      </c>
      <c r="AO1583" s="77" t="s">
        <v>10637</v>
      </c>
      <c r="AP1583" s="77" t="s">
        <v>10649</v>
      </c>
      <c r="AQ1583" s="77" t="s">
        <v>11635</v>
      </c>
      <c r="AR1583" s="77"/>
      <c r="AS1583" s="77"/>
      <c r="AT1583" s="77"/>
      <c r="AU1583" s="77"/>
      <c r="AV1583" s="80" t="str">
        <f>HYPERLINK("https://pbs.twimg.com/media/FpmLNurWIAA76FA.jpg")</f>
        <v>https://pbs.twimg.com/media/FpmLNurWIAA76FA.jpg</v>
      </c>
      <c r="AW1583" s="82" t="s">
        <v>13750</v>
      </c>
      <c r="AX1583" s="82" t="s">
        <v>13750</v>
      </c>
      <c r="AY1583" s="77"/>
      <c r="AZ1583" s="82" t="s">
        <v>15804</v>
      </c>
      <c r="BA1583" s="82" t="s">
        <v>15804</v>
      </c>
      <c r="BB1583" s="82" t="s">
        <v>15804</v>
      </c>
      <c r="BC1583" s="82" t="s">
        <v>13750</v>
      </c>
      <c r="BD1583" s="82" t="s">
        <v>16417</v>
      </c>
      <c r="BE1583" s="77"/>
      <c r="BF1583" s="77"/>
      <c r="BG1583" s="77"/>
      <c r="BH1583" s="77"/>
      <c r="BI1583" s="77"/>
    </row>
    <row r="1584" spans="1:61" x14ac:dyDescent="0.25">
      <c r="A1584" s="62" t="s">
        <v>724</v>
      </c>
      <c r="B1584" s="62" t="s">
        <v>724</v>
      </c>
      <c r="C1584" s="63"/>
      <c r="D1584" s="64"/>
      <c r="E1584" s="65"/>
      <c r="F1584" s="66"/>
      <c r="G1584" s="63"/>
      <c r="H1584" s="67"/>
      <c r="I1584" s="68"/>
      <c r="J1584" s="68"/>
      <c r="K1584" s="32"/>
      <c r="L1584" s="75">
        <v>1584</v>
      </c>
      <c r="M1584" s="75"/>
      <c r="N1584" s="70"/>
      <c r="O1584" s="77" t="s">
        <v>179</v>
      </c>
      <c r="P1584" s="79">
        <v>44978.593148148146</v>
      </c>
      <c r="Q1584" s="77" t="s">
        <v>2659</v>
      </c>
      <c r="R1584" s="77">
        <v>0</v>
      </c>
      <c r="S1584" s="77">
        <v>1</v>
      </c>
      <c r="T1584" s="77">
        <v>0</v>
      </c>
      <c r="U1584" s="77">
        <v>0</v>
      </c>
      <c r="V1584" s="77">
        <v>130</v>
      </c>
      <c r="W1584" s="82" t="s">
        <v>5166</v>
      </c>
      <c r="X1584" s="80" t="str">
        <f>HYPERLINK("https://amzn.to/3ErzCZS")</f>
        <v>https://amzn.to/3ErzCZS</v>
      </c>
      <c r="Y1584" s="77" t="s">
        <v>6043</v>
      </c>
      <c r="Z1584" s="77"/>
      <c r="AA1584" s="77" t="s">
        <v>7129</v>
      </c>
      <c r="AB1584" s="77" t="s">
        <v>7698</v>
      </c>
      <c r="AC1584" s="82" t="s">
        <v>7707</v>
      </c>
      <c r="AD1584" s="77" t="s">
        <v>7745</v>
      </c>
      <c r="AE1584" s="80" t="str">
        <f>HYPERLINK("https://twitter.com/livrosextraordi/status/1628035345811124225")</f>
        <v>https://twitter.com/livrosextraordi/status/1628035345811124225</v>
      </c>
      <c r="AF1584" s="79">
        <v>44978.593148148146</v>
      </c>
      <c r="AG1584" s="85">
        <v>44978</v>
      </c>
      <c r="AH1584" s="82" t="s">
        <v>9159</v>
      </c>
      <c r="AI1584" s="77" t="b">
        <v>0</v>
      </c>
      <c r="AJ1584" s="77"/>
      <c r="AK1584" s="77"/>
      <c r="AL1584" s="77"/>
      <c r="AM1584" s="77"/>
      <c r="AN1584" s="77"/>
      <c r="AO1584" s="77"/>
      <c r="AP1584" s="77"/>
      <c r="AQ1584" s="77" t="s">
        <v>11636</v>
      </c>
      <c r="AR1584" s="77"/>
      <c r="AS1584" s="77"/>
      <c r="AT1584" s="77"/>
      <c r="AU1584" s="77"/>
      <c r="AV1584" s="80" t="str">
        <f>HYPERLINK("https://pbs.twimg.com/media/FpfxgvLWYAI6JtK.jpg")</f>
        <v>https://pbs.twimg.com/media/FpfxgvLWYAI6JtK.jpg</v>
      </c>
      <c r="AW1584" s="82" t="s">
        <v>13751</v>
      </c>
      <c r="AX1584" s="82" t="s">
        <v>13751</v>
      </c>
      <c r="AY1584" s="77"/>
      <c r="AZ1584" s="82" t="s">
        <v>15804</v>
      </c>
      <c r="BA1584" s="82" t="s">
        <v>15804</v>
      </c>
      <c r="BB1584" s="82" t="s">
        <v>15804</v>
      </c>
      <c r="BC1584" s="82" t="s">
        <v>13751</v>
      </c>
      <c r="BD1584" s="82" t="s">
        <v>16417</v>
      </c>
      <c r="BE1584" s="77"/>
      <c r="BF1584" s="77"/>
      <c r="BG1584" s="77"/>
      <c r="BH1584" s="77"/>
      <c r="BI1584" s="77"/>
    </row>
    <row r="1585" spans="1:61" x14ac:dyDescent="0.25">
      <c r="A1585" s="62" t="s">
        <v>725</v>
      </c>
      <c r="B1585" s="62" t="s">
        <v>725</v>
      </c>
      <c r="C1585" s="63"/>
      <c r="D1585" s="64"/>
      <c r="E1585" s="65"/>
      <c r="F1585" s="66"/>
      <c r="G1585" s="63"/>
      <c r="H1585" s="67"/>
      <c r="I1585" s="68"/>
      <c r="J1585" s="68"/>
      <c r="K1585" s="32"/>
      <c r="L1585" s="75">
        <v>1585</v>
      </c>
      <c r="M1585" s="75"/>
      <c r="N1585" s="70"/>
      <c r="O1585" s="77" t="s">
        <v>179</v>
      </c>
      <c r="P1585" s="79">
        <v>45131.687280092592</v>
      </c>
      <c r="Q1585" s="77" t="s">
        <v>2660</v>
      </c>
      <c r="R1585" s="77">
        <v>0</v>
      </c>
      <c r="S1585" s="77">
        <v>0</v>
      </c>
      <c r="T1585" s="77">
        <v>0</v>
      </c>
      <c r="U1585" s="77">
        <v>0</v>
      </c>
      <c r="V1585" s="77">
        <v>28</v>
      </c>
      <c r="W1585" s="82" t="s">
        <v>5167</v>
      </c>
      <c r="X1585" s="77"/>
      <c r="Y1585" s="77"/>
      <c r="Z1585" s="77"/>
      <c r="AA1585" s="77" t="s">
        <v>7130</v>
      </c>
      <c r="AB1585" s="77" t="s">
        <v>7698</v>
      </c>
      <c r="AC1585" s="82" t="s">
        <v>7706</v>
      </c>
      <c r="AD1585" s="77" t="s">
        <v>7745</v>
      </c>
      <c r="AE1585" s="80" t="str">
        <f>HYPERLINK("https://twitter.com/amazonprev_/status/1683514802033905664")</f>
        <v>https://twitter.com/amazonprev_/status/1683514802033905664</v>
      </c>
      <c r="AF1585" s="79">
        <v>45131.687280092592</v>
      </c>
      <c r="AG1585" s="85">
        <v>45131</v>
      </c>
      <c r="AH1585" s="82" t="s">
        <v>9160</v>
      </c>
      <c r="AI1585" s="77" t="b">
        <v>0</v>
      </c>
      <c r="AJ1585" s="77"/>
      <c r="AK1585" s="77"/>
      <c r="AL1585" s="77"/>
      <c r="AM1585" s="77"/>
      <c r="AN1585" s="77"/>
      <c r="AO1585" s="77"/>
      <c r="AP1585" s="77"/>
      <c r="AQ1585" s="77" t="s">
        <v>11637</v>
      </c>
      <c r="AR1585" s="77"/>
      <c r="AS1585" s="77"/>
      <c r="AT1585" s="77"/>
      <c r="AU1585" s="77"/>
      <c r="AV1585" s="80" t="str">
        <f>HYPERLINK("https://pbs.twimg.com/media/F10LjFGXoA47YSO.jpg")</f>
        <v>https://pbs.twimg.com/media/F10LjFGXoA47YSO.jpg</v>
      </c>
      <c r="AW1585" s="82" t="s">
        <v>13752</v>
      </c>
      <c r="AX1585" s="82" t="s">
        <v>13752</v>
      </c>
      <c r="AY1585" s="77"/>
      <c r="AZ1585" s="82" t="s">
        <v>15804</v>
      </c>
      <c r="BA1585" s="82" t="s">
        <v>15804</v>
      </c>
      <c r="BB1585" s="82" t="s">
        <v>15804</v>
      </c>
      <c r="BC1585" s="82" t="s">
        <v>13752</v>
      </c>
      <c r="BD1585" s="82" t="s">
        <v>16418</v>
      </c>
      <c r="BE1585" s="77"/>
      <c r="BF1585" s="77"/>
      <c r="BG1585" s="77"/>
      <c r="BH1585" s="77"/>
      <c r="BI1585" s="77"/>
    </row>
    <row r="1586" spans="1:61" x14ac:dyDescent="0.25">
      <c r="A1586" s="62" t="s">
        <v>726</v>
      </c>
      <c r="B1586" s="62" t="s">
        <v>726</v>
      </c>
      <c r="C1586" s="63"/>
      <c r="D1586" s="64"/>
      <c r="E1586" s="65"/>
      <c r="F1586" s="66"/>
      <c r="G1586" s="63"/>
      <c r="H1586" s="67"/>
      <c r="I1586" s="68"/>
      <c r="J1586" s="68"/>
      <c r="K1586" s="32"/>
      <c r="L1586" s="75">
        <v>1586</v>
      </c>
      <c r="M1586" s="75"/>
      <c r="N1586" s="70"/>
      <c r="O1586" s="77" t="s">
        <v>179</v>
      </c>
      <c r="P1586" s="79">
        <v>45163.778483796297</v>
      </c>
      <c r="Q1586" s="77" t="s">
        <v>2661</v>
      </c>
      <c r="R1586" s="77">
        <v>0</v>
      </c>
      <c r="S1586" s="77">
        <v>0</v>
      </c>
      <c r="T1586" s="77">
        <v>0</v>
      </c>
      <c r="U1586" s="77">
        <v>0</v>
      </c>
      <c r="V1586" s="77">
        <v>26</v>
      </c>
      <c r="W1586" s="82" t="s">
        <v>5168</v>
      </c>
      <c r="X1586" s="77"/>
      <c r="Y1586" s="77"/>
      <c r="Z1586" s="77"/>
      <c r="AA1586" s="77"/>
      <c r="AB1586" s="77"/>
      <c r="AC1586" s="82" t="s">
        <v>7707</v>
      </c>
      <c r="AD1586" s="77" t="s">
        <v>7745</v>
      </c>
      <c r="AE1586" s="80" t="str">
        <f>HYPERLINK("https://twitter.com/gaby_nunes142/status/1695144262248128850")</f>
        <v>https://twitter.com/gaby_nunes142/status/1695144262248128850</v>
      </c>
      <c r="AF1586" s="79">
        <v>45163.778483796297</v>
      </c>
      <c r="AG1586" s="85">
        <v>45163</v>
      </c>
      <c r="AH1586" s="82" t="s">
        <v>9161</v>
      </c>
      <c r="AI1586" s="77"/>
      <c r="AJ1586" s="77" t="s">
        <v>10532</v>
      </c>
      <c r="AK1586" s="77" t="s">
        <v>10552</v>
      </c>
      <c r="AL1586" s="77" t="s">
        <v>10555</v>
      </c>
      <c r="AM1586" s="77" t="s">
        <v>10569</v>
      </c>
      <c r="AN1586" s="77" t="s">
        <v>10599</v>
      </c>
      <c r="AO1586" s="77" t="s">
        <v>10630</v>
      </c>
      <c r="AP1586" s="77" t="s">
        <v>10649</v>
      </c>
      <c r="AQ1586" s="77"/>
      <c r="AR1586" s="77"/>
      <c r="AS1586" s="77"/>
      <c r="AT1586" s="77"/>
      <c r="AU1586" s="77"/>
      <c r="AV1586" s="80" t="str">
        <f>HYPERLINK("https://pbs.twimg.com/profile_images/1665176242650324993/eTXbiRhr_normal.jpg")</f>
        <v>https://pbs.twimg.com/profile_images/1665176242650324993/eTXbiRhr_normal.jpg</v>
      </c>
      <c r="AW1586" s="82" t="s">
        <v>13753</v>
      </c>
      <c r="AX1586" s="82" t="s">
        <v>13753</v>
      </c>
      <c r="AY1586" s="77"/>
      <c r="AZ1586" s="82" t="s">
        <v>15804</v>
      </c>
      <c r="BA1586" s="82" t="s">
        <v>15804</v>
      </c>
      <c r="BB1586" s="82" t="s">
        <v>15804</v>
      </c>
      <c r="BC1586" s="82" t="s">
        <v>13753</v>
      </c>
      <c r="BD1586" s="82" t="s">
        <v>16419</v>
      </c>
      <c r="BE1586" s="77"/>
      <c r="BF1586" s="77"/>
      <c r="BG1586" s="77"/>
      <c r="BH1586" s="77"/>
      <c r="BI1586" s="77"/>
    </row>
    <row r="1587" spans="1:61" x14ac:dyDescent="0.25">
      <c r="A1587" s="62" t="s">
        <v>727</v>
      </c>
      <c r="B1587" s="62" t="s">
        <v>727</v>
      </c>
      <c r="C1587" s="63"/>
      <c r="D1587" s="64"/>
      <c r="E1587" s="65"/>
      <c r="F1587" s="66"/>
      <c r="G1587" s="63"/>
      <c r="H1587" s="67"/>
      <c r="I1587" s="68"/>
      <c r="J1587" s="68"/>
      <c r="K1587" s="32"/>
      <c r="L1587" s="75">
        <v>1587</v>
      </c>
      <c r="M1587" s="75"/>
      <c r="N1587" s="70"/>
      <c r="O1587" s="77" t="s">
        <v>179</v>
      </c>
      <c r="P1587" s="79">
        <v>45125.740972222222</v>
      </c>
      <c r="Q1587" s="77" t="s">
        <v>2662</v>
      </c>
      <c r="R1587" s="77">
        <v>0</v>
      </c>
      <c r="S1587" s="77">
        <v>3</v>
      </c>
      <c r="T1587" s="77">
        <v>0</v>
      </c>
      <c r="U1587" s="77">
        <v>0</v>
      </c>
      <c r="V1587" s="77">
        <v>168</v>
      </c>
      <c r="W1587" s="82" t="s">
        <v>5169</v>
      </c>
      <c r="X1587" s="77"/>
      <c r="Y1587" s="77"/>
      <c r="Z1587" s="77"/>
      <c r="AA1587" s="77"/>
      <c r="AB1587" s="77"/>
      <c r="AC1587" s="82" t="s">
        <v>7706</v>
      </c>
      <c r="AD1587" s="77" t="s">
        <v>7745</v>
      </c>
      <c r="AE1587" s="80" t="str">
        <f>HYPERLINK("https://twitter.com/adilson900/status/1681359930433863710")</f>
        <v>https://twitter.com/adilson900/status/1681359930433863710</v>
      </c>
      <c r="AF1587" s="79">
        <v>45125.740972222222</v>
      </c>
      <c r="AG1587" s="85">
        <v>45125</v>
      </c>
      <c r="AH1587" s="82" t="s">
        <v>9162</v>
      </c>
      <c r="AI1587" s="77"/>
      <c r="AJ1587" s="77"/>
      <c r="AK1587" s="77"/>
      <c r="AL1587" s="77"/>
      <c r="AM1587" s="77"/>
      <c r="AN1587" s="77"/>
      <c r="AO1587" s="77"/>
      <c r="AP1587" s="77"/>
      <c r="AQ1587" s="77"/>
      <c r="AR1587" s="77"/>
      <c r="AS1587" s="77"/>
      <c r="AT1587" s="77"/>
      <c r="AU1587" s="77"/>
      <c r="AV1587" s="80" t="str">
        <f>HYPERLINK("https://pbs.twimg.com/profile_images/1587058602585595905/UY93Au9-_normal.jpg")</f>
        <v>https://pbs.twimg.com/profile_images/1587058602585595905/UY93Au9-_normal.jpg</v>
      </c>
      <c r="AW1587" s="82" t="s">
        <v>13754</v>
      </c>
      <c r="AX1587" s="82" t="s">
        <v>13754</v>
      </c>
      <c r="AY1587" s="77"/>
      <c r="AZ1587" s="82" t="s">
        <v>15804</v>
      </c>
      <c r="BA1587" s="82" t="s">
        <v>15804</v>
      </c>
      <c r="BB1587" s="82" t="s">
        <v>15804</v>
      </c>
      <c r="BC1587" s="82" t="s">
        <v>13754</v>
      </c>
      <c r="BD1587" s="82" t="s">
        <v>16420</v>
      </c>
      <c r="BE1587" s="77"/>
      <c r="BF1587" s="77"/>
      <c r="BG1587" s="77"/>
      <c r="BH1587" s="77"/>
      <c r="BI1587" s="77"/>
    </row>
    <row r="1588" spans="1:61" x14ac:dyDescent="0.25">
      <c r="A1588" s="62" t="s">
        <v>728</v>
      </c>
      <c r="B1588" s="62" t="s">
        <v>728</v>
      </c>
      <c r="C1588" s="63"/>
      <c r="D1588" s="64"/>
      <c r="E1588" s="65"/>
      <c r="F1588" s="66"/>
      <c r="G1588" s="63"/>
      <c r="H1588" s="67"/>
      <c r="I1588" s="68"/>
      <c r="J1588" s="68"/>
      <c r="K1588" s="32"/>
      <c r="L1588" s="75">
        <v>1588</v>
      </c>
      <c r="M1588" s="75"/>
      <c r="N1588" s="70"/>
      <c r="O1588" s="77" t="s">
        <v>179</v>
      </c>
      <c r="P1588" s="79">
        <v>44970.995821759258</v>
      </c>
      <c r="Q1588" s="77" t="s">
        <v>2663</v>
      </c>
      <c r="R1588" s="77">
        <v>0</v>
      </c>
      <c r="S1588" s="77">
        <v>0</v>
      </c>
      <c r="T1588" s="77">
        <v>0</v>
      </c>
      <c r="U1588" s="77">
        <v>0</v>
      </c>
      <c r="V1588" s="77">
        <v>5</v>
      </c>
      <c r="W1588" s="82" t="s">
        <v>5170</v>
      </c>
      <c r="X1588" s="80" t="str">
        <f>HYPERLINK("https://lnkd.in/dtpRMr9J")</f>
        <v>https://lnkd.in/dtpRMr9J</v>
      </c>
      <c r="Y1588" s="77" t="s">
        <v>6014</v>
      </c>
      <c r="Z1588" s="77"/>
      <c r="AA1588" s="77"/>
      <c r="AB1588" s="77"/>
      <c r="AC1588" s="82" t="s">
        <v>7720</v>
      </c>
      <c r="AD1588" s="77" t="s">
        <v>7745</v>
      </c>
      <c r="AE1588" s="80" t="str">
        <f>HYPERLINK("https://twitter.com/proffarinhas/status/1625282167499628551")</f>
        <v>https://twitter.com/proffarinhas/status/1625282167499628551</v>
      </c>
      <c r="AF1588" s="79">
        <v>44970.995821759258</v>
      </c>
      <c r="AG1588" s="85">
        <v>44970</v>
      </c>
      <c r="AH1588" s="82" t="s">
        <v>9163</v>
      </c>
      <c r="AI1588" s="77" t="b">
        <v>1</v>
      </c>
      <c r="AJ1588" s="77"/>
      <c r="AK1588" s="77"/>
      <c r="AL1588" s="77"/>
      <c r="AM1588" s="77"/>
      <c r="AN1588" s="77"/>
      <c r="AO1588" s="77"/>
      <c r="AP1588" s="77"/>
      <c r="AQ1588" s="77"/>
      <c r="AR1588" s="77"/>
      <c r="AS1588" s="77"/>
      <c r="AT1588" s="77"/>
      <c r="AU1588" s="77"/>
      <c r="AV1588" s="80" t="str">
        <f>HYPERLINK("https://pbs.twimg.com/profile_images/1242214599144898561/kA-kBcl5_normal.jpg")</f>
        <v>https://pbs.twimg.com/profile_images/1242214599144898561/kA-kBcl5_normal.jpg</v>
      </c>
      <c r="AW1588" s="82" t="s">
        <v>13755</v>
      </c>
      <c r="AX1588" s="82" t="s">
        <v>13755</v>
      </c>
      <c r="AY1588" s="77"/>
      <c r="AZ1588" s="82" t="s">
        <v>15804</v>
      </c>
      <c r="BA1588" s="82" t="s">
        <v>15804</v>
      </c>
      <c r="BB1588" s="82" t="s">
        <v>15804</v>
      </c>
      <c r="BC1588" s="82" t="s">
        <v>13755</v>
      </c>
      <c r="BD1588" s="77">
        <v>66249054</v>
      </c>
      <c r="BE1588" s="77"/>
      <c r="BF1588" s="77"/>
      <c r="BG1588" s="77"/>
      <c r="BH1588" s="77"/>
      <c r="BI1588" s="77"/>
    </row>
    <row r="1589" spans="1:61" x14ac:dyDescent="0.25">
      <c r="A1589" s="62" t="s">
        <v>728</v>
      </c>
      <c r="B1589" s="62" t="s">
        <v>728</v>
      </c>
      <c r="C1589" s="63"/>
      <c r="D1589" s="64"/>
      <c r="E1589" s="65"/>
      <c r="F1589" s="66"/>
      <c r="G1589" s="63"/>
      <c r="H1589" s="67"/>
      <c r="I1589" s="68"/>
      <c r="J1589" s="68"/>
      <c r="K1589" s="32"/>
      <c r="L1589" s="75">
        <v>1589</v>
      </c>
      <c r="M1589" s="75"/>
      <c r="N1589" s="70"/>
      <c r="O1589" s="77" t="s">
        <v>179</v>
      </c>
      <c r="P1589" s="79">
        <v>44968.562685185185</v>
      </c>
      <c r="Q1589" s="77" t="s">
        <v>2664</v>
      </c>
      <c r="R1589" s="77">
        <v>0</v>
      </c>
      <c r="S1589" s="77">
        <v>0</v>
      </c>
      <c r="T1589" s="77">
        <v>0</v>
      </c>
      <c r="U1589" s="77">
        <v>0</v>
      </c>
      <c r="V1589" s="77">
        <v>4</v>
      </c>
      <c r="W1589" s="82" t="s">
        <v>5171</v>
      </c>
      <c r="X1589" s="80" t="str">
        <f>HYPERLINK("https://lnkd.in/dxjN_vcS")</f>
        <v>https://lnkd.in/dxjN_vcS</v>
      </c>
      <c r="Y1589" s="77" t="s">
        <v>6014</v>
      </c>
      <c r="Z1589" s="77"/>
      <c r="AA1589" s="77"/>
      <c r="AB1589" s="77"/>
      <c r="AC1589" s="82" t="s">
        <v>7720</v>
      </c>
      <c r="AD1589" s="77" t="s">
        <v>7745</v>
      </c>
      <c r="AE1589" s="80" t="str">
        <f>HYPERLINK("https://twitter.com/proffarinhas/status/1624400426094272513")</f>
        <v>https://twitter.com/proffarinhas/status/1624400426094272513</v>
      </c>
      <c r="AF1589" s="79">
        <v>44968.562685185185</v>
      </c>
      <c r="AG1589" s="85">
        <v>44968</v>
      </c>
      <c r="AH1589" s="82" t="s">
        <v>9164</v>
      </c>
      <c r="AI1589" s="77" t="b">
        <v>1</v>
      </c>
      <c r="AJ1589" s="77"/>
      <c r="AK1589" s="77"/>
      <c r="AL1589" s="77"/>
      <c r="AM1589" s="77"/>
      <c r="AN1589" s="77"/>
      <c r="AO1589" s="77"/>
      <c r="AP1589" s="77"/>
      <c r="AQ1589" s="77"/>
      <c r="AR1589" s="77"/>
      <c r="AS1589" s="77"/>
      <c r="AT1589" s="77"/>
      <c r="AU1589" s="77"/>
      <c r="AV1589" s="80" t="str">
        <f>HYPERLINK("https://pbs.twimg.com/profile_images/1242214599144898561/kA-kBcl5_normal.jpg")</f>
        <v>https://pbs.twimg.com/profile_images/1242214599144898561/kA-kBcl5_normal.jpg</v>
      </c>
      <c r="AW1589" s="82" t="s">
        <v>13756</v>
      </c>
      <c r="AX1589" s="82" t="s">
        <v>13756</v>
      </c>
      <c r="AY1589" s="77"/>
      <c r="AZ1589" s="82" t="s">
        <v>15804</v>
      </c>
      <c r="BA1589" s="82" t="s">
        <v>15804</v>
      </c>
      <c r="BB1589" s="82" t="s">
        <v>15804</v>
      </c>
      <c r="BC1589" s="82" t="s">
        <v>13756</v>
      </c>
      <c r="BD1589" s="77">
        <v>66249054</v>
      </c>
      <c r="BE1589" s="77"/>
      <c r="BF1589" s="77"/>
      <c r="BG1589" s="77"/>
      <c r="BH1589" s="77"/>
      <c r="BI1589" s="77"/>
    </row>
    <row r="1590" spans="1:61" x14ac:dyDescent="0.25">
      <c r="A1590" s="62" t="s">
        <v>728</v>
      </c>
      <c r="B1590" s="62" t="s">
        <v>728</v>
      </c>
      <c r="C1590" s="63"/>
      <c r="D1590" s="64"/>
      <c r="E1590" s="65"/>
      <c r="F1590" s="66"/>
      <c r="G1590" s="63"/>
      <c r="H1590" s="67"/>
      <c r="I1590" s="68"/>
      <c r="J1590" s="68"/>
      <c r="K1590" s="32"/>
      <c r="L1590" s="75">
        <v>1590</v>
      </c>
      <c r="M1590" s="75"/>
      <c r="N1590" s="70"/>
      <c r="O1590" s="77" t="s">
        <v>179</v>
      </c>
      <c r="P1590" s="79">
        <v>45099.680543981478</v>
      </c>
      <c r="Q1590" s="77" t="s">
        <v>2665</v>
      </c>
      <c r="R1590" s="77">
        <v>0</v>
      </c>
      <c r="S1590" s="77">
        <v>0</v>
      </c>
      <c r="T1590" s="77">
        <v>0</v>
      </c>
      <c r="U1590" s="77">
        <v>0</v>
      </c>
      <c r="V1590" s="77">
        <v>6</v>
      </c>
      <c r="W1590" s="82" t="s">
        <v>5172</v>
      </c>
      <c r="X1590" s="80" t="str">
        <f>HYPERLINK("https://lnkd.in/dEY3XA3B")</f>
        <v>https://lnkd.in/dEY3XA3B</v>
      </c>
      <c r="Y1590" s="77" t="s">
        <v>6014</v>
      </c>
      <c r="Z1590" s="77"/>
      <c r="AA1590" s="77"/>
      <c r="AB1590" s="77"/>
      <c r="AC1590" s="82" t="s">
        <v>7720</v>
      </c>
      <c r="AD1590" s="77" t="s">
        <v>7745</v>
      </c>
      <c r="AE1590" s="80" t="str">
        <f>HYPERLINK("https://twitter.com/proffarinhas/status/1671915950638071809")</f>
        <v>https://twitter.com/proffarinhas/status/1671915950638071809</v>
      </c>
      <c r="AF1590" s="79">
        <v>45099.680543981478</v>
      </c>
      <c r="AG1590" s="85">
        <v>45099</v>
      </c>
      <c r="AH1590" s="82" t="s">
        <v>9165</v>
      </c>
      <c r="AI1590" s="77" t="b">
        <v>1</v>
      </c>
      <c r="AJ1590" s="77"/>
      <c r="AK1590" s="77"/>
      <c r="AL1590" s="77"/>
      <c r="AM1590" s="77"/>
      <c r="AN1590" s="77"/>
      <c r="AO1590" s="77"/>
      <c r="AP1590" s="77"/>
      <c r="AQ1590" s="77"/>
      <c r="AR1590" s="77"/>
      <c r="AS1590" s="77"/>
      <c r="AT1590" s="77"/>
      <c r="AU1590" s="77"/>
      <c r="AV1590" s="80" t="str">
        <f>HYPERLINK("https://pbs.twimg.com/profile_images/1242214599144898561/kA-kBcl5_normal.jpg")</f>
        <v>https://pbs.twimg.com/profile_images/1242214599144898561/kA-kBcl5_normal.jpg</v>
      </c>
      <c r="AW1590" s="82" t="s">
        <v>13757</v>
      </c>
      <c r="AX1590" s="82" t="s">
        <v>13757</v>
      </c>
      <c r="AY1590" s="77"/>
      <c r="AZ1590" s="82" t="s">
        <v>15804</v>
      </c>
      <c r="BA1590" s="82" t="s">
        <v>15804</v>
      </c>
      <c r="BB1590" s="82" t="s">
        <v>15804</v>
      </c>
      <c r="BC1590" s="82" t="s">
        <v>13757</v>
      </c>
      <c r="BD1590" s="77">
        <v>66249054</v>
      </c>
      <c r="BE1590" s="77"/>
      <c r="BF1590" s="77"/>
      <c r="BG1590" s="77"/>
      <c r="BH1590" s="77"/>
      <c r="BI1590" s="77"/>
    </row>
    <row r="1591" spans="1:61" x14ac:dyDescent="0.25">
      <c r="A1591" s="62" t="s">
        <v>729</v>
      </c>
      <c r="B1591" s="62" t="s">
        <v>729</v>
      </c>
      <c r="C1591" s="63"/>
      <c r="D1591" s="64"/>
      <c r="E1591" s="65"/>
      <c r="F1591" s="66"/>
      <c r="G1591" s="63"/>
      <c r="H1591" s="67"/>
      <c r="I1591" s="68"/>
      <c r="J1591" s="68"/>
      <c r="K1591" s="32"/>
      <c r="L1591" s="75">
        <v>1591</v>
      </c>
      <c r="M1591" s="75"/>
      <c r="N1591" s="70"/>
      <c r="O1591" s="77" t="s">
        <v>1132</v>
      </c>
      <c r="P1591" s="79">
        <v>45090.80023148148</v>
      </c>
      <c r="Q1591" s="77" t="s">
        <v>2666</v>
      </c>
      <c r="R1591" s="77">
        <v>0</v>
      </c>
      <c r="S1591" s="77">
        <v>0</v>
      </c>
      <c r="T1591" s="77">
        <v>0</v>
      </c>
      <c r="U1591" s="77">
        <v>0</v>
      </c>
      <c r="V1591" s="77">
        <v>11</v>
      </c>
      <c r="W1591" s="82" t="s">
        <v>5173</v>
      </c>
      <c r="X1591" s="77"/>
      <c r="Y1591" s="77"/>
      <c r="Z1591" s="77"/>
      <c r="AA1591" s="77"/>
      <c r="AB1591" s="77"/>
      <c r="AC1591" s="82" t="s">
        <v>7706</v>
      </c>
      <c r="AD1591" s="77" t="s">
        <v>7745</v>
      </c>
      <c r="AE1591" s="80" t="str">
        <f>HYPERLINK("https://twitter.com/manoeldelpiero/status/1668697830842662912")</f>
        <v>https://twitter.com/manoeldelpiero/status/1668697830842662912</v>
      </c>
      <c r="AF1591" s="79">
        <v>45090.80023148148</v>
      </c>
      <c r="AG1591" s="85">
        <v>45090</v>
      </c>
      <c r="AH1591" s="82" t="s">
        <v>9166</v>
      </c>
      <c r="AI1591" s="77"/>
      <c r="AJ1591" s="77"/>
      <c r="AK1591" s="77"/>
      <c r="AL1591" s="77"/>
      <c r="AM1591" s="77"/>
      <c r="AN1591" s="77"/>
      <c r="AO1591" s="77"/>
      <c r="AP1591" s="77"/>
      <c r="AQ1591" s="77"/>
      <c r="AR1591" s="77"/>
      <c r="AS1591" s="77"/>
      <c r="AT1591" s="77"/>
      <c r="AU1591" s="77"/>
      <c r="AV1591" s="80" t="str">
        <f>HYPERLINK("https://pbs.twimg.com/profile_images/1663499860383870979/w1GeMuhK_normal.jpg")</f>
        <v>https://pbs.twimg.com/profile_images/1663499860383870979/w1GeMuhK_normal.jpg</v>
      </c>
      <c r="AW1591" s="82" t="s">
        <v>13758</v>
      </c>
      <c r="AX1591" s="82" t="s">
        <v>15355</v>
      </c>
      <c r="AY1591" s="82" t="s">
        <v>15758</v>
      </c>
      <c r="AZ1591" s="82" t="s">
        <v>15898</v>
      </c>
      <c r="BA1591" s="82" t="s">
        <v>15804</v>
      </c>
      <c r="BB1591" s="82" t="s">
        <v>15804</v>
      </c>
      <c r="BC1591" s="82" t="s">
        <v>15898</v>
      </c>
      <c r="BD1591" s="82" t="s">
        <v>15758</v>
      </c>
      <c r="BE1591" s="77"/>
      <c r="BF1591" s="77"/>
      <c r="BG1591" s="77"/>
      <c r="BH1591" s="77"/>
      <c r="BI1591" s="77"/>
    </row>
    <row r="1592" spans="1:61" x14ac:dyDescent="0.25">
      <c r="A1592" s="62" t="s">
        <v>730</v>
      </c>
      <c r="B1592" s="62" t="s">
        <v>730</v>
      </c>
      <c r="C1592" s="63"/>
      <c r="D1592" s="64"/>
      <c r="E1592" s="65"/>
      <c r="F1592" s="66"/>
      <c r="G1592" s="63"/>
      <c r="H1592" s="67"/>
      <c r="I1592" s="68"/>
      <c r="J1592" s="68"/>
      <c r="K1592" s="32"/>
      <c r="L1592" s="75">
        <v>1592</v>
      </c>
      <c r="M1592" s="75"/>
      <c r="N1592" s="70"/>
      <c r="O1592" s="77" t="s">
        <v>179</v>
      </c>
      <c r="P1592" s="79">
        <v>45061.585034722222</v>
      </c>
      <c r="Q1592" s="77" t="s">
        <v>2667</v>
      </c>
      <c r="R1592" s="77">
        <v>0</v>
      </c>
      <c r="S1592" s="77">
        <v>0</v>
      </c>
      <c r="T1592" s="77">
        <v>0</v>
      </c>
      <c r="U1592" s="77">
        <v>0</v>
      </c>
      <c r="V1592" s="77">
        <v>20</v>
      </c>
      <c r="W1592" s="82" t="s">
        <v>5174</v>
      </c>
      <c r="X1592" s="80" t="str">
        <f>HYPERLINK("https://belem.com.br/noticia/10893/belem-vai-receber-programacao-de--educacao-financeira--em-semana-nacional")</f>
        <v>https://belem.com.br/noticia/10893/belem-vai-receber-programacao-de--educacao-financeira--em-semana-nacional</v>
      </c>
      <c r="Y1592" s="77" t="s">
        <v>6002</v>
      </c>
      <c r="Z1592" s="77"/>
      <c r="AA1592" s="77"/>
      <c r="AB1592" s="77"/>
      <c r="AC1592" s="82" t="s">
        <v>7706</v>
      </c>
      <c r="AD1592" s="77" t="s">
        <v>7746</v>
      </c>
      <c r="AE1592" s="80" t="str">
        <f>HYPERLINK("https://twitter.com/belem_com_br/status/1658110596997435392")</f>
        <v>https://twitter.com/belem_com_br/status/1658110596997435392</v>
      </c>
      <c r="AF1592" s="79">
        <v>45061.585034722222</v>
      </c>
      <c r="AG1592" s="85">
        <v>45061</v>
      </c>
      <c r="AH1592" s="82" t="s">
        <v>9167</v>
      </c>
      <c r="AI1592" s="77" t="b">
        <v>0</v>
      </c>
      <c r="AJ1592" s="77"/>
      <c r="AK1592" s="77"/>
      <c r="AL1592" s="77"/>
      <c r="AM1592" s="77"/>
      <c r="AN1592" s="77"/>
      <c r="AO1592" s="77"/>
      <c r="AP1592" s="77"/>
      <c r="AQ1592" s="77"/>
      <c r="AR1592" s="77"/>
      <c r="AS1592" s="77"/>
      <c r="AT1592" s="77"/>
      <c r="AU1592" s="77"/>
      <c r="AV1592" s="80" t="str">
        <f>HYPERLINK("https://pbs.twimg.com/profile_images/1410269030183747592/u4r7C5Zt_normal.jpg")</f>
        <v>https://pbs.twimg.com/profile_images/1410269030183747592/u4r7C5Zt_normal.jpg</v>
      </c>
      <c r="AW1592" s="82" t="s">
        <v>13759</v>
      </c>
      <c r="AX1592" s="82" t="s">
        <v>13759</v>
      </c>
      <c r="AY1592" s="77"/>
      <c r="AZ1592" s="82" t="s">
        <v>15804</v>
      </c>
      <c r="BA1592" s="82" t="s">
        <v>15804</v>
      </c>
      <c r="BB1592" s="82" t="s">
        <v>15804</v>
      </c>
      <c r="BC1592" s="82" t="s">
        <v>13759</v>
      </c>
      <c r="BD1592" s="82" t="s">
        <v>16421</v>
      </c>
      <c r="BE1592" s="77"/>
      <c r="BF1592" s="77"/>
      <c r="BG1592" s="77"/>
      <c r="BH1592" s="77"/>
      <c r="BI1592" s="77"/>
    </row>
    <row r="1593" spans="1:61" x14ac:dyDescent="0.25">
      <c r="A1593" s="62" t="s">
        <v>731</v>
      </c>
      <c r="B1593" s="62" t="s">
        <v>1010</v>
      </c>
      <c r="C1593" s="63"/>
      <c r="D1593" s="64"/>
      <c r="E1593" s="65"/>
      <c r="F1593" s="66"/>
      <c r="G1593" s="63"/>
      <c r="H1593" s="67"/>
      <c r="I1593" s="68"/>
      <c r="J1593" s="68"/>
      <c r="K1593" s="32"/>
      <c r="L1593" s="75">
        <v>1593</v>
      </c>
      <c r="M1593" s="75"/>
      <c r="N1593" s="70"/>
      <c r="O1593" s="77" t="s">
        <v>1133</v>
      </c>
      <c r="P1593" s="79">
        <v>44945.637060185189</v>
      </c>
      <c r="Q1593" s="77" t="s">
        <v>2668</v>
      </c>
      <c r="R1593" s="77">
        <v>76</v>
      </c>
      <c r="S1593" s="77">
        <v>1458</v>
      </c>
      <c r="T1593" s="77">
        <v>10</v>
      </c>
      <c r="U1593" s="77">
        <v>7</v>
      </c>
      <c r="V1593" s="77">
        <v>65859</v>
      </c>
      <c r="W1593" s="82" t="s">
        <v>5175</v>
      </c>
      <c r="X1593" s="80" t="str">
        <f>HYPERLINK("https://forbes.com.br/forbes-money/2023/01/nath-financas-e-ziraldo-se-unem-para-falar-sobre-educacao-financeira/")</f>
        <v>https://forbes.com.br/forbes-money/2023/01/nath-financas-e-ziraldo-se-unem-para-falar-sobre-educacao-financeira/</v>
      </c>
      <c r="Y1593" s="77" t="s">
        <v>6002</v>
      </c>
      <c r="Z1593" s="77" t="s">
        <v>1010</v>
      </c>
      <c r="AA1593" s="77"/>
      <c r="AB1593" s="77"/>
      <c r="AC1593" s="82" t="s">
        <v>7706</v>
      </c>
      <c r="AD1593" s="77" t="s">
        <v>7745</v>
      </c>
      <c r="AE1593" s="80" t="str">
        <f>HYPERLINK("https://twitter.com/forbesbr/status/1616092458743480322")</f>
        <v>https://twitter.com/forbesbr/status/1616092458743480322</v>
      </c>
      <c r="AF1593" s="79">
        <v>44945.637060185189</v>
      </c>
      <c r="AG1593" s="85">
        <v>44945</v>
      </c>
      <c r="AH1593" s="82" t="s">
        <v>9168</v>
      </c>
      <c r="AI1593" s="77" t="b">
        <v>0</v>
      </c>
      <c r="AJ1593" s="77"/>
      <c r="AK1593" s="77"/>
      <c r="AL1593" s="77"/>
      <c r="AM1593" s="77"/>
      <c r="AN1593" s="77"/>
      <c r="AO1593" s="77"/>
      <c r="AP1593" s="77"/>
      <c r="AQ1593" s="77"/>
      <c r="AR1593" s="77"/>
      <c r="AS1593" s="77"/>
      <c r="AT1593" s="77"/>
      <c r="AU1593" s="77"/>
      <c r="AV1593" s="80" t="str">
        <f>HYPERLINK("https://pbs.twimg.com/profile_images/1334211682235768834/iQOE8aBe_normal.jpg")</f>
        <v>https://pbs.twimg.com/profile_images/1334211682235768834/iQOE8aBe_normal.jpg</v>
      </c>
      <c r="AW1593" s="82" t="s">
        <v>13760</v>
      </c>
      <c r="AX1593" s="82" t="s">
        <v>13760</v>
      </c>
      <c r="AY1593" s="77"/>
      <c r="AZ1593" s="82" t="s">
        <v>15804</v>
      </c>
      <c r="BA1593" s="82" t="s">
        <v>15804</v>
      </c>
      <c r="BB1593" s="82" t="s">
        <v>15804</v>
      </c>
      <c r="BC1593" s="82" t="s">
        <v>13760</v>
      </c>
      <c r="BD1593" s="77">
        <v>510272910</v>
      </c>
      <c r="BE1593" s="77"/>
      <c r="BF1593" s="77"/>
      <c r="BG1593" s="77"/>
      <c r="BH1593" s="77"/>
      <c r="BI1593" s="77"/>
    </row>
    <row r="1594" spans="1:61" x14ac:dyDescent="0.25">
      <c r="A1594" s="62" t="s">
        <v>732</v>
      </c>
      <c r="B1594" s="62" t="s">
        <v>732</v>
      </c>
      <c r="C1594" s="63"/>
      <c r="D1594" s="64"/>
      <c r="E1594" s="65"/>
      <c r="F1594" s="66"/>
      <c r="G1594" s="63"/>
      <c r="H1594" s="67"/>
      <c r="I1594" s="68"/>
      <c r="J1594" s="68"/>
      <c r="K1594" s="32"/>
      <c r="L1594" s="75">
        <v>1594</v>
      </c>
      <c r="M1594" s="75"/>
      <c r="N1594" s="70"/>
      <c r="O1594" s="77" t="s">
        <v>179</v>
      </c>
      <c r="P1594" s="79">
        <v>44929.114976851852</v>
      </c>
      <c r="Q1594" s="77" t="s">
        <v>2669</v>
      </c>
      <c r="R1594" s="77">
        <v>1556</v>
      </c>
      <c r="S1594" s="77">
        <v>19635</v>
      </c>
      <c r="T1594" s="77">
        <v>509</v>
      </c>
      <c r="U1594" s="77">
        <v>242</v>
      </c>
      <c r="V1594" s="77">
        <v>482396</v>
      </c>
      <c r="W1594" s="77"/>
      <c r="X1594" s="77"/>
      <c r="Y1594" s="77"/>
      <c r="Z1594" s="77"/>
      <c r="AA1594" s="77"/>
      <c r="AB1594" s="77"/>
      <c r="AC1594" s="82" t="s">
        <v>7705</v>
      </c>
      <c r="AD1594" s="77" t="s">
        <v>7745</v>
      </c>
      <c r="AE1594" s="80" t="str">
        <f>HYPERLINK("https://twitter.com/economesteter/status/1610105057395052544")</f>
        <v>https://twitter.com/economesteter/status/1610105057395052544</v>
      </c>
      <c r="AF1594" s="79">
        <v>44929.114976851852</v>
      </c>
      <c r="AG1594" s="85">
        <v>44929</v>
      </c>
      <c r="AH1594" s="82" t="s">
        <v>9169</v>
      </c>
      <c r="AI1594" s="77"/>
      <c r="AJ1594" s="77"/>
      <c r="AK1594" s="77"/>
      <c r="AL1594" s="77"/>
      <c r="AM1594" s="77"/>
      <c r="AN1594" s="77"/>
      <c r="AO1594" s="77"/>
      <c r="AP1594" s="77"/>
      <c r="AQ1594" s="77"/>
      <c r="AR1594" s="77"/>
      <c r="AS1594" s="77"/>
      <c r="AT1594" s="77"/>
      <c r="AU1594" s="77"/>
      <c r="AV1594" s="80" t="str">
        <f>HYPERLINK("https://pbs.twimg.com/profile_images/1623481438262763521/QSkDknh1_normal.jpg")</f>
        <v>https://pbs.twimg.com/profile_images/1623481438262763521/QSkDknh1_normal.jpg</v>
      </c>
      <c r="AW1594" s="82" t="s">
        <v>13761</v>
      </c>
      <c r="AX1594" s="82" t="s">
        <v>13761</v>
      </c>
      <c r="AY1594" s="77"/>
      <c r="AZ1594" s="82" t="s">
        <v>15804</v>
      </c>
      <c r="BA1594" s="82" t="s">
        <v>15804</v>
      </c>
      <c r="BB1594" s="82" t="s">
        <v>15804</v>
      </c>
      <c r="BC1594" s="82" t="s">
        <v>13761</v>
      </c>
      <c r="BD1594" s="82" t="s">
        <v>16422</v>
      </c>
      <c r="BE1594" s="77"/>
      <c r="BF1594" s="77"/>
      <c r="BG1594" s="77"/>
      <c r="BH1594" s="77"/>
      <c r="BI1594" s="77"/>
    </row>
    <row r="1595" spans="1:61" x14ac:dyDescent="0.25">
      <c r="A1595" s="62" t="s">
        <v>733</v>
      </c>
      <c r="B1595" s="62" t="s">
        <v>733</v>
      </c>
      <c r="C1595" s="63"/>
      <c r="D1595" s="64"/>
      <c r="E1595" s="65"/>
      <c r="F1595" s="66"/>
      <c r="G1595" s="63"/>
      <c r="H1595" s="67"/>
      <c r="I1595" s="68"/>
      <c r="J1595" s="68"/>
      <c r="K1595" s="32"/>
      <c r="L1595" s="75">
        <v>1595</v>
      </c>
      <c r="M1595" s="75"/>
      <c r="N1595" s="70"/>
      <c r="O1595" s="77" t="s">
        <v>179</v>
      </c>
      <c r="P1595" s="79">
        <v>44995.960023148145</v>
      </c>
      <c r="Q1595" s="77" t="s">
        <v>2670</v>
      </c>
      <c r="R1595" s="77">
        <v>0</v>
      </c>
      <c r="S1595" s="77">
        <v>2</v>
      </c>
      <c r="T1595" s="77">
        <v>0</v>
      </c>
      <c r="U1595" s="77">
        <v>0</v>
      </c>
      <c r="V1595" s="77">
        <v>398</v>
      </c>
      <c r="W1595" s="82" t="s">
        <v>5176</v>
      </c>
      <c r="X1595" s="80" t="str">
        <f>HYPERLINK("https://www.gov.br/cvm/pt-br/assuntos/noticias/global-money-week-gmw-2023-ja-tem-data-marcada-20-a-26-3")</f>
        <v>https://www.gov.br/cvm/pt-br/assuntos/noticias/global-money-week-gmw-2023-ja-tem-data-marcada-20-a-26-3</v>
      </c>
      <c r="Y1595" s="77" t="s">
        <v>6074</v>
      </c>
      <c r="Z1595" s="77"/>
      <c r="AA1595" s="77" t="s">
        <v>7131</v>
      </c>
      <c r="AB1595" s="77" t="s">
        <v>7696</v>
      </c>
      <c r="AC1595" s="82" t="s">
        <v>7707</v>
      </c>
      <c r="AD1595" s="77" t="s">
        <v>7745</v>
      </c>
      <c r="AE1595" s="80" t="str">
        <f>HYPERLINK("https://twitter.com/cvmgovbr/status/1634328891350306828")</f>
        <v>https://twitter.com/cvmgovbr/status/1634328891350306828</v>
      </c>
      <c r="AF1595" s="79">
        <v>44995.960023148145</v>
      </c>
      <c r="AG1595" s="85">
        <v>44995</v>
      </c>
      <c r="AH1595" s="82" t="s">
        <v>9170</v>
      </c>
      <c r="AI1595" s="77" t="b">
        <v>0</v>
      </c>
      <c r="AJ1595" s="77"/>
      <c r="AK1595" s="77"/>
      <c r="AL1595" s="77"/>
      <c r="AM1595" s="77"/>
      <c r="AN1595" s="77"/>
      <c r="AO1595" s="77"/>
      <c r="AP1595" s="77"/>
      <c r="AQ1595" s="77" t="s">
        <v>11638</v>
      </c>
      <c r="AR1595" s="77"/>
      <c r="AS1595" s="77"/>
      <c r="AT1595" s="77"/>
      <c r="AU1595" s="77"/>
      <c r="AV1595" s="80" t="str">
        <f>HYPERLINK("https://pbs.twimg.com/media/Fq5NdhIXwAMITMu.jpg")</f>
        <v>https://pbs.twimg.com/media/Fq5NdhIXwAMITMu.jpg</v>
      </c>
      <c r="AW1595" s="82" t="s">
        <v>13762</v>
      </c>
      <c r="AX1595" s="82" t="s">
        <v>13762</v>
      </c>
      <c r="AY1595" s="77"/>
      <c r="AZ1595" s="82" t="s">
        <v>15804</v>
      </c>
      <c r="BA1595" s="82" t="s">
        <v>15804</v>
      </c>
      <c r="BB1595" s="82" t="s">
        <v>15804</v>
      </c>
      <c r="BC1595" s="82" t="s">
        <v>13762</v>
      </c>
      <c r="BD1595" s="82" t="s">
        <v>15759</v>
      </c>
      <c r="BE1595" s="77"/>
      <c r="BF1595" s="77"/>
      <c r="BG1595" s="77"/>
      <c r="BH1595" s="77"/>
      <c r="BI1595" s="77"/>
    </row>
    <row r="1596" spans="1:61" x14ac:dyDescent="0.25">
      <c r="A1596" s="62" t="s">
        <v>733</v>
      </c>
      <c r="B1596" s="62" t="s">
        <v>733</v>
      </c>
      <c r="C1596" s="63"/>
      <c r="D1596" s="64"/>
      <c r="E1596" s="65"/>
      <c r="F1596" s="66"/>
      <c r="G1596" s="63"/>
      <c r="H1596" s="67"/>
      <c r="I1596" s="68"/>
      <c r="J1596" s="68"/>
      <c r="K1596" s="32"/>
      <c r="L1596" s="75">
        <v>1596</v>
      </c>
      <c r="M1596" s="75"/>
      <c r="N1596" s="70"/>
      <c r="O1596" s="77" t="s">
        <v>179</v>
      </c>
      <c r="P1596" s="79">
        <v>44998.642523148148</v>
      </c>
      <c r="Q1596" s="77" t="s">
        <v>2671</v>
      </c>
      <c r="R1596" s="77">
        <v>0</v>
      </c>
      <c r="S1596" s="77">
        <v>1</v>
      </c>
      <c r="T1596" s="77">
        <v>0</v>
      </c>
      <c r="U1596" s="77">
        <v>0</v>
      </c>
      <c r="V1596" s="77">
        <v>421</v>
      </c>
      <c r="W1596" s="82" t="s">
        <v>5177</v>
      </c>
      <c r="X1596" s="80" t="str">
        <f>HYPERLINK("https://www.gov.br/cvm/pt-br/assuntos/noticias/global-money-week-gmw-2023-ja-tem-data-marcada-20-a-26-3")</f>
        <v>https://www.gov.br/cvm/pt-br/assuntos/noticias/global-money-week-gmw-2023-ja-tem-data-marcada-20-a-26-3</v>
      </c>
      <c r="Y1596" s="77" t="s">
        <v>6074</v>
      </c>
      <c r="Z1596" s="77"/>
      <c r="AA1596" s="77" t="s">
        <v>7132</v>
      </c>
      <c r="AB1596" s="77" t="s">
        <v>7696</v>
      </c>
      <c r="AC1596" s="82" t="s">
        <v>7706</v>
      </c>
      <c r="AD1596" s="77" t="s">
        <v>7745</v>
      </c>
      <c r="AE1596" s="80" t="str">
        <f>HYPERLINK("https://twitter.com/cvmgovbr/status/1635300994606329863")</f>
        <v>https://twitter.com/cvmgovbr/status/1635300994606329863</v>
      </c>
      <c r="AF1596" s="79">
        <v>44998.642523148148</v>
      </c>
      <c r="AG1596" s="85">
        <v>44998</v>
      </c>
      <c r="AH1596" s="82" t="s">
        <v>9171</v>
      </c>
      <c r="AI1596" s="77" t="b">
        <v>0</v>
      </c>
      <c r="AJ1596" s="77"/>
      <c r="AK1596" s="77"/>
      <c r="AL1596" s="77"/>
      <c r="AM1596" s="77"/>
      <c r="AN1596" s="77"/>
      <c r="AO1596" s="77"/>
      <c r="AP1596" s="77"/>
      <c r="AQ1596" s="77" t="s">
        <v>11639</v>
      </c>
      <c r="AR1596" s="77"/>
      <c r="AS1596" s="77"/>
      <c r="AT1596" s="77"/>
      <c r="AU1596" s="77"/>
      <c r="AV1596" s="80" t="str">
        <f>HYPERLINK("https://pbs.twimg.com/media/FrHBT4UakAIk8e-.jpg")</f>
        <v>https://pbs.twimg.com/media/FrHBT4UakAIk8e-.jpg</v>
      </c>
      <c r="AW1596" s="82" t="s">
        <v>13763</v>
      </c>
      <c r="AX1596" s="82" t="s">
        <v>13763</v>
      </c>
      <c r="AY1596" s="77"/>
      <c r="AZ1596" s="82" t="s">
        <v>15804</v>
      </c>
      <c r="BA1596" s="82" t="s">
        <v>15804</v>
      </c>
      <c r="BB1596" s="82" t="s">
        <v>15804</v>
      </c>
      <c r="BC1596" s="82" t="s">
        <v>13763</v>
      </c>
      <c r="BD1596" s="82" t="s">
        <v>15759</v>
      </c>
      <c r="BE1596" s="77"/>
      <c r="BF1596" s="77"/>
      <c r="BG1596" s="77"/>
      <c r="BH1596" s="77"/>
      <c r="BI1596" s="77"/>
    </row>
    <row r="1597" spans="1:61" x14ac:dyDescent="0.25">
      <c r="A1597" s="62" t="s">
        <v>733</v>
      </c>
      <c r="B1597" s="62" t="s">
        <v>733</v>
      </c>
      <c r="C1597" s="63"/>
      <c r="D1597" s="64"/>
      <c r="E1597" s="65"/>
      <c r="F1597" s="66"/>
      <c r="G1597" s="63"/>
      <c r="H1597" s="67"/>
      <c r="I1597" s="68"/>
      <c r="J1597" s="68"/>
      <c r="K1597" s="32"/>
      <c r="L1597" s="75">
        <v>1597</v>
      </c>
      <c r="M1597" s="75"/>
      <c r="N1597" s="70"/>
      <c r="O1597" s="77" t="s">
        <v>1132</v>
      </c>
      <c r="P1597" s="79">
        <v>45064.701620370368</v>
      </c>
      <c r="Q1597" s="77" t="s">
        <v>2672</v>
      </c>
      <c r="R1597" s="77">
        <v>0</v>
      </c>
      <c r="S1597" s="77">
        <v>1</v>
      </c>
      <c r="T1597" s="77">
        <v>0</v>
      </c>
      <c r="U1597" s="77">
        <v>0</v>
      </c>
      <c r="V1597" s="77">
        <v>300</v>
      </c>
      <c r="W1597" s="82" t="s">
        <v>5178</v>
      </c>
      <c r="X1597" s="80" t="str">
        <f>HYPERLINK("https://www.gov.br/investidor/pt-br/penso-logo-invisto/a-importancia-da-educacao-financeira-e-como-abordar-com-os-seus-filhos-1")</f>
        <v>https://www.gov.br/investidor/pt-br/penso-logo-invisto/a-importancia-da-educacao-financeira-e-como-abordar-com-os-seus-filhos-1</v>
      </c>
      <c r="Y1597" s="77" t="s">
        <v>6074</v>
      </c>
      <c r="Z1597" s="77"/>
      <c r="AA1597" s="77" t="s">
        <v>7133</v>
      </c>
      <c r="AB1597" s="77" t="s">
        <v>7696</v>
      </c>
      <c r="AC1597" s="82" t="s">
        <v>7706</v>
      </c>
      <c r="AD1597" s="77" t="s">
        <v>7745</v>
      </c>
      <c r="AE1597" s="80" t="str">
        <f>HYPERLINK("https://twitter.com/cvmgovbr/status/1659240012305530900")</f>
        <v>https://twitter.com/cvmgovbr/status/1659240012305530900</v>
      </c>
      <c r="AF1597" s="79">
        <v>45064.701620370368</v>
      </c>
      <c r="AG1597" s="85">
        <v>45064</v>
      </c>
      <c r="AH1597" s="82" t="s">
        <v>9172</v>
      </c>
      <c r="AI1597" s="77" t="b">
        <v>0</v>
      </c>
      <c r="AJ1597" s="77"/>
      <c r="AK1597" s="77"/>
      <c r="AL1597" s="77"/>
      <c r="AM1597" s="77"/>
      <c r="AN1597" s="77"/>
      <c r="AO1597" s="77"/>
      <c r="AP1597" s="77"/>
      <c r="AQ1597" s="77" t="s">
        <v>11640</v>
      </c>
      <c r="AR1597" s="77"/>
      <c r="AS1597" s="77"/>
      <c r="AT1597" s="77"/>
      <c r="AU1597" s="77"/>
      <c r="AV1597" s="80" t="str">
        <f>HYPERLINK("https://pbs.twimg.com/media/FwbNl8YWYAU5dtR.jpg")</f>
        <v>https://pbs.twimg.com/media/FwbNl8YWYAU5dtR.jpg</v>
      </c>
      <c r="AW1597" s="82" t="s">
        <v>13764</v>
      </c>
      <c r="AX1597" s="82" t="s">
        <v>15356</v>
      </c>
      <c r="AY1597" s="82" t="s">
        <v>15759</v>
      </c>
      <c r="AZ1597" s="82" t="s">
        <v>15899</v>
      </c>
      <c r="BA1597" s="82" t="s">
        <v>15804</v>
      </c>
      <c r="BB1597" s="82" t="s">
        <v>15804</v>
      </c>
      <c r="BC1597" s="82" t="s">
        <v>15899</v>
      </c>
      <c r="BD1597" s="82" t="s">
        <v>15759</v>
      </c>
      <c r="BE1597" s="77"/>
      <c r="BF1597" s="77"/>
      <c r="BG1597" s="77"/>
      <c r="BH1597" s="77"/>
      <c r="BI1597" s="77"/>
    </row>
    <row r="1598" spans="1:61" x14ac:dyDescent="0.25">
      <c r="A1598" s="62" t="s">
        <v>733</v>
      </c>
      <c r="B1598" s="62" t="s">
        <v>733</v>
      </c>
      <c r="C1598" s="63"/>
      <c r="D1598" s="64"/>
      <c r="E1598" s="65"/>
      <c r="F1598" s="66"/>
      <c r="G1598" s="63"/>
      <c r="H1598" s="67"/>
      <c r="I1598" s="68"/>
      <c r="J1598" s="68"/>
      <c r="K1598" s="32"/>
      <c r="L1598" s="75">
        <v>1598</v>
      </c>
      <c r="M1598" s="75"/>
      <c r="N1598" s="70"/>
      <c r="O1598" s="77" t="s">
        <v>179</v>
      </c>
      <c r="P1598" s="79">
        <v>45040.500034722223</v>
      </c>
      <c r="Q1598" s="77" t="s">
        <v>2673</v>
      </c>
      <c r="R1598" s="77">
        <v>0</v>
      </c>
      <c r="S1598" s="77">
        <v>2</v>
      </c>
      <c r="T1598" s="77">
        <v>0</v>
      </c>
      <c r="U1598" s="77">
        <v>0</v>
      </c>
      <c r="V1598" s="77">
        <v>460</v>
      </c>
      <c r="W1598" s="82" t="s">
        <v>5179</v>
      </c>
      <c r="X1598" s="77"/>
      <c r="Y1598" s="77"/>
      <c r="Z1598" s="77"/>
      <c r="AA1598" s="77" t="s">
        <v>7134</v>
      </c>
      <c r="AB1598" s="77" t="s">
        <v>7696</v>
      </c>
      <c r="AC1598" s="82" t="s">
        <v>7706</v>
      </c>
      <c r="AD1598" s="77" t="s">
        <v>7745</v>
      </c>
      <c r="AE1598" s="80" t="str">
        <f>HYPERLINK("https://twitter.com/cvmgovbr/status/1650469650176659457")</f>
        <v>https://twitter.com/cvmgovbr/status/1650469650176659457</v>
      </c>
      <c r="AF1598" s="79">
        <v>45040.500034722223</v>
      </c>
      <c r="AG1598" s="85">
        <v>45040</v>
      </c>
      <c r="AH1598" s="82" t="s">
        <v>8131</v>
      </c>
      <c r="AI1598" s="77" t="b">
        <v>0</v>
      </c>
      <c r="AJ1598" s="77"/>
      <c r="AK1598" s="77"/>
      <c r="AL1598" s="77"/>
      <c r="AM1598" s="77"/>
      <c r="AN1598" s="77"/>
      <c r="AO1598" s="77"/>
      <c r="AP1598" s="77"/>
      <c r="AQ1598" s="77" t="s">
        <v>11641</v>
      </c>
      <c r="AR1598" s="77"/>
      <c r="AS1598" s="77"/>
      <c r="AT1598" s="77"/>
      <c r="AU1598" s="77"/>
      <c r="AV1598" s="80" t="str">
        <f>HYPERLINK("https://pbs.twimg.com/media/FuGeIGGWIAMBm9y.jpg")</f>
        <v>https://pbs.twimg.com/media/FuGeIGGWIAMBm9y.jpg</v>
      </c>
      <c r="AW1598" s="82" t="s">
        <v>13765</v>
      </c>
      <c r="AX1598" s="82" t="s">
        <v>13765</v>
      </c>
      <c r="AY1598" s="77"/>
      <c r="AZ1598" s="82" t="s">
        <v>15804</v>
      </c>
      <c r="BA1598" s="82" t="s">
        <v>15804</v>
      </c>
      <c r="BB1598" s="82" t="s">
        <v>15804</v>
      </c>
      <c r="BC1598" s="82" t="s">
        <v>13765</v>
      </c>
      <c r="BD1598" s="82" t="s">
        <v>15759</v>
      </c>
      <c r="BE1598" s="77"/>
      <c r="BF1598" s="77"/>
      <c r="BG1598" s="77"/>
      <c r="BH1598" s="77"/>
      <c r="BI1598" s="77"/>
    </row>
    <row r="1599" spans="1:61" x14ac:dyDescent="0.25">
      <c r="A1599" s="62" t="s">
        <v>733</v>
      </c>
      <c r="B1599" s="62" t="s">
        <v>733</v>
      </c>
      <c r="C1599" s="63"/>
      <c r="D1599" s="64"/>
      <c r="E1599" s="65"/>
      <c r="F1599" s="66"/>
      <c r="G1599" s="63"/>
      <c r="H1599" s="67"/>
      <c r="I1599" s="68"/>
      <c r="J1599" s="68"/>
      <c r="K1599" s="32"/>
      <c r="L1599" s="75">
        <v>1599</v>
      </c>
      <c r="M1599" s="75"/>
      <c r="N1599" s="70"/>
      <c r="O1599" s="77" t="s">
        <v>179</v>
      </c>
      <c r="P1599" s="79">
        <v>45037.541678240741</v>
      </c>
      <c r="Q1599" s="77" t="s">
        <v>2674</v>
      </c>
      <c r="R1599" s="77">
        <v>0</v>
      </c>
      <c r="S1599" s="77">
        <v>1</v>
      </c>
      <c r="T1599" s="77">
        <v>0</v>
      </c>
      <c r="U1599" s="77">
        <v>0</v>
      </c>
      <c r="V1599" s="77">
        <v>335</v>
      </c>
      <c r="W1599" s="82" t="s">
        <v>5180</v>
      </c>
      <c r="X1599" s="77"/>
      <c r="Y1599" s="77"/>
      <c r="Z1599" s="77"/>
      <c r="AA1599" s="77" t="s">
        <v>7135</v>
      </c>
      <c r="AB1599" s="77" t="s">
        <v>7696</v>
      </c>
      <c r="AC1599" s="82" t="s">
        <v>7706</v>
      </c>
      <c r="AD1599" s="77" t="s">
        <v>7745</v>
      </c>
      <c r="AE1599" s="80" t="str">
        <f>HYPERLINK("https://twitter.com/cvmgovbr/status/1649397579195588608")</f>
        <v>https://twitter.com/cvmgovbr/status/1649397579195588608</v>
      </c>
      <c r="AF1599" s="79">
        <v>45037.541678240741</v>
      </c>
      <c r="AG1599" s="85">
        <v>45037</v>
      </c>
      <c r="AH1599" s="82" t="s">
        <v>9173</v>
      </c>
      <c r="AI1599" s="77" t="b">
        <v>0</v>
      </c>
      <c r="AJ1599" s="77"/>
      <c r="AK1599" s="77"/>
      <c r="AL1599" s="77"/>
      <c r="AM1599" s="77"/>
      <c r="AN1599" s="77"/>
      <c r="AO1599" s="77"/>
      <c r="AP1599" s="77"/>
      <c r="AQ1599" s="77" t="s">
        <v>11642</v>
      </c>
      <c r="AR1599" s="77"/>
      <c r="AS1599" s="77"/>
      <c r="AT1599" s="77"/>
      <c r="AU1599" s="77"/>
      <c r="AV1599" s="80" t="str">
        <f>HYPERLINK("https://pbs.twimg.com/media/FuGbcCUXwAAWkA8.jpg")</f>
        <v>https://pbs.twimg.com/media/FuGbcCUXwAAWkA8.jpg</v>
      </c>
      <c r="AW1599" s="82" t="s">
        <v>13766</v>
      </c>
      <c r="AX1599" s="82" t="s">
        <v>13766</v>
      </c>
      <c r="AY1599" s="77"/>
      <c r="AZ1599" s="82" t="s">
        <v>15804</v>
      </c>
      <c r="BA1599" s="82" t="s">
        <v>15804</v>
      </c>
      <c r="BB1599" s="82" t="s">
        <v>15804</v>
      </c>
      <c r="BC1599" s="82" t="s">
        <v>13766</v>
      </c>
      <c r="BD1599" s="82" t="s">
        <v>15759</v>
      </c>
      <c r="BE1599" s="77"/>
      <c r="BF1599" s="77"/>
      <c r="BG1599" s="77"/>
      <c r="BH1599" s="77"/>
      <c r="BI1599" s="77"/>
    </row>
    <row r="1600" spans="1:61" x14ac:dyDescent="0.25">
      <c r="A1600" s="62" t="s">
        <v>733</v>
      </c>
      <c r="B1600" s="62" t="s">
        <v>733</v>
      </c>
      <c r="C1600" s="63"/>
      <c r="D1600" s="64"/>
      <c r="E1600" s="65"/>
      <c r="F1600" s="66"/>
      <c r="G1600" s="63"/>
      <c r="H1600" s="67"/>
      <c r="I1600" s="68"/>
      <c r="J1600" s="68"/>
      <c r="K1600" s="32"/>
      <c r="L1600" s="75">
        <v>1600</v>
      </c>
      <c r="M1600" s="75"/>
      <c r="N1600" s="70"/>
      <c r="O1600" s="77" t="s">
        <v>1132</v>
      </c>
      <c r="P1600" s="79">
        <v>45057.713043981479</v>
      </c>
      <c r="Q1600" s="77" t="s">
        <v>2675</v>
      </c>
      <c r="R1600" s="77">
        <v>0</v>
      </c>
      <c r="S1600" s="77">
        <v>0</v>
      </c>
      <c r="T1600" s="77">
        <v>1</v>
      </c>
      <c r="U1600" s="77">
        <v>0</v>
      </c>
      <c r="V1600" s="77">
        <v>35</v>
      </c>
      <c r="W1600" s="82" t="s">
        <v>5181</v>
      </c>
      <c r="X1600" s="77"/>
      <c r="Y1600" s="77"/>
      <c r="Z1600" s="77"/>
      <c r="AA1600" s="77" t="s">
        <v>7136</v>
      </c>
      <c r="AB1600" s="77" t="s">
        <v>7696</v>
      </c>
      <c r="AC1600" s="82" t="s">
        <v>7706</v>
      </c>
      <c r="AD1600" s="77" t="s">
        <v>7745</v>
      </c>
      <c r="AE1600" s="80" t="str">
        <f>HYPERLINK("https://twitter.com/cvmgovbr/status/1656707435191574528")</f>
        <v>https://twitter.com/cvmgovbr/status/1656707435191574528</v>
      </c>
      <c r="AF1600" s="79">
        <v>45057.713043981479</v>
      </c>
      <c r="AG1600" s="85">
        <v>45057</v>
      </c>
      <c r="AH1600" s="82" t="s">
        <v>9174</v>
      </c>
      <c r="AI1600" s="77" t="b">
        <v>0</v>
      </c>
      <c r="AJ1600" s="77"/>
      <c r="AK1600" s="77"/>
      <c r="AL1600" s="77"/>
      <c r="AM1600" s="77"/>
      <c r="AN1600" s="77"/>
      <c r="AO1600" s="77"/>
      <c r="AP1600" s="77"/>
      <c r="AQ1600" s="77" t="s">
        <v>11643</v>
      </c>
      <c r="AR1600" s="77"/>
      <c r="AS1600" s="77"/>
      <c r="AT1600" s="77"/>
      <c r="AU1600" s="77"/>
      <c r="AV1600" s="80" t="str">
        <f>HYPERLINK("https://pbs.twimg.com/media/Fv3NHNhXoAA7gc4.jpg")</f>
        <v>https://pbs.twimg.com/media/Fv3NHNhXoAA7gc4.jpg</v>
      </c>
      <c r="AW1600" s="82" t="s">
        <v>13767</v>
      </c>
      <c r="AX1600" s="82" t="s">
        <v>13769</v>
      </c>
      <c r="AY1600" s="82" t="s">
        <v>15759</v>
      </c>
      <c r="AZ1600" s="82" t="s">
        <v>13768</v>
      </c>
      <c r="BA1600" s="82" t="s">
        <v>15804</v>
      </c>
      <c r="BB1600" s="82" t="s">
        <v>15804</v>
      </c>
      <c r="BC1600" s="82" t="s">
        <v>13768</v>
      </c>
      <c r="BD1600" s="82" t="s">
        <v>15759</v>
      </c>
      <c r="BE1600" s="77"/>
      <c r="BF1600" s="77"/>
      <c r="BG1600" s="77"/>
      <c r="BH1600" s="77"/>
      <c r="BI1600" s="77"/>
    </row>
    <row r="1601" spans="1:61" x14ac:dyDescent="0.25">
      <c r="A1601" s="62" t="s">
        <v>733</v>
      </c>
      <c r="B1601" s="62" t="s">
        <v>733</v>
      </c>
      <c r="C1601" s="63"/>
      <c r="D1601" s="64"/>
      <c r="E1601" s="65"/>
      <c r="F1601" s="66"/>
      <c r="G1601" s="63"/>
      <c r="H1601" s="67"/>
      <c r="I1601" s="68"/>
      <c r="J1601" s="68"/>
      <c r="K1601" s="32"/>
      <c r="L1601" s="75">
        <v>1601</v>
      </c>
      <c r="M1601" s="75"/>
      <c r="N1601" s="70"/>
      <c r="O1601" s="77" t="s">
        <v>1132</v>
      </c>
      <c r="P1601" s="79">
        <v>45057.71303240741</v>
      </c>
      <c r="Q1601" s="77" t="s">
        <v>2676</v>
      </c>
      <c r="R1601" s="77">
        <v>0</v>
      </c>
      <c r="S1601" s="77">
        <v>0</v>
      </c>
      <c r="T1601" s="77">
        <v>1</v>
      </c>
      <c r="U1601" s="77">
        <v>0</v>
      </c>
      <c r="V1601" s="77">
        <v>26</v>
      </c>
      <c r="W1601" s="82" t="s">
        <v>5181</v>
      </c>
      <c r="X1601" s="77"/>
      <c r="Y1601" s="77"/>
      <c r="Z1601" s="77"/>
      <c r="AA1601" s="77" t="s">
        <v>7137</v>
      </c>
      <c r="AB1601" s="77" t="s">
        <v>7696</v>
      </c>
      <c r="AC1601" s="82" t="s">
        <v>7706</v>
      </c>
      <c r="AD1601" s="77" t="s">
        <v>7745</v>
      </c>
      <c r="AE1601" s="80" t="str">
        <f>HYPERLINK("https://twitter.com/cvmgovbr/status/1656707432318484483")</f>
        <v>https://twitter.com/cvmgovbr/status/1656707432318484483</v>
      </c>
      <c r="AF1601" s="79">
        <v>45057.71303240741</v>
      </c>
      <c r="AG1601" s="85">
        <v>45057</v>
      </c>
      <c r="AH1601" s="82" t="s">
        <v>9175</v>
      </c>
      <c r="AI1601" s="77" t="b">
        <v>0</v>
      </c>
      <c r="AJ1601" s="77"/>
      <c r="AK1601" s="77"/>
      <c r="AL1601" s="77"/>
      <c r="AM1601" s="77"/>
      <c r="AN1601" s="77"/>
      <c r="AO1601" s="77"/>
      <c r="AP1601" s="77"/>
      <c r="AQ1601" s="77" t="s">
        <v>11644</v>
      </c>
      <c r="AR1601" s="77"/>
      <c r="AS1601" s="77"/>
      <c r="AT1601" s="77"/>
      <c r="AU1601" s="77"/>
      <c r="AV1601" s="80" t="str">
        <f>HYPERLINK("https://pbs.twimg.com/media/Fv3M3R5XwAQn_4T.jpg")</f>
        <v>https://pbs.twimg.com/media/Fv3M3R5XwAQn_4T.jpg</v>
      </c>
      <c r="AW1601" s="82" t="s">
        <v>13768</v>
      </c>
      <c r="AX1601" s="82" t="s">
        <v>13769</v>
      </c>
      <c r="AY1601" s="82" t="s">
        <v>15759</v>
      </c>
      <c r="AZ1601" s="82" t="s">
        <v>13769</v>
      </c>
      <c r="BA1601" s="82" t="s">
        <v>15804</v>
      </c>
      <c r="BB1601" s="82" t="s">
        <v>15804</v>
      </c>
      <c r="BC1601" s="82" t="s">
        <v>13769</v>
      </c>
      <c r="BD1601" s="82" t="s">
        <v>15759</v>
      </c>
      <c r="BE1601" s="77"/>
      <c r="BF1601" s="77"/>
      <c r="BG1601" s="77"/>
      <c r="BH1601" s="77"/>
      <c r="BI1601" s="77"/>
    </row>
    <row r="1602" spans="1:61" x14ac:dyDescent="0.25">
      <c r="A1602" s="62" t="s">
        <v>733</v>
      </c>
      <c r="B1602" s="62" t="s">
        <v>733</v>
      </c>
      <c r="C1602" s="63"/>
      <c r="D1602" s="64"/>
      <c r="E1602" s="65"/>
      <c r="F1602" s="66"/>
      <c r="G1602" s="63"/>
      <c r="H1602" s="67"/>
      <c r="I1602" s="68"/>
      <c r="J1602" s="68"/>
      <c r="K1602" s="32"/>
      <c r="L1602" s="75">
        <v>1602</v>
      </c>
      <c r="M1602" s="75"/>
      <c r="N1602" s="70"/>
      <c r="O1602" s="77" t="s">
        <v>179</v>
      </c>
      <c r="P1602" s="79">
        <v>45057.71303240741</v>
      </c>
      <c r="Q1602" s="77" t="s">
        <v>2677</v>
      </c>
      <c r="R1602" s="77">
        <v>0</v>
      </c>
      <c r="S1602" s="77">
        <v>1</v>
      </c>
      <c r="T1602" s="77">
        <v>1</v>
      </c>
      <c r="U1602" s="77">
        <v>0</v>
      </c>
      <c r="V1602" s="77">
        <v>359</v>
      </c>
      <c r="W1602" s="82" t="s">
        <v>5181</v>
      </c>
      <c r="X1602" s="77"/>
      <c r="Y1602" s="77"/>
      <c r="Z1602" s="77"/>
      <c r="AA1602" s="77" t="s">
        <v>7138</v>
      </c>
      <c r="AB1602" s="77" t="s">
        <v>7696</v>
      </c>
      <c r="AC1602" s="82" t="s">
        <v>7706</v>
      </c>
      <c r="AD1602" s="77" t="s">
        <v>7745</v>
      </c>
      <c r="AE1602" s="80" t="str">
        <f>HYPERLINK("https://twitter.com/cvmgovbr/status/1656707429894062080")</f>
        <v>https://twitter.com/cvmgovbr/status/1656707429894062080</v>
      </c>
      <c r="AF1602" s="79">
        <v>45057.71303240741</v>
      </c>
      <c r="AG1602" s="85">
        <v>45057</v>
      </c>
      <c r="AH1602" s="82" t="s">
        <v>9175</v>
      </c>
      <c r="AI1602" s="77" t="b">
        <v>0</v>
      </c>
      <c r="AJ1602" s="77"/>
      <c r="AK1602" s="77"/>
      <c r="AL1602" s="77"/>
      <c r="AM1602" s="77"/>
      <c r="AN1602" s="77"/>
      <c r="AO1602" s="77"/>
      <c r="AP1602" s="77"/>
      <c r="AQ1602" s="77" t="s">
        <v>11645</v>
      </c>
      <c r="AR1602" s="77"/>
      <c r="AS1602" s="77"/>
      <c r="AT1602" s="77"/>
      <c r="AU1602" s="77"/>
      <c r="AV1602" s="80" t="str">
        <f>HYPERLINK("https://pbs.twimg.com/media/Fv3MnzaXwBo6gVS.jpg")</f>
        <v>https://pbs.twimg.com/media/Fv3MnzaXwBo6gVS.jpg</v>
      </c>
      <c r="AW1602" s="82" t="s">
        <v>13769</v>
      </c>
      <c r="AX1602" s="82" t="s">
        <v>13769</v>
      </c>
      <c r="AY1602" s="77"/>
      <c r="AZ1602" s="82" t="s">
        <v>15804</v>
      </c>
      <c r="BA1602" s="82" t="s">
        <v>15804</v>
      </c>
      <c r="BB1602" s="82" t="s">
        <v>15804</v>
      </c>
      <c r="BC1602" s="82" t="s">
        <v>13769</v>
      </c>
      <c r="BD1602" s="82" t="s">
        <v>15759</v>
      </c>
      <c r="BE1602" s="77"/>
      <c r="BF1602" s="77"/>
      <c r="BG1602" s="77"/>
      <c r="BH1602" s="77"/>
      <c r="BI1602" s="77"/>
    </row>
    <row r="1603" spans="1:61" x14ac:dyDescent="0.25">
      <c r="A1603" s="62" t="s">
        <v>734</v>
      </c>
      <c r="B1603" s="62" t="s">
        <v>733</v>
      </c>
      <c r="C1603" s="63"/>
      <c r="D1603" s="64"/>
      <c r="E1603" s="65"/>
      <c r="F1603" s="66"/>
      <c r="G1603" s="63"/>
      <c r="H1603" s="67"/>
      <c r="I1603" s="68"/>
      <c r="J1603" s="68"/>
      <c r="K1603" s="32"/>
      <c r="L1603" s="75">
        <v>1603</v>
      </c>
      <c r="M1603" s="75"/>
      <c r="N1603" s="70"/>
      <c r="O1603" s="77" t="s">
        <v>1133</v>
      </c>
      <c r="P1603" s="79">
        <v>45005.933657407404</v>
      </c>
      <c r="Q1603" s="77" t="s">
        <v>2678</v>
      </c>
      <c r="R1603" s="77">
        <v>2</v>
      </c>
      <c r="S1603" s="77">
        <v>21</v>
      </c>
      <c r="T1603" s="77">
        <v>1</v>
      </c>
      <c r="U1603" s="77">
        <v>0</v>
      </c>
      <c r="V1603" s="77">
        <v>5010</v>
      </c>
      <c r="W1603" s="82" t="s">
        <v>5182</v>
      </c>
      <c r="X1603" s="77"/>
      <c r="Y1603" s="77"/>
      <c r="Z1603" s="77" t="s">
        <v>733</v>
      </c>
      <c r="AA1603" s="77" t="s">
        <v>7139</v>
      </c>
      <c r="AB1603" s="77" t="s">
        <v>7697</v>
      </c>
      <c r="AC1603" s="82" t="s">
        <v>7706</v>
      </c>
      <c r="AD1603" s="77" t="s">
        <v>7745</v>
      </c>
      <c r="AE1603" s="80" t="str">
        <f>HYPERLINK("https://twitter.com/b3_oficial/status/1637943213313998853")</f>
        <v>https://twitter.com/b3_oficial/status/1637943213313998853</v>
      </c>
      <c r="AF1603" s="79">
        <v>45005.933657407404</v>
      </c>
      <c r="AG1603" s="85">
        <v>45005</v>
      </c>
      <c r="AH1603" s="82" t="s">
        <v>9176</v>
      </c>
      <c r="AI1603" s="77" t="b">
        <v>0</v>
      </c>
      <c r="AJ1603" s="77"/>
      <c r="AK1603" s="77"/>
      <c r="AL1603" s="77"/>
      <c r="AM1603" s="77"/>
      <c r="AN1603" s="77"/>
      <c r="AO1603" s="77"/>
      <c r="AP1603" s="77"/>
      <c r="AQ1603" s="77" t="s">
        <v>11646</v>
      </c>
      <c r="AR1603" s="77">
        <v>77510</v>
      </c>
      <c r="AS1603" s="77"/>
      <c r="AT1603" s="77"/>
      <c r="AU1603" s="77">
        <v>1226</v>
      </c>
      <c r="AV1603" s="80" t="str">
        <f>HYPERLINK("https://pbs.twimg.com/media/FrslCHpWwAA2Z4I.jpg")</f>
        <v>https://pbs.twimg.com/media/FrslCHpWwAA2Z4I.jpg</v>
      </c>
      <c r="AW1603" s="82" t="s">
        <v>13770</v>
      </c>
      <c r="AX1603" s="82" t="s">
        <v>13770</v>
      </c>
      <c r="AY1603" s="77"/>
      <c r="AZ1603" s="82" t="s">
        <v>15804</v>
      </c>
      <c r="BA1603" s="82" t="s">
        <v>15804</v>
      </c>
      <c r="BB1603" s="82" t="s">
        <v>15804</v>
      </c>
      <c r="BC1603" s="82" t="s">
        <v>13770</v>
      </c>
      <c r="BD1603" s="77">
        <v>74550038</v>
      </c>
      <c r="BE1603" s="77"/>
      <c r="BF1603" s="77"/>
      <c r="BG1603" s="77"/>
      <c r="BH1603" s="77"/>
      <c r="BI1603" s="77"/>
    </row>
    <row r="1604" spans="1:61" x14ac:dyDescent="0.25">
      <c r="A1604" s="62" t="s">
        <v>734</v>
      </c>
      <c r="B1604" s="62" t="s">
        <v>1103</v>
      </c>
      <c r="C1604" s="63"/>
      <c r="D1604" s="64"/>
      <c r="E1604" s="65"/>
      <c r="F1604" s="66"/>
      <c r="G1604" s="63"/>
      <c r="H1604" s="67"/>
      <c r="I1604" s="68"/>
      <c r="J1604" s="68"/>
      <c r="K1604" s="32"/>
      <c r="L1604" s="75">
        <v>1604</v>
      </c>
      <c r="M1604" s="75"/>
      <c r="N1604" s="70"/>
      <c r="O1604" s="77" t="s">
        <v>1133</v>
      </c>
      <c r="P1604" s="79">
        <v>44964.944363425922</v>
      </c>
      <c r="Q1604" s="77" t="s">
        <v>2679</v>
      </c>
      <c r="R1604" s="77">
        <v>2</v>
      </c>
      <c r="S1604" s="77">
        <v>21</v>
      </c>
      <c r="T1604" s="77">
        <v>3</v>
      </c>
      <c r="U1604" s="77">
        <v>0</v>
      </c>
      <c r="V1604" s="77">
        <v>6412</v>
      </c>
      <c r="W1604" s="82" t="s">
        <v>5183</v>
      </c>
      <c r="X1604" s="77"/>
      <c r="Y1604" s="77"/>
      <c r="Z1604" s="77" t="s">
        <v>1103</v>
      </c>
      <c r="AA1604" s="77" t="s">
        <v>7140</v>
      </c>
      <c r="AB1604" s="77" t="s">
        <v>7697</v>
      </c>
      <c r="AC1604" s="82" t="s">
        <v>7705</v>
      </c>
      <c r="AD1604" s="77" t="s">
        <v>7745</v>
      </c>
      <c r="AE1604" s="80" t="str">
        <f>HYPERLINK("https://twitter.com/b3_oficial/status/1623089191683751937")</f>
        <v>https://twitter.com/b3_oficial/status/1623089191683751937</v>
      </c>
      <c r="AF1604" s="79">
        <v>44964.944363425922</v>
      </c>
      <c r="AG1604" s="85">
        <v>44964</v>
      </c>
      <c r="AH1604" s="82" t="s">
        <v>9177</v>
      </c>
      <c r="AI1604" s="77" t="b">
        <v>0</v>
      </c>
      <c r="AJ1604" s="77"/>
      <c r="AK1604" s="77"/>
      <c r="AL1604" s="77"/>
      <c r="AM1604" s="77"/>
      <c r="AN1604" s="77"/>
      <c r="AO1604" s="77"/>
      <c r="AP1604" s="77"/>
      <c r="AQ1604" s="77" t="s">
        <v>11647</v>
      </c>
      <c r="AR1604" s="77">
        <v>74240</v>
      </c>
      <c r="AS1604" s="77"/>
      <c r="AT1604" s="77"/>
      <c r="AU1604" s="77">
        <v>1691</v>
      </c>
      <c r="AV1604" s="80" t="str">
        <f>HYPERLINK("https://pbs.twimg.com/ext_tw_video_thumb/1623088767304187904/pu/img/28LKc5E9G-AHiCCq.jpg")</f>
        <v>https://pbs.twimg.com/ext_tw_video_thumb/1623088767304187904/pu/img/28LKc5E9G-AHiCCq.jpg</v>
      </c>
      <c r="AW1604" s="82" t="s">
        <v>13771</v>
      </c>
      <c r="AX1604" s="82" t="s">
        <v>13771</v>
      </c>
      <c r="AY1604" s="77"/>
      <c r="AZ1604" s="82" t="s">
        <v>15804</v>
      </c>
      <c r="BA1604" s="82" t="s">
        <v>15804</v>
      </c>
      <c r="BB1604" s="82" t="s">
        <v>15804</v>
      </c>
      <c r="BC1604" s="82" t="s">
        <v>13771</v>
      </c>
      <c r="BD1604" s="77">
        <v>74550038</v>
      </c>
      <c r="BE1604" s="77"/>
      <c r="BF1604" s="77"/>
      <c r="BG1604" s="77"/>
      <c r="BH1604" s="77"/>
      <c r="BI1604" s="77"/>
    </row>
    <row r="1605" spans="1:61" x14ac:dyDescent="0.25">
      <c r="A1605" s="62" t="s">
        <v>734</v>
      </c>
      <c r="B1605" s="62" t="s">
        <v>1104</v>
      </c>
      <c r="C1605" s="63"/>
      <c r="D1605" s="64"/>
      <c r="E1605" s="65"/>
      <c r="F1605" s="66"/>
      <c r="G1605" s="63"/>
      <c r="H1605" s="67"/>
      <c r="I1605" s="68"/>
      <c r="J1605" s="68"/>
      <c r="K1605" s="32"/>
      <c r="L1605" s="75">
        <v>1605</v>
      </c>
      <c r="M1605" s="75"/>
      <c r="N1605" s="70"/>
      <c r="O1605" s="77" t="s">
        <v>1133</v>
      </c>
      <c r="P1605" s="79">
        <v>45137.970706018517</v>
      </c>
      <c r="Q1605" s="77" t="s">
        <v>2680</v>
      </c>
      <c r="R1605" s="77">
        <v>1</v>
      </c>
      <c r="S1605" s="77">
        <v>13</v>
      </c>
      <c r="T1605" s="77">
        <v>1</v>
      </c>
      <c r="U1605" s="77">
        <v>0</v>
      </c>
      <c r="V1605" s="77">
        <v>5551</v>
      </c>
      <c r="W1605" s="82" t="s">
        <v>4097</v>
      </c>
      <c r="X1605" s="80" t="str">
        <f>HYPERLINK("https://www.youtube.com/watch?v=kCFSVk8_-Oo")</f>
        <v>https://www.youtube.com/watch?v=kCFSVk8_-Oo</v>
      </c>
      <c r="Y1605" s="77" t="s">
        <v>6006</v>
      </c>
      <c r="Z1605" s="77" t="s">
        <v>6137</v>
      </c>
      <c r="AA1605" s="77"/>
      <c r="AB1605" s="77"/>
      <c r="AC1605" s="82" t="s">
        <v>7706</v>
      </c>
      <c r="AD1605" s="77" t="s">
        <v>7745</v>
      </c>
      <c r="AE1605" s="80" t="str">
        <f>HYPERLINK("https://twitter.com/b3_oficial/status/1685791837473185792")</f>
        <v>https://twitter.com/b3_oficial/status/1685791837473185792</v>
      </c>
      <c r="AF1605" s="79">
        <v>45137.970706018517</v>
      </c>
      <c r="AG1605" s="85">
        <v>45137</v>
      </c>
      <c r="AH1605" s="82" t="s">
        <v>9178</v>
      </c>
      <c r="AI1605" s="77" t="b">
        <v>0</v>
      </c>
      <c r="AJ1605" s="77"/>
      <c r="AK1605" s="77"/>
      <c r="AL1605" s="77"/>
      <c r="AM1605" s="77"/>
      <c r="AN1605" s="77"/>
      <c r="AO1605" s="77"/>
      <c r="AP1605" s="77"/>
      <c r="AQ1605" s="77"/>
      <c r="AR1605" s="77"/>
      <c r="AS1605" s="77"/>
      <c r="AT1605" s="77"/>
      <c r="AU1605" s="77"/>
      <c r="AV1605" s="80" t="str">
        <f>HYPERLINK("https://pbs.twimg.com/profile_images/1505968327499436049/Ivkcir3F_normal.jpg")</f>
        <v>https://pbs.twimg.com/profile_images/1505968327499436049/Ivkcir3F_normal.jpg</v>
      </c>
      <c r="AW1605" s="82" t="s">
        <v>13772</v>
      </c>
      <c r="AX1605" s="82" t="s">
        <v>13772</v>
      </c>
      <c r="AY1605" s="77"/>
      <c r="AZ1605" s="82" t="s">
        <v>15804</v>
      </c>
      <c r="BA1605" s="82" t="s">
        <v>15804</v>
      </c>
      <c r="BB1605" s="82" t="s">
        <v>15804</v>
      </c>
      <c r="BC1605" s="82" t="s">
        <v>13772</v>
      </c>
      <c r="BD1605" s="77">
        <v>74550038</v>
      </c>
      <c r="BE1605" s="77"/>
      <c r="BF1605" s="77"/>
      <c r="BG1605" s="77"/>
      <c r="BH1605" s="77"/>
      <c r="BI1605" s="77"/>
    </row>
    <row r="1606" spans="1:61" x14ac:dyDescent="0.25">
      <c r="A1606" s="62" t="s">
        <v>734</v>
      </c>
      <c r="B1606" s="62" t="s">
        <v>1105</v>
      </c>
      <c r="C1606" s="63"/>
      <c r="D1606" s="64"/>
      <c r="E1606" s="65"/>
      <c r="F1606" s="66"/>
      <c r="G1606" s="63"/>
      <c r="H1606" s="67"/>
      <c r="I1606" s="68"/>
      <c r="J1606" s="68"/>
      <c r="K1606" s="32"/>
      <c r="L1606" s="75">
        <v>1606</v>
      </c>
      <c r="M1606" s="75"/>
      <c r="N1606" s="70"/>
      <c r="O1606" s="77" t="s">
        <v>1133</v>
      </c>
      <c r="P1606" s="79">
        <v>45137.970706018517</v>
      </c>
      <c r="Q1606" s="77" t="s">
        <v>2680</v>
      </c>
      <c r="R1606" s="77">
        <v>1</v>
      </c>
      <c r="S1606" s="77">
        <v>13</v>
      </c>
      <c r="T1606" s="77">
        <v>1</v>
      </c>
      <c r="U1606" s="77">
        <v>0</v>
      </c>
      <c r="V1606" s="77">
        <v>5551</v>
      </c>
      <c r="W1606" s="82" t="s">
        <v>4097</v>
      </c>
      <c r="X1606" s="80" t="str">
        <f>HYPERLINK("https://www.youtube.com/watch?v=kCFSVk8_-Oo")</f>
        <v>https://www.youtube.com/watch?v=kCFSVk8_-Oo</v>
      </c>
      <c r="Y1606" s="77" t="s">
        <v>6006</v>
      </c>
      <c r="Z1606" s="77" t="s">
        <v>6137</v>
      </c>
      <c r="AA1606" s="77"/>
      <c r="AB1606" s="77"/>
      <c r="AC1606" s="82" t="s">
        <v>7706</v>
      </c>
      <c r="AD1606" s="77" t="s">
        <v>7745</v>
      </c>
      <c r="AE1606" s="80" t="str">
        <f>HYPERLINK("https://twitter.com/b3_oficial/status/1685791837473185792")</f>
        <v>https://twitter.com/b3_oficial/status/1685791837473185792</v>
      </c>
      <c r="AF1606" s="79">
        <v>45137.970706018517</v>
      </c>
      <c r="AG1606" s="85">
        <v>45137</v>
      </c>
      <c r="AH1606" s="82" t="s">
        <v>9178</v>
      </c>
      <c r="AI1606" s="77" t="b">
        <v>0</v>
      </c>
      <c r="AJ1606" s="77"/>
      <c r="AK1606" s="77"/>
      <c r="AL1606" s="77"/>
      <c r="AM1606" s="77"/>
      <c r="AN1606" s="77"/>
      <c r="AO1606" s="77"/>
      <c r="AP1606" s="77"/>
      <c r="AQ1606" s="77"/>
      <c r="AR1606" s="77"/>
      <c r="AS1606" s="77"/>
      <c r="AT1606" s="77"/>
      <c r="AU1606" s="77"/>
      <c r="AV1606" s="80" t="str">
        <f>HYPERLINK("https://pbs.twimg.com/profile_images/1505968327499436049/Ivkcir3F_normal.jpg")</f>
        <v>https://pbs.twimg.com/profile_images/1505968327499436049/Ivkcir3F_normal.jpg</v>
      </c>
      <c r="AW1606" s="82" t="s">
        <v>13772</v>
      </c>
      <c r="AX1606" s="82" t="s">
        <v>13772</v>
      </c>
      <c r="AY1606" s="77"/>
      <c r="AZ1606" s="82" t="s">
        <v>15804</v>
      </c>
      <c r="BA1606" s="82" t="s">
        <v>15804</v>
      </c>
      <c r="BB1606" s="82" t="s">
        <v>15804</v>
      </c>
      <c r="BC1606" s="82" t="s">
        <v>13772</v>
      </c>
      <c r="BD1606" s="77">
        <v>74550038</v>
      </c>
      <c r="BE1606" s="77"/>
      <c r="BF1606" s="77"/>
      <c r="BG1606" s="77"/>
      <c r="BH1606" s="77"/>
      <c r="BI1606" s="77"/>
    </row>
    <row r="1607" spans="1:61" x14ac:dyDescent="0.25">
      <c r="A1607" s="62" t="s">
        <v>735</v>
      </c>
      <c r="B1607" s="62" t="s">
        <v>735</v>
      </c>
      <c r="C1607" s="63"/>
      <c r="D1607" s="64"/>
      <c r="E1607" s="65"/>
      <c r="F1607" s="66"/>
      <c r="G1607" s="63"/>
      <c r="H1607" s="67"/>
      <c r="I1607" s="68"/>
      <c r="J1607" s="68"/>
      <c r="K1607" s="32"/>
      <c r="L1607" s="75">
        <v>1607</v>
      </c>
      <c r="M1607" s="75"/>
      <c r="N1607" s="70"/>
      <c r="O1607" s="77" t="s">
        <v>179</v>
      </c>
      <c r="P1607" s="79">
        <v>44964.688148148147</v>
      </c>
      <c r="Q1607" s="77" t="s">
        <v>2681</v>
      </c>
      <c r="R1607" s="77">
        <v>0</v>
      </c>
      <c r="S1607" s="77">
        <v>0</v>
      </c>
      <c r="T1607" s="77">
        <v>0</v>
      </c>
      <c r="U1607" s="77">
        <v>0</v>
      </c>
      <c r="V1607" s="77">
        <v>24</v>
      </c>
      <c r="W1607" s="82" t="s">
        <v>5184</v>
      </c>
      <c r="X1607" s="80" t="str">
        <f>HYPERLINK("https://www.tecmundo.com.br/mercado/260230-possivel-investir-ter-salario-fixo-veja-opcoes-autonomos.htm")</f>
        <v>https://www.tecmundo.com.br/mercado/260230-possivel-investir-ter-salario-fixo-veja-opcoes-autonomos.htm</v>
      </c>
      <c r="Y1607" s="77" t="s">
        <v>6002</v>
      </c>
      <c r="Z1607" s="77"/>
      <c r="AA1607" s="77" t="s">
        <v>7141</v>
      </c>
      <c r="AB1607" s="77" t="s">
        <v>7696</v>
      </c>
      <c r="AC1607" s="82" t="s">
        <v>7737</v>
      </c>
      <c r="AD1607" s="77" t="s">
        <v>7745</v>
      </c>
      <c r="AE1607" s="80" t="str">
        <f>HYPERLINK("https://twitter.com/devinformado/status/1622996342875521025")</f>
        <v>https://twitter.com/devinformado/status/1622996342875521025</v>
      </c>
      <c r="AF1607" s="79">
        <v>44964.688148148147</v>
      </c>
      <c r="AG1607" s="85">
        <v>44964</v>
      </c>
      <c r="AH1607" s="82" t="s">
        <v>9179</v>
      </c>
      <c r="AI1607" s="77" t="b">
        <v>0</v>
      </c>
      <c r="AJ1607" s="77"/>
      <c r="AK1607" s="77"/>
      <c r="AL1607" s="77"/>
      <c r="AM1607" s="77"/>
      <c r="AN1607" s="77"/>
      <c r="AO1607" s="77"/>
      <c r="AP1607" s="77"/>
      <c r="AQ1607" s="77" t="s">
        <v>11648</v>
      </c>
      <c r="AR1607" s="77"/>
      <c r="AS1607" s="77"/>
      <c r="AT1607" s="77"/>
      <c r="AU1607" s="77"/>
      <c r="AV1607" s="80" t="str">
        <f>HYPERLINK("https://pbs.twimg.com/media/FoYKkewaEAAlT-y.jpg")</f>
        <v>https://pbs.twimg.com/media/FoYKkewaEAAlT-y.jpg</v>
      </c>
      <c r="AW1607" s="82" t="s">
        <v>13773</v>
      </c>
      <c r="AX1607" s="82" t="s">
        <v>13773</v>
      </c>
      <c r="AY1607" s="77"/>
      <c r="AZ1607" s="82" t="s">
        <v>15804</v>
      </c>
      <c r="BA1607" s="82" t="s">
        <v>15804</v>
      </c>
      <c r="BB1607" s="82" t="s">
        <v>15804</v>
      </c>
      <c r="BC1607" s="82" t="s">
        <v>13773</v>
      </c>
      <c r="BD1607" s="82" t="s">
        <v>16423</v>
      </c>
      <c r="BE1607" s="77"/>
      <c r="BF1607" s="77"/>
      <c r="BG1607" s="77"/>
      <c r="BH1607" s="77"/>
      <c r="BI1607" s="77"/>
    </row>
    <row r="1608" spans="1:61" x14ac:dyDescent="0.25">
      <c r="A1608" s="62" t="s">
        <v>736</v>
      </c>
      <c r="B1608" s="62" t="s">
        <v>736</v>
      </c>
      <c r="C1608" s="63"/>
      <c r="D1608" s="64"/>
      <c r="E1608" s="65"/>
      <c r="F1608" s="66"/>
      <c r="G1608" s="63"/>
      <c r="H1608" s="67"/>
      <c r="I1608" s="68"/>
      <c r="J1608" s="68"/>
      <c r="K1608" s="32"/>
      <c r="L1608" s="75">
        <v>1608</v>
      </c>
      <c r="M1608" s="75"/>
      <c r="N1608" s="70"/>
      <c r="O1608" s="77" t="s">
        <v>179</v>
      </c>
      <c r="P1608" s="79">
        <v>45037.568055555559</v>
      </c>
      <c r="Q1608" s="77" t="s">
        <v>2682</v>
      </c>
      <c r="R1608" s="77">
        <v>0</v>
      </c>
      <c r="S1608" s="77">
        <v>1</v>
      </c>
      <c r="T1608" s="77">
        <v>0</v>
      </c>
      <c r="U1608" s="77">
        <v>0</v>
      </c>
      <c r="V1608" s="77">
        <v>168</v>
      </c>
      <c r="W1608" s="82" t="s">
        <v>5185</v>
      </c>
      <c r="X1608" s="80" t="str">
        <f>HYPERLINK("https://www.tsf.pt/programa/doutor-financas.html")</f>
        <v>https://www.tsf.pt/programa/doutor-financas.html</v>
      </c>
      <c r="Y1608" s="77" t="s">
        <v>6078</v>
      </c>
      <c r="Z1608" s="77"/>
      <c r="AA1608" s="77" t="s">
        <v>7142</v>
      </c>
      <c r="AB1608" s="77" t="s">
        <v>7696</v>
      </c>
      <c r="AC1608" s="82" t="s">
        <v>7706</v>
      </c>
      <c r="AD1608" s="77" t="s">
        <v>7745</v>
      </c>
      <c r="AE1608" s="80" t="str">
        <f>HYPERLINK("https://twitter.com/doutor_financas/status/1649407137943023617")</f>
        <v>https://twitter.com/doutor_financas/status/1649407137943023617</v>
      </c>
      <c r="AF1608" s="79">
        <v>45037.568055555559</v>
      </c>
      <c r="AG1608" s="85">
        <v>45037</v>
      </c>
      <c r="AH1608" s="82" t="s">
        <v>9180</v>
      </c>
      <c r="AI1608" s="77" t="b">
        <v>0</v>
      </c>
      <c r="AJ1608" s="77"/>
      <c r="AK1608" s="77"/>
      <c r="AL1608" s="77"/>
      <c r="AM1608" s="77"/>
      <c r="AN1608" s="77"/>
      <c r="AO1608" s="77"/>
      <c r="AP1608" s="77"/>
      <c r="AQ1608" s="77" t="s">
        <v>11649</v>
      </c>
      <c r="AR1608" s="77"/>
      <c r="AS1608" s="77"/>
      <c r="AT1608" s="77"/>
      <c r="AU1608" s="77"/>
      <c r="AV1608" s="80" t="str">
        <f>HYPERLINK("https://pbs.twimg.com/media/FuPe1AnWIAIm-wG.jpg")</f>
        <v>https://pbs.twimg.com/media/FuPe1AnWIAIm-wG.jpg</v>
      </c>
      <c r="AW1608" s="82" t="s">
        <v>13774</v>
      </c>
      <c r="AX1608" s="82" t="s">
        <v>13774</v>
      </c>
      <c r="AY1608" s="77"/>
      <c r="AZ1608" s="82" t="s">
        <v>15804</v>
      </c>
      <c r="BA1608" s="82" t="s">
        <v>15804</v>
      </c>
      <c r="BB1608" s="82" t="s">
        <v>15804</v>
      </c>
      <c r="BC1608" s="82" t="s">
        <v>13774</v>
      </c>
      <c r="BD1608" s="77">
        <v>4898300219</v>
      </c>
      <c r="BE1608" s="77"/>
      <c r="BF1608" s="77"/>
      <c r="BG1608" s="77"/>
      <c r="BH1608" s="77"/>
      <c r="BI1608" s="77"/>
    </row>
    <row r="1609" spans="1:61" x14ac:dyDescent="0.25">
      <c r="A1609" s="62" t="s">
        <v>737</v>
      </c>
      <c r="B1609" s="62" t="s">
        <v>737</v>
      </c>
      <c r="C1609" s="63"/>
      <c r="D1609" s="64"/>
      <c r="E1609" s="65"/>
      <c r="F1609" s="66"/>
      <c r="G1609" s="63"/>
      <c r="H1609" s="67"/>
      <c r="I1609" s="68"/>
      <c r="J1609" s="68"/>
      <c r="K1609" s="32"/>
      <c r="L1609" s="75">
        <v>1609</v>
      </c>
      <c r="M1609" s="75"/>
      <c r="N1609" s="70"/>
      <c r="O1609" s="77" t="s">
        <v>179</v>
      </c>
      <c r="P1609" s="79">
        <v>45085.798668981479</v>
      </c>
      <c r="Q1609" s="77" t="s">
        <v>2683</v>
      </c>
      <c r="R1609" s="77">
        <v>0</v>
      </c>
      <c r="S1609" s="77">
        <v>0</v>
      </c>
      <c r="T1609" s="77">
        <v>2</v>
      </c>
      <c r="U1609" s="77">
        <v>0</v>
      </c>
      <c r="V1609" s="77">
        <v>47</v>
      </c>
      <c r="W1609" s="82" t="s">
        <v>5186</v>
      </c>
      <c r="X1609" s="77"/>
      <c r="Y1609" s="77"/>
      <c r="Z1609" s="77"/>
      <c r="AA1609" s="77" t="s">
        <v>7143</v>
      </c>
      <c r="AB1609" s="77" t="s">
        <v>7697</v>
      </c>
      <c r="AC1609" s="82" t="s">
        <v>7706</v>
      </c>
      <c r="AD1609" s="77" t="s">
        <v>7745</v>
      </c>
      <c r="AE1609" s="80" t="str">
        <f>HYPERLINK("https://twitter.com/geckocripto/status/1666885323597520897")</f>
        <v>https://twitter.com/geckocripto/status/1666885323597520897</v>
      </c>
      <c r="AF1609" s="79">
        <v>45085.798668981479</v>
      </c>
      <c r="AG1609" s="85">
        <v>45085</v>
      </c>
      <c r="AH1609" s="82" t="s">
        <v>9181</v>
      </c>
      <c r="AI1609" s="77" t="b">
        <v>0</v>
      </c>
      <c r="AJ1609" s="77"/>
      <c r="AK1609" s="77"/>
      <c r="AL1609" s="77"/>
      <c r="AM1609" s="77"/>
      <c r="AN1609" s="77"/>
      <c r="AO1609" s="77"/>
      <c r="AP1609" s="77"/>
      <c r="AQ1609" s="77" t="s">
        <v>11650</v>
      </c>
      <c r="AR1609" s="77">
        <v>87916</v>
      </c>
      <c r="AS1609" s="77"/>
      <c r="AT1609" s="77"/>
      <c r="AU1609" s="77">
        <v>15</v>
      </c>
      <c r="AV1609" s="80" t="str">
        <f>HYPERLINK("https://pbs.twimg.com/ext_tw_video_thumb/1666883448374427655/pu/img/_yMDDAXZ5co3vy6a.jpg")</f>
        <v>https://pbs.twimg.com/ext_tw_video_thumb/1666883448374427655/pu/img/_yMDDAXZ5co3vy6a.jpg</v>
      </c>
      <c r="AW1609" s="82" t="s">
        <v>13775</v>
      </c>
      <c r="AX1609" s="82" t="s">
        <v>13775</v>
      </c>
      <c r="AY1609" s="77"/>
      <c r="AZ1609" s="82" t="s">
        <v>15804</v>
      </c>
      <c r="BA1609" s="82" t="s">
        <v>15804</v>
      </c>
      <c r="BB1609" s="82" t="s">
        <v>15804</v>
      </c>
      <c r="BC1609" s="82" t="s">
        <v>13775</v>
      </c>
      <c r="BD1609" s="82" t="s">
        <v>16424</v>
      </c>
      <c r="BE1609" s="77"/>
      <c r="BF1609" s="77"/>
      <c r="BG1609" s="77"/>
      <c r="BH1609" s="77"/>
      <c r="BI1609" s="77"/>
    </row>
    <row r="1610" spans="1:61" x14ac:dyDescent="0.25">
      <c r="A1610" s="62" t="s">
        <v>738</v>
      </c>
      <c r="B1610" s="62" t="s">
        <v>738</v>
      </c>
      <c r="C1610" s="63"/>
      <c r="D1610" s="64"/>
      <c r="E1610" s="65"/>
      <c r="F1610" s="66"/>
      <c r="G1610" s="63"/>
      <c r="H1610" s="67"/>
      <c r="I1610" s="68"/>
      <c r="J1610" s="68"/>
      <c r="K1610" s="32"/>
      <c r="L1610" s="75">
        <v>1610</v>
      </c>
      <c r="M1610" s="75"/>
      <c r="N1610" s="70"/>
      <c r="O1610" s="77" t="s">
        <v>179</v>
      </c>
      <c r="P1610" s="79">
        <v>44958.067199074074</v>
      </c>
      <c r="Q1610" s="77" t="s">
        <v>2684</v>
      </c>
      <c r="R1610" s="77">
        <v>1</v>
      </c>
      <c r="S1610" s="77">
        <v>1</v>
      </c>
      <c r="T1610" s="77">
        <v>0</v>
      </c>
      <c r="U1610" s="77">
        <v>0</v>
      </c>
      <c r="V1610" s="77">
        <v>41</v>
      </c>
      <c r="W1610" s="82" t="s">
        <v>5187</v>
      </c>
      <c r="X1610" s="77"/>
      <c r="Y1610" s="77"/>
      <c r="Z1610" s="77"/>
      <c r="AA1610" s="77" t="s">
        <v>7144</v>
      </c>
      <c r="AB1610" s="77" t="s">
        <v>7697</v>
      </c>
      <c r="AC1610" s="82" t="s">
        <v>7707</v>
      </c>
      <c r="AD1610" s="77" t="s">
        <v>7745</v>
      </c>
      <c r="AE1610" s="80" t="str">
        <f>HYPERLINK("https://twitter.com/hydrainveste/status/1620596988923478017")</f>
        <v>https://twitter.com/hydrainveste/status/1620596988923478017</v>
      </c>
      <c r="AF1610" s="79">
        <v>44958.067199074074</v>
      </c>
      <c r="AG1610" s="85">
        <v>44958</v>
      </c>
      <c r="AH1610" s="82" t="s">
        <v>9182</v>
      </c>
      <c r="AI1610" s="77" t="b">
        <v>0</v>
      </c>
      <c r="AJ1610" s="77"/>
      <c r="AK1610" s="77"/>
      <c r="AL1610" s="77"/>
      <c r="AM1610" s="77"/>
      <c r="AN1610" s="77"/>
      <c r="AO1610" s="77"/>
      <c r="AP1610" s="77"/>
      <c r="AQ1610" s="77" t="s">
        <v>11651</v>
      </c>
      <c r="AR1610" s="77">
        <v>33166</v>
      </c>
      <c r="AS1610" s="77"/>
      <c r="AT1610" s="77"/>
      <c r="AU1610" s="77">
        <v>8</v>
      </c>
      <c r="AV1610" s="80" t="str">
        <f>HYPERLINK("https://pbs.twimg.com/ext_tw_video_thumb/1620596808417247235/pu/img/hFvANWRuKcfXqe3t.jpg")</f>
        <v>https://pbs.twimg.com/ext_tw_video_thumb/1620596808417247235/pu/img/hFvANWRuKcfXqe3t.jpg</v>
      </c>
      <c r="AW1610" s="82" t="s">
        <v>13776</v>
      </c>
      <c r="AX1610" s="82" t="s">
        <v>13776</v>
      </c>
      <c r="AY1610" s="77"/>
      <c r="AZ1610" s="82" t="s">
        <v>15804</v>
      </c>
      <c r="BA1610" s="82" t="s">
        <v>15804</v>
      </c>
      <c r="BB1610" s="82" t="s">
        <v>15804</v>
      </c>
      <c r="BC1610" s="82" t="s">
        <v>13776</v>
      </c>
      <c r="BD1610" s="82" t="s">
        <v>16425</v>
      </c>
      <c r="BE1610" s="77"/>
      <c r="BF1610" s="77"/>
      <c r="BG1610" s="77"/>
      <c r="BH1610" s="77"/>
      <c r="BI1610" s="77"/>
    </row>
    <row r="1611" spans="1:61" x14ac:dyDescent="0.25">
      <c r="A1611" s="62" t="s">
        <v>739</v>
      </c>
      <c r="B1611" s="62" t="s">
        <v>739</v>
      </c>
      <c r="C1611" s="63"/>
      <c r="D1611" s="64"/>
      <c r="E1611" s="65"/>
      <c r="F1611" s="66"/>
      <c r="G1611" s="63"/>
      <c r="H1611" s="67"/>
      <c r="I1611" s="68"/>
      <c r="J1611" s="68"/>
      <c r="K1611" s="32"/>
      <c r="L1611" s="75">
        <v>1611</v>
      </c>
      <c r="M1611" s="75"/>
      <c r="N1611" s="70"/>
      <c r="O1611" s="77" t="s">
        <v>179</v>
      </c>
      <c r="P1611" s="79">
        <v>45005.449016203704</v>
      </c>
      <c r="Q1611" s="77" t="s">
        <v>2685</v>
      </c>
      <c r="R1611" s="77">
        <v>0</v>
      </c>
      <c r="S1611" s="77">
        <v>0</v>
      </c>
      <c r="T1611" s="77">
        <v>0</v>
      </c>
      <c r="U1611" s="77">
        <v>0</v>
      </c>
      <c r="V1611" s="77">
        <v>51</v>
      </c>
      <c r="W1611" s="82" t="s">
        <v>5188</v>
      </c>
      <c r="X1611" s="80" t="str">
        <f>HYPERLINK("https://www.instagram.com/p/CqAd6yfuwky/?igshid=YTgzYjQ4ZTY=")</f>
        <v>https://www.instagram.com/p/CqAd6yfuwky/?igshid=YTgzYjQ4ZTY=</v>
      </c>
      <c r="Y1611" s="77" t="s">
        <v>6000</v>
      </c>
      <c r="Z1611" s="77"/>
      <c r="AA1611" s="77"/>
      <c r="AB1611" s="77"/>
      <c r="AC1611" s="82" t="s">
        <v>7707</v>
      </c>
      <c r="AD1611" s="77" t="s">
        <v>7746</v>
      </c>
      <c r="AE1611" s="80" t="str">
        <f>HYPERLINK("https://twitter.com/possasmarcelo/status/1637767587575545858")</f>
        <v>https://twitter.com/possasmarcelo/status/1637767587575545858</v>
      </c>
      <c r="AF1611" s="79">
        <v>45005.449016203704</v>
      </c>
      <c r="AG1611" s="85">
        <v>45005</v>
      </c>
      <c r="AH1611" s="82" t="s">
        <v>9183</v>
      </c>
      <c r="AI1611" s="77" t="b">
        <v>0</v>
      </c>
      <c r="AJ1611" s="77"/>
      <c r="AK1611" s="77"/>
      <c r="AL1611" s="77"/>
      <c r="AM1611" s="77"/>
      <c r="AN1611" s="77"/>
      <c r="AO1611" s="77"/>
      <c r="AP1611" s="77"/>
      <c r="AQ1611" s="77"/>
      <c r="AR1611" s="77"/>
      <c r="AS1611" s="77"/>
      <c r="AT1611" s="77"/>
      <c r="AU1611" s="77"/>
      <c r="AV1611" s="80" t="str">
        <f>HYPERLINK("https://pbs.twimg.com/profile_images/1239475147939155969/i-NbYZNr_normal.jpg")</f>
        <v>https://pbs.twimg.com/profile_images/1239475147939155969/i-NbYZNr_normal.jpg</v>
      </c>
      <c r="AW1611" s="82" t="s">
        <v>13777</v>
      </c>
      <c r="AX1611" s="82" t="s">
        <v>13777</v>
      </c>
      <c r="AY1611" s="77"/>
      <c r="AZ1611" s="82" t="s">
        <v>15804</v>
      </c>
      <c r="BA1611" s="82" t="s">
        <v>15804</v>
      </c>
      <c r="BB1611" s="82" t="s">
        <v>15804</v>
      </c>
      <c r="BC1611" s="82" t="s">
        <v>13777</v>
      </c>
      <c r="BD1611" s="77">
        <v>902902700</v>
      </c>
      <c r="BE1611" s="77"/>
      <c r="BF1611" s="77"/>
      <c r="BG1611" s="77"/>
      <c r="BH1611" s="77"/>
      <c r="BI1611" s="77"/>
    </row>
    <row r="1612" spans="1:61" x14ac:dyDescent="0.25">
      <c r="A1612" s="62" t="s">
        <v>740</v>
      </c>
      <c r="B1612" s="62" t="s">
        <v>740</v>
      </c>
      <c r="C1612" s="63"/>
      <c r="D1612" s="64"/>
      <c r="E1612" s="65"/>
      <c r="F1612" s="66"/>
      <c r="G1612" s="63"/>
      <c r="H1612" s="67"/>
      <c r="I1612" s="68"/>
      <c r="J1612" s="68"/>
      <c r="K1612" s="32"/>
      <c r="L1612" s="75">
        <v>1612</v>
      </c>
      <c r="M1612" s="75"/>
      <c r="N1612" s="70"/>
      <c r="O1612" s="77" t="s">
        <v>179</v>
      </c>
      <c r="P1612" s="79">
        <v>45083.645324074074</v>
      </c>
      <c r="Q1612" s="77" t="s">
        <v>2686</v>
      </c>
      <c r="R1612" s="77">
        <v>0</v>
      </c>
      <c r="S1612" s="77">
        <v>1</v>
      </c>
      <c r="T1612" s="77">
        <v>0</v>
      </c>
      <c r="U1612" s="77">
        <v>0</v>
      </c>
      <c r="V1612" s="77">
        <v>12</v>
      </c>
      <c r="W1612" s="82" t="s">
        <v>5189</v>
      </c>
      <c r="X1612" s="77"/>
      <c r="Y1612" s="77"/>
      <c r="Z1612" s="77"/>
      <c r="AA1612" s="77" t="s">
        <v>7145</v>
      </c>
      <c r="AB1612" s="77" t="s">
        <v>7696</v>
      </c>
      <c r="AC1612" s="82" t="s">
        <v>7706</v>
      </c>
      <c r="AD1612" s="77" t="s">
        <v>7745</v>
      </c>
      <c r="AE1612" s="80" t="str">
        <f>HYPERLINK("https://twitter.com/vozdavan/status/1666104979453620225")</f>
        <v>https://twitter.com/vozdavan/status/1666104979453620225</v>
      </c>
      <c r="AF1612" s="79">
        <v>45083.645324074074</v>
      </c>
      <c r="AG1612" s="85">
        <v>45083</v>
      </c>
      <c r="AH1612" s="82" t="s">
        <v>9184</v>
      </c>
      <c r="AI1612" s="77" t="b">
        <v>0</v>
      </c>
      <c r="AJ1612" s="77"/>
      <c r="AK1612" s="77"/>
      <c r="AL1612" s="77"/>
      <c r="AM1612" s="77"/>
      <c r="AN1612" s="77"/>
      <c r="AO1612" s="77"/>
      <c r="AP1612" s="77"/>
      <c r="AQ1612" s="77" t="s">
        <v>11652</v>
      </c>
      <c r="AR1612" s="77"/>
      <c r="AS1612" s="77"/>
      <c r="AT1612" s="77"/>
      <c r="AU1612" s="77"/>
      <c r="AV1612" s="80" t="str">
        <f>HYPERLINK("https://pbs.twimg.com/media/Fx8xGPtXgAEcrcm.png")</f>
        <v>https://pbs.twimg.com/media/Fx8xGPtXgAEcrcm.png</v>
      </c>
      <c r="AW1612" s="82" t="s">
        <v>13778</v>
      </c>
      <c r="AX1612" s="82" t="s">
        <v>13778</v>
      </c>
      <c r="AY1612" s="77"/>
      <c r="AZ1612" s="82" t="s">
        <v>15804</v>
      </c>
      <c r="BA1612" s="82" t="s">
        <v>15804</v>
      </c>
      <c r="BB1612" s="82" t="s">
        <v>15804</v>
      </c>
      <c r="BC1612" s="82" t="s">
        <v>13778</v>
      </c>
      <c r="BD1612" s="82" t="s">
        <v>16426</v>
      </c>
      <c r="BE1612" s="77"/>
      <c r="BF1612" s="77"/>
      <c r="BG1612" s="77"/>
      <c r="BH1612" s="77"/>
      <c r="BI1612" s="77"/>
    </row>
    <row r="1613" spans="1:61" x14ac:dyDescent="0.25">
      <c r="A1613" s="62" t="s">
        <v>741</v>
      </c>
      <c r="B1613" s="62" t="s">
        <v>741</v>
      </c>
      <c r="C1613" s="63"/>
      <c r="D1613" s="64"/>
      <c r="E1613" s="65"/>
      <c r="F1613" s="66"/>
      <c r="G1613" s="63"/>
      <c r="H1613" s="67"/>
      <c r="I1613" s="68"/>
      <c r="J1613" s="68"/>
      <c r="K1613" s="32"/>
      <c r="L1613" s="75">
        <v>1613</v>
      </c>
      <c r="M1613" s="75"/>
      <c r="N1613" s="70"/>
      <c r="O1613" s="77" t="s">
        <v>179</v>
      </c>
      <c r="P1613" s="79">
        <v>44972.690625000003</v>
      </c>
      <c r="Q1613" s="77" t="s">
        <v>2687</v>
      </c>
      <c r="R1613" s="77">
        <v>0</v>
      </c>
      <c r="S1613" s="77">
        <v>0</v>
      </c>
      <c r="T1613" s="77">
        <v>0</v>
      </c>
      <c r="U1613" s="77">
        <v>0</v>
      </c>
      <c r="V1613" s="77">
        <v>22</v>
      </c>
      <c r="W1613" s="82" t="s">
        <v>5190</v>
      </c>
      <c r="X1613" s="80" t="str">
        <f>HYPERLINK("https://amzn.to/40VzxHF")</f>
        <v>https://amzn.to/40VzxHF</v>
      </c>
      <c r="Y1613" s="77" t="s">
        <v>6043</v>
      </c>
      <c r="Z1613" s="77"/>
      <c r="AA1613" s="77" t="s">
        <v>7146</v>
      </c>
      <c r="AB1613" s="77" t="s">
        <v>7696</v>
      </c>
      <c r="AC1613" s="82" t="s">
        <v>7706</v>
      </c>
      <c r="AD1613" s="77" t="s">
        <v>7745</v>
      </c>
      <c r="AE1613" s="80" t="str">
        <f>HYPERLINK("https://twitter.com/momentoverdade/status/1625896343532187653")</f>
        <v>https://twitter.com/momentoverdade/status/1625896343532187653</v>
      </c>
      <c r="AF1613" s="79">
        <v>44972.690625000003</v>
      </c>
      <c r="AG1613" s="85">
        <v>44972</v>
      </c>
      <c r="AH1613" s="82" t="s">
        <v>9185</v>
      </c>
      <c r="AI1613" s="77" t="b">
        <v>0</v>
      </c>
      <c r="AJ1613" s="77"/>
      <c r="AK1613" s="77"/>
      <c r="AL1613" s="77"/>
      <c r="AM1613" s="77"/>
      <c r="AN1613" s="77"/>
      <c r="AO1613" s="77"/>
      <c r="AP1613" s="77"/>
      <c r="AQ1613" s="77" t="s">
        <v>11653</v>
      </c>
      <c r="AR1613" s="77"/>
      <c r="AS1613" s="77"/>
      <c r="AT1613" s="77"/>
      <c r="AU1613" s="77"/>
      <c r="AV1613" s="80" t="str">
        <f>HYPERLINK("https://pbs.twimg.com/media/FpBXxC_XsAk6xbG.jpg")</f>
        <v>https://pbs.twimg.com/media/FpBXxC_XsAk6xbG.jpg</v>
      </c>
      <c r="AW1613" s="82" t="s">
        <v>13779</v>
      </c>
      <c r="AX1613" s="82" t="s">
        <v>13779</v>
      </c>
      <c r="AY1613" s="77"/>
      <c r="AZ1613" s="82" t="s">
        <v>15804</v>
      </c>
      <c r="BA1613" s="82" t="s">
        <v>15804</v>
      </c>
      <c r="BB1613" s="82" t="s">
        <v>15804</v>
      </c>
      <c r="BC1613" s="82" t="s">
        <v>13779</v>
      </c>
      <c r="BD1613" s="77">
        <v>48518838</v>
      </c>
      <c r="BE1613" s="77"/>
      <c r="BF1613" s="77"/>
      <c r="BG1613" s="77"/>
      <c r="BH1613" s="77"/>
      <c r="BI1613" s="77"/>
    </row>
    <row r="1614" spans="1:61" x14ac:dyDescent="0.25">
      <c r="A1614" s="62" t="s">
        <v>741</v>
      </c>
      <c r="B1614" s="62" t="s">
        <v>741</v>
      </c>
      <c r="C1614" s="63"/>
      <c r="D1614" s="64"/>
      <c r="E1614" s="65"/>
      <c r="F1614" s="66"/>
      <c r="G1614" s="63"/>
      <c r="H1614" s="67"/>
      <c r="I1614" s="68"/>
      <c r="J1614" s="68"/>
      <c r="K1614" s="32"/>
      <c r="L1614" s="75">
        <v>1614</v>
      </c>
      <c r="M1614" s="75"/>
      <c r="N1614" s="70"/>
      <c r="O1614" s="77" t="s">
        <v>179</v>
      </c>
      <c r="P1614" s="79">
        <v>45108.547974537039</v>
      </c>
      <c r="Q1614" s="77" t="s">
        <v>2688</v>
      </c>
      <c r="R1614" s="77">
        <v>0</v>
      </c>
      <c r="S1614" s="77">
        <v>0</v>
      </c>
      <c r="T1614" s="77">
        <v>0</v>
      </c>
      <c r="U1614" s="77">
        <v>0</v>
      </c>
      <c r="V1614" s="77">
        <v>9</v>
      </c>
      <c r="W1614" s="82" t="s">
        <v>5191</v>
      </c>
      <c r="X1614" s="80" t="str">
        <f>HYPERLINK("https://fortesfinanceiramente.blogspot.com/2023/07/aprenda-com-warren-buffett.html")</f>
        <v>https://fortesfinanceiramente.blogspot.com/2023/07/aprenda-com-warren-buffett.html</v>
      </c>
      <c r="Y1614" s="77" t="s">
        <v>6001</v>
      </c>
      <c r="Z1614" s="77"/>
      <c r="AA1614" s="77" t="s">
        <v>7147</v>
      </c>
      <c r="AB1614" s="77" t="s">
        <v>7696</v>
      </c>
      <c r="AC1614" s="82" t="s">
        <v>7706</v>
      </c>
      <c r="AD1614" s="77" t="s">
        <v>7745</v>
      </c>
      <c r="AE1614" s="80" t="str">
        <f>HYPERLINK("https://twitter.com/momentoverdade/status/1675129397077065728")</f>
        <v>https://twitter.com/momentoverdade/status/1675129397077065728</v>
      </c>
      <c r="AF1614" s="79">
        <v>45108.547974537039</v>
      </c>
      <c r="AG1614" s="85">
        <v>45108</v>
      </c>
      <c r="AH1614" s="82" t="s">
        <v>9186</v>
      </c>
      <c r="AI1614" s="77" t="b">
        <v>0</v>
      </c>
      <c r="AJ1614" s="77"/>
      <c r="AK1614" s="77"/>
      <c r="AL1614" s="77"/>
      <c r="AM1614" s="77"/>
      <c r="AN1614" s="77"/>
      <c r="AO1614" s="77"/>
      <c r="AP1614" s="77"/>
      <c r="AQ1614" s="77" t="s">
        <v>11654</v>
      </c>
      <c r="AR1614" s="77"/>
      <c r="AS1614" s="77"/>
      <c r="AT1614" s="77"/>
      <c r="AU1614" s="77"/>
      <c r="AV1614" s="80" t="str">
        <f>HYPERLINK("https://pbs.twimg.com/media/Fz9BPrVXsAEAna9.jpg")</f>
        <v>https://pbs.twimg.com/media/Fz9BPrVXsAEAna9.jpg</v>
      </c>
      <c r="AW1614" s="82" t="s">
        <v>13780</v>
      </c>
      <c r="AX1614" s="82" t="s">
        <v>13780</v>
      </c>
      <c r="AY1614" s="77"/>
      <c r="AZ1614" s="82" t="s">
        <v>15804</v>
      </c>
      <c r="BA1614" s="82" t="s">
        <v>15804</v>
      </c>
      <c r="BB1614" s="82" t="s">
        <v>15804</v>
      </c>
      <c r="BC1614" s="82" t="s">
        <v>13780</v>
      </c>
      <c r="BD1614" s="77">
        <v>48518838</v>
      </c>
      <c r="BE1614" s="77"/>
      <c r="BF1614" s="77"/>
      <c r="BG1614" s="77"/>
      <c r="BH1614" s="77"/>
      <c r="BI1614" s="77"/>
    </row>
    <row r="1615" spans="1:61" x14ac:dyDescent="0.25">
      <c r="A1615" s="62" t="s">
        <v>420</v>
      </c>
      <c r="B1615" s="62" t="s">
        <v>420</v>
      </c>
      <c r="C1615" s="63"/>
      <c r="D1615" s="64"/>
      <c r="E1615" s="65"/>
      <c r="F1615" s="66"/>
      <c r="G1615" s="63"/>
      <c r="H1615" s="67"/>
      <c r="I1615" s="68"/>
      <c r="J1615" s="68"/>
      <c r="K1615" s="32"/>
      <c r="L1615" s="75">
        <v>1615</v>
      </c>
      <c r="M1615" s="75"/>
      <c r="N1615" s="70"/>
      <c r="O1615" s="77" t="s">
        <v>179</v>
      </c>
      <c r="P1615" s="79">
        <v>44962.916956018518</v>
      </c>
      <c r="Q1615" s="77" t="s">
        <v>2689</v>
      </c>
      <c r="R1615" s="77">
        <v>1</v>
      </c>
      <c r="S1615" s="77">
        <v>1</v>
      </c>
      <c r="T1615" s="77">
        <v>0</v>
      </c>
      <c r="U1615" s="77">
        <v>1</v>
      </c>
      <c r="V1615" s="77">
        <v>754</v>
      </c>
      <c r="W1615" s="82" t="s">
        <v>4097</v>
      </c>
      <c r="X1615" s="80" t="str">
        <f>HYPERLINK("https://mla.bs/8023a42b")</f>
        <v>https://mla.bs/8023a42b</v>
      </c>
      <c r="Y1615" s="77" t="s">
        <v>6030</v>
      </c>
      <c r="Z1615" s="77"/>
      <c r="AA1615" s="77"/>
      <c r="AB1615" s="77"/>
      <c r="AC1615" s="82" t="s">
        <v>7708</v>
      </c>
      <c r="AD1615" s="77" t="s">
        <v>7745</v>
      </c>
      <c r="AE1615" s="80" t="str">
        <f>HYPERLINK("https://twitter.com/einvestidor/status/1622354484717408259")</f>
        <v>https://twitter.com/einvestidor/status/1622354484717408259</v>
      </c>
      <c r="AF1615" s="79">
        <v>44962.916956018518</v>
      </c>
      <c r="AG1615" s="85">
        <v>44962</v>
      </c>
      <c r="AH1615" s="82" t="s">
        <v>9187</v>
      </c>
      <c r="AI1615" s="77" t="b">
        <v>0</v>
      </c>
      <c r="AJ1615" s="77"/>
      <c r="AK1615" s="77"/>
      <c r="AL1615" s="77"/>
      <c r="AM1615" s="77"/>
      <c r="AN1615" s="77"/>
      <c r="AO1615" s="77"/>
      <c r="AP1615" s="77"/>
      <c r="AQ1615" s="77"/>
      <c r="AR1615" s="77"/>
      <c r="AS1615" s="77"/>
      <c r="AT1615" s="77"/>
      <c r="AU1615" s="77"/>
      <c r="AV1615" s="80" t="str">
        <f>HYPERLINK("https://pbs.twimg.com/profile_images/1241147984924082183/gZgx_hL-_normal.jpg")</f>
        <v>https://pbs.twimg.com/profile_images/1241147984924082183/gZgx_hL-_normal.jpg</v>
      </c>
      <c r="AW1615" s="82" t="s">
        <v>13781</v>
      </c>
      <c r="AX1615" s="82" t="s">
        <v>13781</v>
      </c>
      <c r="AY1615" s="77"/>
      <c r="AZ1615" s="82" t="s">
        <v>15804</v>
      </c>
      <c r="BA1615" s="82" t="s">
        <v>15804</v>
      </c>
      <c r="BB1615" s="82" t="s">
        <v>15804</v>
      </c>
      <c r="BC1615" s="82" t="s">
        <v>13781</v>
      </c>
      <c r="BD1615" s="82" t="s">
        <v>15756</v>
      </c>
      <c r="BE1615" s="77"/>
      <c r="BF1615" s="77"/>
      <c r="BG1615" s="77"/>
      <c r="BH1615" s="77"/>
      <c r="BI1615" s="77"/>
    </row>
    <row r="1616" spans="1:61" x14ac:dyDescent="0.25">
      <c r="A1616" s="62" t="s">
        <v>420</v>
      </c>
      <c r="B1616" s="62" t="s">
        <v>1106</v>
      </c>
      <c r="C1616" s="63"/>
      <c r="D1616" s="64"/>
      <c r="E1616" s="65"/>
      <c r="F1616" s="66"/>
      <c r="G1616" s="63"/>
      <c r="H1616" s="67"/>
      <c r="I1616" s="68"/>
      <c r="J1616" s="68"/>
      <c r="K1616" s="32"/>
      <c r="L1616" s="75">
        <v>1616</v>
      </c>
      <c r="M1616" s="75"/>
      <c r="N1616" s="70"/>
      <c r="O1616" s="77" t="s">
        <v>1133</v>
      </c>
      <c r="P1616" s="79">
        <v>45031.708854166667</v>
      </c>
      <c r="Q1616" s="77" t="s">
        <v>2690</v>
      </c>
      <c r="R1616" s="77">
        <v>0</v>
      </c>
      <c r="S1616" s="77">
        <v>0</v>
      </c>
      <c r="T1616" s="77">
        <v>0</v>
      </c>
      <c r="U1616" s="77">
        <v>0</v>
      </c>
      <c r="V1616" s="77">
        <v>714</v>
      </c>
      <c r="W1616" s="82" t="s">
        <v>4080</v>
      </c>
      <c r="X1616" s="80" t="str">
        <f>HYPERLINK("https://mla.bs/e451d971")</f>
        <v>https://mla.bs/e451d971</v>
      </c>
      <c r="Y1616" s="77" t="s">
        <v>6030</v>
      </c>
      <c r="Z1616" s="77" t="s">
        <v>1106</v>
      </c>
      <c r="AA1616" s="77"/>
      <c r="AB1616" s="77"/>
      <c r="AC1616" s="82" t="s">
        <v>7708</v>
      </c>
      <c r="AD1616" s="77" t="s">
        <v>7745</v>
      </c>
      <c r="AE1616" s="80" t="str">
        <f>HYPERLINK("https://twitter.com/einvestidor/status/1647283831798472704")</f>
        <v>https://twitter.com/einvestidor/status/1647283831798472704</v>
      </c>
      <c r="AF1616" s="79">
        <v>45031.708854166667</v>
      </c>
      <c r="AG1616" s="85">
        <v>45031</v>
      </c>
      <c r="AH1616" s="82" t="s">
        <v>9188</v>
      </c>
      <c r="AI1616" s="77" t="b">
        <v>0</v>
      </c>
      <c r="AJ1616" s="77"/>
      <c r="AK1616" s="77"/>
      <c r="AL1616" s="77"/>
      <c r="AM1616" s="77"/>
      <c r="AN1616" s="77"/>
      <c r="AO1616" s="77"/>
      <c r="AP1616" s="77"/>
      <c r="AQ1616" s="77"/>
      <c r="AR1616" s="77"/>
      <c r="AS1616" s="77"/>
      <c r="AT1616" s="77"/>
      <c r="AU1616" s="77"/>
      <c r="AV1616" s="80" t="str">
        <f>HYPERLINK("https://pbs.twimg.com/profile_images/1241147984924082183/gZgx_hL-_normal.jpg")</f>
        <v>https://pbs.twimg.com/profile_images/1241147984924082183/gZgx_hL-_normal.jpg</v>
      </c>
      <c r="AW1616" s="82" t="s">
        <v>13782</v>
      </c>
      <c r="AX1616" s="82" t="s">
        <v>13782</v>
      </c>
      <c r="AY1616" s="77"/>
      <c r="AZ1616" s="82" t="s">
        <v>15804</v>
      </c>
      <c r="BA1616" s="82" t="s">
        <v>15804</v>
      </c>
      <c r="BB1616" s="82" t="s">
        <v>15804</v>
      </c>
      <c r="BC1616" s="82" t="s">
        <v>13782</v>
      </c>
      <c r="BD1616" s="82" t="s">
        <v>15756</v>
      </c>
      <c r="BE1616" s="77"/>
      <c r="BF1616" s="77"/>
      <c r="BG1616" s="77"/>
      <c r="BH1616" s="77"/>
      <c r="BI1616" s="77"/>
    </row>
    <row r="1617" spans="1:61" x14ac:dyDescent="0.25">
      <c r="A1617" s="62" t="s">
        <v>420</v>
      </c>
      <c r="B1617" s="62" t="s">
        <v>420</v>
      </c>
      <c r="C1617" s="63"/>
      <c r="D1617" s="64"/>
      <c r="E1617" s="65"/>
      <c r="F1617" s="66"/>
      <c r="G1617" s="63"/>
      <c r="H1617" s="67"/>
      <c r="I1617" s="68"/>
      <c r="J1617" s="68"/>
      <c r="K1617" s="32"/>
      <c r="L1617" s="75">
        <v>1617</v>
      </c>
      <c r="M1617" s="75"/>
      <c r="N1617" s="70"/>
      <c r="O1617" s="77" t="s">
        <v>179</v>
      </c>
      <c r="P1617" s="79">
        <v>45004.79215277778</v>
      </c>
      <c r="Q1617" s="77" t="s">
        <v>2691</v>
      </c>
      <c r="R1617" s="77">
        <v>0</v>
      </c>
      <c r="S1617" s="77">
        <v>1</v>
      </c>
      <c r="T1617" s="77">
        <v>0</v>
      </c>
      <c r="U1617" s="77">
        <v>0</v>
      </c>
      <c r="V1617" s="77">
        <v>726</v>
      </c>
      <c r="W1617" s="82" t="s">
        <v>5192</v>
      </c>
      <c r="X1617" s="80" t="str">
        <f>HYPERLINK("https://mla.bs/ae936dab")</f>
        <v>https://mla.bs/ae936dab</v>
      </c>
      <c r="Y1617" s="77" t="s">
        <v>6030</v>
      </c>
      <c r="Z1617" s="77"/>
      <c r="AA1617" s="77"/>
      <c r="AB1617" s="77"/>
      <c r="AC1617" s="82" t="s">
        <v>7708</v>
      </c>
      <c r="AD1617" s="77" t="s">
        <v>7745</v>
      </c>
      <c r="AE1617" s="80" t="str">
        <f>HYPERLINK("https://twitter.com/einvestidor/status/1637529548882423810")</f>
        <v>https://twitter.com/einvestidor/status/1637529548882423810</v>
      </c>
      <c r="AF1617" s="79">
        <v>45004.79215277778</v>
      </c>
      <c r="AG1617" s="85">
        <v>45004</v>
      </c>
      <c r="AH1617" s="82" t="s">
        <v>9189</v>
      </c>
      <c r="AI1617" s="77" t="b">
        <v>0</v>
      </c>
      <c r="AJ1617" s="77"/>
      <c r="AK1617" s="77"/>
      <c r="AL1617" s="77"/>
      <c r="AM1617" s="77"/>
      <c r="AN1617" s="77"/>
      <c r="AO1617" s="77"/>
      <c r="AP1617" s="77"/>
      <c r="AQ1617" s="77"/>
      <c r="AR1617" s="77"/>
      <c r="AS1617" s="77"/>
      <c r="AT1617" s="77"/>
      <c r="AU1617" s="77"/>
      <c r="AV1617" s="80" t="str">
        <f>HYPERLINK("https://pbs.twimg.com/profile_images/1241147984924082183/gZgx_hL-_normal.jpg")</f>
        <v>https://pbs.twimg.com/profile_images/1241147984924082183/gZgx_hL-_normal.jpg</v>
      </c>
      <c r="AW1617" s="82" t="s">
        <v>13783</v>
      </c>
      <c r="AX1617" s="82" t="s">
        <v>13783</v>
      </c>
      <c r="AY1617" s="77"/>
      <c r="AZ1617" s="82" t="s">
        <v>15804</v>
      </c>
      <c r="BA1617" s="82" t="s">
        <v>15804</v>
      </c>
      <c r="BB1617" s="82" t="s">
        <v>15804</v>
      </c>
      <c r="BC1617" s="82" t="s">
        <v>13783</v>
      </c>
      <c r="BD1617" s="82" t="s">
        <v>15756</v>
      </c>
      <c r="BE1617" s="77"/>
      <c r="BF1617" s="77"/>
      <c r="BG1617" s="77"/>
      <c r="BH1617" s="77"/>
      <c r="BI1617" s="77"/>
    </row>
    <row r="1618" spans="1:61" x14ac:dyDescent="0.25">
      <c r="A1618" s="62" t="s">
        <v>420</v>
      </c>
      <c r="B1618" s="62" t="s">
        <v>420</v>
      </c>
      <c r="C1618" s="63"/>
      <c r="D1618" s="64"/>
      <c r="E1618" s="65"/>
      <c r="F1618" s="66"/>
      <c r="G1618" s="63"/>
      <c r="H1618" s="67"/>
      <c r="I1618" s="68"/>
      <c r="J1618" s="68"/>
      <c r="K1618" s="32"/>
      <c r="L1618" s="75">
        <v>1618</v>
      </c>
      <c r="M1618" s="75"/>
      <c r="N1618" s="70"/>
      <c r="O1618" s="77" t="s">
        <v>179</v>
      </c>
      <c r="P1618" s="79">
        <v>45003.833622685182</v>
      </c>
      <c r="Q1618" s="77" t="s">
        <v>2692</v>
      </c>
      <c r="R1618" s="77">
        <v>0</v>
      </c>
      <c r="S1618" s="77">
        <v>4</v>
      </c>
      <c r="T1618" s="77">
        <v>0</v>
      </c>
      <c r="U1618" s="77">
        <v>1</v>
      </c>
      <c r="V1618" s="77">
        <v>1096</v>
      </c>
      <c r="W1618" s="82" t="s">
        <v>5193</v>
      </c>
      <c r="X1618" s="80" t="str">
        <f>HYPERLINK("https://mla.bs/41ee5b69")</f>
        <v>https://mla.bs/41ee5b69</v>
      </c>
      <c r="Y1618" s="77" t="s">
        <v>6030</v>
      </c>
      <c r="Z1618" s="77"/>
      <c r="AA1618" s="77"/>
      <c r="AB1618" s="77"/>
      <c r="AC1618" s="82" t="s">
        <v>7708</v>
      </c>
      <c r="AD1618" s="77" t="s">
        <v>7745</v>
      </c>
      <c r="AE1618" s="80" t="str">
        <f>HYPERLINK("https://twitter.com/einvestidor/status/1637182188201418754")</f>
        <v>https://twitter.com/einvestidor/status/1637182188201418754</v>
      </c>
      <c r="AF1618" s="79">
        <v>45003.833622685182</v>
      </c>
      <c r="AG1618" s="85">
        <v>45003</v>
      </c>
      <c r="AH1618" s="82" t="s">
        <v>9190</v>
      </c>
      <c r="AI1618" s="77" t="b">
        <v>0</v>
      </c>
      <c r="AJ1618" s="77"/>
      <c r="AK1618" s="77"/>
      <c r="AL1618" s="77"/>
      <c r="AM1618" s="77"/>
      <c r="AN1618" s="77"/>
      <c r="AO1618" s="77"/>
      <c r="AP1618" s="77"/>
      <c r="AQ1618" s="77"/>
      <c r="AR1618" s="77"/>
      <c r="AS1618" s="77"/>
      <c r="AT1618" s="77"/>
      <c r="AU1618" s="77"/>
      <c r="AV1618" s="80" t="str">
        <f>HYPERLINK("https://pbs.twimg.com/profile_images/1241147984924082183/gZgx_hL-_normal.jpg")</f>
        <v>https://pbs.twimg.com/profile_images/1241147984924082183/gZgx_hL-_normal.jpg</v>
      </c>
      <c r="AW1618" s="82" t="s">
        <v>13784</v>
      </c>
      <c r="AX1618" s="82" t="s">
        <v>13784</v>
      </c>
      <c r="AY1618" s="77"/>
      <c r="AZ1618" s="82" t="s">
        <v>15804</v>
      </c>
      <c r="BA1618" s="82" t="s">
        <v>15804</v>
      </c>
      <c r="BB1618" s="82" t="s">
        <v>15804</v>
      </c>
      <c r="BC1618" s="82" t="s">
        <v>13784</v>
      </c>
      <c r="BD1618" s="82" t="s">
        <v>15756</v>
      </c>
      <c r="BE1618" s="77"/>
      <c r="BF1618" s="77"/>
      <c r="BG1618" s="77"/>
      <c r="BH1618" s="77"/>
      <c r="BI1618" s="77"/>
    </row>
    <row r="1619" spans="1:61" x14ac:dyDescent="0.25">
      <c r="A1619" s="62" t="s">
        <v>420</v>
      </c>
      <c r="B1619" s="62" t="s">
        <v>420</v>
      </c>
      <c r="C1619" s="63"/>
      <c r="D1619" s="64"/>
      <c r="E1619" s="65"/>
      <c r="F1619" s="66"/>
      <c r="G1619" s="63"/>
      <c r="H1619" s="67"/>
      <c r="I1619" s="68"/>
      <c r="J1619" s="68"/>
      <c r="K1619" s="32"/>
      <c r="L1619" s="75">
        <v>1619</v>
      </c>
      <c r="M1619" s="75"/>
      <c r="N1619" s="70"/>
      <c r="O1619" s="77" t="s">
        <v>179</v>
      </c>
      <c r="P1619" s="79">
        <v>44932.552175925928</v>
      </c>
      <c r="Q1619" s="77" t="s">
        <v>2693</v>
      </c>
      <c r="R1619" s="77">
        <v>0</v>
      </c>
      <c r="S1619" s="77">
        <v>1</v>
      </c>
      <c r="T1619" s="77">
        <v>0</v>
      </c>
      <c r="U1619" s="77">
        <v>0</v>
      </c>
      <c r="V1619" s="77">
        <v>433</v>
      </c>
      <c r="W1619" s="82" t="s">
        <v>5194</v>
      </c>
      <c r="X1619" s="80" t="str">
        <f>HYPERLINK("https://mla.bs/42c6c57d")</f>
        <v>https://mla.bs/42c6c57d</v>
      </c>
      <c r="Y1619" s="77" t="s">
        <v>6030</v>
      </c>
      <c r="Z1619" s="77"/>
      <c r="AA1619" s="77"/>
      <c r="AB1619" s="77"/>
      <c r="AC1619" s="82" t="s">
        <v>7708</v>
      </c>
      <c r="AD1619" s="77" t="s">
        <v>7745</v>
      </c>
      <c r="AE1619" s="80" t="str">
        <f>HYPERLINK("https://twitter.com/einvestidor/status/1611350657990017025")</f>
        <v>https://twitter.com/einvestidor/status/1611350657990017025</v>
      </c>
      <c r="AF1619" s="79">
        <v>44932.552175925928</v>
      </c>
      <c r="AG1619" s="85">
        <v>44932</v>
      </c>
      <c r="AH1619" s="82" t="s">
        <v>9191</v>
      </c>
      <c r="AI1619" s="77" t="b">
        <v>0</v>
      </c>
      <c r="AJ1619" s="77"/>
      <c r="AK1619" s="77"/>
      <c r="AL1619" s="77"/>
      <c r="AM1619" s="77"/>
      <c r="AN1619" s="77"/>
      <c r="AO1619" s="77"/>
      <c r="AP1619" s="77"/>
      <c r="AQ1619" s="77"/>
      <c r="AR1619" s="77"/>
      <c r="AS1619" s="77"/>
      <c r="AT1619" s="77"/>
      <c r="AU1619" s="77"/>
      <c r="AV1619" s="80" t="str">
        <f>HYPERLINK("https://pbs.twimg.com/profile_images/1241147984924082183/gZgx_hL-_normal.jpg")</f>
        <v>https://pbs.twimg.com/profile_images/1241147984924082183/gZgx_hL-_normal.jpg</v>
      </c>
      <c r="AW1619" s="82" t="s">
        <v>13785</v>
      </c>
      <c r="AX1619" s="82" t="s">
        <v>13785</v>
      </c>
      <c r="AY1619" s="77"/>
      <c r="AZ1619" s="82" t="s">
        <v>15804</v>
      </c>
      <c r="BA1619" s="82" t="s">
        <v>15804</v>
      </c>
      <c r="BB1619" s="82" t="s">
        <v>15804</v>
      </c>
      <c r="BC1619" s="82" t="s">
        <v>13785</v>
      </c>
      <c r="BD1619" s="82" t="s">
        <v>15756</v>
      </c>
      <c r="BE1619" s="77"/>
      <c r="BF1619" s="77"/>
      <c r="BG1619" s="77"/>
      <c r="BH1619" s="77"/>
      <c r="BI1619" s="77"/>
    </row>
    <row r="1620" spans="1:61" x14ac:dyDescent="0.25">
      <c r="A1620" s="62" t="s">
        <v>420</v>
      </c>
      <c r="B1620" s="62" t="s">
        <v>420</v>
      </c>
      <c r="C1620" s="63"/>
      <c r="D1620" s="64"/>
      <c r="E1620" s="65"/>
      <c r="F1620" s="66"/>
      <c r="G1620" s="63"/>
      <c r="H1620" s="67"/>
      <c r="I1620" s="68"/>
      <c r="J1620" s="68"/>
      <c r="K1620" s="32"/>
      <c r="L1620" s="75">
        <v>1620</v>
      </c>
      <c r="M1620" s="75"/>
      <c r="N1620" s="70"/>
      <c r="O1620" s="77" t="s">
        <v>179</v>
      </c>
      <c r="P1620" s="79">
        <v>45077.479733796295</v>
      </c>
      <c r="Q1620" s="77" t="s">
        <v>2694</v>
      </c>
      <c r="R1620" s="77">
        <v>0</v>
      </c>
      <c r="S1620" s="77">
        <v>0</v>
      </c>
      <c r="T1620" s="77">
        <v>0</v>
      </c>
      <c r="U1620" s="77">
        <v>0</v>
      </c>
      <c r="V1620" s="77">
        <v>465</v>
      </c>
      <c r="W1620" s="82" t="s">
        <v>4080</v>
      </c>
      <c r="X1620" s="80" t="str">
        <f>HYPERLINK("https://mla.bs/1a4d4c1a")</f>
        <v>https://mla.bs/1a4d4c1a</v>
      </c>
      <c r="Y1620" s="77" t="s">
        <v>6030</v>
      </c>
      <c r="Z1620" s="77"/>
      <c r="AA1620" s="77"/>
      <c r="AB1620" s="77"/>
      <c r="AC1620" s="82" t="s">
        <v>7708</v>
      </c>
      <c r="AD1620" s="77" t="s">
        <v>7745</v>
      </c>
      <c r="AE1620" s="80" t="str">
        <f>HYPERLINK("https://twitter.com/einvestidor/status/1663870645405458432")</f>
        <v>https://twitter.com/einvestidor/status/1663870645405458432</v>
      </c>
      <c r="AF1620" s="79">
        <v>45077.479733796295</v>
      </c>
      <c r="AG1620" s="85">
        <v>45077</v>
      </c>
      <c r="AH1620" s="82" t="s">
        <v>9192</v>
      </c>
      <c r="AI1620" s="77" t="b">
        <v>0</v>
      </c>
      <c r="AJ1620" s="77"/>
      <c r="AK1620" s="77"/>
      <c r="AL1620" s="77"/>
      <c r="AM1620" s="77"/>
      <c r="AN1620" s="77"/>
      <c r="AO1620" s="77"/>
      <c r="AP1620" s="77"/>
      <c r="AQ1620" s="77"/>
      <c r="AR1620" s="77"/>
      <c r="AS1620" s="77"/>
      <c r="AT1620" s="77"/>
      <c r="AU1620" s="77"/>
      <c r="AV1620" s="80" t="str">
        <f>HYPERLINK("https://pbs.twimg.com/profile_images/1241147984924082183/gZgx_hL-_normal.jpg")</f>
        <v>https://pbs.twimg.com/profile_images/1241147984924082183/gZgx_hL-_normal.jpg</v>
      </c>
      <c r="AW1620" s="82" t="s">
        <v>13786</v>
      </c>
      <c r="AX1620" s="82" t="s">
        <v>13786</v>
      </c>
      <c r="AY1620" s="77"/>
      <c r="AZ1620" s="82" t="s">
        <v>15804</v>
      </c>
      <c r="BA1620" s="82" t="s">
        <v>15804</v>
      </c>
      <c r="BB1620" s="82" t="s">
        <v>15804</v>
      </c>
      <c r="BC1620" s="82" t="s">
        <v>13786</v>
      </c>
      <c r="BD1620" s="82" t="s">
        <v>15756</v>
      </c>
      <c r="BE1620" s="77"/>
      <c r="BF1620" s="77"/>
      <c r="BG1620" s="77"/>
      <c r="BH1620" s="77"/>
      <c r="BI1620" s="77"/>
    </row>
    <row r="1621" spans="1:61" x14ac:dyDescent="0.25">
      <c r="A1621" s="62" t="s">
        <v>420</v>
      </c>
      <c r="B1621" s="62" t="s">
        <v>1106</v>
      </c>
      <c r="C1621" s="63"/>
      <c r="D1621" s="64"/>
      <c r="E1621" s="65"/>
      <c r="F1621" s="66"/>
      <c r="G1621" s="63"/>
      <c r="H1621" s="67"/>
      <c r="I1621" s="68"/>
      <c r="J1621" s="68"/>
      <c r="K1621" s="32"/>
      <c r="L1621" s="75">
        <v>1621</v>
      </c>
      <c r="M1621" s="75"/>
      <c r="N1621" s="70"/>
      <c r="O1621" s="77" t="s">
        <v>1133</v>
      </c>
      <c r="P1621" s="79">
        <v>45027.583923611113</v>
      </c>
      <c r="Q1621" s="77" t="s">
        <v>2695</v>
      </c>
      <c r="R1621" s="77">
        <v>0</v>
      </c>
      <c r="S1621" s="77">
        <v>2</v>
      </c>
      <c r="T1621" s="77">
        <v>0</v>
      </c>
      <c r="U1621" s="77">
        <v>0</v>
      </c>
      <c r="V1621" s="77">
        <v>450</v>
      </c>
      <c r="W1621" s="82" t="s">
        <v>4080</v>
      </c>
      <c r="X1621" s="80" t="str">
        <f>HYPERLINK("https://mla.bs/e451d971")</f>
        <v>https://mla.bs/e451d971</v>
      </c>
      <c r="Y1621" s="77" t="s">
        <v>6030</v>
      </c>
      <c r="Z1621" s="77" t="s">
        <v>1106</v>
      </c>
      <c r="AA1621" s="77"/>
      <c r="AB1621" s="77"/>
      <c r="AC1621" s="82" t="s">
        <v>7708</v>
      </c>
      <c r="AD1621" s="77" t="s">
        <v>7745</v>
      </c>
      <c r="AE1621" s="80" t="str">
        <f>HYPERLINK("https://twitter.com/einvestidor/status/1645789008667222017")</f>
        <v>https://twitter.com/einvestidor/status/1645789008667222017</v>
      </c>
      <c r="AF1621" s="79">
        <v>45027.583923611113</v>
      </c>
      <c r="AG1621" s="85">
        <v>45027</v>
      </c>
      <c r="AH1621" s="82" t="s">
        <v>9193</v>
      </c>
      <c r="AI1621" s="77" t="b">
        <v>0</v>
      </c>
      <c r="AJ1621" s="77"/>
      <c r="AK1621" s="77"/>
      <c r="AL1621" s="77"/>
      <c r="AM1621" s="77"/>
      <c r="AN1621" s="77"/>
      <c r="AO1621" s="77"/>
      <c r="AP1621" s="77"/>
      <c r="AQ1621" s="77"/>
      <c r="AR1621" s="77"/>
      <c r="AS1621" s="77"/>
      <c r="AT1621" s="77"/>
      <c r="AU1621" s="77"/>
      <c r="AV1621" s="80" t="str">
        <f>HYPERLINK("https://pbs.twimg.com/profile_images/1241147984924082183/gZgx_hL-_normal.jpg")</f>
        <v>https://pbs.twimg.com/profile_images/1241147984924082183/gZgx_hL-_normal.jpg</v>
      </c>
      <c r="AW1621" s="82" t="s">
        <v>13787</v>
      </c>
      <c r="AX1621" s="82" t="s">
        <v>13787</v>
      </c>
      <c r="AY1621" s="77"/>
      <c r="AZ1621" s="82" t="s">
        <v>15804</v>
      </c>
      <c r="BA1621" s="82" t="s">
        <v>15804</v>
      </c>
      <c r="BB1621" s="82" t="s">
        <v>15804</v>
      </c>
      <c r="BC1621" s="82" t="s">
        <v>13787</v>
      </c>
      <c r="BD1621" s="82" t="s">
        <v>15756</v>
      </c>
      <c r="BE1621" s="77"/>
      <c r="BF1621" s="77"/>
      <c r="BG1621" s="77"/>
      <c r="BH1621" s="77"/>
      <c r="BI1621" s="77"/>
    </row>
    <row r="1622" spans="1:61" x14ac:dyDescent="0.25">
      <c r="A1622" s="62" t="s">
        <v>420</v>
      </c>
      <c r="B1622" s="62" t="s">
        <v>420</v>
      </c>
      <c r="C1622" s="63"/>
      <c r="D1622" s="64"/>
      <c r="E1622" s="65"/>
      <c r="F1622" s="66"/>
      <c r="G1622" s="63"/>
      <c r="H1622" s="67"/>
      <c r="I1622" s="68"/>
      <c r="J1622" s="68"/>
      <c r="K1622" s="32"/>
      <c r="L1622" s="75">
        <v>1622</v>
      </c>
      <c r="M1622" s="75"/>
      <c r="N1622" s="70"/>
      <c r="O1622" s="77" t="s">
        <v>179</v>
      </c>
      <c r="P1622" s="79">
        <v>45103.542187500003</v>
      </c>
      <c r="Q1622" s="77" t="s">
        <v>2696</v>
      </c>
      <c r="R1622" s="77">
        <v>0</v>
      </c>
      <c r="S1622" s="77">
        <v>2</v>
      </c>
      <c r="T1622" s="77">
        <v>0</v>
      </c>
      <c r="U1622" s="77">
        <v>0</v>
      </c>
      <c r="V1622" s="77">
        <v>489</v>
      </c>
      <c r="W1622" s="82" t="s">
        <v>5195</v>
      </c>
      <c r="X1622" s="80" t="str">
        <f>HYPERLINK("https://mla.bs/8214de74")</f>
        <v>https://mla.bs/8214de74</v>
      </c>
      <c r="Y1622" s="77" t="s">
        <v>6030</v>
      </c>
      <c r="Z1622" s="77"/>
      <c r="AA1622" s="77"/>
      <c r="AB1622" s="77"/>
      <c r="AC1622" s="82" t="s">
        <v>7708</v>
      </c>
      <c r="AD1622" s="77" t="s">
        <v>7745</v>
      </c>
      <c r="AE1622" s="80" t="str">
        <f>HYPERLINK("https://twitter.com/einvestidor/status/1673315359686811649")</f>
        <v>https://twitter.com/einvestidor/status/1673315359686811649</v>
      </c>
      <c r="AF1622" s="79">
        <v>45103.542187500003</v>
      </c>
      <c r="AG1622" s="85">
        <v>45103</v>
      </c>
      <c r="AH1622" s="82" t="s">
        <v>9194</v>
      </c>
      <c r="AI1622" s="77" t="b">
        <v>0</v>
      </c>
      <c r="AJ1622" s="77"/>
      <c r="AK1622" s="77"/>
      <c r="AL1622" s="77"/>
      <c r="AM1622" s="77"/>
      <c r="AN1622" s="77"/>
      <c r="AO1622" s="77"/>
      <c r="AP1622" s="77"/>
      <c r="AQ1622" s="77"/>
      <c r="AR1622" s="77"/>
      <c r="AS1622" s="77"/>
      <c r="AT1622" s="77"/>
      <c r="AU1622" s="77"/>
      <c r="AV1622" s="80" t="str">
        <f>HYPERLINK("https://pbs.twimg.com/profile_images/1241147984924082183/gZgx_hL-_normal.jpg")</f>
        <v>https://pbs.twimg.com/profile_images/1241147984924082183/gZgx_hL-_normal.jpg</v>
      </c>
      <c r="AW1622" s="82" t="s">
        <v>13788</v>
      </c>
      <c r="AX1622" s="82" t="s">
        <v>13788</v>
      </c>
      <c r="AY1622" s="77"/>
      <c r="AZ1622" s="82" t="s">
        <v>15804</v>
      </c>
      <c r="BA1622" s="82" t="s">
        <v>15804</v>
      </c>
      <c r="BB1622" s="82" t="s">
        <v>15804</v>
      </c>
      <c r="BC1622" s="82" t="s">
        <v>13788</v>
      </c>
      <c r="BD1622" s="82" t="s">
        <v>15756</v>
      </c>
      <c r="BE1622" s="77"/>
      <c r="BF1622" s="77"/>
      <c r="BG1622" s="77"/>
      <c r="BH1622" s="77"/>
      <c r="BI1622" s="77"/>
    </row>
    <row r="1623" spans="1:61" x14ac:dyDescent="0.25">
      <c r="A1623" s="62" t="s">
        <v>420</v>
      </c>
      <c r="B1623" s="62" t="s">
        <v>420</v>
      </c>
      <c r="C1623" s="63"/>
      <c r="D1623" s="64"/>
      <c r="E1623" s="65"/>
      <c r="F1623" s="66"/>
      <c r="G1623" s="63"/>
      <c r="H1623" s="67"/>
      <c r="I1623" s="68"/>
      <c r="J1623" s="68"/>
      <c r="K1623" s="32"/>
      <c r="L1623" s="75">
        <v>1623</v>
      </c>
      <c r="M1623" s="75"/>
      <c r="N1623" s="70"/>
      <c r="O1623" s="77" t="s">
        <v>179</v>
      </c>
      <c r="P1623" s="79">
        <v>45067.875509259262</v>
      </c>
      <c r="Q1623" s="77" t="s">
        <v>2697</v>
      </c>
      <c r="R1623" s="77">
        <v>1</v>
      </c>
      <c r="S1623" s="77">
        <v>2</v>
      </c>
      <c r="T1623" s="77">
        <v>1</v>
      </c>
      <c r="U1623" s="77">
        <v>0</v>
      </c>
      <c r="V1623" s="77">
        <v>1297</v>
      </c>
      <c r="W1623" s="82" t="s">
        <v>4080</v>
      </c>
      <c r="X1623" s="80" t="str">
        <f>HYPERLINK("https://mla.bs/9f3a14d7")</f>
        <v>https://mla.bs/9f3a14d7</v>
      </c>
      <c r="Y1623" s="77" t="s">
        <v>6030</v>
      </c>
      <c r="Z1623" s="77"/>
      <c r="AA1623" s="77"/>
      <c r="AB1623" s="77"/>
      <c r="AC1623" s="82" t="s">
        <v>7708</v>
      </c>
      <c r="AD1623" s="77" t="s">
        <v>7745</v>
      </c>
      <c r="AE1623" s="80" t="str">
        <f>HYPERLINK("https://twitter.com/einvestidor/status/1660390190119018497")</f>
        <v>https://twitter.com/einvestidor/status/1660390190119018497</v>
      </c>
      <c r="AF1623" s="79">
        <v>45067.875509259262</v>
      </c>
      <c r="AG1623" s="85">
        <v>45067</v>
      </c>
      <c r="AH1623" s="82" t="s">
        <v>9195</v>
      </c>
      <c r="AI1623" s="77" t="b">
        <v>0</v>
      </c>
      <c r="AJ1623" s="77"/>
      <c r="AK1623" s="77"/>
      <c r="AL1623" s="77"/>
      <c r="AM1623" s="77"/>
      <c r="AN1623" s="77"/>
      <c r="AO1623" s="77"/>
      <c r="AP1623" s="77"/>
      <c r="AQ1623" s="77"/>
      <c r="AR1623" s="77"/>
      <c r="AS1623" s="77"/>
      <c r="AT1623" s="77"/>
      <c r="AU1623" s="77"/>
      <c r="AV1623" s="80" t="str">
        <f>HYPERLINK("https://pbs.twimg.com/profile_images/1241147984924082183/gZgx_hL-_normal.jpg")</f>
        <v>https://pbs.twimg.com/profile_images/1241147984924082183/gZgx_hL-_normal.jpg</v>
      </c>
      <c r="AW1623" s="82" t="s">
        <v>13789</v>
      </c>
      <c r="AX1623" s="82" t="s">
        <v>13789</v>
      </c>
      <c r="AY1623" s="77"/>
      <c r="AZ1623" s="82" t="s">
        <v>15804</v>
      </c>
      <c r="BA1623" s="82" t="s">
        <v>15804</v>
      </c>
      <c r="BB1623" s="82" t="s">
        <v>15804</v>
      </c>
      <c r="BC1623" s="82" t="s">
        <v>13789</v>
      </c>
      <c r="BD1623" s="82" t="s">
        <v>15756</v>
      </c>
      <c r="BE1623" s="77"/>
      <c r="BF1623" s="77"/>
      <c r="BG1623" s="77"/>
      <c r="BH1623" s="77"/>
      <c r="BI1623" s="77"/>
    </row>
    <row r="1624" spans="1:61" x14ac:dyDescent="0.25">
      <c r="A1624" s="62" t="s">
        <v>420</v>
      </c>
      <c r="B1624" s="62" t="s">
        <v>420</v>
      </c>
      <c r="C1624" s="63"/>
      <c r="D1624" s="64"/>
      <c r="E1624" s="65"/>
      <c r="F1624" s="66"/>
      <c r="G1624" s="63"/>
      <c r="H1624" s="67"/>
      <c r="I1624" s="68"/>
      <c r="J1624" s="68"/>
      <c r="K1624" s="32"/>
      <c r="L1624" s="75">
        <v>1624</v>
      </c>
      <c r="M1624" s="75"/>
      <c r="N1624" s="70"/>
      <c r="O1624" s="77" t="s">
        <v>179</v>
      </c>
      <c r="P1624" s="79">
        <v>45064.583935185183</v>
      </c>
      <c r="Q1624" s="77" t="s">
        <v>2698</v>
      </c>
      <c r="R1624" s="77">
        <v>4</v>
      </c>
      <c r="S1624" s="77">
        <v>11</v>
      </c>
      <c r="T1624" s="77">
        <v>11</v>
      </c>
      <c r="U1624" s="77">
        <v>2</v>
      </c>
      <c r="V1624" s="77">
        <v>18411</v>
      </c>
      <c r="W1624" s="82" t="s">
        <v>4080</v>
      </c>
      <c r="X1624" s="80" t="str">
        <f>HYPERLINK("https://mla.bs/9f3a14d7")</f>
        <v>https://mla.bs/9f3a14d7</v>
      </c>
      <c r="Y1624" s="77" t="s">
        <v>6030</v>
      </c>
      <c r="Z1624" s="77"/>
      <c r="AA1624" s="77"/>
      <c r="AB1624" s="77"/>
      <c r="AC1624" s="82" t="s">
        <v>7708</v>
      </c>
      <c r="AD1624" s="77" t="s">
        <v>7745</v>
      </c>
      <c r="AE1624" s="80" t="str">
        <f>HYPERLINK("https://twitter.com/einvestidor/status/1659197363653836802")</f>
        <v>https://twitter.com/einvestidor/status/1659197363653836802</v>
      </c>
      <c r="AF1624" s="79">
        <v>45064.583935185183</v>
      </c>
      <c r="AG1624" s="85">
        <v>45064</v>
      </c>
      <c r="AH1624" s="82" t="s">
        <v>9196</v>
      </c>
      <c r="AI1624" s="77" t="b">
        <v>0</v>
      </c>
      <c r="AJ1624" s="77"/>
      <c r="AK1624" s="77"/>
      <c r="AL1624" s="77"/>
      <c r="AM1624" s="77"/>
      <c r="AN1624" s="77"/>
      <c r="AO1624" s="77"/>
      <c r="AP1624" s="77"/>
      <c r="AQ1624" s="77"/>
      <c r="AR1624" s="77"/>
      <c r="AS1624" s="77"/>
      <c r="AT1624" s="77"/>
      <c r="AU1624" s="77"/>
      <c r="AV1624" s="80" t="str">
        <f>HYPERLINK("https://pbs.twimg.com/profile_images/1241147984924082183/gZgx_hL-_normal.jpg")</f>
        <v>https://pbs.twimg.com/profile_images/1241147984924082183/gZgx_hL-_normal.jpg</v>
      </c>
      <c r="AW1624" s="82" t="s">
        <v>13790</v>
      </c>
      <c r="AX1624" s="82" t="s">
        <v>13790</v>
      </c>
      <c r="AY1624" s="77"/>
      <c r="AZ1624" s="82" t="s">
        <v>15804</v>
      </c>
      <c r="BA1624" s="82" t="s">
        <v>15804</v>
      </c>
      <c r="BB1624" s="82" t="s">
        <v>15804</v>
      </c>
      <c r="BC1624" s="82" t="s">
        <v>13790</v>
      </c>
      <c r="BD1624" s="82" t="s">
        <v>15756</v>
      </c>
      <c r="BE1624" s="77"/>
      <c r="BF1624" s="77"/>
      <c r="BG1624" s="77"/>
      <c r="BH1624" s="77"/>
      <c r="BI1624" s="77"/>
    </row>
    <row r="1625" spans="1:61" x14ac:dyDescent="0.25">
      <c r="A1625" s="62" t="s">
        <v>420</v>
      </c>
      <c r="B1625" s="62" t="s">
        <v>420</v>
      </c>
      <c r="C1625" s="63"/>
      <c r="D1625" s="64"/>
      <c r="E1625" s="65"/>
      <c r="F1625" s="66"/>
      <c r="G1625" s="63"/>
      <c r="H1625" s="67"/>
      <c r="I1625" s="68"/>
      <c r="J1625" s="68"/>
      <c r="K1625" s="32"/>
      <c r="L1625" s="75">
        <v>1625</v>
      </c>
      <c r="M1625" s="75"/>
      <c r="N1625" s="70"/>
      <c r="O1625" s="77" t="s">
        <v>179</v>
      </c>
      <c r="P1625" s="79">
        <v>45116.917187500003</v>
      </c>
      <c r="Q1625" s="77" t="s">
        <v>2699</v>
      </c>
      <c r="R1625" s="77">
        <v>1</v>
      </c>
      <c r="S1625" s="77">
        <v>2</v>
      </c>
      <c r="T1625" s="77">
        <v>0</v>
      </c>
      <c r="U1625" s="77">
        <v>0</v>
      </c>
      <c r="V1625" s="77">
        <v>931</v>
      </c>
      <c r="W1625" s="82" t="s">
        <v>4080</v>
      </c>
      <c r="X1625" s="80" t="str">
        <f>HYPERLINK("https://mla.bs/6d465a6c")</f>
        <v>https://mla.bs/6d465a6c</v>
      </c>
      <c r="Y1625" s="77" t="s">
        <v>6030</v>
      </c>
      <c r="Z1625" s="77"/>
      <c r="AA1625" s="77"/>
      <c r="AB1625" s="77"/>
      <c r="AC1625" s="82" t="s">
        <v>7708</v>
      </c>
      <c r="AD1625" s="77" t="s">
        <v>7745</v>
      </c>
      <c r="AE1625" s="80" t="str">
        <f>HYPERLINK("https://twitter.com/einvestidor/status/1678162298467221505")</f>
        <v>https://twitter.com/einvestidor/status/1678162298467221505</v>
      </c>
      <c r="AF1625" s="79">
        <v>45116.917187500003</v>
      </c>
      <c r="AG1625" s="85">
        <v>45116</v>
      </c>
      <c r="AH1625" s="82" t="s">
        <v>9197</v>
      </c>
      <c r="AI1625" s="77" t="b">
        <v>0</v>
      </c>
      <c r="AJ1625" s="77"/>
      <c r="AK1625" s="77"/>
      <c r="AL1625" s="77"/>
      <c r="AM1625" s="77"/>
      <c r="AN1625" s="77"/>
      <c r="AO1625" s="77"/>
      <c r="AP1625" s="77"/>
      <c r="AQ1625" s="77"/>
      <c r="AR1625" s="77"/>
      <c r="AS1625" s="77"/>
      <c r="AT1625" s="77"/>
      <c r="AU1625" s="77"/>
      <c r="AV1625" s="80" t="str">
        <f>HYPERLINK("https://pbs.twimg.com/profile_images/1241147984924082183/gZgx_hL-_normal.jpg")</f>
        <v>https://pbs.twimg.com/profile_images/1241147984924082183/gZgx_hL-_normal.jpg</v>
      </c>
      <c r="AW1625" s="82" t="s">
        <v>13791</v>
      </c>
      <c r="AX1625" s="82" t="s">
        <v>13791</v>
      </c>
      <c r="AY1625" s="77"/>
      <c r="AZ1625" s="82" t="s">
        <v>15804</v>
      </c>
      <c r="BA1625" s="82" t="s">
        <v>15804</v>
      </c>
      <c r="BB1625" s="82" t="s">
        <v>15804</v>
      </c>
      <c r="BC1625" s="82" t="s">
        <v>13791</v>
      </c>
      <c r="BD1625" s="82" t="s">
        <v>15756</v>
      </c>
      <c r="BE1625" s="77"/>
      <c r="BF1625" s="77"/>
      <c r="BG1625" s="77"/>
      <c r="BH1625" s="77"/>
      <c r="BI1625" s="77"/>
    </row>
    <row r="1626" spans="1:61" x14ac:dyDescent="0.25">
      <c r="A1626" s="62" t="s">
        <v>420</v>
      </c>
      <c r="B1626" s="62" t="s">
        <v>420</v>
      </c>
      <c r="C1626" s="63"/>
      <c r="D1626" s="64"/>
      <c r="E1626" s="65"/>
      <c r="F1626" s="66"/>
      <c r="G1626" s="63"/>
      <c r="H1626" s="67"/>
      <c r="I1626" s="68"/>
      <c r="J1626" s="68"/>
      <c r="K1626" s="32"/>
      <c r="L1626" s="75">
        <v>1626</v>
      </c>
      <c r="M1626" s="75"/>
      <c r="N1626" s="70"/>
      <c r="O1626" s="77" t="s">
        <v>179</v>
      </c>
      <c r="P1626" s="79">
        <v>45116.417071759257</v>
      </c>
      <c r="Q1626" s="77" t="s">
        <v>2700</v>
      </c>
      <c r="R1626" s="77">
        <v>1</v>
      </c>
      <c r="S1626" s="77">
        <v>3</v>
      </c>
      <c r="T1626" s="77">
        <v>0</v>
      </c>
      <c r="U1626" s="77">
        <v>0</v>
      </c>
      <c r="V1626" s="77">
        <v>1112</v>
      </c>
      <c r="W1626" s="82" t="s">
        <v>4080</v>
      </c>
      <c r="X1626" s="80" t="str">
        <f>HYPERLINK("https://mla.bs/d5c1ed5c")</f>
        <v>https://mla.bs/d5c1ed5c</v>
      </c>
      <c r="Y1626" s="77" t="s">
        <v>6030</v>
      </c>
      <c r="Z1626" s="77"/>
      <c r="AA1626" s="77"/>
      <c r="AB1626" s="77"/>
      <c r="AC1626" s="82" t="s">
        <v>7708</v>
      </c>
      <c r="AD1626" s="77" t="s">
        <v>7745</v>
      </c>
      <c r="AE1626" s="80" t="str">
        <f>HYPERLINK("https://twitter.com/einvestidor/status/1677981064340357122")</f>
        <v>https://twitter.com/einvestidor/status/1677981064340357122</v>
      </c>
      <c r="AF1626" s="79">
        <v>45116.417071759257</v>
      </c>
      <c r="AG1626" s="85">
        <v>45116</v>
      </c>
      <c r="AH1626" s="82" t="s">
        <v>9198</v>
      </c>
      <c r="AI1626" s="77" t="b">
        <v>0</v>
      </c>
      <c r="AJ1626" s="77"/>
      <c r="AK1626" s="77"/>
      <c r="AL1626" s="77"/>
      <c r="AM1626" s="77"/>
      <c r="AN1626" s="77"/>
      <c r="AO1626" s="77"/>
      <c r="AP1626" s="77"/>
      <c r="AQ1626" s="77"/>
      <c r="AR1626" s="77"/>
      <c r="AS1626" s="77"/>
      <c r="AT1626" s="77"/>
      <c r="AU1626" s="77"/>
      <c r="AV1626" s="80" t="str">
        <f>HYPERLINK("https://pbs.twimg.com/profile_images/1241147984924082183/gZgx_hL-_normal.jpg")</f>
        <v>https://pbs.twimg.com/profile_images/1241147984924082183/gZgx_hL-_normal.jpg</v>
      </c>
      <c r="AW1626" s="82" t="s">
        <v>13792</v>
      </c>
      <c r="AX1626" s="82" t="s">
        <v>13792</v>
      </c>
      <c r="AY1626" s="77"/>
      <c r="AZ1626" s="82" t="s">
        <v>15804</v>
      </c>
      <c r="BA1626" s="82" t="s">
        <v>15804</v>
      </c>
      <c r="BB1626" s="82" t="s">
        <v>15804</v>
      </c>
      <c r="BC1626" s="82" t="s">
        <v>13792</v>
      </c>
      <c r="BD1626" s="82" t="s">
        <v>15756</v>
      </c>
      <c r="BE1626" s="77"/>
      <c r="BF1626" s="77"/>
      <c r="BG1626" s="77"/>
      <c r="BH1626" s="77"/>
      <c r="BI1626" s="77"/>
    </row>
    <row r="1627" spans="1:61" x14ac:dyDescent="0.25">
      <c r="A1627" s="62" t="s">
        <v>420</v>
      </c>
      <c r="B1627" s="62" t="s">
        <v>420</v>
      </c>
      <c r="C1627" s="63"/>
      <c r="D1627" s="64"/>
      <c r="E1627" s="65"/>
      <c r="F1627" s="66"/>
      <c r="G1627" s="63"/>
      <c r="H1627" s="67"/>
      <c r="I1627" s="68"/>
      <c r="J1627" s="68"/>
      <c r="K1627" s="32"/>
      <c r="L1627" s="75">
        <v>1627</v>
      </c>
      <c r="M1627" s="75"/>
      <c r="N1627" s="70"/>
      <c r="O1627" s="77" t="s">
        <v>179</v>
      </c>
      <c r="P1627" s="79">
        <v>44976.917002314818</v>
      </c>
      <c r="Q1627" s="77" t="s">
        <v>2701</v>
      </c>
      <c r="R1627" s="77">
        <v>2</v>
      </c>
      <c r="S1627" s="77">
        <v>17</v>
      </c>
      <c r="T1627" s="77">
        <v>1</v>
      </c>
      <c r="U1627" s="77">
        <v>1</v>
      </c>
      <c r="V1627" s="77">
        <v>2267</v>
      </c>
      <c r="W1627" s="82" t="s">
        <v>4496</v>
      </c>
      <c r="X1627" s="80" t="str">
        <f>HYPERLINK("https://mla.bs/3ff51267")</f>
        <v>https://mla.bs/3ff51267</v>
      </c>
      <c r="Y1627" s="77" t="s">
        <v>6030</v>
      </c>
      <c r="Z1627" s="77"/>
      <c r="AA1627" s="77"/>
      <c r="AB1627" s="77"/>
      <c r="AC1627" s="82" t="s">
        <v>7708</v>
      </c>
      <c r="AD1627" s="77" t="s">
        <v>7745</v>
      </c>
      <c r="AE1627" s="80" t="str">
        <f>HYPERLINK("https://twitter.com/einvestidor/status/1627427928945442816")</f>
        <v>https://twitter.com/einvestidor/status/1627427928945442816</v>
      </c>
      <c r="AF1627" s="79">
        <v>44976.917002314818</v>
      </c>
      <c r="AG1627" s="85">
        <v>44976</v>
      </c>
      <c r="AH1627" s="82" t="s">
        <v>9199</v>
      </c>
      <c r="AI1627" s="77" t="b">
        <v>0</v>
      </c>
      <c r="AJ1627" s="77"/>
      <c r="AK1627" s="77"/>
      <c r="AL1627" s="77"/>
      <c r="AM1627" s="77"/>
      <c r="AN1627" s="77"/>
      <c r="AO1627" s="77"/>
      <c r="AP1627" s="77"/>
      <c r="AQ1627" s="77"/>
      <c r="AR1627" s="77"/>
      <c r="AS1627" s="77"/>
      <c r="AT1627" s="77"/>
      <c r="AU1627" s="77"/>
      <c r="AV1627" s="80" t="str">
        <f>HYPERLINK("https://pbs.twimg.com/profile_images/1241147984924082183/gZgx_hL-_normal.jpg")</f>
        <v>https://pbs.twimg.com/profile_images/1241147984924082183/gZgx_hL-_normal.jpg</v>
      </c>
      <c r="AW1627" s="82" t="s">
        <v>13793</v>
      </c>
      <c r="AX1627" s="82" t="s">
        <v>13793</v>
      </c>
      <c r="AY1627" s="77"/>
      <c r="AZ1627" s="82" t="s">
        <v>15804</v>
      </c>
      <c r="BA1627" s="82" t="s">
        <v>15804</v>
      </c>
      <c r="BB1627" s="82" t="s">
        <v>15804</v>
      </c>
      <c r="BC1627" s="82" t="s">
        <v>13793</v>
      </c>
      <c r="BD1627" s="82" t="s">
        <v>15756</v>
      </c>
      <c r="BE1627" s="77"/>
      <c r="BF1627" s="77"/>
      <c r="BG1627" s="77"/>
      <c r="BH1627" s="77"/>
      <c r="BI1627" s="77"/>
    </row>
    <row r="1628" spans="1:61" x14ac:dyDescent="0.25">
      <c r="A1628" s="62" t="s">
        <v>420</v>
      </c>
      <c r="B1628" s="62" t="s">
        <v>420</v>
      </c>
      <c r="C1628" s="63"/>
      <c r="D1628" s="64"/>
      <c r="E1628" s="65"/>
      <c r="F1628" s="66"/>
      <c r="G1628" s="63"/>
      <c r="H1628" s="67"/>
      <c r="I1628" s="68"/>
      <c r="J1628" s="68"/>
      <c r="K1628" s="32"/>
      <c r="L1628" s="75">
        <v>1628</v>
      </c>
      <c r="M1628" s="75"/>
      <c r="N1628" s="70"/>
      <c r="O1628" s="77" t="s">
        <v>179</v>
      </c>
      <c r="P1628" s="79">
        <v>44976.395844907405</v>
      </c>
      <c r="Q1628" s="77" t="s">
        <v>2702</v>
      </c>
      <c r="R1628" s="77">
        <v>1</v>
      </c>
      <c r="S1628" s="77">
        <v>8</v>
      </c>
      <c r="T1628" s="77">
        <v>0</v>
      </c>
      <c r="U1628" s="77">
        <v>0</v>
      </c>
      <c r="V1628" s="77">
        <v>1236</v>
      </c>
      <c r="W1628" s="82" t="s">
        <v>5192</v>
      </c>
      <c r="X1628" s="80" t="str">
        <f>HYPERLINK("https://mla.bs/dbd26bc9")</f>
        <v>https://mla.bs/dbd26bc9</v>
      </c>
      <c r="Y1628" s="77" t="s">
        <v>6030</v>
      </c>
      <c r="Z1628" s="77"/>
      <c r="AA1628" s="77"/>
      <c r="AB1628" s="77"/>
      <c r="AC1628" s="82" t="s">
        <v>7708</v>
      </c>
      <c r="AD1628" s="77" t="s">
        <v>7745</v>
      </c>
      <c r="AE1628" s="80" t="str">
        <f>HYPERLINK("https://twitter.com/einvestidor/status/1627239067824922624")</f>
        <v>https://twitter.com/einvestidor/status/1627239067824922624</v>
      </c>
      <c r="AF1628" s="79">
        <v>44976.395844907405</v>
      </c>
      <c r="AG1628" s="85">
        <v>44976</v>
      </c>
      <c r="AH1628" s="82" t="s">
        <v>9200</v>
      </c>
      <c r="AI1628" s="77" t="b">
        <v>0</v>
      </c>
      <c r="AJ1628" s="77"/>
      <c r="AK1628" s="77"/>
      <c r="AL1628" s="77"/>
      <c r="AM1628" s="77"/>
      <c r="AN1628" s="77"/>
      <c r="AO1628" s="77"/>
      <c r="AP1628" s="77"/>
      <c r="AQ1628" s="77"/>
      <c r="AR1628" s="77"/>
      <c r="AS1628" s="77"/>
      <c r="AT1628" s="77"/>
      <c r="AU1628" s="77"/>
      <c r="AV1628" s="80" t="str">
        <f>HYPERLINK("https://pbs.twimg.com/profile_images/1241147984924082183/gZgx_hL-_normal.jpg")</f>
        <v>https://pbs.twimg.com/profile_images/1241147984924082183/gZgx_hL-_normal.jpg</v>
      </c>
      <c r="AW1628" s="82" t="s">
        <v>13794</v>
      </c>
      <c r="AX1628" s="82" t="s">
        <v>13794</v>
      </c>
      <c r="AY1628" s="77"/>
      <c r="AZ1628" s="82" t="s">
        <v>15804</v>
      </c>
      <c r="BA1628" s="82" t="s">
        <v>15804</v>
      </c>
      <c r="BB1628" s="82" t="s">
        <v>15804</v>
      </c>
      <c r="BC1628" s="82" t="s">
        <v>13794</v>
      </c>
      <c r="BD1628" s="82" t="s">
        <v>15756</v>
      </c>
      <c r="BE1628" s="77"/>
      <c r="BF1628" s="77"/>
      <c r="BG1628" s="77"/>
      <c r="BH1628" s="77"/>
      <c r="BI1628" s="77"/>
    </row>
    <row r="1629" spans="1:61" x14ac:dyDescent="0.25">
      <c r="A1629" s="62" t="s">
        <v>420</v>
      </c>
      <c r="B1629" s="62" t="s">
        <v>420</v>
      </c>
      <c r="C1629" s="63"/>
      <c r="D1629" s="64"/>
      <c r="E1629" s="65"/>
      <c r="F1629" s="66"/>
      <c r="G1629" s="63"/>
      <c r="H1629" s="67"/>
      <c r="I1629" s="68"/>
      <c r="J1629" s="68"/>
      <c r="K1629" s="32"/>
      <c r="L1629" s="75">
        <v>1629</v>
      </c>
      <c r="M1629" s="75"/>
      <c r="N1629" s="70"/>
      <c r="O1629" s="77" t="s">
        <v>179</v>
      </c>
      <c r="P1629" s="79">
        <v>44975.375162037039</v>
      </c>
      <c r="Q1629" s="77" t="s">
        <v>2703</v>
      </c>
      <c r="R1629" s="77">
        <v>0</v>
      </c>
      <c r="S1629" s="77">
        <v>12</v>
      </c>
      <c r="T1629" s="77">
        <v>5</v>
      </c>
      <c r="U1629" s="77">
        <v>0</v>
      </c>
      <c r="V1629" s="77">
        <v>2956</v>
      </c>
      <c r="W1629" s="82" t="s">
        <v>4080</v>
      </c>
      <c r="X1629" s="80" t="str">
        <f>HYPERLINK("https://mla.bs/c2d1ddbb")</f>
        <v>https://mla.bs/c2d1ddbb</v>
      </c>
      <c r="Y1629" s="77" t="s">
        <v>6030</v>
      </c>
      <c r="Z1629" s="77"/>
      <c r="AA1629" s="77"/>
      <c r="AB1629" s="77"/>
      <c r="AC1629" s="82" t="s">
        <v>7708</v>
      </c>
      <c r="AD1629" s="77" t="s">
        <v>7745</v>
      </c>
      <c r="AE1629" s="80" t="str">
        <f>HYPERLINK("https://twitter.com/einvestidor/status/1626869188223553536")</f>
        <v>https://twitter.com/einvestidor/status/1626869188223553536</v>
      </c>
      <c r="AF1629" s="79">
        <v>44975.375162037039</v>
      </c>
      <c r="AG1629" s="85">
        <v>44975</v>
      </c>
      <c r="AH1629" s="82" t="s">
        <v>9121</v>
      </c>
      <c r="AI1629" s="77" t="b">
        <v>0</v>
      </c>
      <c r="AJ1629" s="77"/>
      <c r="AK1629" s="77"/>
      <c r="AL1629" s="77"/>
      <c r="AM1629" s="77"/>
      <c r="AN1629" s="77"/>
      <c r="AO1629" s="77"/>
      <c r="AP1629" s="77"/>
      <c r="AQ1629" s="77"/>
      <c r="AR1629" s="77"/>
      <c r="AS1629" s="77"/>
      <c r="AT1629" s="77"/>
      <c r="AU1629" s="77"/>
      <c r="AV1629" s="80" t="str">
        <f>HYPERLINK("https://pbs.twimg.com/profile_images/1241147984924082183/gZgx_hL-_normal.jpg")</f>
        <v>https://pbs.twimg.com/profile_images/1241147984924082183/gZgx_hL-_normal.jpg</v>
      </c>
      <c r="AW1629" s="82" t="s">
        <v>13795</v>
      </c>
      <c r="AX1629" s="82" t="s">
        <v>13795</v>
      </c>
      <c r="AY1629" s="77"/>
      <c r="AZ1629" s="82" t="s">
        <v>15804</v>
      </c>
      <c r="BA1629" s="82" t="s">
        <v>15804</v>
      </c>
      <c r="BB1629" s="82" t="s">
        <v>15804</v>
      </c>
      <c r="BC1629" s="82" t="s">
        <v>13795</v>
      </c>
      <c r="BD1629" s="82" t="s">
        <v>15756</v>
      </c>
      <c r="BE1629" s="77"/>
      <c r="BF1629" s="77"/>
      <c r="BG1629" s="77"/>
      <c r="BH1629" s="77"/>
      <c r="BI1629" s="77"/>
    </row>
    <row r="1630" spans="1:61" x14ac:dyDescent="0.25">
      <c r="A1630" s="62" t="s">
        <v>420</v>
      </c>
      <c r="B1630" s="62" t="s">
        <v>420</v>
      </c>
      <c r="C1630" s="63"/>
      <c r="D1630" s="64"/>
      <c r="E1630" s="65"/>
      <c r="F1630" s="66"/>
      <c r="G1630" s="63"/>
      <c r="H1630" s="67"/>
      <c r="I1630" s="68"/>
      <c r="J1630" s="68"/>
      <c r="K1630" s="32"/>
      <c r="L1630" s="75">
        <v>1630</v>
      </c>
      <c r="M1630" s="75"/>
      <c r="N1630" s="70"/>
      <c r="O1630" s="77" t="s">
        <v>179</v>
      </c>
      <c r="P1630" s="79">
        <v>44972.44158564815</v>
      </c>
      <c r="Q1630" s="77" t="s">
        <v>2702</v>
      </c>
      <c r="R1630" s="77">
        <v>0</v>
      </c>
      <c r="S1630" s="77">
        <v>7</v>
      </c>
      <c r="T1630" s="77">
        <v>3</v>
      </c>
      <c r="U1630" s="77">
        <v>0</v>
      </c>
      <c r="V1630" s="77">
        <v>1983</v>
      </c>
      <c r="W1630" s="82" t="s">
        <v>5192</v>
      </c>
      <c r="X1630" s="80" t="str">
        <f>HYPERLINK("https://mla.bs/dbd26bc9")</f>
        <v>https://mla.bs/dbd26bc9</v>
      </c>
      <c r="Y1630" s="77" t="s">
        <v>6030</v>
      </c>
      <c r="Z1630" s="77"/>
      <c r="AA1630" s="77"/>
      <c r="AB1630" s="77"/>
      <c r="AC1630" s="82" t="s">
        <v>7708</v>
      </c>
      <c r="AD1630" s="77" t="s">
        <v>7745</v>
      </c>
      <c r="AE1630" s="80" t="str">
        <f>HYPERLINK("https://twitter.com/einvestidor/status/1625806094579687424")</f>
        <v>https://twitter.com/einvestidor/status/1625806094579687424</v>
      </c>
      <c r="AF1630" s="79">
        <v>44972.44158564815</v>
      </c>
      <c r="AG1630" s="85">
        <v>44972</v>
      </c>
      <c r="AH1630" s="82" t="s">
        <v>9201</v>
      </c>
      <c r="AI1630" s="77" t="b">
        <v>0</v>
      </c>
      <c r="AJ1630" s="77"/>
      <c r="AK1630" s="77"/>
      <c r="AL1630" s="77"/>
      <c r="AM1630" s="77"/>
      <c r="AN1630" s="77"/>
      <c r="AO1630" s="77"/>
      <c r="AP1630" s="77"/>
      <c r="AQ1630" s="77"/>
      <c r="AR1630" s="77"/>
      <c r="AS1630" s="77"/>
      <c r="AT1630" s="77"/>
      <c r="AU1630" s="77"/>
      <c r="AV1630" s="80" t="str">
        <f>HYPERLINK("https://pbs.twimg.com/profile_images/1241147984924082183/gZgx_hL-_normal.jpg")</f>
        <v>https://pbs.twimg.com/profile_images/1241147984924082183/gZgx_hL-_normal.jpg</v>
      </c>
      <c r="AW1630" s="82" t="s">
        <v>13796</v>
      </c>
      <c r="AX1630" s="82" t="s">
        <v>13796</v>
      </c>
      <c r="AY1630" s="77"/>
      <c r="AZ1630" s="82" t="s">
        <v>15804</v>
      </c>
      <c r="BA1630" s="82" t="s">
        <v>15804</v>
      </c>
      <c r="BB1630" s="82" t="s">
        <v>15804</v>
      </c>
      <c r="BC1630" s="82" t="s">
        <v>13796</v>
      </c>
      <c r="BD1630" s="82" t="s">
        <v>15756</v>
      </c>
      <c r="BE1630" s="77"/>
      <c r="BF1630" s="77"/>
      <c r="BG1630" s="77"/>
      <c r="BH1630" s="77"/>
      <c r="BI1630" s="77"/>
    </row>
    <row r="1631" spans="1:61" x14ac:dyDescent="0.25">
      <c r="A1631" s="62" t="s">
        <v>420</v>
      </c>
      <c r="B1631" s="62" t="s">
        <v>420</v>
      </c>
      <c r="C1631" s="63"/>
      <c r="D1631" s="64"/>
      <c r="E1631" s="65"/>
      <c r="F1631" s="66"/>
      <c r="G1631" s="63"/>
      <c r="H1631" s="67"/>
      <c r="I1631" s="68"/>
      <c r="J1631" s="68"/>
      <c r="K1631" s="32"/>
      <c r="L1631" s="75">
        <v>1631</v>
      </c>
      <c r="M1631" s="75"/>
      <c r="N1631" s="70"/>
      <c r="O1631" s="77" t="s">
        <v>179</v>
      </c>
      <c r="P1631" s="79">
        <v>45115.708726851852</v>
      </c>
      <c r="Q1631" s="77" t="s">
        <v>2704</v>
      </c>
      <c r="R1631" s="77">
        <v>1</v>
      </c>
      <c r="S1631" s="77">
        <v>4</v>
      </c>
      <c r="T1631" s="77">
        <v>0</v>
      </c>
      <c r="U1631" s="77">
        <v>0</v>
      </c>
      <c r="V1631" s="77">
        <v>1102</v>
      </c>
      <c r="W1631" s="82" t="s">
        <v>4080</v>
      </c>
      <c r="X1631" s="80" t="str">
        <f>HYPERLINK("https://mla.bs/d9d97c27")</f>
        <v>https://mla.bs/d9d97c27</v>
      </c>
      <c r="Y1631" s="77" t="s">
        <v>6030</v>
      </c>
      <c r="Z1631" s="77"/>
      <c r="AA1631" s="77"/>
      <c r="AB1631" s="77"/>
      <c r="AC1631" s="82" t="s">
        <v>7708</v>
      </c>
      <c r="AD1631" s="77" t="s">
        <v>7745</v>
      </c>
      <c r="AE1631" s="80" t="str">
        <f>HYPERLINK("https://twitter.com/einvestidor/status/1677724368187584514")</f>
        <v>https://twitter.com/einvestidor/status/1677724368187584514</v>
      </c>
      <c r="AF1631" s="79">
        <v>45115.708726851852</v>
      </c>
      <c r="AG1631" s="85">
        <v>45115</v>
      </c>
      <c r="AH1631" s="82" t="s">
        <v>9202</v>
      </c>
      <c r="AI1631" s="77" t="b">
        <v>0</v>
      </c>
      <c r="AJ1631" s="77"/>
      <c r="AK1631" s="77"/>
      <c r="AL1631" s="77"/>
      <c r="AM1631" s="77"/>
      <c r="AN1631" s="77"/>
      <c r="AO1631" s="77"/>
      <c r="AP1631" s="77"/>
      <c r="AQ1631" s="77"/>
      <c r="AR1631" s="77"/>
      <c r="AS1631" s="77"/>
      <c r="AT1631" s="77"/>
      <c r="AU1631" s="77"/>
      <c r="AV1631" s="80" t="str">
        <f>HYPERLINK("https://pbs.twimg.com/profile_images/1241147984924082183/gZgx_hL-_normal.jpg")</f>
        <v>https://pbs.twimg.com/profile_images/1241147984924082183/gZgx_hL-_normal.jpg</v>
      </c>
      <c r="AW1631" s="82" t="s">
        <v>13797</v>
      </c>
      <c r="AX1631" s="82" t="s">
        <v>13797</v>
      </c>
      <c r="AY1631" s="77"/>
      <c r="AZ1631" s="82" t="s">
        <v>15804</v>
      </c>
      <c r="BA1631" s="82" t="s">
        <v>15804</v>
      </c>
      <c r="BB1631" s="82" t="s">
        <v>15804</v>
      </c>
      <c r="BC1631" s="82" t="s">
        <v>13797</v>
      </c>
      <c r="BD1631" s="82" t="s">
        <v>15756</v>
      </c>
      <c r="BE1631" s="77"/>
      <c r="BF1631" s="77"/>
      <c r="BG1631" s="77"/>
      <c r="BH1631" s="77"/>
      <c r="BI1631" s="77"/>
    </row>
    <row r="1632" spans="1:61" x14ac:dyDescent="0.25">
      <c r="A1632" s="62" t="s">
        <v>420</v>
      </c>
      <c r="B1632" s="62" t="s">
        <v>1106</v>
      </c>
      <c r="C1632" s="63"/>
      <c r="D1632" s="64"/>
      <c r="E1632" s="65"/>
      <c r="F1632" s="66"/>
      <c r="G1632" s="63"/>
      <c r="H1632" s="67"/>
      <c r="I1632" s="68"/>
      <c r="J1632" s="68"/>
      <c r="K1632" s="32"/>
      <c r="L1632" s="75">
        <v>1632</v>
      </c>
      <c r="M1632" s="75"/>
      <c r="N1632" s="70"/>
      <c r="O1632" s="77" t="s">
        <v>1133</v>
      </c>
      <c r="P1632" s="79">
        <v>45110.500497685185</v>
      </c>
      <c r="Q1632" s="77" t="s">
        <v>2705</v>
      </c>
      <c r="R1632" s="77">
        <v>0</v>
      </c>
      <c r="S1632" s="77">
        <v>4</v>
      </c>
      <c r="T1632" s="77">
        <v>0</v>
      </c>
      <c r="U1632" s="77">
        <v>0</v>
      </c>
      <c r="V1632" s="77">
        <v>528</v>
      </c>
      <c r="W1632" s="82" t="s">
        <v>4080</v>
      </c>
      <c r="X1632" s="80" t="str">
        <f>HYPERLINK("https://mla.bs/d9d97c27")</f>
        <v>https://mla.bs/d9d97c27</v>
      </c>
      <c r="Y1632" s="77" t="s">
        <v>6030</v>
      </c>
      <c r="Z1632" s="77" t="s">
        <v>1106</v>
      </c>
      <c r="AA1632" s="77"/>
      <c r="AB1632" s="77"/>
      <c r="AC1632" s="82" t="s">
        <v>7708</v>
      </c>
      <c r="AD1632" s="77" t="s">
        <v>7745</v>
      </c>
      <c r="AE1632" s="80" t="str">
        <f>HYPERLINK("https://twitter.com/einvestidor/status/1675836966821154816")</f>
        <v>https://twitter.com/einvestidor/status/1675836966821154816</v>
      </c>
      <c r="AF1632" s="79">
        <v>45110.500497685185</v>
      </c>
      <c r="AG1632" s="85">
        <v>45110</v>
      </c>
      <c r="AH1632" s="82" t="s">
        <v>8974</v>
      </c>
      <c r="AI1632" s="77" t="b">
        <v>0</v>
      </c>
      <c r="AJ1632" s="77"/>
      <c r="AK1632" s="77"/>
      <c r="AL1632" s="77"/>
      <c r="AM1632" s="77"/>
      <c r="AN1632" s="77"/>
      <c r="AO1632" s="77"/>
      <c r="AP1632" s="77"/>
      <c r="AQ1632" s="77"/>
      <c r="AR1632" s="77"/>
      <c r="AS1632" s="77"/>
      <c r="AT1632" s="77"/>
      <c r="AU1632" s="77"/>
      <c r="AV1632" s="80" t="str">
        <f>HYPERLINK("https://pbs.twimg.com/profile_images/1241147984924082183/gZgx_hL-_normal.jpg")</f>
        <v>https://pbs.twimg.com/profile_images/1241147984924082183/gZgx_hL-_normal.jpg</v>
      </c>
      <c r="AW1632" s="82" t="s">
        <v>13798</v>
      </c>
      <c r="AX1632" s="82" t="s">
        <v>13798</v>
      </c>
      <c r="AY1632" s="77"/>
      <c r="AZ1632" s="82" t="s">
        <v>15804</v>
      </c>
      <c r="BA1632" s="82" t="s">
        <v>15804</v>
      </c>
      <c r="BB1632" s="82" t="s">
        <v>15804</v>
      </c>
      <c r="BC1632" s="82" t="s">
        <v>13798</v>
      </c>
      <c r="BD1632" s="82" t="s">
        <v>15756</v>
      </c>
      <c r="BE1632" s="77"/>
      <c r="BF1632" s="77"/>
      <c r="BG1632" s="77"/>
      <c r="BH1632" s="77"/>
      <c r="BI1632" s="77"/>
    </row>
    <row r="1633" spans="1:61" x14ac:dyDescent="0.25">
      <c r="A1633" s="62" t="s">
        <v>420</v>
      </c>
      <c r="B1633" s="62" t="s">
        <v>420</v>
      </c>
      <c r="C1633" s="63"/>
      <c r="D1633" s="64"/>
      <c r="E1633" s="65"/>
      <c r="F1633" s="66"/>
      <c r="G1633" s="63"/>
      <c r="H1633" s="67"/>
      <c r="I1633" s="68"/>
      <c r="J1633" s="68"/>
      <c r="K1633" s="32"/>
      <c r="L1633" s="75">
        <v>1633</v>
      </c>
      <c r="M1633" s="75"/>
      <c r="N1633" s="70"/>
      <c r="O1633" s="77" t="s">
        <v>179</v>
      </c>
      <c r="P1633" s="79">
        <v>45048.438622685186</v>
      </c>
      <c r="Q1633" s="77" t="s">
        <v>2706</v>
      </c>
      <c r="R1633" s="77">
        <v>1</v>
      </c>
      <c r="S1633" s="77">
        <v>4</v>
      </c>
      <c r="T1633" s="77">
        <v>0</v>
      </c>
      <c r="U1633" s="77">
        <v>0</v>
      </c>
      <c r="V1633" s="77">
        <v>730</v>
      </c>
      <c r="W1633" s="82" t="s">
        <v>4080</v>
      </c>
      <c r="X1633" s="80" t="str">
        <f>HYPERLINK("https://mla.bs/646643db")</f>
        <v>https://mla.bs/646643db</v>
      </c>
      <c r="Y1633" s="77" t="s">
        <v>6030</v>
      </c>
      <c r="Z1633" s="77"/>
      <c r="AA1633" s="77"/>
      <c r="AB1633" s="77"/>
      <c r="AC1633" s="82" t="s">
        <v>7708</v>
      </c>
      <c r="AD1633" s="77" t="s">
        <v>7745</v>
      </c>
      <c r="AE1633" s="80" t="str">
        <f>HYPERLINK("https://twitter.com/einvestidor/status/1653346497964933121")</f>
        <v>https://twitter.com/einvestidor/status/1653346497964933121</v>
      </c>
      <c r="AF1633" s="79">
        <v>45048.438622685186</v>
      </c>
      <c r="AG1633" s="85">
        <v>45048</v>
      </c>
      <c r="AH1633" s="82" t="s">
        <v>9203</v>
      </c>
      <c r="AI1633" s="77" t="b">
        <v>0</v>
      </c>
      <c r="AJ1633" s="77"/>
      <c r="AK1633" s="77"/>
      <c r="AL1633" s="77"/>
      <c r="AM1633" s="77"/>
      <c r="AN1633" s="77"/>
      <c r="AO1633" s="77"/>
      <c r="AP1633" s="77"/>
      <c r="AQ1633" s="77"/>
      <c r="AR1633" s="77"/>
      <c r="AS1633" s="77"/>
      <c r="AT1633" s="77"/>
      <c r="AU1633" s="77"/>
      <c r="AV1633" s="80" t="str">
        <f>HYPERLINK("https://pbs.twimg.com/profile_images/1241147984924082183/gZgx_hL-_normal.jpg")</f>
        <v>https://pbs.twimg.com/profile_images/1241147984924082183/gZgx_hL-_normal.jpg</v>
      </c>
      <c r="AW1633" s="82" t="s">
        <v>13799</v>
      </c>
      <c r="AX1633" s="82" t="s">
        <v>13799</v>
      </c>
      <c r="AY1633" s="77"/>
      <c r="AZ1633" s="82" t="s">
        <v>15804</v>
      </c>
      <c r="BA1633" s="82" t="s">
        <v>15804</v>
      </c>
      <c r="BB1633" s="82" t="s">
        <v>15804</v>
      </c>
      <c r="BC1633" s="82" t="s">
        <v>13799</v>
      </c>
      <c r="BD1633" s="82" t="s">
        <v>15756</v>
      </c>
      <c r="BE1633" s="77"/>
      <c r="BF1633" s="77"/>
      <c r="BG1633" s="77"/>
      <c r="BH1633" s="77"/>
      <c r="BI1633" s="77"/>
    </row>
    <row r="1634" spans="1:61" x14ac:dyDescent="0.25">
      <c r="A1634" s="62" t="s">
        <v>420</v>
      </c>
      <c r="B1634" s="62" t="s">
        <v>420</v>
      </c>
      <c r="C1634" s="63"/>
      <c r="D1634" s="64"/>
      <c r="E1634" s="65"/>
      <c r="F1634" s="66"/>
      <c r="G1634" s="63"/>
      <c r="H1634" s="67"/>
      <c r="I1634" s="68"/>
      <c r="J1634" s="68"/>
      <c r="K1634" s="32"/>
      <c r="L1634" s="75">
        <v>1634</v>
      </c>
      <c r="M1634" s="75"/>
      <c r="N1634" s="70"/>
      <c r="O1634" s="77" t="s">
        <v>179</v>
      </c>
      <c r="P1634" s="79">
        <v>45039.458854166667</v>
      </c>
      <c r="Q1634" s="77" t="s">
        <v>2707</v>
      </c>
      <c r="R1634" s="77">
        <v>0</v>
      </c>
      <c r="S1634" s="77">
        <v>4</v>
      </c>
      <c r="T1634" s="77">
        <v>0</v>
      </c>
      <c r="U1634" s="77">
        <v>0</v>
      </c>
      <c r="V1634" s="77">
        <v>981</v>
      </c>
      <c r="W1634" s="82" t="s">
        <v>4080</v>
      </c>
      <c r="X1634" s="80" t="str">
        <f>HYPERLINK("https://mla.bs/b6858ba5")</f>
        <v>https://mla.bs/b6858ba5</v>
      </c>
      <c r="Y1634" s="77" t="s">
        <v>6030</v>
      </c>
      <c r="Z1634" s="77"/>
      <c r="AA1634" s="77"/>
      <c r="AB1634" s="77"/>
      <c r="AC1634" s="82" t="s">
        <v>7708</v>
      </c>
      <c r="AD1634" s="77" t="s">
        <v>7745</v>
      </c>
      <c r="AE1634" s="80" t="str">
        <f>HYPERLINK("https://twitter.com/einvestidor/status/1650092337769447426")</f>
        <v>https://twitter.com/einvestidor/status/1650092337769447426</v>
      </c>
      <c r="AF1634" s="79">
        <v>45039.458854166667</v>
      </c>
      <c r="AG1634" s="85">
        <v>45039</v>
      </c>
      <c r="AH1634" s="82" t="s">
        <v>9204</v>
      </c>
      <c r="AI1634" s="77" t="b">
        <v>0</v>
      </c>
      <c r="AJ1634" s="77"/>
      <c r="AK1634" s="77"/>
      <c r="AL1634" s="77"/>
      <c r="AM1634" s="77"/>
      <c r="AN1634" s="77"/>
      <c r="AO1634" s="77"/>
      <c r="AP1634" s="77"/>
      <c r="AQ1634" s="77"/>
      <c r="AR1634" s="77"/>
      <c r="AS1634" s="77"/>
      <c r="AT1634" s="77"/>
      <c r="AU1634" s="77"/>
      <c r="AV1634" s="80" t="str">
        <f>HYPERLINK("https://pbs.twimg.com/profile_images/1241147984924082183/gZgx_hL-_normal.jpg")</f>
        <v>https://pbs.twimg.com/profile_images/1241147984924082183/gZgx_hL-_normal.jpg</v>
      </c>
      <c r="AW1634" s="82" t="s">
        <v>13800</v>
      </c>
      <c r="AX1634" s="82" t="s">
        <v>13800</v>
      </c>
      <c r="AY1634" s="77"/>
      <c r="AZ1634" s="82" t="s">
        <v>15804</v>
      </c>
      <c r="BA1634" s="82" t="s">
        <v>15804</v>
      </c>
      <c r="BB1634" s="82" t="s">
        <v>15804</v>
      </c>
      <c r="BC1634" s="82" t="s">
        <v>13800</v>
      </c>
      <c r="BD1634" s="82" t="s">
        <v>15756</v>
      </c>
      <c r="BE1634" s="77"/>
      <c r="BF1634" s="77"/>
      <c r="BG1634" s="77"/>
      <c r="BH1634" s="77"/>
      <c r="BI1634" s="77"/>
    </row>
    <row r="1635" spans="1:61" x14ac:dyDescent="0.25">
      <c r="A1635" s="62" t="s">
        <v>420</v>
      </c>
      <c r="B1635" s="62" t="s">
        <v>420</v>
      </c>
      <c r="C1635" s="63"/>
      <c r="D1635" s="64"/>
      <c r="E1635" s="65"/>
      <c r="F1635" s="66"/>
      <c r="G1635" s="63"/>
      <c r="H1635" s="67"/>
      <c r="I1635" s="68"/>
      <c r="J1635" s="68"/>
      <c r="K1635" s="32"/>
      <c r="L1635" s="75">
        <v>1635</v>
      </c>
      <c r="M1635" s="75"/>
      <c r="N1635" s="70"/>
      <c r="O1635" s="77" t="s">
        <v>179</v>
      </c>
      <c r="P1635" s="79">
        <v>45038.417013888888</v>
      </c>
      <c r="Q1635" s="77" t="s">
        <v>2708</v>
      </c>
      <c r="R1635" s="77">
        <v>2</v>
      </c>
      <c r="S1635" s="77">
        <v>15</v>
      </c>
      <c r="T1635" s="77">
        <v>0</v>
      </c>
      <c r="U1635" s="77">
        <v>0</v>
      </c>
      <c r="V1635" s="77">
        <v>1732</v>
      </c>
      <c r="W1635" s="82" t="s">
        <v>5194</v>
      </c>
      <c r="X1635" s="80" t="str">
        <f>HYPERLINK("https://mla.bs/edad5a2e")</f>
        <v>https://mla.bs/edad5a2e</v>
      </c>
      <c r="Y1635" s="77" t="s">
        <v>6030</v>
      </c>
      <c r="Z1635" s="77"/>
      <c r="AA1635" s="77"/>
      <c r="AB1635" s="77"/>
      <c r="AC1635" s="82" t="s">
        <v>7708</v>
      </c>
      <c r="AD1635" s="77" t="s">
        <v>7745</v>
      </c>
      <c r="AE1635" s="80" t="str">
        <f>HYPERLINK("https://twitter.com/einvestidor/status/1649714789784997890")</f>
        <v>https://twitter.com/einvestidor/status/1649714789784997890</v>
      </c>
      <c r="AF1635" s="79">
        <v>45038.417013888888</v>
      </c>
      <c r="AG1635" s="85">
        <v>45038</v>
      </c>
      <c r="AH1635" s="82" t="s">
        <v>9205</v>
      </c>
      <c r="AI1635" s="77" t="b">
        <v>0</v>
      </c>
      <c r="AJ1635" s="77"/>
      <c r="AK1635" s="77"/>
      <c r="AL1635" s="77"/>
      <c r="AM1635" s="77"/>
      <c r="AN1635" s="77"/>
      <c r="AO1635" s="77"/>
      <c r="AP1635" s="77"/>
      <c r="AQ1635" s="77"/>
      <c r="AR1635" s="77"/>
      <c r="AS1635" s="77"/>
      <c r="AT1635" s="77"/>
      <c r="AU1635" s="77"/>
      <c r="AV1635" s="80" t="str">
        <f>HYPERLINK("https://pbs.twimg.com/profile_images/1241147984924082183/gZgx_hL-_normal.jpg")</f>
        <v>https://pbs.twimg.com/profile_images/1241147984924082183/gZgx_hL-_normal.jpg</v>
      </c>
      <c r="AW1635" s="82" t="s">
        <v>13801</v>
      </c>
      <c r="AX1635" s="82" t="s">
        <v>13801</v>
      </c>
      <c r="AY1635" s="77"/>
      <c r="AZ1635" s="82" t="s">
        <v>15804</v>
      </c>
      <c r="BA1635" s="82" t="s">
        <v>15804</v>
      </c>
      <c r="BB1635" s="82" t="s">
        <v>15804</v>
      </c>
      <c r="BC1635" s="82" t="s">
        <v>13801</v>
      </c>
      <c r="BD1635" s="82" t="s">
        <v>15756</v>
      </c>
      <c r="BE1635" s="77"/>
      <c r="BF1635" s="77"/>
      <c r="BG1635" s="77"/>
      <c r="BH1635" s="77"/>
      <c r="BI1635" s="77"/>
    </row>
    <row r="1636" spans="1:61" x14ac:dyDescent="0.25">
      <c r="A1636" s="62" t="s">
        <v>420</v>
      </c>
      <c r="B1636" s="62" t="s">
        <v>420</v>
      </c>
      <c r="C1636" s="63"/>
      <c r="D1636" s="64"/>
      <c r="E1636" s="65"/>
      <c r="F1636" s="66"/>
      <c r="G1636" s="63"/>
      <c r="H1636" s="67"/>
      <c r="I1636" s="68"/>
      <c r="J1636" s="68"/>
      <c r="K1636" s="32"/>
      <c r="L1636" s="75">
        <v>1636</v>
      </c>
      <c r="M1636" s="75"/>
      <c r="N1636" s="70"/>
      <c r="O1636" s="77" t="s">
        <v>179</v>
      </c>
      <c r="P1636" s="79">
        <v>45002.500347222223</v>
      </c>
      <c r="Q1636" s="77" t="s">
        <v>2691</v>
      </c>
      <c r="R1636" s="77">
        <v>0</v>
      </c>
      <c r="S1636" s="77">
        <v>1</v>
      </c>
      <c r="T1636" s="77">
        <v>0</v>
      </c>
      <c r="U1636" s="77">
        <v>0</v>
      </c>
      <c r="V1636" s="77">
        <v>483</v>
      </c>
      <c r="W1636" s="82" t="s">
        <v>5192</v>
      </c>
      <c r="X1636" s="80" t="str">
        <f>HYPERLINK("https://mla.bs/ae936dab")</f>
        <v>https://mla.bs/ae936dab</v>
      </c>
      <c r="Y1636" s="77" t="s">
        <v>6030</v>
      </c>
      <c r="Z1636" s="77"/>
      <c r="AA1636" s="77"/>
      <c r="AB1636" s="77"/>
      <c r="AC1636" s="82" t="s">
        <v>7708</v>
      </c>
      <c r="AD1636" s="77" t="s">
        <v>7745</v>
      </c>
      <c r="AE1636" s="80" t="str">
        <f>HYPERLINK("https://twitter.com/einvestidor/status/1636699025230422017")</f>
        <v>https://twitter.com/einvestidor/status/1636699025230422017</v>
      </c>
      <c r="AF1636" s="79">
        <v>45002.500347222223</v>
      </c>
      <c r="AG1636" s="85">
        <v>45002</v>
      </c>
      <c r="AH1636" s="82" t="s">
        <v>9206</v>
      </c>
      <c r="AI1636" s="77" t="b">
        <v>0</v>
      </c>
      <c r="AJ1636" s="77"/>
      <c r="AK1636" s="77"/>
      <c r="AL1636" s="77"/>
      <c r="AM1636" s="77"/>
      <c r="AN1636" s="77"/>
      <c r="AO1636" s="77"/>
      <c r="AP1636" s="77"/>
      <c r="AQ1636" s="77"/>
      <c r="AR1636" s="77"/>
      <c r="AS1636" s="77"/>
      <c r="AT1636" s="77"/>
      <c r="AU1636" s="77"/>
      <c r="AV1636" s="80" t="str">
        <f>HYPERLINK("https://pbs.twimg.com/profile_images/1241147984924082183/gZgx_hL-_normal.jpg")</f>
        <v>https://pbs.twimg.com/profile_images/1241147984924082183/gZgx_hL-_normal.jpg</v>
      </c>
      <c r="AW1636" s="82" t="s">
        <v>13802</v>
      </c>
      <c r="AX1636" s="82" t="s">
        <v>13802</v>
      </c>
      <c r="AY1636" s="77"/>
      <c r="AZ1636" s="82" t="s">
        <v>15804</v>
      </c>
      <c r="BA1636" s="82" t="s">
        <v>15804</v>
      </c>
      <c r="BB1636" s="82" t="s">
        <v>15804</v>
      </c>
      <c r="BC1636" s="82" t="s">
        <v>13802</v>
      </c>
      <c r="BD1636" s="82" t="s">
        <v>15756</v>
      </c>
      <c r="BE1636" s="77"/>
      <c r="BF1636" s="77"/>
      <c r="BG1636" s="77"/>
      <c r="BH1636" s="77"/>
      <c r="BI1636" s="77"/>
    </row>
    <row r="1637" spans="1:61" x14ac:dyDescent="0.25">
      <c r="A1637" s="62" t="s">
        <v>420</v>
      </c>
      <c r="B1637" s="62" t="s">
        <v>420</v>
      </c>
      <c r="C1637" s="63"/>
      <c r="D1637" s="64"/>
      <c r="E1637" s="65"/>
      <c r="F1637" s="66"/>
      <c r="G1637" s="63"/>
      <c r="H1637" s="67"/>
      <c r="I1637" s="68"/>
      <c r="J1637" s="68"/>
      <c r="K1637" s="32"/>
      <c r="L1637" s="75">
        <v>1637</v>
      </c>
      <c r="M1637" s="75"/>
      <c r="N1637" s="70"/>
      <c r="O1637" s="77" t="s">
        <v>179</v>
      </c>
      <c r="P1637" s="79">
        <v>45179.916666666664</v>
      </c>
      <c r="Q1637" s="77" t="s">
        <v>2709</v>
      </c>
      <c r="R1637" s="77">
        <v>0</v>
      </c>
      <c r="S1637" s="77">
        <v>1</v>
      </c>
      <c r="T1637" s="77">
        <v>0</v>
      </c>
      <c r="U1637" s="77">
        <v>0</v>
      </c>
      <c r="V1637" s="77">
        <v>715</v>
      </c>
      <c r="W1637" s="82" t="s">
        <v>5196</v>
      </c>
      <c r="X1637" s="80" t="str">
        <f>HYPERLINK("https://einvestidor.estadao.com.br/videos/como-se-planejar-para-ter-um-pet/?utm_source=twitter&amp;utm_medium=organic&amp;utm_campaign=&amp;utm_content=materia")</f>
        <v>https://einvestidor.estadao.com.br/videos/como-se-planejar-para-ter-um-pet/?utm_source=twitter&amp;utm_medium=organic&amp;utm_campaign=&amp;utm_content=materia</v>
      </c>
      <c r="Y1637" s="77" t="s">
        <v>6002</v>
      </c>
      <c r="Z1637" s="77"/>
      <c r="AA1637" s="77"/>
      <c r="AB1637" s="77"/>
      <c r="AC1637" s="82" t="s">
        <v>7706</v>
      </c>
      <c r="AD1637" s="77" t="s">
        <v>7745</v>
      </c>
      <c r="AE1637" s="80" t="str">
        <f>HYPERLINK("https://twitter.com/einvestidor/status/1700992546175136199")</f>
        <v>https://twitter.com/einvestidor/status/1700992546175136199</v>
      </c>
      <c r="AF1637" s="79">
        <v>45179.916666666664</v>
      </c>
      <c r="AG1637" s="85">
        <v>45179</v>
      </c>
      <c r="AH1637" s="82" t="s">
        <v>9207</v>
      </c>
      <c r="AI1637" s="77" t="b">
        <v>0</v>
      </c>
      <c r="AJ1637" s="77"/>
      <c r="AK1637" s="77"/>
      <c r="AL1637" s="77"/>
      <c r="AM1637" s="77"/>
      <c r="AN1637" s="77"/>
      <c r="AO1637" s="77"/>
      <c r="AP1637" s="77"/>
      <c r="AQ1637" s="77"/>
      <c r="AR1637" s="77"/>
      <c r="AS1637" s="77"/>
      <c r="AT1637" s="77"/>
      <c r="AU1637" s="77"/>
      <c r="AV1637" s="80" t="str">
        <f>HYPERLINK("https://pbs.twimg.com/profile_images/1241147984924082183/gZgx_hL-_normal.jpg")</f>
        <v>https://pbs.twimg.com/profile_images/1241147984924082183/gZgx_hL-_normal.jpg</v>
      </c>
      <c r="AW1637" s="82" t="s">
        <v>13803</v>
      </c>
      <c r="AX1637" s="82" t="s">
        <v>13803</v>
      </c>
      <c r="AY1637" s="77"/>
      <c r="AZ1637" s="82" t="s">
        <v>15804</v>
      </c>
      <c r="BA1637" s="82" t="s">
        <v>15804</v>
      </c>
      <c r="BB1637" s="82" t="s">
        <v>15804</v>
      </c>
      <c r="BC1637" s="82" t="s">
        <v>13803</v>
      </c>
      <c r="BD1637" s="82" t="s">
        <v>15756</v>
      </c>
      <c r="BE1637" s="77"/>
      <c r="BF1637" s="77"/>
      <c r="BG1637" s="77"/>
      <c r="BH1637" s="77"/>
      <c r="BI1637" s="77"/>
    </row>
    <row r="1638" spans="1:61" x14ac:dyDescent="0.25">
      <c r="A1638" s="62" t="s">
        <v>420</v>
      </c>
      <c r="B1638" s="62" t="s">
        <v>420</v>
      </c>
      <c r="C1638" s="63"/>
      <c r="D1638" s="64"/>
      <c r="E1638" s="65"/>
      <c r="F1638" s="66"/>
      <c r="G1638" s="63"/>
      <c r="H1638" s="67"/>
      <c r="I1638" s="68"/>
      <c r="J1638" s="68"/>
      <c r="K1638" s="32"/>
      <c r="L1638" s="75">
        <v>1638</v>
      </c>
      <c r="M1638" s="75"/>
      <c r="N1638" s="70"/>
      <c r="O1638" s="77" t="s">
        <v>179</v>
      </c>
      <c r="P1638" s="79">
        <v>45177.875011574077</v>
      </c>
      <c r="Q1638" s="77" t="s">
        <v>2710</v>
      </c>
      <c r="R1638" s="77">
        <v>0</v>
      </c>
      <c r="S1638" s="77">
        <v>0</v>
      </c>
      <c r="T1638" s="77">
        <v>0</v>
      </c>
      <c r="U1638" s="77">
        <v>0</v>
      </c>
      <c r="V1638" s="77">
        <v>492</v>
      </c>
      <c r="W1638" s="82" t="s">
        <v>5197</v>
      </c>
      <c r="X1638" s="80" t="str">
        <f>HYPERLINK("https://einvestidor.estadao.com.br/colunas/fabrizio-gueratto/fgc-garante-dinheiro-conta-corrente/?utm_source=twitter&amp;utm_medium=organic&amp;utm_campaign=&amp;utm_content=materia")</f>
        <v>https://einvestidor.estadao.com.br/colunas/fabrizio-gueratto/fgc-garante-dinheiro-conta-corrente/?utm_source=twitter&amp;utm_medium=organic&amp;utm_campaign=&amp;utm_content=materia</v>
      </c>
      <c r="Y1638" s="77" t="s">
        <v>6002</v>
      </c>
      <c r="Z1638" s="77"/>
      <c r="AA1638" s="77"/>
      <c r="AB1638" s="77"/>
      <c r="AC1638" s="82" t="s">
        <v>7706</v>
      </c>
      <c r="AD1638" s="77" t="s">
        <v>7745</v>
      </c>
      <c r="AE1638" s="80" t="str">
        <f>HYPERLINK("https://twitter.com/einvestidor/status/1700252676666335288")</f>
        <v>https://twitter.com/einvestidor/status/1700252676666335288</v>
      </c>
      <c r="AF1638" s="79">
        <v>45177.875011574077</v>
      </c>
      <c r="AG1638" s="85">
        <v>45177</v>
      </c>
      <c r="AH1638" s="82" t="s">
        <v>8547</v>
      </c>
      <c r="AI1638" s="77" t="b">
        <v>0</v>
      </c>
      <c r="AJ1638" s="77"/>
      <c r="AK1638" s="77"/>
      <c r="AL1638" s="77"/>
      <c r="AM1638" s="77"/>
      <c r="AN1638" s="77"/>
      <c r="AO1638" s="77"/>
      <c r="AP1638" s="77"/>
      <c r="AQ1638" s="77"/>
      <c r="AR1638" s="77"/>
      <c r="AS1638" s="77"/>
      <c r="AT1638" s="77"/>
      <c r="AU1638" s="77"/>
      <c r="AV1638" s="80" t="str">
        <f>HYPERLINK("https://pbs.twimg.com/profile_images/1241147984924082183/gZgx_hL-_normal.jpg")</f>
        <v>https://pbs.twimg.com/profile_images/1241147984924082183/gZgx_hL-_normal.jpg</v>
      </c>
      <c r="AW1638" s="82" t="s">
        <v>13804</v>
      </c>
      <c r="AX1638" s="82" t="s">
        <v>13804</v>
      </c>
      <c r="AY1638" s="77"/>
      <c r="AZ1638" s="82" t="s">
        <v>15804</v>
      </c>
      <c r="BA1638" s="82" t="s">
        <v>15804</v>
      </c>
      <c r="BB1638" s="82" t="s">
        <v>15804</v>
      </c>
      <c r="BC1638" s="82" t="s">
        <v>13804</v>
      </c>
      <c r="BD1638" s="82" t="s">
        <v>15756</v>
      </c>
      <c r="BE1638" s="77"/>
      <c r="BF1638" s="77"/>
      <c r="BG1638" s="77"/>
      <c r="BH1638" s="77"/>
      <c r="BI1638" s="77"/>
    </row>
    <row r="1639" spans="1:61" x14ac:dyDescent="0.25">
      <c r="A1639" s="62" t="s">
        <v>420</v>
      </c>
      <c r="B1639" s="62" t="s">
        <v>420</v>
      </c>
      <c r="C1639" s="63"/>
      <c r="D1639" s="64"/>
      <c r="E1639" s="65"/>
      <c r="F1639" s="66"/>
      <c r="G1639" s="63"/>
      <c r="H1639" s="67"/>
      <c r="I1639" s="68"/>
      <c r="J1639" s="68"/>
      <c r="K1639" s="32"/>
      <c r="L1639" s="75">
        <v>1639</v>
      </c>
      <c r="M1639" s="75"/>
      <c r="N1639" s="70"/>
      <c r="O1639" s="77" t="s">
        <v>179</v>
      </c>
      <c r="P1639" s="79">
        <v>45177.697916666664</v>
      </c>
      <c r="Q1639" s="77" t="s">
        <v>2711</v>
      </c>
      <c r="R1639" s="77">
        <v>2</v>
      </c>
      <c r="S1639" s="77">
        <v>1</v>
      </c>
      <c r="T1639" s="77">
        <v>0</v>
      </c>
      <c r="U1639" s="77">
        <v>0</v>
      </c>
      <c r="V1639" s="77">
        <v>465</v>
      </c>
      <c r="W1639" s="82" t="s">
        <v>4420</v>
      </c>
      <c r="X1639" s="80" t="str">
        <f>HYPERLINK("https://einvestidor.estadao.com.br/comportamento/golpe-do-sms-veja-como-se-proteger/?utm_source=twitter&amp;utm_medium=organic&amp;utm_campaign=golpe&amp;utm_content=materia")</f>
        <v>https://einvestidor.estadao.com.br/comportamento/golpe-do-sms-veja-como-se-proteger/?utm_source=twitter&amp;utm_medium=organic&amp;utm_campaign=golpe&amp;utm_content=materia</v>
      </c>
      <c r="Y1639" s="77" t="s">
        <v>6002</v>
      </c>
      <c r="Z1639" s="77"/>
      <c r="AA1639" s="77"/>
      <c r="AB1639" s="77"/>
      <c r="AC1639" s="82" t="s">
        <v>7706</v>
      </c>
      <c r="AD1639" s="77" t="s">
        <v>7745</v>
      </c>
      <c r="AE1639" s="80" t="str">
        <f>HYPERLINK("https://twitter.com/einvestidor/status/1700188496907087917")</f>
        <v>https://twitter.com/einvestidor/status/1700188496907087917</v>
      </c>
      <c r="AF1639" s="79">
        <v>45177.697916666664</v>
      </c>
      <c r="AG1639" s="85">
        <v>45177</v>
      </c>
      <c r="AH1639" s="82" t="s">
        <v>9208</v>
      </c>
      <c r="AI1639" s="77" t="b">
        <v>0</v>
      </c>
      <c r="AJ1639" s="77"/>
      <c r="AK1639" s="77"/>
      <c r="AL1639" s="77"/>
      <c r="AM1639" s="77"/>
      <c r="AN1639" s="77"/>
      <c r="AO1639" s="77"/>
      <c r="AP1639" s="77"/>
      <c r="AQ1639" s="77"/>
      <c r="AR1639" s="77"/>
      <c r="AS1639" s="77"/>
      <c r="AT1639" s="77"/>
      <c r="AU1639" s="77"/>
      <c r="AV1639" s="80" t="str">
        <f>HYPERLINK("https://pbs.twimg.com/profile_images/1241147984924082183/gZgx_hL-_normal.jpg")</f>
        <v>https://pbs.twimg.com/profile_images/1241147984924082183/gZgx_hL-_normal.jpg</v>
      </c>
      <c r="AW1639" s="82" t="s">
        <v>13805</v>
      </c>
      <c r="AX1639" s="82" t="s">
        <v>13805</v>
      </c>
      <c r="AY1639" s="77"/>
      <c r="AZ1639" s="82" t="s">
        <v>15804</v>
      </c>
      <c r="BA1639" s="82" t="s">
        <v>15804</v>
      </c>
      <c r="BB1639" s="82" t="s">
        <v>15804</v>
      </c>
      <c r="BC1639" s="82" t="s">
        <v>13805</v>
      </c>
      <c r="BD1639" s="82" t="s">
        <v>15756</v>
      </c>
      <c r="BE1639" s="77"/>
      <c r="BF1639" s="77"/>
      <c r="BG1639" s="77"/>
      <c r="BH1639" s="77"/>
      <c r="BI1639" s="77"/>
    </row>
    <row r="1640" spans="1:61" x14ac:dyDescent="0.25">
      <c r="A1640" s="62" t="s">
        <v>420</v>
      </c>
      <c r="B1640" s="62" t="s">
        <v>420</v>
      </c>
      <c r="C1640" s="63"/>
      <c r="D1640" s="64"/>
      <c r="E1640" s="65"/>
      <c r="F1640" s="66"/>
      <c r="G1640" s="63"/>
      <c r="H1640" s="67"/>
      <c r="I1640" s="68"/>
      <c r="J1640" s="68"/>
      <c r="K1640" s="32"/>
      <c r="L1640" s="75">
        <v>1640</v>
      </c>
      <c r="M1640" s="75"/>
      <c r="N1640" s="70"/>
      <c r="O1640" s="77" t="s">
        <v>179</v>
      </c>
      <c r="P1640" s="79">
        <v>45177.754062499997</v>
      </c>
      <c r="Q1640" s="77" t="s">
        <v>2712</v>
      </c>
      <c r="R1640" s="77">
        <v>0</v>
      </c>
      <c r="S1640" s="77">
        <v>1</v>
      </c>
      <c r="T1640" s="77">
        <v>0</v>
      </c>
      <c r="U1640" s="77">
        <v>0</v>
      </c>
      <c r="V1640" s="77">
        <v>482</v>
      </c>
      <c r="W1640" s="82" t="s">
        <v>5071</v>
      </c>
      <c r="X1640" s="80" t="str">
        <f>HYPERLINK("https://einvestidor.estadao.com.br/mercado/mercado-intraday-08-09-2023/?utm_source=twitter&amp;utm_medium=organic&amp;utm_campaign=&amp;utm_content=materia")</f>
        <v>https://einvestidor.estadao.com.br/mercado/mercado-intraday-08-09-2023/?utm_source=twitter&amp;utm_medium=organic&amp;utm_campaign=&amp;utm_content=materia</v>
      </c>
      <c r="Y1640" s="77" t="s">
        <v>6002</v>
      </c>
      <c r="Z1640" s="77"/>
      <c r="AA1640" s="77"/>
      <c r="AB1640" s="77"/>
      <c r="AC1640" s="82" t="s">
        <v>7706</v>
      </c>
      <c r="AD1640" s="77" t="s">
        <v>7745</v>
      </c>
      <c r="AE1640" s="80" t="str">
        <f>HYPERLINK("https://twitter.com/einvestidor/status/1700208845669253360")</f>
        <v>https://twitter.com/einvestidor/status/1700208845669253360</v>
      </c>
      <c r="AF1640" s="79">
        <v>45177.754062499997</v>
      </c>
      <c r="AG1640" s="85">
        <v>45177</v>
      </c>
      <c r="AH1640" s="82" t="s">
        <v>9209</v>
      </c>
      <c r="AI1640" s="77" t="b">
        <v>0</v>
      </c>
      <c r="AJ1640" s="77"/>
      <c r="AK1640" s="77"/>
      <c r="AL1640" s="77"/>
      <c r="AM1640" s="77"/>
      <c r="AN1640" s="77"/>
      <c r="AO1640" s="77"/>
      <c r="AP1640" s="77"/>
      <c r="AQ1640" s="77"/>
      <c r="AR1640" s="77"/>
      <c r="AS1640" s="77"/>
      <c r="AT1640" s="77"/>
      <c r="AU1640" s="77"/>
      <c r="AV1640" s="80" t="str">
        <f>HYPERLINK("https://pbs.twimg.com/profile_images/1241147984924082183/gZgx_hL-_normal.jpg")</f>
        <v>https://pbs.twimg.com/profile_images/1241147984924082183/gZgx_hL-_normal.jpg</v>
      </c>
      <c r="AW1640" s="82" t="s">
        <v>13806</v>
      </c>
      <c r="AX1640" s="82" t="s">
        <v>13806</v>
      </c>
      <c r="AY1640" s="77"/>
      <c r="AZ1640" s="82" t="s">
        <v>15804</v>
      </c>
      <c r="BA1640" s="82" t="s">
        <v>15804</v>
      </c>
      <c r="BB1640" s="82" t="s">
        <v>15804</v>
      </c>
      <c r="BC1640" s="82" t="s">
        <v>13806</v>
      </c>
      <c r="BD1640" s="82" t="s">
        <v>15756</v>
      </c>
      <c r="BE1640" s="77"/>
      <c r="BF1640" s="77"/>
      <c r="BG1640" s="77"/>
      <c r="BH1640" s="77"/>
      <c r="BI1640" s="77"/>
    </row>
    <row r="1641" spans="1:61" x14ac:dyDescent="0.25">
      <c r="A1641" s="62" t="s">
        <v>420</v>
      </c>
      <c r="B1641" s="62" t="s">
        <v>420</v>
      </c>
      <c r="C1641" s="63"/>
      <c r="D1641" s="64"/>
      <c r="E1641" s="65"/>
      <c r="F1641" s="66"/>
      <c r="G1641" s="63"/>
      <c r="H1641" s="67"/>
      <c r="I1641" s="68"/>
      <c r="J1641" s="68"/>
      <c r="K1641" s="32"/>
      <c r="L1641" s="75">
        <v>1641</v>
      </c>
      <c r="M1641" s="75"/>
      <c r="N1641" s="70"/>
      <c r="O1641" s="77" t="s">
        <v>179</v>
      </c>
      <c r="P1641" s="79">
        <v>45177.752546296295</v>
      </c>
      <c r="Q1641" s="77" t="s">
        <v>2713</v>
      </c>
      <c r="R1641" s="77">
        <v>0</v>
      </c>
      <c r="S1641" s="77">
        <v>1</v>
      </c>
      <c r="T1641" s="77">
        <v>0</v>
      </c>
      <c r="U1641" s="77">
        <v>0</v>
      </c>
      <c r="V1641" s="77">
        <v>560</v>
      </c>
      <c r="W1641" s="82" t="s">
        <v>5198</v>
      </c>
      <c r="X1641" s="80" t="str">
        <f>HYPERLINK("https://einvestidor.estadao.com.br/ultimas/carteiras-superam-ibovespa-agosto-levantamento/?utm_source=twitter&amp;utm_medium=organic&amp;utm_campaign=&amp;utm_content=materia")</f>
        <v>https://einvestidor.estadao.com.br/ultimas/carteiras-superam-ibovespa-agosto-levantamento/?utm_source=twitter&amp;utm_medium=organic&amp;utm_campaign=&amp;utm_content=materia</v>
      </c>
      <c r="Y1641" s="77" t="s">
        <v>6002</v>
      </c>
      <c r="Z1641" s="77"/>
      <c r="AA1641" s="77"/>
      <c r="AB1641" s="77"/>
      <c r="AC1641" s="82" t="s">
        <v>7706</v>
      </c>
      <c r="AD1641" s="77" t="s">
        <v>7745</v>
      </c>
      <c r="AE1641" s="80" t="str">
        <f>HYPERLINK("https://twitter.com/einvestidor/status/1700208294357295314")</f>
        <v>https://twitter.com/einvestidor/status/1700208294357295314</v>
      </c>
      <c r="AF1641" s="79">
        <v>45177.752546296295</v>
      </c>
      <c r="AG1641" s="85">
        <v>45177</v>
      </c>
      <c r="AH1641" s="82" t="s">
        <v>9210</v>
      </c>
      <c r="AI1641" s="77" t="b">
        <v>0</v>
      </c>
      <c r="AJ1641" s="77"/>
      <c r="AK1641" s="77"/>
      <c r="AL1641" s="77"/>
      <c r="AM1641" s="77"/>
      <c r="AN1641" s="77"/>
      <c r="AO1641" s="77"/>
      <c r="AP1641" s="77"/>
      <c r="AQ1641" s="77"/>
      <c r="AR1641" s="77"/>
      <c r="AS1641" s="77"/>
      <c r="AT1641" s="77"/>
      <c r="AU1641" s="77"/>
      <c r="AV1641" s="80" t="str">
        <f>HYPERLINK("https://pbs.twimg.com/profile_images/1241147984924082183/gZgx_hL-_normal.jpg")</f>
        <v>https://pbs.twimg.com/profile_images/1241147984924082183/gZgx_hL-_normal.jpg</v>
      </c>
      <c r="AW1641" s="82" t="s">
        <v>13807</v>
      </c>
      <c r="AX1641" s="82" t="s">
        <v>13807</v>
      </c>
      <c r="AY1641" s="77"/>
      <c r="AZ1641" s="82" t="s">
        <v>15804</v>
      </c>
      <c r="BA1641" s="82" t="s">
        <v>15804</v>
      </c>
      <c r="BB1641" s="82" t="s">
        <v>15804</v>
      </c>
      <c r="BC1641" s="82" t="s">
        <v>13807</v>
      </c>
      <c r="BD1641" s="82" t="s">
        <v>15756</v>
      </c>
      <c r="BE1641" s="77"/>
      <c r="BF1641" s="77"/>
      <c r="BG1641" s="77"/>
      <c r="BH1641" s="77"/>
      <c r="BI1641" s="77"/>
    </row>
    <row r="1642" spans="1:61" x14ac:dyDescent="0.25">
      <c r="A1642" s="62" t="s">
        <v>420</v>
      </c>
      <c r="B1642" s="62" t="s">
        <v>420</v>
      </c>
      <c r="C1642" s="63"/>
      <c r="D1642" s="64"/>
      <c r="E1642" s="65"/>
      <c r="F1642" s="66"/>
      <c r="G1642" s="63"/>
      <c r="H1642" s="67"/>
      <c r="I1642" s="68"/>
      <c r="J1642" s="68"/>
      <c r="K1642" s="32"/>
      <c r="L1642" s="75">
        <v>1642</v>
      </c>
      <c r="M1642" s="75"/>
      <c r="N1642" s="70"/>
      <c r="O1642" s="77" t="s">
        <v>179</v>
      </c>
      <c r="P1642" s="79">
        <v>45177.721932870372</v>
      </c>
      <c r="Q1642" s="77" t="s">
        <v>2714</v>
      </c>
      <c r="R1642" s="77">
        <v>0</v>
      </c>
      <c r="S1642" s="77">
        <v>1</v>
      </c>
      <c r="T1642" s="77">
        <v>0</v>
      </c>
      <c r="U1642" s="77">
        <v>0</v>
      </c>
      <c r="V1642" s="77">
        <v>488</v>
      </c>
      <c r="W1642" s="82" t="s">
        <v>5071</v>
      </c>
      <c r="X1642" s="80" t="str">
        <f>HYPERLINK("https://einvestidor.estadao.com.br/colunas/carol-paiffer/cnpj-investimento-como-proteger-caixa/?utm_source=twitter&amp;utm_medium=organic&amp;utm_campaign=&amp;utm_content=materia")</f>
        <v>https://einvestidor.estadao.com.br/colunas/carol-paiffer/cnpj-investimento-como-proteger-caixa/?utm_source=twitter&amp;utm_medium=organic&amp;utm_campaign=&amp;utm_content=materia</v>
      </c>
      <c r="Y1642" s="77" t="s">
        <v>6002</v>
      </c>
      <c r="Z1642" s="77"/>
      <c r="AA1642" s="77"/>
      <c r="AB1642" s="77"/>
      <c r="AC1642" s="82" t="s">
        <v>7706</v>
      </c>
      <c r="AD1642" s="77" t="s">
        <v>7745</v>
      </c>
      <c r="AE1642" s="80" t="str">
        <f>HYPERLINK("https://twitter.com/einvestidor/status/1700197202537132279")</f>
        <v>https://twitter.com/einvestidor/status/1700197202537132279</v>
      </c>
      <c r="AF1642" s="79">
        <v>45177.721932870372</v>
      </c>
      <c r="AG1642" s="85">
        <v>45177</v>
      </c>
      <c r="AH1642" s="82" t="s">
        <v>9211</v>
      </c>
      <c r="AI1642" s="77" t="b">
        <v>0</v>
      </c>
      <c r="AJ1642" s="77"/>
      <c r="AK1642" s="77"/>
      <c r="AL1642" s="77"/>
      <c r="AM1642" s="77"/>
      <c r="AN1642" s="77"/>
      <c r="AO1642" s="77"/>
      <c r="AP1642" s="77"/>
      <c r="AQ1642" s="77"/>
      <c r="AR1642" s="77"/>
      <c r="AS1642" s="77"/>
      <c r="AT1642" s="77"/>
      <c r="AU1642" s="77"/>
      <c r="AV1642" s="80" t="str">
        <f>HYPERLINK("https://pbs.twimg.com/profile_images/1241147984924082183/gZgx_hL-_normal.jpg")</f>
        <v>https://pbs.twimg.com/profile_images/1241147984924082183/gZgx_hL-_normal.jpg</v>
      </c>
      <c r="AW1642" s="82" t="s">
        <v>13808</v>
      </c>
      <c r="AX1642" s="82" t="s">
        <v>13808</v>
      </c>
      <c r="AY1642" s="77"/>
      <c r="AZ1642" s="82" t="s">
        <v>15804</v>
      </c>
      <c r="BA1642" s="82" t="s">
        <v>15804</v>
      </c>
      <c r="BB1642" s="82" t="s">
        <v>15804</v>
      </c>
      <c r="BC1642" s="82" t="s">
        <v>13808</v>
      </c>
      <c r="BD1642" s="82" t="s">
        <v>15756</v>
      </c>
      <c r="BE1642" s="77"/>
      <c r="BF1642" s="77"/>
      <c r="BG1642" s="77"/>
      <c r="BH1642" s="77"/>
      <c r="BI1642" s="77"/>
    </row>
    <row r="1643" spans="1:61" x14ac:dyDescent="0.25">
      <c r="A1643" s="62" t="s">
        <v>420</v>
      </c>
      <c r="B1643" s="62" t="s">
        <v>420</v>
      </c>
      <c r="C1643" s="63"/>
      <c r="D1643" s="64"/>
      <c r="E1643" s="65"/>
      <c r="F1643" s="66"/>
      <c r="G1643" s="63"/>
      <c r="H1643" s="67"/>
      <c r="I1643" s="68"/>
      <c r="J1643" s="68"/>
      <c r="K1643" s="32"/>
      <c r="L1643" s="75">
        <v>1643</v>
      </c>
      <c r="M1643" s="75"/>
      <c r="N1643" s="70"/>
      <c r="O1643" s="77" t="s">
        <v>179</v>
      </c>
      <c r="P1643" s="79">
        <v>45171.895833333336</v>
      </c>
      <c r="Q1643" s="77" t="s">
        <v>2715</v>
      </c>
      <c r="R1643" s="77">
        <v>0</v>
      </c>
      <c r="S1643" s="77">
        <v>0</v>
      </c>
      <c r="T1643" s="77">
        <v>0</v>
      </c>
      <c r="U1643" s="77">
        <v>0</v>
      </c>
      <c r="V1643" s="77">
        <v>723</v>
      </c>
      <c r="W1643" s="82" t="s">
        <v>5199</v>
      </c>
      <c r="X1643" s="80" t="str">
        <f>HYPERLINK("https://einvestidor.estadao.com.br/ultimas/nathalia-arcuri-mba-eduardo-mira/?utm_source=estadao&amp;utm_medium=home&amp;utm_campaign=direto_estadao/?utm_source=twitter&amp;utm_medium=organic&amp;utm_campaign=&amp;utm_content=materia")</f>
        <v>https://einvestidor.estadao.com.br/ultimas/nathalia-arcuri-mba-eduardo-mira/?utm_source=estadao&amp;utm_medium=home&amp;utm_campaign=direto_estadao/?utm_source=twitter&amp;utm_medium=organic&amp;utm_campaign=&amp;utm_content=materia</v>
      </c>
      <c r="Y1643" s="77" t="s">
        <v>6002</v>
      </c>
      <c r="Z1643" s="77"/>
      <c r="AA1643" s="77"/>
      <c r="AB1643" s="77"/>
      <c r="AC1643" s="82" t="s">
        <v>7706</v>
      </c>
      <c r="AD1643" s="77" t="s">
        <v>7745</v>
      </c>
      <c r="AE1643" s="80" t="str">
        <f>HYPERLINK("https://twitter.com/einvestidor/status/1698085892840456678")</f>
        <v>https://twitter.com/einvestidor/status/1698085892840456678</v>
      </c>
      <c r="AF1643" s="79">
        <v>45171.895833333336</v>
      </c>
      <c r="AG1643" s="85">
        <v>45171</v>
      </c>
      <c r="AH1643" s="82" t="s">
        <v>8273</v>
      </c>
      <c r="AI1643" s="77" t="b">
        <v>0</v>
      </c>
      <c r="AJ1643" s="77"/>
      <c r="AK1643" s="77"/>
      <c r="AL1643" s="77"/>
      <c r="AM1643" s="77"/>
      <c r="AN1643" s="77"/>
      <c r="AO1643" s="77"/>
      <c r="AP1643" s="77"/>
      <c r="AQ1643" s="77"/>
      <c r="AR1643" s="77"/>
      <c r="AS1643" s="77"/>
      <c r="AT1643" s="77"/>
      <c r="AU1643" s="77"/>
      <c r="AV1643" s="80" t="str">
        <f>HYPERLINK("https://pbs.twimg.com/profile_images/1241147984924082183/gZgx_hL-_normal.jpg")</f>
        <v>https://pbs.twimg.com/profile_images/1241147984924082183/gZgx_hL-_normal.jpg</v>
      </c>
      <c r="AW1643" s="82" t="s">
        <v>13809</v>
      </c>
      <c r="AX1643" s="82" t="s">
        <v>13809</v>
      </c>
      <c r="AY1643" s="77"/>
      <c r="AZ1643" s="82" t="s">
        <v>15804</v>
      </c>
      <c r="BA1643" s="82" t="s">
        <v>15804</v>
      </c>
      <c r="BB1643" s="82" t="s">
        <v>15804</v>
      </c>
      <c r="BC1643" s="82" t="s">
        <v>13809</v>
      </c>
      <c r="BD1643" s="82" t="s">
        <v>15756</v>
      </c>
      <c r="BE1643" s="77"/>
      <c r="BF1643" s="77"/>
      <c r="BG1643" s="77"/>
      <c r="BH1643" s="77"/>
      <c r="BI1643" s="77"/>
    </row>
    <row r="1644" spans="1:61" x14ac:dyDescent="0.25">
      <c r="A1644" s="62" t="s">
        <v>420</v>
      </c>
      <c r="B1644" s="62" t="s">
        <v>420</v>
      </c>
      <c r="C1644" s="63"/>
      <c r="D1644" s="64"/>
      <c r="E1644" s="65"/>
      <c r="F1644" s="66"/>
      <c r="G1644" s="63"/>
      <c r="H1644" s="67"/>
      <c r="I1644" s="68"/>
      <c r="J1644" s="68"/>
      <c r="K1644" s="32"/>
      <c r="L1644" s="75">
        <v>1644</v>
      </c>
      <c r="M1644" s="75"/>
      <c r="N1644" s="70"/>
      <c r="O1644" s="77" t="s">
        <v>179</v>
      </c>
      <c r="P1644" s="79">
        <v>45171.854166666664</v>
      </c>
      <c r="Q1644" s="77" t="s">
        <v>2716</v>
      </c>
      <c r="R1644" s="77">
        <v>0</v>
      </c>
      <c r="S1644" s="77">
        <v>1</v>
      </c>
      <c r="T1644" s="77">
        <v>0</v>
      </c>
      <c r="U1644" s="77">
        <v>0</v>
      </c>
      <c r="V1644" s="77">
        <v>726</v>
      </c>
      <c r="W1644" s="82" t="s">
        <v>5200</v>
      </c>
      <c r="X1644" s="80" t="str">
        <f>HYPERLINK("https://einvestidor.estadao.com.br/ultimas/nathalia-arcuri-educacao-financeira-colocar-poder-dinheiro-todas-pessoas/?utm_source=twitter&amp;utm_medium=organic&amp;utm_campaign=&amp;utm_content=materia")</f>
        <v>https://einvestidor.estadao.com.br/ultimas/nathalia-arcuri-educacao-financeira-colocar-poder-dinheiro-todas-pessoas/?utm_source=twitter&amp;utm_medium=organic&amp;utm_campaign=&amp;utm_content=materia</v>
      </c>
      <c r="Y1644" s="77" t="s">
        <v>6002</v>
      </c>
      <c r="Z1644" s="77"/>
      <c r="AA1644" s="77"/>
      <c r="AB1644" s="77"/>
      <c r="AC1644" s="82" t="s">
        <v>7706</v>
      </c>
      <c r="AD1644" s="77" t="s">
        <v>7745</v>
      </c>
      <c r="AE1644" s="80" t="str">
        <f>HYPERLINK("https://twitter.com/einvestidor/status/1698070793941373055")</f>
        <v>https://twitter.com/einvestidor/status/1698070793941373055</v>
      </c>
      <c r="AF1644" s="79">
        <v>45171.854166666664</v>
      </c>
      <c r="AG1644" s="85">
        <v>45171</v>
      </c>
      <c r="AH1644" s="82" t="s">
        <v>8575</v>
      </c>
      <c r="AI1644" s="77" t="b">
        <v>0</v>
      </c>
      <c r="AJ1644" s="77"/>
      <c r="AK1644" s="77"/>
      <c r="AL1644" s="77"/>
      <c r="AM1644" s="77"/>
      <c r="AN1644" s="77"/>
      <c r="AO1644" s="77"/>
      <c r="AP1644" s="77"/>
      <c r="AQ1644" s="77"/>
      <c r="AR1644" s="77"/>
      <c r="AS1644" s="77"/>
      <c r="AT1644" s="77"/>
      <c r="AU1644" s="77"/>
      <c r="AV1644" s="80" t="str">
        <f>HYPERLINK("https://pbs.twimg.com/profile_images/1241147984924082183/gZgx_hL-_normal.jpg")</f>
        <v>https://pbs.twimg.com/profile_images/1241147984924082183/gZgx_hL-_normal.jpg</v>
      </c>
      <c r="AW1644" s="82" t="s">
        <v>13810</v>
      </c>
      <c r="AX1644" s="82" t="s">
        <v>13810</v>
      </c>
      <c r="AY1644" s="77"/>
      <c r="AZ1644" s="82" t="s">
        <v>15804</v>
      </c>
      <c r="BA1644" s="82" t="s">
        <v>15804</v>
      </c>
      <c r="BB1644" s="82" t="s">
        <v>15804</v>
      </c>
      <c r="BC1644" s="82" t="s">
        <v>13810</v>
      </c>
      <c r="BD1644" s="82" t="s">
        <v>15756</v>
      </c>
      <c r="BE1644" s="77"/>
      <c r="BF1644" s="77"/>
      <c r="BG1644" s="77"/>
      <c r="BH1644" s="77"/>
      <c r="BI1644" s="77"/>
    </row>
    <row r="1645" spans="1:61" x14ac:dyDescent="0.25">
      <c r="A1645" s="62" t="s">
        <v>420</v>
      </c>
      <c r="B1645" s="62" t="s">
        <v>420</v>
      </c>
      <c r="C1645" s="63"/>
      <c r="D1645" s="64"/>
      <c r="E1645" s="65"/>
      <c r="F1645" s="66"/>
      <c r="G1645" s="63"/>
      <c r="H1645" s="67"/>
      <c r="I1645" s="68"/>
      <c r="J1645" s="68"/>
      <c r="K1645" s="32"/>
      <c r="L1645" s="75">
        <v>1645</v>
      </c>
      <c r="M1645" s="75"/>
      <c r="N1645" s="70"/>
      <c r="O1645" s="77" t="s">
        <v>179</v>
      </c>
      <c r="P1645" s="79">
        <v>45171.833333333336</v>
      </c>
      <c r="Q1645" s="77" t="s">
        <v>2717</v>
      </c>
      <c r="R1645" s="77">
        <v>0</v>
      </c>
      <c r="S1645" s="77">
        <v>1</v>
      </c>
      <c r="T1645" s="77">
        <v>0</v>
      </c>
      <c r="U1645" s="77">
        <v>0</v>
      </c>
      <c r="V1645" s="77">
        <v>687</v>
      </c>
      <c r="W1645" s="82" t="s">
        <v>5201</v>
      </c>
      <c r="X1645" s="80" t="str">
        <f>HYPERLINK("https://einvestidor.estadao.com.br/comportamento/the-town-dicas-contra-golpes-financeiros/?utm_source=twitter&amp;utm_medium=organic&amp;utm_campaign=&amp;utm_content=materia")</f>
        <v>https://einvestidor.estadao.com.br/comportamento/the-town-dicas-contra-golpes-financeiros/?utm_source=twitter&amp;utm_medium=organic&amp;utm_campaign=&amp;utm_content=materia</v>
      </c>
      <c r="Y1645" s="77" t="s">
        <v>6002</v>
      </c>
      <c r="Z1645" s="77"/>
      <c r="AA1645" s="77"/>
      <c r="AB1645" s="77"/>
      <c r="AC1645" s="82" t="s">
        <v>7706</v>
      </c>
      <c r="AD1645" s="77" t="s">
        <v>7745</v>
      </c>
      <c r="AE1645" s="80" t="str">
        <f>HYPERLINK("https://twitter.com/einvestidor/status/1698063243737260061")</f>
        <v>https://twitter.com/einvestidor/status/1698063243737260061</v>
      </c>
      <c r="AF1645" s="79">
        <v>45171.833333333336</v>
      </c>
      <c r="AG1645" s="85">
        <v>45171</v>
      </c>
      <c r="AH1645" s="82" t="s">
        <v>8578</v>
      </c>
      <c r="AI1645" s="77" t="b">
        <v>0</v>
      </c>
      <c r="AJ1645" s="77"/>
      <c r="AK1645" s="77"/>
      <c r="AL1645" s="77"/>
      <c r="AM1645" s="77"/>
      <c r="AN1645" s="77"/>
      <c r="AO1645" s="77"/>
      <c r="AP1645" s="77"/>
      <c r="AQ1645" s="77"/>
      <c r="AR1645" s="77"/>
      <c r="AS1645" s="77"/>
      <c r="AT1645" s="77"/>
      <c r="AU1645" s="77"/>
      <c r="AV1645" s="80" t="str">
        <f>HYPERLINK("https://pbs.twimg.com/profile_images/1241147984924082183/gZgx_hL-_normal.jpg")</f>
        <v>https://pbs.twimg.com/profile_images/1241147984924082183/gZgx_hL-_normal.jpg</v>
      </c>
      <c r="AW1645" s="82" t="s">
        <v>13811</v>
      </c>
      <c r="AX1645" s="82" t="s">
        <v>13811</v>
      </c>
      <c r="AY1645" s="77"/>
      <c r="AZ1645" s="82" t="s">
        <v>15804</v>
      </c>
      <c r="BA1645" s="82" t="s">
        <v>15804</v>
      </c>
      <c r="BB1645" s="82" t="s">
        <v>15804</v>
      </c>
      <c r="BC1645" s="82" t="s">
        <v>13811</v>
      </c>
      <c r="BD1645" s="82" t="s">
        <v>15756</v>
      </c>
      <c r="BE1645" s="77"/>
      <c r="BF1645" s="77"/>
      <c r="BG1645" s="77"/>
      <c r="BH1645" s="77"/>
      <c r="BI1645" s="77"/>
    </row>
    <row r="1646" spans="1:61" x14ac:dyDescent="0.25">
      <c r="A1646" s="62" t="s">
        <v>420</v>
      </c>
      <c r="B1646" s="62" t="s">
        <v>420</v>
      </c>
      <c r="C1646" s="63"/>
      <c r="D1646" s="64"/>
      <c r="E1646" s="65"/>
      <c r="F1646" s="66"/>
      <c r="G1646" s="63"/>
      <c r="H1646" s="67"/>
      <c r="I1646" s="68"/>
      <c r="J1646" s="68"/>
      <c r="K1646" s="32"/>
      <c r="L1646" s="75">
        <v>1646</v>
      </c>
      <c r="M1646" s="75"/>
      <c r="N1646" s="70"/>
      <c r="O1646" s="77" t="s">
        <v>179</v>
      </c>
      <c r="P1646" s="79">
        <v>45135.427268518521</v>
      </c>
      <c r="Q1646" s="77" t="s">
        <v>2718</v>
      </c>
      <c r="R1646" s="77">
        <v>0</v>
      </c>
      <c r="S1646" s="77">
        <v>8</v>
      </c>
      <c r="T1646" s="77">
        <v>1</v>
      </c>
      <c r="U1646" s="77">
        <v>0</v>
      </c>
      <c r="V1646" s="77">
        <v>1256</v>
      </c>
      <c r="W1646" s="82" t="s">
        <v>4097</v>
      </c>
      <c r="X1646" s="80" t="str">
        <f>HYPERLINK("https://mla.bs/30efa048")</f>
        <v>https://mla.bs/30efa048</v>
      </c>
      <c r="Y1646" s="77" t="s">
        <v>6030</v>
      </c>
      <c r="Z1646" s="77"/>
      <c r="AA1646" s="77"/>
      <c r="AB1646" s="77"/>
      <c r="AC1646" s="82" t="s">
        <v>7713</v>
      </c>
      <c r="AD1646" s="77" t="s">
        <v>7745</v>
      </c>
      <c r="AE1646" s="80" t="str">
        <f>HYPERLINK("https://twitter.com/einvestidor/status/1684870128423333888")</f>
        <v>https://twitter.com/einvestidor/status/1684870128423333888</v>
      </c>
      <c r="AF1646" s="79">
        <v>45135.427268518521</v>
      </c>
      <c r="AG1646" s="85">
        <v>45135</v>
      </c>
      <c r="AH1646" s="82" t="s">
        <v>9212</v>
      </c>
      <c r="AI1646" s="77" t="b">
        <v>0</v>
      </c>
      <c r="AJ1646" s="77"/>
      <c r="AK1646" s="77"/>
      <c r="AL1646" s="77"/>
      <c r="AM1646" s="77"/>
      <c r="AN1646" s="77"/>
      <c r="AO1646" s="77"/>
      <c r="AP1646" s="77"/>
      <c r="AQ1646" s="77"/>
      <c r="AR1646" s="77"/>
      <c r="AS1646" s="77"/>
      <c r="AT1646" s="77"/>
      <c r="AU1646" s="77"/>
      <c r="AV1646" s="80" t="str">
        <f>HYPERLINK("https://pbs.twimg.com/profile_images/1241147984924082183/gZgx_hL-_normal.jpg")</f>
        <v>https://pbs.twimg.com/profile_images/1241147984924082183/gZgx_hL-_normal.jpg</v>
      </c>
      <c r="AW1646" s="82" t="s">
        <v>13812</v>
      </c>
      <c r="AX1646" s="82" t="s">
        <v>13812</v>
      </c>
      <c r="AY1646" s="77"/>
      <c r="AZ1646" s="82" t="s">
        <v>15804</v>
      </c>
      <c r="BA1646" s="82" t="s">
        <v>15804</v>
      </c>
      <c r="BB1646" s="82" t="s">
        <v>15804</v>
      </c>
      <c r="BC1646" s="82" t="s">
        <v>13812</v>
      </c>
      <c r="BD1646" s="82" t="s">
        <v>15756</v>
      </c>
      <c r="BE1646" s="77"/>
      <c r="BF1646" s="77"/>
      <c r="BG1646" s="77"/>
      <c r="BH1646" s="77"/>
      <c r="BI1646" s="77"/>
    </row>
    <row r="1647" spans="1:61" x14ac:dyDescent="0.25">
      <c r="A1647" s="62" t="s">
        <v>420</v>
      </c>
      <c r="B1647" s="62" t="s">
        <v>420</v>
      </c>
      <c r="C1647" s="63"/>
      <c r="D1647" s="64"/>
      <c r="E1647" s="65"/>
      <c r="F1647" s="66"/>
      <c r="G1647" s="63"/>
      <c r="H1647" s="67"/>
      <c r="I1647" s="68"/>
      <c r="J1647" s="68"/>
      <c r="K1647" s="32"/>
      <c r="L1647" s="75">
        <v>1647</v>
      </c>
      <c r="M1647" s="75"/>
      <c r="N1647" s="70"/>
      <c r="O1647" s="77" t="s">
        <v>179</v>
      </c>
      <c r="P1647" s="79">
        <v>45133.597222222219</v>
      </c>
      <c r="Q1647" s="77" t="s">
        <v>2719</v>
      </c>
      <c r="R1647" s="77">
        <v>1</v>
      </c>
      <c r="S1647" s="77">
        <v>1</v>
      </c>
      <c r="T1647" s="77">
        <v>1</v>
      </c>
      <c r="U1647" s="77">
        <v>0</v>
      </c>
      <c r="V1647" s="77">
        <v>547</v>
      </c>
      <c r="W1647" s="82" t="s">
        <v>5202</v>
      </c>
      <c r="X1647" s="80" t="str">
        <f>HYPERLINK("https://mla.bs/237cb8a3")</f>
        <v>https://mla.bs/237cb8a3</v>
      </c>
      <c r="Y1647" s="77" t="s">
        <v>6030</v>
      </c>
      <c r="Z1647" s="77"/>
      <c r="AA1647" s="77"/>
      <c r="AB1647" s="77"/>
      <c r="AC1647" s="82" t="s">
        <v>7713</v>
      </c>
      <c r="AD1647" s="77" t="s">
        <v>7745</v>
      </c>
      <c r="AE1647" s="80" t="str">
        <f>HYPERLINK("https://twitter.com/einvestidor/status/1684206939985842176")</f>
        <v>https://twitter.com/einvestidor/status/1684206939985842176</v>
      </c>
      <c r="AF1647" s="79">
        <v>45133.597222222219</v>
      </c>
      <c r="AG1647" s="85">
        <v>45133</v>
      </c>
      <c r="AH1647" s="82" t="s">
        <v>9213</v>
      </c>
      <c r="AI1647" s="77" t="b">
        <v>0</v>
      </c>
      <c r="AJ1647" s="77"/>
      <c r="AK1647" s="77"/>
      <c r="AL1647" s="77"/>
      <c r="AM1647" s="77"/>
      <c r="AN1647" s="77"/>
      <c r="AO1647" s="77"/>
      <c r="AP1647" s="77"/>
      <c r="AQ1647" s="77"/>
      <c r="AR1647" s="77"/>
      <c r="AS1647" s="77"/>
      <c r="AT1647" s="77"/>
      <c r="AU1647" s="77"/>
      <c r="AV1647" s="80" t="str">
        <f>HYPERLINK("https://pbs.twimg.com/profile_images/1241147984924082183/gZgx_hL-_normal.jpg")</f>
        <v>https://pbs.twimg.com/profile_images/1241147984924082183/gZgx_hL-_normal.jpg</v>
      </c>
      <c r="AW1647" s="82" t="s">
        <v>13813</v>
      </c>
      <c r="AX1647" s="82" t="s">
        <v>13813</v>
      </c>
      <c r="AY1647" s="77"/>
      <c r="AZ1647" s="82" t="s">
        <v>15804</v>
      </c>
      <c r="BA1647" s="82" t="s">
        <v>15804</v>
      </c>
      <c r="BB1647" s="82" t="s">
        <v>15804</v>
      </c>
      <c r="BC1647" s="82" t="s">
        <v>13813</v>
      </c>
      <c r="BD1647" s="82" t="s">
        <v>15756</v>
      </c>
      <c r="BE1647" s="77"/>
      <c r="BF1647" s="77"/>
      <c r="BG1647" s="77"/>
      <c r="BH1647" s="77"/>
      <c r="BI1647" s="77"/>
    </row>
    <row r="1648" spans="1:61" x14ac:dyDescent="0.25">
      <c r="A1648" s="62" t="s">
        <v>420</v>
      </c>
      <c r="B1648" s="62" t="s">
        <v>420</v>
      </c>
      <c r="C1648" s="63"/>
      <c r="D1648" s="64"/>
      <c r="E1648" s="65"/>
      <c r="F1648" s="66"/>
      <c r="G1648" s="63"/>
      <c r="H1648" s="67"/>
      <c r="I1648" s="68"/>
      <c r="J1648" s="68"/>
      <c r="K1648" s="32"/>
      <c r="L1648" s="75">
        <v>1648</v>
      </c>
      <c r="M1648" s="75"/>
      <c r="N1648" s="70"/>
      <c r="O1648" s="77" t="s">
        <v>179</v>
      </c>
      <c r="P1648" s="79">
        <v>45114.441504629627</v>
      </c>
      <c r="Q1648" s="77" t="s">
        <v>2700</v>
      </c>
      <c r="R1648" s="77">
        <v>1</v>
      </c>
      <c r="S1648" s="77">
        <v>6</v>
      </c>
      <c r="T1648" s="77">
        <v>0</v>
      </c>
      <c r="U1648" s="77">
        <v>0</v>
      </c>
      <c r="V1648" s="77">
        <v>719</v>
      </c>
      <c r="W1648" s="82" t="s">
        <v>4080</v>
      </c>
      <c r="X1648" s="80" t="str">
        <f>HYPERLINK("https://mla.bs/d5c1ed5c")</f>
        <v>https://mla.bs/d5c1ed5c</v>
      </c>
      <c r="Y1648" s="77" t="s">
        <v>6030</v>
      </c>
      <c r="Z1648" s="77"/>
      <c r="AA1648" s="77"/>
      <c r="AB1648" s="77"/>
      <c r="AC1648" s="82" t="s">
        <v>7708</v>
      </c>
      <c r="AD1648" s="77" t="s">
        <v>7745</v>
      </c>
      <c r="AE1648" s="80" t="str">
        <f>HYPERLINK("https://twitter.com/einvestidor/status/1677265142877134851")</f>
        <v>https://twitter.com/einvestidor/status/1677265142877134851</v>
      </c>
      <c r="AF1648" s="79">
        <v>45114.441504629627</v>
      </c>
      <c r="AG1648" s="85">
        <v>45114</v>
      </c>
      <c r="AH1648" s="82" t="s">
        <v>9214</v>
      </c>
      <c r="AI1648" s="77" t="b">
        <v>0</v>
      </c>
      <c r="AJ1648" s="77"/>
      <c r="AK1648" s="77"/>
      <c r="AL1648" s="77"/>
      <c r="AM1648" s="77"/>
      <c r="AN1648" s="77"/>
      <c r="AO1648" s="77"/>
      <c r="AP1648" s="77"/>
      <c r="AQ1648" s="77"/>
      <c r="AR1648" s="77"/>
      <c r="AS1648" s="77"/>
      <c r="AT1648" s="77"/>
      <c r="AU1648" s="77"/>
      <c r="AV1648" s="80" t="str">
        <f>HYPERLINK("https://pbs.twimg.com/profile_images/1241147984924082183/gZgx_hL-_normal.jpg")</f>
        <v>https://pbs.twimg.com/profile_images/1241147984924082183/gZgx_hL-_normal.jpg</v>
      </c>
      <c r="AW1648" s="82" t="s">
        <v>13814</v>
      </c>
      <c r="AX1648" s="82" t="s">
        <v>13814</v>
      </c>
      <c r="AY1648" s="77"/>
      <c r="AZ1648" s="82" t="s">
        <v>15804</v>
      </c>
      <c r="BA1648" s="82" t="s">
        <v>15804</v>
      </c>
      <c r="BB1648" s="82" t="s">
        <v>15804</v>
      </c>
      <c r="BC1648" s="82" t="s">
        <v>13814</v>
      </c>
      <c r="BD1648" s="82" t="s">
        <v>15756</v>
      </c>
      <c r="BE1648" s="77"/>
      <c r="BF1648" s="77"/>
      <c r="BG1648" s="77"/>
      <c r="BH1648" s="77"/>
      <c r="BI1648" s="77"/>
    </row>
    <row r="1649" spans="1:61" x14ac:dyDescent="0.25">
      <c r="A1649" s="62" t="s">
        <v>420</v>
      </c>
      <c r="B1649" s="62" t="s">
        <v>420</v>
      </c>
      <c r="C1649" s="63"/>
      <c r="D1649" s="64"/>
      <c r="E1649" s="65"/>
      <c r="F1649" s="66"/>
      <c r="G1649" s="63"/>
      <c r="H1649" s="67"/>
      <c r="I1649" s="68"/>
      <c r="J1649" s="68"/>
      <c r="K1649" s="32"/>
      <c r="L1649" s="75">
        <v>1649</v>
      </c>
      <c r="M1649" s="75"/>
      <c r="N1649" s="70"/>
      <c r="O1649" s="77" t="s">
        <v>179</v>
      </c>
      <c r="P1649" s="79">
        <v>45113.54210648148</v>
      </c>
      <c r="Q1649" s="77" t="s">
        <v>2699</v>
      </c>
      <c r="R1649" s="77">
        <v>0</v>
      </c>
      <c r="S1649" s="77">
        <v>3</v>
      </c>
      <c r="T1649" s="77">
        <v>0</v>
      </c>
      <c r="U1649" s="77">
        <v>0</v>
      </c>
      <c r="V1649" s="77">
        <v>515</v>
      </c>
      <c r="W1649" s="82" t="s">
        <v>4080</v>
      </c>
      <c r="X1649" s="80" t="str">
        <f>HYPERLINK("https://mla.bs/6d465a6c")</f>
        <v>https://mla.bs/6d465a6c</v>
      </c>
      <c r="Y1649" s="77" t="s">
        <v>6030</v>
      </c>
      <c r="Z1649" s="77"/>
      <c r="AA1649" s="77"/>
      <c r="AB1649" s="77"/>
      <c r="AC1649" s="82" t="s">
        <v>7708</v>
      </c>
      <c r="AD1649" s="77" t="s">
        <v>7745</v>
      </c>
      <c r="AE1649" s="80" t="str">
        <f>HYPERLINK("https://twitter.com/einvestidor/status/1676939210333339650")</f>
        <v>https://twitter.com/einvestidor/status/1676939210333339650</v>
      </c>
      <c r="AF1649" s="79">
        <v>45113.54210648148</v>
      </c>
      <c r="AG1649" s="85">
        <v>45113</v>
      </c>
      <c r="AH1649" s="82" t="s">
        <v>9215</v>
      </c>
      <c r="AI1649" s="77" t="b">
        <v>0</v>
      </c>
      <c r="AJ1649" s="77"/>
      <c r="AK1649" s="77"/>
      <c r="AL1649" s="77"/>
      <c r="AM1649" s="77"/>
      <c r="AN1649" s="77"/>
      <c r="AO1649" s="77"/>
      <c r="AP1649" s="77"/>
      <c r="AQ1649" s="77"/>
      <c r="AR1649" s="77"/>
      <c r="AS1649" s="77"/>
      <c r="AT1649" s="77"/>
      <c r="AU1649" s="77"/>
      <c r="AV1649" s="80" t="str">
        <f>HYPERLINK("https://pbs.twimg.com/profile_images/1241147984924082183/gZgx_hL-_normal.jpg")</f>
        <v>https://pbs.twimg.com/profile_images/1241147984924082183/gZgx_hL-_normal.jpg</v>
      </c>
      <c r="AW1649" s="82" t="s">
        <v>13815</v>
      </c>
      <c r="AX1649" s="82" t="s">
        <v>13815</v>
      </c>
      <c r="AY1649" s="77"/>
      <c r="AZ1649" s="82" t="s">
        <v>15804</v>
      </c>
      <c r="BA1649" s="82" t="s">
        <v>15804</v>
      </c>
      <c r="BB1649" s="82" t="s">
        <v>15804</v>
      </c>
      <c r="BC1649" s="82" t="s">
        <v>13815</v>
      </c>
      <c r="BD1649" s="82" t="s">
        <v>15756</v>
      </c>
      <c r="BE1649" s="77"/>
      <c r="BF1649" s="77"/>
      <c r="BG1649" s="77"/>
      <c r="BH1649" s="77"/>
      <c r="BI1649" s="77"/>
    </row>
    <row r="1650" spans="1:61" x14ac:dyDescent="0.25">
      <c r="A1650" s="62" t="s">
        <v>420</v>
      </c>
      <c r="B1650" s="62" t="s">
        <v>420</v>
      </c>
      <c r="C1650" s="63"/>
      <c r="D1650" s="64"/>
      <c r="E1650" s="65"/>
      <c r="F1650" s="66"/>
      <c r="G1650" s="63"/>
      <c r="H1650" s="67"/>
      <c r="I1650" s="68"/>
      <c r="J1650" s="68"/>
      <c r="K1650" s="32"/>
      <c r="L1650" s="75">
        <v>1650</v>
      </c>
      <c r="M1650" s="75"/>
      <c r="N1650" s="70"/>
      <c r="O1650" s="77" t="s">
        <v>179</v>
      </c>
      <c r="P1650" s="79">
        <v>45034.43378472222</v>
      </c>
      <c r="Q1650" s="77" t="s">
        <v>2708</v>
      </c>
      <c r="R1650" s="77">
        <v>0</v>
      </c>
      <c r="S1650" s="77">
        <v>4</v>
      </c>
      <c r="T1650" s="77">
        <v>0</v>
      </c>
      <c r="U1650" s="77">
        <v>0</v>
      </c>
      <c r="V1650" s="77">
        <v>831</v>
      </c>
      <c r="W1650" s="82" t="s">
        <v>5194</v>
      </c>
      <c r="X1650" s="80" t="str">
        <f>HYPERLINK("https://mla.bs/edad5a2e")</f>
        <v>https://mla.bs/edad5a2e</v>
      </c>
      <c r="Y1650" s="77" t="s">
        <v>6030</v>
      </c>
      <c r="Z1650" s="77"/>
      <c r="AA1650" s="77"/>
      <c r="AB1650" s="77"/>
      <c r="AC1650" s="82" t="s">
        <v>7708</v>
      </c>
      <c r="AD1650" s="77" t="s">
        <v>7745</v>
      </c>
      <c r="AE1650" s="80" t="str">
        <f>HYPERLINK("https://twitter.com/einvestidor/status/1648271316800217092")</f>
        <v>https://twitter.com/einvestidor/status/1648271316800217092</v>
      </c>
      <c r="AF1650" s="79">
        <v>45034.43378472222</v>
      </c>
      <c r="AG1650" s="85">
        <v>45034</v>
      </c>
      <c r="AH1650" s="82" t="s">
        <v>9216</v>
      </c>
      <c r="AI1650" s="77" t="b">
        <v>0</v>
      </c>
      <c r="AJ1650" s="77"/>
      <c r="AK1650" s="77"/>
      <c r="AL1650" s="77"/>
      <c r="AM1650" s="77"/>
      <c r="AN1650" s="77"/>
      <c r="AO1650" s="77"/>
      <c r="AP1650" s="77"/>
      <c r="AQ1650" s="77"/>
      <c r="AR1650" s="77"/>
      <c r="AS1650" s="77"/>
      <c r="AT1650" s="77"/>
      <c r="AU1650" s="77"/>
      <c r="AV1650" s="80" t="str">
        <f>HYPERLINK("https://pbs.twimg.com/profile_images/1241147984924082183/gZgx_hL-_normal.jpg")</f>
        <v>https://pbs.twimg.com/profile_images/1241147984924082183/gZgx_hL-_normal.jpg</v>
      </c>
      <c r="AW1650" s="82" t="s">
        <v>13816</v>
      </c>
      <c r="AX1650" s="82" t="s">
        <v>13816</v>
      </c>
      <c r="AY1650" s="77"/>
      <c r="AZ1650" s="82" t="s">
        <v>15804</v>
      </c>
      <c r="BA1650" s="82" t="s">
        <v>15804</v>
      </c>
      <c r="BB1650" s="82" t="s">
        <v>15804</v>
      </c>
      <c r="BC1650" s="82" t="s">
        <v>13816</v>
      </c>
      <c r="BD1650" s="82" t="s">
        <v>15756</v>
      </c>
      <c r="BE1650" s="77"/>
      <c r="BF1650" s="77"/>
      <c r="BG1650" s="77"/>
      <c r="BH1650" s="77"/>
      <c r="BI1650" s="77"/>
    </row>
    <row r="1651" spans="1:61" x14ac:dyDescent="0.25">
      <c r="A1651" s="62" t="s">
        <v>420</v>
      </c>
      <c r="B1651" s="62" t="s">
        <v>420</v>
      </c>
      <c r="C1651" s="63"/>
      <c r="D1651" s="64"/>
      <c r="E1651" s="65"/>
      <c r="F1651" s="66"/>
      <c r="G1651" s="63"/>
      <c r="H1651" s="67"/>
      <c r="I1651" s="68"/>
      <c r="J1651" s="68"/>
      <c r="K1651" s="32"/>
      <c r="L1651" s="75">
        <v>1651</v>
      </c>
      <c r="M1651" s="75"/>
      <c r="N1651" s="70"/>
      <c r="O1651" s="77" t="s">
        <v>179</v>
      </c>
      <c r="P1651" s="79">
        <v>44992.583726851852</v>
      </c>
      <c r="Q1651" s="77" t="s">
        <v>2720</v>
      </c>
      <c r="R1651" s="77">
        <v>0</v>
      </c>
      <c r="S1651" s="77">
        <v>2</v>
      </c>
      <c r="T1651" s="77">
        <v>0</v>
      </c>
      <c r="U1651" s="77">
        <v>1</v>
      </c>
      <c r="V1651" s="77">
        <v>1136</v>
      </c>
      <c r="W1651" s="82" t="s">
        <v>5203</v>
      </c>
      <c r="X1651" s="80" t="str">
        <f>HYPERLINK("https://mla.bs/5e50414f")</f>
        <v>https://mla.bs/5e50414f</v>
      </c>
      <c r="Y1651" s="77" t="s">
        <v>6030</v>
      </c>
      <c r="Z1651" s="77"/>
      <c r="AA1651" s="77"/>
      <c r="AB1651" s="77"/>
      <c r="AC1651" s="82" t="s">
        <v>7708</v>
      </c>
      <c r="AD1651" s="77" t="s">
        <v>7745</v>
      </c>
      <c r="AE1651" s="80" t="str">
        <f>HYPERLINK("https://twitter.com/einvestidor/status/1633105362264965124")</f>
        <v>https://twitter.com/einvestidor/status/1633105362264965124</v>
      </c>
      <c r="AF1651" s="79">
        <v>44992.583726851852</v>
      </c>
      <c r="AG1651" s="85">
        <v>44992</v>
      </c>
      <c r="AH1651" s="82" t="s">
        <v>8005</v>
      </c>
      <c r="AI1651" s="77" t="b">
        <v>0</v>
      </c>
      <c r="AJ1651" s="77"/>
      <c r="AK1651" s="77"/>
      <c r="AL1651" s="77"/>
      <c r="AM1651" s="77"/>
      <c r="AN1651" s="77"/>
      <c r="AO1651" s="77"/>
      <c r="AP1651" s="77"/>
      <c r="AQ1651" s="77"/>
      <c r="AR1651" s="77"/>
      <c r="AS1651" s="77"/>
      <c r="AT1651" s="77"/>
      <c r="AU1651" s="77"/>
      <c r="AV1651" s="80" t="str">
        <f>HYPERLINK("https://pbs.twimg.com/profile_images/1241147984924082183/gZgx_hL-_normal.jpg")</f>
        <v>https://pbs.twimg.com/profile_images/1241147984924082183/gZgx_hL-_normal.jpg</v>
      </c>
      <c r="AW1651" s="82" t="s">
        <v>13817</v>
      </c>
      <c r="AX1651" s="82" t="s">
        <v>13817</v>
      </c>
      <c r="AY1651" s="77"/>
      <c r="AZ1651" s="82" t="s">
        <v>15804</v>
      </c>
      <c r="BA1651" s="82" t="s">
        <v>15804</v>
      </c>
      <c r="BB1651" s="82" t="s">
        <v>15804</v>
      </c>
      <c r="BC1651" s="82" t="s">
        <v>13817</v>
      </c>
      <c r="BD1651" s="82" t="s">
        <v>15756</v>
      </c>
      <c r="BE1651" s="77"/>
      <c r="BF1651" s="77"/>
      <c r="BG1651" s="77"/>
      <c r="BH1651" s="77"/>
      <c r="BI1651" s="77"/>
    </row>
    <row r="1652" spans="1:61" x14ac:dyDescent="0.25">
      <c r="A1652" s="62" t="s">
        <v>420</v>
      </c>
      <c r="B1652" s="62" t="s">
        <v>420</v>
      </c>
      <c r="C1652" s="63"/>
      <c r="D1652" s="64"/>
      <c r="E1652" s="65"/>
      <c r="F1652" s="66"/>
      <c r="G1652" s="63"/>
      <c r="H1652" s="67"/>
      <c r="I1652" s="68"/>
      <c r="J1652" s="68"/>
      <c r="K1652" s="32"/>
      <c r="L1652" s="75">
        <v>1652</v>
      </c>
      <c r="M1652" s="75"/>
      <c r="N1652" s="70"/>
      <c r="O1652" s="77" t="s">
        <v>179</v>
      </c>
      <c r="P1652" s="79">
        <v>44991.125127314815</v>
      </c>
      <c r="Q1652" s="77" t="s">
        <v>2721</v>
      </c>
      <c r="R1652" s="77">
        <v>0</v>
      </c>
      <c r="S1652" s="77">
        <v>1</v>
      </c>
      <c r="T1652" s="77">
        <v>0</v>
      </c>
      <c r="U1652" s="77">
        <v>0</v>
      </c>
      <c r="V1652" s="77">
        <v>801</v>
      </c>
      <c r="W1652" s="82" t="s">
        <v>4080</v>
      </c>
      <c r="X1652" s="80" t="str">
        <f>HYPERLINK("https://mla.bs/21ba64d3")</f>
        <v>https://mla.bs/21ba64d3</v>
      </c>
      <c r="Y1652" s="77" t="s">
        <v>6030</v>
      </c>
      <c r="Z1652" s="77"/>
      <c r="AA1652" s="77"/>
      <c r="AB1652" s="77"/>
      <c r="AC1652" s="82" t="s">
        <v>7708</v>
      </c>
      <c r="AD1652" s="77" t="s">
        <v>7745</v>
      </c>
      <c r="AE1652" s="80" t="str">
        <f>HYPERLINK("https://twitter.com/einvestidor/status/1632576783475245056")</f>
        <v>https://twitter.com/einvestidor/status/1632576783475245056</v>
      </c>
      <c r="AF1652" s="79">
        <v>44991.125127314815</v>
      </c>
      <c r="AG1652" s="85">
        <v>44991</v>
      </c>
      <c r="AH1652" s="82" t="s">
        <v>9217</v>
      </c>
      <c r="AI1652" s="77" t="b">
        <v>0</v>
      </c>
      <c r="AJ1652" s="77"/>
      <c r="AK1652" s="77"/>
      <c r="AL1652" s="77"/>
      <c r="AM1652" s="77"/>
      <c r="AN1652" s="77"/>
      <c r="AO1652" s="77"/>
      <c r="AP1652" s="77"/>
      <c r="AQ1652" s="77"/>
      <c r="AR1652" s="77"/>
      <c r="AS1652" s="77"/>
      <c r="AT1652" s="77"/>
      <c r="AU1652" s="77"/>
      <c r="AV1652" s="80" t="str">
        <f>HYPERLINK("https://pbs.twimg.com/profile_images/1241147984924082183/gZgx_hL-_normal.jpg")</f>
        <v>https://pbs.twimg.com/profile_images/1241147984924082183/gZgx_hL-_normal.jpg</v>
      </c>
      <c r="AW1652" s="82" t="s">
        <v>13818</v>
      </c>
      <c r="AX1652" s="82" t="s">
        <v>13818</v>
      </c>
      <c r="AY1652" s="77"/>
      <c r="AZ1652" s="82" t="s">
        <v>15804</v>
      </c>
      <c r="BA1652" s="82" t="s">
        <v>15804</v>
      </c>
      <c r="BB1652" s="82" t="s">
        <v>15804</v>
      </c>
      <c r="BC1652" s="82" t="s">
        <v>13818</v>
      </c>
      <c r="BD1652" s="82" t="s">
        <v>15756</v>
      </c>
      <c r="BE1652" s="77"/>
      <c r="BF1652" s="77"/>
      <c r="BG1652" s="77"/>
      <c r="BH1652" s="77"/>
      <c r="BI1652" s="77"/>
    </row>
    <row r="1653" spans="1:61" x14ac:dyDescent="0.25">
      <c r="A1653" s="62" t="s">
        <v>420</v>
      </c>
      <c r="B1653" s="62" t="s">
        <v>420</v>
      </c>
      <c r="C1653" s="63"/>
      <c r="D1653" s="64"/>
      <c r="E1653" s="65"/>
      <c r="F1653" s="66"/>
      <c r="G1653" s="63"/>
      <c r="H1653" s="67"/>
      <c r="I1653" s="68"/>
      <c r="J1653" s="68"/>
      <c r="K1653" s="32"/>
      <c r="L1653" s="75">
        <v>1653</v>
      </c>
      <c r="M1653" s="75"/>
      <c r="N1653" s="70"/>
      <c r="O1653" s="77" t="s">
        <v>179</v>
      </c>
      <c r="P1653" s="79">
        <v>44988.521145833336</v>
      </c>
      <c r="Q1653" s="77" t="s">
        <v>2721</v>
      </c>
      <c r="R1653" s="77">
        <v>0</v>
      </c>
      <c r="S1653" s="77">
        <v>0</v>
      </c>
      <c r="T1653" s="77">
        <v>0</v>
      </c>
      <c r="U1653" s="77">
        <v>0</v>
      </c>
      <c r="V1653" s="77">
        <v>620</v>
      </c>
      <c r="W1653" s="82" t="s">
        <v>4080</v>
      </c>
      <c r="X1653" s="80" t="str">
        <f>HYPERLINK("https://mla.bs/21ba64d3")</f>
        <v>https://mla.bs/21ba64d3</v>
      </c>
      <c r="Y1653" s="77" t="s">
        <v>6030</v>
      </c>
      <c r="Z1653" s="77"/>
      <c r="AA1653" s="77"/>
      <c r="AB1653" s="77"/>
      <c r="AC1653" s="82" t="s">
        <v>7708</v>
      </c>
      <c r="AD1653" s="77" t="s">
        <v>7745</v>
      </c>
      <c r="AE1653" s="80" t="str">
        <f>HYPERLINK("https://twitter.com/einvestidor/status/1631633131966013441")</f>
        <v>https://twitter.com/einvestidor/status/1631633131966013441</v>
      </c>
      <c r="AF1653" s="79">
        <v>44988.521145833336</v>
      </c>
      <c r="AG1653" s="85">
        <v>44988</v>
      </c>
      <c r="AH1653" s="82" t="s">
        <v>9218</v>
      </c>
      <c r="AI1653" s="77" t="b">
        <v>0</v>
      </c>
      <c r="AJ1653" s="77"/>
      <c r="AK1653" s="77"/>
      <c r="AL1653" s="77"/>
      <c r="AM1653" s="77"/>
      <c r="AN1653" s="77"/>
      <c r="AO1653" s="77"/>
      <c r="AP1653" s="77"/>
      <c r="AQ1653" s="77"/>
      <c r="AR1653" s="77"/>
      <c r="AS1653" s="77"/>
      <c r="AT1653" s="77"/>
      <c r="AU1653" s="77"/>
      <c r="AV1653" s="80" t="str">
        <f>HYPERLINK("https://pbs.twimg.com/profile_images/1241147984924082183/gZgx_hL-_normal.jpg")</f>
        <v>https://pbs.twimg.com/profile_images/1241147984924082183/gZgx_hL-_normal.jpg</v>
      </c>
      <c r="AW1653" s="82" t="s">
        <v>13819</v>
      </c>
      <c r="AX1653" s="82" t="s">
        <v>13819</v>
      </c>
      <c r="AY1653" s="77"/>
      <c r="AZ1653" s="82" t="s">
        <v>15804</v>
      </c>
      <c r="BA1653" s="82" t="s">
        <v>15804</v>
      </c>
      <c r="BB1653" s="82" t="s">
        <v>15804</v>
      </c>
      <c r="BC1653" s="82" t="s">
        <v>13819</v>
      </c>
      <c r="BD1653" s="82" t="s">
        <v>15756</v>
      </c>
      <c r="BE1653" s="77"/>
      <c r="BF1653" s="77"/>
      <c r="BG1653" s="77"/>
      <c r="BH1653" s="77"/>
      <c r="BI1653" s="77"/>
    </row>
    <row r="1654" spans="1:61" x14ac:dyDescent="0.25">
      <c r="A1654" s="62" t="s">
        <v>420</v>
      </c>
      <c r="B1654" s="62" t="s">
        <v>420</v>
      </c>
      <c r="C1654" s="63"/>
      <c r="D1654" s="64"/>
      <c r="E1654" s="65"/>
      <c r="F1654" s="66"/>
      <c r="G1654" s="63"/>
      <c r="H1654" s="67"/>
      <c r="I1654" s="68"/>
      <c r="J1654" s="68"/>
      <c r="K1654" s="32"/>
      <c r="L1654" s="75">
        <v>1654</v>
      </c>
      <c r="M1654" s="75"/>
      <c r="N1654" s="70"/>
      <c r="O1654" s="77" t="s">
        <v>179</v>
      </c>
      <c r="P1654" s="79">
        <v>45179.833333333336</v>
      </c>
      <c r="Q1654" s="77" t="s">
        <v>2722</v>
      </c>
      <c r="R1654" s="77">
        <v>0</v>
      </c>
      <c r="S1654" s="77">
        <v>0</v>
      </c>
      <c r="T1654" s="77">
        <v>0</v>
      </c>
      <c r="U1654" s="77">
        <v>0</v>
      </c>
      <c r="V1654" s="77">
        <v>674</v>
      </c>
      <c r="W1654" s="82" t="s">
        <v>5071</v>
      </c>
      <c r="X1654" s="80" t="str">
        <f>HYPERLINK("https://einvestidor.estadao.com.br/mercado/como-conquistar-1-milhao-tesouro-direto/?utm_source=twitter&amp;utm_medium=organic&amp;utm_campaign=&amp;utm_content=materia")</f>
        <v>https://einvestidor.estadao.com.br/mercado/como-conquistar-1-milhao-tesouro-direto/?utm_source=twitter&amp;utm_medium=organic&amp;utm_campaign=&amp;utm_content=materia</v>
      </c>
      <c r="Y1654" s="77" t="s">
        <v>6002</v>
      </c>
      <c r="Z1654" s="77"/>
      <c r="AA1654" s="77"/>
      <c r="AB1654" s="77"/>
      <c r="AC1654" s="82" t="s">
        <v>7706</v>
      </c>
      <c r="AD1654" s="77" t="s">
        <v>7745</v>
      </c>
      <c r="AE1654" s="80" t="str">
        <f>HYPERLINK("https://twitter.com/einvestidor/status/1700962346552701118")</f>
        <v>https://twitter.com/einvestidor/status/1700962346552701118</v>
      </c>
      <c r="AF1654" s="79">
        <v>45179.833333333336</v>
      </c>
      <c r="AG1654" s="85">
        <v>45179</v>
      </c>
      <c r="AH1654" s="82" t="s">
        <v>8578</v>
      </c>
      <c r="AI1654" s="77" t="b">
        <v>0</v>
      </c>
      <c r="AJ1654" s="77"/>
      <c r="AK1654" s="77"/>
      <c r="AL1654" s="77"/>
      <c r="AM1654" s="77"/>
      <c r="AN1654" s="77"/>
      <c r="AO1654" s="77"/>
      <c r="AP1654" s="77"/>
      <c r="AQ1654" s="77"/>
      <c r="AR1654" s="77"/>
      <c r="AS1654" s="77"/>
      <c r="AT1654" s="77"/>
      <c r="AU1654" s="77"/>
      <c r="AV1654" s="80" t="str">
        <f>HYPERLINK("https://pbs.twimg.com/profile_images/1241147984924082183/gZgx_hL-_normal.jpg")</f>
        <v>https://pbs.twimg.com/profile_images/1241147984924082183/gZgx_hL-_normal.jpg</v>
      </c>
      <c r="AW1654" s="82" t="s">
        <v>13820</v>
      </c>
      <c r="AX1654" s="82" t="s">
        <v>13820</v>
      </c>
      <c r="AY1654" s="77"/>
      <c r="AZ1654" s="82" t="s">
        <v>15804</v>
      </c>
      <c r="BA1654" s="82" t="s">
        <v>15804</v>
      </c>
      <c r="BB1654" s="82" t="s">
        <v>15804</v>
      </c>
      <c r="BC1654" s="82" t="s">
        <v>13820</v>
      </c>
      <c r="BD1654" s="82" t="s">
        <v>15756</v>
      </c>
      <c r="BE1654" s="77"/>
      <c r="BF1654" s="77"/>
      <c r="BG1654" s="77"/>
      <c r="BH1654" s="77"/>
      <c r="BI1654" s="77"/>
    </row>
    <row r="1655" spans="1:61" x14ac:dyDescent="0.25">
      <c r="A1655" s="62" t="s">
        <v>420</v>
      </c>
      <c r="B1655" s="62" t="s">
        <v>420</v>
      </c>
      <c r="C1655" s="63"/>
      <c r="D1655" s="64"/>
      <c r="E1655" s="65"/>
      <c r="F1655" s="66"/>
      <c r="G1655" s="63"/>
      <c r="H1655" s="67"/>
      <c r="I1655" s="68"/>
      <c r="J1655" s="68"/>
      <c r="K1655" s="32"/>
      <c r="L1655" s="75">
        <v>1655</v>
      </c>
      <c r="M1655" s="75"/>
      <c r="N1655" s="70"/>
      <c r="O1655" s="77" t="s">
        <v>179</v>
      </c>
      <c r="P1655" s="79">
        <v>45179.666666666664</v>
      </c>
      <c r="Q1655" s="77" t="s">
        <v>2723</v>
      </c>
      <c r="R1655" s="77">
        <v>1</v>
      </c>
      <c r="S1655" s="77">
        <v>1</v>
      </c>
      <c r="T1655" s="77">
        <v>0</v>
      </c>
      <c r="U1655" s="77">
        <v>0</v>
      </c>
      <c r="V1655" s="77">
        <v>632</v>
      </c>
      <c r="W1655" s="82" t="s">
        <v>5071</v>
      </c>
      <c r="X1655" s="80" t="str">
        <f>HYPERLINK("https://einvestidor.estadao.com.br/mercado/5-dicas-para-evitar-o-sincericidio/?utm_source=twitter&amp;utm_medium=organic&amp;utm_campaign=&amp;utm_content=materia")</f>
        <v>https://einvestidor.estadao.com.br/mercado/5-dicas-para-evitar-o-sincericidio/?utm_source=twitter&amp;utm_medium=organic&amp;utm_campaign=&amp;utm_content=materia</v>
      </c>
      <c r="Y1655" s="77" t="s">
        <v>6002</v>
      </c>
      <c r="Z1655" s="77"/>
      <c r="AA1655" s="77"/>
      <c r="AB1655" s="77"/>
      <c r="AC1655" s="82" t="s">
        <v>7706</v>
      </c>
      <c r="AD1655" s="77" t="s">
        <v>7745</v>
      </c>
      <c r="AE1655" s="80" t="str">
        <f>HYPERLINK("https://twitter.com/einvestidor/status/1700901950580228248")</f>
        <v>https://twitter.com/einvestidor/status/1700901950580228248</v>
      </c>
      <c r="AF1655" s="79">
        <v>45179.666666666664</v>
      </c>
      <c r="AG1655" s="85">
        <v>45179</v>
      </c>
      <c r="AH1655" s="82" t="s">
        <v>9219</v>
      </c>
      <c r="AI1655" s="77" t="b">
        <v>0</v>
      </c>
      <c r="AJ1655" s="77"/>
      <c r="AK1655" s="77"/>
      <c r="AL1655" s="77"/>
      <c r="AM1655" s="77"/>
      <c r="AN1655" s="77"/>
      <c r="AO1655" s="77"/>
      <c r="AP1655" s="77"/>
      <c r="AQ1655" s="77"/>
      <c r="AR1655" s="77"/>
      <c r="AS1655" s="77"/>
      <c r="AT1655" s="77"/>
      <c r="AU1655" s="77"/>
      <c r="AV1655" s="80" t="str">
        <f>HYPERLINK("https://pbs.twimg.com/profile_images/1241147984924082183/gZgx_hL-_normal.jpg")</f>
        <v>https://pbs.twimg.com/profile_images/1241147984924082183/gZgx_hL-_normal.jpg</v>
      </c>
      <c r="AW1655" s="82" t="s">
        <v>13821</v>
      </c>
      <c r="AX1655" s="82" t="s">
        <v>13821</v>
      </c>
      <c r="AY1655" s="77"/>
      <c r="AZ1655" s="82" t="s">
        <v>15804</v>
      </c>
      <c r="BA1655" s="82" t="s">
        <v>15804</v>
      </c>
      <c r="BB1655" s="82" t="s">
        <v>15804</v>
      </c>
      <c r="BC1655" s="82" t="s">
        <v>13821</v>
      </c>
      <c r="BD1655" s="82" t="s">
        <v>15756</v>
      </c>
      <c r="BE1655" s="77"/>
      <c r="BF1655" s="77"/>
      <c r="BG1655" s="77"/>
      <c r="BH1655" s="77"/>
      <c r="BI1655" s="77"/>
    </row>
    <row r="1656" spans="1:61" x14ac:dyDescent="0.25">
      <c r="A1656" s="62" t="s">
        <v>420</v>
      </c>
      <c r="B1656" s="62" t="s">
        <v>420</v>
      </c>
      <c r="C1656" s="63"/>
      <c r="D1656" s="64"/>
      <c r="E1656" s="65"/>
      <c r="F1656" s="66"/>
      <c r="G1656" s="63"/>
      <c r="H1656" s="67"/>
      <c r="I1656" s="68"/>
      <c r="J1656" s="68"/>
      <c r="K1656" s="32"/>
      <c r="L1656" s="75">
        <v>1656</v>
      </c>
      <c r="M1656" s="75"/>
      <c r="N1656" s="70"/>
      <c r="O1656" s="77" t="s">
        <v>179</v>
      </c>
      <c r="P1656" s="79">
        <v>45176.666678240741</v>
      </c>
      <c r="Q1656" s="77" t="s">
        <v>2724</v>
      </c>
      <c r="R1656" s="77">
        <v>0</v>
      </c>
      <c r="S1656" s="77">
        <v>0</v>
      </c>
      <c r="T1656" s="77">
        <v>0</v>
      </c>
      <c r="U1656" s="77">
        <v>0</v>
      </c>
      <c r="V1656" s="77">
        <v>590</v>
      </c>
      <c r="W1656" s="82" t="s">
        <v>5071</v>
      </c>
      <c r="X1656" s="80" t="str">
        <f>HYPERLINK("https://einvestidor.estadao.com.br/videos/como-se-planejar-para-ter-um-pet/?utm_source=twitter&amp;utm_medium=organic&amp;utm_campaign=&amp;utm_content=materia")</f>
        <v>https://einvestidor.estadao.com.br/videos/como-se-planejar-para-ter-um-pet/?utm_source=twitter&amp;utm_medium=organic&amp;utm_campaign=&amp;utm_content=materia</v>
      </c>
      <c r="Y1656" s="77" t="s">
        <v>6002</v>
      </c>
      <c r="Z1656" s="77"/>
      <c r="AA1656" s="77"/>
      <c r="AB1656" s="77"/>
      <c r="AC1656" s="82" t="s">
        <v>7706</v>
      </c>
      <c r="AD1656" s="77" t="s">
        <v>7745</v>
      </c>
      <c r="AE1656" s="80" t="str">
        <f>HYPERLINK("https://twitter.com/einvestidor/status/1699814789881471228")</f>
        <v>https://twitter.com/einvestidor/status/1699814789881471228</v>
      </c>
      <c r="AF1656" s="79">
        <v>45176.666678240741</v>
      </c>
      <c r="AG1656" s="85">
        <v>45176</v>
      </c>
      <c r="AH1656" s="82" t="s">
        <v>7922</v>
      </c>
      <c r="AI1656" s="77" t="b">
        <v>0</v>
      </c>
      <c r="AJ1656" s="77"/>
      <c r="AK1656" s="77"/>
      <c r="AL1656" s="77"/>
      <c r="AM1656" s="77"/>
      <c r="AN1656" s="77"/>
      <c r="AO1656" s="77"/>
      <c r="AP1656" s="77"/>
      <c r="AQ1656" s="77"/>
      <c r="AR1656" s="77"/>
      <c r="AS1656" s="77"/>
      <c r="AT1656" s="77"/>
      <c r="AU1656" s="77"/>
      <c r="AV1656" s="80" t="str">
        <f>HYPERLINK("https://pbs.twimg.com/profile_images/1241147984924082183/gZgx_hL-_normal.jpg")</f>
        <v>https://pbs.twimg.com/profile_images/1241147984924082183/gZgx_hL-_normal.jpg</v>
      </c>
      <c r="AW1656" s="82" t="s">
        <v>13822</v>
      </c>
      <c r="AX1656" s="82" t="s">
        <v>13822</v>
      </c>
      <c r="AY1656" s="77"/>
      <c r="AZ1656" s="82" t="s">
        <v>15804</v>
      </c>
      <c r="BA1656" s="82" t="s">
        <v>15804</v>
      </c>
      <c r="BB1656" s="82" t="s">
        <v>15804</v>
      </c>
      <c r="BC1656" s="82" t="s">
        <v>13822</v>
      </c>
      <c r="BD1656" s="82" t="s">
        <v>15756</v>
      </c>
      <c r="BE1656" s="77"/>
      <c r="BF1656" s="77"/>
      <c r="BG1656" s="77"/>
      <c r="BH1656" s="77"/>
      <c r="BI1656" s="77"/>
    </row>
    <row r="1657" spans="1:61" x14ac:dyDescent="0.25">
      <c r="A1657" s="62" t="s">
        <v>420</v>
      </c>
      <c r="B1657" s="62" t="s">
        <v>420</v>
      </c>
      <c r="C1657" s="63"/>
      <c r="D1657" s="64"/>
      <c r="E1657" s="65"/>
      <c r="F1657" s="66"/>
      <c r="G1657" s="63"/>
      <c r="H1657" s="67"/>
      <c r="I1657" s="68"/>
      <c r="J1657" s="68"/>
      <c r="K1657" s="32"/>
      <c r="L1657" s="75">
        <v>1657</v>
      </c>
      <c r="M1657" s="75"/>
      <c r="N1657" s="70"/>
      <c r="O1657" s="77" t="s">
        <v>179</v>
      </c>
      <c r="P1657" s="79">
        <v>45171.782430555555</v>
      </c>
      <c r="Q1657" s="77" t="s">
        <v>2725</v>
      </c>
      <c r="R1657" s="77">
        <v>0</v>
      </c>
      <c r="S1657" s="77">
        <v>0</v>
      </c>
      <c r="T1657" s="77">
        <v>0</v>
      </c>
      <c r="U1657" s="77">
        <v>0</v>
      </c>
      <c r="V1657" s="77">
        <v>538</v>
      </c>
      <c r="W1657" s="82" t="s">
        <v>5071</v>
      </c>
      <c r="X1657" s="80" t="str">
        <f>HYPERLINK("https://einvestidor.estadao.com.br/ultimas/gestor-precisa-ter-sucesso/?utm_source=estadao&amp;utm_medium=home&amp;utm_campaign=direto_estadao/?utm_source=twitter&amp;utm_medium=organic&amp;utm_campaign=&amp;utm_content=materia")</f>
        <v>https://einvestidor.estadao.com.br/ultimas/gestor-precisa-ter-sucesso/?utm_source=estadao&amp;utm_medium=home&amp;utm_campaign=direto_estadao/?utm_source=twitter&amp;utm_medium=organic&amp;utm_campaign=&amp;utm_content=materia</v>
      </c>
      <c r="Y1657" s="77" t="s">
        <v>6002</v>
      </c>
      <c r="Z1657" s="77"/>
      <c r="AA1657" s="77"/>
      <c r="AB1657" s="77"/>
      <c r="AC1657" s="82" t="s">
        <v>7706</v>
      </c>
      <c r="AD1657" s="77" t="s">
        <v>7745</v>
      </c>
      <c r="AE1657" s="80" t="str">
        <f>HYPERLINK("https://twitter.com/einvestidor/status/1698044797313757621")</f>
        <v>https://twitter.com/einvestidor/status/1698044797313757621</v>
      </c>
      <c r="AF1657" s="79">
        <v>45171.782430555555</v>
      </c>
      <c r="AG1657" s="85">
        <v>45171</v>
      </c>
      <c r="AH1657" s="82" t="s">
        <v>9220</v>
      </c>
      <c r="AI1657" s="77" t="b">
        <v>0</v>
      </c>
      <c r="AJ1657" s="77"/>
      <c r="AK1657" s="77"/>
      <c r="AL1657" s="77"/>
      <c r="AM1657" s="77"/>
      <c r="AN1657" s="77"/>
      <c r="AO1657" s="77"/>
      <c r="AP1657" s="77"/>
      <c r="AQ1657" s="77"/>
      <c r="AR1657" s="77"/>
      <c r="AS1657" s="77"/>
      <c r="AT1657" s="77"/>
      <c r="AU1657" s="77"/>
      <c r="AV1657" s="80" t="str">
        <f>HYPERLINK("https://pbs.twimg.com/profile_images/1241147984924082183/gZgx_hL-_normal.jpg")</f>
        <v>https://pbs.twimg.com/profile_images/1241147984924082183/gZgx_hL-_normal.jpg</v>
      </c>
      <c r="AW1657" s="82" t="s">
        <v>13823</v>
      </c>
      <c r="AX1657" s="82" t="s">
        <v>13823</v>
      </c>
      <c r="AY1657" s="77"/>
      <c r="AZ1657" s="82" t="s">
        <v>15804</v>
      </c>
      <c r="BA1657" s="82" t="s">
        <v>15804</v>
      </c>
      <c r="BB1657" s="82" t="s">
        <v>15804</v>
      </c>
      <c r="BC1657" s="82" t="s">
        <v>13823</v>
      </c>
      <c r="BD1657" s="82" t="s">
        <v>15756</v>
      </c>
      <c r="BE1657" s="77"/>
      <c r="BF1657" s="77"/>
      <c r="BG1657" s="77"/>
      <c r="BH1657" s="77"/>
      <c r="BI1657" s="77"/>
    </row>
    <row r="1658" spans="1:61" x14ac:dyDescent="0.25">
      <c r="A1658" s="62" t="s">
        <v>420</v>
      </c>
      <c r="B1658" s="62" t="s">
        <v>420</v>
      </c>
      <c r="C1658" s="63"/>
      <c r="D1658" s="64"/>
      <c r="E1658" s="65"/>
      <c r="F1658" s="66"/>
      <c r="G1658" s="63"/>
      <c r="H1658" s="67"/>
      <c r="I1658" s="68"/>
      <c r="J1658" s="68"/>
      <c r="K1658" s="32"/>
      <c r="L1658" s="75">
        <v>1658</v>
      </c>
      <c r="M1658" s="75"/>
      <c r="N1658" s="70"/>
      <c r="O1658" s="77" t="s">
        <v>179</v>
      </c>
      <c r="P1658" s="79">
        <v>45144.500023148146</v>
      </c>
      <c r="Q1658" s="77" t="s">
        <v>2726</v>
      </c>
      <c r="R1658" s="77">
        <v>1</v>
      </c>
      <c r="S1658" s="77">
        <v>5</v>
      </c>
      <c r="T1658" s="77">
        <v>0</v>
      </c>
      <c r="U1658" s="77">
        <v>0</v>
      </c>
      <c r="V1658" s="77">
        <v>913</v>
      </c>
      <c r="W1658" s="82" t="s">
        <v>5071</v>
      </c>
      <c r="X1658" s="80" t="str">
        <f>HYPERLINK("https://mla.bs/7ce3e2d5")</f>
        <v>https://mla.bs/7ce3e2d5</v>
      </c>
      <c r="Y1658" s="77" t="s">
        <v>6030</v>
      </c>
      <c r="Z1658" s="77"/>
      <c r="AA1658" s="77"/>
      <c r="AB1658" s="77"/>
      <c r="AC1658" s="82" t="s">
        <v>7713</v>
      </c>
      <c r="AD1658" s="77" t="s">
        <v>7745</v>
      </c>
      <c r="AE1658" s="80" t="str">
        <f>HYPERLINK("https://twitter.com/einvestidor/status/1688157984235360257")</f>
        <v>https://twitter.com/einvestidor/status/1688157984235360257</v>
      </c>
      <c r="AF1658" s="79">
        <v>45144.500023148146</v>
      </c>
      <c r="AG1658" s="85">
        <v>45144</v>
      </c>
      <c r="AH1658" s="82" t="s">
        <v>8128</v>
      </c>
      <c r="AI1658" s="77" t="b">
        <v>0</v>
      </c>
      <c r="AJ1658" s="77"/>
      <c r="AK1658" s="77"/>
      <c r="AL1658" s="77"/>
      <c r="AM1658" s="77"/>
      <c r="AN1658" s="77"/>
      <c r="AO1658" s="77"/>
      <c r="AP1658" s="77"/>
      <c r="AQ1658" s="77"/>
      <c r="AR1658" s="77"/>
      <c r="AS1658" s="77"/>
      <c r="AT1658" s="77"/>
      <c r="AU1658" s="77"/>
      <c r="AV1658" s="80" t="str">
        <f>HYPERLINK("https://pbs.twimg.com/profile_images/1241147984924082183/gZgx_hL-_normal.jpg")</f>
        <v>https://pbs.twimg.com/profile_images/1241147984924082183/gZgx_hL-_normal.jpg</v>
      </c>
      <c r="AW1658" s="82" t="s">
        <v>13824</v>
      </c>
      <c r="AX1658" s="82" t="s">
        <v>13824</v>
      </c>
      <c r="AY1658" s="77"/>
      <c r="AZ1658" s="82" t="s">
        <v>15804</v>
      </c>
      <c r="BA1658" s="82" t="s">
        <v>15804</v>
      </c>
      <c r="BB1658" s="82" t="s">
        <v>15804</v>
      </c>
      <c r="BC1658" s="82" t="s">
        <v>13824</v>
      </c>
      <c r="BD1658" s="82" t="s">
        <v>15756</v>
      </c>
      <c r="BE1658" s="77"/>
      <c r="BF1658" s="77"/>
      <c r="BG1658" s="77"/>
      <c r="BH1658" s="77"/>
      <c r="BI1658" s="77"/>
    </row>
    <row r="1659" spans="1:61" x14ac:dyDescent="0.25">
      <c r="A1659" s="62" t="s">
        <v>420</v>
      </c>
      <c r="B1659" s="62" t="s">
        <v>420</v>
      </c>
      <c r="C1659" s="63"/>
      <c r="D1659" s="64"/>
      <c r="E1659" s="65"/>
      <c r="F1659" s="66"/>
      <c r="G1659" s="63"/>
      <c r="H1659" s="67"/>
      <c r="I1659" s="68"/>
      <c r="J1659" s="68"/>
      <c r="K1659" s="32"/>
      <c r="L1659" s="75">
        <v>1659</v>
      </c>
      <c r="M1659" s="75"/>
      <c r="N1659" s="70"/>
      <c r="O1659" s="77" t="s">
        <v>179</v>
      </c>
      <c r="P1659" s="79">
        <v>45101.750439814816</v>
      </c>
      <c r="Q1659" s="77" t="s">
        <v>2727</v>
      </c>
      <c r="R1659" s="77">
        <v>0</v>
      </c>
      <c r="S1659" s="77">
        <v>2</v>
      </c>
      <c r="T1659" s="77">
        <v>0</v>
      </c>
      <c r="U1659" s="77">
        <v>0</v>
      </c>
      <c r="V1659" s="77">
        <v>769</v>
      </c>
      <c r="W1659" s="82" t="s">
        <v>5202</v>
      </c>
      <c r="X1659" s="80" t="str">
        <f>HYPERLINK("https://mla.bs/994964bc")</f>
        <v>https://mla.bs/994964bc</v>
      </c>
      <c r="Y1659" s="77" t="s">
        <v>6030</v>
      </c>
      <c r="Z1659" s="77"/>
      <c r="AA1659" s="77"/>
      <c r="AB1659" s="77"/>
      <c r="AC1659" s="82" t="s">
        <v>7708</v>
      </c>
      <c r="AD1659" s="77" t="s">
        <v>7745</v>
      </c>
      <c r="AE1659" s="80" t="str">
        <f>HYPERLINK("https://twitter.com/einvestidor/status/1672666051673300992")</f>
        <v>https://twitter.com/einvestidor/status/1672666051673300992</v>
      </c>
      <c r="AF1659" s="79">
        <v>45101.750439814816</v>
      </c>
      <c r="AG1659" s="85">
        <v>45101</v>
      </c>
      <c r="AH1659" s="82" t="s">
        <v>9221</v>
      </c>
      <c r="AI1659" s="77" t="b">
        <v>0</v>
      </c>
      <c r="AJ1659" s="77"/>
      <c r="AK1659" s="77"/>
      <c r="AL1659" s="77"/>
      <c r="AM1659" s="77"/>
      <c r="AN1659" s="77"/>
      <c r="AO1659" s="77"/>
      <c r="AP1659" s="77"/>
      <c r="AQ1659" s="77"/>
      <c r="AR1659" s="77"/>
      <c r="AS1659" s="77"/>
      <c r="AT1659" s="77"/>
      <c r="AU1659" s="77"/>
      <c r="AV1659" s="80" t="str">
        <f>HYPERLINK("https://pbs.twimg.com/profile_images/1241147984924082183/gZgx_hL-_normal.jpg")</f>
        <v>https://pbs.twimg.com/profile_images/1241147984924082183/gZgx_hL-_normal.jpg</v>
      </c>
      <c r="AW1659" s="82" t="s">
        <v>13825</v>
      </c>
      <c r="AX1659" s="82" t="s">
        <v>13825</v>
      </c>
      <c r="AY1659" s="77"/>
      <c r="AZ1659" s="82" t="s">
        <v>15804</v>
      </c>
      <c r="BA1659" s="82" t="s">
        <v>15804</v>
      </c>
      <c r="BB1659" s="82" t="s">
        <v>15804</v>
      </c>
      <c r="BC1659" s="82" t="s">
        <v>13825</v>
      </c>
      <c r="BD1659" s="82" t="s">
        <v>15756</v>
      </c>
      <c r="BE1659" s="77"/>
      <c r="BF1659" s="77"/>
      <c r="BG1659" s="77"/>
      <c r="BH1659" s="77"/>
      <c r="BI1659" s="77"/>
    </row>
    <row r="1660" spans="1:61" x14ac:dyDescent="0.25">
      <c r="A1660" s="62" t="s">
        <v>420</v>
      </c>
      <c r="B1660" s="62" t="s">
        <v>420</v>
      </c>
      <c r="C1660" s="63"/>
      <c r="D1660" s="64"/>
      <c r="E1660" s="65"/>
      <c r="F1660" s="66"/>
      <c r="G1660" s="63"/>
      <c r="H1660" s="67"/>
      <c r="I1660" s="68"/>
      <c r="J1660" s="68"/>
      <c r="K1660" s="32"/>
      <c r="L1660" s="75">
        <v>1660</v>
      </c>
      <c r="M1660" s="75"/>
      <c r="N1660" s="70"/>
      <c r="O1660" s="77" t="s">
        <v>179</v>
      </c>
      <c r="P1660" s="79">
        <v>45097.562974537039</v>
      </c>
      <c r="Q1660" s="77" t="s">
        <v>2727</v>
      </c>
      <c r="R1660" s="77">
        <v>1</v>
      </c>
      <c r="S1660" s="77">
        <v>2</v>
      </c>
      <c r="T1660" s="77">
        <v>0</v>
      </c>
      <c r="U1660" s="77">
        <v>0</v>
      </c>
      <c r="V1660" s="77">
        <v>412</v>
      </c>
      <c r="W1660" s="82" t="s">
        <v>5202</v>
      </c>
      <c r="X1660" s="80" t="str">
        <f>HYPERLINK("https://mla.bs/994964bc")</f>
        <v>https://mla.bs/994964bc</v>
      </c>
      <c r="Y1660" s="77" t="s">
        <v>6030</v>
      </c>
      <c r="Z1660" s="77"/>
      <c r="AA1660" s="77"/>
      <c r="AB1660" s="77"/>
      <c r="AC1660" s="82" t="s">
        <v>7708</v>
      </c>
      <c r="AD1660" s="77" t="s">
        <v>7745</v>
      </c>
      <c r="AE1660" s="80" t="str">
        <f>HYPERLINK("https://twitter.com/einvestidor/status/1671148567103152128")</f>
        <v>https://twitter.com/einvestidor/status/1671148567103152128</v>
      </c>
      <c r="AF1660" s="79">
        <v>45097.562974537039</v>
      </c>
      <c r="AG1660" s="85">
        <v>45097</v>
      </c>
      <c r="AH1660" s="82" t="s">
        <v>9222</v>
      </c>
      <c r="AI1660" s="77" t="b">
        <v>0</v>
      </c>
      <c r="AJ1660" s="77"/>
      <c r="AK1660" s="77"/>
      <c r="AL1660" s="77"/>
      <c r="AM1660" s="77"/>
      <c r="AN1660" s="77"/>
      <c r="AO1660" s="77"/>
      <c r="AP1660" s="77"/>
      <c r="AQ1660" s="77"/>
      <c r="AR1660" s="77"/>
      <c r="AS1660" s="77"/>
      <c r="AT1660" s="77"/>
      <c r="AU1660" s="77"/>
      <c r="AV1660" s="80" t="str">
        <f>HYPERLINK("https://pbs.twimg.com/profile_images/1241147984924082183/gZgx_hL-_normal.jpg")</f>
        <v>https://pbs.twimg.com/profile_images/1241147984924082183/gZgx_hL-_normal.jpg</v>
      </c>
      <c r="AW1660" s="82" t="s">
        <v>13826</v>
      </c>
      <c r="AX1660" s="82" t="s">
        <v>13826</v>
      </c>
      <c r="AY1660" s="77"/>
      <c r="AZ1660" s="82" t="s">
        <v>15804</v>
      </c>
      <c r="BA1660" s="82" t="s">
        <v>15804</v>
      </c>
      <c r="BB1660" s="82" t="s">
        <v>15804</v>
      </c>
      <c r="BC1660" s="82" t="s">
        <v>13826</v>
      </c>
      <c r="BD1660" s="82" t="s">
        <v>15756</v>
      </c>
      <c r="BE1660" s="77"/>
      <c r="BF1660" s="77"/>
      <c r="BG1660" s="77"/>
      <c r="BH1660" s="77"/>
      <c r="BI1660" s="77"/>
    </row>
    <row r="1661" spans="1:61" x14ac:dyDescent="0.25">
      <c r="A1661" s="62" t="s">
        <v>420</v>
      </c>
      <c r="B1661" s="62" t="s">
        <v>420</v>
      </c>
      <c r="C1661" s="63"/>
      <c r="D1661" s="64"/>
      <c r="E1661" s="65"/>
      <c r="F1661" s="66"/>
      <c r="G1661" s="63"/>
      <c r="H1661" s="67"/>
      <c r="I1661" s="68"/>
      <c r="J1661" s="68"/>
      <c r="K1661" s="32"/>
      <c r="L1661" s="75">
        <v>1661</v>
      </c>
      <c r="M1661" s="75"/>
      <c r="N1661" s="70"/>
      <c r="O1661" s="77" t="s">
        <v>179</v>
      </c>
      <c r="P1661" s="79">
        <v>45055.454525462963</v>
      </c>
      <c r="Q1661" s="77" t="s">
        <v>2728</v>
      </c>
      <c r="R1661" s="77">
        <v>0</v>
      </c>
      <c r="S1661" s="77">
        <v>2</v>
      </c>
      <c r="T1661" s="77">
        <v>0</v>
      </c>
      <c r="U1661" s="77">
        <v>0</v>
      </c>
      <c r="V1661" s="77">
        <v>576</v>
      </c>
      <c r="W1661" s="82" t="s">
        <v>4080</v>
      </c>
      <c r="X1661" s="80" t="str">
        <f>HYPERLINK("https://mla.bs/1d4b8886")</f>
        <v>https://mla.bs/1d4b8886</v>
      </c>
      <c r="Y1661" s="77" t="s">
        <v>6030</v>
      </c>
      <c r="Z1661" s="77"/>
      <c r="AA1661" s="77"/>
      <c r="AB1661" s="77"/>
      <c r="AC1661" s="82" t="s">
        <v>7708</v>
      </c>
      <c r="AD1661" s="77" t="s">
        <v>7745</v>
      </c>
      <c r="AE1661" s="80" t="str">
        <f>HYPERLINK("https://twitter.com/einvestidor/status/1655888978032185347")</f>
        <v>https://twitter.com/einvestidor/status/1655888978032185347</v>
      </c>
      <c r="AF1661" s="79">
        <v>45055.454525462963</v>
      </c>
      <c r="AG1661" s="85">
        <v>45055</v>
      </c>
      <c r="AH1661" s="82" t="s">
        <v>9223</v>
      </c>
      <c r="AI1661" s="77" t="b">
        <v>0</v>
      </c>
      <c r="AJ1661" s="77"/>
      <c r="AK1661" s="77"/>
      <c r="AL1661" s="77"/>
      <c r="AM1661" s="77"/>
      <c r="AN1661" s="77"/>
      <c r="AO1661" s="77"/>
      <c r="AP1661" s="77"/>
      <c r="AQ1661" s="77"/>
      <c r="AR1661" s="77"/>
      <c r="AS1661" s="77"/>
      <c r="AT1661" s="77"/>
      <c r="AU1661" s="77"/>
      <c r="AV1661" s="80" t="str">
        <f>HYPERLINK("https://pbs.twimg.com/profile_images/1241147984924082183/gZgx_hL-_normal.jpg")</f>
        <v>https://pbs.twimg.com/profile_images/1241147984924082183/gZgx_hL-_normal.jpg</v>
      </c>
      <c r="AW1661" s="82" t="s">
        <v>13827</v>
      </c>
      <c r="AX1661" s="82" t="s">
        <v>13827</v>
      </c>
      <c r="AY1661" s="77"/>
      <c r="AZ1661" s="82" t="s">
        <v>15804</v>
      </c>
      <c r="BA1661" s="82" t="s">
        <v>15804</v>
      </c>
      <c r="BB1661" s="82" t="s">
        <v>15804</v>
      </c>
      <c r="BC1661" s="82" t="s">
        <v>13827</v>
      </c>
      <c r="BD1661" s="82" t="s">
        <v>15756</v>
      </c>
      <c r="BE1661" s="77"/>
      <c r="BF1661" s="77"/>
      <c r="BG1661" s="77"/>
      <c r="BH1661" s="77"/>
      <c r="BI1661" s="77"/>
    </row>
    <row r="1662" spans="1:61" x14ac:dyDescent="0.25">
      <c r="A1662" s="62" t="s">
        <v>420</v>
      </c>
      <c r="B1662" s="62" t="s">
        <v>420</v>
      </c>
      <c r="C1662" s="63"/>
      <c r="D1662" s="64"/>
      <c r="E1662" s="65"/>
      <c r="F1662" s="66"/>
      <c r="G1662" s="63"/>
      <c r="H1662" s="67"/>
      <c r="I1662" s="68"/>
      <c r="J1662" s="68"/>
      <c r="K1662" s="32"/>
      <c r="L1662" s="75">
        <v>1662</v>
      </c>
      <c r="M1662" s="75"/>
      <c r="N1662" s="70"/>
      <c r="O1662" s="77" t="s">
        <v>179</v>
      </c>
      <c r="P1662" s="79">
        <v>45052.917245370372</v>
      </c>
      <c r="Q1662" s="77" t="s">
        <v>2729</v>
      </c>
      <c r="R1662" s="77">
        <v>2</v>
      </c>
      <c r="S1662" s="77">
        <v>4</v>
      </c>
      <c r="T1662" s="77">
        <v>0</v>
      </c>
      <c r="U1662" s="77">
        <v>0</v>
      </c>
      <c r="V1662" s="77">
        <v>913</v>
      </c>
      <c r="W1662" s="82" t="s">
        <v>5204</v>
      </c>
      <c r="X1662" s="80" t="str">
        <f>HYPERLINK("https://mla.bs/7422ef93")</f>
        <v>https://mla.bs/7422ef93</v>
      </c>
      <c r="Y1662" s="77" t="s">
        <v>6030</v>
      </c>
      <c r="Z1662" s="77"/>
      <c r="AA1662" s="77" t="s">
        <v>7148</v>
      </c>
      <c r="AB1662" s="77" t="s">
        <v>7696</v>
      </c>
      <c r="AC1662" s="82" t="s">
        <v>7708</v>
      </c>
      <c r="AD1662" s="77" t="s">
        <v>7745</v>
      </c>
      <c r="AE1662" s="80" t="str">
        <f>HYPERLINK("https://twitter.com/einvestidor/status/1654969494953943041")</f>
        <v>https://twitter.com/einvestidor/status/1654969494953943041</v>
      </c>
      <c r="AF1662" s="79">
        <v>45052.917245370372</v>
      </c>
      <c r="AG1662" s="85">
        <v>45052</v>
      </c>
      <c r="AH1662" s="82" t="s">
        <v>9224</v>
      </c>
      <c r="AI1662" s="77" t="b">
        <v>0</v>
      </c>
      <c r="AJ1662" s="77"/>
      <c r="AK1662" s="77"/>
      <c r="AL1662" s="77"/>
      <c r="AM1662" s="77"/>
      <c r="AN1662" s="77"/>
      <c r="AO1662" s="77"/>
      <c r="AP1662" s="77"/>
      <c r="AQ1662" s="77" t="s">
        <v>11655</v>
      </c>
      <c r="AR1662" s="77"/>
      <c r="AS1662" s="77"/>
      <c r="AT1662" s="77"/>
      <c r="AU1662" s="77"/>
      <c r="AV1662" s="80" t="str">
        <f>HYPERLINK("https://pbs.twimg.com/media/Fveh-_TXgAAW64y.jpg")</f>
        <v>https://pbs.twimg.com/media/Fveh-_TXgAAW64y.jpg</v>
      </c>
      <c r="AW1662" s="82" t="s">
        <v>13828</v>
      </c>
      <c r="AX1662" s="82" t="s">
        <v>13828</v>
      </c>
      <c r="AY1662" s="77"/>
      <c r="AZ1662" s="82" t="s">
        <v>15804</v>
      </c>
      <c r="BA1662" s="82" t="s">
        <v>15804</v>
      </c>
      <c r="BB1662" s="82" t="s">
        <v>15804</v>
      </c>
      <c r="BC1662" s="82" t="s">
        <v>13828</v>
      </c>
      <c r="BD1662" s="82" t="s">
        <v>15756</v>
      </c>
      <c r="BE1662" s="77"/>
      <c r="BF1662" s="77"/>
      <c r="BG1662" s="77"/>
      <c r="BH1662" s="77"/>
      <c r="BI1662" s="77"/>
    </row>
    <row r="1663" spans="1:61" x14ac:dyDescent="0.25">
      <c r="A1663" s="62" t="s">
        <v>420</v>
      </c>
      <c r="B1663" s="62" t="s">
        <v>420</v>
      </c>
      <c r="C1663" s="63"/>
      <c r="D1663" s="64"/>
      <c r="E1663" s="65"/>
      <c r="F1663" s="66"/>
      <c r="G1663" s="63"/>
      <c r="H1663" s="67"/>
      <c r="I1663" s="68"/>
      <c r="J1663" s="68"/>
      <c r="K1663" s="32"/>
      <c r="L1663" s="75">
        <v>1663</v>
      </c>
      <c r="M1663" s="75"/>
      <c r="N1663" s="70"/>
      <c r="O1663" s="77" t="s">
        <v>179</v>
      </c>
      <c r="P1663" s="79">
        <v>45052.750416666669</v>
      </c>
      <c r="Q1663" s="77" t="s">
        <v>2730</v>
      </c>
      <c r="R1663" s="77">
        <v>1</v>
      </c>
      <c r="S1663" s="77">
        <v>2</v>
      </c>
      <c r="T1663" s="77">
        <v>0</v>
      </c>
      <c r="U1663" s="77">
        <v>0</v>
      </c>
      <c r="V1663" s="77">
        <v>984</v>
      </c>
      <c r="W1663" s="82" t="s">
        <v>5205</v>
      </c>
      <c r="X1663" s="80" t="str">
        <f>HYPERLINK("https://mla.bs/5e8093b0")</f>
        <v>https://mla.bs/5e8093b0</v>
      </c>
      <c r="Y1663" s="77" t="s">
        <v>6030</v>
      </c>
      <c r="Z1663" s="77"/>
      <c r="AA1663" s="77"/>
      <c r="AB1663" s="77"/>
      <c r="AC1663" s="82" t="s">
        <v>7708</v>
      </c>
      <c r="AD1663" s="77" t="s">
        <v>7745</v>
      </c>
      <c r="AE1663" s="80" t="str">
        <f>HYPERLINK("https://twitter.com/einvestidor/status/1654909041628332035")</f>
        <v>https://twitter.com/einvestidor/status/1654909041628332035</v>
      </c>
      <c r="AF1663" s="79">
        <v>45052.750416666669</v>
      </c>
      <c r="AG1663" s="85">
        <v>45052</v>
      </c>
      <c r="AH1663" s="82" t="s">
        <v>9225</v>
      </c>
      <c r="AI1663" s="77" t="b">
        <v>0</v>
      </c>
      <c r="AJ1663" s="77"/>
      <c r="AK1663" s="77"/>
      <c r="AL1663" s="77"/>
      <c r="AM1663" s="77"/>
      <c r="AN1663" s="77"/>
      <c r="AO1663" s="77"/>
      <c r="AP1663" s="77"/>
      <c r="AQ1663" s="77"/>
      <c r="AR1663" s="77"/>
      <c r="AS1663" s="77"/>
      <c r="AT1663" s="77"/>
      <c r="AU1663" s="77"/>
      <c r="AV1663" s="80" t="str">
        <f>HYPERLINK("https://pbs.twimg.com/profile_images/1241147984924082183/gZgx_hL-_normal.jpg")</f>
        <v>https://pbs.twimg.com/profile_images/1241147984924082183/gZgx_hL-_normal.jpg</v>
      </c>
      <c r="AW1663" s="82" t="s">
        <v>13829</v>
      </c>
      <c r="AX1663" s="82" t="s">
        <v>13829</v>
      </c>
      <c r="AY1663" s="77"/>
      <c r="AZ1663" s="82" t="s">
        <v>15804</v>
      </c>
      <c r="BA1663" s="82" t="s">
        <v>15804</v>
      </c>
      <c r="BB1663" s="82" t="s">
        <v>15804</v>
      </c>
      <c r="BC1663" s="82" t="s">
        <v>13829</v>
      </c>
      <c r="BD1663" s="82" t="s">
        <v>15756</v>
      </c>
      <c r="BE1663" s="77"/>
      <c r="BF1663" s="77"/>
      <c r="BG1663" s="77"/>
      <c r="BH1663" s="77"/>
      <c r="BI1663" s="77"/>
    </row>
    <row r="1664" spans="1:61" x14ac:dyDescent="0.25">
      <c r="A1664" s="62" t="s">
        <v>420</v>
      </c>
      <c r="B1664" s="62" t="s">
        <v>420</v>
      </c>
      <c r="C1664" s="63"/>
      <c r="D1664" s="64"/>
      <c r="E1664" s="65"/>
      <c r="F1664" s="66"/>
      <c r="G1664" s="63"/>
      <c r="H1664" s="67"/>
      <c r="I1664" s="68"/>
      <c r="J1664" s="68"/>
      <c r="K1664" s="32"/>
      <c r="L1664" s="75">
        <v>1664</v>
      </c>
      <c r="M1664" s="75"/>
      <c r="N1664" s="70"/>
      <c r="O1664" s="77" t="s">
        <v>179</v>
      </c>
      <c r="P1664" s="79">
        <v>44956.583715277775</v>
      </c>
      <c r="Q1664" s="77" t="s">
        <v>2689</v>
      </c>
      <c r="R1664" s="77">
        <v>0</v>
      </c>
      <c r="S1664" s="77">
        <v>2</v>
      </c>
      <c r="T1664" s="77">
        <v>0</v>
      </c>
      <c r="U1664" s="77">
        <v>0</v>
      </c>
      <c r="V1664" s="77">
        <v>478</v>
      </c>
      <c r="W1664" s="82" t="s">
        <v>4097</v>
      </c>
      <c r="X1664" s="80" t="str">
        <f>HYPERLINK("https://mla.bs/8023a42b")</f>
        <v>https://mla.bs/8023a42b</v>
      </c>
      <c r="Y1664" s="77" t="s">
        <v>6030</v>
      </c>
      <c r="Z1664" s="77"/>
      <c r="AA1664" s="77"/>
      <c r="AB1664" s="77"/>
      <c r="AC1664" s="82" t="s">
        <v>7708</v>
      </c>
      <c r="AD1664" s="77" t="s">
        <v>7745</v>
      </c>
      <c r="AE1664" s="80" t="str">
        <f>HYPERLINK("https://twitter.com/einvestidor/status/1620059393491337219")</f>
        <v>https://twitter.com/einvestidor/status/1620059393491337219</v>
      </c>
      <c r="AF1664" s="79">
        <v>44956.583715277775</v>
      </c>
      <c r="AG1664" s="85">
        <v>44956</v>
      </c>
      <c r="AH1664" s="82" t="s">
        <v>9226</v>
      </c>
      <c r="AI1664" s="77" t="b">
        <v>0</v>
      </c>
      <c r="AJ1664" s="77"/>
      <c r="AK1664" s="77"/>
      <c r="AL1664" s="77"/>
      <c r="AM1664" s="77"/>
      <c r="AN1664" s="77"/>
      <c r="AO1664" s="77"/>
      <c r="AP1664" s="77"/>
      <c r="AQ1664" s="77"/>
      <c r="AR1664" s="77"/>
      <c r="AS1664" s="77"/>
      <c r="AT1664" s="77"/>
      <c r="AU1664" s="77"/>
      <c r="AV1664" s="80" t="str">
        <f>HYPERLINK("https://pbs.twimg.com/profile_images/1241147984924082183/gZgx_hL-_normal.jpg")</f>
        <v>https://pbs.twimg.com/profile_images/1241147984924082183/gZgx_hL-_normal.jpg</v>
      </c>
      <c r="AW1664" s="82" t="s">
        <v>13830</v>
      </c>
      <c r="AX1664" s="82" t="s">
        <v>13830</v>
      </c>
      <c r="AY1664" s="77"/>
      <c r="AZ1664" s="82" t="s">
        <v>15804</v>
      </c>
      <c r="BA1664" s="82" t="s">
        <v>15804</v>
      </c>
      <c r="BB1664" s="82" t="s">
        <v>15804</v>
      </c>
      <c r="BC1664" s="82" t="s">
        <v>13830</v>
      </c>
      <c r="BD1664" s="82" t="s">
        <v>15756</v>
      </c>
      <c r="BE1664" s="77"/>
      <c r="BF1664" s="77"/>
      <c r="BG1664" s="77"/>
      <c r="BH1664" s="77"/>
      <c r="BI1664" s="77"/>
    </row>
    <row r="1665" spans="1:61" x14ac:dyDescent="0.25">
      <c r="A1665" s="62" t="s">
        <v>420</v>
      </c>
      <c r="B1665" s="62" t="s">
        <v>420</v>
      </c>
      <c r="C1665" s="63"/>
      <c r="D1665" s="64"/>
      <c r="E1665" s="65"/>
      <c r="F1665" s="66"/>
      <c r="G1665" s="63"/>
      <c r="H1665" s="67"/>
      <c r="I1665" s="68"/>
      <c r="J1665" s="68"/>
      <c r="K1665" s="32"/>
      <c r="L1665" s="75">
        <v>1665</v>
      </c>
      <c r="M1665" s="75"/>
      <c r="N1665" s="70"/>
      <c r="O1665" s="77" t="s">
        <v>179</v>
      </c>
      <c r="P1665" s="79">
        <v>44951.544050925928</v>
      </c>
      <c r="Q1665" s="77" t="s">
        <v>2731</v>
      </c>
      <c r="R1665" s="77">
        <v>0</v>
      </c>
      <c r="S1665" s="77">
        <v>1</v>
      </c>
      <c r="T1665" s="77">
        <v>0</v>
      </c>
      <c r="U1665" s="77">
        <v>0</v>
      </c>
      <c r="V1665" s="77">
        <v>455</v>
      </c>
      <c r="W1665" s="82" t="s">
        <v>4134</v>
      </c>
      <c r="X1665" s="80" t="str">
        <f>HYPERLINK("https://mla.bs/aad4b70d")</f>
        <v>https://mla.bs/aad4b70d</v>
      </c>
      <c r="Y1665" s="77" t="s">
        <v>6030</v>
      </c>
      <c r="Z1665" s="77"/>
      <c r="AA1665" s="77"/>
      <c r="AB1665" s="77"/>
      <c r="AC1665" s="82" t="s">
        <v>7708</v>
      </c>
      <c r="AD1665" s="77" t="s">
        <v>7745</v>
      </c>
      <c r="AE1665" s="80" t="str">
        <f>HYPERLINK("https://twitter.com/einvestidor/status/1618233082779254785")</f>
        <v>https://twitter.com/einvestidor/status/1618233082779254785</v>
      </c>
      <c r="AF1665" s="79">
        <v>44951.544050925928</v>
      </c>
      <c r="AG1665" s="85">
        <v>44951</v>
      </c>
      <c r="AH1665" s="82" t="s">
        <v>9227</v>
      </c>
      <c r="AI1665" s="77" t="b">
        <v>0</v>
      </c>
      <c r="AJ1665" s="77"/>
      <c r="AK1665" s="77"/>
      <c r="AL1665" s="77"/>
      <c r="AM1665" s="77"/>
      <c r="AN1665" s="77"/>
      <c r="AO1665" s="77"/>
      <c r="AP1665" s="77"/>
      <c r="AQ1665" s="77"/>
      <c r="AR1665" s="77"/>
      <c r="AS1665" s="77"/>
      <c r="AT1665" s="77"/>
      <c r="AU1665" s="77"/>
      <c r="AV1665" s="80" t="str">
        <f>HYPERLINK("https://pbs.twimg.com/profile_images/1241147984924082183/gZgx_hL-_normal.jpg")</f>
        <v>https://pbs.twimg.com/profile_images/1241147984924082183/gZgx_hL-_normal.jpg</v>
      </c>
      <c r="AW1665" s="82" t="s">
        <v>13831</v>
      </c>
      <c r="AX1665" s="82" t="s">
        <v>13831</v>
      </c>
      <c r="AY1665" s="77"/>
      <c r="AZ1665" s="82" t="s">
        <v>15804</v>
      </c>
      <c r="BA1665" s="82" t="s">
        <v>15804</v>
      </c>
      <c r="BB1665" s="82" t="s">
        <v>15804</v>
      </c>
      <c r="BC1665" s="82" t="s">
        <v>13831</v>
      </c>
      <c r="BD1665" s="82" t="s">
        <v>15756</v>
      </c>
      <c r="BE1665" s="77"/>
      <c r="BF1665" s="77"/>
      <c r="BG1665" s="77"/>
      <c r="BH1665" s="77"/>
      <c r="BI1665" s="77"/>
    </row>
    <row r="1666" spans="1:61" x14ac:dyDescent="0.25">
      <c r="A1666" s="62" t="s">
        <v>742</v>
      </c>
      <c r="B1666" s="62" t="s">
        <v>420</v>
      </c>
      <c r="C1666" s="63"/>
      <c r="D1666" s="64"/>
      <c r="E1666" s="65"/>
      <c r="F1666" s="66"/>
      <c r="G1666" s="63"/>
      <c r="H1666" s="67"/>
      <c r="I1666" s="68"/>
      <c r="J1666" s="68"/>
      <c r="K1666" s="32"/>
      <c r="L1666" s="75">
        <v>1666</v>
      </c>
      <c r="M1666" s="75"/>
      <c r="N1666" s="70"/>
      <c r="O1666" s="77" t="s">
        <v>1134</v>
      </c>
      <c r="P1666" s="79">
        <v>45177.802025462966</v>
      </c>
      <c r="Q1666" s="77" t="s">
        <v>1627</v>
      </c>
      <c r="R1666" s="77">
        <v>2</v>
      </c>
      <c r="S1666" s="77">
        <v>0</v>
      </c>
      <c r="T1666" s="77">
        <v>0</v>
      </c>
      <c r="U1666" s="77">
        <v>0</v>
      </c>
      <c r="V1666" s="77"/>
      <c r="W1666" s="82" t="s">
        <v>4420</v>
      </c>
      <c r="X1666" s="77"/>
      <c r="Y1666" s="77"/>
      <c r="Z1666" s="77" t="s">
        <v>420</v>
      </c>
      <c r="AA1666" s="77"/>
      <c r="AB1666" s="77"/>
      <c r="AC1666" s="82" t="s">
        <v>7706</v>
      </c>
      <c r="AD1666" s="77" t="s">
        <v>7745</v>
      </c>
      <c r="AE1666" s="80" t="str">
        <f>HYPERLINK("https://twitter.com/luizamrl/status/1700226225883488740")</f>
        <v>https://twitter.com/luizamrl/status/1700226225883488740</v>
      </c>
      <c r="AF1666" s="79">
        <v>45177.802025462966</v>
      </c>
      <c r="AG1666" s="85">
        <v>45177</v>
      </c>
      <c r="AH1666" s="82" t="s">
        <v>9228</v>
      </c>
      <c r="AI1666" s="77" t="b">
        <v>0</v>
      </c>
      <c r="AJ1666" s="77"/>
      <c r="AK1666" s="77"/>
      <c r="AL1666" s="77"/>
      <c r="AM1666" s="77"/>
      <c r="AN1666" s="77"/>
      <c r="AO1666" s="77"/>
      <c r="AP1666" s="77"/>
      <c r="AQ1666" s="77"/>
      <c r="AR1666" s="77"/>
      <c r="AS1666" s="77"/>
      <c r="AT1666" s="77"/>
      <c r="AU1666" s="77"/>
      <c r="AV1666" s="80" t="str">
        <f>HYPERLINK("https://pbs.twimg.com/profile_images/1415832029162258433/6sru8bxk_normal.jpg")</f>
        <v>https://pbs.twimg.com/profile_images/1415832029162258433/6sru8bxk_normal.jpg</v>
      </c>
      <c r="AW1666" s="82" t="s">
        <v>13832</v>
      </c>
      <c r="AX1666" s="82" t="s">
        <v>13832</v>
      </c>
      <c r="AY1666" s="77"/>
      <c r="AZ1666" s="82" t="s">
        <v>15804</v>
      </c>
      <c r="BA1666" s="82" t="s">
        <v>15804</v>
      </c>
      <c r="BB1666" s="82" t="s">
        <v>13805</v>
      </c>
      <c r="BC1666" s="82" t="s">
        <v>13805</v>
      </c>
      <c r="BD1666" s="77">
        <v>1037421877</v>
      </c>
      <c r="BE1666" s="77"/>
      <c r="BF1666" s="77"/>
      <c r="BG1666" s="77"/>
      <c r="BH1666" s="77"/>
      <c r="BI1666" s="77"/>
    </row>
    <row r="1667" spans="1:61" x14ac:dyDescent="0.25">
      <c r="A1667" s="62" t="s">
        <v>743</v>
      </c>
      <c r="B1667" s="62" t="s">
        <v>743</v>
      </c>
      <c r="C1667" s="63"/>
      <c r="D1667" s="64"/>
      <c r="E1667" s="65"/>
      <c r="F1667" s="66"/>
      <c r="G1667" s="63"/>
      <c r="H1667" s="67"/>
      <c r="I1667" s="68"/>
      <c r="J1667" s="68"/>
      <c r="K1667" s="32"/>
      <c r="L1667" s="75">
        <v>1667</v>
      </c>
      <c r="M1667" s="75"/>
      <c r="N1667" s="70"/>
      <c r="O1667" s="77" t="s">
        <v>179</v>
      </c>
      <c r="P1667" s="79">
        <v>44966.644907407404</v>
      </c>
      <c r="Q1667" s="77" t="s">
        <v>2732</v>
      </c>
      <c r="R1667" s="77">
        <v>0</v>
      </c>
      <c r="S1667" s="77">
        <v>0</v>
      </c>
      <c r="T1667" s="77">
        <v>0</v>
      </c>
      <c r="U1667" s="77">
        <v>0</v>
      </c>
      <c r="V1667" s="77">
        <v>13</v>
      </c>
      <c r="W1667" s="82" t="s">
        <v>5206</v>
      </c>
      <c r="X1667" s="77"/>
      <c r="Y1667" s="77"/>
      <c r="Z1667" s="77"/>
      <c r="AA1667" s="77" t="s">
        <v>7149</v>
      </c>
      <c r="AB1667" s="77" t="s">
        <v>7698</v>
      </c>
      <c r="AC1667" s="82" t="s">
        <v>7707</v>
      </c>
      <c r="AD1667" s="77" t="s">
        <v>7746</v>
      </c>
      <c r="AE1667" s="80" t="str">
        <f>HYPERLINK("https://twitter.com/algarveiberica/status/1623705447277506561")</f>
        <v>https://twitter.com/algarveiberica/status/1623705447277506561</v>
      </c>
      <c r="AF1667" s="79">
        <v>44966.644907407404</v>
      </c>
      <c r="AG1667" s="85">
        <v>44966</v>
      </c>
      <c r="AH1667" s="82" t="s">
        <v>9229</v>
      </c>
      <c r="AI1667" s="77" t="b">
        <v>0</v>
      </c>
      <c r="AJ1667" s="77"/>
      <c r="AK1667" s="77"/>
      <c r="AL1667" s="77"/>
      <c r="AM1667" s="77"/>
      <c r="AN1667" s="77"/>
      <c r="AO1667" s="77"/>
      <c r="AP1667" s="77"/>
      <c r="AQ1667" s="77" t="s">
        <v>11656</v>
      </c>
      <c r="AR1667" s="77"/>
      <c r="AS1667" s="77"/>
      <c r="AT1667" s="77"/>
      <c r="AU1667" s="77"/>
      <c r="AV1667" s="80" t="str">
        <f>HYPERLINK("https://pbs.twimg.com/media/FoiPfu6WcAU0N1q.jpg")</f>
        <v>https://pbs.twimg.com/media/FoiPfu6WcAU0N1q.jpg</v>
      </c>
      <c r="AW1667" s="82" t="s">
        <v>13833</v>
      </c>
      <c r="AX1667" s="82" t="s">
        <v>13833</v>
      </c>
      <c r="AY1667" s="77"/>
      <c r="AZ1667" s="82" t="s">
        <v>15804</v>
      </c>
      <c r="BA1667" s="82" t="s">
        <v>15804</v>
      </c>
      <c r="BB1667" s="82" t="s">
        <v>15804</v>
      </c>
      <c r="BC1667" s="82" t="s">
        <v>13833</v>
      </c>
      <c r="BD1667" s="77">
        <v>486965693</v>
      </c>
      <c r="BE1667" s="77"/>
      <c r="BF1667" s="77"/>
      <c r="BG1667" s="77"/>
      <c r="BH1667" s="77"/>
      <c r="BI1667" s="77"/>
    </row>
    <row r="1668" spans="1:61" x14ac:dyDescent="0.25">
      <c r="A1668" s="62" t="s">
        <v>743</v>
      </c>
      <c r="B1668" s="62" t="s">
        <v>743</v>
      </c>
      <c r="C1668" s="63"/>
      <c r="D1668" s="64"/>
      <c r="E1668" s="65"/>
      <c r="F1668" s="66"/>
      <c r="G1668" s="63"/>
      <c r="H1668" s="67"/>
      <c r="I1668" s="68"/>
      <c r="J1668" s="68"/>
      <c r="K1668" s="32"/>
      <c r="L1668" s="75">
        <v>1668</v>
      </c>
      <c r="M1668" s="75"/>
      <c r="N1668" s="70"/>
      <c r="O1668" s="77" t="s">
        <v>179</v>
      </c>
      <c r="P1668" s="79">
        <v>45043.783217592594</v>
      </c>
      <c r="Q1668" s="77" t="s">
        <v>2733</v>
      </c>
      <c r="R1668" s="77">
        <v>0</v>
      </c>
      <c r="S1668" s="77">
        <v>1</v>
      </c>
      <c r="T1668" s="77">
        <v>0</v>
      </c>
      <c r="U1668" s="77">
        <v>0</v>
      </c>
      <c r="V1668" s="77">
        <v>4</v>
      </c>
      <c r="W1668" s="82" t="s">
        <v>5207</v>
      </c>
      <c r="X1668" s="77"/>
      <c r="Y1668" s="77"/>
      <c r="Z1668" s="77"/>
      <c r="AA1668" s="77" t="s">
        <v>7150</v>
      </c>
      <c r="AB1668" s="77" t="s">
        <v>7696</v>
      </c>
      <c r="AC1668" s="82" t="s">
        <v>7706</v>
      </c>
      <c r="AD1668" s="77" t="s">
        <v>7745</v>
      </c>
      <c r="AE1668" s="80" t="str">
        <f>HYPERLINK("https://twitter.com/algarveiberica/status/1651659434043514914")</f>
        <v>https://twitter.com/algarveiberica/status/1651659434043514914</v>
      </c>
      <c r="AF1668" s="79">
        <v>45043.783217592594</v>
      </c>
      <c r="AG1668" s="85">
        <v>45043</v>
      </c>
      <c r="AH1668" s="82" t="s">
        <v>9230</v>
      </c>
      <c r="AI1668" s="77" t="b">
        <v>0</v>
      </c>
      <c r="AJ1668" s="77"/>
      <c r="AK1668" s="77"/>
      <c r="AL1668" s="77"/>
      <c r="AM1668" s="77"/>
      <c r="AN1668" s="77"/>
      <c r="AO1668" s="77"/>
      <c r="AP1668" s="77"/>
      <c r="AQ1668" s="77" t="s">
        <v>11657</v>
      </c>
      <c r="AR1668" s="77"/>
      <c r="AS1668" s="77"/>
      <c r="AT1668" s="77"/>
      <c r="AU1668" s="77"/>
      <c r="AV1668" s="80" t="str">
        <f>HYPERLINK("https://pbs.twimg.com/media/FuvfNJYWIAsrDmu.jpg")</f>
        <v>https://pbs.twimg.com/media/FuvfNJYWIAsrDmu.jpg</v>
      </c>
      <c r="AW1668" s="82" t="s">
        <v>13834</v>
      </c>
      <c r="AX1668" s="82" t="s">
        <v>13834</v>
      </c>
      <c r="AY1668" s="77"/>
      <c r="AZ1668" s="82" t="s">
        <v>15804</v>
      </c>
      <c r="BA1668" s="82" t="s">
        <v>15804</v>
      </c>
      <c r="BB1668" s="82" t="s">
        <v>15804</v>
      </c>
      <c r="BC1668" s="82" t="s">
        <v>13834</v>
      </c>
      <c r="BD1668" s="77">
        <v>486965693</v>
      </c>
      <c r="BE1668" s="77"/>
      <c r="BF1668" s="77"/>
      <c r="BG1668" s="77"/>
      <c r="BH1668" s="77"/>
      <c r="BI1668" s="77"/>
    </row>
    <row r="1669" spans="1:61" x14ac:dyDescent="0.25">
      <c r="A1669" s="62" t="s">
        <v>744</v>
      </c>
      <c r="B1669" s="62" t="s">
        <v>744</v>
      </c>
      <c r="C1669" s="63"/>
      <c r="D1669" s="64"/>
      <c r="E1669" s="65"/>
      <c r="F1669" s="66"/>
      <c r="G1669" s="63"/>
      <c r="H1669" s="67"/>
      <c r="I1669" s="68"/>
      <c r="J1669" s="68"/>
      <c r="K1669" s="32"/>
      <c r="L1669" s="75">
        <v>1669</v>
      </c>
      <c r="M1669" s="75"/>
      <c r="N1669" s="70"/>
      <c r="O1669" s="77" t="s">
        <v>179</v>
      </c>
      <c r="P1669" s="79">
        <v>45013.46671296296</v>
      </c>
      <c r="Q1669" s="77" t="s">
        <v>2734</v>
      </c>
      <c r="R1669" s="77">
        <v>0</v>
      </c>
      <c r="S1669" s="77">
        <v>0</v>
      </c>
      <c r="T1669" s="77">
        <v>0</v>
      </c>
      <c r="U1669" s="77">
        <v>0</v>
      </c>
      <c r="V1669" s="77">
        <v>10</v>
      </c>
      <c r="W1669" s="82" t="s">
        <v>4418</v>
      </c>
      <c r="X1669" s="77"/>
      <c r="Y1669" s="77"/>
      <c r="Z1669" s="77"/>
      <c r="AA1669" s="77"/>
      <c r="AB1669" s="77"/>
      <c r="AC1669" s="82" t="s">
        <v>7707</v>
      </c>
      <c r="AD1669" s="77" t="s">
        <v>7745</v>
      </c>
      <c r="AE1669" s="80" t="str">
        <f>HYPERLINK("https://twitter.com/7c631721bedd411/status/1640673100395159552")</f>
        <v>https://twitter.com/7c631721bedd411/status/1640673100395159552</v>
      </c>
      <c r="AF1669" s="79">
        <v>45013.46671296296</v>
      </c>
      <c r="AG1669" s="85">
        <v>45013</v>
      </c>
      <c r="AH1669" s="82" t="s">
        <v>9231</v>
      </c>
      <c r="AI1669" s="77"/>
      <c r="AJ1669" s="77" t="s">
        <v>10533</v>
      </c>
      <c r="AK1669" s="77" t="s">
        <v>10552</v>
      </c>
      <c r="AL1669" s="77" t="s">
        <v>10555</v>
      </c>
      <c r="AM1669" s="77" t="s">
        <v>10570</v>
      </c>
      <c r="AN1669" s="77" t="s">
        <v>10600</v>
      </c>
      <c r="AO1669" s="77" t="s">
        <v>10631</v>
      </c>
      <c r="AP1669" s="77" t="s">
        <v>10649</v>
      </c>
      <c r="AQ1669" s="77"/>
      <c r="AR1669" s="77"/>
      <c r="AS1669" s="77"/>
      <c r="AT1669" s="77"/>
      <c r="AU1669" s="77"/>
      <c r="AV1669" s="80" t="str">
        <f>HYPERLINK("https://pbs.twimg.com/profile_images/1587403317038178304/F9_mfPbp_normal.jpg")</f>
        <v>https://pbs.twimg.com/profile_images/1587403317038178304/F9_mfPbp_normal.jpg</v>
      </c>
      <c r="AW1669" s="82" t="s">
        <v>13835</v>
      </c>
      <c r="AX1669" s="82" t="s">
        <v>13835</v>
      </c>
      <c r="AY1669" s="77"/>
      <c r="AZ1669" s="82" t="s">
        <v>15804</v>
      </c>
      <c r="BA1669" s="82" t="s">
        <v>15804</v>
      </c>
      <c r="BB1669" s="82" t="s">
        <v>15804</v>
      </c>
      <c r="BC1669" s="82" t="s">
        <v>13835</v>
      </c>
      <c r="BD1669" s="77">
        <v>2960867039</v>
      </c>
      <c r="BE1669" s="77"/>
      <c r="BF1669" s="77"/>
      <c r="BG1669" s="77"/>
      <c r="BH1669" s="77"/>
      <c r="BI1669" s="77"/>
    </row>
    <row r="1670" spans="1:61" x14ac:dyDescent="0.25">
      <c r="A1670" s="62" t="s">
        <v>745</v>
      </c>
      <c r="B1670" s="62" t="s">
        <v>745</v>
      </c>
      <c r="C1670" s="63"/>
      <c r="D1670" s="64"/>
      <c r="E1670" s="65"/>
      <c r="F1670" s="66"/>
      <c r="G1670" s="63"/>
      <c r="H1670" s="67"/>
      <c r="I1670" s="68"/>
      <c r="J1670" s="68"/>
      <c r="K1670" s="32"/>
      <c r="L1670" s="75">
        <v>1670</v>
      </c>
      <c r="M1670" s="75"/>
      <c r="N1670" s="70"/>
      <c r="O1670" s="77" t="s">
        <v>179</v>
      </c>
      <c r="P1670" s="79">
        <v>45144.453611111108</v>
      </c>
      <c r="Q1670" s="77" t="s">
        <v>2735</v>
      </c>
      <c r="R1670" s="77">
        <v>0</v>
      </c>
      <c r="S1670" s="77">
        <v>2</v>
      </c>
      <c r="T1670" s="77">
        <v>0</v>
      </c>
      <c r="U1670" s="77">
        <v>1</v>
      </c>
      <c r="V1670" s="77">
        <v>1062</v>
      </c>
      <c r="W1670" s="77"/>
      <c r="X1670" s="80" t="str">
        <f>HYPERLINK("https://www.jornaldenegocios.pt/mercados/obrigacoes/detalhe/berkshire-de-buffett-com-os-melhores-resultados-trimestrais-de-sempre")</f>
        <v>https://www.jornaldenegocios.pt/mercados/obrigacoes/detalhe/berkshire-de-buffett-com-os-melhores-resultados-trimestrais-de-sempre</v>
      </c>
      <c r="Y1670" s="77" t="s">
        <v>6079</v>
      </c>
      <c r="Z1670" s="77"/>
      <c r="AA1670" s="77"/>
      <c r="AB1670" s="77"/>
      <c r="AC1670" s="82" t="s">
        <v>7738</v>
      </c>
      <c r="AD1670" s="77" t="s">
        <v>7745</v>
      </c>
      <c r="AE1670" s="80" t="str">
        <f>HYPERLINK("https://twitter.com/jnegocios/status/1688141163306348544")</f>
        <v>https://twitter.com/jnegocios/status/1688141163306348544</v>
      </c>
      <c r="AF1670" s="79">
        <v>45144.453611111108</v>
      </c>
      <c r="AG1670" s="85">
        <v>45144</v>
      </c>
      <c r="AH1670" s="82" t="s">
        <v>9232</v>
      </c>
      <c r="AI1670" s="77" t="b">
        <v>0</v>
      </c>
      <c r="AJ1670" s="77"/>
      <c r="AK1670" s="77"/>
      <c r="AL1670" s="77"/>
      <c r="AM1670" s="77"/>
      <c r="AN1670" s="77"/>
      <c r="AO1670" s="77"/>
      <c r="AP1670" s="77"/>
      <c r="AQ1670" s="77"/>
      <c r="AR1670" s="77"/>
      <c r="AS1670" s="77"/>
      <c r="AT1670" s="77"/>
      <c r="AU1670" s="77"/>
      <c r="AV1670" s="80" t="str">
        <f>HYPERLINK("https://pbs.twimg.com/profile_images/1594732407848144899/xb1Y4Q8f_normal.jpg")</f>
        <v>https://pbs.twimg.com/profile_images/1594732407848144899/xb1Y4Q8f_normal.jpg</v>
      </c>
      <c r="AW1670" s="82" t="s">
        <v>13836</v>
      </c>
      <c r="AX1670" s="82" t="s">
        <v>13836</v>
      </c>
      <c r="AY1670" s="77"/>
      <c r="AZ1670" s="82" t="s">
        <v>15804</v>
      </c>
      <c r="BA1670" s="82" t="s">
        <v>15804</v>
      </c>
      <c r="BB1670" s="82" t="s">
        <v>15804</v>
      </c>
      <c r="BC1670" s="82" t="s">
        <v>13836</v>
      </c>
      <c r="BD1670" s="77">
        <v>17884125</v>
      </c>
      <c r="BE1670" s="77"/>
      <c r="BF1670" s="77"/>
      <c r="BG1670" s="77"/>
      <c r="BH1670" s="77"/>
      <c r="BI1670" s="77"/>
    </row>
    <row r="1671" spans="1:61" x14ac:dyDescent="0.25">
      <c r="A1671" s="62" t="s">
        <v>746</v>
      </c>
      <c r="B1671" s="62" t="s">
        <v>745</v>
      </c>
      <c r="C1671" s="63"/>
      <c r="D1671" s="64"/>
      <c r="E1671" s="65"/>
      <c r="F1671" s="66"/>
      <c r="G1671" s="63"/>
      <c r="H1671" s="67"/>
      <c r="I1671" s="68"/>
      <c r="J1671" s="68"/>
      <c r="K1671" s="32"/>
      <c r="L1671" s="75">
        <v>1671</v>
      </c>
      <c r="M1671" s="75"/>
      <c r="N1671" s="70"/>
      <c r="O1671" s="77" t="s">
        <v>1135</v>
      </c>
      <c r="P1671" s="79">
        <v>45144.566874999997</v>
      </c>
      <c r="Q1671" s="77" t="s">
        <v>2736</v>
      </c>
      <c r="R1671" s="77">
        <v>0</v>
      </c>
      <c r="S1671" s="77">
        <v>0</v>
      </c>
      <c r="T1671" s="77">
        <v>0</v>
      </c>
      <c r="U1671" s="77">
        <v>0</v>
      </c>
      <c r="V1671" s="77">
        <v>22</v>
      </c>
      <c r="W1671" s="82" t="s">
        <v>5208</v>
      </c>
      <c r="X1671" s="77"/>
      <c r="Y1671" s="77"/>
      <c r="Z1671" s="77"/>
      <c r="AA1671" s="77"/>
      <c r="AB1671" s="77"/>
      <c r="AC1671" s="82" t="s">
        <v>7705</v>
      </c>
      <c r="AD1671" s="77" t="s">
        <v>7745</v>
      </c>
      <c r="AE1671" s="80" t="str">
        <f>HYPERLINK("https://twitter.com/caminhodoinves1/status/1688182211193790464")</f>
        <v>https://twitter.com/caminhodoinves1/status/1688182211193790464</v>
      </c>
      <c r="AF1671" s="79">
        <v>45144.566874999997</v>
      </c>
      <c r="AG1671" s="85">
        <v>45144</v>
      </c>
      <c r="AH1671" s="82" t="s">
        <v>9233</v>
      </c>
      <c r="AI1671" s="77"/>
      <c r="AJ1671" s="77"/>
      <c r="AK1671" s="77"/>
      <c r="AL1671" s="77"/>
      <c r="AM1671" s="77"/>
      <c r="AN1671" s="77"/>
      <c r="AO1671" s="77"/>
      <c r="AP1671" s="77"/>
      <c r="AQ1671" s="77"/>
      <c r="AR1671" s="77"/>
      <c r="AS1671" s="77"/>
      <c r="AT1671" s="77"/>
      <c r="AU1671" s="77"/>
      <c r="AV1671" s="80" t="str">
        <f>HYPERLINK("https://pbs.twimg.com/profile_images/1494034280338571265/5HQ_Gu6j_normal.jpg")</f>
        <v>https://pbs.twimg.com/profile_images/1494034280338571265/5HQ_Gu6j_normal.jpg</v>
      </c>
      <c r="AW1671" s="82" t="s">
        <v>13837</v>
      </c>
      <c r="AX1671" s="82" t="s">
        <v>13837</v>
      </c>
      <c r="AY1671" s="77"/>
      <c r="AZ1671" s="82" t="s">
        <v>15804</v>
      </c>
      <c r="BA1671" s="82" t="s">
        <v>13836</v>
      </c>
      <c r="BB1671" s="82" t="s">
        <v>15804</v>
      </c>
      <c r="BC1671" s="82" t="s">
        <v>13836</v>
      </c>
      <c r="BD1671" s="82" t="s">
        <v>16427</v>
      </c>
      <c r="BE1671" s="77"/>
      <c r="BF1671" s="77"/>
      <c r="BG1671" s="77"/>
      <c r="BH1671" s="77"/>
      <c r="BI1671" s="77"/>
    </row>
    <row r="1672" spans="1:61" x14ac:dyDescent="0.25">
      <c r="A1672" s="62" t="s">
        <v>746</v>
      </c>
      <c r="B1672" s="62" t="s">
        <v>746</v>
      </c>
      <c r="C1672" s="63"/>
      <c r="D1672" s="64"/>
      <c r="E1672" s="65"/>
      <c r="F1672" s="66"/>
      <c r="G1672" s="63"/>
      <c r="H1672" s="67"/>
      <c r="I1672" s="68"/>
      <c r="J1672" s="68"/>
      <c r="K1672" s="32"/>
      <c r="L1672" s="75">
        <v>1672</v>
      </c>
      <c r="M1672" s="75"/>
      <c r="N1672" s="70"/>
      <c r="O1672" s="77" t="s">
        <v>179</v>
      </c>
      <c r="P1672" s="79">
        <v>44977.453159722223</v>
      </c>
      <c r="Q1672" s="77" t="s">
        <v>2737</v>
      </c>
      <c r="R1672" s="77">
        <v>0</v>
      </c>
      <c r="S1672" s="77">
        <v>0</v>
      </c>
      <c r="T1672" s="77">
        <v>0</v>
      </c>
      <c r="U1672" s="77">
        <v>0</v>
      </c>
      <c r="V1672" s="77">
        <v>18</v>
      </c>
      <c r="W1672" s="82" t="s">
        <v>5209</v>
      </c>
      <c r="X1672" s="77"/>
      <c r="Y1672" s="77"/>
      <c r="Z1672" s="77"/>
      <c r="AA1672" s="77"/>
      <c r="AB1672" s="77"/>
      <c r="AC1672" s="82" t="s">
        <v>7705</v>
      </c>
      <c r="AD1672" s="77" t="s">
        <v>7745</v>
      </c>
      <c r="AE1672" s="80" t="str">
        <f>HYPERLINK("https://twitter.com/caminhodoinves1/status/1627622227213529089")</f>
        <v>https://twitter.com/caminhodoinves1/status/1627622227213529089</v>
      </c>
      <c r="AF1672" s="79">
        <v>44977.453159722223</v>
      </c>
      <c r="AG1672" s="85">
        <v>44977</v>
      </c>
      <c r="AH1672" s="82" t="s">
        <v>9234</v>
      </c>
      <c r="AI1672" s="77"/>
      <c r="AJ1672" s="77"/>
      <c r="AK1672" s="77"/>
      <c r="AL1672" s="77"/>
      <c r="AM1672" s="77"/>
      <c r="AN1672" s="77"/>
      <c r="AO1672" s="77"/>
      <c r="AP1672" s="77"/>
      <c r="AQ1672" s="77"/>
      <c r="AR1672" s="77"/>
      <c r="AS1672" s="77"/>
      <c r="AT1672" s="77"/>
      <c r="AU1672" s="77"/>
      <c r="AV1672" s="80" t="str">
        <f>HYPERLINK("https://pbs.twimg.com/profile_images/1494034280338571265/5HQ_Gu6j_normal.jpg")</f>
        <v>https://pbs.twimg.com/profile_images/1494034280338571265/5HQ_Gu6j_normal.jpg</v>
      </c>
      <c r="AW1672" s="82" t="s">
        <v>13838</v>
      </c>
      <c r="AX1672" s="82" t="s">
        <v>13838</v>
      </c>
      <c r="AY1672" s="77"/>
      <c r="AZ1672" s="82" t="s">
        <v>15804</v>
      </c>
      <c r="BA1672" s="82" t="s">
        <v>15804</v>
      </c>
      <c r="BB1672" s="82" t="s">
        <v>15804</v>
      </c>
      <c r="BC1672" s="82" t="s">
        <v>13838</v>
      </c>
      <c r="BD1672" s="82" t="s">
        <v>16427</v>
      </c>
      <c r="BE1672" s="77"/>
      <c r="BF1672" s="77"/>
      <c r="BG1672" s="77"/>
      <c r="BH1672" s="77"/>
      <c r="BI1672" s="77"/>
    </row>
    <row r="1673" spans="1:61" x14ac:dyDescent="0.25">
      <c r="A1673" s="62" t="s">
        <v>746</v>
      </c>
      <c r="B1673" s="62" t="s">
        <v>746</v>
      </c>
      <c r="C1673" s="63"/>
      <c r="D1673" s="64"/>
      <c r="E1673" s="65"/>
      <c r="F1673" s="66"/>
      <c r="G1673" s="63"/>
      <c r="H1673" s="67"/>
      <c r="I1673" s="68"/>
      <c r="J1673" s="68"/>
      <c r="K1673" s="32"/>
      <c r="L1673" s="75">
        <v>1673</v>
      </c>
      <c r="M1673" s="75"/>
      <c r="N1673" s="70"/>
      <c r="O1673" s="77" t="s">
        <v>179</v>
      </c>
      <c r="P1673" s="79">
        <v>45046.422638888886</v>
      </c>
      <c r="Q1673" s="77" t="s">
        <v>2738</v>
      </c>
      <c r="R1673" s="77">
        <v>0</v>
      </c>
      <c r="S1673" s="77">
        <v>0</v>
      </c>
      <c r="T1673" s="77">
        <v>0</v>
      </c>
      <c r="U1673" s="77">
        <v>0</v>
      </c>
      <c r="V1673" s="77">
        <v>3</v>
      </c>
      <c r="W1673" s="82" t="s">
        <v>5210</v>
      </c>
      <c r="X1673" s="80" t="str">
        <f>HYPERLINK("https://caminhodoinvestimento.com/2023/04/vale-a-pena-comprar-packs-ou-produtos-em-desconto-nos-supermercados/")</f>
        <v>https://caminhodoinvestimento.com/2023/04/vale-a-pena-comprar-packs-ou-produtos-em-desconto-nos-supermercados/</v>
      </c>
      <c r="Y1673" s="77" t="s">
        <v>6080</v>
      </c>
      <c r="Z1673" s="77"/>
      <c r="AA1673" s="77"/>
      <c r="AB1673" s="77"/>
      <c r="AC1673" s="82" t="s">
        <v>7705</v>
      </c>
      <c r="AD1673" s="77" t="s">
        <v>7745</v>
      </c>
      <c r="AE1673" s="80" t="str">
        <f>HYPERLINK("https://twitter.com/caminhodoinves1/status/1652615931351187459")</f>
        <v>https://twitter.com/caminhodoinves1/status/1652615931351187459</v>
      </c>
      <c r="AF1673" s="79">
        <v>45046.422638888886</v>
      </c>
      <c r="AG1673" s="85">
        <v>45046</v>
      </c>
      <c r="AH1673" s="82" t="s">
        <v>9235</v>
      </c>
      <c r="AI1673" s="77" t="b">
        <v>0</v>
      </c>
      <c r="AJ1673" s="77"/>
      <c r="AK1673" s="77"/>
      <c r="AL1673" s="77"/>
      <c r="AM1673" s="77"/>
      <c r="AN1673" s="77"/>
      <c r="AO1673" s="77"/>
      <c r="AP1673" s="77"/>
      <c r="AQ1673" s="77"/>
      <c r="AR1673" s="77"/>
      <c r="AS1673" s="77"/>
      <c r="AT1673" s="77"/>
      <c r="AU1673" s="77"/>
      <c r="AV1673" s="80" t="str">
        <f>HYPERLINK("https://pbs.twimg.com/profile_images/1494034280338571265/5HQ_Gu6j_normal.jpg")</f>
        <v>https://pbs.twimg.com/profile_images/1494034280338571265/5HQ_Gu6j_normal.jpg</v>
      </c>
      <c r="AW1673" s="82" t="s">
        <v>13839</v>
      </c>
      <c r="AX1673" s="82" t="s">
        <v>13839</v>
      </c>
      <c r="AY1673" s="77"/>
      <c r="AZ1673" s="82" t="s">
        <v>15804</v>
      </c>
      <c r="BA1673" s="82" t="s">
        <v>15804</v>
      </c>
      <c r="BB1673" s="82" t="s">
        <v>15804</v>
      </c>
      <c r="BC1673" s="82" t="s">
        <v>13839</v>
      </c>
      <c r="BD1673" s="82" t="s">
        <v>16427</v>
      </c>
      <c r="BE1673" s="77"/>
      <c r="BF1673" s="77"/>
      <c r="BG1673" s="77"/>
      <c r="BH1673" s="77"/>
      <c r="BI1673" s="77"/>
    </row>
    <row r="1674" spans="1:61" x14ac:dyDescent="0.25">
      <c r="A1674" s="62" t="s">
        <v>746</v>
      </c>
      <c r="B1674" s="62" t="s">
        <v>825</v>
      </c>
      <c r="C1674" s="63"/>
      <c r="D1674" s="64"/>
      <c r="E1674" s="65"/>
      <c r="F1674" s="66"/>
      <c r="G1674" s="63"/>
      <c r="H1674" s="67"/>
      <c r="I1674" s="68"/>
      <c r="J1674" s="68"/>
      <c r="K1674" s="32"/>
      <c r="L1674" s="75">
        <v>1674</v>
      </c>
      <c r="M1674" s="75"/>
      <c r="N1674" s="70"/>
      <c r="O1674" s="77" t="s">
        <v>1135</v>
      </c>
      <c r="P1674" s="79">
        <v>45091.394976851851</v>
      </c>
      <c r="Q1674" s="77" t="s">
        <v>2739</v>
      </c>
      <c r="R1674" s="77">
        <v>0</v>
      </c>
      <c r="S1674" s="77">
        <v>0</v>
      </c>
      <c r="T1674" s="77">
        <v>0</v>
      </c>
      <c r="U1674" s="77">
        <v>0</v>
      </c>
      <c r="V1674" s="77">
        <v>3</v>
      </c>
      <c r="W1674" s="82" t="s">
        <v>5211</v>
      </c>
      <c r="X1674" s="77"/>
      <c r="Y1674" s="77"/>
      <c r="Z1674" s="77"/>
      <c r="AA1674" s="77"/>
      <c r="AB1674" s="77"/>
      <c r="AC1674" s="82" t="s">
        <v>7705</v>
      </c>
      <c r="AD1674" s="77" t="s">
        <v>7745</v>
      </c>
      <c r="AE1674" s="80" t="str">
        <f>HYPERLINK("https://twitter.com/caminhodoinves1/status/1668913357615767552")</f>
        <v>https://twitter.com/caminhodoinves1/status/1668913357615767552</v>
      </c>
      <c r="AF1674" s="79">
        <v>45091.394976851851</v>
      </c>
      <c r="AG1674" s="85">
        <v>45091</v>
      </c>
      <c r="AH1674" s="82" t="s">
        <v>9236</v>
      </c>
      <c r="AI1674" s="77"/>
      <c r="AJ1674" s="77"/>
      <c r="AK1674" s="77"/>
      <c r="AL1674" s="77"/>
      <c r="AM1674" s="77"/>
      <c r="AN1674" s="77"/>
      <c r="AO1674" s="77"/>
      <c r="AP1674" s="77"/>
      <c r="AQ1674" s="77"/>
      <c r="AR1674" s="77"/>
      <c r="AS1674" s="77"/>
      <c r="AT1674" s="77"/>
      <c r="AU1674" s="77"/>
      <c r="AV1674" s="80" t="str">
        <f>HYPERLINK("https://pbs.twimg.com/profile_images/1494034280338571265/5HQ_Gu6j_normal.jpg")</f>
        <v>https://pbs.twimg.com/profile_images/1494034280338571265/5HQ_Gu6j_normal.jpg</v>
      </c>
      <c r="AW1674" s="82" t="s">
        <v>13840</v>
      </c>
      <c r="AX1674" s="82" t="s">
        <v>13840</v>
      </c>
      <c r="AY1674" s="77"/>
      <c r="AZ1674" s="82" t="s">
        <v>15804</v>
      </c>
      <c r="BA1674" s="82" t="s">
        <v>14134</v>
      </c>
      <c r="BB1674" s="82" t="s">
        <v>15804</v>
      </c>
      <c r="BC1674" s="82" t="s">
        <v>14134</v>
      </c>
      <c r="BD1674" s="82" t="s">
        <v>16427</v>
      </c>
      <c r="BE1674" s="77"/>
      <c r="BF1674" s="77"/>
      <c r="BG1674" s="77"/>
      <c r="BH1674" s="77"/>
      <c r="BI1674" s="77"/>
    </row>
    <row r="1675" spans="1:61" x14ac:dyDescent="0.25">
      <c r="A1675" s="62" t="s">
        <v>746</v>
      </c>
      <c r="B1675" s="62" t="s">
        <v>746</v>
      </c>
      <c r="C1675" s="63"/>
      <c r="D1675" s="64"/>
      <c r="E1675" s="65"/>
      <c r="F1675" s="66"/>
      <c r="G1675" s="63"/>
      <c r="H1675" s="67"/>
      <c r="I1675" s="68"/>
      <c r="J1675" s="68"/>
      <c r="K1675" s="32"/>
      <c r="L1675" s="75">
        <v>1675</v>
      </c>
      <c r="M1675" s="75"/>
      <c r="N1675" s="70"/>
      <c r="O1675" s="77" t="s">
        <v>179</v>
      </c>
      <c r="P1675" s="79">
        <v>44943.457997685182</v>
      </c>
      <c r="Q1675" s="77" t="s">
        <v>2740</v>
      </c>
      <c r="R1675" s="77">
        <v>0</v>
      </c>
      <c r="S1675" s="77">
        <v>0</v>
      </c>
      <c r="T1675" s="77">
        <v>0</v>
      </c>
      <c r="U1675" s="77">
        <v>0</v>
      </c>
      <c r="V1675" s="77">
        <v>3</v>
      </c>
      <c r="W1675" s="82" t="s">
        <v>5212</v>
      </c>
      <c r="X1675" s="77"/>
      <c r="Y1675" s="77"/>
      <c r="Z1675" s="77"/>
      <c r="AA1675" s="77"/>
      <c r="AB1675" s="77"/>
      <c r="AC1675" s="82" t="s">
        <v>7705</v>
      </c>
      <c r="AD1675" s="77" t="s">
        <v>7745</v>
      </c>
      <c r="AE1675" s="80" t="str">
        <f>HYPERLINK("https://twitter.com/caminhodoinves1/status/1615302791819313153")</f>
        <v>https://twitter.com/caminhodoinves1/status/1615302791819313153</v>
      </c>
      <c r="AF1675" s="79">
        <v>44943.457997685182</v>
      </c>
      <c r="AG1675" s="85">
        <v>44943</v>
      </c>
      <c r="AH1675" s="82" t="s">
        <v>9237</v>
      </c>
      <c r="AI1675" s="77"/>
      <c r="AJ1675" s="77"/>
      <c r="AK1675" s="77"/>
      <c r="AL1675" s="77"/>
      <c r="AM1675" s="77"/>
      <c r="AN1675" s="77"/>
      <c r="AO1675" s="77"/>
      <c r="AP1675" s="77"/>
      <c r="AQ1675" s="77"/>
      <c r="AR1675" s="77"/>
      <c r="AS1675" s="77"/>
      <c r="AT1675" s="77"/>
      <c r="AU1675" s="77"/>
      <c r="AV1675" s="80" t="str">
        <f>HYPERLINK("https://pbs.twimg.com/profile_images/1494034280338571265/5HQ_Gu6j_normal.jpg")</f>
        <v>https://pbs.twimg.com/profile_images/1494034280338571265/5HQ_Gu6j_normal.jpg</v>
      </c>
      <c r="AW1675" s="82" t="s">
        <v>13841</v>
      </c>
      <c r="AX1675" s="82" t="s">
        <v>13841</v>
      </c>
      <c r="AY1675" s="77"/>
      <c r="AZ1675" s="82" t="s">
        <v>15804</v>
      </c>
      <c r="BA1675" s="82" t="s">
        <v>15804</v>
      </c>
      <c r="BB1675" s="82" t="s">
        <v>15804</v>
      </c>
      <c r="BC1675" s="82" t="s">
        <v>13841</v>
      </c>
      <c r="BD1675" s="82" t="s">
        <v>16427</v>
      </c>
      <c r="BE1675" s="77"/>
      <c r="BF1675" s="77"/>
      <c r="BG1675" s="77"/>
      <c r="BH1675" s="77"/>
      <c r="BI1675" s="77"/>
    </row>
    <row r="1676" spans="1:61" x14ac:dyDescent="0.25">
      <c r="A1676" s="62" t="s">
        <v>746</v>
      </c>
      <c r="B1676" s="62" t="s">
        <v>746</v>
      </c>
      <c r="C1676" s="63"/>
      <c r="D1676" s="64"/>
      <c r="E1676" s="65"/>
      <c r="F1676" s="66"/>
      <c r="G1676" s="63"/>
      <c r="H1676" s="67"/>
      <c r="I1676" s="68"/>
      <c r="J1676" s="68"/>
      <c r="K1676" s="32"/>
      <c r="L1676" s="75">
        <v>1676</v>
      </c>
      <c r="M1676" s="75"/>
      <c r="N1676" s="70"/>
      <c r="O1676" s="77" t="s">
        <v>179</v>
      </c>
      <c r="P1676" s="79">
        <v>45103.825046296297</v>
      </c>
      <c r="Q1676" s="77" t="s">
        <v>2741</v>
      </c>
      <c r="R1676" s="77">
        <v>0</v>
      </c>
      <c r="S1676" s="77">
        <v>0</v>
      </c>
      <c r="T1676" s="77">
        <v>0</v>
      </c>
      <c r="U1676" s="77">
        <v>0</v>
      </c>
      <c r="V1676" s="77">
        <v>5</v>
      </c>
      <c r="W1676" s="82" t="s">
        <v>5213</v>
      </c>
      <c r="X1676" s="77"/>
      <c r="Y1676" s="77"/>
      <c r="Z1676" s="77"/>
      <c r="AA1676" s="77"/>
      <c r="AB1676" s="77"/>
      <c r="AC1676" s="82" t="s">
        <v>7705</v>
      </c>
      <c r="AD1676" s="77" t="s">
        <v>7745</v>
      </c>
      <c r="AE1676" s="80" t="str">
        <f>HYPERLINK("https://twitter.com/caminhodoinves1/status/1673417866421366786")</f>
        <v>https://twitter.com/caminhodoinves1/status/1673417866421366786</v>
      </c>
      <c r="AF1676" s="79">
        <v>45103.825046296297</v>
      </c>
      <c r="AG1676" s="85">
        <v>45103</v>
      </c>
      <c r="AH1676" s="82" t="s">
        <v>9238</v>
      </c>
      <c r="AI1676" s="77"/>
      <c r="AJ1676" s="77"/>
      <c r="AK1676" s="77"/>
      <c r="AL1676" s="77"/>
      <c r="AM1676" s="77"/>
      <c r="AN1676" s="77"/>
      <c r="AO1676" s="77"/>
      <c r="AP1676" s="77"/>
      <c r="AQ1676" s="77"/>
      <c r="AR1676" s="77"/>
      <c r="AS1676" s="77"/>
      <c r="AT1676" s="77"/>
      <c r="AU1676" s="77"/>
      <c r="AV1676" s="80" t="str">
        <f>HYPERLINK("https://pbs.twimg.com/profile_images/1494034280338571265/5HQ_Gu6j_normal.jpg")</f>
        <v>https://pbs.twimg.com/profile_images/1494034280338571265/5HQ_Gu6j_normal.jpg</v>
      </c>
      <c r="AW1676" s="82" t="s">
        <v>13842</v>
      </c>
      <c r="AX1676" s="82" t="s">
        <v>13842</v>
      </c>
      <c r="AY1676" s="77"/>
      <c r="AZ1676" s="82" t="s">
        <v>15804</v>
      </c>
      <c r="BA1676" s="82" t="s">
        <v>15804</v>
      </c>
      <c r="BB1676" s="82" t="s">
        <v>15804</v>
      </c>
      <c r="BC1676" s="82" t="s">
        <v>13842</v>
      </c>
      <c r="BD1676" s="82" t="s">
        <v>16427</v>
      </c>
      <c r="BE1676" s="77"/>
      <c r="BF1676" s="77"/>
      <c r="BG1676" s="77"/>
      <c r="BH1676" s="77"/>
      <c r="BI1676" s="77"/>
    </row>
    <row r="1677" spans="1:61" x14ac:dyDescent="0.25">
      <c r="A1677" s="62" t="s">
        <v>746</v>
      </c>
      <c r="B1677" s="62" t="s">
        <v>746</v>
      </c>
      <c r="C1677" s="63"/>
      <c r="D1677" s="64"/>
      <c r="E1677" s="65"/>
      <c r="F1677" s="66"/>
      <c r="G1677" s="63"/>
      <c r="H1677" s="67"/>
      <c r="I1677" s="68"/>
      <c r="J1677" s="68"/>
      <c r="K1677" s="32"/>
      <c r="L1677" s="75">
        <v>1677</v>
      </c>
      <c r="M1677" s="75"/>
      <c r="N1677" s="70"/>
      <c r="O1677" s="77" t="s">
        <v>179</v>
      </c>
      <c r="P1677" s="79">
        <v>44953.456099537034</v>
      </c>
      <c r="Q1677" s="77" t="s">
        <v>2742</v>
      </c>
      <c r="R1677" s="77">
        <v>0</v>
      </c>
      <c r="S1677" s="77">
        <v>0</v>
      </c>
      <c r="T1677" s="77">
        <v>0</v>
      </c>
      <c r="U1677" s="77">
        <v>0</v>
      </c>
      <c r="V1677" s="77">
        <v>1</v>
      </c>
      <c r="W1677" s="82" t="s">
        <v>5214</v>
      </c>
      <c r="X1677" s="77"/>
      <c r="Y1677" s="77"/>
      <c r="Z1677" s="77"/>
      <c r="AA1677" s="77"/>
      <c r="AB1677" s="77"/>
      <c r="AC1677" s="82" t="s">
        <v>7705</v>
      </c>
      <c r="AD1677" s="77" t="s">
        <v>7745</v>
      </c>
      <c r="AE1677" s="80" t="str">
        <f>HYPERLINK("https://twitter.com/caminhodoinves1/status/1618925982618128384")</f>
        <v>https://twitter.com/caminhodoinves1/status/1618925982618128384</v>
      </c>
      <c r="AF1677" s="79">
        <v>44953.456099537034</v>
      </c>
      <c r="AG1677" s="85">
        <v>44953</v>
      </c>
      <c r="AH1677" s="82" t="s">
        <v>9239</v>
      </c>
      <c r="AI1677" s="77"/>
      <c r="AJ1677" s="77"/>
      <c r="AK1677" s="77"/>
      <c r="AL1677" s="77"/>
      <c r="AM1677" s="77"/>
      <c r="AN1677" s="77"/>
      <c r="AO1677" s="77"/>
      <c r="AP1677" s="77"/>
      <c r="AQ1677" s="77"/>
      <c r="AR1677" s="77"/>
      <c r="AS1677" s="77"/>
      <c r="AT1677" s="77"/>
      <c r="AU1677" s="77"/>
      <c r="AV1677" s="80" t="str">
        <f>HYPERLINK("https://pbs.twimg.com/profile_images/1494034280338571265/5HQ_Gu6j_normal.jpg")</f>
        <v>https://pbs.twimg.com/profile_images/1494034280338571265/5HQ_Gu6j_normal.jpg</v>
      </c>
      <c r="AW1677" s="82" t="s">
        <v>13843</v>
      </c>
      <c r="AX1677" s="82" t="s">
        <v>13843</v>
      </c>
      <c r="AY1677" s="77"/>
      <c r="AZ1677" s="82" t="s">
        <v>15804</v>
      </c>
      <c r="BA1677" s="82" t="s">
        <v>15804</v>
      </c>
      <c r="BB1677" s="82" t="s">
        <v>15804</v>
      </c>
      <c r="BC1677" s="82" t="s">
        <v>13843</v>
      </c>
      <c r="BD1677" s="82" t="s">
        <v>16427</v>
      </c>
      <c r="BE1677" s="77"/>
      <c r="BF1677" s="77"/>
      <c r="BG1677" s="77"/>
      <c r="BH1677" s="77"/>
      <c r="BI1677" s="77"/>
    </row>
    <row r="1678" spans="1:61" x14ac:dyDescent="0.25">
      <c r="A1678" s="62" t="s">
        <v>747</v>
      </c>
      <c r="B1678" s="62" t="s">
        <v>747</v>
      </c>
      <c r="C1678" s="63"/>
      <c r="D1678" s="64"/>
      <c r="E1678" s="65"/>
      <c r="F1678" s="66"/>
      <c r="G1678" s="63"/>
      <c r="H1678" s="67"/>
      <c r="I1678" s="68"/>
      <c r="J1678" s="68"/>
      <c r="K1678" s="32"/>
      <c r="L1678" s="75">
        <v>1678</v>
      </c>
      <c r="M1678" s="75"/>
      <c r="N1678" s="70"/>
      <c r="O1678" s="77" t="s">
        <v>179</v>
      </c>
      <c r="P1678" s="79">
        <v>45056.930659722224</v>
      </c>
      <c r="Q1678" s="77" t="s">
        <v>2743</v>
      </c>
      <c r="R1678" s="77">
        <v>0</v>
      </c>
      <c r="S1678" s="77">
        <v>4</v>
      </c>
      <c r="T1678" s="77">
        <v>0</v>
      </c>
      <c r="U1678" s="77">
        <v>0</v>
      </c>
      <c r="V1678" s="77">
        <v>32</v>
      </c>
      <c r="W1678" s="82" t="s">
        <v>5215</v>
      </c>
      <c r="X1678" s="77"/>
      <c r="Y1678" s="77"/>
      <c r="Z1678" s="77"/>
      <c r="AA1678" s="77" t="s">
        <v>7151</v>
      </c>
      <c r="AB1678" s="77" t="s">
        <v>7700</v>
      </c>
      <c r="AC1678" s="82" t="s">
        <v>7707</v>
      </c>
      <c r="AD1678" s="77" t="s">
        <v>7745</v>
      </c>
      <c r="AE1678" s="80" t="str">
        <f>HYPERLINK("https://twitter.com/_active_money/status/1656423910127140864")</f>
        <v>https://twitter.com/_active_money/status/1656423910127140864</v>
      </c>
      <c r="AF1678" s="79">
        <v>45056.930659722224</v>
      </c>
      <c r="AG1678" s="85">
        <v>45056</v>
      </c>
      <c r="AH1678" s="82" t="s">
        <v>9240</v>
      </c>
      <c r="AI1678" s="77" t="b">
        <v>0</v>
      </c>
      <c r="AJ1678" s="77"/>
      <c r="AK1678" s="77"/>
      <c r="AL1678" s="77"/>
      <c r="AM1678" s="77"/>
      <c r="AN1678" s="77"/>
      <c r="AO1678" s="77"/>
      <c r="AP1678" s="77"/>
      <c r="AQ1678" s="77" t="s">
        <v>11658</v>
      </c>
      <c r="AR1678" s="77"/>
      <c r="AS1678" s="77"/>
      <c r="AT1678" s="77"/>
      <c r="AU1678" s="77"/>
      <c r="AV1678" s="80" t="str">
        <f>HYPERLINK("https://pbs.twimg.com/media/FvzMwnaWwAY1GfD.jpg")</f>
        <v>https://pbs.twimg.com/media/FvzMwnaWwAY1GfD.jpg</v>
      </c>
      <c r="AW1678" s="82" t="s">
        <v>13844</v>
      </c>
      <c r="AX1678" s="82" t="s">
        <v>13844</v>
      </c>
      <c r="AY1678" s="77"/>
      <c r="AZ1678" s="82" t="s">
        <v>15804</v>
      </c>
      <c r="BA1678" s="82" t="s">
        <v>15804</v>
      </c>
      <c r="BB1678" s="82" t="s">
        <v>15804</v>
      </c>
      <c r="BC1678" s="82" t="s">
        <v>13844</v>
      </c>
      <c r="BD1678" s="82" t="s">
        <v>16428</v>
      </c>
      <c r="BE1678" s="77"/>
      <c r="BF1678" s="77"/>
      <c r="BG1678" s="77"/>
      <c r="BH1678" s="77"/>
      <c r="BI1678" s="77"/>
    </row>
    <row r="1679" spans="1:61" x14ac:dyDescent="0.25">
      <c r="A1679" s="62" t="s">
        <v>747</v>
      </c>
      <c r="B1679" s="62" t="s">
        <v>747</v>
      </c>
      <c r="C1679" s="63"/>
      <c r="D1679" s="64"/>
      <c r="E1679" s="65"/>
      <c r="F1679" s="66"/>
      <c r="G1679" s="63"/>
      <c r="H1679" s="67"/>
      <c r="I1679" s="68"/>
      <c r="J1679" s="68"/>
      <c r="K1679" s="32"/>
      <c r="L1679" s="75">
        <v>1679</v>
      </c>
      <c r="M1679" s="75"/>
      <c r="N1679" s="70"/>
      <c r="O1679" s="77" t="s">
        <v>179</v>
      </c>
      <c r="P1679" s="79">
        <v>45037.574340277781</v>
      </c>
      <c r="Q1679" s="77" t="s">
        <v>2744</v>
      </c>
      <c r="R1679" s="77">
        <v>0</v>
      </c>
      <c r="S1679" s="77">
        <v>4</v>
      </c>
      <c r="T1679" s="77">
        <v>0</v>
      </c>
      <c r="U1679" s="77">
        <v>0</v>
      </c>
      <c r="V1679" s="77">
        <v>41</v>
      </c>
      <c r="W1679" s="82" t="s">
        <v>4080</v>
      </c>
      <c r="X1679" s="77"/>
      <c r="Y1679" s="77"/>
      <c r="Z1679" s="77"/>
      <c r="AA1679" s="77" t="s">
        <v>7152</v>
      </c>
      <c r="AB1679" s="77" t="s">
        <v>7696</v>
      </c>
      <c r="AC1679" s="82" t="s">
        <v>7707</v>
      </c>
      <c r="AD1679" s="77" t="s">
        <v>7745</v>
      </c>
      <c r="AE1679" s="80" t="str">
        <f>HYPERLINK("https://twitter.com/_active_money/status/1649409413596184576")</f>
        <v>https://twitter.com/_active_money/status/1649409413596184576</v>
      </c>
      <c r="AF1679" s="79">
        <v>45037.574340277781</v>
      </c>
      <c r="AG1679" s="85">
        <v>45037</v>
      </c>
      <c r="AH1679" s="82" t="s">
        <v>9241</v>
      </c>
      <c r="AI1679" s="77" t="b">
        <v>0</v>
      </c>
      <c r="AJ1679" s="77"/>
      <c r="AK1679" s="77"/>
      <c r="AL1679" s="77"/>
      <c r="AM1679" s="77"/>
      <c r="AN1679" s="77"/>
      <c r="AO1679" s="77"/>
      <c r="AP1679" s="77"/>
      <c r="AQ1679" s="77" t="s">
        <v>11659</v>
      </c>
      <c r="AR1679" s="77"/>
      <c r="AS1679" s="77"/>
      <c r="AT1679" s="77"/>
      <c r="AU1679" s="77"/>
      <c r="AV1679" s="80" t="str">
        <f>HYPERLINK("https://pbs.twimg.com/media/FuPhHuuX0AQzcQJ.jpg")</f>
        <v>https://pbs.twimg.com/media/FuPhHuuX0AQzcQJ.jpg</v>
      </c>
      <c r="AW1679" s="82" t="s">
        <v>13845</v>
      </c>
      <c r="AX1679" s="82" t="s">
        <v>13845</v>
      </c>
      <c r="AY1679" s="77"/>
      <c r="AZ1679" s="82" t="s">
        <v>15804</v>
      </c>
      <c r="BA1679" s="82" t="s">
        <v>15804</v>
      </c>
      <c r="BB1679" s="82" t="s">
        <v>15804</v>
      </c>
      <c r="BC1679" s="82" t="s">
        <v>13845</v>
      </c>
      <c r="BD1679" s="82" t="s">
        <v>16428</v>
      </c>
      <c r="BE1679" s="77"/>
      <c r="BF1679" s="77"/>
      <c r="BG1679" s="77"/>
      <c r="BH1679" s="77"/>
      <c r="BI1679" s="77"/>
    </row>
    <row r="1680" spans="1:61" x14ac:dyDescent="0.25">
      <c r="A1680" s="62" t="s">
        <v>748</v>
      </c>
      <c r="B1680" s="62" t="s">
        <v>748</v>
      </c>
      <c r="C1680" s="63"/>
      <c r="D1680" s="64"/>
      <c r="E1680" s="65"/>
      <c r="F1680" s="66"/>
      <c r="G1680" s="63"/>
      <c r="H1680" s="67"/>
      <c r="I1680" s="68"/>
      <c r="J1680" s="68"/>
      <c r="K1680" s="32"/>
      <c r="L1680" s="75">
        <v>1680</v>
      </c>
      <c r="M1680" s="75"/>
      <c r="N1680" s="70"/>
      <c r="O1680" s="77" t="s">
        <v>179</v>
      </c>
      <c r="P1680" s="79">
        <v>45048.741087962961</v>
      </c>
      <c r="Q1680" s="77" t="s">
        <v>2745</v>
      </c>
      <c r="R1680" s="77">
        <v>0</v>
      </c>
      <c r="S1680" s="77">
        <v>0</v>
      </c>
      <c r="T1680" s="77">
        <v>0</v>
      </c>
      <c r="U1680" s="77">
        <v>0</v>
      </c>
      <c r="V1680" s="77">
        <v>14</v>
      </c>
      <c r="W1680" s="82" t="s">
        <v>5216</v>
      </c>
      <c r="X1680" s="77"/>
      <c r="Y1680" s="77"/>
      <c r="Z1680" s="77"/>
      <c r="AA1680" s="77" t="s">
        <v>7153</v>
      </c>
      <c r="AB1680" s="77" t="s">
        <v>7697</v>
      </c>
      <c r="AC1680" s="82" t="s">
        <v>7707</v>
      </c>
      <c r="AD1680" s="77" t="s">
        <v>7745</v>
      </c>
      <c r="AE1680" s="80" t="str">
        <f>HYPERLINK("https://twitter.com/leormoraess/status/1653456105907920896")</f>
        <v>https://twitter.com/leormoraess/status/1653456105907920896</v>
      </c>
      <c r="AF1680" s="79">
        <v>45048.741087962961</v>
      </c>
      <c r="AG1680" s="85">
        <v>45048</v>
      </c>
      <c r="AH1680" s="82" t="s">
        <v>9242</v>
      </c>
      <c r="AI1680" s="77" t="b">
        <v>0</v>
      </c>
      <c r="AJ1680" s="77"/>
      <c r="AK1680" s="77"/>
      <c r="AL1680" s="77"/>
      <c r="AM1680" s="77"/>
      <c r="AN1680" s="77"/>
      <c r="AO1680" s="77"/>
      <c r="AP1680" s="77"/>
      <c r="AQ1680" s="77" t="s">
        <v>11660</v>
      </c>
      <c r="AR1680" s="77">
        <v>29535</v>
      </c>
      <c r="AS1680" s="77"/>
      <c r="AT1680" s="77"/>
      <c r="AU1680" s="77">
        <v>3</v>
      </c>
      <c r="AV1680" s="80" t="str">
        <f>HYPERLINK("https://pbs.twimg.com/ext_tw_video_thumb/1653456048836038657/pu/img/Q6bAkSKbrbKs4UO8.jpg")</f>
        <v>https://pbs.twimg.com/ext_tw_video_thumb/1653456048836038657/pu/img/Q6bAkSKbrbKs4UO8.jpg</v>
      </c>
      <c r="AW1680" s="82" t="s">
        <v>13846</v>
      </c>
      <c r="AX1680" s="82" t="s">
        <v>13846</v>
      </c>
      <c r="AY1680" s="77"/>
      <c r="AZ1680" s="82" t="s">
        <v>15804</v>
      </c>
      <c r="BA1680" s="82" t="s">
        <v>15804</v>
      </c>
      <c r="BB1680" s="82" t="s">
        <v>15804</v>
      </c>
      <c r="BC1680" s="82" t="s">
        <v>13846</v>
      </c>
      <c r="BD1680" s="82" t="s">
        <v>16429</v>
      </c>
      <c r="BE1680" s="77"/>
      <c r="BF1680" s="77"/>
      <c r="BG1680" s="77"/>
      <c r="BH1680" s="77"/>
      <c r="BI1680" s="77"/>
    </row>
    <row r="1681" spans="1:61" x14ac:dyDescent="0.25">
      <c r="A1681" s="62" t="s">
        <v>749</v>
      </c>
      <c r="B1681" s="62" t="s">
        <v>749</v>
      </c>
      <c r="C1681" s="63"/>
      <c r="D1681" s="64"/>
      <c r="E1681" s="65"/>
      <c r="F1681" s="66"/>
      <c r="G1681" s="63"/>
      <c r="H1681" s="67"/>
      <c r="I1681" s="68"/>
      <c r="J1681" s="68"/>
      <c r="K1681" s="32"/>
      <c r="L1681" s="75">
        <v>1681</v>
      </c>
      <c r="M1681" s="75"/>
      <c r="N1681" s="70"/>
      <c r="O1681" s="77" t="s">
        <v>1132</v>
      </c>
      <c r="P1681" s="79">
        <v>45099.772569444445</v>
      </c>
      <c r="Q1681" s="77" t="s">
        <v>2746</v>
      </c>
      <c r="R1681" s="77">
        <v>0</v>
      </c>
      <c r="S1681" s="77">
        <v>0</v>
      </c>
      <c r="T1681" s="77">
        <v>0</v>
      </c>
      <c r="U1681" s="77">
        <v>0</v>
      </c>
      <c r="V1681" s="77">
        <v>25</v>
      </c>
      <c r="W1681" s="82" t="s">
        <v>5217</v>
      </c>
      <c r="X1681" s="77"/>
      <c r="Y1681" s="77"/>
      <c r="Z1681" s="77"/>
      <c r="AA1681" s="77"/>
      <c r="AB1681" s="77"/>
      <c r="AC1681" s="82" t="s">
        <v>7705</v>
      </c>
      <c r="AD1681" s="77" t="s">
        <v>7745</v>
      </c>
      <c r="AE1681" s="80" t="str">
        <f>HYPERLINK("https://twitter.com/adv_wesleycesar/status/1671949297032593417")</f>
        <v>https://twitter.com/adv_wesleycesar/status/1671949297032593417</v>
      </c>
      <c r="AF1681" s="79">
        <v>45099.772569444445</v>
      </c>
      <c r="AG1681" s="85">
        <v>45099</v>
      </c>
      <c r="AH1681" s="82" t="s">
        <v>9243</v>
      </c>
      <c r="AI1681" s="77"/>
      <c r="AJ1681" s="77"/>
      <c r="AK1681" s="77"/>
      <c r="AL1681" s="77"/>
      <c r="AM1681" s="77"/>
      <c r="AN1681" s="77"/>
      <c r="AO1681" s="77"/>
      <c r="AP1681" s="77"/>
      <c r="AQ1681" s="77"/>
      <c r="AR1681" s="77"/>
      <c r="AS1681" s="77"/>
      <c r="AT1681" s="77"/>
      <c r="AU1681" s="77"/>
      <c r="AV1681" s="80" t="str">
        <f>HYPERLINK("https://pbs.twimg.com/profile_images/1558947921827184642/pT07OI6D_normal.jpg")</f>
        <v>https://pbs.twimg.com/profile_images/1558947921827184642/pT07OI6D_normal.jpg</v>
      </c>
      <c r="AW1681" s="82" t="s">
        <v>13847</v>
      </c>
      <c r="AX1681" s="82" t="s">
        <v>15357</v>
      </c>
      <c r="AY1681" s="82" t="s">
        <v>15760</v>
      </c>
      <c r="AZ1681" s="82" t="s">
        <v>15900</v>
      </c>
      <c r="BA1681" s="82" t="s">
        <v>15804</v>
      </c>
      <c r="BB1681" s="82" t="s">
        <v>15804</v>
      </c>
      <c r="BC1681" s="82" t="s">
        <v>15900</v>
      </c>
      <c r="BD1681" s="77">
        <v>64254244</v>
      </c>
      <c r="BE1681" s="77"/>
      <c r="BF1681" s="77"/>
      <c r="BG1681" s="77"/>
      <c r="BH1681" s="77"/>
      <c r="BI1681" s="77"/>
    </row>
    <row r="1682" spans="1:61" x14ac:dyDescent="0.25">
      <c r="A1682" s="62" t="s">
        <v>750</v>
      </c>
      <c r="B1682" s="62" t="s">
        <v>750</v>
      </c>
      <c r="C1682" s="63"/>
      <c r="D1682" s="64"/>
      <c r="E1682" s="65"/>
      <c r="F1682" s="66"/>
      <c r="G1682" s="63"/>
      <c r="H1682" s="67"/>
      <c r="I1682" s="68"/>
      <c r="J1682" s="68"/>
      <c r="K1682" s="32"/>
      <c r="L1682" s="75">
        <v>1682</v>
      </c>
      <c r="M1682" s="75"/>
      <c r="N1682" s="70"/>
      <c r="O1682" s="77" t="s">
        <v>179</v>
      </c>
      <c r="P1682" s="79">
        <v>45052.007511574076</v>
      </c>
      <c r="Q1682" s="77" t="s">
        <v>2747</v>
      </c>
      <c r="R1682" s="77">
        <v>0</v>
      </c>
      <c r="S1682" s="77">
        <v>0</v>
      </c>
      <c r="T1682" s="77">
        <v>0</v>
      </c>
      <c r="U1682" s="77">
        <v>0</v>
      </c>
      <c r="V1682" s="77">
        <v>47</v>
      </c>
      <c r="W1682" s="82" t="s">
        <v>5218</v>
      </c>
      <c r="X1682" s="77"/>
      <c r="Y1682" s="77"/>
      <c r="Z1682" s="77"/>
      <c r="AA1682" s="77"/>
      <c r="AB1682" s="77"/>
      <c r="AC1682" s="82" t="s">
        <v>7706</v>
      </c>
      <c r="AD1682" s="77" t="s">
        <v>7745</v>
      </c>
      <c r="AE1682" s="80" t="str">
        <f>HYPERLINK("https://twitter.com/danielcoriolano/status/1654639820960825346")</f>
        <v>https://twitter.com/danielcoriolano/status/1654639820960825346</v>
      </c>
      <c r="AF1682" s="79">
        <v>45052.007511574076</v>
      </c>
      <c r="AG1682" s="85">
        <v>45052</v>
      </c>
      <c r="AH1682" s="82" t="s">
        <v>9244</v>
      </c>
      <c r="AI1682" s="77"/>
      <c r="AJ1682" s="77"/>
      <c r="AK1682" s="77"/>
      <c r="AL1682" s="77"/>
      <c r="AM1682" s="77"/>
      <c r="AN1682" s="77"/>
      <c r="AO1682" s="77"/>
      <c r="AP1682" s="77"/>
      <c r="AQ1682" s="77"/>
      <c r="AR1682" s="77"/>
      <c r="AS1682" s="77"/>
      <c r="AT1682" s="77"/>
      <c r="AU1682" s="77"/>
      <c r="AV1682" s="80" t="str">
        <f>HYPERLINK("https://pbs.twimg.com/profile_images/1655940071198011392/EtMo_FJZ_normal.jpg")</f>
        <v>https://pbs.twimg.com/profile_images/1655940071198011392/EtMo_FJZ_normal.jpg</v>
      </c>
      <c r="AW1682" s="82" t="s">
        <v>13848</v>
      </c>
      <c r="AX1682" s="82" t="s">
        <v>13848</v>
      </c>
      <c r="AY1682" s="77"/>
      <c r="AZ1682" s="82" t="s">
        <v>15804</v>
      </c>
      <c r="BA1682" s="82" t="s">
        <v>15804</v>
      </c>
      <c r="BB1682" s="82" t="s">
        <v>15804</v>
      </c>
      <c r="BC1682" s="82" t="s">
        <v>13848</v>
      </c>
      <c r="BD1682" s="77">
        <v>117273618</v>
      </c>
      <c r="BE1682" s="77"/>
      <c r="BF1682" s="77"/>
      <c r="BG1682" s="77"/>
      <c r="BH1682" s="77"/>
      <c r="BI1682" s="77"/>
    </row>
    <row r="1683" spans="1:61" x14ac:dyDescent="0.25">
      <c r="A1683" s="62" t="s">
        <v>751</v>
      </c>
      <c r="B1683" s="62" t="s">
        <v>751</v>
      </c>
      <c r="C1683" s="63"/>
      <c r="D1683" s="64"/>
      <c r="E1683" s="65"/>
      <c r="F1683" s="66"/>
      <c r="G1683" s="63"/>
      <c r="H1683" s="67"/>
      <c r="I1683" s="68"/>
      <c r="J1683" s="68"/>
      <c r="K1683" s="32"/>
      <c r="L1683" s="75">
        <v>1683</v>
      </c>
      <c r="M1683" s="75"/>
      <c r="N1683" s="70"/>
      <c r="O1683" s="77" t="s">
        <v>179</v>
      </c>
      <c r="P1683" s="79">
        <v>45003.441805555558</v>
      </c>
      <c r="Q1683" s="77" t="s">
        <v>2748</v>
      </c>
      <c r="R1683" s="77">
        <v>0</v>
      </c>
      <c r="S1683" s="77">
        <v>0</v>
      </c>
      <c r="T1683" s="77">
        <v>0</v>
      </c>
      <c r="U1683" s="77">
        <v>0</v>
      </c>
      <c r="V1683" s="77">
        <v>44</v>
      </c>
      <c r="W1683" s="82" t="s">
        <v>5219</v>
      </c>
      <c r="X1683" s="80" t="str">
        <f>HYPERLINK("http://www.trilhacerta.com")</f>
        <v>http://www.trilhacerta.com</v>
      </c>
      <c r="Y1683" s="77" t="s">
        <v>6081</v>
      </c>
      <c r="Z1683" s="77"/>
      <c r="AA1683" s="77" t="s">
        <v>7154</v>
      </c>
      <c r="AB1683" s="77" t="s">
        <v>7697</v>
      </c>
      <c r="AC1683" s="82" t="s">
        <v>7705</v>
      </c>
      <c r="AD1683" s="77" t="s">
        <v>7745</v>
      </c>
      <c r="AE1683" s="80" t="str">
        <f>HYPERLINK("https://twitter.com/santoscancio/status/1637040199145234432")</f>
        <v>https://twitter.com/santoscancio/status/1637040199145234432</v>
      </c>
      <c r="AF1683" s="79">
        <v>45003.441805555558</v>
      </c>
      <c r="AG1683" s="85">
        <v>45003</v>
      </c>
      <c r="AH1683" s="82" t="s">
        <v>9245</v>
      </c>
      <c r="AI1683" s="77" t="b">
        <v>0</v>
      </c>
      <c r="AJ1683" s="77"/>
      <c r="AK1683" s="77"/>
      <c r="AL1683" s="77"/>
      <c r="AM1683" s="77"/>
      <c r="AN1683" s="77"/>
      <c r="AO1683" s="77"/>
      <c r="AP1683" s="77"/>
      <c r="AQ1683" s="77" t="s">
        <v>11661</v>
      </c>
      <c r="AR1683" s="77">
        <v>9141</v>
      </c>
      <c r="AS1683" s="77"/>
      <c r="AT1683" s="77"/>
      <c r="AU1683" s="77">
        <v>9</v>
      </c>
      <c r="AV1683" s="80" t="str">
        <f>HYPERLINK("https://pbs.twimg.com/ext_tw_video_thumb/1637040153632858113/pu/img/9hZ5zSb-yBOb8BIk.jpg")</f>
        <v>https://pbs.twimg.com/ext_tw_video_thumb/1637040153632858113/pu/img/9hZ5zSb-yBOb8BIk.jpg</v>
      </c>
      <c r="AW1683" s="82" t="s">
        <v>13849</v>
      </c>
      <c r="AX1683" s="82" t="s">
        <v>13849</v>
      </c>
      <c r="AY1683" s="77"/>
      <c r="AZ1683" s="82" t="s">
        <v>15804</v>
      </c>
      <c r="BA1683" s="82" t="s">
        <v>15804</v>
      </c>
      <c r="BB1683" s="82" t="s">
        <v>15804</v>
      </c>
      <c r="BC1683" s="82" t="s">
        <v>13849</v>
      </c>
      <c r="BD1683" s="82" t="s">
        <v>16430</v>
      </c>
      <c r="BE1683" s="77"/>
      <c r="BF1683" s="77"/>
      <c r="BG1683" s="77"/>
      <c r="BH1683" s="77"/>
      <c r="BI1683" s="77"/>
    </row>
    <row r="1684" spans="1:61" x14ac:dyDescent="0.25">
      <c r="A1684" s="62" t="s">
        <v>752</v>
      </c>
      <c r="B1684" s="62" t="s">
        <v>752</v>
      </c>
      <c r="C1684" s="63"/>
      <c r="D1684" s="64"/>
      <c r="E1684" s="65"/>
      <c r="F1684" s="66"/>
      <c r="G1684" s="63"/>
      <c r="H1684" s="67"/>
      <c r="I1684" s="68"/>
      <c r="J1684" s="68"/>
      <c r="K1684" s="32"/>
      <c r="L1684" s="75">
        <v>1684</v>
      </c>
      <c r="M1684" s="75"/>
      <c r="N1684" s="70"/>
      <c r="O1684" s="77" t="s">
        <v>1133</v>
      </c>
      <c r="P1684" s="79">
        <v>45038.001111111109</v>
      </c>
      <c r="Q1684" s="77" t="s">
        <v>2749</v>
      </c>
      <c r="R1684" s="77">
        <v>0</v>
      </c>
      <c r="S1684" s="77">
        <v>0</v>
      </c>
      <c r="T1684" s="77">
        <v>0</v>
      </c>
      <c r="U1684" s="77">
        <v>0</v>
      </c>
      <c r="V1684" s="77">
        <v>12</v>
      </c>
      <c r="W1684" s="82" t="s">
        <v>5220</v>
      </c>
      <c r="X1684" s="80" t="str">
        <f>HYPERLINK("https://www.instagram.com/p/CrUUhaFMPGj/?utm_source=ig_web_button_share_sheet")</f>
        <v>https://www.instagram.com/p/CrUUhaFMPGj/?utm_source=ig_web_button_share_sheet</v>
      </c>
      <c r="Y1684" s="77" t="s">
        <v>6000</v>
      </c>
      <c r="Z1684" s="77" t="s">
        <v>752</v>
      </c>
      <c r="AA1684" s="77"/>
      <c r="AB1684" s="77"/>
      <c r="AC1684" s="82" t="s">
        <v>7706</v>
      </c>
      <c r="AD1684" s="77" t="s">
        <v>7745</v>
      </c>
      <c r="AE1684" s="80" t="str">
        <f>HYPERLINK("https://twitter.com/bragaeconomics/status/1649564070759084033")</f>
        <v>https://twitter.com/bragaeconomics/status/1649564070759084033</v>
      </c>
      <c r="AF1684" s="79">
        <v>45038.001111111109</v>
      </c>
      <c r="AG1684" s="85">
        <v>45038</v>
      </c>
      <c r="AH1684" s="82" t="s">
        <v>9246</v>
      </c>
      <c r="AI1684" s="77" t="b">
        <v>0</v>
      </c>
      <c r="AJ1684" s="77"/>
      <c r="AK1684" s="77"/>
      <c r="AL1684" s="77"/>
      <c r="AM1684" s="77"/>
      <c r="AN1684" s="77"/>
      <c r="AO1684" s="77"/>
      <c r="AP1684" s="77"/>
      <c r="AQ1684" s="77"/>
      <c r="AR1684" s="77"/>
      <c r="AS1684" s="77"/>
      <c r="AT1684" s="77"/>
      <c r="AU1684" s="77"/>
      <c r="AV1684" s="80" t="str">
        <f>HYPERLINK("https://pbs.twimg.com/profile_images/1643308215424131097/i5FnHjz8_normal.jpg")</f>
        <v>https://pbs.twimg.com/profile_images/1643308215424131097/i5FnHjz8_normal.jpg</v>
      </c>
      <c r="AW1684" s="82" t="s">
        <v>13850</v>
      </c>
      <c r="AX1684" s="82" t="s">
        <v>13850</v>
      </c>
      <c r="AY1684" s="77"/>
      <c r="AZ1684" s="82" t="s">
        <v>15804</v>
      </c>
      <c r="BA1684" s="82" t="s">
        <v>15804</v>
      </c>
      <c r="BB1684" s="82" t="s">
        <v>15804</v>
      </c>
      <c r="BC1684" s="82" t="s">
        <v>13850</v>
      </c>
      <c r="BD1684" s="82" t="s">
        <v>16431</v>
      </c>
      <c r="BE1684" s="77"/>
      <c r="BF1684" s="77"/>
      <c r="BG1684" s="77"/>
      <c r="BH1684" s="77"/>
      <c r="BI1684" s="77"/>
    </row>
    <row r="1685" spans="1:61" x14ac:dyDescent="0.25">
      <c r="A1685" s="62" t="s">
        <v>752</v>
      </c>
      <c r="B1685" s="62" t="s">
        <v>752</v>
      </c>
      <c r="C1685" s="63"/>
      <c r="D1685" s="64"/>
      <c r="E1685" s="65"/>
      <c r="F1685" s="66"/>
      <c r="G1685" s="63"/>
      <c r="H1685" s="67"/>
      <c r="I1685" s="68"/>
      <c r="J1685" s="68"/>
      <c r="K1685" s="32"/>
      <c r="L1685" s="75">
        <v>1685</v>
      </c>
      <c r="M1685" s="75"/>
      <c r="N1685" s="70"/>
      <c r="O1685" s="77" t="s">
        <v>179</v>
      </c>
      <c r="P1685" s="79">
        <v>45020.86440972222</v>
      </c>
      <c r="Q1685" s="77" t="s">
        <v>2750</v>
      </c>
      <c r="R1685" s="77">
        <v>0</v>
      </c>
      <c r="S1685" s="77">
        <v>0</v>
      </c>
      <c r="T1685" s="77">
        <v>0</v>
      </c>
      <c r="U1685" s="77">
        <v>0</v>
      </c>
      <c r="V1685" s="77">
        <v>8</v>
      </c>
      <c r="W1685" s="82" t="s">
        <v>5221</v>
      </c>
      <c r="X1685" s="77"/>
      <c r="Y1685" s="77"/>
      <c r="Z1685" s="77"/>
      <c r="AA1685" s="77"/>
      <c r="AB1685" s="77"/>
      <c r="AC1685" s="82" t="s">
        <v>7706</v>
      </c>
      <c r="AD1685" s="77" t="s">
        <v>7745</v>
      </c>
      <c r="AE1685" s="80" t="str">
        <f>HYPERLINK("https://twitter.com/bragaeconomics/status/1643353936500252673")</f>
        <v>https://twitter.com/bragaeconomics/status/1643353936500252673</v>
      </c>
      <c r="AF1685" s="79">
        <v>45020.86440972222</v>
      </c>
      <c r="AG1685" s="85">
        <v>45020</v>
      </c>
      <c r="AH1685" s="82" t="s">
        <v>9247</v>
      </c>
      <c r="AI1685" s="77"/>
      <c r="AJ1685" s="77"/>
      <c r="AK1685" s="77"/>
      <c r="AL1685" s="77"/>
      <c r="AM1685" s="77"/>
      <c r="AN1685" s="77"/>
      <c r="AO1685" s="77"/>
      <c r="AP1685" s="77"/>
      <c r="AQ1685" s="77"/>
      <c r="AR1685" s="77"/>
      <c r="AS1685" s="77"/>
      <c r="AT1685" s="77"/>
      <c r="AU1685" s="77"/>
      <c r="AV1685" s="80" t="str">
        <f>HYPERLINK("https://pbs.twimg.com/profile_images/1643308215424131097/i5FnHjz8_normal.jpg")</f>
        <v>https://pbs.twimg.com/profile_images/1643308215424131097/i5FnHjz8_normal.jpg</v>
      </c>
      <c r="AW1685" s="82" t="s">
        <v>13851</v>
      </c>
      <c r="AX1685" s="82" t="s">
        <v>13851</v>
      </c>
      <c r="AY1685" s="77"/>
      <c r="AZ1685" s="82" t="s">
        <v>15804</v>
      </c>
      <c r="BA1685" s="82" t="s">
        <v>15804</v>
      </c>
      <c r="BB1685" s="82" t="s">
        <v>15804</v>
      </c>
      <c r="BC1685" s="82" t="s">
        <v>13851</v>
      </c>
      <c r="BD1685" s="82" t="s">
        <v>16431</v>
      </c>
      <c r="BE1685" s="77"/>
      <c r="BF1685" s="77"/>
      <c r="BG1685" s="77"/>
      <c r="BH1685" s="77"/>
      <c r="BI1685" s="77"/>
    </row>
    <row r="1686" spans="1:61" x14ac:dyDescent="0.25">
      <c r="A1686" s="62" t="s">
        <v>752</v>
      </c>
      <c r="B1686" s="62" t="s">
        <v>752</v>
      </c>
      <c r="C1686" s="63"/>
      <c r="D1686" s="64"/>
      <c r="E1686" s="65"/>
      <c r="F1686" s="66"/>
      <c r="G1686" s="63"/>
      <c r="H1686" s="67"/>
      <c r="I1686" s="68"/>
      <c r="J1686" s="68"/>
      <c r="K1686" s="32"/>
      <c r="L1686" s="75">
        <v>1686</v>
      </c>
      <c r="M1686" s="75"/>
      <c r="N1686" s="70"/>
      <c r="O1686" s="77" t="s">
        <v>1133</v>
      </c>
      <c r="P1686" s="79">
        <v>45020.751064814816</v>
      </c>
      <c r="Q1686" s="77" t="s">
        <v>2751</v>
      </c>
      <c r="R1686" s="77">
        <v>0</v>
      </c>
      <c r="S1686" s="77">
        <v>0</v>
      </c>
      <c r="T1686" s="77">
        <v>0</v>
      </c>
      <c r="U1686" s="77">
        <v>0</v>
      </c>
      <c r="V1686" s="77">
        <v>8</v>
      </c>
      <c r="W1686" s="82" t="s">
        <v>5222</v>
      </c>
      <c r="X1686" s="77"/>
      <c r="Y1686" s="77"/>
      <c r="Z1686" s="77" t="s">
        <v>752</v>
      </c>
      <c r="AA1686" s="77" t="s">
        <v>7155</v>
      </c>
      <c r="AB1686" s="77" t="s">
        <v>7696</v>
      </c>
      <c r="AC1686" s="82" t="s">
        <v>7706</v>
      </c>
      <c r="AD1686" s="77" t="s">
        <v>7745</v>
      </c>
      <c r="AE1686" s="80" t="str">
        <f>HYPERLINK("https://twitter.com/bragaeconomics/status/1643312862092247041")</f>
        <v>https://twitter.com/bragaeconomics/status/1643312862092247041</v>
      </c>
      <c r="AF1686" s="79">
        <v>45020.751064814816</v>
      </c>
      <c r="AG1686" s="85">
        <v>45020</v>
      </c>
      <c r="AH1686" s="82" t="s">
        <v>9248</v>
      </c>
      <c r="AI1686" s="77" t="b">
        <v>0</v>
      </c>
      <c r="AJ1686" s="77"/>
      <c r="AK1686" s="77"/>
      <c r="AL1686" s="77"/>
      <c r="AM1686" s="77"/>
      <c r="AN1686" s="77"/>
      <c r="AO1686" s="77"/>
      <c r="AP1686" s="77"/>
      <c r="AQ1686" s="77" t="s">
        <v>11662</v>
      </c>
      <c r="AR1686" s="77"/>
      <c r="AS1686" s="77"/>
      <c r="AT1686" s="77"/>
      <c r="AU1686" s="77"/>
      <c r="AV1686" s="80" t="str">
        <f>HYPERLINK("https://pbs.twimg.com/media/Fs44P-lWAAIwIaE.jpg")</f>
        <v>https://pbs.twimg.com/media/Fs44P-lWAAIwIaE.jpg</v>
      </c>
      <c r="AW1686" s="82" t="s">
        <v>13852</v>
      </c>
      <c r="AX1686" s="82" t="s">
        <v>13852</v>
      </c>
      <c r="AY1686" s="77"/>
      <c r="AZ1686" s="82" t="s">
        <v>15804</v>
      </c>
      <c r="BA1686" s="82" t="s">
        <v>15804</v>
      </c>
      <c r="BB1686" s="82" t="s">
        <v>15804</v>
      </c>
      <c r="BC1686" s="82" t="s">
        <v>13852</v>
      </c>
      <c r="BD1686" s="82" t="s">
        <v>16431</v>
      </c>
      <c r="BE1686" s="77"/>
      <c r="BF1686" s="77"/>
      <c r="BG1686" s="77"/>
      <c r="BH1686" s="77"/>
      <c r="BI1686" s="77"/>
    </row>
    <row r="1687" spans="1:61" x14ac:dyDescent="0.25">
      <c r="A1687" s="62" t="s">
        <v>752</v>
      </c>
      <c r="B1687" s="62" t="s">
        <v>752</v>
      </c>
      <c r="C1687" s="63"/>
      <c r="D1687" s="64"/>
      <c r="E1687" s="65"/>
      <c r="F1687" s="66"/>
      <c r="G1687" s="63"/>
      <c r="H1687" s="67"/>
      <c r="I1687" s="68"/>
      <c r="J1687" s="68"/>
      <c r="K1687" s="32"/>
      <c r="L1687" s="75">
        <v>1687</v>
      </c>
      <c r="M1687" s="75"/>
      <c r="N1687" s="70"/>
      <c r="O1687" s="77" t="s">
        <v>1133</v>
      </c>
      <c r="P1687" s="79">
        <v>45065.05127314815</v>
      </c>
      <c r="Q1687" s="77" t="s">
        <v>2752</v>
      </c>
      <c r="R1687" s="77">
        <v>0</v>
      </c>
      <c r="S1687" s="77">
        <v>0</v>
      </c>
      <c r="T1687" s="77">
        <v>0</v>
      </c>
      <c r="U1687" s="77">
        <v>0</v>
      </c>
      <c r="V1687" s="77">
        <v>8</v>
      </c>
      <c r="W1687" s="82" t="s">
        <v>5223</v>
      </c>
      <c r="X1687" s="80" t="str">
        <f>HYPERLINK("https://www.instagram.com/p/CsZ99lfMrq3/?utm_source=ig_web_button_share_sheet&amp;igshid=MTVlNTYxMjY2ZQ==")</f>
        <v>https://www.instagram.com/p/CsZ99lfMrq3/?utm_source=ig_web_button_share_sheet&amp;igshid=MTVlNTYxMjY2ZQ==</v>
      </c>
      <c r="Y1687" s="77" t="s">
        <v>6000</v>
      </c>
      <c r="Z1687" s="77" t="s">
        <v>752</v>
      </c>
      <c r="AA1687" s="77"/>
      <c r="AB1687" s="77"/>
      <c r="AC1687" s="82" t="s">
        <v>7706</v>
      </c>
      <c r="AD1687" s="77" t="s">
        <v>7745</v>
      </c>
      <c r="AE1687" s="80" t="str">
        <f>HYPERLINK("https://twitter.com/bragaeconomics/status/1659366720425828354")</f>
        <v>https://twitter.com/bragaeconomics/status/1659366720425828354</v>
      </c>
      <c r="AF1687" s="79">
        <v>45065.05127314815</v>
      </c>
      <c r="AG1687" s="85">
        <v>45065</v>
      </c>
      <c r="AH1687" s="82" t="s">
        <v>9249</v>
      </c>
      <c r="AI1687" s="77" t="b">
        <v>0</v>
      </c>
      <c r="AJ1687" s="77"/>
      <c r="AK1687" s="77"/>
      <c r="AL1687" s="77"/>
      <c r="AM1687" s="77"/>
      <c r="AN1687" s="77"/>
      <c r="AO1687" s="77"/>
      <c r="AP1687" s="77"/>
      <c r="AQ1687" s="77"/>
      <c r="AR1687" s="77"/>
      <c r="AS1687" s="77"/>
      <c r="AT1687" s="77"/>
      <c r="AU1687" s="77"/>
      <c r="AV1687" s="80" t="str">
        <f>HYPERLINK("https://pbs.twimg.com/profile_images/1643308215424131097/i5FnHjz8_normal.jpg")</f>
        <v>https://pbs.twimg.com/profile_images/1643308215424131097/i5FnHjz8_normal.jpg</v>
      </c>
      <c r="AW1687" s="82" t="s">
        <v>13853</v>
      </c>
      <c r="AX1687" s="82" t="s">
        <v>13853</v>
      </c>
      <c r="AY1687" s="77"/>
      <c r="AZ1687" s="82" t="s">
        <v>15804</v>
      </c>
      <c r="BA1687" s="82" t="s">
        <v>15804</v>
      </c>
      <c r="BB1687" s="82" t="s">
        <v>15804</v>
      </c>
      <c r="BC1687" s="82" t="s">
        <v>13853</v>
      </c>
      <c r="BD1687" s="82" t="s">
        <v>16431</v>
      </c>
      <c r="BE1687" s="77"/>
      <c r="BF1687" s="77"/>
      <c r="BG1687" s="77"/>
      <c r="BH1687" s="77"/>
      <c r="BI1687" s="77"/>
    </row>
    <row r="1688" spans="1:61" x14ac:dyDescent="0.25">
      <c r="A1688" s="62" t="s">
        <v>752</v>
      </c>
      <c r="B1688" s="62" t="s">
        <v>752</v>
      </c>
      <c r="C1688" s="63"/>
      <c r="D1688" s="64"/>
      <c r="E1688" s="65"/>
      <c r="F1688" s="66"/>
      <c r="G1688" s="63"/>
      <c r="H1688" s="67"/>
      <c r="I1688" s="68"/>
      <c r="J1688" s="68"/>
      <c r="K1688" s="32"/>
      <c r="L1688" s="75">
        <v>1688</v>
      </c>
      <c r="M1688" s="75"/>
      <c r="N1688" s="70"/>
      <c r="O1688" s="77" t="s">
        <v>1133</v>
      </c>
      <c r="P1688" s="79">
        <v>45022.888715277775</v>
      </c>
      <c r="Q1688" s="77" t="s">
        <v>2753</v>
      </c>
      <c r="R1688" s="77">
        <v>0</v>
      </c>
      <c r="S1688" s="77">
        <v>0</v>
      </c>
      <c r="T1688" s="77">
        <v>0</v>
      </c>
      <c r="U1688" s="77">
        <v>0</v>
      </c>
      <c r="V1688" s="77">
        <v>5</v>
      </c>
      <c r="W1688" s="82" t="s">
        <v>5220</v>
      </c>
      <c r="X1688" s="80" t="str">
        <f>HYPERLINK("https://www.instagram.com/p/CqtaGfSpgQ6/?utm_source=ig_web_button_share_sheet")</f>
        <v>https://www.instagram.com/p/CqtaGfSpgQ6/?utm_source=ig_web_button_share_sheet</v>
      </c>
      <c r="Y1688" s="77" t="s">
        <v>6000</v>
      </c>
      <c r="Z1688" s="77" t="s">
        <v>752</v>
      </c>
      <c r="AA1688" s="77" t="s">
        <v>7156</v>
      </c>
      <c r="AB1688" s="77" t="s">
        <v>7696</v>
      </c>
      <c r="AC1688" s="82" t="s">
        <v>7706</v>
      </c>
      <c r="AD1688" s="77" t="s">
        <v>7745</v>
      </c>
      <c r="AE1688" s="80" t="str">
        <f>HYPERLINK("https://twitter.com/bragaeconomics/status/1644087522128003074")</f>
        <v>https://twitter.com/bragaeconomics/status/1644087522128003074</v>
      </c>
      <c r="AF1688" s="79">
        <v>45022.888715277775</v>
      </c>
      <c r="AG1688" s="85">
        <v>45022</v>
      </c>
      <c r="AH1688" s="82" t="s">
        <v>9250</v>
      </c>
      <c r="AI1688" s="77" t="b">
        <v>0</v>
      </c>
      <c r="AJ1688" s="77"/>
      <c r="AK1688" s="77"/>
      <c r="AL1688" s="77"/>
      <c r="AM1688" s="77"/>
      <c r="AN1688" s="77"/>
      <c r="AO1688" s="77"/>
      <c r="AP1688" s="77"/>
      <c r="AQ1688" s="77" t="s">
        <v>11663</v>
      </c>
      <c r="AR1688" s="77"/>
      <c r="AS1688" s="77"/>
      <c r="AT1688" s="77"/>
      <c r="AU1688" s="77"/>
      <c r="AV1688" s="80" t="str">
        <f>HYPERLINK("https://pbs.twimg.com/media/FtD44CbWIAU2IX6.jpg")</f>
        <v>https://pbs.twimg.com/media/FtD44CbWIAU2IX6.jpg</v>
      </c>
      <c r="AW1688" s="82" t="s">
        <v>13854</v>
      </c>
      <c r="AX1688" s="82" t="s">
        <v>13854</v>
      </c>
      <c r="AY1688" s="77"/>
      <c r="AZ1688" s="82" t="s">
        <v>15804</v>
      </c>
      <c r="BA1688" s="82" t="s">
        <v>15804</v>
      </c>
      <c r="BB1688" s="82" t="s">
        <v>15804</v>
      </c>
      <c r="BC1688" s="82" t="s">
        <v>13854</v>
      </c>
      <c r="BD1688" s="82" t="s">
        <v>16431</v>
      </c>
      <c r="BE1688" s="77"/>
      <c r="BF1688" s="77"/>
      <c r="BG1688" s="77"/>
      <c r="BH1688" s="77"/>
      <c r="BI1688" s="77"/>
    </row>
    <row r="1689" spans="1:61" x14ac:dyDescent="0.25">
      <c r="A1689" s="62" t="s">
        <v>752</v>
      </c>
      <c r="B1689" s="62" t="s">
        <v>752</v>
      </c>
      <c r="C1689" s="63"/>
      <c r="D1689" s="64"/>
      <c r="E1689" s="65"/>
      <c r="F1689" s="66"/>
      <c r="G1689" s="63"/>
      <c r="H1689" s="67"/>
      <c r="I1689" s="68"/>
      <c r="J1689" s="68"/>
      <c r="K1689" s="32"/>
      <c r="L1689" s="75">
        <v>1689</v>
      </c>
      <c r="M1689" s="75"/>
      <c r="N1689" s="70"/>
      <c r="O1689" s="77" t="s">
        <v>1133</v>
      </c>
      <c r="P1689" s="79">
        <v>45021.908055555556</v>
      </c>
      <c r="Q1689" s="77" t="s">
        <v>2754</v>
      </c>
      <c r="R1689" s="77">
        <v>0</v>
      </c>
      <c r="S1689" s="77">
        <v>0</v>
      </c>
      <c r="T1689" s="77">
        <v>0</v>
      </c>
      <c r="U1689" s="77">
        <v>0</v>
      </c>
      <c r="V1689" s="77">
        <v>7</v>
      </c>
      <c r="W1689" s="82" t="s">
        <v>5220</v>
      </c>
      <c r="X1689" s="80" t="str">
        <f>HYPERLINK("https://www.instagram.com/p/Cqq4ZsvJIoQ/?utm_source=ig_web_button_share_sheet")</f>
        <v>https://www.instagram.com/p/Cqq4ZsvJIoQ/?utm_source=ig_web_button_share_sheet</v>
      </c>
      <c r="Y1689" s="77" t="s">
        <v>6000</v>
      </c>
      <c r="Z1689" s="77" t="s">
        <v>752</v>
      </c>
      <c r="AA1689" s="77" t="s">
        <v>7157</v>
      </c>
      <c r="AB1689" s="77" t="s">
        <v>7696</v>
      </c>
      <c r="AC1689" s="82" t="s">
        <v>7706</v>
      </c>
      <c r="AD1689" s="77" t="s">
        <v>7745</v>
      </c>
      <c r="AE1689" s="80" t="str">
        <f>HYPERLINK("https://twitter.com/bragaeconomics/status/1643732143967698944")</f>
        <v>https://twitter.com/bragaeconomics/status/1643732143967698944</v>
      </c>
      <c r="AF1689" s="79">
        <v>45021.908055555556</v>
      </c>
      <c r="AG1689" s="85">
        <v>45021</v>
      </c>
      <c r="AH1689" s="82" t="s">
        <v>9251</v>
      </c>
      <c r="AI1689" s="77" t="b">
        <v>0</v>
      </c>
      <c r="AJ1689" s="77"/>
      <c r="AK1689" s="77"/>
      <c r="AL1689" s="77"/>
      <c r="AM1689" s="77"/>
      <c r="AN1689" s="77"/>
      <c r="AO1689" s="77"/>
      <c r="AP1689" s="77"/>
      <c r="AQ1689" s="77" t="s">
        <v>11664</v>
      </c>
      <c r="AR1689" s="77"/>
      <c r="AS1689" s="77"/>
      <c r="AT1689" s="77"/>
      <c r="AU1689" s="77"/>
      <c r="AV1689" s="80" t="str">
        <f>HYPERLINK("https://pbs.twimg.com/media/Fs-1o6eXoAA4INi.jpg")</f>
        <v>https://pbs.twimg.com/media/Fs-1o6eXoAA4INi.jpg</v>
      </c>
      <c r="AW1689" s="82" t="s">
        <v>13855</v>
      </c>
      <c r="AX1689" s="82" t="s">
        <v>13855</v>
      </c>
      <c r="AY1689" s="77"/>
      <c r="AZ1689" s="82" t="s">
        <v>15804</v>
      </c>
      <c r="BA1689" s="82" t="s">
        <v>15804</v>
      </c>
      <c r="BB1689" s="82" t="s">
        <v>15804</v>
      </c>
      <c r="BC1689" s="82" t="s">
        <v>13855</v>
      </c>
      <c r="BD1689" s="82" t="s">
        <v>16431</v>
      </c>
      <c r="BE1689" s="77"/>
      <c r="BF1689" s="77"/>
      <c r="BG1689" s="77"/>
      <c r="BH1689" s="77"/>
      <c r="BI1689" s="77"/>
    </row>
    <row r="1690" spans="1:61" x14ac:dyDescent="0.25">
      <c r="A1690" s="62" t="s">
        <v>753</v>
      </c>
      <c r="B1690" s="62" t="s">
        <v>753</v>
      </c>
      <c r="C1690" s="63"/>
      <c r="D1690" s="64"/>
      <c r="E1690" s="65"/>
      <c r="F1690" s="66"/>
      <c r="G1690" s="63"/>
      <c r="H1690" s="67"/>
      <c r="I1690" s="68"/>
      <c r="J1690" s="68"/>
      <c r="K1690" s="32"/>
      <c r="L1690" s="75">
        <v>1690</v>
      </c>
      <c r="M1690" s="75"/>
      <c r="N1690" s="70"/>
      <c r="O1690" s="77" t="s">
        <v>179</v>
      </c>
      <c r="P1690" s="79">
        <v>45070.213356481479</v>
      </c>
      <c r="Q1690" s="77" t="s">
        <v>2755</v>
      </c>
      <c r="R1690" s="77">
        <v>0</v>
      </c>
      <c r="S1690" s="77">
        <v>0</v>
      </c>
      <c r="T1690" s="77">
        <v>1</v>
      </c>
      <c r="U1690" s="77">
        <v>0</v>
      </c>
      <c r="V1690" s="77">
        <v>24</v>
      </c>
      <c r="W1690" s="82" t="s">
        <v>5224</v>
      </c>
      <c r="X1690" s="77"/>
      <c r="Y1690" s="77"/>
      <c r="Z1690" s="77"/>
      <c r="AA1690" s="77"/>
      <c r="AB1690" s="77"/>
      <c r="AC1690" s="82" t="s">
        <v>7706</v>
      </c>
      <c r="AD1690" s="77" t="s">
        <v>7745</v>
      </c>
      <c r="AE1690" s="80" t="str">
        <f>HYPERLINK("https://twitter.com/lipe100dedos/status/1661237397252902913")</f>
        <v>https://twitter.com/lipe100dedos/status/1661237397252902913</v>
      </c>
      <c r="AF1690" s="79">
        <v>45070.213356481479</v>
      </c>
      <c r="AG1690" s="85">
        <v>45070</v>
      </c>
      <c r="AH1690" s="82" t="s">
        <v>9252</v>
      </c>
      <c r="AI1690" s="77"/>
      <c r="AJ1690" s="77"/>
      <c r="AK1690" s="77"/>
      <c r="AL1690" s="77"/>
      <c r="AM1690" s="77"/>
      <c r="AN1690" s="77"/>
      <c r="AO1690" s="77"/>
      <c r="AP1690" s="77"/>
      <c r="AQ1690" s="77"/>
      <c r="AR1690" s="77"/>
      <c r="AS1690" s="77"/>
      <c r="AT1690" s="77"/>
      <c r="AU1690" s="77"/>
      <c r="AV1690" s="80" t="str">
        <f>HYPERLINK("https://pbs.twimg.com/profile_images/1606148736283021312/i6NMdhHe_normal.jpg")</f>
        <v>https://pbs.twimg.com/profile_images/1606148736283021312/i6NMdhHe_normal.jpg</v>
      </c>
      <c r="AW1690" s="82" t="s">
        <v>13856</v>
      </c>
      <c r="AX1690" s="82" t="s">
        <v>13856</v>
      </c>
      <c r="AY1690" s="77"/>
      <c r="AZ1690" s="82" t="s">
        <v>15804</v>
      </c>
      <c r="BA1690" s="82" t="s">
        <v>15804</v>
      </c>
      <c r="BB1690" s="82" t="s">
        <v>15804</v>
      </c>
      <c r="BC1690" s="82" t="s">
        <v>13856</v>
      </c>
      <c r="BD1690" s="82" t="s">
        <v>16432</v>
      </c>
      <c r="BE1690" s="77"/>
      <c r="BF1690" s="77"/>
      <c r="BG1690" s="77"/>
      <c r="BH1690" s="77"/>
      <c r="BI1690" s="77"/>
    </row>
    <row r="1691" spans="1:61" x14ac:dyDescent="0.25">
      <c r="A1691" s="62" t="s">
        <v>754</v>
      </c>
      <c r="B1691" s="62" t="s">
        <v>754</v>
      </c>
      <c r="C1691" s="63"/>
      <c r="D1691" s="64"/>
      <c r="E1691" s="65"/>
      <c r="F1691" s="66"/>
      <c r="G1691" s="63"/>
      <c r="H1691" s="67"/>
      <c r="I1691" s="68"/>
      <c r="J1691" s="68"/>
      <c r="K1691" s="32"/>
      <c r="L1691" s="75">
        <v>1691</v>
      </c>
      <c r="M1691" s="75"/>
      <c r="N1691" s="70"/>
      <c r="O1691" s="77" t="s">
        <v>179</v>
      </c>
      <c r="P1691" s="79">
        <v>44942.089131944442</v>
      </c>
      <c r="Q1691" s="77" t="s">
        <v>2756</v>
      </c>
      <c r="R1691" s="77">
        <v>0</v>
      </c>
      <c r="S1691" s="77">
        <v>4</v>
      </c>
      <c r="T1691" s="77">
        <v>2</v>
      </c>
      <c r="U1691" s="77">
        <v>0</v>
      </c>
      <c r="V1691" s="77">
        <v>315</v>
      </c>
      <c r="W1691" s="82" t="s">
        <v>4080</v>
      </c>
      <c r="X1691" s="77"/>
      <c r="Y1691" s="77"/>
      <c r="Z1691" s="77"/>
      <c r="AA1691" s="77"/>
      <c r="AB1691" s="77"/>
      <c r="AC1691" s="82" t="s">
        <v>7705</v>
      </c>
      <c r="AD1691" s="77" t="s">
        <v>7745</v>
      </c>
      <c r="AE1691" s="80" t="str">
        <f>HYPERLINK("https://twitter.com/03oativ/status/1614806734760968193")</f>
        <v>https://twitter.com/03oativ/status/1614806734760968193</v>
      </c>
      <c r="AF1691" s="79">
        <v>44942.089131944442</v>
      </c>
      <c r="AG1691" s="85">
        <v>44942</v>
      </c>
      <c r="AH1691" s="82" t="s">
        <v>9253</v>
      </c>
      <c r="AI1691" s="77"/>
      <c r="AJ1691" s="77"/>
      <c r="AK1691" s="77"/>
      <c r="AL1691" s="77"/>
      <c r="AM1691" s="77"/>
      <c r="AN1691" s="77"/>
      <c r="AO1691" s="77"/>
      <c r="AP1691" s="77"/>
      <c r="AQ1691" s="77"/>
      <c r="AR1691" s="77"/>
      <c r="AS1691" s="77"/>
      <c r="AT1691" s="77"/>
      <c r="AU1691" s="77"/>
      <c r="AV1691" s="80" t="str">
        <f>HYPERLINK("https://pbs.twimg.com/profile_images/1581326166509625344/yjhUC37z_normal.jpg")</f>
        <v>https://pbs.twimg.com/profile_images/1581326166509625344/yjhUC37z_normal.jpg</v>
      </c>
      <c r="AW1691" s="82" t="s">
        <v>13857</v>
      </c>
      <c r="AX1691" s="82" t="s">
        <v>13857</v>
      </c>
      <c r="AY1691" s="77"/>
      <c r="AZ1691" s="82" t="s">
        <v>15804</v>
      </c>
      <c r="BA1691" s="82" t="s">
        <v>15804</v>
      </c>
      <c r="BB1691" s="82" t="s">
        <v>15804</v>
      </c>
      <c r="BC1691" s="82" t="s">
        <v>13857</v>
      </c>
      <c r="BD1691" s="82" t="s">
        <v>16433</v>
      </c>
      <c r="BE1691" s="77"/>
      <c r="BF1691" s="77"/>
      <c r="BG1691" s="77"/>
      <c r="BH1691" s="77"/>
      <c r="BI1691" s="77"/>
    </row>
    <row r="1692" spans="1:61" x14ac:dyDescent="0.25">
      <c r="A1692" s="62" t="s">
        <v>755</v>
      </c>
      <c r="B1692" s="62" t="s">
        <v>755</v>
      </c>
      <c r="C1692" s="63"/>
      <c r="D1692" s="64"/>
      <c r="E1692" s="65"/>
      <c r="F1692" s="66"/>
      <c r="G1692" s="63"/>
      <c r="H1692" s="67"/>
      <c r="I1692" s="68"/>
      <c r="J1692" s="68"/>
      <c r="K1692" s="32"/>
      <c r="L1692" s="75">
        <v>1692</v>
      </c>
      <c r="M1692" s="75"/>
      <c r="N1692" s="70"/>
      <c r="O1692" s="77" t="s">
        <v>179</v>
      </c>
      <c r="P1692" s="79">
        <v>45124.131666666668</v>
      </c>
      <c r="Q1692" s="77" t="s">
        <v>2757</v>
      </c>
      <c r="R1692" s="77">
        <v>0</v>
      </c>
      <c r="S1692" s="77">
        <v>0</v>
      </c>
      <c r="T1692" s="77">
        <v>0</v>
      </c>
      <c r="U1692" s="77">
        <v>0</v>
      </c>
      <c r="V1692" s="77">
        <v>20</v>
      </c>
      <c r="W1692" s="82" t="s">
        <v>4080</v>
      </c>
      <c r="X1692" s="77"/>
      <c r="Y1692" s="77"/>
      <c r="Z1692" s="77"/>
      <c r="AA1692" s="77"/>
      <c r="AB1692" s="77"/>
      <c r="AC1692" s="82" t="s">
        <v>7706</v>
      </c>
      <c r="AD1692" s="77" t="s">
        <v>7748</v>
      </c>
      <c r="AE1692" s="80" t="str">
        <f>HYPERLINK("https://twitter.com/natanfernandop1/status/1680776739729833984")</f>
        <v>https://twitter.com/natanfernandop1/status/1680776739729833984</v>
      </c>
      <c r="AF1692" s="79">
        <v>45124.131666666668</v>
      </c>
      <c r="AG1692" s="85">
        <v>45124</v>
      </c>
      <c r="AH1692" s="82" t="s">
        <v>9254</v>
      </c>
      <c r="AI1692" s="77"/>
      <c r="AJ1692" s="77"/>
      <c r="AK1692" s="77"/>
      <c r="AL1692" s="77"/>
      <c r="AM1692" s="77"/>
      <c r="AN1692" s="77"/>
      <c r="AO1692" s="77"/>
      <c r="AP1692" s="77"/>
      <c r="AQ1692" s="77"/>
      <c r="AR1692" s="77"/>
      <c r="AS1692" s="77"/>
      <c r="AT1692" s="77"/>
      <c r="AU1692" s="77"/>
      <c r="AV1692" s="80" t="str">
        <f>HYPERLINK("https://pbs.twimg.com/profile_images/1519870586440359936/eTHZuGqz_normal.jpg")</f>
        <v>https://pbs.twimg.com/profile_images/1519870586440359936/eTHZuGqz_normal.jpg</v>
      </c>
      <c r="AW1692" s="82" t="s">
        <v>13858</v>
      </c>
      <c r="AX1692" s="82" t="s">
        <v>13858</v>
      </c>
      <c r="AY1692" s="77"/>
      <c r="AZ1692" s="82" t="s">
        <v>15804</v>
      </c>
      <c r="BA1692" s="82" t="s">
        <v>15804</v>
      </c>
      <c r="BB1692" s="82" t="s">
        <v>15804</v>
      </c>
      <c r="BC1692" s="82" t="s">
        <v>13858</v>
      </c>
      <c r="BD1692" s="82" t="s">
        <v>16434</v>
      </c>
      <c r="BE1692" s="77"/>
      <c r="BF1692" s="77"/>
      <c r="BG1692" s="77"/>
      <c r="BH1692" s="77"/>
      <c r="BI1692" s="77"/>
    </row>
    <row r="1693" spans="1:61" x14ac:dyDescent="0.25">
      <c r="A1693" s="62" t="s">
        <v>755</v>
      </c>
      <c r="B1693" s="62" t="s">
        <v>755</v>
      </c>
      <c r="C1693" s="63"/>
      <c r="D1693" s="64"/>
      <c r="E1693" s="65"/>
      <c r="F1693" s="66"/>
      <c r="G1693" s="63"/>
      <c r="H1693" s="67"/>
      <c r="I1693" s="68"/>
      <c r="J1693" s="68"/>
      <c r="K1693" s="32"/>
      <c r="L1693" s="75">
        <v>1693</v>
      </c>
      <c r="M1693" s="75"/>
      <c r="N1693" s="70"/>
      <c r="O1693" s="77" t="s">
        <v>179</v>
      </c>
      <c r="P1693" s="79">
        <v>45128.958113425928</v>
      </c>
      <c r="Q1693" s="77" t="s">
        <v>2757</v>
      </c>
      <c r="R1693" s="77">
        <v>0</v>
      </c>
      <c r="S1693" s="77">
        <v>0</v>
      </c>
      <c r="T1693" s="77">
        <v>0</v>
      </c>
      <c r="U1693" s="77">
        <v>0</v>
      </c>
      <c r="V1693" s="77">
        <v>4</v>
      </c>
      <c r="W1693" s="82" t="s">
        <v>4080</v>
      </c>
      <c r="X1693" s="77"/>
      <c r="Y1693" s="77"/>
      <c r="Z1693" s="77"/>
      <c r="AA1693" s="77"/>
      <c r="AB1693" s="77"/>
      <c r="AC1693" s="82" t="s">
        <v>7706</v>
      </c>
      <c r="AD1693" s="77" t="s">
        <v>7748</v>
      </c>
      <c r="AE1693" s="80" t="str">
        <f>HYPERLINK("https://twitter.com/natanfernandop1/status/1682525785100263425")</f>
        <v>https://twitter.com/natanfernandop1/status/1682525785100263425</v>
      </c>
      <c r="AF1693" s="79">
        <v>45128.958113425928</v>
      </c>
      <c r="AG1693" s="85">
        <v>45128</v>
      </c>
      <c r="AH1693" s="82" t="s">
        <v>9255</v>
      </c>
      <c r="AI1693" s="77"/>
      <c r="AJ1693" s="77"/>
      <c r="AK1693" s="77"/>
      <c r="AL1693" s="77"/>
      <c r="AM1693" s="77"/>
      <c r="AN1693" s="77"/>
      <c r="AO1693" s="77"/>
      <c r="AP1693" s="77"/>
      <c r="AQ1693" s="77"/>
      <c r="AR1693" s="77"/>
      <c r="AS1693" s="77"/>
      <c r="AT1693" s="77"/>
      <c r="AU1693" s="77"/>
      <c r="AV1693" s="80" t="str">
        <f>HYPERLINK("https://pbs.twimg.com/profile_images/1519870586440359936/eTHZuGqz_normal.jpg")</f>
        <v>https://pbs.twimg.com/profile_images/1519870586440359936/eTHZuGqz_normal.jpg</v>
      </c>
      <c r="AW1693" s="82" t="s">
        <v>13859</v>
      </c>
      <c r="AX1693" s="82" t="s">
        <v>13859</v>
      </c>
      <c r="AY1693" s="77"/>
      <c r="AZ1693" s="82" t="s">
        <v>15804</v>
      </c>
      <c r="BA1693" s="82" t="s">
        <v>15804</v>
      </c>
      <c r="BB1693" s="82" t="s">
        <v>15804</v>
      </c>
      <c r="BC1693" s="82" t="s">
        <v>13859</v>
      </c>
      <c r="BD1693" s="82" t="s">
        <v>16434</v>
      </c>
      <c r="BE1693" s="77"/>
      <c r="BF1693" s="77"/>
      <c r="BG1693" s="77"/>
      <c r="BH1693" s="77"/>
      <c r="BI1693" s="77"/>
    </row>
    <row r="1694" spans="1:61" x14ac:dyDescent="0.25">
      <c r="A1694" s="62" t="s">
        <v>756</v>
      </c>
      <c r="B1694" s="62" t="s">
        <v>756</v>
      </c>
      <c r="C1694" s="63"/>
      <c r="D1694" s="64"/>
      <c r="E1694" s="65"/>
      <c r="F1694" s="66"/>
      <c r="G1694" s="63"/>
      <c r="H1694" s="67"/>
      <c r="I1694" s="68"/>
      <c r="J1694" s="68"/>
      <c r="K1694" s="32"/>
      <c r="L1694" s="75">
        <v>1694</v>
      </c>
      <c r="M1694" s="75"/>
      <c r="N1694" s="70"/>
      <c r="O1694" s="77" t="s">
        <v>179</v>
      </c>
      <c r="P1694" s="79">
        <v>45026.668483796297</v>
      </c>
      <c r="Q1694" s="77" t="s">
        <v>2758</v>
      </c>
      <c r="R1694" s="77">
        <v>1</v>
      </c>
      <c r="S1694" s="77">
        <v>3</v>
      </c>
      <c r="T1694" s="77">
        <v>0</v>
      </c>
      <c r="U1694" s="77">
        <v>0</v>
      </c>
      <c r="V1694" s="77">
        <v>388</v>
      </c>
      <c r="W1694" s="82" t="s">
        <v>5225</v>
      </c>
      <c r="X1694" s="77"/>
      <c r="Y1694" s="77"/>
      <c r="Z1694" s="77"/>
      <c r="AA1694" s="77" t="s">
        <v>7158</v>
      </c>
      <c r="AB1694" s="77" t="s">
        <v>7696</v>
      </c>
      <c r="AC1694" s="82" t="s">
        <v>7706</v>
      </c>
      <c r="AD1694" s="77" t="s">
        <v>7745</v>
      </c>
      <c r="AE1694" s="80" t="str">
        <f>HYPERLINK("https://twitter.com/invistamonett/status/1645457263262420993")</f>
        <v>https://twitter.com/invistamonett/status/1645457263262420993</v>
      </c>
      <c r="AF1694" s="79">
        <v>45026.668483796297</v>
      </c>
      <c r="AG1694" s="85">
        <v>45026</v>
      </c>
      <c r="AH1694" s="82" t="s">
        <v>9256</v>
      </c>
      <c r="AI1694" s="77" t="b">
        <v>0</v>
      </c>
      <c r="AJ1694" s="77"/>
      <c r="AK1694" s="77"/>
      <c r="AL1694" s="77"/>
      <c r="AM1694" s="77"/>
      <c r="AN1694" s="77"/>
      <c r="AO1694" s="77"/>
      <c r="AP1694" s="77"/>
      <c r="AQ1694" s="77" t="s">
        <v>11665</v>
      </c>
      <c r="AR1694" s="77"/>
      <c r="AS1694" s="77"/>
      <c r="AT1694" s="77"/>
      <c r="AU1694" s="77"/>
      <c r="AV1694" s="80" t="str">
        <f>HYPERLINK("https://pbs.twimg.com/media/FtXWpzBWwAgHWqp.jpg")</f>
        <v>https://pbs.twimg.com/media/FtXWpzBWwAgHWqp.jpg</v>
      </c>
      <c r="AW1694" s="82" t="s">
        <v>13860</v>
      </c>
      <c r="AX1694" s="82" t="s">
        <v>13860</v>
      </c>
      <c r="AY1694" s="77"/>
      <c r="AZ1694" s="82" t="s">
        <v>15804</v>
      </c>
      <c r="BA1694" s="82" t="s">
        <v>15804</v>
      </c>
      <c r="BB1694" s="82" t="s">
        <v>15804</v>
      </c>
      <c r="BC1694" s="82" t="s">
        <v>13860</v>
      </c>
      <c r="BD1694" s="82" t="s">
        <v>16435</v>
      </c>
      <c r="BE1694" s="77"/>
      <c r="BF1694" s="77"/>
      <c r="BG1694" s="77"/>
      <c r="BH1694" s="77"/>
      <c r="BI1694" s="77"/>
    </row>
    <row r="1695" spans="1:61" x14ac:dyDescent="0.25">
      <c r="A1695" s="62" t="s">
        <v>757</v>
      </c>
      <c r="B1695" s="62" t="s">
        <v>757</v>
      </c>
      <c r="C1695" s="63"/>
      <c r="D1695" s="64"/>
      <c r="E1695" s="65"/>
      <c r="F1695" s="66"/>
      <c r="G1695" s="63"/>
      <c r="H1695" s="67"/>
      <c r="I1695" s="68"/>
      <c r="J1695" s="68"/>
      <c r="K1695" s="32"/>
      <c r="L1695" s="75">
        <v>1695</v>
      </c>
      <c r="M1695" s="75"/>
      <c r="N1695" s="70"/>
      <c r="O1695" s="77" t="s">
        <v>179</v>
      </c>
      <c r="P1695" s="79">
        <v>45029.753796296296</v>
      </c>
      <c r="Q1695" s="77" t="s">
        <v>2759</v>
      </c>
      <c r="R1695" s="77">
        <v>0</v>
      </c>
      <c r="S1695" s="77">
        <v>0</v>
      </c>
      <c r="T1695" s="77">
        <v>0</v>
      </c>
      <c r="U1695" s="77">
        <v>0</v>
      </c>
      <c r="V1695" s="77">
        <v>8</v>
      </c>
      <c r="W1695" s="82" t="s">
        <v>5226</v>
      </c>
      <c r="X1695" s="80" t="str">
        <f>HYPERLINK("https://blogdohiellevy.com.br/especialista-explica-como-o-controle-do-dinheiro-pode-proporcionar-qualidade-de-vida/")</f>
        <v>https://blogdohiellevy.com.br/especialista-explica-como-o-controle-do-dinheiro-pode-proporcionar-qualidade-de-vida/</v>
      </c>
      <c r="Y1695" s="77" t="s">
        <v>6002</v>
      </c>
      <c r="Z1695" s="77"/>
      <c r="AA1695" s="77" t="s">
        <v>7159</v>
      </c>
      <c r="AB1695" s="77" t="s">
        <v>7696</v>
      </c>
      <c r="AC1695" s="82" t="s">
        <v>7706</v>
      </c>
      <c r="AD1695" s="77" t="s">
        <v>7745</v>
      </c>
      <c r="AE1695" s="80" t="str">
        <f>HYPERLINK("https://twitter.com/blogdohiel/status/1646575345791893520")</f>
        <v>https://twitter.com/blogdohiel/status/1646575345791893520</v>
      </c>
      <c r="AF1695" s="79">
        <v>45029.753796296296</v>
      </c>
      <c r="AG1695" s="85">
        <v>45029</v>
      </c>
      <c r="AH1695" s="82" t="s">
        <v>9257</v>
      </c>
      <c r="AI1695" s="77" t="b">
        <v>0</v>
      </c>
      <c r="AJ1695" s="77"/>
      <c r="AK1695" s="77"/>
      <c r="AL1695" s="77"/>
      <c r="AM1695" s="77"/>
      <c r="AN1695" s="77"/>
      <c r="AO1695" s="77"/>
      <c r="AP1695" s="77"/>
      <c r="AQ1695" s="77" t="s">
        <v>11666</v>
      </c>
      <c r="AR1695" s="77"/>
      <c r="AS1695" s="77"/>
      <c r="AT1695" s="77"/>
      <c r="AU1695" s="77"/>
      <c r="AV1695" s="80" t="str">
        <f>HYPERLINK("https://pbs.twimg.com/media/FtnPiW4XgAgHhbI.jpg")</f>
        <v>https://pbs.twimg.com/media/FtnPiW4XgAgHhbI.jpg</v>
      </c>
      <c r="AW1695" s="82" t="s">
        <v>13861</v>
      </c>
      <c r="AX1695" s="82" t="s">
        <v>13861</v>
      </c>
      <c r="AY1695" s="77"/>
      <c r="AZ1695" s="82" t="s">
        <v>15804</v>
      </c>
      <c r="BA1695" s="82" t="s">
        <v>15804</v>
      </c>
      <c r="BB1695" s="82" t="s">
        <v>15804</v>
      </c>
      <c r="BC1695" s="82" t="s">
        <v>13861</v>
      </c>
      <c r="BD1695" s="82" t="s">
        <v>16436</v>
      </c>
      <c r="BE1695" s="77"/>
      <c r="BF1695" s="77"/>
      <c r="BG1695" s="77"/>
      <c r="BH1695" s="77"/>
      <c r="BI1695" s="77"/>
    </row>
    <row r="1696" spans="1:61" x14ac:dyDescent="0.25">
      <c r="A1696" s="62" t="s">
        <v>757</v>
      </c>
      <c r="B1696" s="62" t="s">
        <v>757</v>
      </c>
      <c r="C1696" s="63"/>
      <c r="D1696" s="64"/>
      <c r="E1696" s="65"/>
      <c r="F1696" s="66"/>
      <c r="G1696" s="63"/>
      <c r="H1696" s="67"/>
      <c r="I1696" s="68"/>
      <c r="J1696" s="68"/>
      <c r="K1696" s="32"/>
      <c r="L1696" s="75">
        <v>1696</v>
      </c>
      <c r="M1696" s="75"/>
      <c r="N1696" s="70"/>
      <c r="O1696" s="77" t="s">
        <v>179</v>
      </c>
      <c r="P1696" s="79">
        <v>45084.85527777778</v>
      </c>
      <c r="Q1696" s="77" t="s">
        <v>2760</v>
      </c>
      <c r="R1696" s="77">
        <v>0</v>
      </c>
      <c r="S1696" s="77">
        <v>0</v>
      </c>
      <c r="T1696" s="77">
        <v>0</v>
      </c>
      <c r="U1696" s="77">
        <v>0</v>
      </c>
      <c r="V1696" s="77">
        <v>16</v>
      </c>
      <c r="W1696" s="82" t="s">
        <v>5227</v>
      </c>
      <c r="X1696" s="80" t="str">
        <f>HYPERLINK("https://blogdohiellevy.com.br/projeto-de-george-lins-aprovado-pela-aleam-implementa-educacao-financeira-nas-escolas-da-rede-estadual/")</f>
        <v>https://blogdohiellevy.com.br/projeto-de-george-lins-aprovado-pela-aleam-implementa-educacao-financeira-nas-escolas-da-rede-estadual/</v>
      </c>
      <c r="Y1696" s="77" t="s">
        <v>6002</v>
      </c>
      <c r="Z1696" s="77"/>
      <c r="AA1696" s="77" t="s">
        <v>7160</v>
      </c>
      <c r="AB1696" s="77" t="s">
        <v>7696</v>
      </c>
      <c r="AC1696" s="82" t="s">
        <v>7706</v>
      </c>
      <c r="AD1696" s="77" t="s">
        <v>7745</v>
      </c>
      <c r="AE1696" s="80" t="str">
        <f>HYPERLINK("https://twitter.com/blogdohiel/status/1666543451897249793")</f>
        <v>https://twitter.com/blogdohiel/status/1666543451897249793</v>
      </c>
      <c r="AF1696" s="79">
        <v>45084.85527777778</v>
      </c>
      <c r="AG1696" s="85">
        <v>45084</v>
      </c>
      <c r="AH1696" s="82" t="s">
        <v>9258</v>
      </c>
      <c r="AI1696" s="77" t="b">
        <v>0</v>
      </c>
      <c r="AJ1696" s="77"/>
      <c r="AK1696" s="77"/>
      <c r="AL1696" s="77"/>
      <c r="AM1696" s="77"/>
      <c r="AN1696" s="77"/>
      <c r="AO1696" s="77"/>
      <c r="AP1696" s="77"/>
      <c r="AQ1696" s="77" t="s">
        <v>11667</v>
      </c>
      <c r="AR1696" s="77"/>
      <c r="AS1696" s="77"/>
      <c r="AT1696" s="77"/>
      <c r="AU1696" s="77"/>
      <c r="AV1696" s="80" t="str">
        <f>HYPERLINK("https://pbs.twimg.com/media/FyDAbUTXoAc2fhN.jpg")</f>
        <v>https://pbs.twimg.com/media/FyDAbUTXoAc2fhN.jpg</v>
      </c>
      <c r="AW1696" s="82" t="s">
        <v>13862</v>
      </c>
      <c r="AX1696" s="82" t="s">
        <v>13862</v>
      </c>
      <c r="AY1696" s="77"/>
      <c r="AZ1696" s="82" t="s">
        <v>15804</v>
      </c>
      <c r="BA1696" s="82" t="s">
        <v>15804</v>
      </c>
      <c r="BB1696" s="82" t="s">
        <v>15804</v>
      </c>
      <c r="BC1696" s="82" t="s">
        <v>13862</v>
      </c>
      <c r="BD1696" s="82" t="s">
        <v>16436</v>
      </c>
      <c r="BE1696" s="77"/>
      <c r="BF1696" s="77"/>
      <c r="BG1696" s="77"/>
      <c r="BH1696" s="77"/>
      <c r="BI1696" s="77"/>
    </row>
    <row r="1697" spans="1:61" x14ac:dyDescent="0.25">
      <c r="A1697" s="62" t="s">
        <v>758</v>
      </c>
      <c r="B1697" s="62" t="s">
        <v>758</v>
      </c>
      <c r="C1697" s="63"/>
      <c r="D1697" s="64"/>
      <c r="E1697" s="65"/>
      <c r="F1697" s="66"/>
      <c r="G1697" s="63"/>
      <c r="H1697" s="67"/>
      <c r="I1697" s="68"/>
      <c r="J1697" s="68"/>
      <c r="K1697" s="32"/>
      <c r="L1697" s="75">
        <v>1697</v>
      </c>
      <c r="M1697" s="75"/>
      <c r="N1697" s="70"/>
      <c r="O1697" s="77" t="s">
        <v>179</v>
      </c>
      <c r="P1697" s="79">
        <v>45025.595671296294</v>
      </c>
      <c r="Q1697" s="77" t="s">
        <v>2761</v>
      </c>
      <c r="R1697" s="77">
        <v>0</v>
      </c>
      <c r="S1697" s="77">
        <v>0</v>
      </c>
      <c r="T1697" s="77">
        <v>0</v>
      </c>
      <c r="U1697" s="77">
        <v>0</v>
      </c>
      <c r="V1697" s="77">
        <v>12</v>
      </c>
      <c r="W1697" s="82" t="s">
        <v>4737</v>
      </c>
      <c r="X1697" s="80" t="str">
        <f>HYPERLINK("https://560f.short.gy/JYwfZy")</f>
        <v>https://560f.short.gy/JYwfZy</v>
      </c>
      <c r="Y1697" s="77" t="s">
        <v>6082</v>
      </c>
      <c r="Z1697" s="77"/>
      <c r="AA1697" s="77" t="s">
        <v>7161</v>
      </c>
      <c r="AB1697" s="77" t="s">
        <v>7696</v>
      </c>
      <c r="AC1697" s="82" t="s">
        <v>7706</v>
      </c>
      <c r="AD1697" s="77" t="s">
        <v>7745</v>
      </c>
      <c r="AE1697" s="80" t="str">
        <f>HYPERLINK("https://twitter.com/investedigitall/status/1645068488468316160")</f>
        <v>https://twitter.com/investedigitall/status/1645068488468316160</v>
      </c>
      <c r="AF1697" s="79">
        <v>45025.595671296294</v>
      </c>
      <c r="AG1697" s="85">
        <v>45025</v>
      </c>
      <c r="AH1697" s="82" t="s">
        <v>9259</v>
      </c>
      <c r="AI1697" s="77" t="b">
        <v>0</v>
      </c>
      <c r="AJ1697" s="77"/>
      <c r="AK1697" s="77"/>
      <c r="AL1697" s="77"/>
      <c r="AM1697" s="77"/>
      <c r="AN1697" s="77"/>
      <c r="AO1697" s="77"/>
      <c r="AP1697" s="77"/>
      <c r="AQ1697" s="77" t="s">
        <v>11668</v>
      </c>
      <c r="AR1697" s="77"/>
      <c r="AS1697" s="77"/>
      <c r="AT1697" s="77"/>
      <c r="AU1697" s="77"/>
      <c r="AV1697" s="80" t="str">
        <f>HYPERLINK("https://pbs.twimg.com/media/FtR1A36XsAAXmmJ.jpg")</f>
        <v>https://pbs.twimg.com/media/FtR1A36XsAAXmmJ.jpg</v>
      </c>
      <c r="AW1697" s="82" t="s">
        <v>13863</v>
      </c>
      <c r="AX1697" s="82" t="s">
        <v>13863</v>
      </c>
      <c r="AY1697" s="77"/>
      <c r="AZ1697" s="82" t="s">
        <v>15804</v>
      </c>
      <c r="BA1697" s="82" t="s">
        <v>15804</v>
      </c>
      <c r="BB1697" s="82" t="s">
        <v>15804</v>
      </c>
      <c r="BC1697" s="82" t="s">
        <v>13863</v>
      </c>
      <c r="BD1697" s="82" t="s">
        <v>16437</v>
      </c>
      <c r="BE1697" s="77"/>
      <c r="BF1697" s="77"/>
      <c r="BG1697" s="77"/>
      <c r="BH1697" s="77"/>
      <c r="BI1697" s="77"/>
    </row>
    <row r="1698" spans="1:61" x14ac:dyDescent="0.25">
      <c r="A1698" s="62" t="s">
        <v>758</v>
      </c>
      <c r="B1698" s="62" t="s">
        <v>758</v>
      </c>
      <c r="C1698" s="63"/>
      <c r="D1698" s="64"/>
      <c r="E1698" s="65"/>
      <c r="F1698" s="66"/>
      <c r="G1698" s="63"/>
      <c r="H1698" s="67"/>
      <c r="I1698" s="68"/>
      <c r="J1698" s="68"/>
      <c r="K1698" s="32"/>
      <c r="L1698" s="75">
        <v>1698</v>
      </c>
      <c r="M1698" s="75"/>
      <c r="N1698" s="70"/>
      <c r="O1698" s="77" t="s">
        <v>179</v>
      </c>
      <c r="P1698" s="79">
        <v>45019.926388888889</v>
      </c>
      <c r="Q1698" s="77" t="s">
        <v>2762</v>
      </c>
      <c r="R1698" s="77">
        <v>0</v>
      </c>
      <c r="S1698" s="77">
        <v>0</v>
      </c>
      <c r="T1698" s="77">
        <v>0</v>
      </c>
      <c r="U1698" s="77">
        <v>0</v>
      </c>
      <c r="V1698" s="77">
        <v>14</v>
      </c>
      <c r="W1698" s="82" t="s">
        <v>4105</v>
      </c>
      <c r="X1698" s="77"/>
      <c r="Y1698" s="77"/>
      <c r="Z1698" s="77"/>
      <c r="AA1698" s="77" t="s">
        <v>7162</v>
      </c>
      <c r="AB1698" s="77" t="s">
        <v>7696</v>
      </c>
      <c r="AC1698" s="82" t="s">
        <v>7706</v>
      </c>
      <c r="AD1698" s="77" t="s">
        <v>7745</v>
      </c>
      <c r="AE1698" s="80" t="str">
        <f>HYPERLINK("https://twitter.com/investedigitall/status/1643014009350938627")</f>
        <v>https://twitter.com/investedigitall/status/1643014009350938627</v>
      </c>
      <c r="AF1698" s="79">
        <v>45019.926388888889</v>
      </c>
      <c r="AG1698" s="85">
        <v>45019</v>
      </c>
      <c r="AH1698" s="82" t="s">
        <v>9260</v>
      </c>
      <c r="AI1698" s="77" t="b">
        <v>0</v>
      </c>
      <c r="AJ1698" s="77"/>
      <c r="AK1698" s="77"/>
      <c r="AL1698" s="77"/>
      <c r="AM1698" s="77"/>
      <c r="AN1698" s="77"/>
      <c r="AO1698" s="77"/>
      <c r="AP1698" s="77"/>
      <c r="AQ1698" s="77" t="s">
        <v>11669</v>
      </c>
      <c r="AR1698" s="77"/>
      <c r="AS1698" s="77"/>
      <c r="AT1698" s="77"/>
      <c r="AU1698" s="77"/>
      <c r="AV1698" s="80" t="str">
        <f>HYPERLINK("https://pbs.twimg.com/media/FsqVcqOXgAQjz35.jpg")</f>
        <v>https://pbs.twimg.com/media/FsqVcqOXgAQjz35.jpg</v>
      </c>
      <c r="AW1698" s="82" t="s">
        <v>13864</v>
      </c>
      <c r="AX1698" s="82" t="s">
        <v>13864</v>
      </c>
      <c r="AY1698" s="77"/>
      <c r="AZ1698" s="82" t="s">
        <v>15804</v>
      </c>
      <c r="BA1698" s="82" t="s">
        <v>15804</v>
      </c>
      <c r="BB1698" s="82" t="s">
        <v>15804</v>
      </c>
      <c r="BC1698" s="82" t="s">
        <v>13864</v>
      </c>
      <c r="BD1698" s="82" t="s">
        <v>16437</v>
      </c>
      <c r="BE1698" s="77"/>
      <c r="BF1698" s="77"/>
      <c r="BG1698" s="77"/>
      <c r="BH1698" s="77"/>
      <c r="BI1698" s="77"/>
    </row>
    <row r="1699" spans="1:61" x14ac:dyDescent="0.25">
      <c r="A1699" s="62" t="s">
        <v>758</v>
      </c>
      <c r="B1699" s="62" t="s">
        <v>758</v>
      </c>
      <c r="C1699" s="63"/>
      <c r="D1699" s="64"/>
      <c r="E1699" s="65"/>
      <c r="F1699" s="66"/>
      <c r="G1699" s="63"/>
      <c r="H1699" s="67"/>
      <c r="I1699" s="68"/>
      <c r="J1699" s="68"/>
      <c r="K1699" s="32"/>
      <c r="L1699" s="75">
        <v>1699</v>
      </c>
      <c r="M1699" s="75"/>
      <c r="N1699" s="70"/>
      <c r="O1699" s="77" t="s">
        <v>179</v>
      </c>
      <c r="P1699" s="79">
        <v>45008.49009259259</v>
      </c>
      <c r="Q1699" s="77" t="s">
        <v>2763</v>
      </c>
      <c r="R1699" s="77">
        <v>0</v>
      </c>
      <c r="S1699" s="77">
        <v>0</v>
      </c>
      <c r="T1699" s="77">
        <v>0</v>
      </c>
      <c r="U1699" s="77">
        <v>0</v>
      </c>
      <c r="V1699" s="77">
        <v>20</v>
      </c>
      <c r="W1699" s="82" t="s">
        <v>5228</v>
      </c>
      <c r="X1699" s="80" t="str">
        <f>HYPERLINK("https://investedigital.com.br/o-que-sao-bdrs-uma-explicacao-simples-e-pratica/")</f>
        <v>https://investedigital.com.br/o-que-sao-bdrs-uma-explicacao-simples-e-pratica/</v>
      </c>
      <c r="Y1699" s="77" t="s">
        <v>6002</v>
      </c>
      <c r="Z1699" s="77"/>
      <c r="AA1699" s="77" t="s">
        <v>7163</v>
      </c>
      <c r="AB1699" s="77" t="s">
        <v>7696</v>
      </c>
      <c r="AC1699" s="82" t="s">
        <v>7706</v>
      </c>
      <c r="AD1699" s="77" t="s">
        <v>7745</v>
      </c>
      <c r="AE1699" s="80" t="str">
        <f>HYPERLINK("https://twitter.com/investedigitall/status/1638869635150802945")</f>
        <v>https://twitter.com/investedigitall/status/1638869635150802945</v>
      </c>
      <c r="AF1699" s="79">
        <v>45008.49009259259</v>
      </c>
      <c r="AG1699" s="85">
        <v>45008</v>
      </c>
      <c r="AH1699" s="82" t="s">
        <v>9261</v>
      </c>
      <c r="AI1699" s="77" t="b">
        <v>0</v>
      </c>
      <c r="AJ1699" s="77"/>
      <c r="AK1699" s="77"/>
      <c r="AL1699" s="77"/>
      <c r="AM1699" s="77"/>
      <c r="AN1699" s="77"/>
      <c r="AO1699" s="77"/>
      <c r="AP1699" s="77"/>
      <c r="AQ1699" s="77" t="s">
        <v>11670</v>
      </c>
      <c r="AR1699" s="77"/>
      <c r="AS1699" s="77"/>
      <c r="AT1699" s="77"/>
      <c r="AU1699" s="77"/>
      <c r="AV1699" s="80" t="str">
        <f>HYPERLINK("https://pbs.twimg.com/media/Fr5vN5hX0AEgLEH.jpg")</f>
        <v>https://pbs.twimg.com/media/Fr5vN5hX0AEgLEH.jpg</v>
      </c>
      <c r="AW1699" s="82" t="s">
        <v>13865</v>
      </c>
      <c r="AX1699" s="82" t="s">
        <v>13865</v>
      </c>
      <c r="AY1699" s="77"/>
      <c r="AZ1699" s="82" t="s">
        <v>15804</v>
      </c>
      <c r="BA1699" s="82" t="s">
        <v>15804</v>
      </c>
      <c r="BB1699" s="82" t="s">
        <v>15804</v>
      </c>
      <c r="BC1699" s="82" t="s">
        <v>13865</v>
      </c>
      <c r="BD1699" s="82" t="s">
        <v>16437</v>
      </c>
      <c r="BE1699" s="77"/>
      <c r="BF1699" s="77"/>
      <c r="BG1699" s="77"/>
      <c r="BH1699" s="77"/>
      <c r="BI1699" s="77"/>
    </row>
    <row r="1700" spans="1:61" x14ac:dyDescent="0.25">
      <c r="A1700" s="62" t="s">
        <v>759</v>
      </c>
      <c r="B1700" s="62" t="s">
        <v>759</v>
      </c>
      <c r="C1700" s="63"/>
      <c r="D1700" s="64"/>
      <c r="E1700" s="65"/>
      <c r="F1700" s="66"/>
      <c r="G1700" s="63"/>
      <c r="H1700" s="67"/>
      <c r="I1700" s="68"/>
      <c r="J1700" s="68"/>
      <c r="K1700" s="32"/>
      <c r="L1700" s="75">
        <v>1700</v>
      </c>
      <c r="M1700" s="75"/>
      <c r="N1700" s="70"/>
      <c r="O1700" s="77" t="s">
        <v>179</v>
      </c>
      <c r="P1700" s="79">
        <v>45085.678472222222</v>
      </c>
      <c r="Q1700" s="77" t="s">
        <v>2764</v>
      </c>
      <c r="R1700" s="77">
        <v>0</v>
      </c>
      <c r="S1700" s="77">
        <v>1</v>
      </c>
      <c r="T1700" s="77">
        <v>0</v>
      </c>
      <c r="U1700" s="77">
        <v>0</v>
      </c>
      <c r="V1700" s="77">
        <v>1</v>
      </c>
      <c r="W1700" s="82" t="s">
        <v>5229</v>
      </c>
      <c r="X1700" s="80" t="str">
        <f>HYPERLINK("https://cutt.ly/Jweg5oLx")</f>
        <v>https://cutt.ly/Jweg5oLx</v>
      </c>
      <c r="Y1700" s="77" t="s">
        <v>6066</v>
      </c>
      <c r="Z1700" s="77"/>
      <c r="AA1700" s="77" t="s">
        <v>7164</v>
      </c>
      <c r="AB1700" s="77" t="s">
        <v>7696</v>
      </c>
      <c r="AC1700" s="82" t="s">
        <v>7706</v>
      </c>
      <c r="AD1700" s="77" t="s">
        <v>7745</v>
      </c>
      <c r="AE1700" s="80" t="str">
        <f>HYPERLINK("https://twitter.com/credito_jose/status/1666841766786486272")</f>
        <v>https://twitter.com/credito_jose/status/1666841766786486272</v>
      </c>
      <c r="AF1700" s="79">
        <v>45085.678472222222</v>
      </c>
      <c r="AG1700" s="85">
        <v>45085</v>
      </c>
      <c r="AH1700" s="82" t="s">
        <v>9262</v>
      </c>
      <c r="AI1700" s="77" t="b">
        <v>0</v>
      </c>
      <c r="AJ1700" s="77"/>
      <c r="AK1700" s="77"/>
      <c r="AL1700" s="77"/>
      <c r="AM1700" s="77"/>
      <c r="AN1700" s="77"/>
      <c r="AO1700" s="77"/>
      <c r="AP1700" s="77"/>
      <c r="AQ1700" s="77" t="s">
        <v>11671</v>
      </c>
      <c r="AR1700" s="77"/>
      <c r="AS1700" s="77"/>
      <c r="AT1700" s="77"/>
      <c r="AU1700" s="77"/>
      <c r="AV1700" s="80" t="str">
        <f>HYPERLINK("https://pbs.twimg.com/media/FyFve6xX0Acpzma.png")</f>
        <v>https://pbs.twimg.com/media/FyFve6xX0Acpzma.png</v>
      </c>
      <c r="AW1700" s="82" t="s">
        <v>13866</v>
      </c>
      <c r="AX1700" s="82" t="s">
        <v>13866</v>
      </c>
      <c r="AY1700" s="77"/>
      <c r="AZ1700" s="82" t="s">
        <v>15804</v>
      </c>
      <c r="BA1700" s="82" t="s">
        <v>15804</v>
      </c>
      <c r="BB1700" s="82" t="s">
        <v>15804</v>
      </c>
      <c r="BC1700" s="82" t="s">
        <v>13866</v>
      </c>
      <c r="BD1700" s="82" t="s">
        <v>16438</v>
      </c>
      <c r="BE1700" s="77"/>
      <c r="BF1700" s="77"/>
      <c r="BG1700" s="77"/>
      <c r="BH1700" s="77"/>
      <c r="BI1700" s="77"/>
    </row>
    <row r="1701" spans="1:61" x14ac:dyDescent="0.25">
      <c r="A1701" s="62" t="s">
        <v>760</v>
      </c>
      <c r="B1701" s="62" t="s">
        <v>891</v>
      </c>
      <c r="C1701" s="63"/>
      <c r="D1701" s="64"/>
      <c r="E1701" s="65"/>
      <c r="F1701" s="66"/>
      <c r="G1701" s="63"/>
      <c r="H1701" s="67"/>
      <c r="I1701" s="68"/>
      <c r="J1701" s="68"/>
      <c r="K1701" s="32"/>
      <c r="L1701" s="75">
        <v>1701</v>
      </c>
      <c r="M1701" s="75"/>
      <c r="N1701" s="70"/>
      <c r="O1701" s="77" t="s">
        <v>1134</v>
      </c>
      <c r="P1701" s="79">
        <v>45176.536238425928</v>
      </c>
      <c r="Q1701" s="77" t="s">
        <v>2386</v>
      </c>
      <c r="R1701" s="77">
        <v>4</v>
      </c>
      <c r="S1701" s="77">
        <v>0</v>
      </c>
      <c r="T1701" s="77">
        <v>0</v>
      </c>
      <c r="U1701" s="77">
        <v>0</v>
      </c>
      <c r="V1701" s="77"/>
      <c r="W1701" s="82" t="s">
        <v>4962</v>
      </c>
      <c r="X1701" s="77"/>
      <c r="Y1701" s="77"/>
      <c r="Z1701" s="77" t="s">
        <v>891</v>
      </c>
      <c r="AA1701" s="77"/>
      <c r="AB1701" s="77"/>
      <c r="AC1701" s="82" t="s">
        <v>7707</v>
      </c>
      <c r="AD1701" s="77" t="s">
        <v>7745</v>
      </c>
      <c r="AE1701" s="80" t="str">
        <f>HYPERLINK("https://twitter.com/globo_cancer_br/status/1699767520306110736")</f>
        <v>https://twitter.com/globo_cancer_br/status/1699767520306110736</v>
      </c>
      <c r="AF1701" s="79">
        <v>45176.536238425928</v>
      </c>
      <c r="AG1701" s="85">
        <v>45176</v>
      </c>
      <c r="AH1701" s="82" t="s">
        <v>9263</v>
      </c>
      <c r="AI1701" s="77"/>
      <c r="AJ1701" s="77"/>
      <c r="AK1701" s="77"/>
      <c r="AL1701" s="77"/>
      <c r="AM1701" s="77"/>
      <c r="AN1701" s="77"/>
      <c r="AO1701" s="77"/>
      <c r="AP1701" s="77"/>
      <c r="AQ1701" s="77"/>
      <c r="AR1701" s="77"/>
      <c r="AS1701" s="77"/>
      <c r="AT1701" s="77"/>
      <c r="AU1701" s="77"/>
      <c r="AV1701" s="80" t="str">
        <f>HYPERLINK("https://pbs.twimg.com/profile_images/1647753701946277888/dbam6fPm_normal.jpg")</f>
        <v>https://pbs.twimg.com/profile_images/1647753701946277888/dbam6fPm_normal.jpg</v>
      </c>
      <c r="AW1701" s="82" t="s">
        <v>13867</v>
      </c>
      <c r="AX1701" s="82" t="s">
        <v>13867</v>
      </c>
      <c r="AY1701" s="77"/>
      <c r="AZ1701" s="82" t="s">
        <v>15804</v>
      </c>
      <c r="BA1701" s="82" t="s">
        <v>15804</v>
      </c>
      <c r="BB1701" s="82" t="s">
        <v>14424</v>
      </c>
      <c r="BC1701" s="82" t="s">
        <v>14424</v>
      </c>
      <c r="BD1701" s="77">
        <v>77860052</v>
      </c>
      <c r="BE1701" s="77"/>
      <c r="BF1701" s="77"/>
      <c r="BG1701" s="77"/>
      <c r="BH1701" s="77"/>
      <c r="BI1701" s="77"/>
    </row>
    <row r="1702" spans="1:61" x14ac:dyDescent="0.25">
      <c r="A1702" s="62" t="s">
        <v>761</v>
      </c>
      <c r="B1702" s="62" t="s">
        <v>761</v>
      </c>
      <c r="C1702" s="63"/>
      <c r="D1702" s="64"/>
      <c r="E1702" s="65"/>
      <c r="F1702" s="66"/>
      <c r="G1702" s="63"/>
      <c r="H1702" s="67"/>
      <c r="I1702" s="68"/>
      <c r="J1702" s="68"/>
      <c r="K1702" s="32"/>
      <c r="L1702" s="75">
        <v>1702</v>
      </c>
      <c r="M1702" s="75"/>
      <c r="N1702" s="70"/>
      <c r="O1702" s="77" t="s">
        <v>179</v>
      </c>
      <c r="P1702" s="79">
        <v>45008.628703703704</v>
      </c>
      <c r="Q1702" s="77" t="s">
        <v>2765</v>
      </c>
      <c r="R1702" s="77">
        <v>0</v>
      </c>
      <c r="S1702" s="77">
        <v>2</v>
      </c>
      <c r="T1702" s="77">
        <v>0</v>
      </c>
      <c r="U1702" s="77">
        <v>0</v>
      </c>
      <c r="V1702" s="77">
        <v>60</v>
      </c>
      <c r="W1702" s="82" t="s">
        <v>5230</v>
      </c>
      <c r="X1702" s="77" t="s">
        <v>5995</v>
      </c>
      <c r="Y1702" s="77" t="s">
        <v>6083</v>
      </c>
      <c r="Z1702" s="77"/>
      <c r="AA1702" s="77" t="s">
        <v>7165</v>
      </c>
      <c r="AB1702" s="77" t="s">
        <v>7696</v>
      </c>
      <c r="AC1702" s="82" t="s">
        <v>7706</v>
      </c>
      <c r="AD1702" s="77" t="s">
        <v>7745</v>
      </c>
      <c r="AE1702" s="80" t="str">
        <f>HYPERLINK("https://twitter.com/ravenort_links/status/1638919865447731201")</f>
        <v>https://twitter.com/ravenort_links/status/1638919865447731201</v>
      </c>
      <c r="AF1702" s="79">
        <v>45008.628703703704</v>
      </c>
      <c r="AG1702" s="85">
        <v>45008</v>
      </c>
      <c r="AH1702" s="82" t="s">
        <v>9264</v>
      </c>
      <c r="AI1702" s="77" t="b">
        <v>0</v>
      </c>
      <c r="AJ1702" s="77"/>
      <c r="AK1702" s="77"/>
      <c r="AL1702" s="77"/>
      <c r="AM1702" s="77"/>
      <c r="AN1702" s="77"/>
      <c r="AO1702" s="77"/>
      <c r="AP1702" s="77"/>
      <c r="AQ1702" s="77" t="s">
        <v>11672</v>
      </c>
      <c r="AR1702" s="77"/>
      <c r="AS1702" s="77"/>
      <c r="AT1702" s="77"/>
      <c r="AU1702" s="77"/>
      <c r="AV1702" s="80" t="str">
        <f>HYPERLINK("https://pbs.twimg.com/media/Fr6cjaNWAAEd2xm.jpg")</f>
        <v>https://pbs.twimg.com/media/Fr6cjaNWAAEd2xm.jpg</v>
      </c>
      <c r="AW1702" s="82" t="s">
        <v>13868</v>
      </c>
      <c r="AX1702" s="82" t="s">
        <v>13868</v>
      </c>
      <c r="AY1702" s="77"/>
      <c r="AZ1702" s="82" t="s">
        <v>15804</v>
      </c>
      <c r="BA1702" s="82" t="s">
        <v>15804</v>
      </c>
      <c r="BB1702" s="82" t="s">
        <v>15804</v>
      </c>
      <c r="BC1702" s="82" t="s">
        <v>13868</v>
      </c>
      <c r="BD1702" s="82" t="s">
        <v>16439</v>
      </c>
      <c r="BE1702" s="77"/>
      <c r="BF1702" s="77"/>
      <c r="BG1702" s="77"/>
      <c r="BH1702" s="77"/>
      <c r="BI1702" s="77"/>
    </row>
    <row r="1703" spans="1:61" x14ac:dyDescent="0.25">
      <c r="A1703" s="62" t="s">
        <v>762</v>
      </c>
      <c r="B1703" s="62" t="s">
        <v>762</v>
      </c>
      <c r="C1703" s="63"/>
      <c r="D1703" s="64"/>
      <c r="E1703" s="65"/>
      <c r="F1703" s="66"/>
      <c r="G1703" s="63"/>
      <c r="H1703" s="67"/>
      <c r="I1703" s="68"/>
      <c r="J1703" s="68"/>
      <c r="K1703" s="32"/>
      <c r="L1703" s="75">
        <v>1703</v>
      </c>
      <c r="M1703" s="75"/>
      <c r="N1703" s="70"/>
      <c r="O1703" s="77" t="s">
        <v>179</v>
      </c>
      <c r="P1703" s="79">
        <v>45012.487696759257</v>
      </c>
      <c r="Q1703" s="77" t="s">
        <v>2766</v>
      </c>
      <c r="R1703" s="77">
        <v>0</v>
      </c>
      <c r="S1703" s="77">
        <v>1</v>
      </c>
      <c r="T1703" s="77">
        <v>0</v>
      </c>
      <c r="U1703" s="77">
        <v>0</v>
      </c>
      <c r="V1703" s="77">
        <v>24</v>
      </c>
      <c r="W1703" s="82" t="s">
        <v>5171</v>
      </c>
      <c r="X1703" s="77"/>
      <c r="Y1703" s="77"/>
      <c r="Z1703" s="77"/>
      <c r="AA1703" s="77"/>
      <c r="AB1703" s="77"/>
      <c r="AC1703" s="82" t="s">
        <v>7705</v>
      </c>
      <c r="AD1703" s="77" t="s">
        <v>7745</v>
      </c>
      <c r="AE1703" s="80" t="str">
        <f>HYPERLINK("https://twitter.com/nascimentomma/status/1640318317268287489")</f>
        <v>https://twitter.com/nascimentomma/status/1640318317268287489</v>
      </c>
      <c r="AF1703" s="79">
        <v>45012.487696759257</v>
      </c>
      <c r="AG1703" s="85">
        <v>45012</v>
      </c>
      <c r="AH1703" s="82" t="s">
        <v>9265</v>
      </c>
      <c r="AI1703" s="77"/>
      <c r="AJ1703" s="77"/>
      <c r="AK1703" s="77"/>
      <c r="AL1703" s="77"/>
      <c r="AM1703" s="77"/>
      <c r="AN1703" s="77"/>
      <c r="AO1703" s="77"/>
      <c r="AP1703" s="77"/>
      <c r="AQ1703" s="77"/>
      <c r="AR1703" s="77"/>
      <c r="AS1703" s="77"/>
      <c r="AT1703" s="77"/>
      <c r="AU1703" s="77"/>
      <c r="AV1703" s="80" t="str">
        <f>HYPERLINK("https://pbs.twimg.com/profile_images/1419995425491333120/wGuKJNby_normal.jpg")</f>
        <v>https://pbs.twimg.com/profile_images/1419995425491333120/wGuKJNby_normal.jpg</v>
      </c>
      <c r="AW1703" s="82" t="s">
        <v>13869</v>
      </c>
      <c r="AX1703" s="82" t="s">
        <v>13869</v>
      </c>
      <c r="AY1703" s="77"/>
      <c r="AZ1703" s="82" t="s">
        <v>15804</v>
      </c>
      <c r="BA1703" s="82" t="s">
        <v>15804</v>
      </c>
      <c r="BB1703" s="82" t="s">
        <v>15804</v>
      </c>
      <c r="BC1703" s="82" t="s">
        <v>13869</v>
      </c>
      <c r="BD1703" s="82" t="s">
        <v>16440</v>
      </c>
      <c r="BE1703" s="77"/>
      <c r="BF1703" s="77"/>
      <c r="BG1703" s="77"/>
      <c r="BH1703" s="77"/>
      <c r="BI1703" s="77"/>
    </row>
    <row r="1704" spans="1:61" x14ac:dyDescent="0.25">
      <c r="A1704" s="62" t="s">
        <v>763</v>
      </c>
      <c r="B1704" s="62" t="s">
        <v>763</v>
      </c>
      <c r="C1704" s="63"/>
      <c r="D1704" s="64"/>
      <c r="E1704" s="65"/>
      <c r="F1704" s="66"/>
      <c r="G1704" s="63"/>
      <c r="H1704" s="67"/>
      <c r="I1704" s="68"/>
      <c r="J1704" s="68"/>
      <c r="K1704" s="32"/>
      <c r="L1704" s="75">
        <v>1704</v>
      </c>
      <c r="M1704" s="75"/>
      <c r="N1704" s="70"/>
      <c r="O1704" s="77" t="s">
        <v>179</v>
      </c>
      <c r="P1704" s="79">
        <v>45147.894560185188</v>
      </c>
      <c r="Q1704" s="77" t="s">
        <v>2767</v>
      </c>
      <c r="R1704" s="77">
        <v>0</v>
      </c>
      <c r="S1704" s="77">
        <v>4</v>
      </c>
      <c r="T1704" s="77">
        <v>0</v>
      </c>
      <c r="U1704" s="77">
        <v>0</v>
      </c>
      <c r="V1704" s="77">
        <v>414</v>
      </c>
      <c r="W1704" s="82" t="s">
        <v>5231</v>
      </c>
      <c r="X1704" s="80" t="str">
        <f>HYPERLINK("https://bit.ly/3s0DBcG")</f>
        <v>https://bit.ly/3s0DBcG</v>
      </c>
      <c r="Y1704" s="77" t="s">
        <v>6004</v>
      </c>
      <c r="Z1704" s="77"/>
      <c r="AA1704" s="77" t="s">
        <v>7166</v>
      </c>
      <c r="AB1704" s="77" t="s">
        <v>7696</v>
      </c>
      <c r="AC1704" s="82" t="s">
        <v>7706</v>
      </c>
      <c r="AD1704" s="77" t="s">
        <v>7745</v>
      </c>
      <c r="AE1704" s="80" t="str">
        <f>HYPERLINK("https://twitter.com/fgvibre/status/1689388123459866624")</f>
        <v>https://twitter.com/fgvibre/status/1689388123459866624</v>
      </c>
      <c r="AF1704" s="79">
        <v>45147.894560185188</v>
      </c>
      <c r="AG1704" s="85">
        <v>45147</v>
      </c>
      <c r="AH1704" s="82" t="s">
        <v>9266</v>
      </c>
      <c r="AI1704" s="77" t="b">
        <v>0</v>
      </c>
      <c r="AJ1704" s="77"/>
      <c r="AK1704" s="77"/>
      <c r="AL1704" s="77"/>
      <c r="AM1704" s="77"/>
      <c r="AN1704" s="77"/>
      <c r="AO1704" s="77"/>
      <c r="AP1704" s="77"/>
      <c r="AQ1704" s="77" t="s">
        <v>11673</v>
      </c>
      <c r="AR1704" s="77"/>
      <c r="AS1704" s="77"/>
      <c r="AT1704" s="77"/>
      <c r="AU1704" s="77"/>
      <c r="AV1704" s="80" t="str">
        <f>HYPERLINK("https://pbs.twimg.com/media/F3HpffKWQAIV0U-.jpg")</f>
        <v>https://pbs.twimg.com/media/F3HpffKWQAIV0U-.jpg</v>
      </c>
      <c r="AW1704" s="82" t="s">
        <v>13870</v>
      </c>
      <c r="AX1704" s="82" t="s">
        <v>13870</v>
      </c>
      <c r="AY1704" s="77"/>
      <c r="AZ1704" s="82" t="s">
        <v>15804</v>
      </c>
      <c r="BA1704" s="82" t="s">
        <v>15804</v>
      </c>
      <c r="BB1704" s="82" t="s">
        <v>15804</v>
      </c>
      <c r="BC1704" s="82" t="s">
        <v>13870</v>
      </c>
      <c r="BD1704" s="77">
        <v>58553533</v>
      </c>
      <c r="BE1704" s="77"/>
      <c r="BF1704" s="77"/>
      <c r="BG1704" s="77"/>
      <c r="BH1704" s="77"/>
      <c r="BI1704" s="77"/>
    </row>
    <row r="1705" spans="1:61" x14ac:dyDescent="0.25">
      <c r="A1705" s="62" t="s">
        <v>764</v>
      </c>
      <c r="B1705" s="62" t="s">
        <v>764</v>
      </c>
      <c r="C1705" s="63"/>
      <c r="D1705" s="64"/>
      <c r="E1705" s="65"/>
      <c r="F1705" s="66"/>
      <c r="G1705" s="63"/>
      <c r="H1705" s="67"/>
      <c r="I1705" s="68"/>
      <c r="J1705" s="68"/>
      <c r="K1705" s="32"/>
      <c r="L1705" s="75">
        <v>1705</v>
      </c>
      <c r="M1705" s="75"/>
      <c r="N1705" s="70"/>
      <c r="O1705" s="77" t="s">
        <v>179</v>
      </c>
      <c r="P1705" s="79">
        <v>45126.606122685182</v>
      </c>
      <c r="Q1705" s="77" t="s">
        <v>2768</v>
      </c>
      <c r="R1705" s="77">
        <v>0</v>
      </c>
      <c r="S1705" s="77">
        <v>0</v>
      </c>
      <c r="T1705" s="77">
        <v>0</v>
      </c>
      <c r="U1705" s="77">
        <v>0</v>
      </c>
      <c r="V1705" s="77">
        <v>27</v>
      </c>
      <c r="W1705" s="82" t="s">
        <v>5232</v>
      </c>
      <c r="X1705" s="77"/>
      <c r="Y1705" s="77"/>
      <c r="Z1705" s="77"/>
      <c r="AA1705" s="77"/>
      <c r="AB1705" s="77"/>
      <c r="AC1705" s="82" t="s">
        <v>7706</v>
      </c>
      <c r="AD1705" s="77" t="s">
        <v>7745</v>
      </c>
      <c r="AE1705" s="80" t="str">
        <f>HYPERLINK("https://twitter.com/charlesrduarte/status/1681673451788967937")</f>
        <v>https://twitter.com/charlesrduarte/status/1681673451788967937</v>
      </c>
      <c r="AF1705" s="79">
        <v>45126.606122685182</v>
      </c>
      <c r="AG1705" s="85">
        <v>45126</v>
      </c>
      <c r="AH1705" s="82" t="s">
        <v>9267</v>
      </c>
      <c r="AI1705" s="77"/>
      <c r="AJ1705" s="77"/>
      <c r="AK1705" s="77"/>
      <c r="AL1705" s="77"/>
      <c r="AM1705" s="77"/>
      <c r="AN1705" s="77"/>
      <c r="AO1705" s="77"/>
      <c r="AP1705" s="77"/>
      <c r="AQ1705" s="77"/>
      <c r="AR1705" s="77"/>
      <c r="AS1705" s="77"/>
      <c r="AT1705" s="77"/>
      <c r="AU1705" s="77"/>
      <c r="AV1705" s="80" t="str">
        <f>HYPERLINK("https://pbs.twimg.com/profile_images/1688718609936265216/uDkQgPk6_normal.jpg")</f>
        <v>https://pbs.twimg.com/profile_images/1688718609936265216/uDkQgPk6_normal.jpg</v>
      </c>
      <c r="AW1705" s="82" t="s">
        <v>13871</v>
      </c>
      <c r="AX1705" s="82" t="s">
        <v>13871</v>
      </c>
      <c r="AY1705" s="77"/>
      <c r="AZ1705" s="82" t="s">
        <v>15804</v>
      </c>
      <c r="BA1705" s="82" t="s">
        <v>15804</v>
      </c>
      <c r="BB1705" s="82" t="s">
        <v>15804</v>
      </c>
      <c r="BC1705" s="82" t="s">
        <v>13871</v>
      </c>
      <c r="BD1705" s="82" t="s">
        <v>16441</v>
      </c>
      <c r="BE1705" s="77"/>
      <c r="BF1705" s="77"/>
      <c r="BG1705" s="77"/>
      <c r="BH1705" s="77"/>
      <c r="BI1705" s="77"/>
    </row>
    <row r="1706" spans="1:61" x14ac:dyDescent="0.25">
      <c r="A1706" s="62" t="s">
        <v>765</v>
      </c>
      <c r="B1706" s="62" t="s">
        <v>765</v>
      </c>
      <c r="C1706" s="63"/>
      <c r="D1706" s="64"/>
      <c r="E1706" s="65"/>
      <c r="F1706" s="66"/>
      <c r="G1706" s="63"/>
      <c r="H1706" s="67"/>
      <c r="I1706" s="68"/>
      <c r="J1706" s="68"/>
      <c r="K1706" s="32"/>
      <c r="L1706" s="75">
        <v>1706</v>
      </c>
      <c r="M1706" s="75"/>
      <c r="N1706" s="70"/>
      <c r="O1706" s="77" t="s">
        <v>179</v>
      </c>
      <c r="P1706" s="79">
        <v>44945.916041666664</v>
      </c>
      <c r="Q1706" s="77" t="s">
        <v>2769</v>
      </c>
      <c r="R1706" s="77">
        <v>0</v>
      </c>
      <c r="S1706" s="77">
        <v>0</v>
      </c>
      <c r="T1706" s="77">
        <v>0</v>
      </c>
      <c r="U1706" s="77">
        <v>0</v>
      </c>
      <c r="V1706" s="77">
        <v>9</v>
      </c>
      <c r="W1706" s="82" t="s">
        <v>5233</v>
      </c>
      <c r="X1706" s="80" t="str">
        <f>HYPERLINK("https://youtu.be/SxDPGXEp9D0")</f>
        <v>https://youtu.be/SxDPGXEp9D0</v>
      </c>
      <c r="Y1706" s="77" t="s">
        <v>6003</v>
      </c>
      <c r="Z1706" s="77"/>
      <c r="AA1706" s="77"/>
      <c r="AB1706" s="77"/>
      <c r="AC1706" s="82" t="s">
        <v>7706</v>
      </c>
      <c r="AD1706" s="77" t="s">
        <v>7745</v>
      </c>
      <c r="AE1706" s="80" t="str">
        <f>HYPERLINK("https://twitter.com/emoneybrasil/status/1616193560268705816")</f>
        <v>https://twitter.com/emoneybrasil/status/1616193560268705816</v>
      </c>
      <c r="AF1706" s="79">
        <v>44945.916041666664</v>
      </c>
      <c r="AG1706" s="85">
        <v>44945</v>
      </c>
      <c r="AH1706" s="82" t="s">
        <v>9268</v>
      </c>
      <c r="AI1706" s="77" t="b">
        <v>0</v>
      </c>
      <c r="AJ1706" s="77"/>
      <c r="AK1706" s="77"/>
      <c r="AL1706" s="77"/>
      <c r="AM1706" s="77"/>
      <c r="AN1706" s="77"/>
      <c r="AO1706" s="77"/>
      <c r="AP1706" s="77"/>
      <c r="AQ1706" s="77"/>
      <c r="AR1706" s="77"/>
      <c r="AS1706" s="77"/>
      <c r="AT1706" s="77"/>
      <c r="AU1706" s="77"/>
      <c r="AV1706" s="80" t="str">
        <f>HYPERLINK("https://pbs.twimg.com/profile_images/1507084958590029825/A0zYOuAD_normal.jpg")</f>
        <v>https://pbs.twimg.com/profile_images/1507084958590029825/A0zYOuAD_normal.jpg</v>
      </c>
      <c r="AW1706" s="82" t="s">
        <v>13872</v>
      </c>
      <c r="AX1706" s="82" t="s">
        <v>13872</v>
      </c>
      <c r="AY1706" s="77"/>
      <c r="AZ1706" s="82" t="s">
        <v>15804</v>
      </c>
      <c r="BA1706" s="82" t="s">
        <v>15804</v>
      </c>
      <c r="BB1706" s="82" t="s">
        <v>15804</v>
      </c>
      <c r="BC1706" s="82" t="s">
        <v>13872</v>
      </c>
      <c r="BD1706" s="82" t="s">
        <v>16442</v>
      </c>
      <c r="BE1706" s="77"/>
      <c r="BF1706" s="77"/>
      <c r="BG1706" s="77"/>
      <c r="BH1706" s="77"/>
      <c r="BI1706" s="77"/>
    </row>
    <row r="1707" spans="1:61" x14ac:dyDescent="0.25">
      <c r="A1707" s="62" t="s">
        <v>766</v>
      </c>
      <c r="B1707" s="62" t="s">
        <v>766</v>
      </c>
      <c r="C1707" s="63"/>
      <c r="D1707" s="64"/>
      <c r="E1707" s="65"/>
      <c r="F1707" s="66"/>
      <c r="G1707" s="63"/>
      <c r="H1707" s="67"/>
      <c r="I1707" s="68"/>
      <c r="J1707" s="68"/>
      <c r="K1707" s="32"/>
      <c r="L1707" s="75">
        <v>1707</v>
      </c>
      <c r="M1707" s="75"/>
      <c r="N1707" s="70"/>
      <c r="O1707" s="77" t="s">
        <v>179</v>
      </c>
      <c r="P1707" s="79">
        <v>45168.746550925927</v>
      </c>
      <c r="Q1707" s="77" t="s">
        <v>2770</v>
      </c>
      <c r="R1707" s="77">
        <v>0</v>
      </c>
      <c r="S1707" s="77">
        <v>0</v>
      </c>
      <c r="T1707" s="77">
        <v>0</v>
      </c>
      <c r="U1707" s="77">
        <v>0</v>
      </c>
      <c r="V1707" s="77">
        <v>17</v>
      </c>
      <c r="W1707" s="82" t="s">
        <v>5234</v>
      </c>
      <c r="X1707" s="80" t="str">
        <f>HYPERLINK("https://vm.tiktok.com/ZMjLjxvdL/")</f>
        <v>https://vm.tiktok.com/ZMjLjxvdL/</v>
      </c>
      <c r="Y1707" s="77" t="s">
        <v>6040</v>
      </c>
      <c r="Z1707" s="77"/>
      <c r="AA1707" s="77"/>
      <c r="AB1707" s="77"/>
      <c r="AC1707" s="82" t="s">
        <v>7707</v>
      </c>
      <c r="AD1707" s="77" t="s">
        <v>7745</v>
      </c>
      <c r="AE1707" s="80" t="str">
        <f>HYPERLINK("https://twitter.com/valentim01julho/status/1696944629550051799")</f>
        <v>https://twitter.com/valentim01julho/status/1696944629550051799</v>
      </c>
      <c r="AF1707" s="79">
        <v>45168.746550925927</v>
      </c>
      <c r="AG1707" s="85">
        <v>45168</v>
      </c>
      <c r="AH1707" s="82" t="s">
        <v>9269</v>
      </c>
      <c r="AI1707" s="77" t="b">
        <v>0</v>
      </c>
      <c r="AJ1707" s="77"/>
      <c r="AK1707" s="77"/>
      <c r="AL1707" s="77"/>
      <c r="AM1707" s="77"/>
      <c r="AN1707" s="77"/>
      <c r="AO1707" s="77"/>
      <c r="AP1707" s="77"/>
      <c r="AQ1707" s="77"/>
      <c r="AR1707" s="77"/>
      <c r="AS1707" s="77"/>
      <c r="AT1707" s="77"/>
      <c r="AU1707" s="77"/>
      <c r="AV1707" s="80" t="str">
        <f>HYPERLINK("https://pbs.twimg.com/profile_images/1664856716012290062/vaZKd63i_normal.jpg")</f>
        <v>https://pbs.twimg.com/profile_images/1664856716012290062/vaZKd63i_normal.jpg</v>
      </c>
      <c r="AW1707" s="82" t="s">
        <v>13873</v>
      </c>
      <c r="AX1707" s="82" t="s">
        <v>13873</v>
      </c>
      <c r="AY1707" s="77"/>
      <c r="AZ1707" s="82" t="s">
        <v>15804</v>
      </c>
      <c r="BA1707" s="82" t="s">
        <v>15804</v>
      </c>
      <c r="BB1707" s="82" t="s">
        <v>15804</v>
      </c>
      <c r="BC1707" s="82" t="s">
        <v>13873</v>
      </c>
      <c r="BD1707" s="77">
        <v>3087590120</v>
      </c>
      <c r="BE1707" s="77"/>
      <c r="BF1707" s="77"/>
      <c r="BG1707" s="77"/>
      <c r="BH1707" s="77"/>
      <c r="BI1707" s="77"/>
    </row>
    <row r="1708" spans="1:61" x14ac:dyDescent="0.25">
      <c r="A1708" s="62" t="s">
        <v>767</v>
      </c>
      <c r="B1708" s="62" t="s">
        <v>767</v>
      </c>
      <c r="C1708" s="63"/>
      <c r="D1708" s="64"/>
      <c r="E1708" s="65"/>
      <c r="F1708" s="66"/>
      <c r="G1708" s="63"/>
      <c r="H1708" s="67"/>
      <c r="I1708" s="68"/>
      <c r="J1708" s="68"/>
      <c r="K1708" s="32"/>
      <c r="L1708" s="75">
        <v>1708</v>
      </c>
      <c r="M1708" s="75"/>
      <c r="N1708" s="70"/>
      <c r="O1708" s="77" t="s">
        <v>179</v>
      </c>
      <c r="P1708" s="79">
        <v>44980.385648148149</v>
      </c>
      <c r="Q1708" s="77" t="s">
        <v>2771</v>
      </c>
      <c r="R1708" s="77">
        <v>0</v>
      </c>
      <c r="S1708" s="77">
        <v>0</v>
      </c>
      <c r="T1708" s="77">
        <v>0</v>
      </c>
      <c r="U1708" s="77">
        <v>0</v>
      </c>
      <c r="V1708" s="77">
        <v>12</v>
      </c>
      <c r="W1708" s="82" t="s">
        <v>5235</v>
      </c>
      <c r="X1708" s="80" t="str">
        <f>HYPERLINK("https://www.economicnewsbrasil.com.br/2023/02/23/camara-distrital-ira-debater-superendividamento-de-servidores-publicos-do-gdf/")</f>
        <v>https://www.economicnewsbrasil.com.br/2023/02/23/camara-distrital-ira-debater-superendividamento-de-servidores-publicos-do-gdf/</v>
      </c>
      <c r="Y1708" s="77" t="s">
        <v>6002</v>
      </c>
      <c r="Z1708" s="77"/>
      <c r="AA1708" s="77"/>
      <c r="AB1708" s="77"/>
      <c r="AC1708" s="82" t="s">
        <v>7710</v>
      </c>
      <c r="AD1708" s="77" t="s">
        <v>7745</v>
      </c>
      <c r="AE1708" s="80" t="str">
        <f>HYPERLINK("https://twitter.com/economicnewsbr/status/1628684926349623296")</f>
        <v>https://twitter.com/economicnewsbr/status/1628684926349623296</v>
      </c>
      <c r="AF1708" s="79">
        <v>44980.385648148149</v>
      </c>
      <c r="AG1708" s="85">
        <v>44980</v>
      </c>
      <c r="AH1708" s="82" t="s">
        <v>9270</v>
      </c>
      <c r="AI1708" s="77" t="b">
        <v>0</v>
      </c>
      <c r="AJ1708" s="77"/>
      <c r="AK1708" s="77"/>
      <c r="AL1708" s="77"/>
      <c r="AM1708" s="77"/>
      <c r="AN1708" s="77"/>
      <c r="AO1708" s="77"/>
      <c r="AP1708" s="77"/>
      <c r="AQ1708" s="77"/>
      <c r="AR1708" s="77"/>
      <c r="AS1708" s="77"/>
      <c r="AT1708" s="77"/>
      <c r="AU1708" s="77"/>
      <c r="AV1708" s="80" t="str">
        <f>HYPERLINK("https://pbs.twimg.com/profile_images/1211027151870402560/9JIqaKmf_normal.jpg")</f>
        <v>https://pbs.twimg.com/profile_images/1211027151870402560/9JIqaKmf_normal.jpg</v>
      </c>
      <c r="AW1708" s="82" t="s">
        <v>13874</v>
      </c>
      <c r="AX1708" s="82" t="s">
        <v>13874</v>
      </c>
      <c r="AY1708" s="77"/>
      <c r="AZ1708" s="82" t="s">
        <v>15804</v>
      </c>
      <c r="BA1708" s="82" t="s">
        <v>15804</v>
      </c>
      <c r="BB1708" s="82" t="s">
        <v>15804</v>
      </c>
      <c r="BC1708" s="82" t="s">
        <v>13874</v>
      </c>
      <c r="BD1708" s="82" t="s">
        <v>16443</v>
      </c>
      <c r="BE1708" s="77"/>
      <c r="BF1708" s="77"/>
      <c r="BG1708" s="77"/>
      <c r="BH1708" s="77"/>
      <c r="BI1708" s="77"/>
    </row>
    <row r="1709" spans="1:61" x14ac:dyDescent="0.25">
      <c r="A1709" s="62" t="s">
        <v>767</v>
      </c>
      <c r="B1709" s="62" t="s">
        <v>767</v>
      </c>
      <c r="C1709" s="63"/>
      <c r="D1709" s="64"/>
      <c r="E1709" s="65"/>
      <c r="F1709" s="66"/>
      <c r="G1709" s="63"/>
      <c r="H1709" s="67"/>
      <c r="I1709" s="68"/>
      <c r="J1709" s="68"/>
      <c r="K1709" s="32"/>
      <c r="L1709" s="75">
        <v>1709</v>
      </c>
      <c r="M1709" s="75"/>
      <c r="N1709" s="70"/>
      <c r="O1709" s="77" t="s">
        <v>179</v>
      </c>
      <c r="P1709" s="79">
        <v>45155.380995370368</v>
      </c>
      <c r="Q1709" s="77" t="s">
        <v>2772</v>
      </c>
      <c r="R1709" s="77">
        <v>0</v>
      </c>
      <c r="S1709" s="77">
        <v>0</v>
      </c>
      <c r="T1709" s="77">
        <v>0</v>
      </c>
      <c r="U1709" s="77">
        <v>0</v>
      </c>
      <c r="V1709" s="77">
        <v>26</v>
      </c>
      <c r="W1709" s="82" t="s">
        <v>5236</v>
      </c>
      <c r="X1709" s="80" t="str">
        <f>HYPERLINK("https://economicnewsbrasil.com.br/?p=83127")</f>
        <v>https://economicnewsbrasil.com.br/?p=83127</v>
      </c>
      <c r="Y1709" s="77" t="s">
        <v>6002</v>
      </c>
      <c r="Z1709" s="77"/>
      <c r="AA1709" s="77"/>
      <c r="AB1709" s="77"/>
      <c r="AC1709" s="82" t="s">
        <v>7739</v>
      </c>
      <c r="AD1709" s="77" t="s">
        <v>7745</v>
      </c>
      <c r="AE1709" s="80" t="str">
        <f>HYPERLINK("https://twitter.com/economicnewsbr/status/1692101115213492420")</f>
        <v>https://twitter.com/economicnewsbr/status/1692101115213492420</v>
      </c>
      <c r="AF1709" s="79">
        <v>45155.380995370368</v>
      </c>
      <c r="AG1709" s="85">
        <v>45155</v>
      </c>
      <c r="AH1709" s="82" t="s">
        <v>9271</v>
      </c>
      <c r="AI1709" s="77" t="b">
        <v>0</v>
      </c>
      <c r="AJ1709" s="77"/>
      <c r="AK1709" s="77"/>
      <c r="AL1709" s="77"/>
      <c r="AM1709" s="77"/>
      <c r="AN1709" s="77"/>
      <c r="AO1709" s="77"/>
      <c r="AP1709" s="77"/>
      <c r="AQ1709" s="77"/>
      <c r="AR1709" s="77"/>
      <c r="AS1709" s="77"/>
      <c r="AT1709" s="77"/>
      <c r="AU1709" s="77"/>
      <c r="AV1709" s="80" t="str">
        <f>HYPERLINK("https://pbs.twimg.com/profile_images/1211027151870402560/9JIqaKmf_normal.jpg")</f>
        <v>https://pbs.twimg.com/profile_images/1211027151870402560/9JIqaKmf_normal.jpg</v>
      </c>
      <c r="AW1709" s="82" t="s">
        <v>13875</v>
      </c>
      <c r="AX1709" s="82" t="s">
        <v>13875</v>
      </c>
      <c r="AY1709" s="77"/>
      <c r="AZ1709" s="82" t="s">
        <v>15804</v>
      </c>
      <c r="BA1709" s="82" t="s">
        <v>15804</v>
      </c>
      <c r="BB1709" s="82" t="s">
        <v>15804</v>
      </c>
      <c r="BC1709" s="82" t="s">
        <v>13875</v>
      </c>
      <c r="BD1709" s="82" t="s">
        <v>16443</v>
      </c>
      <c r="BE1709" s="77"/>
      <c r="BF1709" s="77"/>
      <c r="BG1709" s="77"/>
      <c r="BH1709" s="77"/>
      <c r="BI1709" s="77"/>
    </row>
    <row r="1710" spans="1:61" x14ac:dyDescent="0.25">
      <c r="A1710" s="62" t="s">
        <v>767</v>
      </c>
      <c r="B1710" s="62" t="s">
        <v>767</v>
      </c>
      <c r="C1710" s="63"/>
      <c r="D1710" s="64"/>
      <c r="E1710" s="65"/>
      <c r="F1710" s="66"/>
      <c r="G1710" s="63"/>
      <c r="H1710" s="67"/>
      <c r="I1710" s="68"/>
      <c r="J1710" s="68"/>
      <c r="K1710" s="32"/>
      <c r="L1710" s="75">
        <v>1710</v>
      </c>
      <c r="M1710" s="75"/>
      <c r="N1710" s="70"/>
      <c r="O1710" s="77" t="s">
        <v>179</v>
      </c>
      <c r="P1710" s="79">
        <v>45006.71020833333</v>
      </c>
      <c r="Q1710" s="77" t="s">
        <v>2773</v>
      </c>
      <c r="R1710" s="77">
        <v>0</v>
      </c>
      <c r="S1710" s="77">
        <v>0</v>
      </c>
      <c r="T1710" s="77">
        <v>0</v>
      </c>
      <c r="U1710" s="77">
        <v>0</v>
      </c>
      <c r="V1710" s="77">
        <v>6</v>
      </c>
      <c r="W1710" s="82" t="s">
        <v>5237</v>
      </c>
      <c r="X1710" s="80" t="str">
        <f>HYPERLINK("https://www.economicnewsbrasil.com.br/2023/03/21/especialista-em-financas-pessoais-da-dicas-para-criar-o-habito-de-poupar-e-quitar-dividas/")</f>
        <v>https://www.economicnewsbrasil.com.br/2023/03/21/especialista-em-financas-pessoais-da-dicas-para-criar-o-habito-de-poupar-e-quitar-dividas/</v>
      </c>
      <c r="Y1710" s="77" t="s">
        <v>6002</v>
      </c>
      <c r="Z1710" s="77"/>
      <c r="AA1710" s="77" t="s">
        <v>7167</v>
      </c>
      <c r="AB1710" s="77" t="s">
        <v>7696</v>
      </c>
      <c r="AC1710" s="82" t="s">
        <v>7710</v>
      </c>
      <c r="AD1710" s="77" t="s">
        <v>7745</v>
      </c>
      <c r="AE1710" s="80" t="str">
        <f>HYPERLINK("https://twitter.com/economicnewsbr/status/1638224629016698894")</f>
        <v>https://twitter.com/economicnewsbr/status/1638224629016698894</v>
      </c>
      <c r="AF1710" s="79">
        <v>45006.71020833333</v>
      </c>
      <c r="AG1710" s="85">
        <v>45006</v>
      </c>
      <c r="AH1710" s="82" t="s">
        <v>9272</v>
      </c>
      <c r="AI1710" s="77" t="b">
        <v>0</v>
      </c>
      <c r="AJ1710" s="77"/>
      <c r="AK1710" s="77"/>
      <c r="AL1710" s="77"/>
      <c r="AM1710" s="77"/>
      <c r="AN1710" s="77"/>
      <c r="AO1710" s="77"/>
      <c r="AP1710" s="77"/>
      <c r="AQ1710" s="77" t="s">
        <v>11674</v>
      </c>
      <c r="AR1710" s="77"/>
      <c r="AS1710" s="77"/>
      <c r="AT1710" s="77"/>
      <c r="AU1710" s="77"/>
      <c r="AV1710" s="80" t="str">
        <f>HYPERLINK("https://pbs.twimg.com/media/FrwknjcWAAAmQDI.jpg")</f>
        <v>https://pbs.twimg.com/media/FrwknjcWAAAmQDI.jpg</v>
      </c>
      <c r="AW1710" s="82" t="s">
        <v>13876</v>
      </c>
      <c r="AX1710" s="82" t="s">
        <v>13876</v>
      </c>
      <c r="AY1710" s="77"/>
      <c r="AZ1710" s="82" t="s">
        <v>15804</v>
      </c>
      <c r="BA1710" s="82" t="s">
        <v>15804</v>
      </c>
      <c r="BB1710" s="82" t="s">
        <v>15804</v>
      </c>
      <c r="BC1710" s="82" t="s">
        <v>13876</v>
      </c>
      <c r="BD1710" s="82" t="s">
        <v>16443</v>
      </c>
      <c r="BE1710" s="77"/>
      <c r="BF1710" s="77"/>
      <c r="BG1710" s="77"/>
      <c r="BH1710" s="77"/>
      <c r="BI1710" s="77"/>
    </row>
    <row r="1711" spans="1:61" x14ac:dyDescent="0.25">
      <c r="A1711" s="62" t="s">
        <v>768</v>
      </c>
      <c r="B1711" s="62" t="s">
        <v>768</v>
      </c>
      <c r="C1711" s="63"/>
      <c r="D1711" s="64"/>
      <c r="E1711" s="65"/>
      <c r="F1711" s="66"/>
      <c r="G1711" s="63"/>
      <c r="H1711" s="67"/>
      <c r="I1711" s="68"/>
      <c r="J1711" s="68"/>
      <c r="K1711" s="32"/>
      <c r="L1711" s="75">
        <v>1711</v>
      </c>
      <c r="M1711" s="75"/>
      <c r="N1711" s="70"/>
      <c r="O1711" s="77" t="s">
        <v>1132</v>
      </c>
      <c r="P1711" s="79">
        <v>45119.542951388888</v>
      </c>
      <c r="Q1711" s="77" t="s">
        <v>2774</v>
      </c>
      <c r="R1711" s="77">
        <v>0</v>
      </c>
      <c r="S1711" s="77">
        <v>0</v>
      </c>
      <c r="T1711" s="77">
        <v>0</v>
      </c>
      <c r="U1711" s="77">
        <v>0</v>
      </c>
      <c r="V1711" s="77">
        <v>147</v>
      </c>
      <c r="W1711" s="82" t="s">
        <v>4915</v>
      </c>
      <c r="X1711" s="77"/>
      <c r="Y1711" s="77"/>
      <c r="Z1711" s="77"/>
      <c r="AA1711" s="77"/>
      <c r="AB1711" s="77"/>
      <c r="AC1711" s="82" t="s">
        <v>7706</v>
      </c>
      <c r="AD1711" s="77" t="s">
        <v>7745</v>
      </c>
      <c r="AE1711" s="80" t="str">
        <f>HYPERLINK("https://twitter.com/pravaler/status/1679113845502095363")</f>
        <v>https://twitter.com/pravaler/status/1679113845502095363</v>
      </c>
      <c r="AF1711" s="79">
        <v>45119.542951388888</v>
      </c>
      <c r="AG1711" s="85">
        <v>45119</v>
      </c>
      <c r="AH1711" s="82" t="s">
        <v>9273</v>
      </c>
      <c r="AI1711" s="77"/>
      <c r="AJ1711" s="77"/>
      <c r="AK1711" s="77"/>
      <c r="AL1711" s="77"/>
      <c r="AM1711" s="77"/>
      <c r="AN1711" s="77"/>
      <c r="AO1711" s="77"/>
      <c r="AP1711" s="77"/>
      <c r="AQ1711" s="77"/>
      <c r="AR1711" s="77"/>
      <c r="AS1711" s="77"/>
      <c r="AT1711" s="77"/>
      <c r="AU1711" s="77"/>
      <c r="AV1711" s="80" t="str">
        <f>HYPERLINK("https://pbs.twimg.com/profile_images/1633896603005141000/0_NlXxC__normal.jpg")</f>
        <v>https://pbs.twimg.com/profile_images/1633896603005141000/0_NlXxC__normal.jpg</v>
      </c>
      <c r="AW1711" s="82" t="s">
        <v>13877</v>
      </c>
      <c r="AX1711" s="82" t="s">
        <v>15358</v>
      </c>
      <c r="AY1711" s="82" t="s">
        <v>15761</v>
      </c>
      <c r="AZ1711" s="82" t="s">
        <v>15901</v>
      </c>
      <c r="BA1711" s="82" t="s">
        <v>15804</v>
      </c>
      <c r="BB1711" s="82" t="s">
        <v>15804</v>
      </c>
      <c r="BC1711" s="82" t="s">
        <v>15901</v>
      </c>
      <c r="BD1711" s="77">
        <v>18898473</v>
      </c>
      <c r="BE1711" s="77"/>
      <c r="BF1711" s="77"/>
      <c r="BG1711" s="77"/>
      <c r="BH1711" s="77"/>
      <c r="BI1711" s="77"/>
    </row>
    <row r="1712" spans="1:61" x14ac:dyDescent="0.25">
      <c r="A1712" s="62" t="s">
        <v>769</v>
      </c>
      <c r="B1712" s="62" t="s">
        <v>769</v>
      </c>
      <c r="C1712" s="63"/>
      <c r="D1712" s="64"/>
      <c r="E1712" s="65"/>
      <c r="F1712" s="66"/>
      <c r="G1712" s="63"/>
      <c r="H1712" s="67"/>
      <c r="I1712" s="68"/>
      <c r="J1712" s="68"/>
      <c r="K1712" s="32"/>
      <c r="L1712" s="75">
        <v>1712</v>
      </c>
      <c r="M1712" s="75"/>
      <c r="N1712" s="70"/>
      <c r="O1712" s="77" t="s">
        <v>179</v>
      </c>
      <c r="P1712" s="79">
        <v>45061.410439814812</v>
      </c>
      <c r="Q1712" s="77" t="s">
        <v>2775</v>
      </c>
      <c r="R1712" s="77">
        <v>2</v>
      </c>
      <c r="S1712" s="77">
        <v>18</v>
      </c>
      <c r="T1712" s="77">
        <v>1</v>
      </c>
      <c r="U1712" s="77">
        <v>1</v>
      </c>
      <c r="V1712" s="77">
        <v>16978</v>
      </c>
      <c r="W1712" s="77"/>
      <c r="X1712" s="80" t="str">
        <f>HYPERLINK("https://www1.folha.uol.com.br/mercado/2023/05/pispasep-sera-pago-nesta-segunda-feira-15-a-mais-de-44-milhoes-saiba-quem-tem-direito.shtml?utm_source=twitter&amp;utm_medium=social&amp;utm_campaign=twfolha")</f>
        <v>https://www1.folha.uol.com.br/mercado/2023/05/pispasep-sera-pago-nesta-segunda-feira-15-a-mais-de-44-milhoes-saiba-quem-tem-direito.shtml?utm_source=twitter&amp;utm_medium=social&amp;utm_campaign=twfolha</v>
      </c>
      <c r="Y1712" s="77" t="s">
        <v>6002</v>
      </c>
      <c r="Z1712" s="77"/>
      <c r="AA1712" s="77"/>
      <c r="AB1712" s="77"/>
      <c r="AC1712" s="82" t="s">
        <v>7740</v>
      </c>
      <c r="AD1712" s="77" t="s">
        <v>7745</v>
      </c>
      <c r="AE1712" s="80" t="str">
        <f>HYPERLINK("https://twitter.com/folha/status/1658047327460900869")</f>
        <v>https://twitter.com/folha/status/1658047327460900869</v>
      </c>
      <c r="AF1712" s="79">
        <v>45061.410439814812</v>
      </c>
      <c r="AG1712" s="85">
        <v>45061</v>
      </c>
      <c r="AH1712" s="82" t="s">
        <v>7851</v>
      </c>
      <c r="AI1712" s="77" t="b">
        <v>0</v>
      </c>
      <c r="AJ1712" s="77"/>
      <c r="AK1712" s="77"/>
      <c r="AL1712" s="77"/>
      <c r="AM1712" s="77"/>
      <c r="AN1712" s="77"/>
      <c r="AO1712" s="77"/>
      <c r="AP1712" s="77"/>
      <c r="AQ1712" s="77"/>
      <c r="AR1712" s="77"/>
      <c r="AS1712" s="77"/>
      <c r="AT1712" s="77"/>
      <c r="AU1712" s="77"/>
      <c r="AV1712" s="80" t="str">
        <f>HYPERLINK("https://pbs.twimg.com/profile_images/1542328100159102978/TY95Pzzw_normal.jpg")</f>
        <v>https://pbs.twimg.com/profile_images/1542328100159102978/TY95Pzzw_normal.jpg</v>
      </c>
      <c r="AW1712" s="82" t="s">
        <v>13878</v>
      </c>
      <c r="AX1712" s="82" t="s">
        <v>13878</v>
      </c>
      <c r="AY1712" s="77"/>
      <c r="AZ1712" s="82" t="s">
        <v>15804</v>
      </c>
      <c r="BA1712" s="82" t="s">
        <v>15804</v>
      </c>
      <c r="BB1712" s="82" t="s">
        <v>15804</v>
      </c>
      <c r="BC1712" s="82" t="s">
        <v>13878</v>
      </c>
      <c r="BD1712" s="77">
        <v>14594813</v>
      </c>
      <c r="BE1712" s="77"/>
      <c r="BF1712" s="77"/>
      <c r="BG1712" s="77"/>
      <c r="BH1712" s="77"/>
      <c r="BI1712" s="77"/>
    </row>
    <row r="1713" spans="1:61" x14ac:dyDescent="0.25">
      <c r="A1713" s="62" t="s">
        <v>770</v>
      </c>
      <c r="B1713" s="62" t="s">
        <v>770</v>
      </c>
      <c r="C1713" s="63"/>
      <c r="D1713" s="64"/>
      <c r="E1713" s="65"/>
      <c r="F1713" s="66"/>
      <c r="G1713" s="63"/>
      <c r="H1713" s="67"/>
      <c r="I1713" s="68"/>
      <c r="J1713" s="68"/>
      <c r="K1713" s="32"/>
      <c r="L1713" s="75">
        <v>1713</v>
      </c>
      <c r="M1713" s="75"/>
      <c r="N1713" s="70"/>
      <c r="O1713" s="77" t="s">
        <v>179</v>
      </c>
      <c r="P1713" s="79">
        <v>45093.03670138889</v>
      </c>
      <c r="Q1713" s="77" t="s">
        <v>2776</v>
      </c>
      <c r="R1713" s="77">
        <v>0</v>
      </c>
      <c r="S1713" s="77">
        <v>1</v>
      </c>
      <c r="T1713" s="77">
        <v>0</v>
      </c>
      <c r="U1713" s="77">
        <v>0</v>
      </c>
      <c r="V1713" s="77">
        <v>271</v>
      </c>
      <c r="W1713" s="82" t="s">
        <v>5238</v>
      </c>
      <c r="X1713" s="77"/>
      <c r="Y1713" s="77"/>
      <c r="Z1713" s="77"/>
      <c r="AA1713" s="77" t="s">
        <v>7168</v>
      </c>
      <c r="AB1713" s="77" t="s">
        <v>7696</v>
      </c>
      <c r="AC1713" s="82" t="s">
        <v>7706</v>
      </c>
      <c r="AD1713" s="77" t="s">
        <v>7745</v>
      </c>
      <c r="AE1713" s="80" t="str">
        <f>HYPERLINK("https://twitter.com/investidorcltt/status/1669508299002200064")</f>
        <v>https://twitter.com/investidorcltt/status/1669508299002200064</v>
      </c>
      <c r="AF1713" s="79">
        <v>45093.03670138889</v>
      </c>
      <c r="AG1713" s="85">
        <v>45093</v>
      </c>
      <c r="AH1713" s="82" t="s">
        <v>9274</v>
      </c>
      <c r="AI1713" s="77" t="b">
        <v>0</v>
      </c>
      <c r="AJ1713" s="77"/>
      <c r="AK1713" s="77"/>
      <c r="AL1713" s="77"/>
      <c r="AM1713" s="77"/>
      <c r="AN1713" s="77"/>
      <c r="AO1713" s="77"/>
      <c r="AP1713" s="77"/>
      <c r="AQ1713" s="77" t="s">
        <v>11675</v>
      </c>
      <c r="AR1713" s="77"/>
      <c r="AS1713" s="77"/>
      <c r="AT1713" s="77"/>
      <c r="AU1713" s="77"/>
      <c r="AV1713" s="80" t="str">
        <f>HYPERLINK("https://pbs.twimg.com/media/FytI26OXwAANs-9.jpg")</f>
        <v>https://pbs.twimg.com/media/FytI26OXwAANs-9.jpg</v>
      </c>
      <c r="AW1713" s="82" t="s">
        <v>13879</v>
      </c>
      <c r="AX1713" s="82" t="s">
        <v>13879</v>
      </c>
      <c r="AY1713" s="77"/>
      <c r="AZ1713" s="82" t="s">
        <v>15804</v>
      </c>
      <c r="BA1713" s="82" t="s">
        <v>15804</v>
      </c>
      <c r="BB1713" s="82" t="s">
        <v>15804</v>
      </c>
      <c r="BC1713" s="82" t="s">
        <v>13879</v>
      </c>
      <c r="BD1713" s="77">
        <v>2880483634</v>
      </c>
      <c r="BE1713" s="77"/>
      <c r="BF1713" s="77"/>
      <c r="BG1713" s="77"/>
      <c r="BH1713" s="77"/>
      <c r="BI1713" s="77"/>
    </row>
    <row r="1714" spans="1:61" x14ac:dyDescent="0.25">
      <c r="A1714" s="62" t="s">
        <v>771</v>
      </c>
      <c r="B1714" s="62" t="s">
        <v>771</v>
      </c>
      <c r="C1714" s="63"/>
      <c r="D1714" s="64"/>
      <c r="E1714" s="65"/>
      <c r="F1714" s="66"/>
      <c r="G1714" s="63"/>
      <c r="H1714" s="67"/>
      <c r="I1714" s="68"/>
      <c r="J1714" s="68"/>
      <c r="K1714" s="32"/>
      <c r="L1714" s="75">
        <v>1714</v>
      </c>
      <c r="M1714" s="75"/>
      <c r="N1714" s="70"/>
      <c r="O1714" s="77" t="s">
        <v>179</v>
      </c>
      <c r="P1714" s="79">
        <v>45119.692939814813</v>
      </c>
      <c r="Q1714" s="77" t="s">
        <v>2777</v>
      </c>
      <c r="R1714" s="77">
        <v>1</v>
      </c>
      <c r="S1714" s="77">
        <v>2</v>
      </c>
      <c r="T1714" s="77">
        <v>0</v>
      </c>
      <c r="U1714" s="77">
        <v>0</v>
      </c>
      <c r="V1714" s="77">
        <v>28</v>
      </c>
      <c r="W1714" s="82" t="s">
        <v>5239</v>
      </c>
      <c r="X1714" s="80" t="str">
        <f>HYPERLINK("https://www.comlucro.com.br/plano-de-trading-para-operar-o-mini-indice-bovespa-estrategias-e-praticas/")</f>
        <v>https://www.comlucro.com.br/plano-de-trading-para-operar-o-mini-indice-bovespa-estrategias-e-praticas/</v>
      </c>
      <c r="Y1714" s="77" t="s">
        <v>6002</v>
      </c>
      <c r="Z1714" s="77"/>
      <c r="AA1714" s="77" t="s">
        <v>7169</v>
      </c>
      <c r="AB1714" s="77" t="s">
        <v>7696</v>
      </c>
      <c r="AC1714" s="82" t="s">
        <v>7706</v>
      </c>
      <c r="AD1714" s="77" t="s">
        <v>7746</v>
      </c>
      <c r="AE1714" s="80" t="str">
        <f>HYPERLINK("https://twitter.com/ssfilhorp/status/1679168197025574912")</f>
        <v>https://twitter.com/ssfilhorp/status/1679168197025574912</v>
      </c>
      <c r="AF1714" s="79">
        <v>45119.692939814813</v>
      </c>
      <c r="AG1714" s="85">
        <v>45119</v>
      </c>
      <c r="AH1714" s="82" t="s">
        <v>9275</v>
      </c>
      <c r="AI1714" s="77" t="b">
        <v>0</v>
      </c>
      <c r="AJ1714" s="77"/>
      <c r="AK1714" s="77"/>
      <c r="AL1714" s="77"/>
      <c r="AM1714" s="77"/>
      <c r="AN1714" s="77"/>
      <c r="AO1714" s="77"/>
      <c r="AP1714" s="77"/>
      <c r="AQ1714" s="77" t="s">
        <v>11676</v>
      </c>
      <c r="AR1714" s="77"/>
      <c r="AS1714" s="77"/>
      <c r="AT1714" s="77"/>
      <c r="AU1714" s="77"/>
      <c r="AV1714" s="80" t="str">
        <f>HYPERLINK("https://pbs.twimg.com/media/F02akVqXwAEWj-w.jpg")</f>
        <v>https://pbs.twimg.com/media/F02akVqXwAEWj-w.jpg</v>
      </c>
      <c r="AW1714" s="82" t="s">
        <v>13880</v>
      </c>
      <c r="AX1714" s="82" t="s">
        <v>13880</v>
      </c>
      <c r="AY1714" s="77"/>
      <c r="AZ1714" s="82" t="s">
        <v>15804</v>
      </c>
      <c r="BA1714" s="82" t="s">
        <v>15804</v>
      </c>
      <c r="BB1714" s="82" t="s">
        <v>15804</v>
      </c>
      <c r="BC1714" s="82" t="s">
        <v>13880</v>
      </c>
      <c r="BD1714" s="82" t="s">
        <v>16444</v>
      </c>
      <c r="BE1714" s="77"/>
      <c r="BF1714" s="77"/>
      <c r="BG1714" s="77"/>
      <c r="BH1714" s="77"/>
      <c r="BI1714" s="77"/>
    </row>
    <row r="1715" spans="1:61" x14ac:dyDescent="0.25">
      <c r="A1715" s="62" t="s">
        <v>772</v>
      </c>
      <c r="B1715" s="62" t="s">
        <v>934</v>
      </c>
      <c r="C1715" s="63"/>
      <c r="D1715" s="64"/>
      <c r="E1715" s="65"/>
      <c r="F1715" s="66"/>
      <c r="G1715" s="63"/>
      <c r="H1715" s="67"/>
      <c r="I1715" s="68"/>
      <c r="J1715" s="68"/>
      <c r="K1715" s="32"/>
      <c r="L1715" s="75">
        <v>1715</v>
      </c>
      <c r="M1715" s="75"/>
      <c r="N1715" s="70"/>
      <c r="O1715" s="77" t="s">
        <v>1134</v>
      </c>
      <c r="P1715" s="79">
        <v>45176.90761574074</v>
      </c>
      <c r="Q1715" s="77" t="s">
        <v>1275</v>
      </c>
      <c r="R1715" s="77">
        <v>4</v>
      </c>
      <c r="S1715" s="77">
        <v>0</v>
      </c>
      <c r="T1715" s="77">
        <v>0</v>
      </c>
      <c r="U1715" s="77">
        <v>0</v>
      </c>
      <c r="V1715" s="77"/>
      <c r="W1715" s="82" t="s">
        <v>4143</v>
      </c>
      <c r="X1715" s="77"/>
      <c r="Y1715" s="77"/>
      <c r="Z1715" s="77" t="s">
        <v>934</v>
      </c>
      <c r="AA1715" s="77"/>
      <c r="AB1715" s="77"/>
      <c r="AC1715" s="82" t="s">
        <v>7706</v>
      </c>
      <c r="AD1715" s="77" t="s">
        <v>7747</v>
      </c>
      <c r="AE1715" s="80" t="str">
        <f>HYPERLINK("https://twitter.com/criptoislife/status/1699902103588913260")</f>
        <v>https://twitter.com/criptoislife/status/1699902103588913260</v>
      </c>
      <c r="AF1715" s="79">
        <v>45176.90761574074</v>
      </c>
      <c r="AG1715" s="85">
        <v>45176</v>
      </c>
      <c r="AH1715" s="82" t="s">
        <v>8262</v>
      </c>
      <c r="AI1715" s="77"/>
      <c r="AJ1715" s="77"/>
      <c r="AK1715" s="77"/>
      <c r="AL1715" s="77"/>
      <c r="AM1715" s="77"/>
      <c r="AN1715" s="77"/>
      <c r="AO1715" s="77"/>
      <c r="AP1715" s="77"/>
      <c r="AQ1715" s="77"/>
      <c r="AR1715" s="77"/>
      <c r="AS1715" s="77"/>
      <c r="AT1715" s="77"/>
      <c r="AU1715" s="77"/>
      <c r="AV1715" s="80" t="str">
        <f>HYPERLINK("https://pbs.twimg.com/profile_images/1490672746594029570/BCprx0aO_normal.jpg")</f>
        <v>https://pbs.twimg.com/profile_images/1490672746594029570/BCprx0aO_normal.jpg</v>
      </c>
      <c r="AW1715" s="82" t="s">
        <v>13881</v>
      </c>
      <c r="AX1715" s="82" t="s">
        <v>13881</v>
      </c>
      <c r="AY1715" s="77"/>
      <c r="AZ1715" s="82" t="s">
        <v>15804</v>
      </c>
      <c r="BA1715" s="82" t="s">
        <v>15804</v>
      </c>
      <c r="BB1715" s="82" t="s">
        <v>14575</v>
      </c>
      <c r="BC1715" s="82" t="s">
        <v>14575</v>
      </c>
      <c r="BD1715" s="77">
        <v>365195870</v>
      </c>
      <c r="BE1715" s="77"/>
      <c r="BF1715" s="77"/>
      <c r="BG1715" s="77"/>
      <c r="BH1715" s="77"/>
      <c r="BI1715" s="77"/>
    </row>
    <row r="1716" spans="1:61" x14ac:dyDescent="0.25">
      <c r="A1716" s="62" t="s">
        <v>773</v>
      </c>
      <c r="B1716" s="62" t="s">
        <v>1010</v>
      </c>
      <c r="C1716" s="63"/>
      <c r="D1716" s="64"/>
      <c r="E1716" s="65"/>
      <c r="F1716" s="66"/>
      <c r="G1716" s="63"/>
      <c r="H1716" s="67"/>
      <c r="I1716" s="68"/>
      <c r="J1716" s="68"/>
      <c r="K1716" s="32"/>
      <c r="L1716" s="75">
        <v>1716</v>
      </c>
      <c r="M1716" s="75"/>
      <c r="N1716" s="70"/>
      <c r="O1716" s="77" t="s">
        <v>1133</v>
      </c>
      <c r="P1716" s="79">
        <v>45057.896412037036</v>
      </c>
      <c r="Q1716" s="77" t="s">
        <v>2778</v>
      </c>
      <c r="R1716" s="77">
        <v>0</v>
      </c>
      <c r="S1716" s="77">
        <v>6</v>
      </c>
      <c r="T1716" s="77">
        <v>0</v>
      </c>
      <c r="U1716" s="77">
        <v>0</v>
      </c>
      <c r="V1716" s="77">
        <v>333</v>
      </c>
      <c r="W1716" s="82" t="s">
        <v>5240</v>
      </c>
      <c r="X1716" s="80" t="str">
        <f>HYPERLINK("https://bit.ly/429iwK3")</f>
        <v>https://bit.ly/429iwK3</v>
      </c>
      <c r="Y1716" s="77" t="s">
        <v>6004</v>
      </c>
      <c r="Z1716" s="77" t="s">
        <v>1010</v>
      </c>
      <c r="AA1716" s="77" t="s">
        <v>7170</v>
      </c>
      <c r="AB1716" s="77" t="s">
        <v>7698</v>
      </c>
      <c r="AC1716" s="82" t="s">
        <v>7708</v>
      </c>
      <c r="AD1716" s="77" t="s">
        <v>7745</v>
      </c>
      <c r="AE1716" s="80" t="str">
        <f>HYPERLINK("https://twitter.com/vidasimples/status/1656773887558836225")</f>
        <v>https://twitter.com/vidasimples/status/1656773887558836225</v>
      </c>
      <c r="AF1716" s="79">
        <v>45057.896412037036</v>
      </c>
      <c r="AG1716" s="85">
        <v>45057</v>
      </c>
      <c r="AH1716" s="82" t="s">
        <v>9276</v>
      </c>
      <c r="AI1716" s="77" t="b">
        <v>0</v>
      </c>
      <c r="AJ1716" s="77"/>
      <c r="AK1716" s="77"/>
      <c r="AL1716" s="77"/>
      <c r="AM1716" s="77"/>
      <c r="AN1716" s="77"/>
      <c r="AO1716" s="77"/>
      <c r="AP1716" s="77"/>
      <c r="AQ1716" s="77" t="s">
        <v>11677</v>
      </c>
      <c r="AR1716" s="77"/>
      <c r="AS1716" s="77"/>
      <c r="AT1716" s="77"/>
      <c r="AU1716" s="77"/>
      <c r="AV1716" s="80" t="str">
        <f>HYPERLINK("https://pbs.twimg.com/media/Fv4LEjTWwAI1ixq.jpg")</f>
        <v>https://pbs.twimg.com/media/Fv4LEjTWwAI1ixq.jpg</v>
      </c>
      <c r="AW1716" s="82" t="s">
        <v>13882</v>
      </c>
      <c r="AX1716" s="82" t="s">
        <v>13882</v>
      </c>
      <c r="AY1716" s="77"/>
      <c r="AZ1716" s="82" t="s">
        <v>15804</v>
      </c>
      <c r="BA1716" s="82" t="s">
        <v>15804</v>
      </c>
      <c r="BB1716" s="82" t="s">
        <v>15804</v>
      </c>
      <c r="BC1716" s="82" t="s">
        <v>13882</v>
      </c>
      <c r="BD1716" s="77">
        <v>171153968</v>
      </c>
      <c r="BE1716" s="77"/>
      <c r="BF1716" s="77"/>
      <c r="BG1716" s="77"/>
      <c r="BH1716" s="77"/>
      <c r="BI1716" s="77"/>
    </row>
    <row r="1717" spans="1:61" x14ac:dyDescent="0.25">
      <c r="A1717" s="62" t="s">
        <v>774</v>
      </c>
      <c r="B1717" s="62" t="s">
        <v>774</v>
      </c>
      <c r="C1717" s="63"/>
      <c r="D1717" s="64"/>
      <c r="E1717" s="65"/>
      <c r="F1717" s="66"/>
      <c r="G1717" s="63"/>
      <c r="H1717" s="67"/>
      <c r="I1717" s="68"/>
      <c r="J1717" s="68"/>
      <c r="K1717" s="32"/>
      <c r="L1717" s="75">
        <v>1717</v>
      </c>
      <c r="M1717" s="75"/>
      <c r="N1717" s="70"/>
      <c r="O1717" s="77" t="s">
        <v>179</v>
      </c>
      <c r="P1717" s="79">
        <v>45145.634016203701</v>
      </c>
      <c r="Q1717" s="77" t="s">
        <v>2779</v>
      </c>
      <c r="R1717" s="77">
        <v>27</v>
      </c>
      <c r="S1717" s="77">
        <v>31</v>
      </c>
      <c r="T1717" s="77">
        <v>21</v>
      </c>
      <c r="U1717" s="77">
        <v>0</v>
      </c>
      <c r="V1717" s="77">
        <v>973</v>
      </c>
      <c r="W1717" s="82" t="s">
        <v>5241</v>
      </c>
      <c r="X1717" s="77"/>
      <c r="Y1717" s="77"/>
      <c r="Z1717" s="77"/>
      <c r="AA1717" s="77" t="s">
        <v>7171</v>
      </c>
      <c r="AB1717" s="77" t="s">
        <v>7696</v>
      </c>
      <c r="AC1717" s="82" t="s">
        <v>7706</v>
      </c>
      <c r="AD1717" s="77" t="s">
        <v>7745</v>
      </c>
      <c r="AE1717" s="80" t="str">
        <f>HYPERLINK("https://twitter.com/keepboredbr/status/1688568927834566656")</f>
        <v>https://twitter.com/keepboredbr/status/1688568927834566656</v>
      </c>
      <c r="AF1717" s="79">
        <v>45145.634016203701</v>
      </c>
      <c r="AG1717" s="85">
        <v>45145</v>
      </c>
      <c r="AH1717" s="82" t="s">
        <v>9277</v>
      </c>
      <c r="AI1717" s="77" t="b">
        <v>0</v>
      </c>
      <c r="AJ1717" s="77"/>
      <c r="AK1717" s="77"/>
      <c r="AL1717" s="77"/>
      <c r="AM1717" s="77"/>
      <c r="AN1717" s="77"/>
      <c r="AO1717" s="77"/>
      <c r="AP1717" s="77"/>
      <c r="AQ1717" s="77" t="s">
        <v>11678</v>
      </c>
      <c r="AR1717" s="77"/>
      <c r="AS1717" s="77"/>
      <c r="AT1717" s="77"/>
      <c r="AU1717" s="77"/>
      <c r="AV1717" s="80" t="str">
        <f>HYPERLINK("https://pbs.twimg.com/media/F28AdhNXoAE4Ufc.jpg")</f>
        <v>https://pbs.twimg.com/media/F28AdhNXoAE4Ufc.jpg</v>
      </c>
      <c r="AW1717" s="82" t="s">
        <v>13883</v>
      </c>
      <c r="AX1717" s="82" t="s">
        <v>13883</v>
      </c>
      <c r="AY1717" s="77"/>
      <c r="AZ1717" s="82" t="s">
        <v>15804</v>
      </c>
      <c r="BA1717" s="82" t="s">
        <v>15804</v>
      </c>
      <c r="BB1717" s="82" t="s">
        <v>15804</v>
      </c>
      <c r="BC1717" s="82" t="s">
        <v>13883</v>
      </c>
      <c r="BD1717" s="82" t="s">
        <v>16445</v>
      </c>
      <c r="BE1717" s="77"/>
      <c r="BF1717" s="77"/>
      <c r="BG1717" s="77"/>
      <c r="BH1717" s="77"/>
      <c r="BI1717" s="77"/>
    </row>
    <row r="1718" spans="1:61" x14ac:dyDescent="0.25">
      <c r="A1718" s="62" t="s">
        <v>775</v>
      </c>
      <c r="B1718" s="62" t="s">
        <v>1058</v>
      </c>
      <c r="C1718" s="63"/>
      <c r="D1718" s="64"/>
      <c r="E1718" s="65"/>
      <c r="F1718" s="66"/>
      <c r="G1718" s="63"/>
      <c r="H1718" s="67"/>
      <c r="I1718" s="68"/>
      <c r="J1718" s="68"/>
      <c r="K1718" s="32"/>
      <c r="L1718" s="75">
        <v>1718</v>
      </c>
      <c r="M1718" s="75"/>
      <c r="N1718" s="70"/>
      <c r="O1718" s="77" t="s">
        <v>1133</v>
      </c>
      <c r="P1718" s="79">
        <v>45154.496863425928</v>
      </c>
      <c r="Q1718" s="77" t="s">
        <v>2780</v>
      </c>
      <c r="R1718" s="77">
        <v>0</v>
      </c>
      <c r="S1718" s="77">
        <v>0</v>
      </c>
      <c r="T1718" s="77">
        <v>0</v>
      </c>
      <c r="U1718" s="77">
        <v>0</v>
      </c>
      <c r="V1718" s="77">
        <v>11</v>
      </c>
      <c r="W1718" s="82" t="s">
        <v>5242</v>
      </c>
      <c r="X1718" s="80" t="str">
        <f>HYPERLINK("https://youtu.be/JVaZAP7bDYg")</f>
        <v>https://youtu.be/JVaZAP7bDYg</v>
      </c>
      <c r="Y1718" s="77" t="s">
        <v>6003</v>
      </c>
      <c r="Z1718" s="77" t="s">
        <v>1058</v>
      </c>
      <c r="AA1718" s="77"/>
      <c r="AB1718" s="77"/>
      <c r="AC1718" s="82" t="s">
        <v>7705</v>
      </c>
      <c r="AD1718" s="77" t="s">
        <v>7745</v>
      </c>
      <c r="AE1718" s="80" t="str">
        <f>HYPERLINK("https://twitter.com/luamedeiross/status/1691780717481542022")</f>
        <v>https://twitter.com/luamedeiross/status/1691780717481542022</v>
      </c>
      <c r="AF1718" s="79">
        <v>45154.496863425928</v>
      </c>
      <c r="AG1718" s="85">
        <v>45154</v>
      </c>
      <c r="AH1718" s="82" t="s">
        <v>9278</v>
      </c>
      <c r="AI1718" s="77" t="b">
        <v>0</v>
      </c>
      <c r="AJ1718" s="77"/>
      <c r="AK1718" s="77"/>
      <c r="AL1718" s="77"/>
      <c r="AM1718" s="77"/>
      <c r="AN1718" s="77"/>
      <c r="AO1718" s="77"/>
      <c r="AP1718" s="77"/>
      <c r="AQ1718" s="77"/>
      <c r="AR1718" s="77"/>
      <c r="AS1718" s="77"/>
      <c r="AT1718" s="77"/>
      <c r="AU1718" s="77"/>
      <c r="AV1718" s="80" t="str">
        <f>HYPERLINK("https://pbs.twimg.com/profile_images/1692311451933736960/mHyPThud_normal.jpg")</f>
        <v>https://pbs.twimg.com/profile_images/1692311451933736960/mHyPThud_normal.jpg</v>
      </c>
      <c r="AW1718" s="82" t="s">
        <v>13884</v>
      </c>
      <c r="AX1718" s="82" t="s">
        <v>13884</v>
      </c>
      <c r="AY1718" s="77"/>
      <c r="AZ1718" s="82" t="s">
        <v>15804</v>
      </c>
      <c r="BA1718" s="82" t="s">
        <v>15804</v>
      </c>
      <c r="BB1718" s="82" t="s">
        <v>15804</v>
      </c>
      <c r="BC1718" s="82" t="s">
        <v>13884</v>
      </c>
      <c r="BD1718" s="77">
        <v>161380515</v>
      </c>
      <c r="BE1718" s="77"/>
      <c r="BF1718" s="77"/>
      <c r="BG1718" s="77"/>
      <c r="BH1718" s="77"/>
      <c r="BI1718" s="77"/>
    </row>
    <row r="1719" spans="1:61" x14ac:dyDescent="0.25">
      <c r="A1719" s="62" t="s">
        <v>776</v>
      </c>
      <c r="B1719" s="62" t="s">
        <v>776</v>
      </c>
      <c r="C1719" s="63"/>
      <c r="D1719" s="64"/>
      <c r="E1719" s="65"/>
      <c r="F1719" s="66"/>
      <c r="G1719" s="63"/>
      <c r="H1719" s="67"/>
      <c r="I1719" s="68"/>
      <c r="J1719" s="68"/>
      <c r="K1719" s="32"/>
      <c r="L1719" s="75">
        <v>1719</v>
      </c>
      <c r="M1719" s="75"/>
      <c r="N1719" s="70"/>
      <c r="O1719" s="77" t="s">
        <v>179</v>
      </c>
      <c r="P1719" s="79">
        <v>44973.67596064815</v>
      </c>
      <c r="Q1719" s="77" t="s">
        <v>2781</v>
      </c>
      <c r="R1719" s="77">
        <v>0</v>
      </c>
      <c r="S1719" s="77">
        <v>0</v>
      </c>
      <c r="T1719" s="77">
        <v>0</v>
      </c>
      <c r="U1719" s="77">
        <v>0</v>
      </c>
      <c r="V1719" s="77">
        <v>36</v>
      </c>
      <c r="W1719" s="82" t="s">
        <v>5243</v>
      </c>
      <c r="X1719" s="77"/>
      <c r="Y1719" s="77"/>
      <c r="Z1719" s="77"/>
      <c r="AA1719" s="77"/>
      <c r="AB1719" s="77"/>
      <c r="AC1719" s="82" t="s">
        <v>7706</v>
      </c>
      <c r="AD1719" s="77" t="s">
        <v>7745</v>
      </c>
      <c r="AE1719" s="80" t="str">
        <f>HYPERLINK("https://twitter.com/jeffao_brabo/status/1626253416904200197")</f>
        <v>https://twitter.com/jeffao_brabo/status/1626253416904200197</v>
      </c>
      <c r="AF1719" s="79">
        <v>44973.67596064815</v>
      </c>
      <c r="AG1719" s="85">
        <v>44973</v>
      </c>
      <c r="AH1719" s="82" t="s">
        <v>9279</v>
      </c>
      <c r="AI1719" s="77"/>
      <c r="AJ1719" s="77"/>
      <c r="AK1719" s="77"/>
      <c r="AL1719" s="77"/>
      <c r="AM1719" s="77"/>
      <c r="AN1719" s="77"/>
      <c r="AO1719" s="77"/>
      <c r="AP1719" s="77"/>
      <c r="AQ1719" s="77"/>
      <c r="AR1719" s="77"/>
      <c r="AS1719" s="77"/>
      <c r="AT1719" s="77"/>
      <c r="AU1719" s="77"/>
      <c r="AV1719" s="80" t="str">
        <f>HYPERLINK("https://pbs.twimg.com/profile_images/1665040579703590912/ZR_86Zcn_normal.jpg")</f>
        <v>https://pbs.twimg.com/profile_images/1665040579703590912/ZR_86Zcn_normal.jpg</v>
      </c>
      <c r="AW1719" s="82" t="s">
        <v>13885</v>
      </c>
      <c r="AX1719" s="82" t="s">
        <v>13885</v>
      </c>
      <c r="AY1719" s="77"/>
      <c r="AZ1719" s="82" t="s">
        <v>15804</v>
      </c>
      <c r="BA1719" s="82" t="s">
        <v>15804</v>
      </c>
      <c r="BB1719" s="82" t="s">
        <v>15804</v>
      </c>
      <c r="BC1719" s="82" t="s">
        <v>13885</v>
      </c>
      <c r="BD1719" s="82" t="s">
        <v>16446</v>
      </c>
      <c r="BE1719" s="77"/>
      <c r="BF1719" s="77"/>
      <c r="BG1719" s="77"/>
      <c r="BH1719" s="77"/>
      <c r="BI1719" s="77"/>
    </row>
    <row r="1720" spans="1:61" x14ac:dyDescent="0.25">
      <c r="A1720" s="62" t="s">
        <v>777</v>
      </c>
      <c r="B1720" s="62" t="s">
        <v>777</v>
      </c>
      <c r="C1720" s="63"/>
      <c r="D1720" s="64"/>
      <c r="E1720" s="65"/>
      <c r="F1720" s="66"/>
      <c r="G1720" s="63"/>
      <c r="H1720" s="67"/>
      <c r="I1720" s="68"/>
      <c r="J1720" s="68"/>
      <c r="K1720" s="32"/>
      <c r="L1720" s="75">
        <v>1720</v>
      </c>
      <c r="M1720" s="75"/>
      <c r="N1720" s="70"/>
      <c r="O1720" s="77" t="s">
        <v>179</v>
      </c>
      <c r="P1720" s="79">
        <v>45117.542002314818</v>
      </c>
      <c r="Q1720" s="77" t="s">
        <v>2782</v>
      </c>
      <c r="R1720" s="77">
        <v>0</v>
      </c>
      <c r="S1720" s="77">
        <v>1</v>
      </c>
      <c r="T1720" s="77">
        <v>0</v>
      </c>
      <c r="U1720" s="77">
        <v>0</v>
      </c>
      <c r="V1720" s="77">
        <v>127</v>
      </c>
      <c r="W1720" s="82" t="s">
        <v>5244</v>
      </c>
      <c r="X1720" s="77"/>
      <c r="Y1720" s="77"/>
      <c r="Z1720" s="77"/>
      <c r="AA1720" s="77" t="s">
        <v>7172</v>
      </c>
      <c r="AB1720" s="77" t="s">
        <v>7697</v>
      </c>
      <c r="AC1720" s="82" t="s">
        <v>7707</v>
      </c>
      <c r="AD1720" s="77" t="s">
        <v>7745</v>
      </c>
      <c r="AE1720" s="80" t="str">
        <f>HYPERLINK("https://twitter.com/aureliova813892/status/1678388723497553920")</f>
        <v>https://twitter.com/aureliova813892/status/1678388723497553920</v>
      </c>
      <c r="AF1720" s="79">
        <v>45117.542002314818</v>
      </c>
      <c r="AG1720" s="85">
        <v>45117</v>
      </c>
      <c r="AH1720" s="82" t="s">
        <v>9280</v>
      </c>
      <c r="AI1720" s="77" t="b">
        <v>0</v>
      </c>
      <c r="AJ1720" s="77"/>
      <c r="AK1720" s="77"/>
      <c r="AL1720" s="77"/>
      <c r="AM1720" s="77"/>
      <c r="AN1720" s="77"/>
      <c r="AO1720" s="77"/>
      <c r="AP1720" s="77"/>
      <c r="AQ1720" s="77" t="s">
        <v>11679</v>
      </c>
      <c r="AR1720" s="77">
        <v>39928</v>
      </c>
      <c r="AS1720" s="77"/>
      <c r="AT1720" s="77"/>
      <c r="AU1720" s="77">
        <v>17</v>
      </c>
      <c r="AV1720" s="80" t="str">
        <f>HYPERLINK("https://pbs.twimg.com/ext_tw_video_thumb/1678388365467480065/pu/img/z8Zja2HIhn6tPUmf.jpg")</f>
        <v>https://pbs.twimg.com/ext_tw_video_thumb/1678388365467480065/pu/img/z8Zja2HIhn6tPUmf.jpg</v>
      </c>
      <c r="AW1720" s="82" t="s">
        <v>13886</v>
      </c>
      <c r="AX1720" s="82" t="s">
        <v>13886</v>
      </c>
      <c r="AY1720" s="77"/>
      <c r="AZ1720" s="82" t="s">
        <v>15804</v>
      </c>
      <c r="BA1720" s="82" t="s">
        <v>15804</v>
      </c>
      <c r="BB1720" s="82" t="s">
        <v>15804</v>
      </c>
      <c r="BC1720" s="82" t="s">
        <v>13886</v>
      </c>
      <c r="BD1720" s="82" t="s">
        <v>16447</v>
      </c>
      <c r="BE1720" s="77"/>
      <c r="BF1720" s="77"/>
      <c r="BG1720" s="77"/>
      <c r="BH1720" s="77"/>
      <c r="BI1720" s="77"/>
    </row>
    <row r="1721" spans="1:61" x14ac:dyDescent="0.25">
      <c r="A1721" s="62" t="s">
        <v>778</v>
      </c>
      <c r="B1721" s="62" t="s">
        <v>778</v>
      </c>
      <c r="C1721" s="63"/>
      <c r="D1721" s="64"/>
      <c r="E1721" s="65"/>
      <c r="F1721" s="66"/>
      <c r="G1721" s="63"/>
      <c r="H1721" s="67"/>
      <c r="I1721" s="68"/>
      <c r="J1721" s="68"/>
      <c r="K1721" s="32"/>
      <c r="L1721" s="75">
        <v>1721</v>
      </c>
      <c r="M1721" s="75"/>
      <c r="N1721" s="70"/>
      <c r="O1721" s="77" t="s">
        <v>179</v>
      </c>
      <c r="P1721" s="79">
        <v>45040.241909722223</v>
      </c>
      <c r="Q1721" s="77" t="s">
        <v>2783</v>
      </c>
      <c r="R1721" s="77">
        <v>0</v>
      </c>
      <c r="S1721" s="77">
        <v>1</v>
      </c>
      <c r="T1721" s="77">
        <v>0</v>
      </c>
      <c r="U1721" s="77">
        <v>0</v>
      </c>
      <c r="V1721" s="77">
        <v>32</v>
      </c>
      <c r="W1721" s="82" t="s">
        <v>5245</v>
      </c>
      <c r="X1721" s="77"/>
      <c r="Y1721" s="77"/>
      <c r="Z1721" s="77"/>
      <c r="AA1721" s="77"/>
      <c r="AB1721" s="77"/>
      <c r="AC1721" s="82" t="s">
        <v>7705</v>
      </c>
      <c r="AD1721" s="77" t="s">
        <v>7745</v>
      </c>
      <c r="AE1721" s="80" t="str">
        <f>HYPERLINK("https://twitter.com/dj_elmar_/status/1650376108947263490")</f>
        <v>https://twitter.com/dj_elmar_/status/1650376108947263490</v>
      </c>
      <c r="AF1721" s="79">
        <v>45040.241909722223</v>
      </c>
      <c r="AG1721" s="85">
        <v>45040</v>
      </c>
      <c r="AH1721" s="82" t="s">
        <v>9281</v>
      </c>
      <c r="AI1721" s="77"/>
      <c r="AJ1721" s="77"/>
      <c r="AK1721" s="77"/>
      <c r="AL1721" s="77"/>
      <c r="AM1721" s="77"/>
      <c r="AN1721" s="77"/>
      <c r="AO1721" s="77"/>
      <c r="AP1721" s="77"/>
      <c r="AQ1721" s="77"/>
      <c r="AR1721" s="77"/>
      <c r="AS1721" s="77"/>
      <c r="AT1721" s="77"/>
      <c r="AU1721" s="77"/>
      <c r="AV1721" s="80" t="str">
        <f>HYPERLINK("https://pbs.twimg.com/profile_images/1672174112683302912/4N_TINbB_normal.jpg")</f>
        <v>https://pbs.twimg.com/profile_images/1672174112683302912/4N_TINbB_normal.jpg</v>
      </c>
      <c r="AW1721" s="82" t="s">
        <v>13887</v>
      </c>
      <c r="AX1721" s="82" t="s">
        <v>13887</v>
      </c>
      <c r="AY1721" s="77"/>
      <c r="AZ1721" s="82" t="s">
        <v>15804</v>
      </c>
      <c r="BA1721" s="82" t="s">
        <v>15804</v>
      </c>
      <c r="BB1721" s="82" t="s">
        <v>15804</v>
      </c>
      <c r="BC1721" s="82" t="s">
        <v>13887</v>
      </c>
      <c r="BD1721" s="77">
        <v>252876002</v>
      </c>
      <c r="BE1721" s="77"/>
      <c r="BF1721" s="77"/>
      <c r="BG1721" s="77"/>
      <c r="BH1721" s="77"/>
      <c r="BI1721" s="77"/>
    </row>
    <row r="1722" spans="1:61" x14ac:dyDescent="0.25">
      <c r="A1722" s="62" t="s">
        <v>779</v>
      </c>
      <c r="B1722" s="62" t="s">
        <v>779</v>
      </c>
      <c r="C1722" s="63"/>
      <c r="D1722" s="64"/>
      <c r="E1722" s="65"/>
      <c r="F1722" s="66"/>
      <c r="G1722" s="63"/>
      <c r="H1722" s="67"/>
      <c r="I1722" s="68"/>
      <c r="J1722" s="68"/>
      <c r="K1722" s="32"/>
      <c r="L1722" s="75">
        <v>1722</v>
      </c>
      <c r="M1722" s="75"/>
      <c r="N1722" s="70"/>
      <c r="O1722" s="77" t="s">
        <v>1132</v>
      </c>
      <c r="P1722" s="79">
        <v>45155.681597222225</v>
      </c>
      <c r="Q1722" s="77" t="s">
        <v>2784</v>
      </c>
      <c r="R1722" s="77">
        <v>0</v>
      </c>
      <c r="S1722" s="77">
        <v>0</v>
      </c>
      <c r="T1722" s="77">
        <v>1</v>
      </c>
      <c r="U1722" s="77">
        <v>0</v>
      </c>
      <c r="V1722" s="77">
        <v>20</v>
      </c>
      <c r="W1722" s="82" t="s">
        <v>5246</v>
      </c>
      <c r="X1722" s="77"/>
      <c r="Y1722" s="77"/>
      <c r="Z1722" s="77"/>
      <c r="AA1722" s="77"/>
      <c r="AB1722" s="77"/>
      <c r="AC1722" s="82" t="s">
        <v>7705</v>
      </c>
      <c r="AD1722" s="77" t="s">
        <v>7748</v>
      </c>
      <c r="AE1722" s="80" t="str">
        <f>HYPERLINK("https://twitter.com/livrosemresumo/status/1692210051698556957")</f>
        <v>https://twitter.com/livrosemresumo/status/1692210051698556957</v>
      </c>
      <c r="AF1722" s="79">
        <v>45155.681597222225</v>
      </c>
      <c r="AG1722" s="85">
        <v>45155</v>
      </c>
      <c r="AH1722" s="82" t="s">
        <v>9282</v>
      </c>
      <c r="AI1722" s="77"/>
      <c r="AJ1722" s="77"/>
      <c r="AK1722" s="77"/>
      <c r="AL1722" s="77"/>
      <c r="AM1722" s="77"/>
      <c r="AN1722" s="77"/>
      <c r="AO1722" s="77"/>
      <c r="AP1722" s="77"/>
      <c r="AQ1722" s="77"/>
      <c r="AR1722" s="77"/>
      <c r="AS1722" s="77"/>
      <c r="AT1722" s="77"/>
      <c r="AU1722" s="77"/>
      <c r="AV1722" s="80" t="str">
        <f>HYPERLINK("https://pbs.twimg.com/profile_images/1691937102152265728/YIiJB_wu_normal.jpg")</f>
        <v>https://pbs.twimg.com/profile_images/1691937102152265728/YIiJB_wu_normal.jpg</v>
      </c>
      <c r="AW1722" s="82" t="s">
        <v>13888</v>
      </c>
      <c r="AX1722" s="82" t="s">
        <v>15359</v>
      </c>
      <c r="AY1722" s="82" t="s">
        <v>15762</v>
      </c>
      <c r="AZ1722" s="82" t="s">
        <v>15902</v>
      </c>
      <c r="BA1722" s="82" t="s">
        <v>15804</v>
      </c>
      <c r="BB1722" s="82" t="s">
        <v>15804</v>
      </c>
      <c r="BC1722" s="82" t="s">
        <v>15902</v>
      </c>
      <c r="BD1722" s="82" t="s">
        <v>15762</v>
      </c>
      <c r="BE1722" s="77"/>
      <c r="BF1722" s="77"/>
      <c r="BG1722" s="77"/>
      <c r="BH1722" s="77"/>
      <c r="BI1722" s="77"/>
    </row>
    <row r="1723" spans="1:61" x14ac:dyDescent="0.25">
      <c r="A1723" s="62" t="s">
        <v>780</v>
      </c>
      <c r="B1723" s="62" t="s">
        <v>780</v>
      </c>
      <c r="C1723" s="63"/>
      <c r="D1723" s="64"/>
      <c r="E1723" s="65"/>
      <c r="F1723" s="66"/>
      <c r="G1723" s="63"/>
      <c r="H1723" s="67"/>
      <c r="I1723" s="68"/>
      <c r="J1723" s="68"/>
      <c r="K1723" s="32"/>
      <c r="L1723" s="75">
        <v>1723</v>
      </c>
      <c r="M1723" s="75"/>
      <c r="N1723" s="70"/>
      <c r="O1723" s="77" t="s">
        <v>179</v>
      </c>
      <c r="P1723" s="79">
        <v>45033.059062499997</v>
      </c>
      <c r="Q1723" s="77" t="s">
        <v>2785</v>
      </c>
      <c r="R1723" s="77">
        <v>0</v>
      </c>
      <c r="S1723" s="77">
        <v>0</v>
      </c>
      <c r="T1723" s="77">
        <v>0</v>
      </c>
      <c r="U1723" s="77">
        <v>0</v>
      </c>
      <c r="V1723" s="77">
        <v>4</v>
      </c>
      <c r="W1723" s="82" t="s">
        <v>5247</v>
      </c>
      <c r="X1723" s="77"/>
      <c r="Y1723" s="77"/>
      <c r="Z1723" s="77"/>
      <c r="AA1723" s="77"/>
      <c r="AB1723" s="77"/>
      <c r="AC1723" s="82" t="s">
        <v>7705</v>
      </c>
      <c r="AD1723" s="77" t="s">
        <v>7745</v>
      </c>
      <c r="AE1723" s="80" t="str">
        <f>HYPERLINK("https://twitter.com/economistamay/status/1647773134034968576")</f>
        <v>https://twitter.com/economistamay/status/1647773134034968576</v>
      </c>
      <c r="AF1723" s="79">
        <v>45033.059062499997</v>
      </c>
      <c r="AG1723" s="85">
        <v>45033</v>
      </c>
      <c r="AH1723" s="82" t="s">
        <v>9283</v>
      </c>
      <c r="AI1723" s="77"/>
      <c r="AJ1723" s="77"/>
      <c r="AK1723" s="77"/>
      <c r="AL1723" s="77"/>
      <c r="AM1723" s="77"/>
      <c r="AN1723" s="77"/>
      <c r="AO1723" s="77"/>
      <c r="AP1723" s="77"/>
      <c r="AQ1723" s="77"/>
      <c r="AR1723" s="77"/>
      <c r="AS1723" s="77"/>
      <c r="AT1723" s="77"/>
      <c r="AU1723" s="77"/>
      <c r="AV1723" s="80" t="str">
        <f>HYPERLINK("https://pbs.twimg.com/profile_images/1620237219343568899/9RDdbmx8_normal.jpg")</f>
        <v>https://pbs.twimg.com/profile_images/1620237219343568899/9RDdbmx8_normal.jpg</v>
      </c>
      <c r="AW1723" s="82" t="s">
        <v>13889</v>
      </c>
      <c r="AX1723" s="82" t="s">
        <v>13889</v>
      </c>
      <c r="AY1723" s="77"/>
      <c r="AZ1723" s="82" t="s">
        <v>15804</v>
      </c>
      <c r="BA1723" s="82" t="s">
        <v>15804</v>
      </c>
      <c r="BB1723" s="82" t="s">
        <v>15804</v>
      </c>
      <c r="BC1723" s="82" t="s">
        <v>13889</v>
      </c>
      <c r="BD1723" s="82" t="s">
        <v>16448</v>
      </c>
      <c r="BE1723" s="77"/>
      <c r="BF1723" s="77"/>
      <c r="BG1723" s="77"/>
      <c r="BH1723" s="77"/>
      <c r="BI1723" s="77"/>
    </row>
    <row r="1724" spans="1:61" x14ac:dyDescent="0.25">
      <c r="A1724" s="62" t="s">
        <v>781</v>
      </c>
      <c r="B1724" s="62" t="s">
        <v>1058</v>
      </c>
      <c r="C1724" s="63"/>
      <c r="D1724" s="64"/>
      <c r="E1724" s="65"/>
      <c r="F1724" s="66"/>
      <c r="G1724" s="63"/>
      <c r="H1724" s="67"/>
      <c r="I1724" s="68"/>
      <c r="J1724" s="68"/>
      <c r="K1724" s="32"/>
      <c r="L1724" s="75">
        <v>1724</v>
      </c>
      <c r="M1724" s="75"/>
      <c r="N1724" s="70"/>
      <c r="O1724" s="77" t="s">
        <v>1133</v>
      </c>
      <c r="P1724" s="79">
        <v>45014.591898148145</v>
      </c>
      <c r="Q1724" s="77" t="s">
        <v>2786</v>
      </c>
      <c r="R1724" s="77">
        <v>0</v>
      </c>
      <c r="S1724" s="77">
        <v>0</v>
      </c>
      <c r="T1724" s="77">
        <v>0</v>
      </c>
      <c r="U1724" s="77">
        <v>0</v>
      </c>
      <c r="V1724" s="77">
        <v>24</v>
      </c>
      <c r="W1724" s="82" t="s">
        <v>5248</v>
      </c>
      <c r="X1724" s="80" t="str">
        <f>HYPERLINK("https://youtu.be/Y2gw4x1-0ys")</f>
        <v>https://youtu.be/Y2gw4x1-0ys</v>
      </c>
      <c r="Y1724" s="77" t="s">
        <v>6003</v>
      </c>
      <c r="Z1724" s="77" t="s">
        <v>1058</v>
      </c>
      <c r="AA1724" s="77"/>
      <c r="AB1724" s="77"/>
      <c r="AC1724" s="82" t="s">
        <v>7706</v>
      </c>
      <c r="AD1724" s="77" t="s">
        <v>7745</v>
      </c>
      <c r="AE1724" s="80" t="str">
        <f>HYPERLINK("https://twitter.com/djandriooficial/status/1641080856834875393")</f>
        <v>https://twitter.com/djandriooficial/status/1641080856834875393</v>
      </c>
      <c r="AF1724" s="79">
        <v>45014.591898148145</v>
      </c>
      <c r="AG1724" s="85">
        <v>45014</v>
      </c>
      <c r="AH1724" s="82" t="s">
        <v>9284</v>
      </c>
      <c r="AI1724" s="77" t="b">
        <v>0</v>
      </c>
      <c r="AJ1724" s="77"/>
      <c r="AK1724" s="77"/>
      <c r="AL1724" s="77"/>
      <c r="AM1724" s="77"/>
      <c r="AN1724" s="77"/>
      <c r="AO1724" s="77"/>
      <c r="AP1724" s="77"/>
      <c r="AQ1724" s="77"/>
      <c r="AR1724" s="77"/>
      <c r="AS1724" s="77"/>
      <c r="AT1724" s="77"/>
      <c r="AU1724" s="77"/>
      <c r="AV1724" s="80" t="str">
        <f>HYPERLINK("https://pbs.twimg.com/profile_images/767807730740592640/fMtON0Ve_normal.jpg")</f>
        <v>https://pbs.twimg.com/profile_images/767807730740592640/fMtON0Ve_normal.jpg</v>
      </c>
      <c r="AW1724" s="82" t="s">
        <v>13890</v>
      </c>
      <c r="AX1724" s="82" t="s">
        <v>13890</v>
      </c>
      <c r="AY1724" s="77"/>
      <c r="AZ1724" s="82" t="s">
        <v>15804</v>
      </c>
      <c r="BA1724" s="82" t="s">
        <v>15804</v>
      </c>
      <c r="BB1724" s="82" t="s">
        <v>15804</v>
      </c>
      <c r="BC1724" s="82" t="s">
        <v>13890</v>
      </c>
      <c r="BD1724" s="82" t="s">
        <v>16449</v>
      </c>
      <c r="BE1724" s="77"/>
      <c r="BF1724" s="77"/>
      <c r="BG1724" s="77"/>
      <c r="BH1724" s="77"/>
      <c r="BI1724" s="77"/>
    </row>
    <row r="1725" spans="1:61" x14ac:dyDescent="0.25">
      <c r="A1725" s="62" t="s">
        <v>782</v>
      </c>
      <c r="B1725" s="62" t="s">
        <v>782</v>
      </c>
      <c r="C1725" s="63"/>
      <c r="D1725" s="64"/>
      <c r="E1725" s="65"/>
      <c r="F1725" s="66"/>
      <c r="G1725" s="63"/>
      <c r="H1725" s="67"/>
      <c r="I1725" s="68"/>
      <c r="J1725" s="68"/>
      <c r="K1725" s="32"/>
      <c r="L1725" s="75">
        <v>1725</v>
      </c>
      <c r="M1725" s="75"/>
      <c r="N1725" s="70"/>
      <c r="O1725" s="77" t="s">
        <v>179</v>
      </c>
      <c r="P1725" s="79">
        <v>45120.625821759262</v>
      </c>
      <c r="Q1725" s="77" t="s">
        <v>2787</v>
      </c>
      <c r="R1725" s="77">
        <v>0</v>
      </c>
      <c r="S1725" s="77">
        <v>0</v>
      </c>
      <c r="T1725" s="77">
        <v>0</v>
      </c>
      <c r="U1725" s="77">
        <v>0</v>
      </c>
      <c r="V1725" s="77">
        <v>23</v>
      </c>
      <c r="W1725" s="82" t="s">
        <v>5249</v>
      </c>
      <c r="X1725" s="80" t="str">
        <f>HYPERLINK("https://atilalemos.com.br/2023/07/13/zema-dispara-em-minas-a-educacao-e-sempre-prioridade")</f>
        <v>https://atilalemos.com.br/2023/07/13/zema-dispara-em-minas-a-educacao-e-sempre-prioridade</v>
      </c>
      <c r="Y1725" s="77" t="s">
        <v>6002</v>
      </c>
      <c r="Z1725" s="77"/>
      <c r="AA1725" s="77"/>
      <c r="AB1725" s="77"/>
      <c r="AC1725" s="82" t="s">
        <v>7706</v>
      </c>
      <c r="AD1725" s="77" t="s">
        <v>7746</v>
      </c>
      <c r="AE1725" s="80" t="str">
        <f>HYPERLINK("https://twitter.com/atilalemos10/status/1679506264475271168")</f>
        <v>https://twitter.com/atilalemos10/status/1679506264475271168</v>
      </c>
      <c r="AF1725" s="79">
        <v>45120.625821759262</v>
      </c>
      <c r="AG1725" s="85">
        <v>45120</v>
      </c>
      <c r="AH1725" s="82" t="s">
        <v>9285</v>
      </c>
      <c r="AI1725" s="77" t="b">
        <v>0</v>
      </c>
      <c r="AJ1725" s="77"/>
      <c r="AK1725" s="77"/>
      <c r="AL1725" s="77"/>
      <c r="AM1725" s="77"/>
      <c r="AN1725" s="77"/>
      <c r="AO1725" s="77"/>
      <c r="AP1725" s="77"/>
      <c r="AQ1725" s="77"/>
      <c r="AR1725" s="77"/>
      <c r="AS1725" s="77"/>
      <c r="AT1725" s="77"/>
      <c r="AU1725" s="77"/>
      <c r="AV1725" s="80" t="str">
        <f>HYPERLINK("https://pbs.twimg.com/profile_images/1358155775252791303/jd7qCS6S_normal.jpg")</f>
        <v>https://pbs.twimg.com/profile_images/1358155775252791303/jd7qCS6S_normal.jpg</v>
      </c>
      <c r="AW1725" s="82" t="s">
        <v>13891</v>
      </c>
      <c r="AX1725" s="82" t="s">
        <v>13891</v>
      </c>
      <c r="AY1725" s="77"/>
      <c r="AZ1725" s="82" t="s">
        <v>15804</v>
      </c>
      <c r="BA1725" s="82" t="s">
        <v>15804</v>
      </c>
      <c r="BB1725" s="82" t="s">
        <v>15804</v>
      </c>
      <c r="BC1725" s="82" t="s">
        <v>13891</v>
      </c>
      <c r="BD1725" s="77">
        <v>82592371</v>
      </c>
      <c r="BE1725" s="77"/>
      <c r="BF1725" s="77"/>
      <c r="BG1725" s="77"/>
      <c r="BH1725" s="77"/>
      <c r="BI1725" s="77"/>
    </row>
    <row r="1726" spans="1:61" x14ac:dyDescent="0.25">
      <c r="A1726" s="62" t="s">
        <v>783</v>
      </c>
      <c r="B1726" s="62" t="s">
        <v>783</v>
      </c>
      <c r="C1726" s="63"/>
      <c r="D1726" s="64"/>
      <c r="E1726" s="65"/>
      <c r="F1726" s="66"/>
      <c r="G1726" s="63"/>
      <c r="H1726" s="67"/>
      <c r="I1726" s="68"/>
      <c r="J1726" s="68"/>
      <c r="K1726" s="32"/>
      <c r="L1726" s="75">
        <v>1726</v>
      </c>
      <c r="M1726" s="75"/>
      <c r="N1726" s="70"/>
      <c r="O1726" s="77" t="s">
        <v>179</v>
      </c>
      <c r="P1726" s="79">
        <v>45099.578946759262</v>
      </c>
      <c r="Q1726" s="77" t="s">
        <v>2788</v>
      </c>
      <c r="R1726" s="77">
        <v>0</v>
      </c>
      <c r="S1726" s="77">
        <v>0</v>
      </c>
      <c r="T1726" s="77">
        <v>0</v>
      </c>
      <c r="U1726" s="77">
        <v>0</v>
      </c>
      <c r="V1726" s="77">
        <v>6</v>
      </c>
      <c r="W1726" s="82" t="s">
        <v>5250</v>
      </c>
      <c r="X1726" s="80" t="str">
        <f>HYPERLINK("https://jornalempresasenegocios.com.br/mais/ferias-de-verao-de-2024-agora-e-o-momentocerto-para-comecar-a-organizar-a-sua-viagem/")</f>
        <v>https://jornalempresasenegocios.com.br/mais/ferias-de-verao-de-2024-agora-e-o-momentocerto-para-comecar-a-organizar-a-sua-viagem/</v>
      </c>
      <c r="Y1726" s="77" t="s">
        <v>6002</v>
      </c>
      <c r="Z1726" s="77"/>
      <c r="AA1726" s="77"/>
      <c r="AB1726" s="77"/>
      <c r="AC1726" s="82" t="s">
        <v>7706</v>
      </c>
      <c r="AD1726" s="77" t="s">
        <v>7745</v>
      </c>
      <c r="AE1726" s="80" t="str">
        <f>HYPERLINK("https://twitter.com/empresasjornal/status/1671879132337299460")</f>
        <v>https://twitter.com/empresasjornal/status/1671879132337299460</v>
      </c>
      <c r="AF1726" s="79">
        <v>45099.578946759262</v>
      </c>
      <c r="AG1726" s="85">
        <v>45099</v>
      </c>
      <c r="AH1726" s="82" t="s">
        <v>9286</v>
      </c>
      <c r="AI1726" s="77" t="b">
        <v>0</v>
      </c>
      <c r="AJ1726" s="77"/>
      <c r="AK1726" s="77"/>
      <c r="AL1726" s="77"/>
      <c r="AM1726" s="77"/>
      <c r="AN1726" s="77"/>
      <c r="AO1726" s="77"/>
      <c r="AP1726" s="77"/>
      <c r="AQ1726" s="77"/>
      <c r="AR1726" s="77"/>
      <c r="AS1726" s="77"/>
      <c r="AT1726" s="77"/>
      <c r="AU1726" s="77"/>
      <c r="AV1726" s="80" t="str">
        <f>HYPERLINK("https://pbs.twimg.com/profile_images/1382017656103002114/Z5GVr1b4_normal.jpg")</f>
        <v>https://pbs.twimg.com/profile_images/1382017656103002114/Z5GVr1b4_normal.jpg</v>
      </c>
      <c r="AW1726" s="82" t="s">
        <v>13892</v>
      </c>
      <c r="AX1726" s="82" t="s">
        <v>13892</v>
      </c>
      <c r="AY1726" s="77"/>
      <c r="AZ1726" s="82" t="s">
        <v>15804</v>
      </c>
      <c r="BA1726" s="82" t="s">
        <v>15804</v>
      </c>
      <c r="BB1726" s="82" t="s">
        <v>15804</v>
      </c>
      <c r="BC1726" s="82" t="s">
        <v>13892</v>
      </c>
      <c r="BD1726" s="82" t="s">
        <v>16450</v>
      </c>
      <c r="BE1726" s="77"/>
      <c r="BF1726" s="77"/>
      <c r="BG1726" s="77"/>
      <c r="BH1726" s="77"/>
      <c r="BI1726" s="77"/>
    </row>
    <row r="1727" spans="1:61" x14ac:dyDescent="0.25">
      <c r="A1727" s="62" t="s">
        <v>784</v>
      </c>
      <c r="B1727" s="62" t="s">
        <v>891</v>
      </c>
      <c r="C1727" s="63"/>
      <c r="D1727" s="64"/>
      <c r="E1727" s="65"/>
      <c r="F1727" s="66"/>
      <c r="G1727" s="63"/>
      <c r="H1727" s="67"/>
      <c r="I1727" s="68"/>
      <c r="J1727" s="68"/>
      <c r="K1727" s="32"/>
      <c r="L1727" s="75">
        <v>1727</v>
      </c>
      <c r="M1727" s="75"/>
      <c r="N1727" s="70"/>
      <c r="O1727" s="77" t="s">
        <v>1134</v>
      </c>
      <c r="P1727" s="79">
        <v>45173.740173611113</v>
      </c>
      <c r="Q1727" s="77" t="s">
        <v>2478</v>
      </c>
      <c r="R1727" s="77">
        <v>7</v>
      </c>
      <c r="S1727" s="77">
        <v>0</v>
      </c>
      <c r="T1727" s="77">
        <v>0</v>
      </c>
      <c r="U1727" s="77">
        <v>0</v>
      </c>
      <c r="V1727" s="77"/>
      <c r="W1727" s="82" t="s">
        <v>5043</v>
      </c>
      <c r="X1727" s="77"/>
      <c r="Y1727" s="77"/>
      <c r="Z1727" s="77" t="s">
        <v>891</v>
      </c>
      <c r="AA1727" s="77"/>
      <c r="AB1727" s="77"/>
      <c r="AC1727" s="82" t="s">
        <v>7707</v>
      </c>
      <c r="AD1727" s="77" t="s">
        <v>7745</v>
      </c>
      <c r="AE1727" s="80" t="str">
        <f>HYPERLINK("https://twitter.com/lenick2008/status/1698754258999349615")</f>
        <v>https://twitter.com/lenick2008/status/1698754258999349615</v>
      </c>
      <c r="AF1727" s="79">
        <v>45173.740173611113</v>
      </c>
      <c r="AG1727" s="85">
        <v>45173</v>
      </c>
      <c r="AH1727" s="82" t="s">
        <v>9287</v>
      </c>
      <c r="AI1727" s="77"/>
      <c r="AJ1727" s="77"/>
      <c r="AK1727" s="77"/>
      <c r="AL1727" s="77"/>
      <c r="AM1727" s="77"/>
      <c r="AN1727" s="77"/>
      <c r="AO1727" s="77"/>
      <c r="AP1727" s="77"/>
      <c r="AQ1727" s="77"/>
      <c r="AR1727" s="77"/>
      <c r="AS1727" s="77"/>
      <c r="AT1727" s="77"/>
      <c r="AU1727" s="77"/>
      <c r="AV1727" s="80" t="str">
        <f>HYPERLINK("https://pbs.twimg.com/profile_images/1462935370341838850/HAQ4CnG1_normal.png")</f>
        <v>https://pbs.twimg.com/profile_images/1462935370341838850/HAQ4CnG1_normal.png</v>
      </c>
      <c r="AW1727" s="82" t="s">
        <v>13893</v>
      </c>
      <c r="AX1727" s="82" t="s">
        <v>13893</v>
      </c>
      <c r="AY1727" s="77"/>
      <c r="AZ1727" s="82" t="s">
        <v>15804</v>
      </c>
      <c r="BA1727" s="82" t="s">
        <v>15804</v>
      </c>
      <c r="BB1727" s="82" t="s">
        <v>14425</v>
      </c>
      <c r="BC1727" s="82" t="s">
        <v>14425</v>
      </c>
      <c r="BD1727" s="82" t="s">
        <v>16451</v>
      </c>
      <c r="BE1727" s="77"/>
      <c r="BF1727" s="77"/>
      <c r="BG1727" s="77"/>
      <c r="BH1727" s="77"/>
      <c r="BI1727" s="77"/>
    </row>
    <row r="1728" spans="1:61" x14ac:dyDescent="0.25">
      <c r="A1728" s="62" t="s">
        <v>785</v>
      </c>
      <c r="B1728" s="62" t="s">
        <v>785</v>
      </c>
      <c r="C1728" s="63"/>
      <c r="D1728" s="64"/>
      <c r="E1728" s="65"/>
      <c r="F1728" s="66"/>
      <c r="G1728" s="63"/>
      <c r="H1728" s="67"/>
      <c r="I1728" s="68"/>
      <c r="J1728" s="68"/>
      <c r="K1728" s="32"/>
      <c r="L1728" s="75">
        <v>1728</v>
      </c>
      <c r="M1728" s="75"/>
      <c r="N1728" s="70"/>
      <c r="O1728" s="77" t="s">
        <v>179</v>
      </c>
      <c r="P1728" s="79">
        <v>45159.649930555555</v>
      </c>
      <c r="Q1728" s="77" t="s">
        <v>2789</v>
      </c>
      <c r="R1728" s="77">
        <v>0</v>
      </c>
      <c r="S1728" s="77">
        <v>0</v>
      </c>
      <c r="T1728" s="77">
        <v>0</v>
      </c>
      <c r="U1728" s="77">
        <v>0</v>
      </c>
      <c r="V1728" s="77">
        <v>86</v>
      </c>
      <c r="W1728" s="82" t="s">
        <v>5251</v>
      </c>
      <c r="X1728" s="77"/>
      <c r="Y1728" s="77"/>
      <c r="Z1728" s="77"/>
      <c r="AA1728" s="77" t="s">
        <v>7173</v>
      </c>
      <c r="AB1728" s="77" t="s">
        <v>7697</v>
      </c>
      <c r="AC1728" s="82" t="s">
        <v>7705</v>
      </c>
      <c r="AD1728" s="77" t="s">
        <v>7745</v>
      </c>
      <c r="AE1728" s="80" t="str">
        <f>HYPERLINK("https://twitter.com/robsonantenor/status/1693648127318716731")</f>
        <v>https://twitter.com/robsonantenor/status/1693648127318716731</v>
      </c>
      <c r="AF1728" s="79">
        <v>45159.649930555555</v>
      </c>
      <c r="AG1728" s="85">
        <v>45159</v>
      </c>
      <c r="AH1728" s="82" t="s">
        <v>9288</v>
      </c>
      <c r="AI1728" s="77" t="b">
        <v>0</v>
      </c>
      <c r="AJ1728" s="77"/>
      <c r="AK1728" s="77"/>
      <c r="AL1728" s="77"/>
      <c r="AM1728" s="77"/>
      <c r="AN1728" s="77"/>
      <c r="AO1728" s="77"/>
      <c r="AP1728" s="77"/>
      <c r="AQ1728" s="77" t="s">
        <v>11680</v>
      </c>
      <c r="AR1728" s="77">
        <v>44991</v>
      </c>
      <c r="AS1728" s="77"/>
      <c r="AT1728" s="77"/>
      <c r="AU1728" s="77">
        <v>11</v>
      </c>
      <c r="AV1728" s="80" t="str">
        <f>HYPERLINK("https://pbs.twimg.com/ext_tw_video_thumb/1693648054392410112/pu/img/8Ex1An2LW3PAprV8.jpg")</f>
        <v>https://pbs.twimg.com/ext_tw_video_thumb/1693648054392410112/pu/img/8Ex1An2LW3PAprV8.jpg</v>
      </c>
      <c r="AW1728" s="82" t="s">
        <v>13894</v>
      </c>
      <c r="AX1728" s="82" t="s">
        <v>13894</v>
      </c>
      <c r="AY1728" s="77"/>
      <c r="AZ1728" s="82" t="s">
        <v>15804</v>
      </c>
      <c r="BA1728" s="82" t="s">
        <v>15804</v>
      </c>
      <c r="BB1728" s="82" t="s">
        <v>15804</v>
      </c>
      <c r="BC1728" s="82" t="s">
        <v>13894</v>
      </c>
      <c r="BD1728" s="77">
        <v>236118324</v>
      </c>
      <c r="BE1728" s="77"/>
      <c r="BF1728" s="77"/>
      <c r="BG1728" s="77"/>
      <c r="BH1728" s="77"/>
      <c r="BI1728" s="77"/>
    </row>
    <row r="1729" spans="1:61" x14ac:dyDescent="0.25">
      <c r="A1729" s="62" t="s">
        <v>786</v>
      </c>
      <c r="B1729" s="62" t="s">
        <v>786</v>
      </c>
      <c r="C1729" s="63"/>
      <c r="D1729" s="64"/>
      <c r="E1729" s="65"/>
      <c r="F1729" s="66"/>
      <c r="G1729" s="63"/>
      <c r="H1729" s="67"/>
      <c r="I1729" s="68"/>
      <c r="J1729" s="68"/>
      <c r="K1729" s="32"/>
      <c r="L1729" s="75">
        <v>1729</v>
      </c>
      <c r="M1729" s="75"/>
      <c r="N1729" s="70"/>
      <c r="O1729" s="77" t="s">
        <v>179</v>
      </c>
      <c r="P1729" s="79">
        <v>45074.550659722219</v>
      </c>
      <c r="Q1729" s="77" t="s">
        <v>2790</v>
      </c>
      <c r="R1729" s="77">
        <v>0</v>
      </c>
      <c r="S1729" s="77">
        <v>0</v>
      </c>
      <c r="T1729" s="77">
        <v>0</v>
      </c>
      <c r="U1729" s="77">
        <v>0</v>
      </c>
      <c r="V1729" s="77">
        <v>6</v>
      </c>
      <c r="W1729" s="82" t="s">
        <v>5252</v>
      </c>
      <c r="X1729" s="80" t="str">
        <f>HYPERLINK("https://financaslucrativas.com.br/planejamento/mitos-sobre-dinheiro/")</f>
        <v>https://financaslucrativas.com.br/planejamento/mitos-sobre-dinheiro/</v>
      </c>
      <c r="Y1729" s="77" t="s">
        <v>6002</v>
      </c>
      <c r="Z1729" s="77"/>
      <c r="AA1729" s="77"/>
      <c r="AB1729" s="77"/>
      <c r="AC1729" s="82" t="s">
        <v>7706</v>
      </c>
      <c r="AD1729" s="77" t="s">
        <v>7745</v>
      </c>
      <c r="AE1729" s="80" t="str">
        <f>HYPERLINK("https://twitter.com/financaslucra/status/1662809182096048128")</f>
        <v>https://twitter.com/financaslucra/status/1662809182096048128</v>
      </c>
      <c r="AF1729" s="79">
        <v>45074.550659722219</v>
      </c>
      <c r="AG1729" s="85">
        <v>45074</v>
      </c>
      <c r="AH1729" s="82" t="s">
        <v>9289</v>
      </c>
      <c r="AI1729" s="77" t="b">
        <v>0</v>
      </c>
      <c r="AJ1729" s="77"/>
      <c r="AK1729" s="77"/>
      <c r="AL1729" s="77"/>
      <c r="AM1729" s="77"/>
      <c r="AN1729" s="77"/>
      <c r="AO1729" s="77"/>
      <c r="AP1729" s="77"/>
      <c r="AQ1729" s="77"/>
      <c r="AR1729" s="77"/>
      <c r="AS1729" s="77"/>
      <c r="AT1729" s="77"/>
      <c r="AU1729" s="77"/>
      <c r="AV1729" s="80" t="str">
        <f>HYPERLINK("https://pbs.twimg.com/profile_images/1654049369186861057/RuDhHhUO_normal.jpg")</f>
        <v>https://pbs.twimg.com/profile_images/1654049369186861057/RuDhHhUO_normal.jpg</v>
      </c>
      <c r="AW1729" s="82" t="s">
        <v>13895</v>
      </c>
      <c r="AX1729" s="82" t="s">
        <v>13895</v>
      </c>
      <c r="AY1729" s="77"/>
      <c r="AZ1729" s="82" t="s">
        <v>15804</v>
      </c>
      <c r="BA1729" s="82" t="s">
        <v>15804</v>
      </c>
      <c r="BB1729" s="82" t="s">
        <v>15804</v>
      </c>
      <c r="BC1729" s="82" t="s">
        <v>13895</v>
      </c>
      <c r="BD1729" s="82" t="s">
        <v>16452</v>
      </c>
      <c r="BE1729" s="77"/>
      <c r="BF1729" s="77"/>
      <c r="BG1729" s="77"/>
      <c r="BH1729" s="77"/>
      <c r="BI1729" s="77"/>
    </row>
    <row r="1730" spans="1:61" x14ac:dyDescent="0.25">
      <c r="A1730" s="62" t="s">
        <v>786</v>
      </c>
      <c r="B1730" s="62" t="s">
        <v>786</v>
      </c>
      <c r="C1730" s="63"/>
      <c r="D1730" s="64"/>
      <c r="E1730" s="65"/>
      <c r="F1730" s="66"/>
      <c r="G1730" s="63"/>
      <c r="H1730" s="67"/>
      <c r="I1730" s="68"/>
      <c r="J1730" s="68"/>
      <c r="K1730" s="32"/>
      <c r="L1730" s="75">
        <v>1730</v>
      </c>
      <c r="M1730" s="75"/>
      <c r="N1730" s="70"/>
      <c r="O1730" s="77" t="s">
        <v>179</v>
      </c>
      <c r="P1730" s="79">
        <v>45056.522662037038</v>
      </c>
      <c r="Q1730" s="77" t="s">
        <v>2791</v>
      </c>
      <c r="R1730" s="77">
        <v>0</v>
      </c>
      <c r="S1730" s="77">
        <v>0</v>
      </c>
      <c r="T1730" s="77">
        <v>0</v>
      </c>
      <c r="U1730" s="77">
        <v>0</v>
      </c>
      <c r="V1730" s="77">
        <v>10</v>
      </c>
      <c r="W1730" s="82" t="s">
        <v>5253</v>
      </c>
      <c r="X1730" s="80" t="str">
        <f>HYPERLINK("https://financaslucrativas.com.br/orcamento/ideias-incomuns-para-evitar-compras-por-impulso-e-controlar-gastos/")</f>
        <v>https://financaslucrativas.com.br/orcamento/ideias-incomuns-para-evitar-compras-por-impulso-e-controlar-gastos/</v>
      </c>
      <c r="Y1730" s="77" t="s">
        <v>6002</v>
      </c>
      <c r="Z1730" s="77"/>
      <c r="AA1730" s="77"/>
      <c r="AB1730" s="77"/>
      <c r="AC1730" s="82" t="s">
        <v>7736</v>
      </c>
      <c r="AD1730" s="77" t="s">
        <v>7745</v>
      </c>
      <c r="AE1730" s="80" t="str">
        <f>HYPERLINK("https://twitter.com/financaslucra/status/1656276055387262978")</f>
        <v>https://twitter.com/financaslucra/status/1656276055387262978</v>
      </c>
      <c r="AF1730" s="79">
        <v>45056.522662037038</v>
      </c>
      <c r="AG1730" s="85">
        <v>45056</v>
      </c>
      <c r="AH1730" s="82" t="s">
        <v>9290</v>
      </c>
      <c r="AI1730" s="77" t="b">
        <v>0</v>
      </c>
      <c r="AJ1730" s="77"/>
      <c r="AK1730" s="77"/>
      <c r="AL1730" s="77"/>
      <c r="AM1730" s="77"/>
      <c r="AN1730" s="77"/>
      <c r="AO1730" s="77"/>
      <c r="AP1730" s="77"/>
      <c r="AQ1730" s="77"/>
      <c r="AR1730" s="77"/>
      <c r="AS1730" s="77"/>
      <c r="AT1730" s="77"/>
      <c r="AU1730" s="77"/>
      <c r="AV1730" s="80" t="str">
        <f>HYPERLINK("https://pbs.twimg.com/profile_images/1654049369186861057/RuDhHhUO_normal.jpg")</f>
        <v>https://pbs.twimg.com/profile_images/1654049369186861057/RuDhHhUO_normal.jpg</v>
      </c>
      <c r="AW1730" s="82" t="s">
        <v>13896</v>
      </c>
      <c r="AX1730" s="82" t="s">
        <v>13896</v>
      </c>
      <c r="AY1730" s="77"/>
      <c r="AZ1730" s="82" t="s">
        <v>15804</v>
      </c>
      <c r="BA1730" s="82" t="s">
        <v>15804</v>
      </c>
      <c r="BB1730" s="82" t="s">
        <v>15804</v>
      </c>
      <c r="BC1730" s="82" t="s">
        <v>13896</v>
      </c>
      <c r="BD1730" s="82" t="s">
        <v>16452</v>
      </c>
      <c r="BE1730" s="77"/>
      <c r="BF1730" s="77"/>
      <c r="BG1730" s="77"/>
      <c r="BH1730" s="77"/>
      <c r="BI1730" s="77"/>
    </row>
    <row r="1731" spans="1:61" x14ac:dyDescent="0.25">
      <c r="A1731" s="62" t="s">
        <v>786</v>
      </c>
      <c r="B1731" s="62" t="s">
        <v>786</v>
      </c>
      <c r="C1731" s="63"/>
      <c r="D1731" s="64"/>
      <c r="E1731" s="65"/>
      <c r="F1731" s="66"/>
      <c r="G1731" s="63"/>
      <c r="H1731" s="67"/>
      <c r="I1731" s="68"/>
      <c r="J1731" s="68"/>
      <c r="K1731" s="32"/>
      <c r="L1731" s="75">
        <v>1731</v>
      </c>
      <c r="M1731" s="75"/>
      <c r="N1731" s="70"/>
      <c r="O1731" s="77" t="s">
        <v>179</v>
      </c>
      <c r="P1731" s="79">
        <v>45077.021631944444</v>
      </c>
      <c r="Q1731" s="77" t="s">
        <v>2792</v>
      </c>
      <c r="R1731" s="77">
        <v>0</v>
      </c>
      <c r="S1731" s="77">
        <v>0</v>
      </c>
      <c r="T1731" s="77">
        <v>0</v>
      </c>
      <c r="U1731" s="77">
        <v>0</v>
      </c>
      <c r="V1731" s="77">
        <v>4</v>
      </c>
      <c r="W1731" s="82" t="s">
        <v>5254</v>
      </c>
      <c r="X1731" s="80" t="str">
        <f>HYPERLINK("http://financaslucrativas.com.br/orcamento/regra-da-riqueza-50-30-20/")</f>
        <v>http://financaslucrativas.com.br/orcamento/regra-da-riqueza-50-30-20/</v>
      </c>
      <c r="Y1731" s="77" t="s">
        <v>6002</v>
      </c>
      <c r="Z1731" s="77"/>
      <c r="AA1731" s="77"/>
      <c r="AB1731" s="77"/>
      <c r="AC1731" s="82" t="s">
        <v>7706</v>
      </c>
      <c r="AD1731" s="77" t="s">
        <v>7745</v>
      </c>
      <c r="AE1731" s="80" t="str">
        <f>HYPERLINK("https://twitter.com/financaslucra/status/1663704633330548736")</f>
        <v>https://twitter.com/financaslucra/status/1663704633330548736</v>
      </c>
      <c r="AF1731" s="79">
        <v>45077.021631944444</v>
      </c>
      <c r="AG1731" s="85">
        <v>45077</v>
      </c>
      <c r="AH1731" s="82" t="s">
        <v>9291</v>
      </c>
      <c r="AI1731" s="77" t="b">
        <v>0</v>
      </c>
      <c r="AJ1731" s="77"/>
      <c r="AK1731" s="77"/>
      <c r="AL1731" s="77"/>
      <c r="AM1731" s="77"/>
      <c r="AN1731" s="77"/>
      <c r="AO1731" s="77"/>
      <c r="AP1731" s="77"/>
      <c r="AQ1731" s="77"/>
      <c r="AR1731" s="77"/>
      <c r="AS1731" s="77"/>
      <c r="AT1731" s="77"/>
      <c r="AU1731" s="77"/>
      <c r="AV1731" s="80" t="str">
        <f>HYPERLINK("https://pbs.twimg.com/profile_images/1654049369186861057/RuDhHhUO_normal.jpg")</f>
        <v>https://pbs.twimg.com/profile_images/1654049369186861057/RuDhHhUO_normal.jpg</v>
      </c>
      <c r="AW1731" s="82" t="s">
        <v>13897</v>
      </c>
      <c r="AX1731" s="82" t="s">
        <v>13897</v>
      </c>
      <c r="AY1731" s="77"/>
      <c r="AZ1731" s="82" t="s">
        <v>15804</v>
      </c>
      <c r="BA1731" s="82" t="s">
        <v>15804</v>
      </c>
      <c r="BB1731" s="82" t="s">
        <v>15804</v>
      </c>
      <c r="BC1731" s="82" t="s">
        <v>13897</v>
      </c>
      <c r="BD1731" s="82" t="s">
        <v>16452</v>
      </c>
      <c r="BE1731" s="77"/>
      <c r="BF1731" s="77"/>
      <c r="BG1731" s="77"/>
      <c r="BH1731" s="77"/>
      <c r="BI1731" s="77"/>
    </row>
    <row r="1732" spans="1:61" x14ac:dyDescent="0.25">
      <c r="A1732" s="62" t="s">
        <v>787</v>
      </c>
      <c r="B1732" s="62" t="s">
        <v>787</v>
      </c>
      <c r="C1732" s="63"/>
      <c r="D1732" s="64"/>
      <c r="E1732" s="65"/>
      <c r="F1732" s="66"/>
      <c r="G1732" s="63"/>
      <c r="H1732" s="67"/>
      <c r="I1732" s="68"/>
      <c r="J1732" s="68"/>
      <c r="K1732" s="32"/>
      <c r="L1732" s="75">
        <v>1732</v>
      </c>
      <c r="M1732" s="75"/>
      <c r="N1732" s="70"/>
      <c r="O1732" s="77" t="s">
        <v>179</v>
      </c>
      <c r="P1732" s="79">
        <v>44947.100752314815</v>
      </c>
      <c r="Q1732" s="77" t="s">
        <v>2793</v>
      </c>
      <c r="R1732" s="77">
        <v>0</v>
      </c>
      <c r="S1732" s="77">
        <v>0</v>
      </c>
      <c r="T1732" s="77">
        <v>0</v>
      </c>
      <c r="U1732" s="77">
        <v>0</v>
      </c>
      <c r="V1732" s="77">
        <v>30</v>
      </c>
      <c r="W1732" s="82" t="s">
        <v>5255</v>
      </c>
      <c r="X1732" s="77"/>
      <c r="Y1732" s="77"/>
      <c r="Z1732" s="77"/>
      <c r="AA1732" s="77"/>
      <c r="AB1732" s="77"/>
      <c r="AC1732" s="82" t="s">
        <v>7707</v>
      </c>
      <c r="AD1732" s="77" t="s">
        <v>7745</v>
      </c>
      <c r="AE1732" s="80" t="str">
        <f>HYPERLINK("https://twitter.com/thiagofm88/status/1616622884885237761")</f>
        <v>https://twitter.com/thiagofm88/status/1616622884885237761</v>
      </c>
      <c r="AF1732" s="79">
        <v>44947.100752314815</v>
      </c>
      <c r="AG1732" s="85">
        <v>44947</v>
      </c>
      <c r="AH1732" s="82" t="s">
        <v>9292</v>
      </c>
      <c r="AI1732" s="77"/>
      <c r="AJ1732" s="77"/>
      <c r="AK1732" s="77"/>
      <c r="AL1732" s="77"/>
      <c r="AM1732" s="77"/>
      <c r="AN1732" s="77"/>
      <c r="AO1732" s="77"/>
      <c r="AP1732" s="77"/>
      <c r="AQ1732" s="77"/>
      <c r="AR1732" s="77"/>
      <c r="AS1732" s="77"/>
      <c r="AT1732" s="77"/>
      <c r="AU1732" s="77"/>
      <c r="AV1732" s="80" t="str">
        <f>HYPERLINK("https://pbs.twimg.com/profile_images/1616617540058324993/S6lJdCfI_normal.jpg")</f>
        <v>https://pbs.twimg.com/profile_images/1616617540058324993/S6lJdCfI_normal.jpg</v>
      </c>
      <c r="AW1732" s="82" t="s">
        <v>13898</v>
      </c>
      <c r="AX1732" s="82" t="s">
        <v>13898</v>
      </c>
      <c r="AY1732" s="77"/>
      <c r="AZ1732" s="82" t="s">
        <v>15804</v>
      </c>
      <c r="BA1732" s="82" t="s">
        <v>15804</v>
      </c>
      <c r="BB1732" s="82" t="s">
        <v>15804</v>
      </c>
      <c r="BC1732" s="82" t="s">
        <v>13898</v>
      </c>
      <c r="BD1732" s="82" t="s">
        <v>16453</v>
      </c>
      <c r="BE1732" s="77"/>
      <c r="BF1732" s="77"/>
      <c r="BG1732" s="77"/>
      <c r="BH1732" s="77"/>
      <c r="BI1732" s="77"/>
    </row>
    <row r="1733" spans="1:61" x14ac:dyDescent="0.25">
      <c r="A1733" s="62" t="s">
        <v>788</v>
      </c>
      <c r="B1733" s="62" t="s">
        <v>788</v>
      </c>
      <c r="C1733" s="63"/>
      <c r="D1733" s="64"/>
      <c r="E1733" s="65"/>
      <c r="F1733" s="66"/>
      <c r="G1733" s="63"/>
      <c r="H1733" s="67"/>
      <c r="I1733" s="68"/>
      <c r="J1733" s="68"/>
      <c r="K1733" s="32"/>
      <c r="L1733" s="75">
        <v>1733</v>
      </c>
      <c r="M1733" s="75"/>
      <c r="N1733" s="70"/>
      <c r="O1733" s="77" t="s">
        <v>179</v>
      </c>
      <c r="P1733" s="79">
        <v>44990.863194444442</v>
      </c>
      <c r="Q1733" s="77" t="s">
        <v>2794</v>
      </c>
      <c r="R1733" s="77">
        <v>0</v>
      </c>
      <c r="S1733" s="77">
        <v>3</v>
      </c>
      <c r="T1733" s="77">
        <v>0</v>
      </c>
      <c r="U1733" s="77">
        <v>0</v>
      </c>
      <c r="V1733" s="77">
        <v>153</v>
      </c>
      <c r="W1733" s="82" t="s">
        <v>5256</v>
      </c>
      <c r="X1733" s="80" t="str">
        <f>HYPERLINK("https://flj.com.br/aprenda/o-que-e-a-elasticidade-e-para-que-serve")</f>
        <v>https://flj.com.br/aprenda/o-que-e-a-elasticidade-e-para-que-serve</v>
      </c>
      <c r="Y1733" s="77" t="s">
        <v>6002</v>
      </c>
      <c r="Z1733" s="77"/>
      <c r="AA1733" s="77"/>
      <c r="AB1733" s="77"/>
      <c r="AC1733" s="82" t="s">
        <v>7706</v>
      </c>
      <c r="AD1733" s="77" t="s">
        <v>7745</v>
      </c>
      <c r="AE1733" s="80" t="str">
        <f>HYPERLINK("https://twitter.com/leiaflj/status/1632481860159930368")</f>
        <v>https://twitter.com/leiaflj/status/1632481860159930368</v>
      </c>
      <c r="AF1733" s="79">
        <v>44990.863194444442</v>
      </c>
      <c r="AG1733" s="85">
        <v>44990</v>
      </c>
      <c r="AH1733" s="82" t="s">
        <v>9293</v>
      </c>
      <c r="AI1733" s="77" t="b">
        <v>0</v>
      </c>
      <c r="AJ1733" s="77"/>
      <c r="AK1733" s="77"/>
      <c r="AL1733" s="77"/>
      <c r="AM1733" s="77"/>
      <c r="AN1733" s="77"/>
      <c r="AO1733" s="77"/>
      <c r="AP1733" s="77"/>
      <c r="AQ1733" s="77"/>
      <c r="AR1733" s="77"/>
      <c r="AS1733" s="77"/>
      <c r="AT1733" s="77"/>
      <c r="AU1733" s="77"/>
      <c r="AV1733" s="80" t="str">
        <f>HYPERLINK("https://pbs.twimg.com/profile_images/1620068456165933060/TShADQck_normal.jpg")</f>
        <v>https://pbs.twimg.com/profile_images/1620068456165933060/TShADQck_normal.jpg</v>
      </c>
      <c r="AW1733" s="82" t="s">
        <v>13899</v>
      </c>
      <c r="AX1733" s="82" t="s">
        <v>13899</v>
      </c>
      <c r="AY1733" s="77"/>
      <c r="AZ1733" s="82" t="s">
        <v>15804</v>
      </c>
      <c r="BA1733" s="82" t="s">
        <v>15804</v>
      </c>
      <c r="BB1733" s="82" t="s">
        <v>15804</v>
      </c>
      <c r="BC1733" s="82" t="s">
        <v>13899</v>
      </c>
      <c r="BD1733" s="82" t="s">
        <v>16454</v>
      </c>
      <c r="BE1733" s="77"/>
      <c r="BF1733" s="77"/>
      <c r="BG1733" s="77"/>
      <c r="BH1733" s="77"/>
      <c r="BI1733" s="77"/>
    </row>
    <row r="1734" spans="1:61" x14ac:dyDescent="0.25">
      <c r="A1734" s="62" t="s">
        <v>788</v>
      </c>
      <c r="B1734" s="62" t="s">
        <v>788</v>
      </c>
      <c r="C1734" s="63"/>
      <c r="D1734" s="64"/>
      <c r="E1734" s="65"/>
      <c r="F1734" s="66"/>
      <c r="G1734" s="63"/>
      <c r="H1734" s="67"/>
      <c r="I1734" s="68"/>
      <c r="J1734" s="68"/>
      <c r="K1734" s="32"/>
      <c r="L1734" s="75">
        <v>1734</v>
      </c>
      <c r="M1734" s="75"/>
      <c r="N1734" s="70"/>
      <c r="O1734" s="77" t="s">
        <v>179</v>
      </c>
      <c r="P1734" s="79">
        <v>44975.574999999997</v>
      </c>
      <c r="Q1734" s="77" t="s">
        <v>2795</v>
      </c>
      <c r="R1734" s="77">
        <v>1</v>
      </c>
      <c r="S1734" s="77">
        <v>1</v>
      </c>
      <c r="T1734" s="77">
        <v>0</v>
      </c>
      <c r="U1734" s="77">
        <v>0</v>
      </c>
      <c r="V1734" s="77">
        <v>259</v>
      </c>
      <c r="W1734" s="82" t="s">
        <v>5257</v>
      </c>
      <c r="X1734" s="80" t="str">
        <f>HYPERLINK("https://flj.com.br/aprenda/juros-compostos")</f>
        <v>https://flj.com.br/aprenda/juros-compostos</v>
      </c>
      <c r="Y1734" s="77" t="s">
        <v>6002</v>
      </c>
      <c r="Z1734" s="77"/>
      <c r="AA1734" s="77"/>
      <c r="AB1734" s="77"/>
      <c r="AC1734" s="82" t="s">
        <v>7706</v>
      </c>
      <c r="AD1734" s="77" t="s">
        <v>7745</v>
      </c>
      <c r="AE1734" s="80" t="str">
        <f>HYPERLINK("https://twitter.com/leiaflj/status/1626941604572569602")</f>
        <v>https://twitter.com/leiaflj/status/1626941604572569602</v>
      </c>
      <c r="AF1734" s="79">
        <v>44975.574999999997</v>
      </c>
      <c r="AG1734" s="85">
        <v>44975</v>
      </c>
      <c r="AH1734" s="82" t="s">
        <v>9294</v>
      </c>
      <c r="AI1734" s="77" t="b">
        <v>0</v>
      </c>
      <c r="AJ1734" s="77"/>
      <c r="AK1734" s="77"/>
      <c r="AL1734" s="77"/>
      <c r="AM1734" s="77"/>
      <c r="AN1734" s="77"/>
      <c r="AO1734" s="77"/>
      <c r="AP1734" s="77"/>
      <c r="AQ1734" s="77"/>
      <c r="AR1734" s="77"/>
      <c r="AS1734" s="77"/>
      <c r="AT1734" s="77"/>
      <c r="AU1734" s="77"/>
      <c r="AV1734" s="80" t="str">
        <f>HYPERLINK("https://pbs.twimg.com/profile_images/1620068456165933060/TShADQck_normal.jpg")</f>
        <v>https://pbs.twimg.com/profile_images/1620068456165933060/TShADQck_normal.jpg</v>
      </c>
      <c r="AW1734" s="82" t="s">
        <v>13900</v>
      </c>
      <c r="AX1734" s="82" t="s">
        <v>13900</v>
      </c>
      <c r="AY1734" s="77"/>
      <c r="AZ1734" s="82" t="s">
        <v>15804</v>
      </c>
      <c r="BA1734" s="82" t="s">
        <v>15804</v>
      </c>
      <c r="BB1734" s="82" t="s">
        <v>15804</v>
      </c>
      <c r="BC1734" s="82" t="s">
        <v>13900</v>
      </c>
      <c r="BD1734" s="82" t="s">
        <v>16454</v>
      </c>
      <c r="BE1734" s="77"/>
      <c r="BF1734" s="77"/>
      <c r="BG1734" s="77"/>
      <c r="BH1734" s="77"/>
      <c r="BI1734" s="77"/>
    </row>
    <row r="1735" spans="1:61" x14ac:dyDescent="0.25">
      <c r="A1735" s="62" t="s">
        <v>788</v>
      </c>
      <c r="B1735" s="62" t="s">
        <v>788</v>
      </c>
      <c r="C1735" s="63"/>
      <c r="D1735" s="64"/>
      <c r="E1735" s="65"/>
      <c r="F1735" s="66"/>
      <c r="G1735" s="63"/>
      <c r="H1735" s="67"/>
      <c r="I1735" s="68"/>
      <c r="J1735" s="68"/>
      <c r="K1735" s="32"/>
      <c r="L1735" s="75">
        <v>1735</v>
      </c>
      <c r="M1735" s="75"/>
      <c r="N1735" s="70"/>
      <c r="O1735" s="77" t="s">
        <v>179</v>
      </c>
      <c r="P1735" s="79">
        <v>45011.782638888886</v>
      </c>
      <c r="Q1735" s="77" t="s">
        <v>2796</v>
      </c>
      <c r="R1735" s="77">
        <v>0</v>
      </c>
      <c r="S1735" s="77">
        <v>0</v>
      </c>
      <c r="T1735" s="77">
        <v>0</v>
      </c>
      <c r="U1735" s="77">
        <v>0</v>
      </c>
      <c r="V1735" s="77">
        <v>113</v>
      </c>
      <c r="W1735" s="82" t="s">
        <v>5258</v>
      </c>
      <c r="X1735" s="80" t="str">
        <f>HYPERLINK("https://flj.com.br/aprenda/acao-sem-valor-nominal")</f>
        <v>https://flj.com.br/aprenda/acao-sem-valor-nominal</v>
      </c>
      <c r="Y1735" s="77" t="s">
        <v>6002</v>
      </c>
      <c r="Z1735" s="77"/>
      <c r="AA1735" s="77"/>
      <c r="AB1735" s="77"/>
      <c r="AC1735" s="82" t="s">
        <v>7706</v>
      </c>
      <c r="AD1735" s="77" t="s">
        <v>7745</v>
      </c>
      <c r="AE1735" s="80" t="str">
        <f>HYPERLINK("https://twitter.com/leiaflj/status/1640062813048799233")</f>
        <v>https://twitter.com/leiaflj/status/1640062813048799233</v>
      </c>
      <c r="AF1735" s="79">
        <v>45011.782638888886</v>
      </c>
      <c r="AG1735" s="85">
        <v>45011</v>
      </c>
      <c r="AH1735" s="82" t="s">
        <v>9295</v>
      </c>
      <c r="AI1735" s="77" t="b">
        <v>0</v>
      </c>
      <c r="AJ1735" s="77"/>
      <c r="AK1735" s="77"/>
      <c r="AL1735" s="77"/>
      <c r="AM1735" s="77"/>
      <c r="AN1735" s="77"/>
      <c r="AO1735" s="77"/>
      <c r="AP1735" s="77"/>
      <c r="AQ1735" s="77"/>
      <c r="AR1735" s="77"/>
      <c r="AS1735" s="77"/>
      <c r="AT1735" s="77"/>
      <c r="AU1735" s="77"/>
      <c r="AV1735" s="80" t="str">
        <f>HYPERLINK("https://pbs.twimg.com/profile_images/1620068456165933060/TShADQck_normal.jpg")</f>
        <v>https://pbs.twimg.com/profile_images/1620068456165933060/TShADQck_normal.jpg</v>
      </c>
      <c r="AW1735" s="82" t="s">
        <v>13901</v>
      </c>
      <c r="AX1735" s="82" t="s">
        <v>13901</v>
      </c>
      <c r="AY1735" s="77"/>
      <c r="AZ1735" s="82" t="s">
        <v>15804</v>
      </c>
      <c r="BA1735" s="82" t="s">
        <v>15804</v>
      </c>
      <c r="BB1735" s="82" t="s">
        <v>15804</v>
      </c>
      <c r="BC1735" s="82" t="s">
        <v>13901</v>
      </c>
      <c r="BD1735" s="82" t="s">
        <v>16454</v>
      </c>
      <c r="BE1735" s="77"/>
      <c r="BF1735" s="77"/>
      <c r="BG1735" s="77"/>
      <c r="BH1735" s="77"/>
      <c r="BI1735" s="77"/>
    </row>
    <row r="1736" spans="1:61" x14ac:dyDescent="0.25">
      <c r="A1736" s="62" t="s">
        <v>788</v>
      </c>
      <c r="B1736" s="62" t="s">
        <v>788</v>
      </c>
      <c r="C1736" s="63"/>
      <c r="D1736" s="64"/>
      <c r="E1736" s="65"/>
      <c r="F1736" s="66"/>
      <c r="G1736" s="63"/>
      <c r="H1736" s="67"/>
      <c r="I1736" s="68"/>
      <c r="J1736" s="68"/>
      <c r="K1736" s="32"/>
      <c r="L1736" s="75">
        <v>1736</v>
      </c>
      <c r="M1736" s="75"/>
      <c r="N1736" s="70"/>
      <c r="O1736" s="77" t="s">
        <v>179</v>
      </c>
      <c r="P1736" s="79">
        <v>45004.708344907405</v>
      </c>
      <c r="Q1736" s="77" t="s">
        <v>2797</v>
      </c>
      <c r="R1736" s="77">
        <v>0</v>
      </c>
      <c r="S1736" s="77">
        <v>1</v>
      </c>
      <c r="T1736" s="77">
        <v>0</v>
      </c>
      <c r="U1736" s="77">
        <v>0</v>
      </c>
      <c r="V1736" s="77">
        <v>89</v>
      </c>
      <c r="W1736" s="82" t="s">
        <v>5259</v>
      </c>
      <c r="X1736" s="80" t="str">
        <f>HYPERLINK("https://flj.com.br/aprenda/equilibrio-mercado-ofertas-demanda")</f>
        <v>https://flj.com.br/aprenda/equilibrio-mercado-ofertas-demanda</v>
      </c>
      <c r="Y1736" s="77" t="s">
        <v>6002</v>
      </c>
      <c r="Z1736" s="77"/>
      <c r="AA1736" s="77"/>
      <c r="AB1736" s="77"/>
      <c r="AC1736" s="82" t="s">
        <v>7706</v>
      </c>
      <c r="AD1736" s="77" t="s">
        <v>7745</v>
      </c>
      <c r="AE1736" s="80" t="str">
        <f>HYPERLINK("https://twitter.com/leiaflj/status/1637499174814994432")</f>
        <v>https://twitter.com/leiaflj/status/1637499174814994432</v>
      </c>
      <c r="AF1736" s="79">
        <v>45004.708344907405</v>
      </c>
      <c r="AG1736" s="85">
        <v>45004</v>
      </c>
      <c r="AH1736" s="82" t="s">
        <v>8006</v>
      </c>
      <c r="AI1736" s="77" t="b">
        <v>0</v>
      </c>
      <c r="AJ1736" s="77"/>
      <c r="AK1736" s="77"/>
      <c r="AL1736" s="77"/>
      <c r="AM1736" s="77"/>
      <c r="AN1736" s="77"/>
      <c r="AO1736" s="77"/>
      <c r="AP1736" s="77"/>
      <c r="AQ1736" s="77"/>
      <c r="AR1736" s="77"/>
      <c r="AS1736" s="77"/>
      <c r="AT1736" s="77"/>
      <c r="AU1736" s="77"/>
      <c r="AV1736" s="80" t="str">
        <f>HYPERLINK("https://pbs.twimg.com/profile_images/1620068456165933060/TShADQck_normal.jpg")</f>
        <v>https://pbs.twimg.com/profile_images/1620068456165933060/TShADQck_normal.jpg</v>
      </c>
      <c r="AW1736" s="82" t="s">
        <v>13902</v>
      </c>
      <c r="AX1736" s="82" t="s">
        <v>13902</v>
      </c>
      <c r="AY1736" s="77"/>
      <c r="AZ1736" s="82" t="s">
        <v>15804</v>
      </c>
      <c r="BA1736" s="82" t="s">
        <v>15804</v>
      </c>
      <c r="BB1736" s="82" t="s">
        <v>15804</v>
      </c>
      <c r="BC1736" s="82" t="s">
        <v>13902</v>
      </c>
      <c r="BD1736" s="82" t="s">
        <v>16454</v>
      </c>
      <c r="BE1736" s="77"/>
      <c r="BF1736" s="77"/>
      <c r="BG1736" s="77"/>
      <c r="BH1736" s="77"/>
      <c r="BI1736" s="77"/>
    </row>
    <row r="1737" spans="1:61" x14ac:dyDescent="0.25">
      <c r="A1737" s="62" t="s">
        <v>788</v>
      </c>
      <c r="B1737" s="62" t="s">
        <v>788</v>
      </c>
      <c r="C1737" s="63"/>
      <c r="D1737" s="64"/>
      <c r="E1737" s="65"/>
      <c r="F1737" s="66"/>
      <c r="G1737" s="63"/>
      <c r="H1737" s="67"/>
      <c r="I1737" s="68"/>
      <c r="J1737" s="68"/>
      <c r="K1737" s="32"/>
      <c r="L1737" s="75">
        <v>1737</v>
      </c>
      <c r="M1737" s="75"/>
      <c r="N1737" s="70"/>
      <c r="O1737" s="77" t="s">
        <v>179</v>
      </c>
      <c r="P1737" s="79">
        <v>45003.833344907405</v>
      </c>
      <c r="Q1737" s="77" t="s">
        <v>2798</v>
      </c>
      <c r="R1737" s="77">
        <v>0</v>
      </c>
      <c r="S1737" s="77">
        <v>1</v>
      </c>
      <c r="T1737" s="77">
        <v>0</v>
      </c>
      <c r="U1737" s="77">
        <v>0</v>
      </c>
      <c r="V1737" s="77">
        <v>105</v>
      </c>
      <c r="W1737" s="82" t="s">
        <v>5260</v>
      </c>
      <c r="X1737" s="80" t="str">
        <f>HYPERLINK("https://flj.com.br/aprenda/dfc-o-que-e-e-como-fazer-demonstracao-do-fluxo-de-caixa")</f>
        <v>https://flj.com.br/aprenda/dfc-o-que-e-e-como-fazer-demonstracao-do-fluxo-de-caixa</v>
      </c>
      <c r="Y1737" s="77" t="s">
        <v>6002</v>
      </c>
      <c r="Z1737" s="77"/>
      <c r="AA1737" s="77"/>
      <c r="AB1737" s="77"/>
      <c r="AC1737" s="82" t="s">
        <v>7706</v>
      </c>
      <c r="AD1737" s="77" t="s">
        <v>7745</v>
      </c>
      <c r="AE1737" s="80" t="str">
        <f>HYPERLINK("https://twitter.com/leiaflj/status/1637182087836094464")</f>
        <v>https://twitter.com/leiaflj/status/1637182087836094464</v>
      </c>
      <c r="AF1737" s="79">
        <v>45003.833344907405</v>
      </c>
      <c r="AG1737" s="85">
        <v>45003</v>
      </c>
      <c r="AH1737" s="82" t="s">
        <v>8865</v>
      </c>
      <c r="AI1737" s="77" t="b">
        <v>0</v>
      </c>
      <c r="AJ1737" s="77"/>
      <c r="AK1737" s="77"/>
      <c r="AL1737" s="77"/>
      <c r="AM1737" s="77"/>
      <c r="AN1737" s="77"/>
      <c r="AO1737" s="77"/>
      <c r="AP1737" s="77"/>
      <c r="AQ1737" s="77"/>
      <c r="AR1737" s="77"/>
      <c r="AS1737" s="77"/>
      <c r="AT1737" s="77"/>
      <c r="AU1737" s="77"/>
      <c r="AV1737" s="80" t="str">
        <f>HYPERLINK("https://pbs.twimg.com/profile_images/1620068456165933060/TShADQck_normal.jpg")</f>
        <v>https://pbs.twimg.com/profile_images/1620068456165933060/TShADQck_normal.jpg</v>
      </c>
      <c r="AW1737" s="82" t="s">
        <v>13903</v>
      </c>
      <c r="AX1737" s="82" t="s">
        <v>13903</v>
      </c>
      <c r="AY1737" s="77"/>
      <c r="AZ1737" s="82" t="s">
        <v>15804</v>
      </c>
      <c r="BA1737" s="82" t="s">
        <v>15804</v>
      </c>
      <c r="BB1737" s="82" t="s">
        <v>15804</v>
      </c>
      <c r="BC1737" s="82" t="s">
        <v>13903</v>
      </c>
      <c r="BD1737" s="82" t="s">
        <v>16454</v>
      </c>
      <c r="BE1737" s="77"/>
      <c r="BF1737" s="77"/>
      <c r="BG1737" s="77"/>
      <c r="BH1737" s="77"/>
      <c r="BI1737" s="77"/>
    </row>
    <row r="1738" spans="1:61" x14ac:dyDescent="0.25">
      <c r="A1738" s="62" t="s">
        <v>788</v>
      </c>
      <c r="B1738" s="62" t="s">
        <v>788</v>
      </c>
      <c r="C1738" s="63"/>
      <c r="D1738" s="64"/>
      <c r="E1738" s="65"/>
      <c r="F1738" s="66"/>
      <c r="G1738" s="63"/>
      <c r="H1738" s="67"/>
      <c r="I1738" s="68"/>
      <c r="J1738" s="68"/>
      <c r="K1738" s="32"/>
      <c r="L1738" s="75">
        <v>1738</v>
      </c>
      <c r="M1738" s="75"/>
      <c r="N1738" s="70"/>
      <c r="O1738" s="77" t="s">
        <v>179</v>
      </c>
      <c r="P1738" s="79">
        <v>45104.709837962961</v>
      </c>
      <c r="Q1738" s="77" t="s">
        <v>2799</v>
      </c>
      <c r="R1738" s="77">
        <v>0</v>
      </c>
      <c r="S1738" s="77">
        <v>1</v>
      </c>
      <c r="T1738" s="77">
        <v>1</v>
      </c>
      <c r="U1738" s="77">
        <v>0</v>
      </c>
      <c r="V1738" s="77">
        <v>151</v>
      </c>
      <c r="W1738" s="82" t="s">
        <v>5261</v>
      </c>
      <c r="X1738" s="80" t="str">
        <f>HYPERLINK("https://flj.com.br/noticia/lula-reclama-dos-juros-do-credito-consignado-e-diz-que-tratara-o-tema-com-haddad")</f>
        <v>https://flj.com.br/noticia/lula-reclama-dos-juros-do-credito-consignado-e-diz-que-tratara-o-tema-com-haddad</v>
      </c>
      <c r="Y1738" s="77" t="s">
        <v>6002</v>
      </c>
      <c r="Z1738" s="77"/>
      <c r="AA1738" s="77" t="s">
        <v>7174</v>
      </c>
      <c r="AB1738" s="77" t="s">
        <v>7697</v>
      </c>
      <c r="AC1738" s="82" t="s">
        <v>7707</v>
      </c>
      <c r="AD1738" s="77" t="s">
        <v>7745</v>
      </c>
      <c r="AE1738" s="80" t="str">
        <f>HYPERLINK("https://twitter.com/leiaflj/status/1673738504252141568")</f>
        <v>https://twitter.com/leiaflj/status/1673738504252141568</v>
      </c>
      <c r="AF1738" s="79">
        <v>45104.709837962961</v>
      </c>
      <c r="AG1738" s="85">
        <v>45104</v>
      </c>
      <c r="AH1738" s="82" t="s">
        <v>9296</v>
      </c>
      <c r="AI1738" s="77" t="b">
        <v>0</v>
      </c>
      <c r="AJ1738" s="77"/>
      <c r="AK1738" s="77"/>
      <c r="AL1738" s="77"/>
      <c r="AM1738" s="77"/>
      <c r="AN1738" s="77"/>
      <c r="AO1738" s="77"/>
      <c r="AP1738" s="77"/>
      <c r="AQ1738" s="77" t="s">
        <v>11681</v>
      </c>
      <c r="AR1738" s="77">
        <v>58533</v>
      </c>
      <c r="AS1738" s="77"/>
      <c r="AT1738" s="77"/>
      <c r="AU1738" s="77">
        <v>48</v>
      </c>
      <c r="AV1738" s="80" t="str">
        <f>HYPERLINK("https://pbs.twimg.com/ext_tw_video_thumb/1673738417048256512/pu/img/GhNe3CSGTZzSyOy7.jpg")</f>
        <v>https://pbs.twimg.com/ext_tw_video_thumb/1673738417048256512/pu/img/GhNe3CSGTZzSyOy7.jpg</v>
      </c>
      <c r="AW1738" s="82" t="s">
        <v>13904</v>
      </c>
      <c r="AX1738" s="82" t="s">
        <v>13904</v>
      </c>
      <c r="AY1738" s="77"/>
      <c r="AZ1738" s="82" t="s">
        <v>15804</v>
      </c>
      <c r="BA1738" s="82" t="s">
        <v>15804</v>
      </c>
      <c r="BB1738" s="82" t="s">
        <v>15804</v>
      </c>
      <c r="BC1738" s="82" t="s">
        <v>13904</v>
      </c>
      <c r="BD1738" s="82" t="s">
        <v>16454</v>
      </c>
      <c r="BE1738" s="77"/>
      <c r="BF1738" s="77"/>
      <c r="BG1738" s="77"/>
      <c r="BH1738" s="77"/>
      <c r="BI1738" s="77"/>
    </row>
    <row r="1739" spans="1:61" x14ac:dyDescent="0.25">
      <c r="A1739" s="62" t="s">
        <v>788</v>
      </c>
      <c r="B1739" s="62" t="s">
        <v>788</v>
      </c>
      <c r="C1739" s="63"/>
      <c r="D1739" s="64"/>
      <c r="E1739" s="65"/>
      <c r="F1739" s="66"/>
      <c r="G1739" s="63"/>
      <c r="H1739" s="67"/>
      <c r="I1739" s="68"/>
      <c r="J1739" s="68"/>
      <c r="K1739" s="32"/>
      <c r="L1739" s="75">
        <v>1739</v>
      </c>
      <c r="M1739" s="75"/>
      <c r="N1739" s="70"/>
      <c r="O1739" s="77" t="s">
        <v>179</v>
      </c>
      <c r="P1739" s="79">
        <v>44969.833344907405</v>
      </c>
      <c r="Q1739" s="77" t="s">
        <v>2800</v>
      </c>
      <c r="R1739" s="77">
        <v>0</v>
      </c>
      <c r="S1739" s="77">
        <v>2</v>
      </c>
      <c r="T1739" s="77">
        <v>0</v>
      </c>
      <c r="U1739" s="77">
        <v>0</v>
      </c>
      <c r="V1739" s="77">
        <v>131</v>
      </c>
      <c r="W1739" s="82" t="s">
        <v>5262</v>
      </c>
      <c r="X1739" s="80" t="str">
        <f>HYPERLINK("https://flj.com.br/aprenda/balanco-patrimonial-entenda-tudo-sobre")</f>
        <v>https://flj.com.br/aprenda/balanco-patrimonial-entenda-tudo-sobre</v>
      </c>
      <c r="Y1739" s="77" t="s">
        <v>6002</v>
      </c>
      <c r="Z1739" s="77"/>
      <c r="AA1739" s="77"/>
      <c r="AB1739" s="77"/>
      <c r="AC1739" s="82" t="s">
        <v>7706</v>
      </c>
      <c r="AD1739" s="77" t="s">
        <v>7745</v>
      </c>
      <c r="AE1739" s="80" t="str">
        <f>HYPERLINK("https://twitter.com/leiaflj/status/1624860898354675713")</f>
        <v>https://twitter.com/leiaflj/status/1624860898354675713</v>
      </c>
      <c r="AF1739" s="79">
        <v>44969.833344907405</v>
      </c>
      <c r="AG1739" s="85">
        <v>44969</v>
      </c>
      <c r="AH1739" s="82" t="s">
        <v>8865</v>
      </c>
      <c r="AI1739" s="77" t="b">
        <v>0</v>
      </c>
      <c r="AJ1739" s="77"/>
      <c r="AK1739" s="77"/>
      <c r="AL1739" s="77"/>
      <c r="AM1739" s="77"/>
      <c r="AN1739" s="77"/>
      <c r="AO1739" s="77"/>
      <c r="AP1739" s="77"/>
      <c r="AQ1739" s="77"/>
      <c r="AR1739" s="77"/>
      <c r="AS1739" s="77"/>
      <c r="AT1739" s="77"/>
      <c r="AU1739" s="77"/>
      <c r="AV1739" s="80" t="str">
        <f>HYPERLINK("https://pbs.twimg.com/profile_images/1620068456165933060/TShADQck_normal.jpg")</f>
        <v>https://pbs.twimg.com/profile_images/1620068456165933060/TShADQck_normal.jpg</v>
      </c>
      <c r="AW1739" s="82" t="s">
        <v>13905</v>
      </c>
      <c r="AX1739" s="82" t="s">
        <v>13905</v>
      </c>
      <c r="AY1739" s="77"/>
      <c r="AZ1739" s="82" t="s">
        <v>15804</v>
      </c>
      <c r="BA1739" s="82" t="s">
        <v>15804</v>
      </c>
      <c r="BB1739" s="82" t="s">
        <v>15804</v>
      </c>
      <c r="BC1739" s="82" t="s">
        <v>13905</v>
      </c>
      <c r="BD1739" s="82" t="s">
        <v>16454</v>
      </c>
      <c r="BE1739" s="77"/>
      <c r="BF1739" s="77"/>
      <c r="BG1739" s="77"/>
      <c r="BH1739" s="77"/>
      <c r="BI1739" s="77"/>
    </row>
    <row r="1740" spans="1:61" x14ac:dyDescent="0.25">
      <c r="A1740" s="62" t="s">
        <v>789</v>
      </c>
      <c r="B1740" s="62" t="s">
        <v>789</v>
      </c>
      <c r="C1740" s="63"/>
      <c r="D1740" s="64"/>
      <c r="E1740" s="65"/>
      <c r="F1740" s="66"/>
      <c r="G1740" s="63"/>
      <c r="H1740" s="67"/>
      <c r="I1740" s="68"/>
      <c r="J1740" s="68"/>
      <c r="K1740" s="32"/>
      <c r="L1740" s="75">
        <v>1740</v>
      </c>
      <c r="M1740" s="75"/>
      <c r="N1740" s="70"/>
      <c r="O1740" s="77" t="s">
        <v>179</v>
      </c>
      <c r="P1740" s="79">
        <v>45083.857662037037</v>
      </c>
      <c r="Q1740" s="77" t="s">
        <v>2801</v>
      </c>
      <c r="R1740" s="77">
        <v>0</v>
      </c>
      <c r="S1740" s="77">
        <v>10</v>
      </c>
      <c r="T1740" s="77">
        <v>3</v>
      </c>
      <c r="U1740" s="77">
        <v>0</v>
      </c>
      <c r="V1740" s="77">
        <v>575</v>
      </c>
      <c r="W1740" s="82" t="s">
        <v>5263</v>
      </c>
      <c r="X1740" s="77"/>
      <c r="Y1740" s="77"/>
      <c r="Z1740" s="77"/>
      <c r="AA1740" s="77" t="s">
        <v>7175</v>
      </c>
      <c r="AB1740" s="77" t="s">
        <v>7697</v>
      </c>
      <c r="AC1740" s="82" t="s">
        <v>7707</v>
      </c>
      <c r="AD1740" s="77" t="s">
        <v>7745</v>
      </c>
      <c r="AE1740" s="80" t="str">
        <f>HYPERLINK("https://twitter.com/robertopantojax/status/1666181927013871618")</f>
        <v>https://twitter.com/robertopantojax/status/1666181927013871618</v>
      </c>
      <c r="AF1740" s="79">
        <v>45083.857662037037</v>
      </c>
      <c r="AG1740" s="85">
        <v>45083</v>
      </c>
      <c r="AH1740" s="82" t="s">
        <v>9297</v>
      </c>
      <c r="AI1740" s="77" t="b">
        <v>0</v>
      </c>
      <c r="AJ1740" s="77"/>
      <c r="AK1740" s="77"/>
      <c r="AL1740" s="77"/>
      <c r="AM1740" s="77"/>
      <c r="AN1740" s="77"/>
      <c r="AO1740" s="77"/>
      <c r="AP1740" s="77"/>
      <c r="AQ1740" s="77" t="s">
        <v>11682</v>
      </c>
      <c r="AR1740" s="77">
        <v>74581</v>
      </c>
      <c r="AS1740" s="77"/>
      <c r="AT1740" s="77"/>
      <c r="AU1740" s="77">
        <v>262</v>
      </c>
      <c r="AV1740" s="80" t="str">
        <f>HYPERLINK("https://pbs.twimg.com/ext_tw_video_thumb/1666181825989861376/pu/img/GBePWDVUDRijdVSW.jpg")</f>
        <v>https://pbs.twimg.com/ext_tw_video_thumb/1666181825989861376/pu/img/GBePWDVUDRijdVSW.jpg</v>
      </c>
      <c r="AW1740" s="82" t="s">
        <v>13906</v>
      </c>
      <c r="AX1740" s="82" t="s">
        <v>13906</v>
      </c>
      <c r="AY1740" s="77"/>
      <c r="AZ1740" s="82" t="s">
        <v>15804</v>
      </c>
      <c r="BA1740" s="82" t="s">
        <v>15804</v>
      </c>
      <c r="BB1740" s="82" t="s">
        <v>15804</v>
      </c>
      <c r="BC1740" s="82" t="s">
        <v>13906</v>
      </c>
      <c r="BD1740" s="77">
        <v>20667807</v>
      </c>
      <c r="BE1740" s="77"/>
      <c r="BF1740" s="77"/>
      <c r="BG1740" s="77"/>
      <c r="BH1740" s="77"/>
      <c r="BI1740" s="77"/>
    </row>
    <row r="1741" spans="1:61" x14ac:dyDescent="0.25">
      <c r="A1741" s="62" t="s">
        <v>789</v>
      </c>
      <c r="B1741" s="62" t="s">
        <v>789</v>
      </c>
      <c r="C1741" s="63"/>
      <c r="D1741" s="64"/>
      <c r="E1741" s="65"/>
      <c r="F1741" s="66"/>
      <c r="G1741" s="63"/>
      <c r="H1741" s="67"/>
      <c r="I1741" s="68"/>
      <c r="J1741" s="68"/>
      <c r="K1741" s="32"/>
      <c r="L1741" s="75">
        <v>1741</v>
      </c>
      <c r="M1741" s="75"/>
      <c r="N1741" s="70"/>
      <c r="O1741" s="77" t="s">
        <v>179</v>
      </c>
      <c r="P1741" s="79">
        <v>45067.912905092591</v>
      </c>
      <c r="Q1741" s="77" t="s">
        <v>2802</v>
      </c>
      <c r="R1741" s="77">
        <v>54</v>
      </c>
      <c r="S1741" s="77">
        <v>349</v>
      </c>
      <c r="T1741" s="77">
        <v>55</v>
      </c>
      <c r="U1741" s="77">
        <v>12</v>
      </c>
      <c r="V1741" s="77">
        <v>33887</v>
      </c>
      <c r="W1741" s="82" t="s">
        <v>5264</v>
      </c>
      <c r="X1741" s="77"/>
      <c r="Y1741" s="77"/>
      <c r="Z1741" s="77"/>
      <c r="AA1741" s="77" t="s">
        <v>7176</v>
      </c>
      <c r="AB1741" s="77" t="s">
        <v>7697</v>
      </c>
      <c r="AC1741" s="82" t="s">
        <v>7707</v>
      </c>
      <c r="AD1741" s="77" t="s">
        <v>7745</v>
      </c>
      <c r="AE1741" s="80" t="str">
        <f>HYPERLINK("https://twitter.com/robertopantojax/status/1660403741541953536")</f>
        <v>https://twitter.com/robertopantojax/status/1660403741541953536</v>
      </c>
      <c r="AF1741" s="79">
        <v>45067.912905092591</v>
      </c>
      <c r="AG1741" s="85">
        <v>45067</v>
      </c>
      <c r="AH1741" s="82" t="s">
        <v>9298</v>
      </c>
      <c r="AI1741" s="77" t="b">
        <v>0</v>
      </c>
      <c r="AJ1741" s="77"/>
      <c r="AK1741" s="77"/>
      <c r="AL1741" s="77"/>
      <c r="AM1741" s="77"/>
      <c r="AN1741" s="77"/>
      <c r="AO1741" s="77"/>
      <c r="AP1741" s="77"/>
      <c r="AQ1741" s="77" t="s">
        <v>11683</v>
      </c>
      <c r="AR1741" s="77">
        <v>110849</v>
      </c>
      <c r="AS1741" s="77"/>
      <c r="AT1741" s="77"/>
      <c r="AU1741" s="77">
        <v>12844</v>
      </c>
      <c r="AV1741" s="80" t="str">
        <f>HYPERLINK("https://pbs.twimg.com/ext_tw_video_thumb/1660403601636831237/pu/img/O3i-dg2UILN7osfB.jpg")</f>
        <v>https://pbs.twimg.com/ext_tw_video_thumb/1660403601636831237/pu/img/O3i-dg2UILN7osfB.jpg</v>
      </c>
      <c r="AW1741" s="82" t="s">
        <v>13907</v>
      </c>
      <c r="AX1741" s="82" t="s">
        <v>13907</v>
      </c>
      <c r="AY1741" s="77"/>
      <c r="AZ1741" s="82" t="s">
        <v>15804</v>
      </c>
      <c r="BA1741" s="82" t="s">
        <v>15804</v>
      </c>
      <c r="BB1741" s="82" t="s">
        <v>15804</v>
      </c>
      <c r="BC1741" s="82" t="s">
        <v>13907</v>
      </c>
      <c r="BD1741" s="77">
        <v>20667807</v>
      </c>
      <c r="BE1741" s="77"/>
      <c r="BF1741" s="77"/>
      <c r="BG1741" s="77"/>
      <c r="BH1741" s="77"/>
      <c r="BI1741" s="77"/>
    </row>
    <row r="1742" spans="1:61" x14ac:dyDescent="0.25">
      <c r="A1742" s="62" t="s">
        <v>790</v>
      </c>
      <c r="B1742" s="62" t="s">
        <v>789</v>
      </c>
      <c r="C1742" s="63"/>
      <c r="D1742" s="64"/>
      <c r="E1742" s="65"/>
      <c r="F1742" s="66"/>
      <c r="G1742" s="63"/>
      <c r="H1742" s="67"/>
      <c r="I1742" s="68"/>
      <c r="J1742" s="68"/>
      <c r="K1742" s="32"/>
      <c r="L1742" s="75">
        <v>1742</v>
      </c>
      <c r="M1742" s="75"/>
      <c r="N1742" s="70"/>
      <c r="O1742" s="77" t="s">
        <v>1135</v>
      </c>
      <c r="P1742" s="79">
        <v>45068.495000000003</v>
      </c>
      <c r="Q1742" s="77" t="s">
        <v>2803</v>
      </c>
      <c r="R1742" s="77">
        <v>0</v>
      </c>
      <c r="S1742" s="77">
        <v>1</v>
      </c>
      <c r="T1742" s="77">
        <v>0</v>
      </c>
      <c r="U1742" s="77">
        <v>0</v>
      </c>
      <c r="V1742" s="77">
        <v>10</v>
      </c>
      <c r="W1742" s="82" t="s">
        <v>4080</v>
      </c>
      <c r="X1742" s="77"/>
      <c r="Y1742" s="77"/>
      <c r="Z1742" s="77"/>
      <c r="AA1742" s="77"/>
      <c r="AB1742" s="77"/>
      <c r="AC1742" s="82" t="s">
        <v>7705</v>
      </c>
      <c r="AD1742" s="77" t="s">
        <v>7745</v>
      </c>
      <c r="AE1742" s="80" t="str">
        <f>HYPERLINK("https://twitter.com/ye__exe/status/1660614685857665024")</f>
        <v>https://twitter.com/ye__exe/status/1660614685857665024</v>
      </c>
      <c r="AF1742" s="79">
        <v>45068.495000000003</v>
      </c>
      <c r="AG1742" s="85">
        <v>45068</v>
      </c>
      <c r="AH1742" s="82" t="s">
        <v>9299</v>
      </c>
      <c r="AI1742" s="77"/>
      <c r="AJ1742" s="77"/>
      <c r="AK1742" s="77"/>
      <c r="AL1742" s="77"/>
      <c r="AM1742" s="77"/>
      <c r="AN1742" s="77"/>
      <c r="AO1742" s="77"/>
      <c r="AP1742" s="77"/>
      <c r="AQ1742" s="77"/>
      <c r="AR1742" s="77"/>
      <c r="AS1742" s="77"/>
      <c r="AT1742" s="77"/>
      <c r="AU1742" s="77"/>
      <c r="AV1742" s="80" t="str">
        <f>HYPERLINK("https://pbs.twimg.com/profile_images/1635789664853319683/BStZZr6Z_normal.jpg")</f>
        <v>https://pbs.twimg.com/profile_images/1635789664853319683/BStZZr6Z_normal.jpg</v>
      </c>
      <c r="AW1742" s="82" t="s">
        <v>13908</v>
      </c>
      <c r="AX1742" s="82" t="s">
        <v>13908</v>
      </c>
      <c r="AY1742" s="77"/>
      <c r="AZ1742" s="82" t="s">
        <v>15804</v>
      </c>
      <c r="BA1742" s="82" t="s">
        <v>13907</v>
      </c>
      <c r="BB1742" s="82" t="s">
        <v>15804</v>
      </c>
      <c r="BC1742" s="82" t="s">
        <v>13907</v>
      </c>
      <c r="BD1742" s="82" t="s">
        <v>16455</v>
      </c>
      <c r="BE1742" s="77"/>
      <c r="BF1742" s="77"/>
      <c r="BG1742" s="77"/>
      <c r="BH1742" s="77"/>
      <c r="BI1742" s="77"/>
    </row>
    <row r="1743" spans="1:61" x14ac:dyDescent="0.25">
      <c r="A1743" s="62" t="s">
        <v>791</v>
      </c>
      <c r="B1743" s="62" t="s">
        <v>791</v>
      </c>
      <c r="C1743" s="63"/>
      <c r="D1743" s="64"/>
      <c r="E1743" s="65"/>
      <c r="F1743" s="66"/>
      <c r="G1743" s="63"/>
      <c r="H1743" s="67"/>
      <c r="I1743" s="68"/>
      <c r="J1743" s="68"/>
      <c r="K1743" s="32"/>
      <c r="L1743" s="75">
        <v>1743</v>
      </c>
      <c r="M1743" s="75"/>
      <c r="N1743" s="70"/>
      <c r="O1743" s="77" t="s">
        <v>179</v>
      </c>
      <c r="P1743" s="79">
        <v>45102.703136574077</v>
      </c>
      <c r="Q1743" s="77" t="s">
        <v>2804</v>
      </c>
      <c r="R1743" s="77">
        <v>0</v>
      </c>
      <c r="S1743" s="77">
        <v>0</v>
      </c>
      <c r="T1743" s="77">
        <v>0</v>
      </c>
      <c r="U1743" s="77">
        <v>0</v>
      </c>
      <c r="V1743" s="77">
        <v>38</v>
      </c>
      <c r="W1743" s="82" t="s">
        <v>5265</v>
      </c>
      <c r="X1743" s="77"/>
      <c r="Y1743" s="77"/>
      <c r="Z1743" s="77"/>
      <c r="AA1743" s="77" t="s">
        <v>7177</v>
      </c>
      <c r="AB1743" s="77" t="s">
        <v>7697</v>
      </c>
      <c r="AC1743" s="82" t="s">
        <v>7705</v>
      </c>
      <c r="AD1743" s="77" t="s">
        <v>7745</v>
      </c>
      <c r="AE1743" s="80" t="str">
        <f>HYPERLINK("https://twitter.com/britzztheking/status/1673011299523936256")</f>
        <v>https://twitter.com/britzztheking/status/1673011299523936256</v>
      </c>
      <c r="AF1743" s="79">
        <v>45102.703136574077</v>
      </c>
      <c r="AG1743" s="85">
        <v>45102</v>
      </c>
      <c r="AH1743" s="82" t="s">
        <v>9300</v>
      </c>
      <c r="AI1743" s="77" t="b">
        <v>0</v>
      </c>
      <c r="AJ1743" s="77" t="s">
        <v>10540</v>
      </c>
      <c r="AK1743" s="77" t="s">
        <v>10554</v>
      </c>
      <c r="AL1743" s="77" t="s">
        <v>10557</v>
      </c>
      <c r="AM1743" s="77" t="s">
        <v>10577</v>
      </c>
      <c r="AN1743" s="77" t="s">
        <v>10607</v>
      </c>
      <c r="AO1743" s="77" t="s">
        <v>10638</v>
      </c>
      <c r="AP1743" s="77" t="s">
        <v>10649</v>
      </c>
      <c r="AQ1743" s="77" t="s">
        <v>11684</v>
      </c>
      <c r="AR1743" s="77">
        <v>59066</v>
      </c>
      <c r="AS1743" s="77"/>
      <c r="AT1743" s="77"/>
      <c r="AU1743" s="77">
        <v>10</v>
      </c>
      <c r="AV1743" s="80" t="str">
        <f>HYPERLINK("https://pbs.twimg.com/ext_tw_video_thumb/1673011083118891008/pu/img/sWgTRtEJSg_hQLLV.jpg")</f>
        <v>https://pbs.twimg.com/ext_tw_video_thumb/1673011083118891008/pu/img/sWgTRtEJSg_hQLLV.jpg</v>
      </c>
      <c r="AW1743" s="82" t="s">
        <v>13909</v>
      </c>
      <c r="AX1743" s="82" t="s">
        <v>13909</v>
      </c>
      <c r="AY1743" s="77"/>
      <c r="AZ1743" s="82" t="s">
        <v>15804</v>
      </c>
      <c r="BA1743" s="82" t="s">
        <v>15804</v>
      </c>
      <c r="BB1743" s="82" t="s">
        <v>15804</v>
      </c>
      <c r="BC1743" s="82" t="s">
        <v>13909</v>
      </c>
      <c r="BD1743" s="82" t="s">
        <v>16456</v>
      </c>
      <c r="BE1743" s="77"/>
      <c r="BF1743" s="77"/>
      <c r="BG1743" s="77"/>
      <c r="BH1743" s="77"/>
      <c r="BI1743" s="77"/>
    </row>
    <row r="1744" spans="1:61" x14ac:dyDescent="0.25">
      <c r="A1744" s="62" t="s">
        <v>792</v>
      </c>
      <c r="B1744" s="62" t="s">
        <v>792</v>
      </c>
      <c r="C1744" s="63"/>
      <c r="D1744" s="64"/>
      <c r="E1744" s="65"/>
      <c r="F1744" s="66"/>
      <c r="G1744" s="63"/>
      <c r="H1744" s="67"/>
      <c r="I1744" s="68"/>
      <c r="J1744" s="68"/>
      <c r="K1744" s="32"/>
      <c r="L1744" s="75">
        <v>1744</v>
      </c>
      <c r="M1744" s="75"/>
      <c r="N1744" s="70"/>
      <c r="O1744" s="77" t="s">
        <v>179</v>
      </c>
      <c r="P1744" s="79">
        <v>45113.539837962962</v>
      </c>
      <c r="Q1744" s="77" t="s">
        <v>2805</v>
      </c>
      <c r="R1744" s="77">
        <v>0</v>
      </c>
      <c r="S1744" s="77">
        <v>0</v>
      </c>
      <c r="T1744" s="77">
        <v>0</v>
      </c>
      <c r="U1744" s="77">
        <v>0</v>
      </c>
      <c r="V1744" s="77">
        <v>10</v>
      </c>
      <c r="W1744" s="82" t="s">
        <v>5266</v>
      </c>
      <c r="X1744" s="80" t="str">
        <f>HYPERLINK("http://wix.to/pENsrGm")</f>
        <v>http://wix.to/pENsrGm</v>
      </c>
      <c r="Y1744" s="77" t="s">
        <v>6084</v>
      </c>
      <c r="Z1744" s="77"/>
      <c r="AA1744" s="77"/>
      <c r="AB1744" s="77"/>
      <c r="AC1744" s="82" t="s">
        <v>7735</v>
      </c>
      <c r="AD1744" s="77" t="s">
        <v>7745</v>
      </c>
      <c r="AE1744" s="80" t="str">
        <f>HYPERLINK("https://twitter.com/kakoramos/status/1676938388790996993")</f>
        <v>https://twitter.com/kakoramos/status/1676938388790996993</v>
      </c>
      <c r="AF1744" s="79">
        <v>45113.539837962962</v>
      </c>
      <c r="AG1744" s="85">
        <v>45113</v>
      </c>
      <c r="AH1744" s="82" t="s">
        <v>9301</v>
      </c>
      <c r="AI1744" s="77" t="b">
        <v>0</v>
      </c>
      <c r="AJ1744" s="77"/>
      <c r="AK1744" s="77"/>
      <c r="AL1744" s="77"/>
      <c r="AM1744" s="77"/>
      <c r="AN1744" s="77"/>
      <c r="AO1744" s="77"/>
      <c r="AP1744" s="77"/>
      <c r="AQ1744" s="77"/>
      <c r="AR1744" s="77"/>
      <c r="AS1744" s="77"/>
      <c r="AT1744" s="77"/>
      <c r="AU1744" s="77"/>
      <c r="AV1744" s="80" t="str">
        <f>HYPERLINK("https://pbs.twimg.com/profile_images/1666814261744766979/Z3Vpdskg_normal.jpg")</f>
        <v>https://pbs.twimg.com/profile_images/1666814261744766979/Z3Vpdskg_normal.jpg</v>
      </c>
      <c r="AW1744" s="82" t="s">
        <v>13910</v>
      </c>
      <c r="AX1744" s="82" t="s">
        <v>13910</v>
      </c>
      <c r="AY1744" s="77"/>
      <c r="AZ1744" s="82" t="s">
        <v>15804</v>
      </c>
      <c r="BA1744" s="82" t="s">
        <v>15804</v>
      </c>
      <c r="BB1744" s="82" t="s">
        <v>15804</v>
      </c>
      <c r="BC1744" s="82" t="s">
        <v>13910</v>
      </c>
      <c r="BD1744" s="77">
        <v>69634735</v>
      </c>
      <c r="BE1744" s="77"/>
      <c r="BF1744" s="77"/>
      <c r="BG1744" s="77"/>
      <c r="BH1744" s="77"/>
      <c r="BI1744" s="77"/>
    </row>
    <row r="1745" spans="1:61" x14ac:dyDescent="0.25">
      <c r="A1745" s="62" t="s">
        <v>792</v>
      </c>
      <c r="B1745" s="62" t="s">
        <v>792</v>
      </c>
      <c r="C1745" s="63"/>
      <c r="D1745" s="64"/>
      <c r="E1745" s="65"/>
      <c r="F1745" s="66"/>
      <c r="G1745" s="63"/>
      <c r="H1745" s="67"/>
      <c r="I1745" s="68"/>
      <c r="J1745" s="68"/>
      <c r="K1745" s="32"/>
      <c r="L1745" s="75">
        <v>1745</v>
      </c>
      <c r="M1745" s="75"/>
      <c r="N1745" s="70"/>
      <c r="O1745" s="77" t="s">
        <v>179</v>
      </c>
      <c r="P1745" s="79">
        <v>45121.572696759256</v>
      </c>
      <c r="Q1745" s="77" t="s">
        <v>2806</v>
      </c>
      <c r="R1745" s="77">
        <v>0</v>
      </c>
      <c r="S1745" s="77">
        <v>0</v>
      </c>
      <c r="T1745" s="77">
        <v>0</v>
      </c>
      <c r="U1745" s="77">
        <v>0</v>
      </c>
      <c r="V1745" s="77">
        <v>9</v>
      </c>
      <c r="W1745" s="82" t="s">
        <v>5267</v>
      </c>
      <c r="X1745" s="80" t="str">
        <f>HYPERLINK("http://wix.to/PbVyvbC")</f>
        <v>http://wix.to/PbVyvbC</v>
      </c>
      <c r="Y1745" s="77" t="s">
        <v>6084</v>
      </c>
      <c r="Z1745" s="77"/>
      <c r="AA1745" s="77"/>
      <c r="AB1745" s="77"/>
      <c r="AC1745" s="82" t="s">
        <v>7735</v>
      </c>
      <c r="AD1745" s="77" t="s">
        <v>7745</v>
      </c>
      <c r="AE1745" s="80" t="str">
        <f>HYPERLINK("https://twitter.com/kakoramos/status/1679849399483273216")</f>
        <v>https://twitter.com/kakoramos/status/1679849399483273216</v>
      </c>
      <c r="AF1745" s="79">
        <v>45121.572696759256</v>
      </c>
      <c r="AG1745" s="85">
        <v>45121</v>
      </c>
      <c r="AH1745" s="82" t="s">
        <v>9302</v>
      </c>
      <c r="AI1745" s="77" t="b">
        <v>0</v>
      </c>
      <c r="AJ1745" s="77"/>
      <c r="AK1745" s="77"/>
      <c r="AL1745" s="77"/>
      <c r="AM1745" s="77"/>
      <c r="AN1745" s="77"/>
      <c r="AO1745" s="77"/>
      <c r="AP1745" s="77"/>
      <c r="AQ1745" s="77"/>
      <c r="AR1745" s="77"/>
      <c r="AS1745" s="77"/>
      <c r="AT1745" s="77"/>
      <c r="AU1745" s="77"/>
      <c r="AV1745" s="80" t="str">
        <f>HYPERLINK("https://pbs.twimg.com/profile_images/1666814261744766979/Z3Vpdskg_normal.jpg")</f>
        <v>https://pbs.twimg.com/profile_images/1666814261744766979/Z3Vpdskg_normal.jpg</v>
      </c>
      <c r="AW1745" s="82" t="s">
        <v>13911</v>
      </c>
      <c r="AX1745" s="82" t="s">
        <v>13911</v>
      </c>
      <c r="AY1745" s="77"/>
      <c r="AZ1745" s="82" t="s">
        <v>15804</v>
      </c>
      <c r="BA1745" s="82" t="s">
        <v>15804</v>
      </c>
      <c r="BB1745" s="82" t="s">
        <v>15804</v>
      </c>
      <c r="BC1745" s="82" t="s">
        <v>13911</v>
      </c>
      <c r="BD1745" s="77">
        <v>69634735</v>
      </c>
      <c r="BE1745" s="77"/>
      <c r="BF1745" s="77"/>
      <c r="BG1745" s="77"/>
      <c r="BH1745" s="77"/>
      <c r="BI1745" s="77"/>
    </row>
    <row r="1746" spans="1:61" x14ac:dyDescent="0.25">
      <c r="A1746" s="62" t="s">
        <v>793</v>
      </c>
      <c r="B1746" s="62" t="s">
        <v>793</v>
      </c>
      <c r="C1746" s="63"/>
      <c r="D1746" s="64"/>
      <c r="E1746" s="65"/>
      <c r="F1746" s="66"/>
      <c r="G1746" s="63"/>
      <c r="H1746" s="67"/>
      <c r="I1746" s="68"/>
      <c r="J1746" s="68"/>
      <c r="K1746" s="32"/>
      <c r="L1746" s="75">
        <v>1746</v>
      </c>
      <c r="M1746" s="75"/>
      <c r="N1746" s="70"/>
      <c r="O1746" s="77" t="s">
        <v>179</v>
      </c>
      <c r="P1746" s="79">
        <v>45150.707268518519</v>
      </c>
      <c r="Q1746" s="77" t="s">
        <v>2807</v>
      </c>
      <c r="R1746" s="77">
        <v>0</v>
      </c>
      <c r="S1746" s="77">
        <v>3</v>
      </c>
      <c r="T1746" s="77">
        <v>2</v>
      </c>
      <c r="U1746" s="77">
        <v>0</v>
      </c>
      <c r="V1746" s="77">
        <v>233</v>
      </c>
      <c r="W1746" s="82" t="s">
        <v>5268</v>
      </c>
      <c r="X1746" s="80" t="str">
        <f>HYPERLINK("https://www.produtive.me/product-page/financeiro-b%C3%A1sico")</f>
        <v>https://www.produtive.me/product-page/financeiro-b%C3%A1sico</v>
      </c>
      <c r="Y1746" s="77" t="s">
        <v>6085</v>
      </c>
      <c r="Z1746" s="77"/>
      <c r="AA1746" s="77" t="s">
        <v>7178</v>
      </c>
      <c r="AB1746" s="77" t="s">
        <v>7700</v>
      </c>
      <c r="AC1746" s="82" t="s">
        <v>7706</v>
      </c>
      <c r="AD1746" s="77" t="s">
        <v>7745</v>
      </c>
      <c r="AE1746" s="80" t="str">
        <f>HYPERLINK("https://twitter.com/produtiveme/status/1690407416234401792")</f>
        <v>https://twitter.com/produtiveme/status/1690407416234401792</v>
      </c>
      <c r="AF1746" s="79">
        <v>45150.707268518519</v>
      </c>
      <c r="AG1746" s="85">
        <v>45150</v>
      </c>
      <c r="AH1746" s="82" t="s">
        <v>9303</v>
      </c>
      <c r="AI1746" s="77" t="b">
        <v>0</v>
      </c>
      <c r="AJ1746" s="77"/>
      <c r="AK1746" s="77"/>
      <c r="AL1746" s="77"/>
      <c r="AM1746" s="77"/>
      <c r="AN1746" s="77"/>
      <c r="AO1746" s="77"/>
      <c r="AP1746" s="77"/>
      <c r="AQ1746" s="77" t="s">
        <v>11685</v>
      </c>
      <c r="AR1746" s="77"/>
      <c r="AS1746" s="77"/>
      <c r="AT1746" s="77"/>
      <c r="AU1746" s="77"/>
      <c r="AV1746" s="80" t="str">
        <f>HYPERLINK("https://pbs.twimg.com/media/F3WIUb7XIAAx6Gf.jpg")</f>
        <v>https://pbs.twimg.com/media/F3WIUb7XIAAx6Gf.jpg</v>
      </c>
      <c r="AW1746" s="82" t="s">
        <v>13912</v>
      </c>
      <c r="AX1746" s="82" t="s">
        <v>13912</v>
      </c>
      <c r="AY1746" s="77"/>
      <c r="AZ1746" s="82" t="s">
        <v>15804</v>
      </c>
      <c r="BA1746" s="82" t="s">
        <v>15804</v>
      </c>
      <c r="BB1746" s="82" t="s">
        <v>15804</v>
      </c>
      <c r="BC1746" s="82" t="s">
        <v>13912</v>
      </c>
      <c r="BD1746" s="82" t="s">
        <v>16457</v>
      </c>
      <c r="BE1746" s="77"/>
      <c r="BF1746" s="77"/>
      <c r="BG1746" s="77"/>
      <c r="BH1746" s="77"/>
      <c r="BI1746" s="77"/>
    </row>
    <row r="1747" spans="1:61" x14ac:dyDescent="0.25">
      <c r="A1747" s="62" t="s">
        <v>794</v>
      </c>
      <c r="B1747" s="62" t="s">
        <v>794</v>
      </c>
      <c r="C1747" s="63"/>
      <c r="D1747" s="64"/>
      <c r="E1747" s="65"/>
      <c r="F1747" s="66"/>
      <c r="G1747" s="63"/>
      <c r="H1747" s="67"/>
      <c r="I1747" s="68"/>
      <c r="J1747" s="68"/>
      <c r="K1747" s="32"/>
      <c r="L1747" s="75">
        <v>1747</v>
      </c>
      <c r="M1747" s="75"/>
      <c r="N1747" s="70"/>
      <c r="O1747" s="77" t="s">
        <v>179</v>
      </c>
      <c r="P1747" s="79">
        <v>45020.018472222226</v>
      </c>
      <c r="Q1747" s="77" t="s">
        <v>2808</v>
      </c>
      <c r="R1747" s="77">
        <v>0</v>
      </c>
      <c r="S1747" s="77">
        <v>0</v>
      </c>
      <c r="T1747" s="77">
        <v>0</v>
      </c>
      <c r="U1747" s="77">
        <v>0</v>
      </c>
      <c r="V1747" s="77">
        <v>10</v>
      </c>
      <c r="W1747" s="82" t="s">
        <v>5269</v>
      </c>
      <c r="X1747" s="77"/>
      <c r="Y1747" s="77"/>
      <c r="Z1747" s="77"/>
      <c r="AA1747" s="77"/>
      <c r="AB1747" s="77"/>
      <c r="AC1747" s="82" t="s">
        <v>7707</v>
      </c>
      <c r="AD1747" s="77" t="s">
        <v>7745</v>
      </c>
      <c r="AE1747" s="80" t="str">
        <f>HYPERLINK("https://twitter.com/guiftmottin7/status/1643047380986761216")</f>
        <v>https://twitter.com/guiftmottin7/status/1643047380986761216</v>
      </c>
      <c r="AF1747" s="79">
        <v>45020.018472222226</v>
      </c>
      <c r="AG1747" s="85">
        <v>45020</v>
      </c>
      <c r="AH1747" s="82" t="s">
        <v>9304</v>
      </c>
      <c r="AI1747" s="77"/>
      <c r="AJ1747" s="77"/>
      <c r="AK1747" s="77"/>
      <c r="AL1747" s="77"/>
      <c r="AM1747" s="77"/>
      <c r="AN1747" s="77"/>
      <c r="AO1747" s="77"/>
      <c r="AP1747" s="77"/>
      <c r="AQ1747" s="77"/>
      <c r="AR1747" s="77"/>
      <c r="AS1747" s="77"/>
      <c r="AT1747" s="77"/>
      <c r="AU1747" s="77"/>
      <c r="AV1747" s="80" t="str">
        <f>HYPERLINK("https://pbs.twimg.com/profile_images/1638372597984272385/zovjXtAN_normal.jpg")</f>
        <v>https://pbs.twimg.com/profile_images/1638372597984272385/zovjXtAN_normal.jpg</v>
      </c>
      <c r="AW1747" s="82" t="s">
        <v>13913</v>
      </c>
      <c r="AX1747" s="82" t="s">
        <v>13913</v>
      </c>
      <c r="AY1747" s="77"/>
      <c r="AZ1747" s="82" t="s">
        <v>15804</v>
      </c>
      <c r="BA1747" s="82" t="s">
        <v>15804</v>
      </c>
      <c r="BB1747" s="82" t="s">
        <v>15804</v>
      </c>
      <c r="BC1747" s="82" t="s">
        <v>13913</v>
      </c>
      <c r="BD1747" s="82" t="s">
        <v>16458</v>
      </c>
      <c r="BE1747" s="77"/>
      <c r="BF1747" s="77"/>
      <c r="BG1747" s="77"/>
      <c r="BH1747" s="77"/>
      <c r="BI1747" s="77"/>
    </row>
    <row r="1748" spans="1:61" x14ac:dyDescent="0.25">
      <c r="A1748" s="62" t="s">
        <v>795</v>
      </c>
      <c r="B1748" s="62" t="s">
        <v>934</v>
      </c>
      <c r="C1748" s="63"/>
      <c r="D1748" s="64"/>
      <c r="E1748" s="65"/>
      <c r="F1748" s="66"/>
      <c r="G1748" s="63"/>
      <c r="H1748" s="67"/>
      <c r="I1748" s="68"/>
      <c r="J1748" s="68"/>
      <c r="K1748" s="32"/>
      <c r="L1748" s="75">
        <v>1748</v>
      </c>
      <c r="M1748" s="75"/>
      <c r="N1748" s="70"/>
      <c r="O1748" s="77" t="s">
        <v>1134</v>
      </c>
      <c r="P1748" s="79">
        <v>45176.590902777774</v>
      </c>
      <c r="Q1748" s="77" t="s">
        <v>1275</v>
      </c>
      <c r="R1748" s="77">
        <v>4</v>
      </c>
      <c r="S1748" s="77">
        <v>0</v>
      </c>
      <c r="T1748" s="77">
        <v>0</v>
      </c>
      <c r="U1748" s="77">
        <v>0</v>
      </c>
      <c r="V1748" s="77"/>
      <c r="W1748" s="82" t="s">
        <v>4143</v>
      </c>
      <c r="X1748" s="77"/>
      <c r="Y1748" s="77"/>
      <c r="Z1748" s="77" t="s">
        <v>934</v>
      </c>
      <c r="AA1748" s="77"/>
      <c r="AB1748" s="77"/>
      <c r="AC1748" s="82" t="s">
        <v>7707</v>
      </c>
      <c r="AD1748" s="77" t="s">
        <v>7747</v>
      </c>
      <c r="AE1748" s="80" t="str">
        <f>HYPERLINK("https://twitter.com/nostranska/status/1699787331329540499")</f>
        <v>https://twitter.com/nostranska/status/1699787331329540499</v>
      </c>
      <c r="AF1748" s="79">
        <v>45176.590902777774</v>
      </c>
      <c r="AG1748" s="85">
        <v>45176</v>
      </c>
      <c r="AH1748" s="82" t="s">
        <v>8926</v>
      </c>
      <c r="AI1748" s="77"/>
      <c r="AJ1748" s="77"/>
      <c r="AK1748" s="77"/>
      <c r="AL1748" s="77"/>
      <c r="AM1748" s="77"/>
      <c r="AN1748" s="77"/>
      <c r="AO1748" s="77"/>
      <c r="AP1748" s="77"/>
      <c r="AQ1748" s="77"/>
      <c r="AR1748" s="77"/>
      <c r="AS1748" s="77"/>
      <c r="AT1748" s="77"/>
      <c r="AU1748" s="77"/>
      <c r="AV1748" s="80" t="str">
        <f>HYPERLINK("https://pbs.twimg.com/profile_images/1665776370172022786/liySln4O_normal.jpg")</f>
        <v>https://pbs.twimg.com/profile_images/1665776370172022786/liySln4O_normal.jpg</v>
      </c>
      <c r="AW1748" s="82" t="s">
        <v>13914</v>
      </c>
      <c r="AX1748" s="82" t="s">
        <v>13914</v>
      </c>
      <c r="AY1748" s="77"/>
      <c r="AZ1748" s="82" t="s">
        <v>15804</v>
      </c>
      <c r="BA1748" s="82" t="s">
        <v>15804</v>
      </c>
      <c r="BB1748" s="82" t="s">
        <v>14575</v>
      </c>
      <c r="BC1748" s="82" t="s">
        <v>14575</v>
      </c>
      <c r="BD1748" s="82" t="s">
        <v>16459</v>
      </c>
      <c r="BE1748" s="77"/>
      <c r="BF1748" s="77"/>
      <c r="BG1748" s="77"/>
      <c r="BH1748" s="77"/>
      <c r="BI1748" s="77"/>
    </row>
    <row r="1749" spans="1:61" x14ac:dyDescent="0.25">
      <c r="A1749" s="62" t="s">
        <v>796</v>
      </c>
      <c r="B1749" s="62" t="s">
        <v>796</v>
      </c>
      <c r="C1749" s="63"/>
      <c r="D1749" s="64"/>
      <c r="E1749" s="65"/>
      <c r="F1749" s="66"/>
      <c r="G1749" s="63"/>
      <c r="H1749" s="67"/>
      <c r="I1749" s="68"/>
      <c r="J1749" s="68"/>
      <c r="K1749" s="32"/>
      <c r="L1749" s="75">
        <v>1749</v>
      </c>
      <c r="M1749" s="75"/>
      <c r="N1749" s="70"/>
      <c r="O1749" s="77" t="s">
        <v>179</v>
      </c>
      <c r="P1749" s="79">
        <v>44951.268645833334</v>
      </c>
      <c r="Q1749" s="77" t="s">
        <v>2809</v>
      </c>
      <c r="R1749" s="77">
        <v>0</v>
      </c>
      <c r="S1749" s="77">
        <v>0</v>
      </c>
      <c r="T1749" s="77">
        <v>0</v>
      </c>
      <c r="U1749" s="77">
        <v>0</v>
      </c>
      <c r="V1749" s="77">
        <v>2</v>
      </c>
      <c r="W1749" s="82" t="s">
        <v>5270</v>
      </c>
      <c r="X1749" s="80" t="str">
        <f>HYPERLINK("https://www.instagram.com/p/CnyfN9iuT0D/?igshid=YTgzYjQ4ZTY=")</f>
        <v>https://www.instagram.com/p/CnyfN9iuT0D/?igshid=YTgzYjQ4ZTY=</v>
      </c>
      <c r="Y1749" s="77" t="s">
        <v>6000</v>
      </c>
      <c r="Z1749" s="77"/>
      <c r="AA1749" s="77"/>
      <c r="AB1749" s="77"/>
      <c r="AC1749" s="82" t="s">
        <v>7704</v>
      </c>
      <c r="AD1749" s="77" t="s">
        <v>7745</v>
      </c>
      <c r="AE1749" s="80" t="str">
        <f>HYPERLINK("https://twitter.com/vteixeira19/status/1618133277411246080")</f>
        <v>https://twitter.com/vteixeira19/status/1618133277411246080</v>
      </c>
      <c r="AF1749" s="79">
        <v>44951.268645833334</v>
      </c>
      <c r="AG1749" s="85">
        <v>44951</v>
      </c>
      <c r="AH1749" s="82" t="s">
        <v>9305</v>
      </c>
      <c r="AI1749" s="77" t="b">
        <v>0</v>
      </c>
      <c r="AJ1749" s="77"/>
      <c r="AK1749" s="77"/>
      <c r="AL1749" s="77"/>
      <c r="AM1749" s="77"/>
      <c r="AN1749" s="77"/>
      <c r="AO1749" s="77"/>
      <c r="AP1749" s="77"/>
      <c r="AQ1749" s="77"/>
      <c r="AR1749" s="77"/>
      <c r="AS1749" s="77"/>
      <c r="AT1749" s="77"/>
      <c r="AU1749" s="77"/>
      <c r="AV1749" s="80" t="str">
        <f>HYPERLINK("https://pbs.twimg.com/profile_images/1618127849998655488/BEJdisZU_normal.jpg")</f>
        <v>https://pbs.twimg.com/profile_images/1618127849998655488/BEJdisZU_normal.jpg</v>
      </c>
      <c r="AW1749" s="82" t="s">
        <v>13915</v>
      </c>
      <c r="AX1749" s="82" t="s">
        <v>13915</v>
      </c>
      <c r="AY1749" s="77"/>
      <c r="AZ1749" s="82" t="s">
        <v>15804</v>
      </c>
      <c r="BA1749" s="82" t="s">
        <v>15804</v>
      </c>
      <c r="BB1749" s="82" t="s">
        <v>15804</v>
      </c>
      <c r="BC1749" s="82" t="s">
        <v>13915</v>
      </c>
      <c r="BD1749" s="82" t="s">
        <v>16460</v>
      </c>
      <c r="BE1749" s="77"/>
      <c r="BF1749" s="77"/>
      <c r="BG1749" s="77"/>
      <c r="BH1749" s="77"/>
      <c r="BI1749" s="77"/>
    </row>
    <row r="1750" spans="1:61" x14ac:dyDescent="0.25">
      <c r="A1750" s="62" t="s">
        <v>797</v>
      </c>
      <c r="B1750" s="62" t="s">
        <v>797</v>
      </c>
      <c r="C1750" s="63"/>
      <c r="D1750" s="64"/>
      <c r="E1750" s="65"/>
      <c r="F1750" s="66"/>
      <c r="G1750" s="63"/>
      <c r="H1750" s="67"/>
      <c r="I1750" s="68"/>
      <c r="J1750" s="68"/>
      <c r="K1750" s="32"/>
      <c r="L1750" s="75">
        <v>1750</v>
      </c>
      <c r="M1750" s="75"/>
      <c r="N1750" s="70"/>
      <c r="O1750" s="77" t="s">
        <v>179</v>
      </c>
      <c r="P1750" s="79">
        <v>44953.167025462964</v>
      </c>
      <c r="Q1750" s="77" t="s">
        <v>2810</v>
      </c>
      <c r="R1750" s="77">
        <v>1</v>
      </c>
      <c r="S1750" s="77">
        <v>2</v>
      </c>
      <c r="T1750" s="77">
        <v>0</v>
      </c>
      <c r="U1750" s="77">
        <v>0</v>
      </c>
      <c r="V1750" s="77">
        <v>1625</v>
      </c>
      <c r="W1750" s="82" t="s">
        <v>5271</v>
      </c>
      <c r="X1750" s="80" t="str">
        <f>HYPERLINK("https://cultura.uol.com.br/economia/noticias/2022/10/26/171_entenda-a-importancia-da-educacao-financeira-para-os-jovens.html")</f>
        <v>https://cultura.uol.com.br/economia/noticias/2022/10/26/171_entenda-a-importancia-da-educacao-financeira-para-os-jovens.html</v>
      </c>
      <c r="Y1750" s="77" t="s">
        <v>6002</v>
      </c>
      <c r="Z1750" s="77"/>
      <c r="AA1750" s="77"/>
      <c r="AB1750" s="77"/>
      <c r="AC1750" s="82" t="s">
        <v>7731</v>
      </c>
      <c r="AD1750" s="77" t="s">
        <v>7745</v>
      </c>
      <c r="AE1750" s="80" t="str">
        <f>HYPERLINK("https://twitter.com/tvcultura/status/1618821226356432896")</f>
        <v>https://twitter.com/tvcultura/status/1618821226356432896</v>
      </c>
      <c r="AF1750" s="79">
        <v>44953.167025462964</v>
      </c>
      <c r="AG1750" s="85">
        <v>44953</v>
      </c>
      <c r="AH1750" s="82" t="s">
        <v>9306</v>
      </c>
      <c r="AI1750" s="77" t="b">
        <v>0</v>
      </c>
      <c r="AJ1750" s="77"/>
      <c r="AK1750" s="77"/>
      <c r="AL1750" s="77"/>
      <c r="AM1750" s="77"/>
      <c r="AN1750" s="77"/>
      <c r="AO1750" s="77"/>
      <c r="AP1750" s="77"/>
      <c r="AQ1750" s="77"/>
      <c r="AR1750" s="77"/>
      <c r="AS1750" s="77"/>
      <c r="AT1750" s="77"/>
      <c r="AU1750" s="77"/>
      <c r="AV1750" s="80" t="str">
        <f>HYPERLINK("https://pbs.twimg.com/profile_images/1649150439605039104/ws2NLiGq_normal.jpg")</f>
        <v>https://pbs.twimg.com/profile_images/1649150439605039104/ws2NLiGq_normal.jpg</v>
      </c>
      <c r="AW1750" s="82" t="s">
        <v>13916</v>
      </c>
      <c r="AX1750" s="82" t="s">
        <v>13916</v>
      </c>
      <c r="AY1750" s="77"/>
      <c r="AZ1750" s="82" t="s">
        <v>15804</v>
      </c>
      <c r="BA1750" s="82" t="s">
        <v>15804</v>
      </c>
      <c r="BB1750" s="82" t="s">
        <v>15804</v>
      </c>
      <c r="BC1750" s="82" t="s">
        <v>13916</v>
      </c>
      <c r="BD1750" s="77">
        <v>14306125</v>
      </c>
      <c r="BE1750" s="77"/>
      <c r="BF1750" s="77"/>
      <c r="BG1750" s="77"/>
      <c r="BH1750" s="77"/>
      <c r="BI1750" s="77"/>
    </row>
    <row r="1751" spans="1:61" x14ac:dyDescent="0.25">
      <c r="A1751" s="62" t="s">
        <v>798</v>
      </c>
      <c r="B1751" s="62" t="s">
        <v>798</v>
      </c>
      <c r="C1751" s="63"/>
      <c r="D1751" s="64"/>
      <c r="E1751" s="65"/>
      <c r="F1751" s="66"/>
      <c r="G1751" s="63"/>
      <c r="H1751" s="67"/>
      <c r="I1751" s="68"/>
      <c r="J1751" s="68"/>
      <c r="K1751" s="32"/>
      <c r="L1751" s="75">
        <v>1751</v>
      </c>
      <c r="M1751" s="75"/>
      <c r="N1751" s="70"/>
      <c r="O1751" s="77" t="s">
        <v>179</v>
      </c>
      <c r="P1751" s="79">
        <v>44954.596134259256</v>
      </c>
      <c r="Q1751" s="77" t="s">
        <v>2811</v>
      </c>
      <c r="R1751" s="77">
        <v>0</v>
      </c>
      <c r="S1751" s="77">
        <v>1</v>
      </c>
      <c r="T1751" s="77">
        <v>0</v>
      </c>
      <c r="U1751" s="77">
        <v>0</v>
      </c>
      <c r="V1751" s="77">
        <v>14</v>
      </c>
      <c r="W1751" s="82" t="s">
        <v>5272</v>
      </c>
      <c r="X1751" s="80" t="str">
        <f>HYPERLINK("https://www.instagram.com/p/Cn9kCDFLk_s/?igshid=YTgzYjQ4ZTY=")</f>
        <v>https://www.instagram.com/p/Cn9kCDFLk_s/?igshid=YTgzYjQ4ZTY=</v>
      </c>
      <c r="Y1751" s="77" t="s">
        <v>6000</v>
      </c>
      <c r="Z1751" s="77"/>
      <c r="AA1751" s="77"/>
      <c r="AB1751" s="77"/>
      <c r="AC1751" s="82" t="s">
        <v>7704</v>
      </c>
      <c r="AD1751" s="77" t="s">
        <v>7745</v>
      </c>
      <c r="AE1751" s="80" t="str">
        <f>HYPERLINK("https://twitter.com/agoraplanos/status/1619339117430509568")</f>
        <v>https://twitter.com/agoraplanos/status/1619339117430509568</v>
      </c>
      <c r="AF1751" s="79">
        <v>44954.596134259256</v>
      </c>
      <c r="AG1751" s="85">
        <v>44954</v>
      </c>
      <c r="AH1751" s="82" t="s">
        <v>9307</v>
      </c>
      <c r="AI1751" s="77" t="b">
        <v>0</v>
      </c>
      <c r="AJ1751" s="77"/>
      <c r="AK1751" s="77"/>
      <c r="AL1751" s="77"/>
      <c r="AM1751" s="77"/>
      <c r="AN1751" s="77"/>
      <c r="AO1751" s="77"/>
      <c r="AP1751" s="77"/>
      <c r="AQ1751" s="77"/>
      <c r="AR1751" s="77"/>
      <c r="AS1751" s="77"/>
      <c r="AT1751" s="77"/>
      <c r="AU1751" s="77"/>
      <c r="AV1751" s="80" t="str">
        <f>HYPERLINK("https://pbs.twimg.com/profile_images/1619331787892588544/0jbg0zNa_normal.png")</f>
        <v>https://pbs.twimg.com/profile_images/1619331787892588544/0jbg0zNa_normal.png</v>
      </c>
      <c r="AW1751" s="82" t="s">
        <v>13917</v>
      </c>
      <c r="AX1751" s="82" t="s">
        <v>13917</v>
      </c>
      <c r="AY1751" s="77"/>
      <c r="AZ1751" s="82" t="s">
        <v>15804</v>
      </c>
      <c r="BA1751" s="82" t="s">
        <v>15804</v>
      </c>
      <c r="BB1751" s="82" t="s">
        <v>15804</v>
      </c>
      <c r="BC1751" s="82" t="s">
        <v>13917</v>
      </c>
      <c r="BD1751" s="82" t="s">
        <v>16461</v>
      </c>
      <c r="BE1751" s="77"/>
      <c r="BF1751" s="77"/>
      <c r="BG1751" s="77"/>
      <c r="BH1751" s="77"/>
      <c r="BI1751" s="77"/>
    </row>
    <row r="1752" spans="1:61" x14ac:dyDescent="0.25">
      <c r="A1752" s="62" t="s">
        <v>799</v>
      </c>
      <c r="B1752" s="62" t="s">
        <v>799</v>
      </c>
      <c r="C1752" s="63"/>
      <c r="D1752" s="64"/>
      <c r="E1752" s="65"/>
      <c r="F1752" s="66"/>
      <c r="G1752" s="63"/>
      <c r="H1752" s="67"/>
      <c r="I1752" s="68"/>
      <c r="J1752" s="68"/>
      <c r="K1752" s="32"/>
      <c r="L1752" s="75">
        <v>1752</v>
      </c>
      <c r="M1752" s="75"/>
      <c r="N1752" s="70"/>
      <c r="O1752" s="77" t="s">
        <v>179</v>
      </c>
      <c r="P1752" s="79">
        <v>45097.723773148151</v>
      </c>
      <c r="Q1752" s="77" t="s">
        <v>2812</v>
      </c>
      <c r="R1752" s="77">
        <v>0</v>
      </c>
      <c r="S1752" s="77">
        <v>0</v>
      </c>
      <c r="T1752" s="77">
        <v>0</v>
      </c>
      <c r="U1752" s="77">
        <v>0</v>
      </c>
      <c r="V1752" s="77">
        <v>35</v>
      </c>
      <c r="W1752" s="82" t="s">
        <v>5273</v>
      </c>
      <c r="X1752" s="80" t="str">
        <f>HYPERLINK("https://www.youtube.com/live/L5aSGmMA-WY?feature=share")</f>
        <v>https://www.youtube.com/live/L5aSGmMA-WY?feature=share</v>
      </c>
      <c r="Y1752" s="77" t="s">
        <v>6006</v>
      </c>
      <c r="Z1752" s="77"/>
      <c r="AA1752" s="77"/>
      <c r="AB1752" s="77"/>
      <c r="AC1752" s="82" t="s">
        <v>7706</v>
      </c>
      <c r="AD1752" s="77" t="s">
        <v>7745</v>
      </c>
      <c r="AE1752" s="80" t="str">
        <f>HYPERLINK("https://twitter.com/o_lucastrader/status/1671206837138456576")</f>
        <v>https://twitter.com/o_lucastrader/status/1671206837138456576</v>
      </c>
      <c r="AF1752" s="79">
        <v>45097.723773148151</v>
      </c>
      <c r="AG1752" s="85">
        <v>45097</v>
      </c>
      <c r="AH1752" s="82" t="s">
        <v>9308</v>
      </c>
      <c r="AI1752" s="77" t="b">
        <v>0</v>
      </c>
      <c r="AJ1752" s="77"/>
      <c r="AK1752" s="77"/>
      <c r="AL1752" s="77"/>
      <c r="AM1752" s="77"/>
      <c r="AN1752" s="77"/>
      <c r="AO1752" s="77"/>
      <c r="AP1752" s="77"/>
      <c r="AQ1752" s="77"/>
      <c r="AR1752" s="77"/>
      <c r="AS1752" s="77"/>
      <c r="AT1752" s="77"/>
      <c r="AU1752" s="77"/>
      <c r="AV1752" s="80" t="str">
        <f>HYPERLINK("https://pbs.twimg.com/profile_images/1558275900747251712/RppxWnXI_normal.jpg")</f>
        <v>https://pbs.twimg.com/profile_images/1558275900747251712/RppxWnXI_normal.jpg</v>
      </c>
      <c r="AW1752" s="82" t="s">
        <v>13918</v>
      </c>
      <c r="AX1752" s="82" t="s">
        <v>13918</v>
      </c>
      <c r="AY1752" s="77"/>
      <c r="AZ1752" s="82" t="s">
        <v>15804</v>
      </c>
      <c r="BA1752" s="82" t="s">
        <v>15804</v>
      </c>
      <c r="BB1752" s="82" t="s">
        <v>15804</v>
      </c>
      <c r="BC1752" s="82" t="s">
        <v>13918</v>
      </c>
      <c r="BD1752" s="82" t="s">
        <v>16462</v>
      </c>
      <c r="BE1752" s="77"/>
      <c r="BF1752" s="77"/>
      <c r="BG1752" s="77"/>
      <c r="BH1752" s="77"/>
      <c r="BI1752" s="77"/>
    </row>
    <row r="1753" spans="1:61" x14ac:dyDescent="0.25">
      <c r="A1753" s="62" t="s">
        <v>800</v>
      </c>
      <c r="B1753" s="62" t="s">
        <v>800</v>
      </c>
      <c r="C1753" s="63"/>
      <c r="D1753" s="64"/>
      <c r="E1753" s="65"/>
      <c r="F1753" s="66"/>
      <c r="G1753" s="63"/>
      <c r="H1753" s="67"/>
      <c r="I1753" s="68"/>
      <c r="J1753" s="68"/>
      <c r="K1753" s="32"/>
      <c r="L1753" s="75">
        <v>1753</v>
      </c>
      <c r="M1753" s="75"/>
      <c r="N1753" s="70"/>
      <c r="O1753" s="77" t="s">
        <v>179</v>
      </c>
      <c r="P1753" s="79">
        <v>45020.431261574071</v>
      </c>
      <c r="Q1753" s="80" t="str">
        <f>HYPERLINK("https://t.co/DDmRplCXDD
#PaiRicoPaiPobre
#EducaçãoFinanceira
#FinançasPessoais
#Investimentos
#SucessoFinanceiro
#Empreendedorismo
#LiberdadeFinanceira
#PlanejamentoFinanceiro
#EducaçãoFinanceiraParaTodos
#RiquezaMental")</f>
        <v>https://t.co/DDmRplCXDD
#PaiRicoPaiPobre
#EducaçãoFinanceira
#FinançasPessoais
#Investimentos
#SucessoFinanceiro
#Empreendedorismo
#LiberdadeFinanceira
#PlanejamentoFinanceiro
#EducaçãoFinanceiraParaTodos
#RiquezaMental</v>
      </c>
      <c r="R1753" s="77">
        <v>0</v>
      </c>
      <c r="S1753" s="77">
        <v>0</v>
      </c>
      <c r="T1753" s="77">
        <v>0</v>
      </c>
      <c r="U1753" s="77">
        <v>0</v>
      </c>
      <c r="V1753" s="77">
        <v>9</v>
      </c>
      <c r="W1753" s="82" t="s">
        <v>5274</v>
      </c>
      <c r="X1753" s="80" t="str">
        <f>HYPERLINK("https://odysee.com/@contab_invest:c/pairicopaipobre:1")</f>
        <v>https://odysee.com/@contab_invest:c/pairicopaipobre:1</v>
      </c>
      <c r="Y1753" s="77" t="s">
        <v>6086</v>
      </c>
      <c r="Z1753" s="77"/>
      <c r="AA1753" s="77"/>
      <c r="AB1753" s="77"/>
      <c r="AC1753" s="82" t="s">
        <v>7706</v>
      </c>
      <c r="AD1753" s="77" t="s">
        <v>7746</v>
      </c>
      <c r="AE1753" s="80" t="str">
        <f>HYPERLINK("https://twitter.com/axcrestfall/status/1643196969546833920")</f>
        <v>https://twitter.com/axcrestfall/status/1643196969546833920</v>
      </c>
      <c r="AF1753" s="79">
        <v>45020.431261574071</v>
      </c>
      <c r="AG1753" s="85">
        <v>45020</v>
      </c>
      <c r="AH1753" s="82" t="s">
        <v>9309</v>
      </c>
      <c r="AI1753" s="77" t="b">
        <v>0</v>
      </c>
      <c r="AJ1753" s="77"/>
      <c r="AK1753" s="77"/>
      <c r="AL1753" s="77"/>
      <c r="AM1753" s="77"/>
      <c r="AN1753" s="77"/>
      <c r="AO1753" s="77"/>
      <c r="AP1753" s="77"/>
      <c r="AQ1753" s="77"/>
      <c r="AR1753" s="77"/>
      <c r="AS1753" s="77"/>
      <c r="AT1753" s="77"/>
      <c r="AU1753" s="77"/>
      <c r="AV1753" s="80" t="str">
        <f>HYPERLINK("https://pbs.twimg.com/profile_images/1632325316768145408/nt6F2o4Z_normal.jpg")</f>
        <v>https://pbs.twimg.com/profile_images/1632325316768145408/nt6F2o4Z_normal.jpg</v>
      </c>
      <c r="AW1753" s="82" t="s">
        <v>13919</v>
      </c>
      <c r="AX1753" s="82" t="s">
        <v>13919</v>
      </c>
      <c r="AY1753" s="77"/>
      <c r="AZ1753" s="82" t="s">
        <v>15804</v>
      </c>
      <c r="BA1753" s="82" t="s">
        <v>15804</v>
      </c>
      <c r="BB1753" s="82" t="s">
        <v>15804</v>
      </c>
      <c r="BC1753" s="82" t="s">
        <v>13919</v>
      </c>
      <c r="BD1753" s="82" t="s">
        <v>16463</v>
      </c>
      <c r="BE1753" s="77"/>
      <c r="BF1753" s="77"/>
      <c r="BG1753" s="77"/>
      <c r="BH1753" s="77"/>
      <c r="BI1753" s="77"/>
    </row>
    <row r="1754" spans="1:61" x14ac:dyDescent="0.25">
      <c r="A1754" s="62" t="s">
        <v>801</v>
      </c>
      <c r="B1754" s="62" t="s">
        <v>801</v>
      </c>
      <c r="C1754" s="63"/>
      <c r="D1754" s="64"/>
      <c r="E1754" s="65"/>
      <c r="F1754" s="66"/>
      <c r="G1754" s="63"/>
      <c r="H1754" s="67"/>
      <c r="I1754" s="68"/>
      <c r="J1754" s="68"/>
      <c r="K1754" s="32"/>
      <c r="L1754" s="75">
        <v>1754</v>
      </c>
      <c r="M1754" s="75"/>
      <c r="N1754" s="70"/>
      <c r="O1754" s="77" t="s">
        <v>179</v>
      </c>
      <c r="P1754" s="79">
        <v>45012.555185185185</v>
      </c>
      <c r="Q1754" s="77" t="s">
        <v>2813</v>
      </c>
      <c r="R1754" s="77">
        <v>1</v>
      </c>
      <c r="S1754" s="77">
        <v>9</v>
      </c>
      <c r="T1754" s="77">
        <v>0</v>
      </c>
      <c r="U1754" s="77">
        <v>0</v>
      </c>
      <c r="V1754" s="77">
        <v>134</v>
      </c>
      <c r="W1754" s="82" t="s">
        <v>5275</v>
      </c>
      <c r="X1754" s="80" t="str">
        <f>HYPERLINK("https://blog.ivipcoin.com/tempos-graficos-e-suas-diferencas-nas-analises")</f>
        <v>https://blog.ivipcoin.com/tempos-graficos-e-suas-diferencas-nas-analises</v>
      </c>
      <c r="Y1754" s="77" t="s">
        <v>6087</v>
      </c>
      <c r="Z1754" s="77"/>
      <c r="AA1754" s="77"/>
      <c r="AB1754" s="77"/>
      <c r="AC1754" s="82" t="s">
        <v>7706</v>
      </c>
      <c r="AD1754" s="77" t="s">
        <v>7745</v>
      </c>
      <c r="AE1754" s="80" t="str">
        <f>HYPERLINK("https://twitter.com/ivipcoin/status/1640342773990584321")</f>
        <v>https://twitter.com/ivipcoin/status/1640342773990584321</v>
      </c>
      <c r="AF1754" s="79">
        <v>45012.555185185185</v>
      </c>
      <c r="AG1754" s="85">
        <v>45012</v>
      </c>
      <c r="AH1754" s="82" t="s">
        <v>9310</v>
      </c>
      <c r="AI1754" s="77" t="b">
        <v>0</v>
      </c>
      <c r="AJ1754" s="77"/>
      <c r="AK1754" s="77"/>
      <c r="AL1754" s="77"/>
      <c r="AM1754" s="77"/>
      <c r="AN1754" s="77"/>
      <c r="AO1754" s="77"/>
      <c r="AP1754" s="77"/>
      <c r="AQ1754" s="77"/>
      <c r="AR1754" s="77"/>
      <c r="AS1754" s="77"/>
      <c r="AT1754" s="77"/>
      <c r="AU1754" s="77"/>
      <c r="AV1754" s="80" t="str">
        <f>HYPERLINK("https://pbs.twimg.com/profile_images/1652002283171852317/ctg-LuXF_normal.jpg")</f>
        <v>https://pbs.twimg.com/profile_images/1652002283171852317/ctg-LuXF_normal.jpg</v>
      </c>
      <c r="AW1754" s="82" t="s">
        <v>13920</v>
      </c>
      <c r="AX1754" s="82" t="s">
        <v>13920</v>
      </c>
      <c r="AY1754" s="77"/>
      <c r="AZ1754" s="82" t="s">
        <v>15804</v>
      </c>
      <c r="BA1754" s="82" t="s">
        <v>15804</v>
      </c>
      <c r="BB1754" s="82" t="s">
        <v>15804</v>
      </c>
      <c r="BC1754" s="82" t="s">
        <v>13920</v>
      </c>
      <c r="BD1754" s="82" t="s">
        <v>15763</v>
      </c>
      <c r="BE1754" s="77"/>
      <c r="BF1754" s="77"/>
      <c r="BG1754" s="77"/>
      <c r="BH1754" s="77"/>
      <c r="BI1754" s="77"/>
    </row>
    <row r="1755" spans="1:61" x14ac:dyDescent="0.25">
      <c r="A1755" s="62" t="s">
        <v>801</v>
      </c>
      <c r="B1755" s="62" t="s">
        <v>801</v>
      </c>
      <c r="C1755" s="63"/>
      <c r="D1755" s="64"/>
      <c r="E1755" s="65"/>
      <c r="F1755" s="66"/>
      <c r="G1755" s="63"/>
      <c r="H1755" s="67"/>
      <c r="I1755" s="68"/>
      <c r="J1755" s="68"/>
      <c r="K1755" s="32"/>
      <c r="L1755" s="75">
        <v>1755</v>
      </c>
      <c r="M1755" s="75"/>
      <c r="N1755" s="70"/>
      <c r="O1755" s="77" t="s">
        <v>179</v>
      </c>
      <c r="P1755" s="79">
        <v>45009.744108796294</v>
      </c>
      <c r="Q1755" s="77" t="s">
        <v>2814</v>
      </c>
      <c r="R1755" s="77">
        <v>1</v>
      </c>
      <c r="S1755" s="77">
        <v>9</v>
      </c>
      <c r="T1755" s="77">
        <v>0</v>
      </c>
      <c r="U1755" s="77">
        <v>0</v>
      </c>
      <c r="V1755" s="77">
        <v>123</v>
      </c>
      <c r="W1755" s="82" t="s">
        <v>5276</v>
      </c>
      <c r="X1755" s="80" t="str">
        <f>HYPERLINK("https://blog.ivipcoin.com/funcionamento-de-um-candle")</f>
        <v>https://blog.ivipcoin.com/funcionamento-de-um-candle</v>
      </c>
      <c r="Y1755" s="77" t="s">
        <v>6087</v>
      </c>
      <c r="Z1755" s="77"/>
      <c r="AA1755" s="77"/>
      <c r="AB1755" s="77"/>
      <c r="AC1755" s="82" t="s">
        <v>7706</v>
      </c>
      <c r="AD1755" s="77" t="s">
        <v>7745</v>
      </c>
      <c r="AE1755" s="80" t="str">
        <f>HYPERLINK("https://twitter.com/ivipcoin/status/1639324075410567170")</f>
        <v>https://twitter.com/ivipcoin/status/1639324075410567170</v>
      </c>
      <c r="AF1755" s="79">
        <v>45009.744108796294</v>
      </c>
      <c r="AG1755" s="85">
        <v>45009</v>
      </c>
      <c r="AH1755" s="82" t="s">
        <v>9311</v>
      </c>
      <c r="AI1755" s="77" t="b">
        <v>0</v>
      </c>
      <c r="AJ1755" s="77"/>
      <c r="AK1755" s="77"/>
      <c r="AL1755" s="77"/>
      <c r="AM1755" s="77"/>
      <c r="AN1755" s="77"/>
      <c r="AO1755" s="77"/>
      <c r="AP1755" s="77"/>
      <c r="AQ1755" s="77"/>
      <c r="AR1755" s="77"/>
      <c r="AS1755" s="77"/>
      <c r="AT1755" s="77"/>
      <c r="AU1755" s="77"/>
      <c r="AV1755" s="80" t="str">
        <f>HYPERLINK("https://pbs.twimg.com/profile_images/1652002283171852317/ctg-LuXF_normal.jpg")</f>
        <v>https://pbs.twimg.com/profile_images/1652002283171852317/ctg-LuXF_normal.jpg</v>
      </c>
      <c r="AW1755" s="82" t="s">
        <v>13921</v>
      </c>
      <c r="AX1755" s="82" t="s">
        <v>13921</v>
      </c>
      <c r="AY1755" s="77"/>
      <c r="AZ1755" s="82" t="s">
        <v>15804</v>
      </c>
      <c r="BA1755" s="82" t="s">
        <v>15804</v>
      </c>
      <c r="BB1755" s="82" t="s">
        <v>15804</v>
      </c>
      <c r="BC1755" s="82" t="s">
        <v>13921</v>
      </c>
      <c r="BD1755" s="82" t="s">
        <v>15763</v>
      </c>
      <c r="BE1755" s="77"/>
      <c r="BF1755" s="77"/>
      <c r="BG1755" s="77"/>
      <c r="BH1755" s="77"/>
      <c r="BI1755" s="77"/>
    </row>
    <row r="1756" spans="1:61" x14ac:dyDescent="0.25">
      <c r="A1756" s="62" t="s">
        <v>801</v>
      </c>
      <c r="B1756" s="62" t="s">
        <v>801</v>
      </c>
      <c r="C1756" s="63"/>
      <c r="D1756" s="64"/>
      <c r="E1756" s="65"/>
      <c r="F1756" s="66"/>
      <c r="G1756" s="63"/>
      <c r="H1756" s="67"/>
      <c r="I1756" s="68"/>
      <c r="J1756" s="68"/>
      <c r="K1756" s="32"/>
      <c r="L1756" s="75">
        <v>1756</v>
      </c>
      <c r="M1756" s="75"/>
      <c r="N1756" s="70"/>
      <c r="O1756" s="77" t="s">
        <v>1132</v>
      </c>
      <c r="P1756" s="79">
        <v>45096.118090277778</v>
      </c>
      <c r="Q1756" s="77" t="s">
        <v>2815</v>
      </c>
      <c r="R1756" s="77">
        <v>1</v>
      </c>
      <c r="S1756" s="77">
        <v>5</v>
      </c>
      <c r="T1756" s="77">
        <v>1</v>
      </c>
      <c r="U1756" s="77">
        <v>0</v>
      </c>
      <c r="V1756" s="77">
        <v>62</v>
      </c>
      <c r="W1756" s="82" t="s">
        <v>5277</v>
      </c>
      <c r="X1756" s="77"/>
      <c r="Y1756" s="77"/>
      <c r="Z1756" s="77"/>
      <c r="AA1756" s="77" t="s">
        <v>7179</v>
      </c>
      <c r="AB1756" s="77" t="s">
        <v>7696</v>
      </c>
      <c r="AC1756" s="82" t="s">
        <v>7706</v>
      </c>
      <c r="AD1756" s="77" t="s">
        <v>7746</v>
      </c>
      <c r="AE1756" s="80" t="str">
        <f>HYPERLINK("https://twitter.com/ivipcoin/status/1670624958203019265")</f>
        <v>https://twitter.com/ivipcoin/status/1670624958203019265</v>
      </c>
      <c r="AF1756" s="79">
        <v>45096.118090277778</v>
      </c>
      <c r="AG1756" s="85">
        <v>45096</v>
      </c>
      <c r="AH1756" s="82" t="s">
        <v>9312</v>
      </c>
      <c r="AI1756" s="77" t="b">
        <v>0</v>
      </c>
      <c r="AJ1756" s="77"/>
      <c r="AK1756" s="77"/>
      <c r="AL1756" s="77"/>
      <c r="AM1756" s="77"/>
      <c r="AN1756" s="77"/>
      <c r="AO1756" s="77"/>
      <c r="AP1756" s="77"/>
      <c r="AQ1756" s="77" t="s">
        <v>11686</v>
      </c>
      <c r="AR1756" s="77"/>
      <c r="AS1756" s="77"/>
      <c r="AT1756" s="77"/>
      <c r="AU1756" s="77"/>
      <c r="AV1756" s="80" t="str">
        <f>HYPERLINK("https://pbs.twimg.com/media/Fy9AfWyXgAAfOON.jpg")</f>
        <v>https://pbs.twimg.com/media/Fy9AfWyXgAAfOON.jpg</v>
      </c>
      <c r="AW1756" s="82" t="s">
        <v>13922</v>
      </c>
      <c r="AX1756" s="82" t="s">
        <v>15360</v>
      </c>
      <c r="AY1756" s="82" t="s">
        <v>15763</v>
      </c>
      <c r="AZ1756" s="82" t="s">
        <v>15903</v>
      </c>
      <c r="BA1756" s="82" t="s">
        <v>15804</v>
      </c>
      <c r="BB1756" s="82" t="s">
        <v>15804</v>
      </c>
      <c r="BC1756" s="82" t="s">
        <v>15903</v>
      </c>
      <c r="BD1756" s="82" t="s">
        <v>15763</v>
      </c>
      <c r="BE1756" s="77"/>
      <c r="BF1756" s="77"/>
      <c r="BG1756" s="77"/>
      <c r="BH1756" s="77"/>
      <c r="BI1756" s="77"/>
    </row>
    <row r="1757" spans="1:61" x14ac:dyDescent="0.25">
      <c r="A1757" s="62" t="s">
        <v>802</v>
      </c>
      <c r="B1757" s="62" t="s">
        <v>802</v>
      </c>
      <c r="C1757" s="63"/>
      <c r="D1757" s="64"/>
      <c r="E1757" s="65"/>
      <c r="F1757" s="66"/>
      <c r="G1757" s="63"/>
      <c r="H1757" s="67"/>
      <c r="I1757" s="68"/>
      <c r="J1757" s="68"/>
      <c r="K1757" s="32"/>
      <c r="L1757" s="75">
        <v>1757</v>
      </c>
      <c r="M1757" s="75"/>
      <c r="N1757" s="70"/>
      <c r="O1757" s="77" t="s">
        <v>179</v>
      </c>
      <c r="P1757" s="79">
        <v>45135.833252314813</v>
      </c>
      <c r="Q1757" s="77" t="s">
        <v>2816</v>
      </c>
      <c r="R1757" s="77">
        <v>0</v>
      </c>
      <c r="S1757" s="77">
        <v>0</v>
      </c>
      <c r="T1757" s="77">
        <v>1</v>
      </c>
      <c r="U1757" s="77">
        <v>0</v>
      </c>
      <c r="V1757" s="77">
        <v>26</v>
      </c>
      <c r="W1757" s="82" t="s">
        <v>5278</v>
      </c>
      <c r="X1757" s="77"/>
      <c r="Y1757" s="77"/>
      <c r="Z1757" s="77"/>
      <c r="AA1757" s="77" t="s">
        <v>7180</v>
      </c>
      <c r="AB1757" s="77" t="s">
        <v>7696</v>
      </c>
      <c r="AC1757" s="82" t="s">
        <v>7706</v>
      </c>
      <c r="AD1757" s="77" t="s">
        <v>7745</v>
      </c>
      <c r="AE1757" s="80" t="str">
        <f>HYPERLINK("https://twitter.com/meutudoapp/status/1685017252309954561")</f>
        <v>https://twitter.com/meutudoapp/status/1685017252309954561</v>
      </c>
      <c r="AF1757" s="79">
        <v>45135.833252314813</v>
      </c>
      <c r="AG1757" s="85">
        <v>45135</v>
      </c>
      <c r="AH1757" s="82" t="s">
        <v>9313</v>
      </c>
      <c r="AI1757" s="77" t="b">
        <v>0</v>
      </c>
      <c r="AJ1757" s="77"/>
      <c r="AK1757" s="77"/>
      <c r="AL1757" s="77"/>
      <c r="AM1757" s="77"/>
      <c r="AN1757" s="77"/>
      <c r="AO1757" s="77"/>
      <c r="AP1757" s="77"/>
      <c r="AQ1757" s="77" t="s">
        <v>11687</v>
      </c>
      <c r="AR1757" s="77"/>
      <c r="AS1757" s="77"/>
      <c r="AT1757" s="77"/>
      <c r="AU1757" s="77"/>
      <c r="AV1757" s="80" t="str">
        <f>HYPERLINK("https://pbs.twimg.com/media/F2JcvxfW4AEtAIN.jpg")</f>
        <v>https://pbs.twimg.com/media/F2JcvxfW4AEtAIN.jpg</v>
      </c>
      <c r="AW1757" s="82" t="s">
        <v>13923</v>
      </c>
      <c r="AX1757" s="82" t="s">
        <v>13923</v>
      </c>
      <c r="AY1757" s="77"/>
      <c r="AZ1757" s="82" t="s">
        <v>15804</v>
      </c>
      <c r="BA1757" s="82" t="s">
        <v>15804</v>
      </c>
      <c r="BB1757" s="82" t="s">
        <v>15804</v>
      </c>
      <c r="BC1757" s="82" t="s">
        <v>13923</v>
      </c>
      <c r="BD1757" s="82" t="s">
        <v>16464</v>
      </c>
      <c r="BE1757" s="77"/>
      <c r="BF1757" s="77"/>
      <c r="BG1757" s="77"/>
      <c r="BH1757" s="77"/>
      <c r="BI1757" s="77"/>
    </row>
    <row r="1758" spans="1:61" x14ac:dyDescent="0.25">
      <c r="A1758" s="62" t="s">
        <v>802</v>
      </c>
      <c r="B1758" s="62" t="s">
        <v>802</v>
      </c>
      <c r="C1758" s="63"/>
      <c r="D1758" s="64"/>
      <c r="E1758" s="65"/>
      <c r="F1758" s="66"/>
      <c r="G1758" s="63"/>
      <c r="H1758" s="67"/>
      <c r="I1758" s="68"/>
      <c r="J1758" s="68"/>
      <c r="K1758" s="32"/>
      <c r="L1758" s="75">
        <v>1758</v>
      </c>
      <c r="M1758" s="75"/>
      <c r="N1758" s="70"/>
      <c r="O1758" s="77" t="s">
        <v>179</v>
      </c>
      <c r="P1758" s="79">
        <v>45145.918020833335</v>
      </c>
      <c r="Q1758" s="77" t="s">
        <v>2817</v>
      </c>
      <c r="R1758" s="77">
        <v>0</v>
      </c>
      <c r="S1758" s="77">
        <v>0</v>
      </c>
      <c r="T1758" s="77">
        <v>0</v>
      </c>
      <c r="U1758" s="77">
        <v>0</v>
      </c>
      <c r="V1758" s="77">
        <v>42</v>
      </c>
      <c r="W1758" s="82" t="s">
        <v>5279</v>
      </c>
      <c r="X1758" s="77"/>
      <c r="Y1758" s="77"/>
      <c r="Z1758" s="77"/>
      <c r="AA1758" s="77" t="s">
        <v>7181</v>
      </c>
      <c r="AB1758" s="77" t="s">
        <v>7697</v>
      </c>
      <c r="AC1758" s="82" t="s">
        <v>7706</v>
      </c>
      <c r="AD1758" s="77" t="s">
        <v>7745</v>
      </c>
      <c r="AE1758" s="80" t="str">
        <f>HYPERLINK("https://twitter.com/meutudoapp/status/1688671847619887104")</f>
        <v>https://twitter.com/meutudoapp/status/1688671847619887104</v>
      </c>
      <c r="AF1758" s="79">
        <v>45145.918020833335</v>
      </c>
      <c r="AG1758" s="85">
        <v>45145</v>
      </c>
      <c r="AH1758" s="82" t="s">
        <v>9314</v>
      </c>
      <c r="AI1758" s="77" t="b">
        <v>0</v>
      </c>
      <c r="AJ1758" s="77"/>
      <c r="AK1758" s="77"/>
      <c r="AL1758" s="77"/>
      <c r="AM1758" s="77"/>
      <c r="AN1758" s="77"/>
      <c r="AO1758" s="77"/>
      <c r="AP1758" s="77"/>
      <c r="AQ1758" s="77" t="s">
        <v>11688</v>
      </c>
      <c r="AR1758" s="77">
        <v>59325</v>
      </c>
      <c r="AS1758" s="77"/>
      <c r="AT1758" s="77"/>
      <c r="AU1758" s="77">
        <v>11</v>
      </c>
      <c r="AV1758" s="80" t="str">
        <f>HYPERLINK("https://pbs.twimg.com/ext_tw_video_thumb/1688671713138003969/pu/img/dgwo6zaUi6eBUymN.jpg")</f>
        <v>https://pbs.twimg.com/ext_tw_video_thumb/1688671713138003969/pu/img/dgwo6zaUi6eBUymN.jpg</v>
      </c>
      <c r="AW1758" s="82" t="s">
        <v>13924</v>
      </c>
      <c r="AX1758" s="82" t="s">
        <v>13924</v>
      </c>
      <c r="AY1758" s="77"/>
      <c r="AZ1758" s="82" t="s">
        <v>15804</v>
      </c>
      <c r="BA1758" s="82" t="s">
        <v>15804</v>
      </c>
      <c r="BB1758" s="82" t="s">
        <v>15804</v>
      </c>
      <c r="BC1758" s="82" t="s">
        <v>13924</v>
      </c>
      <c r="BD1758" s="82" t="s">
        <v>16464</v>
      </c>
      <c r="BE1758" s="77"/>
      <c r="BF1758" s="77"/>
      <c r="BG1758" s="77"/>
      <c r="BH1758" s="77"/>
      <c r="BI1758" s="77"/>
    </row>
    <row r="1759" spans="1:61" x14ac:dyDescent="0.25">
      <c r="A1759" s="62" t="s">
        <v>802</v>
      </c>
      <c r="B1759" s="62" t="s">
        <v>802</v>
      </c>
      <c r="C1759" s="63"/>
      <c r="D1759" s="64"/>
      <c r="E1759" s="65"/>
      <c r="F1759" s="66"/>
      <c r="G1759" s="63"/>
      <c r="H1759" s="67"/>
      <c r="I1759" s="68"/>
      <c r="J1759" s="68"/>
      <c r="K1759" s="32"/>
      <c r="L1759" s="75">
        <v>1759</v>
      </c>
      <c r="M1759" s="75"/>
      <c r="N1759" s="70"/>
      <c r="O1759" s="77" t="s">
        <v>179</v>
      </c>
      <c r="P1759" s="79">
        <v>45149.894594907404</v>
      </c>
      <c r="Q1759" s="77" t="s">
        <v>2818</v>
      </c>
      <c r="R1759" s="77">
        <v>0</v>
      </c>
      <c r="S1759" s="77">
        <v>0</v>
      </c>
      <c r="T1759" s="77">
        <v>0</v>
      </c>
      <c r="U1759" s="77">
        <v>0</v>
      </c>
      <c r="V1759" s="77">
        <v>23</v>
      </c>
      <c r="W1759" s="82" t="s">
        <v>5280</v>
      </c>
      <c r="X1759" s="77"/>
      <c r="Y1759" s="77"/>
      <c r="Z1759" s="77"/>
      <c r="AA1759" s="77" t="s">
        <v>7182</v>
      </c>
      <c r="AB1759" s="77" t="s">
        <v>7697</v>
      </c>
      <c r="AC1759" s="82" t="s">
        <v>7706</v>
      </c>
      <c r="AD1759" s="77" t="s">
        <v>7745</v>
      </c>
      <c r="AE1759" s="80" t="str">
        <f>HYPERLINK("https://twitter.com/meutudoapp/status/1690112910549286912")</f>
        <v>https://twitter.com/meutudoapp/status/1690112910549286912</v>
      </c>
      <c r="AF1759" s="79">
        <v>45149.894594907404</v>
      </c>
      <c r="AG1759" s="85">
        <v>45149</v>
      </c>
      <c r="AH1759" s="82" t="s">
        <v>9315</v>
      </c>
      <c r="AI1759" s="77" t="b">
        <v>0</v>
      </c>
      <c r="AJ1759" s="77"/>
      <c r="AK1759" s="77"/>
      <c r="AL1759" s="77"/>
      <c r="AM1759" s="77"/>
      <c r="AN1759" s="77"/>
      <c r="AO1759" s="77"/>
      <c r="AP1759" s="77"/>
      <c r="AQ1759" s="77" t="s">
        <v>11689</v>
      </c>
      <c r="AR1759" s="77">
        <v>45000</v>
      </c>
      <c r="AS1759" s="77"/>
      <c r="AT1759" s="77"/>
      <c r="AU1759" s="77">
        <v>4</v>
      </c>
      <c r="AV1759" s="80" t="str">
        <f>HYPERLINK("https://pbs.twimg.com/ext_tw_video_thumb/1690111104318320642/pu/img/FrZtw001jwu9camu.jpg")</f>
        <v>https://pbs.twimg.com/ext_tw_video_thumb/1690111104318320642/pu/img/FrZtw001jwu9camu.jpg</v>
      </c>
      <c r="AW1759" s="82" t="s">
        <v>13925</v>
      </c>
      <c r="AX1759" s="82" t="s">
        <v>13925</v>
      </c>
      <c r="AY1759" s="77"/>
      <c r="AZ1759" s="82" t="s">
        <v>15804</v>
      </c>
      <c r="BA1759" s="82" t="s">
        <v>15804</v>
      </c>
      <c r="BB1759" s="82" t="s">
        <v>15804</v>
      </c>
      <c r="BC1759" s="82" t="s">
        <v>13925</v>
      </c>
      <c r="BD1759" s="82" t="s">
        <v>16464</v>
      </c>
      <c r="BE1759" s="77"/>
      <c r="BF1759" s="77"/>
      <c r="BG1759" s="77"/>
      <c r="BH1759" s="77"/>
      <c r="BI1759" s="77"/>
    </row>
    <row r="1760" spans="1:61" x14ac:dyDescent="0.25">
      <c r="A1760" s="62" t="s">
        <v>803</v>
      </c>
      <c r="B1760" s="62" t="s">
        <v>803</v>
      </c>
      <c r="C1760" s="63"/>
      <c r="D1760" s="64"/>
      <c r="E1760" s="65"/>
      <c r="F1760" s="66"/>
      <c r="G1760" s="63"/>
      <c r="H1760" s="67"/>
      <c r="I1760" s="68"/>
      <c r="J1760" s="68"/>
      <c r="K1760" s="32"/>
      <c r="L1760" s="75">
        <v>1760</v>
      </c>
      <c r="M1760" s="75"/>
      <c r="N1760" s="70"/>
      <c r="O1760" s="77" t="s">
        <v>179</v>
      </c>
      <c r="P1760" s="79">
        <v>44943.647928240738</v>
      </c>
      <c r="Q1760" s="77" t="s">
        <v>2819</v>
      </c>
      <c r="R1760" s="77">
        <v>0</v>
      </c>
      <c r="S1760" s="77">
        <v>0</v>
      </c>
      <c r="T1760" s="77">
        <v>0</v>
      </c>
      <c r="U1760" s="77">
        <v>0</v>
      </c>
      <c r="V1760" s="77">
        <v>9</v>
      </c>
      <c r="W1760" s="82" t="s">
        <v>5281</v>
      </c>
      <c r="X1760" s="80" t="str">
        <f>HYPERLINK("https://www.instagram.com/p/CnhX0oDLX9r/?igshid=YTgzYjQ4ZTY=")</f>
        <v>https://www.instagram.com/p/CnhX0oDLX9r/?igshid=YTgzYjQ4ZTY=</v>
      </c>
      <c r="Y1760" s="77" t="s">
        <v>6000</v>
      </c>
      <c r="Z1760" s="77"/>
      <c r="AA1760" s="77"/>
      <c r="AB1760" s="77"/>
      <c r="AC1760" s="82" t="s">
        <v>7704</v>
      </c>
      <c r="AD1760" s="77" t="s">
        <v>7745</v>
      </c>
      <c r="AE1760" s="80" t="str">
        <f>HYPERLINK("https://twitter.com/fefe_ofcw/status/1615371620901687298")</f>
        <v>https://twitter.com/fefe_ofcw/status/1615371620901687298</v>
      </c>
      <c r="AF1760" s="79">
        <v>44943.647928240738</v>
      </c>
      <c r="AG1760" s="85">
        <v>44943</v>
      </c>
      <c r="AH1760" s="82" t="s">
        <v>9316</v>
      </c>
      <c r="AI1760" s="77" t="b">
        <v>0</v>
      </c>
      <c r="AJ1760" s="77" t="s">
        <v>10541</v>
      </c>
      <c r="AK1760" s="77" t="s">
        <v>10552</v>
      </c>
      <c r="AL1760" s="77" t="s">
        <v>10555</v>
      </c>
      <c r="AM1760" s="77" t="s">
        <v>10578</v>
      </c>
      <c r="AN1760" s="77" t="s">
        <v>10608</v>
      </c>
      <c r="AO1760" s="77" t="s">
        <v>10639</v>
      </c>
      <c r="AP1760" s="77" t="s">
        <v>10649</v>
      </c>
      <c r="AQ1760" s="77"/>
      <c r="AR1760" s="77"/>
      <c r="AS1760" s="77"/>
      <c r="AT1760" s="77"/>
      <c r="AU1760" s="77"/>
      <c r="AV1760" s="80" t="str">
        <f>HYPERLINK("https://pbs.twimg.com/profile_images/1610839010246524937/9CC27H_J_normal.jpg")</f>
        <v>https://pbs.twimg.com/profile_images/1610839010246524937/9CC27H_J_normal.jpg</v>
      </c>
      <c r="AW1760" s="82" t="s">
        <v>13926</v>
      </c>
      <c r="AX1760" s="82" t="s">
        <v>13926</v>
      </c>
      <c r="AY1760" s="77"/>
      <c r="AZ1760" s="82" t="s">
        <v>15804</v>
      </c>
      <c r="BA1760" s="82" t="s">
        <v>15804</v>
      </c>
      <c r="BB1760" s="82" t="s">
        <v>15804</v>
      </c>
      <c r="BC1760" s="82" t="s">
        <v>13926</v>
      </c>
      <c r="BD1760" s="82" t="s">
        <v>16465</v>
      </c>
      <c r="BE1760" s="77"/>
      <c r="BF1760" s="77"/>
      <c r="BG1760" s="77"/>
      <c r="BH1760" s="77"/>
      <c r="BI1760" s="77"/>
    </row>
    <row r="1761" spans="1:61" x14ac:dyDescent="0.25">
      <c r="A1761" s="62" t="s">
        <v>804</v>
      </c>
      <c r="B1761" s="62" t="s">
        <v>804</v>
      </c>
      <c r="C1761" s="63"/>
      <c r="D1761" s="64"/>
      <c r="E1761" s="65"/>
      <c r="F1761" s="66"/>
      <c r="G1761" s="63"/>
      <c r="H1761" s="67"/>
      <c r="I1761" s="68"/>
      <c r="J1761" s="68"/>
      <c r="K1761" s="32"/>
      <c r="L1761" s="75">
        <v>1761</v>
      </c>
      <c r="M1761" s="75"/>
      <c r="N1761" s="70"/>
      <c r="O1761" s="77" t="s">
        <v>179</v>
      </c>
      <c r="P1761" s="79">
        <v>45082.044814814813</v>
      </c>
      <c r="Q1761" s="77" t="s">
        <v>2820</v>
      </c>
      <c r="R1761" s="77">
        <v>0</v>
      </c>
      <c r="S1761" s="77">
        <v>0</v>
      </c>
      <c r="T1761" s="77">
        <v>0</v>
      </c>
      <c r="U1761" s="77">
        <v>0</v>
      </c>
      <c r="V1761" s="77">
        <v>28</v>
      </c>
      <c r="W1761" s="82" t="s">
        <v>5282</v>
      </c>
      <c r="X1761" s="77"/>
      <c r="Y1761" s="77"/>
      <c r="Z1761" s="77"/>
      <c r="AA1761" s="77" t="s">
        <v>7183</v>
      </c>
      <c r="AB1761" s="77" t="s">
        <v>7697</v>
      </c>
      <c r="AC1761" s="82" t="s">
        <v>7705</v>
      </c>
      <c r="AD1761" s="77" t="s">
        <v>7745</v>
      </c>
      <c r="AE1761" s="80" t="str">
        <f>HYPERLINK("https://twitter.com/georgestmattos/status/1665524976370298884")</f>
        <v>https://twitter.com/georgestmattos/status/1665524976370298884</v>
      </c>
      <c r="AF1761" s="79">
        <v>45082.044814814813</v>
      </c>
      <c r="AG1761" s="85">
        <v>45082</v>
      </c>
      <c r="AH1761" s="82" t="s">
        <v>9317</v>
      </c>
      <c r="AI1761" s="77" t="b">
        <v>0</v>
      </c>
      <c r="AJ1761" s="77"/>
      <c r="AK1761" s="77"/>
      <c r="AL1761" s="77"/>
      <c r="AM1761" s="77"/>
      <c r="AN1761" s="77"/>
      <c r="AO1761" s="77"/>
      <c r="AP1761" s="77"/>
      <c r="AQ1761" s="77" t="s">
        <v>11690</v>
      </c>
      <c r="AR1761" s="77">
        <v>53366</v>
      </c>
      <c r="AS1761" s="77"/>
      <c r="AT1761" s="77"/>
      <c r="AU1761" s="77">
        <v>6</v>
      </c>
      <c r="AV1761" s="80" t="str">
        <f>HYPERLINK("https://pbs.twimg.com/ext_tw_video_thumb/1665524877078544387/pu/img/h25JLHEHZlceiP2V.jpg")</f>
        <v>https://pbs.twimg.com/ext_tw_video_thumb/1665524877078544387/pu/img/h25JLHEHZlceiP2V.jpg</v>
      </c>
      <c r="AW1761" s="82" t="s">
        <v>13927</v>
      </c>
      <c r="AX1761" s="82" t="s">
        <v>13927</v>
      </c>
      <c r="AY1761" s="77"/>
      <c r="AZ1761" s="82" t="s">
        <v>15804</v>
      </c>
      <c r="BA1761" s="82" t="s">
        <v>15804</v>
      </c>
      <c r="BB1761" s="82" t="s">
        <v>15804</v>
      </c>
      <c r="BC1761" s="82" t="s">
        <v>13927</v>
      </c>
      <c r="BD1761" s="82" t="s">
        <v>16466</v>
      </c>
      <c r="BE1761" s="77"/>
      <c r="BF1761" s="77"/>
      <c r="BG1761" s="77"/>
      <c r="BH1761" s="77"/>
      <c r="BI1761" s="77"/>
    </row>
    <row r="1762" spans="1:61" x14ac:dyDescent="0.25">
      <c r="A1762" s="62" t="s">
        <v>804</v>
      </c>
      <c r="B1762" s="62" t="s">
        <v>804</v>
      </c>
      <c r="C1762" s="63"/>
      <c r="D1762" s="64"/>
      <c r="E1762" s="65"/>
      <c r="F1762" s="66"/>
      <c r="G1762" s="63"/>
      <c r="H1762" s="67"/>
      <c r="I1762" s="68"/>
      <c r="J1762" s="68"/>
      <c r="K1762" s="32"/>
      <c r="L1762" s="75">
        <v>1762</v>
      </c>
      <c r="M1762" s="75"/>
      <c r="N1762" s="70"/>
      <c r="O1762" s="77" t="s">
        <v>179</v>
      </c>
      <c r="P1762" s="79">
        <v>45089.941261574073</v>
      </c>
      <c r="Q1762" s="77" t="s">
        <v>2821</v>
      </c>
      <c r="R1762" s="77">
        <v>0</v>
      </c>
      <c r="S1762" s="77">
        <v>0</v>
      </c>
      <c r="T1762" s="77">
        <v>0</v>
      </c>
      <c r="U1762" s="77">
        <v>0</v>
      </c>
      <c r="V1762" s="77">
        <v>133</v>
      </c>
      <c r="W1762" s="82" t="s">
        <v>5283</v>
      </c>
      <c r="X1762" s="77"/>
      <c r="Y1762" s="77"/>
      <c r="Z1762" s="77"/>
      <c r="AA1762" s="77" t="s">
        <v>7184</v>
      </c>
      <c r="AB1762" s="77" t="s">
        <v>7697</v>
      </c>
      <c r="AC1762" s="82" t="s">
        <v>7705</v>
      </c>
      <c r="AD1762" s="77" t="s">
        <v>7745</v>
      </c>
      <c r="AE1762" s="80" t="str">
        <f>HYPERLINK("https://twitter.com/georgestmattos/status/1668386551947055105")</f>
        <v>https://twitter.com/georgestmattos/status/1668386551947055105</v>
      </c>
      <c r="AF1762" s="79">
        <v>45089.941261574073</v>
      </c>
      <c r="AG1762" s="85">
        <v>45089</v>
      </c>
      <c r="AH1762" s="82" t="s">
        <v>9318</v>
      </c>
      <c r="AI1762" s="77" t="b">
        <v>0</v>
      </c>
      <c r="AJ1762" s="77"/>
      <c r="AK1762" s="77"/>
      <c r="AL1762" s="77"/>
      <c r="AM1762" s="77"/>
      <c r="AN1762" s="77"/>
      <c r="AO1762" s="77"/>
      <c r="AP1762" s="77"/>
      <c r="AQ1762" s="77" t="s">
        <v>11691</v>
      </c>
      <c r="AR1762" s="77">
        <v>76128</v>
      </c>
      <c r="AS1762" s="77"/>
      <c r="AT1762" s="77"/>
      <c r="AU1762" s="77">
        <v>48</v>
      </c>
      <c r="AV1762" s="80" t="str">
        <f>HYPERLINK("https://pbs.twimg.com/ext_tw_video_thumb/1668386423211212800/pu/img/OSnK6GhwXogWtQLZ.jpg")</f>
        <v>https://pbs.twimg.com/ext_tw_video_thumb/1668386423211212800/pu/img/OSnK6GhwXogWtQLZ.jpg</v>
      </c>
      <c r="AW1762" s="82" t="s">
        <v>13928</v>
      </c>
      <c r="AX1762" s="82" t="s">
        <v>13928</v>
      </c>
      <c r="AY1762" s="77"/>
      <c r="AZ1762" s="82" t="s">
        <v>15804</v>
      </c>
      <c r="BA1762" s="82" t="s">
        <v>15804</v>
      </c>
      <c r="BB1762" s="82" t="s">
        <v>15804</v>
      </c>
      <c r="BC1762" s="82" t="s">
        <v>13928</v>
      </c>
      <c r="BD1762" s="82" t="s">
        <v>16466</v>
      </c>
      <c r="BE1762" s="77"/>
      <c r="BF1762" s="77"/>
      <c r="BG1762" s="77"/>
      <c r="BH1762" s="77"/>
      <c r="BI1762" s="77"/>
    </row>
    <row r="1763" spans="1:61" x14ac:dyDescent="0.25">
      <c r="A1763" s="62" t="s">
        <v>805</v>
      </c>
      <c r="B1763" s="62" t="s">
        <v>1107</v>
      </c>
      <c r="C1763" s="63"/>
      <c r="D1763" s="64"/>
      <c r="E1763" s="65"/>
      <c r="F1763" s="66"/>
      <c r="G1763" s="63"/>
      <c r="H1763" s="67"/>
      <c r="I1763" s="68"/>
      <c r="J1763" s="68"/>
      <c r="K1763" s="32"/>
      <c r="L1763" s="75">
        <v>1763</v>
      </c>
      <c r="M1763" s="75"/>
      <c r="N1763" s="70"/>
      <c r="O1763" s="77" t="s">
        <v>1136</v>
      </c>
      <c r="P1763" s="79">
        <v>45120.480810185189</v>
      </c>
      <c r="Q1763" s="77" t="s">
        <v>2822</v>
      </c>
      <c r="R1763" s="77">
        <v>0</v>
      </c>
      <c r="S1763" s="77">
        <v>0</v>
      </c>
      <c r="T1763" s="77">
        <v>0</v>
      </c>
      <c r="U1763" s="77">
        <v>0</v>
      </c>
      <c r="V1763" s="77">
        <v>3</v>
      </c>
      <c r="W1763" s="82" t="s">
        <v>4097</v>
      </c>
      <c r="X1763" s="77"/>
      <c r="Y1763" s="77"/>
      <c r="Z1763" s="77" t="s">
        <v>6138</v>
      </c>
      <c r="AA1763" s="77"/>
      <c r="AB1763" s="77"/>
      <c r="AC1763" s="82" t="s">
        <v>7707</v>
      </c>
      <c r="AD1763" s="77" t="s">
        <v>7745</v>
      </c>
      <c r="AE1763" s="80" t="str">
        <f>HYPERLINK("https://twitter.com/robson63416430/status/1679453714065530882")</f>
        <v>https://twitter.com/robson63416430/status/1679453714065530882</v>
      </c>
      <c r="AF1763" s="79">
        <v>45120.480810185189</v>
      </c>
      <c r="AG1763" s="85">
        <v>45120</v>
      </c>
      <c r="AH1763" s="82" t="s">
        <v>9319</v>
      </c>
      <c r="AI1763" s="77"/>
      <c r="AJ1763" s="77"/>
      <c r="AK1763" s="77"/>
      <c r="AL1763" s="77"/>
      <c r="AM1763" s="77"/>
      <c r="AN1763" s="77"/>
      <c r="AO1763" s="77"/>
      <c r="AP1763" s="77"/>
      <c r="AQ1763" s="77"/>
      <c r="AR1763" s="77"/>
      <c r="AS1763" s="77"/>
      <c r="AT1763" s="77"/>
      <c r="AU1763" s="77"/>
      <c r="AV1763" s="80" t="str">
        <f>HYPERLINK("https://pbs.twimg.com/profile_images/1147916511539060736/_F-bXKCS_normal.jpg")</f>
        <v>https://pbs.twimg.com/profile_images/1147916511539060736/_F-bXKCS_normal.jpg</v>
      </c>
      <c r="AW1763" s="82" t="s">
        <v>13929</v>
      </c>
      <c r="AX1763" s="82" t="s">
        <v>15361</v>
      </c>
      <c r="AY1763" s="82" t="s">
        <v>15764</v>
      </c>
      <c r="AZ1763" s="82" t="s">
        <v>15361</v>
      </c>
      <c r="BA1763" s="82" t="s">
        <v>15804</v>
      </c>
      <c r="BB1763" s="82" t="s">
        <v>15804</v>
      </c>
      <c r="BC1763" s="82" t="s">
        <v>15361</v>
      </c>
      <c r="BD1763" s="82" t="s">
        <v>16467</v>
      </c>
      <c r="BE1763" s="77"/>
      <c r="BF1763" s="77"/>
      <c r="BG1763" s="77"/>
      <c r="BH1763" s="77"/>
      <c r="BI1763" s="77"/>
    </row>
    <row r="1764" spans="1:61" x14ac:dyDescent="0.25">
      <c r="A1764" s="62" t="s">
        <v>805</v>
      </c>
      <c r="B1764" s="62" t="s">
        <v>1066</v>
      </c>
      <c r="C1764" s="63"/>
      <c r="D1764" s="64"/>
      <c r="E1764" s="65"/>
      <c r="F1764" s="66"/>
      <c r="G1764" s="63"/>
      <c r="H1764" s="67"/>
      <c r="I1764" s="68"/>
      <c r="J1764" s="68"/>
      <c r="K1764" s="32"/>
      <c r="L1764" s="75">
        <v>1764</v>
      </c>
      <c r="M1764" s="75"/>
      <c r="N1764" s="70"/>
      <c r="O1764" s="77" t="s">
        <v>1132</v>
      </c>
      <c r="P1764" s="79">
        <v>45120.480810185189</v>
      </c>
      <c r="Q1764" s="77" t="s">
        <v>2822</v>
      </c>
      <c r="R1764" s="77">
        <v>0</v>
      </c>
      <c r="S1764" s="77">
        <v>0</v>
      </c>
      <c r="T1764" s="77">
        <v>0</v>
      </c>
      <c r="U1764" s="77">
        <v>0</v>
      </c>
      <c r="V1764" s="77">
        <v>3</v>
      </c>
      <c r="W1764" s="82" t="s">
        <v>4097</v>
      </c>
      <c r="X1764" s="77"/>
      <c r="Y1764" s="77"/>
      <c r="Z1764" s="77" t="s">
        <v>6138</v>
      </c>
      <c r="AA1764" s="77"/>
      <c r="AB1764" s="77"/>
      <c r="AC1764" s="82" t="s">
        <v>7707</v>
      </c>
      <c r="AD1764" s="77" t="s">
        <v>7745</v>
      </c>
      <c r="AE1764" s="80" t="str">
        <f>HYPERLINK("https://twitter.com/robson63416430/status/1679453714065530882")</f>
        <v>https://twitter.com/robson63416430/status/1679453714065530882</v>
      </c>
      <c r="AF1764" s="79">
        <v>45120.480810185189</v>
      </c>
      <c r="AG1764" s="85">
        <v>45120</v>
      </c>
      <c r="AH1764" s="82" t="s">
        <v>9319</v>
      </c>
      <c r="AI1764" s="77"/>
      <c r="AJ1764" s="77"/>
      <c r="AK1764" s="77"/>
      <c r="AL1764" s="77"/>
      <c r="AM1764" s="77"/>
      <c r="AN1764" s="77"/>
      <c r="AO1764" s="77"/>
      <c r="AP1764" s="77"/>
      <c r="AQ1764" s="77"/>
      <c r="AR1764" s="77"/>
      <c r="AS1764" s="77"/>
      <c r="AT1764" s="77"/>
      <c r="AU1764" s="77"/>
      <c r="AV1764" s="80" t="str">
        <f>HYPERLINK("https://pbs.twimg.com/profile_images/1147916511539060736/_F-bXKCS_normal.jpg")</f>
        <v>https://pbs.twimg.com/profile_images/1147916511539060736/_F-bXKCS_normal.jpg</v>
      </c>
      <c r="AW1764" s="82" t="s">
        <v>13929</v>
      </c>
      <c r="AX1764" s="82" t="s">
        <v>15361</v>
      </c>
      <c r="AY1764" s="82" t="s">
        <v>15764</v>
      </c>
      <c r="AZ1764" s="82" t="s">
        <v>15361</v>
      </c>
      <c r="BA1764" s="82" t="s">
        <v>15804</v>
      </c>
      <c r="BB1764" s="82" t="s">
        <v>15804</v>
      </c>
      <c r="BC1764" s="82" t="s">
        <v>15361</v>
      </c>
      <c r="BD1764" s="82" t="s">
        <v>16467</v>
      </c>
      <c r="BE1764" s="77"/>
      <c r="BF1764" s="77"/>
      <c r="BG1764" s="77"/>
      <c r="BH1764" s="77"/>
      <c r="BI1764" s="77"/>
    </row>
    <row r="1765" spans="1:61" x14ac:dyDescent="0.25">
      <c r="A1765" s="62" t="s">
        <v>806</v>
      </c>
      <c r="B1765" s="62" t="s">
        <v>806</v>
      </c>
      <c r="C1765" s="63"/>
      <c r="D1765" s="64"/>
      <c r="E1765" s="65"/>
      <c r="F1765" s="66"/>
      <c r="G1765" s="63"/>
      <c r="H1765" s="67"/>
      <c r="I1765" s="68"/>
      <c r="J1765" s="68"/>
      <c r="K1765" s="32"/>
      <c r="L1765" s="75">
        <v>1765</v>
      </c>
      <c r="M1765" s="75"/>
      <c r="N1765" s="70"/>
      <c r="O1765" s="77" t="s">
        <v>179</v>
      </c>
      <c r="P1765" s="79">
        <v>45062.699513888889</v>
      </c>
      <c r="Q1765" s="77" t="s">
        <v>2823</v>
      </c>
      <c r="R1765" s="77">
        <v>0</v>
      </c>
      <c r="S1765" s="77">
        <v>1</v>
      </c>
      <c r="T1765" s="77">
        <v>1</v>
      </c>
      <c r="U1765" s="77">
        <v>0</v>
      </c>
      <c r="V1765" s="77">
        <v>37</v>
      </c>
      <c r="W1765" s="82" t="s">
        <v>5284</v>
      </c>
      <c r="X1765" s="80" t="str">
        <f>HYPERLINK("https://4et.us/rurfgf")</f>
        <v>https://4et.us/rurfgf</v>
      </c>
      <c r="Y1765" s="77" t="s">
        <v>6088</v>
      </c>
      <c r="Z1765" s="77"/>
      <c r="AA1765" s="77" t="s">
        <v>7185</v>
      </c>
      <c r="AB1765" s="77" t="s">
        <v>7696</v>
      </c>
      <c r="AC1765" s="82" t="s">
        <v>7716</v>
      </c>
      <c r="AD1765" s="77" t="s">
        <v>7745</v>
      </c>
      <c r="AE1765" s="80" t="str">
        <f>HYPERLINK("https://twitter.com/mundocoop/status/1658514470031720454")</f>
        <v>https://twitter.com/mundocoop/status/1658514470031720454</v>
      </c>
      <c r="AF1765" s="79">
        <v>45062.699513888889</v>
      </c>
      <c r="AG1765" s="85">
        <v>45062</v>
      </c>
      <c r="AH1765" s="82" t="s">
        <v>9320</v>
      </c>
      <c r="AI1765" s="77" t="b">
        <v>0</v>
      </c>
      <c r="AJ1765" s="77"/>
      <c r="AK1765" s="77"/>
      <c r="AL1765" s="77"/>
      <c r="AM1765" s="77"/>
      <c r="AN1765" s="77"/>
      <c r="AO1765" s="77"/>
      <c r="AP1765" s="77"/>
      <c r="AQ1765" s="77" t="s">
        <v>11692</v>
      </c>
      <c r="AR1765" s="77"/>
      <c r="AS1765" s="77"/>
      <c r="AT1765" s="77"/>
      <c r="AU1765" s="77"/>
      <c r="AV1765" s="80" t="str">
        <f>HYPERLINK("https://pbs.twimg.com/media/FwQ6HuCWAAEFBca.jpg")</f>
        <v>https://pbs.twimg.com/media/FwQ6HuCWAAEFBca.jpg</v>
      </c>
      <c r="AW1765" s="82" t="s">
        <v>13930</v>
      </c>
      <c r="AX1765" s="82" t="s">
        <v>13930</v>
      </c>
      <c r="AY1765" s="77"/>
      <c r="AZ1765" s="82" t="s">
        <v>15804</v>
      </c>
      <c r="BA1765" s="82" t="s">
        <v>15804</v>
      </c>
      <c r="BB1765" s="82" t="s">
        <v>15804</v>
      </c>
      <c r="BC1765" s="82" t="s">
        <v>13930</v>
      </c>
      <c r="BD1765" s="77">
        <v>70493540</v>
      </c>
      <c r="BE1765" s="77"/>
      <c r="BF1765" s="77"/>
      <c r="BG1765" s="77"/>
      <c r="BH1765" s="77"/>
      <c r="BI1765" s="77"/>
    </row>
    <row r="1766" spans="1:61" x14ac:dyDescent="0.25">
      <c r="A1766" s="62" t="s">
        <v>806</v>
      </c>
      <c r="B1766" s="62" t="s">
        <v>806</v>
      </c>
      <c r="C1766" s="63"/>
      <c r="D1766" s="64"/>
      <c r="E1766" s="65"/>
      <c r="F1766" s="66"/>
      <c r="G1766" s="63"/>
      <c r="H1766" s="67"/>
      <c r="I1766" s="68"/>
      <c r="J1766" s="68"/>
      <c r="K1766" s="32"/>
      <c r="L1766" s="75">
        <v>1766</v>
      </c>
      <c r="M1766" s="75"/>
      <c r="N1766" s="70"/>
      <c r="O1766" s="77" t="s">
        <v>179</v>
      </c>
      <c r="P1766" s="79">
        <v>45068.647453703707</v>
      </c>
      <c r="Q1766" s="77" t="s">
        <v>2824</v>
      </c>
      <c r="R1766" s="77">
        <v>0</v>
      </c>
      <c r="S1766" s="77">
        <v>0</v>
      </c>
      <c r="T1766" s="77">
        <v>0</v>
      </c>
      <c r="U1766" s="77">
        <v>0</v>
      </c>
      <c r="V1766" s="77">
        <v>25</v>
      </c>
      <c r="W1766" s="82" t="s">
        <v>5285</v>
      </c>
      <c r="X1766" s="80" t="str">
        <f>HYPERLINK("https://4et.us/rv2g8q")</f>
        <v>https://4et.us/rv2g8q</v>
      </c>
      <c r="Y1766" s="77" t="s">
        <v>6088</v>
      </c>
      <c r="Z1766" s="77"/>
      <c r="AA1766" s="77" t="s">
        <v>7186</v>
      </c>
      <c r="AB1766" s="77" t="s">
        <v>7696</v>
      </c>
      <c r="AC1766" s="82" t="s">
        <v>7716</v>
      </c>
      <c r="AD1766" s="77" t="s">
        <v>7745</v>
      </c>
      <c r="AE1766" s="80" t="str">
        <f>HYPERLINK("https://twitter.com/mundocoop/status/1660669932273541121")</f>
        <v>https://twitter.com/mundocoop/status/1660669932273541121</v>
      </c>
      <c r="AF1766" s="79">
        <v>45068.647453703707</v>
      </c>
      <c r="AG1766" s="85">
        <v>45068</v>
      </c>
      <c r="AH1766" s="82" t="s">
        <v>9321</v>
      </c>
      <c r="AI1766" s="77" t="b">
        <v>0</v>
      </c>
      <c r="AJ1766" s="77"/>
      <c r="AK1766" s="77"/>
      <c r="AL1766" s="77"/>
      <c r="AM1766" s="77"/>
      <c r="AN1766" s="77"/>
      <c r="AO1766" s="77"/>
      <c r="AP1766" s="77"/>
      <c r="AQ1766" s="77" t="s">
        <v>11693</v>
      </c>
      <c r="AR1766" s="77"/>
      <c r="AS1766" s="77"/>
      <c r="AT1766" s="77"/>
      <c r="AU1766" s="77"/>
      <c r="AV1766" s="80" t="str">
        <f>HYPERLINK("https://pbs.twimg.com/media/FwvigLnX0AEo4iS.jpg")</f>
        <v>https://pbs.twimg.com/media/FwvigLnX0AEo4iS.jpg</v>
      </c>
      <c r="AW1766" s="82" t="s">
        <v>13931</v>
      </c>
      <c r="AX1766" s="82" t="s">
        <v>13931</v>
      </c>
      <c r="AY1766" s="77"/>
      <c r="AZ1766" s="82" t="s">
        <v>15804</v>
      </c>
      <c r="BA1766" s="82" t="s">
        <v>15804</v>
      </c>
      <c r="BB1766" s="82" t="s">
        <v>15804</v>
      </c>
      <c r="BC1766" s="82" t="s">
        <v>13931</v>
      </c>
      <c r="BD1766" s="77">
        <v>70493540</v>
      </c>
      <c r="BE1766" s="77"/>
      <c r="BF1766" s="77"/>
      <c r="BG1766" s="77"/>
      <c r="BH1766" s="77"/>
      <c r="BI1766" s="77"/>
    </row>
    <row r="1767" spans="1:61" x14ac:dyDescent="0.25">
      <c r="A1767" s="62" t="s">
        <v>806</v>
      </c>
      <c r="B1767" s="62" t="s">
        <v>806</v>
      </c>
      <c r="C1767" s="63"/>
      <c r="D1767" s="64"/>
      <c r="E1767" s="65"/>
      <c r="F1767" s="66"/>
      <c r="G1767" s="63"/>
      <c r="H1767" s="67"/>
      <c r="I1767" s="68"/>
      <c r="J1767" s="68"/>
      <c r="K1767" s="32"/>
      <c r="L1767" s="75">
        <v>1767</v>
      </c>
      <c r="M1767" s="75"/>
      <c r="N1767" s="70"/>
      <c r="O1767" s="77" t="s">
        <v>179</v>
      </c>
      <c r="P1767" s="79">
        <v>45023.626145833332</v>
      </c>
      <c r="Q1767" s="77" t="s">
        <v>2825</v>
      </c>
      <c r="R1767" s="77">
        <v>0</v>
      </c>
      <c r="S1767" s="77">
        <v>1</v>
      </c>
      <c r="T1767" s="77">
        <v>0</v>
      </c>
      <c r="U1767" s="77">
        <v>0</v>
      </c>
      <c r="V1767" s="77">
        <v>34</v>
      </c>
      <c r="W1767" s="82" t="s">
        <v>5286</v>
      </c>
      <c r="X1767" s="80" t="str">
        <f>HYPERLINK("https://4et.us/rspj28")</f>
        <v>https://4et.us/rspj28</v>
      </c>
      <c r="Y1767" s="77" t="s">
        <v>6088</v>
      </c>
      <c r="Z1767" s="77"/>
      <c r="AA1767" s="77" t="s">
        <v>7187</v>
      </c>
      <c r="AB1767" s="77" t="s">
        <v>7696</v>
      </c>
      <c r="AC1767" s="82" t="s">
        <v>7716</v>
      </c>
      <c r="AD1767" s="77" t="s">
        <v>7745</v>
      </c>
      <c r="AE1767" s="80" t="str">
        <f>HYPERLINK("https://twitter.com/mundocoop/status/1644354758864519172")</f>
        <v>https://twitter.com/mundocoop/status/1644354758864519172</v>
      </c>
      <c r="AF1767" s="79">
        <v>45023.626145833332</v>
      </c>
      <c r="AG1767" s="85">
        <v>45023</v>
      </c>
      <c r="AH1767" s="82" t="s">
        <v>9322</v>
      </c>
      <c r="AI1767" s="77" t="b">
        <v>0</v>
      </c>
      <c r="AJ1767" s="77"/>
      <c r="AK1767" s="77"/>
      <c r="AL1767" s="77"/>
      <c r="AM1767" s="77"/>
      <c r="AN1767" s="77"/>
      <c r="AO1767" s="77"/>
      <c r="AP1767" s="77"/>
      <c r="AQ1767" s="77" t="s">
        <v>11694</v>
      </c>
      <c r="AR1767" s="77"/>
      <c r="AS1767" s="77"/>
      <c r="AT1767" s="77"/>
      <c r="AU1767" s="77"/>
      <c r="AV1767" s="80" t="str">
        <f>HYPERLINK("https://pbs.twimg.com/media/FtHr8GMWYAEL1W8.jpg")</f>
        <v>https://pbs.twimg.com/media/FtHr8GMWYAEL1W8.jpg</v>
      </c>
      <c r="AW1767" s="82" t="s">
        <v>13932</v>
      </c>
      <c r="AX1767" s="82" t="s">
        <v>13932</v>
      </c>
      <c r="AY1767" s="77"/>
      <c r="AZ1767" s="82" t="s">
        <v>15804</v>
      </c>
      <c r="BA1767" s="82" t="s">
        <v>15804</v>
      </c>
      <c r="BB1767" s="82" t="s">
        <v>15804</v>
      </c>
      <c r="BC1767" s="82" t="s">
        <v>13932</v>
      </c>
      <c r="BD1767" s="77">
        <v>70493540</v>
      </c>
      <c r="BE1767" s="77"/>
      <c r="BF1767" s="77"/>
      <c r="BG1767" s="77"/>
      <c r="BH1767" s="77"/>
      <c r="BI1767" s="77"/>
    </row>
    <row r="1768" spans="1:61" x14ac:dyDescent="0.25">
      <c r="A1768" s="62" t="s">
        <v>807</v>
      </c>
      <c r="B1768" s="62" t="s">
        <v>807</v>
      </c>
      <c r="C1768" s="63"/>
      <c r="D1768" s="64"/>
      <c r="E1768" s="65"/>
      <c r="F1768" s="66"/>
      <c r="G1768" s="63"/>
      <c r="H1768" s="67"/>
      <c r="I1768" s="68"/>
      <c r="J1768" s="68"/>
      <c r="K1768" s="32"/>
      <c r="L1768" s="75">
        <v>1768</v>
      </c>
      <c r="M1768" s="75"/>
      <c r="N1768" s="70"/>
      <c r="O1768" s="77" t="s">
        <v>179</v>
      </c>
      <c r="P1768" s="79">
        <v>44971.004050925927</v>
      </c>
      <c r="Q1768" s="77" t="s">
        <v>2826</v>
      </c>
      <c r="R1768" s="77">
        <v>0</v>
      </c>
      <c r="S1768" s="77">
        <v>0</v>
      </c>
      <c r="T1768" s="77">
        <v>0</v>
      </c>
      <c r="U1768" s="77">
        <v>0</v>
      </c>
      <c r="V1768" s="77">
        <v>9</v>
      </c>
      <c r="W1768" s="82" t="s">
        <v>5287</v>
      </c>
      <c r="X1768" s="77"/>
      <c r="Y1768" s="77"/>
      <c r="Z1768" s="77"/>
      <c r="AA1768" s="77"/>
      <c r="AB1768" s="77"/>
      <c r="AC1768" s="82" t="s">
        <v>7705</v>
      </c>
      <c r="AD1768" s="77" t="s">
        <v>7745</v>
      </c>
      <c r="AE1768" s="80" t="str">
        <f>HYPERLINK("https://twitter.com/leo_emp/status/1625285148227825664")</f>
        <v>https://twitter.com/leo_emp/status/1625285148227825664</v>
      </c>
      <c r="AF1768" s="79">
        <v>44971.004050925927</v>
      </c>
      <c r="AG1768" s="85">
        <v>44971</v>
      </c>
      <c r="AH1768" s="82" t="s">
        <v>9323</v>
      </c>
      <c r="AI1768" s="77"/>
      <c r="AJ1768" s="77"/>
      <c r="AK1768" s="77"/>
      <c r="AL1768" s="77"/>
      <c r="AM1768" s="77"/>
      <c r="AN1768" s="77"/>
      <c r="AO1768" s="77"/>
      <c r="AP1768" s="77"/>
      <c r="AQ1768" s="77"/>
      <c r="AR1768" s="77"/>
      <c r="AS1768" s="77"/>
      <c r="AT1768" s="77"/>
      <c r="AU1768" s="77"/>
      <c r="AV1768" s="80" t="str">
        <f>HYPERLINK("https://pbs.twimg.com/profile_images/1562292252927459328/Bsctpyj7_normal.jpg")</f>
        <v>https://pbs.twimg.com/profile_images/1562292252927459328/Bsctpyj7_normal.jpg</v>
      </c>
      <c r="AW1768" s="82" t="s">
        <v>13933</v>
      </c>
      <c r="AX1768" s="82" t="s">
        <v>13933</v>
      </c>
      <c r="AY1768" s="77"/>
      <c r="AZ1768" s="82" t="s">
        <v>15804</v>
      </c>
      <c r="BA1768" s="82" t="s">
        <v>15804</v>
      </c>
      <c r="BB1768" s="82" t="s">
        <v>15804</v>
      </c>
      <c r="BC1768" s="82" t="s">
        <v>13933</v>
      </c>
      <c r="BD1768" s="82" t="s">
        <v>16468</v>
      </c>
      <c r="BE1768" s="77"/>
      <c r="BF1768" s="77"/>
      <c r="BG1768" s="77"/>
      <c r="BH1768" s="77"/>
      <c r="BI1768" s="77"/>
    </row>
    <row r="1769" spans="1:61" x14ac:dyDescent="0.25">
      <c r="A1769" s="62" t="s">
        <v>808</v>
      </c>
      <c r="B1769" s="62" t="s">
        <v>808</v>
      </c>
      <c r="C1769" s="63"/>
      <c r="D1769" s="64"/>
      <c r="E1769" s="65"/>
      <c r="F1769" s="66"/>
      <c r="G1769" s="63"/>
      <c r="H1769" s="67"/>
      <c r="I1769" s="68"/>
      <c r="J1769" s="68"/>
      <c r="K1769" s="32"/>
      <c r="L1769" s="75">
        <v>1769</v>
      </c>
      <c r="M1769" s="75"/>
      <c r="N1769" s="70"/>
      <c r="O1769" s="77" t="s">
        <v>179</v>
      </c>
      <c r="P1769" s="79">
        <v>45069.885196759256</v>
      </c>
      <c r="Q1769" s="77" t="s">
        <v>2827</v>
      </c>
      <c r="R1769" s="77">
        <v>0</v>
      </c>
      <c r="S1769" s="77">
        <v>0</v>
      </c>
      <c r="T1769" s="77">
        <v>1</v>
      </c>
      <c r="U1769" s="77">
        <v>0</v>
      </c>
      <c r="V1769" s="77">
        <v>10</v>
      </c>
      <c r="W1769" s="82" t="s">
        <v>5288</v>
      </c>
      <c r="X1769" s="77"/>
      <c r="Y1769" s="77"/>
      <c r="Z1769" s="77"/>
      <c r="AA1769" s="77" t="s">
        <v>7188</v>
      </c>
      <c r="AB1769" s="77" t="s">
        <v>7698</v>
      </c>
      <c r="AC1769" s="82" t="s">
        <v>7707</v>
      </c>
      <c r="AD1769" s="77" t="s">
        <v>7745</v>
      </c>
      <c r="AE1769" s="80" t="str">
        <f>HYPERLINK("https://twitter.com/realvictorhugog/status/1661118475618623508")</f>
        <v>https://twitter.com/realvictorhugog/status/1661118475618623508</v>
      </c>
      <c r="AF1769" s="79">
        <v>45069.885196759256</v>
      </c>
      <c r="AG1769" s="85">
        <v>45069</v>
      </c>
      <c r="AH1769" s="82" t="s">
        <v>9324</v>
      </c>
      <c r="AI1769" s="77" t="b">
        <v>0</v>
      </c>
      <c r="AJ1769" s="77"/>
      <c r="AK1769" s="77"/>
      <c r="AL1769" s="77"/>
      <c r="AM1769" s="77"/>
      <c r="AN1769" s="77"/>
      <c r="AO1769" s="77"/>
      <c r="AP1769" s="77"/>
      <c r="AQ1769" s="77" t="s">
        <v>11695</v>
      </c>
      <c r="AR1769" s="77"/>
      <c r="AS1769" s="77"/>
      <c r="AT1769" s="77"/>
      <c r="AU1769" s="77"/>
      <c r="AV1769" s="80" t="str">
        <f>HYPERLINK("https://pbs.twimg.com/media/Fw16cM0WIBgYV2i.jpg")</f>
        <v>https://pbs.twimg.com/media/Fw16cM0WIBgYV2i.jpg</v>
      </c>
      <c r="AW1769" s="82" t="s">
        <v>13934</v>
      </c>
      <c r="AX1769" s="82" t="s">
        <v>13934</v>
      </c>
      <c r="AY1769" s="77"/>
      <c r="AZ1769" s="82" t="s">
        <v>15804</v>
      </c>
      <c r="BA1769" s="82" t="s">
        <v>15804</v>
      </c>
      <c r="BB1769" s="82" t="s">
        <v>15804</v>
      </c>
      <c r="BC1769" s="82" t="s">
        <v>13934</v>
      </c>
      <c r="BD1769" s="82" t="s">
        <v>15765</v>
      </c>
      <c r="BE1769" s="77"/>
      <c r="BF1769" s="77"/>
      <c r="BG1769" s="77"/>
      <c r="BH1769" s="77"/>
      <c r="BI1769" s="77"/>
    </row>
    <row r="1770" spans="1:61" x14ac:dyDescent="0.25">
      <c r="A1770" s="62" t="s">
        <v>808</v>
      </c>
      <c r="B1770" s="62" t="s">
        <v>808</v>
      </c>
      <c r="C1770" s="63"/>
      <c r="D1770" s="64"/>
      <c r="E1770" s="65"/>
      <c r="F1770" s="66"/>
      <c r="G1770" s="63"/>
      <c r="H1770" s="67"/>
      <c r="I1770" s="68"/>
      <c r="J1770" s="68"/>
      <c r="K1770" s="32"/>
      <c r="L1770" s="75">
        <v>1770</v>
      </c>
      <c r="M1770" s="75"/>
      <c r="N1770" s="70"/>
      <c r="O1770" s="77" t="s">
        <v>1132</v>
      </c>
      <c r="P1770" s="79">
        <v>45086.871412037035</v>
      </c>
      <c r="Q1770" s="77" t="s">
        <v>2828</v>
      </c>
      <c r="R1770" s="77">
        <v>0</v>
      </c>
      <c r="S1770" s="77">
        <v>0</v>
      </c>
      <c r="T1770" s="77">
        <v>1</v>
      </c>
      <c r="U1770" s="77">
        <v>0</v>
      </c>
      <c r="V1770" s="77">
        <v>9</v>
      </c>
      <c r="W1770" s="82" t="s">
        <v>5288</v>
      </c>
      <c r="X1770" s="77"/>
      <c r="Y1770" s="77"/>
      <c r="Z1770" s="77"/>
      <c r="AA1770" s="77"/>
      <c r="AB1770" s="77"/>
      <c r="AC1770" s="82" t="s">
        <v>7707</v>
      </c>
      <c r="AD1770" s="77" t="s">
        <v>7745</v>
      </c>
      <c r="AE1770" s="80" t="str">
        <f>HYPERLINK("https://twitter.com/realvictorhugog/status/1667274072605032448")</f>
        <v>https://twitter.com/realvictorhugog/status/1667274072605032448</v>
      </c>
      <c r="AF1770" s="79">
        <v>45086.871412037035</v>
      </c>
      <c r="AG1770" s="85">
        <v>45086</v>
      </c>
      <c r="AH1770" s="82" t="s">
        <v>9325</v>
      </c>
      <c r="AI1770" s="77"/>
      <c r="AJ1770" s="77"/>
      <c r="AK1770" s="77"/>
      <c r="AL1770" s="77"/>
      <c r="AM1770" s="77"/>
      <c r="AN1770" s="77"/>
      <c r="AO1770" s="77"/>
      <c r="AP1770" s="77"/>
      <c r="AQ1770" s="77"/>
      <c r="AR1770" s="77"/>
      <c r="AS1770" s="77"/>
      <c r="AT1770" s="77"/>
      <c r="AU1770" s="77"/>
      <c r="AV1770" s="80" t="str">
        <f>HYPERLINK("https://pbs.twimg.com/profile_images/1655602875358142465/JGqMZ7UG_normal.jpg")</f>
        <v>https://pbs.twimg.com/profile_images/1655602875358142465/JGqMZ7UG_normal.jpg</v>
      </c>
      <c r="AW1770" s="82" t="s">
        <v>13935</v>
      </c>
      <c r="AX1770" s="82" t="s">
        <v>15362</v>
      </c>
      <c r="AY1770" s="82" t="s">
        <v>15765</v>
      </c>
      <c r="AZ1770" s="82" t="s">
        <v>15362</v>
      </c>
      <c r="BA1770" s="82" t="s">
        <v>15804</v>
      </c>
      <c r="BB1770" s="82" t="s">
        <v>15804</v>
      </c>
      <c r="BC1770" s="82" t="s">
        <v>15362</v>
      </c>
      <c r="BD1770" s="82" t="s">
        <v>15765</v>
      </c>
      <c r="BE1770" s="77"/>
      <c r="BF1770" s="77"/>
      <c r="BG1770" s="77"/>
      <c r="BH1770" s="77"/>
      <c r="BI1770" s="77"/>
    </row>
    <row r="1771" spans="1:61" x14ac:dyDescent="0.25">
      <c r="A1771" s="62" t="s">
        <v>808</v>
      </c>
      <c r="B1771" s="62" t="s">
        <v>808</v>
      </c>
      <c r="C1771" s="63"/>
      <c r="D1771" s="64"/>
      <c r="E1771" s="65"/>
      <c r="F1771" s="66"/>
      <c r="G1771" s="63"/>
      <c r="H1771" s="67"/>
      <c r="I1771" s="68"/>
      <c r="J1771" s="68"/>
      <c r="K1771" s="32"/>
      <c r="L1771" s="75">
        <v>1771</v>
      </c>
      <c r="M1771" s="75"/>
      <c r="N1771" s="70"/>
      <c r="O1771" s="77" t="s">
        <v>1132</v>
      </c>
      <c r="P1771" s="79">
        <v>45070.936944444446</v>
      </c>
      <c r="Q1771" s="77" t="s">
        <v>2829</v>
      </c>
      <c r="R1771" s="77">
        <v>0</v>
      </c>
      <c r="S1771" s="77">
        <v>0</v>
      </c>
      <c r="T1771" s="77">
        <v>1</v>
      </c>
      <c r="U1771" s="77">
        <v>0</v>
      </c>
      <c r="V1771" s="77">
        <v>7</v>
      </c>
      <c r="W1771" s="82" t="s">
        <v>5289</v>
      </c>
      <c r="X1771" s="77"/>
      <c r="Y1771" s="77"/>
      <c r="Z1771" s="77"/>
      <c r="AA1771" s="77"/>
      <c r="AB1771" s="77"/>
      <c r="AC1771" s="82" t="s">
        <v>7707</v>
      </c>
      <c r="AD1771" s="77" t="s">
        <v>7745</v>
      </c>
      <c r="AE1771" s="80" t="str">
        <f>HYPERLINK("https://twitter.com/realvictorhugog/status/1661499616288813058")</f>
        <v>https://twitter.com/realvictorhugog/status/1661499616288813058</v>
      </c>
      <c r="AF1771" s="79">
        <v>45070.936944444446</v>
      </c>
      <c r="AG1771" s="85">
        <v>45070</v>
      </c>
      <c r="AH1771" s="82" t="s">
        <v>9326</v>
      </c>
      <c r="AI1771" s="77"/>
      <c r="AJ1771" s="77"/>
      <c r="AK1771" s="77"/>
      <c r="AL1771" s="77"/>
      <c r="AM1771" s="77"/>
      <c r="AN1771" s="77"/>
      <c r="AO1771" s="77"/>
      <c r="AP1771" s="77"/>
      <c r="AQ1771" s="77"/>
      <c r="AR1771" s="77"/>
      <c r="AS1771" s="77"/>
      <c r="AT1771" s="77"/>
      <c r="AU1771" s="77"/>
      <c r="AV1771" s="80" t="str">
        <f>HYPERLINK("https://pbs.twimg.com/profile_images/1655602875358142465/JGqMZ7UG_normal.jpg")</f>
        <v>https://pbs.twimg.com/profile_images/1655602875358142465/JGqMZ7UG_normal.jpg</v>
      </c>
      <c r="AW1771" s="82" t="s">
        <v>13936</v>
      </c>
      <c r="AX1771" s="82" t="s">
        <v>15363</v>
      </c>
      <c r="AY1771" s="82" t="s">
        <v>15765</v>
      </c>
      <c r="AZ1771" s="82" t="s">
        <v>15363</v>
      </c>
      <c r="BA1771" s="82" t="s">
        <v>15804</v>
      </c>
      <c r="BB1771" s="82" t="s">
        <v>15804</v>
      </c>
      <c r="BC1771" s="82" t="s">
        <v>15363</v>
      </c>
      <c r="BD1771" s="82" t="s">
        <v>15765</v>
      </c>
      <c r="BE1771" s="77"/>
      <c r="BF1771" s="77"/>
      <c r="BG1771" s="77"/>
      <c r="BH1771" s="77"/>
      <c r="BI1771" s="77"/>
    </row>
    <row r="1772" spans="1:61" x14ac:dyDescent="0.25">
      <c r="A1772" s="62" t="s">
        <v>808</v>
      </c>
      <c r="B1772" s="62" t="s">
        <v>808</v>
      </c>
      <c r="C1772" s="63"/>
      <c r="D1772" s="64"/>
      <c r="E1772" s="65"/>
      <c r="F1772" s="66"/>
      <c r="G1772" s="63"/>
      <c r="H1772" s="67"/>
      <c r="I1772" s="68"/>
      <c r="J1772" s="68"/>
      <c r="K1772" s="32"/>
      <c r="L1772" s="75">
        <v>1772</v>
      </c>
      <c r="M1772" s="75"/>
      <c r="N1772" s="70"/>
      <c r="O1772" s="77" t="s">
        <v>1132</v>
      </c>
      <c r="P1772" s="79">
        <v>45142.923541666663</v>
      </c>
      <c r="Q1772" s="77" t="s">
        <v>2830</v>
      </c>
      <c r="R1772" s="77">
        <v>0</v>
      </c>
      <c r="S1772" s="77">
        <v>0</v>
      </c>
      <c r="T1772" s="77">
        <v>1</v>
      </c>
      <c r="U1772" s="77">
        <v>0</v>
      </c>
      <c r="V1772" s="77">
        <v>12</v>
      </c>
      <c r="W1772" s="82" t="s">
        <v>5290</v>
      </c>
      <c r="X1772" s="77"/>
      <c r="Y1772" s="77"/>
      <c r="Z1772" s="77"/>
      <c r="AA1772" s="77"/>
      <c r="AB1772" s="77"/>
      <c r="AC1772" s="82" t="s">
        <v>7707</v>
      </c>
      <c r="AD1772" s="77" t="s">
        <v>7745</v>
      </c>
      <c r="AE1772" s="80" t="str">
        <f>HYPERLINK("https://twitter.com/realvictorhugog/status/1687586687709233153")</f>
        <v>https://twitter.com/realvictorhugog/status/1687586687709233153</v>
      </c>
      <c r="AF1772" s="79">
        <v>45142.923541666663</v>
      </c>
      <c r="AG1772" s="85">
        <v>45142</v>
      </c>
      <c r="AH1772" s="82" t="s">
        <v>9327</v>
      </c>
      <c r="AI1772" s="77"/>
      <c r="AJ1772" s="77"/>
      <c r="AK1772" s="77"/>
      <c r="AL1772" s="77"/>
      <c r="AM1772" s="77"/>
      <c r="AN1772" s="77"/>
      <c r="AO1772" s="77"/>
      <c r="AP1772" s="77"/>
      <c r="AQ1772" s="77"/>
      <c r="AR1772" s="77"/>
      <c r="AS1772" s="77"/>
      <c r="AT1772" s="77"/>
      <c r="AU1772" s="77"/>
      <c r="AV1772" s="80" t="str">
        <f>HYPERLINK("https://pbs.twimg.com/profile_images/1655602875358142465/JGqMZ7UG_normal.jpg")</f>
        <v>https://pbs.twimg.com/profile_images/1655602875358142465/JGqMZ7UG_normal.jpg</v>
      </c>
      <c r="AW1772" s="82" t="s">
        <v>13937</v>
      </c>
      <c r="AX1772" s="82" t="s">
        <v>15364</v>
      </c>
      <c r="AY1772" s="82" t="s">
        <v>15765</v>
      </c>
      <c r="AZ1772" s="82" t="s">
        <v>15904</v>
      </c>
      <c r="BA1772" s="82" t="s">
        <v>15804</v>
      </c>
      <c r="BB1772" s="82" t="s">
        <v>15804</v>
      </c>
      <c r="BC1772" s="82" t="s">
        <v>15904</v>
      </c>
      <c r="BD1772" s="82" t="s">
        <v>15765</v>
      </c>
      <c r="BE1772" s="77"/>
      <c r="BF1772" s="77"/>
      <c r="BG1772" s="77"/>
      <c r="BH1772" s="77"/>
      <c r="BI1772" s="77"/>
    </row>
    <row r="1773" spans="1:61" x14ac:dyDescent="0.25">
      <c r="A1773" s="62" t="s">
        <v>808</v>
      </c>
      <c r="B1773" s="62" t="s">
        <v>808</v>
      </c>
      <c r="C1773" s="63"/>
      <c r="D1773" s="64"/>
      <c r="E1773" s="65"/>
      <c r="F1773" s="66"/>
      <c r="G1773" s="63"/>
      <c r="H1773" s="67"/>
      <c r="I1773" s="68"/>
      <c r="J1773" s="68"/>
      <c r="K1773" s="32"/>
      <c r="L1773" s="75">
        <v>1773</v>
      </c>
      <c r="M1773" s="75"/>
      <c r="N1773" s="70"/>
      <c r="O1773" s="77" t="s">
        <v>1132</v>
      </c>
      <c r="P1773" s="79">
        <v>45151.22142361111</v>
      </c>
      <c r="Q1773" s="77" t="s">
        <v>2831</v>
      </c>
      <c r="R1773" s="77">
        <v>0</v>
      </c>
      <c r="S1773" s="77">
        <v>0</v>
      </c>
      <c r="T1773" s="77">
        <v>1</v>
      </c>
      <c r="U1773" s="77">
        <v>0</v>
      </c>
      <c r="V1773" s="77">
        <v>12</v>
      </c>
      <c r="W1773" s="82" t="s">
        <v>5288</v>
      </c>
      <c r="X1773" s="77"/>
      <c r="Y1773" s="77"/>
      <c r="Z1773" s="77"/>
      <c r="AA1773" s="77"/>
      <c r="AB1773" s="77"/>
      <c r="AC1773" s="82" t="s">
        <v>7707</v>
      </c>
      <c r="AD1773" s="77" t="s">
        <v>7745</v>
      </c>
      <c r="AE1773" s="80" t="str">
        <f>HYPERLINK("https://twitter.com/realvictorhugog/status/1690593737116643329")</f>
        <v>https://twitter.com/realvictorhugog/status/1690593737116643329</v>
      </c>
      <c r="AF1773" s="79">
        <v>45151.22142361111</v>
      </c>
      <c r="AG1773" s="85">
        <v>45151</v>
      </c>
      <c r="AH1773" s="82" t="s">
        <v>9328</v>
      </c>
      <c r="AI1773" s="77"/>
      <c r="AJ1773" s="77"/>
      <c r="AK1773" s="77"/>
      <c r="AL1773" s="77"/>
      <c r="AM1773" s="77"/>
      <c r="AN1773" s="77"/>
      <c r="AO1773" s="77"/>
      <c r="AP1773" s="77"/>
      <c r="AQ1773" s="77"/>
      <c r="AR1773" s="77"/>
      <c r="AS1773" s="77"/>
      <c r="AT1773" s="77"/>
      <c r="AU1773" s="77"/>
      <c r="AV1773" s="80" t="str">
        <f>HYPERLINK("https://pbs.twimg.com/profile_images/1655602875358142465/JGqMZ7UG_normal.jpg")</f>
        <v>https://pbs.twimg.com/profile_images/1655602875358142465/JGqMZ7UG_normal.jpg</v>
      </c>
      <c r="AW1773" s="82" t="s">
        <v>13938</v>
      </c>
      <c r="AX1773" s="82" t="s">
        <v>15365</v>
      </c>
      <c r="AY1773" s="82" t="s">
        <v>15765</v>
      </c>
      <c r="AZ1773" s="82" t="s">
        <v>15365</v>
      </c>
      <c r="BA1773" s="82" t="s">
        <v>15804</v>
      </c>
      <c r="BB1773" s="82" t="s">
        <v>15804</v>
      </c>
      <c r="BC1773" s="82" t="s">
        <v>15365</v>
      </c>
      <c r="BD1773" s="82" t="s">
        <v>15765</v>
      </c>
      <c r="BE1773" s="77"/>
      <c r="BF1773" s="77"/>
      <c r="BG1773" s="77"/>
      <c r="BH1773" s="77"/>
      <c r="BI1773" s="77"/>
    </row>
    <row r="1774" spans="1:61" x14ac:dyDescent="0.25">
      <c r="A1774" s="62" t="s">
        <v>808</v>
      </c>
      <c r="B1774" s="62" t="s">
        <v>808</v>
      </c>
      <c r="C1774" s="63"/>
      <c r="D1774" s="64"/>
      <c r="E1774" s="65"/>
      <c r="F1774" s="66"/>
      <c r="G1774" s="63"/>
      <c r="H1774" s="67"/>
      <c r="I1774" s="68"/>
      <c r="J1774" s="68"/>
      <c r="K1774" s="32"/>
      <c r="L1774" s="75">
        <v>1774</v>
      </c>
      <c r="M1774" s="75"/>
      <c r="N1774" s="70"/>
      <c r="O1774" s="77" t="s">
        <v>179</v>
      </c>
      <c r="P1774" s="79">
        <v>45096.919560185182</v>
      </c>
      <c r="Q1774" s="77" t="s">
        <v>2832</v>
      </c>
      <c r="R1774" s="77">
        <v>0</v>
      </c>
      <c r="S1774" s="77">
        <v>0</v>
      </c>
      <c r="T1774" s="77">
        <v>1</v>
      </c>
      <c r="U1774" s="77">
        <v>0</v>
      </c>
      <c r="V1774" s="77">
        <v>10</v>
      </c>
      <c r="W1774" s="82" t="s">
        <v>5291</v>
      </c>
      <c r="X1774" s="77"/>
      <c r="Y1774" s="77"/>
      <c r="Z1774" s="77"/>
      <c r="AA1774" s="77" t="s">
        <v>7189</v>
      </c>
      <c r="AB1774" s="77" t="s">
        <v>7696</v>
      </c>
      <c r="AC1774" s="82" t="s">
        <v>7707</v>
      </c>
      <c r="AD1774" s="77" t="s">
        <v>7745</v>
      </c>
      <c r="AE1774" s="80" t="str">
        <f>HYPERLINK("https://twitter.com/realvictorhugog/status/1670915401767608321")</f>
        <v>https://twitter.com/realvictorhugog/status/1670915401767608321</v>
      </c>
      <c r="AF1774" s="79">
        <v>45096.919560185182</v>
      </c>
      <c r="AG1774" s="85">
        <v>45096</v>
      </c>
      <c r="AH1774" s="82" t="s">
        <v>9329</v>
      </c>
      <c r="AI1774" s="77" t="b">
        <v>0</v>
      </c>
      <c r="AJ1774" s="77"/>
      <c r="AK1774" s="77"/>
      <c r="AL1774" s="77"/>
      <c r="AM1774" s="77"/>
      <c r="AN1774" s="77"/>
      <c r="AO1774" s="77"/>
      <c r="AP1774" s="77"/>
      <c r="AQ1774" s="77" t="s">
        <v>11696</v>
      </c>
      <c r="AR1774" s="77"/>
      <c r="AS1774" s="77"/>
      <c r="AT1774" s="77"/>
      <c r="AU1774" s="77"/>
      <c r="AV1774" s="80" t="str">
        <f>HYPERLINK("https://pbs.twimg.com/media/FzBIs-7WwAM5NDv.jpg")</f>
        <v>https://pbs.twimg.com/media/FzBIs-7WwAM5NDv.jpg</v>
      </c>
      <c r="AW1774" s="82" t="s">
        <v>13939</v>
      </c>
      <c r="AX1774" s="82" t="s">
        <v>13939</v>
      </c>
      <c r="AY1774" s="77"/>
      <c r="AZ1774" s="82" t="s">
        <v>15804</v>
      </c>
      <c r="BA1774" s="82" t="s">
        <v>15804</v>
      </c>
      <c r="BB1774" s="82" t="s">
        <v>15804</v>
      </c>
      <c r="BC1774" s="82" t="s">
        <v>13939</v>
      </c>
      <c r="BD1774" s="82" t="s">
        <v>15765</v>
      </c>
      <c r="BE1774" s="77"/>
      <c r="BF1774" s="77"/>
      <c r="BG1774" s="77"/>
      <c r="BH1774" s="77"/>
      <c r="BI1774" s="77"/>
    </row>
    <row r="1775" spans="1:61" x14ac:dyDescent="0.25">
      <c r="A1775" s="62" t="s">
        <v>808</v>
      </c>
      <c r="B1775" s="62" t="s">
        <v>808</v>
      </c>
      <c r="C1775" s="63"/>
      <c r="D1775" s="64"/>
      <c r="E1775" s="65"/>
      <c r="F1775" s="66"/>
      <c r="G1775" s="63"/>
      <c r="H1775" s="67"/>
      <c r="I1775" s="68"/>
      <c r="J1775" s="68"/>
      <c r="K1775" s="32"/>
      <c r="L1775" s="75">
        <v>1775</v>
      </c>
      <c r="M1775" s="75"/>
      <c r="N1775" s="70"/>
      <c r="O1775" s="77" t="s">
        <v>1132</v>
      </c>
      <c r="P1775" s="79">
        <v>45079.944293981483</v>
      </c>
      <c r="Q1775" s="77" t="s">
        <v>2833</v>
      </c>
      <c r="R1775" s="77">
        <v>0</v>
      </c>
      <c r="S1775" s="77">
        <v>0</v>
      </c>
      <c r="T1775" s="77">
        <v>1</v>
      </c>
      <c r="U1775" s="77">
        <v>0</v>
      </c>
      <c r="V1775" s="77">
        <v>9</v>
      </c>
      <c r="W1775" s="82" t="s">
        <v>5291</v>
      </c>
      <c r="X1775" s="77"/>
      <c r="Y1775" s="77"/>
      <c r="Z1775" s="77"/>
      <c r="AA1775" s="77"/>
      <c r="AB1775" s="77"/>
      <c r="AC1775" s="82" t="s">
        <v>7707</v>
      </c>
      <c r="AD1775" s="77" t="s">
        <v>7745</v>
      </c>
      <c r="AE1775" s="80" t="str">
        <f>HYPERLINK("https://twitter.com/realvictorhugog/status/1664763772844613633")</f>
        <v>https://twitter.com/realvictorhugog/status/1664763772844613633</v>
      </c>
      <c r="AF1775" s="79">
        <v>45079.944293981483</v>
      </c>
      <c r="AG1775" s="85">
        <v>45079</v>
      </c>
      <c r="AH1775" s="82" t="s">
        <v>9330</v>
      </c>
      <c r="AI1775" s="77"/>
      <c r="AJ1775" s="77"/>
      <c r="AK1775" s="77"/>
      <c r="AL1775" s="77"/>
      <c r="AM1775" s="77"/>
      <c r="AN1775" s="77"/>
      <c r="AO1775" s="77"/>
      <c r="AP1775" s="77"/>
      <c r="AQ1775" s="77"/>
      <c r="AR1775" s="77"/>
      <c r="AS1775" s="77"/>
      <c r="AT1775" s="77"/>
      <c r="AU1775" s="77"/>
      <c r="AV1775" s="80" t="str">
        <f>HYPERLINK("https://pbs.twimg.com/profile_images/1655602875358142465/JGqMZ7UG_normal.jpg")</f>
        <v>https://pbs.twimg.com/profile_images/1655602875358142465/JGqMZ7UG_normal.jpg</v>
      </c>
      <c r="AW1775" s="82" t="s">
        <v>13940</v>
      </c>
      <c r="AX1775" s="82" t="s">
        <v>15366</v>
      </c>
      <c r="AY1775" s="82" t="s">
        <v>15765</v>
      </c>
      <c r="AZ1775" s="82" t="s">
        <v>15366</v>
      </c>
      <c r="BA1775" s="82" t="s">
        <v>15804</v>
      </c>
      <c r="BB1775" s="82" t="s">
        <v>15804</v>
      </c>
      <c r="BC1775" s="82" t="s">
        <v>15366</v>
      </c>
      <c r="BD1775" s="82" t="s">
        <v>15765</v>
      </c>
      <c r="BE1775" s="77"/>
      <c r="BF1775" s="77"/>
      <c r="BG1775" s="77"/>
      <c r="BH1775" s="77"/>
      <c r="BI1775" s="77"/>
    </row>
    <row r="1776" spans="1:61" x14ac:dyDescent="0.25">
      <c r="A1776" s="62" t="s">
        <v>808</v>
      </c>
      <c r="B1776" s="62" t="s">
        <v>808</v>
      </c>
      <c r="C1776" s="63"/>
      <c r="D1776" s="64"/>
      <c r="E1776" s="65"/>
      <c r="F1776" s="66"/>
      <c r="G1776" s="63"/>
      <c r="H1776" s="67"/>
      <c r="I1776" s="68"/>
      <c r="J1776" s="68"/>
      <c r="K1776" s="32"/>
      <c r="L1776" s="75">
        <v>1776</v>
      </c>
      <c r="M1776" s="75"/>
      <c r="N1776" s="70"/>
      <c r="O1776" s="77" t="s">
        <v>1132</v>
      </c>
      <c r="P1776" s="79">
        <v>45079.933449074073</v>
      </c>
      <c r="Q1776" s="77" t="s">
        <v>2834</v>
      </c>
      <c r="R1776" s="77">
        <v>0</v>
      </c>
      <c r="S1776" s="77">
        <v>0</v>
      </c>
      <c r="T1776" s="77">
        <v>1</v>
      </c>
      <c r="U1776" s="77">
        <v>0</v>
      </c>
      <c r="V1776" s="77">
        <v>10</v>
      </c>
      <c r="W1776" s="82" t="s">
        <v>5291</v>
      </c>
      <c r="X1776" s="77"/>
      <c r="Y1776" s="77"/>
      <c r="Z1776" s="77"/>
      <c r="AA1776" s="77"/>
      <c r="AB1776" s="77"/>
      <c r="AC1776" s="82" t="s">
        <v>7707</v>
      </c>
      <c r="AD1776" s="77" t="s">
        <v>7745</v>
      </c>
      <c r="AE1776" s="80" t="str">
        <f>HYPERLINK("https://twitter.com/realvictorhugog/status/1664759840860786689")</f>
        <v>https://twitter.com/realvictorhugog/status/1664759840860786689</v>
      </c>
      <c r="AF1776" s="79">
        <v>45079.933449074073</v>
      </c>
      <c r="AG1776" s="85">
        <v>45079</v>
      </c>
      <c r="AH1776" s="82" t="s">
        <v>9331</v>
      </c>
      <c r="AI1776" s="77"/>
      <c r="AJ1776" s="77"/>
      <c r="AK1776" s="77"/>
      <c r="AL1776" s="77"/>
      <c r="AM1776" s="77"/>
      <c r="AN1776" s="77"/>
      <c r="AO1776" s="77"/>
      <c r="AP1776" s="77"/>
      <c r="AQ1776" s="77"/>
      <c r="AR1776" s="77"/>
      <c r="AS1776" s="77"/>
      <c r="AT1776" s="77"/>
      <c r="AU1776" s="77"/>
      <c r="AV1776" s="80" t="str">
        <f>HYPERLINK("https://pbs.twimg.com/profile_images/1655602875358142465/JGqMZ7UG_normal.jpg")</f>
        <v>https://pbs.twimg.com/profile_images/1655602875358142465/JGqMZ7UG_normal.jpg</v>
      </c>
      <c r="AW1776" s="82" t="s">
        <v>13941</v>
      </c>
      <c r="AX1776" s="82" t="s">
        <v>15367</v>
      </c>
      <c r="AY1776" s="82" t="s">
        <v>15765</v>
      </c>
      <c r="AZ1776" s="82" t="s">
        <v>15367</v>
      </c>
      <c r="BA1776" s="82" t="s">
        <v>15804</v>
      </c>
      <c r="BB1776" s="82" t="s">
        <v>15804</v>
      </c>
      <c r="BC1776" s="82" t="s">
        <v>15367</v>
      </c>
      <c r="BD1776" s="82" t="s">
        <v>15765</v>
      </c>
      <c r="BE1776" s="77"/>
      <c r="BF1776" s="77"/>
      <c r="BG1776" s="77"/>
      <c r="BH1776" s="77"/>
      <c r="BI1776" s="77"/>
    </row>
    <row r="1777" spans="1:61" x14ac:dyDescent="0.25">
      <c r="A1777" s="62" t="s">
        <v>808</v>
      </c>
      <c r="B1777" s="62" t="s">
        <v>808</v>
      </c>
      <c r="C1777" s="63"/>
      <c r="D1777" s="64"/>
      <c r="E1777" s="65"/>
      <c r="F1777" s="66"/>
      <c r="G1777" s="63"/>
      <c r="H1777" s="67"/>
      <c r="I1777" s="68"/>
      <c r="J1777" s="68"/>
      <c r="K1777" s="32"/>
      <c r="L1777" s="75">
        <v>1777</v>
      </c>
      <c r="M1777" s="75"/>
      <c r="N1777" s="70"/>
      <c r="O1777" s="77" t="s">
        <v>1132</v>
      </c>
      <c r="P1777" s="79">
        <v>45151.218912037039</v>
      </c>
      <c r="Q1777" s="77" t="s">
        <v>2835</v>
      </c>
      <c r="R1777" s="77">
        <v>0</v>
      </c>
      <c r="S1777" s="77">
        <v>0</v>
      </c>
      <c r="T1777" s="77">
        <v>1</v>
      </c>
      <c r="U1777" s="77">
        <v>0</v>
      </c>
      <c r="V1777" s="77">
        <v>3</v>
      </c>
      <c r="W1777" s="82" t="s">
        <v>5290</v>
      </c>
      <c r="X1777" s="77"/>
      <c r="Y1777" s="77"/>
      <c r="Z1777" s="77"/>
      <c r="AA1777" s="77"/>
      <c r="AB1777" s="77"/>
      <c r="AC1777" s="82" t="s">
        <v>7707</v>
      </c>
      <c r="AD1777" s="77" t="s">
        <v>7745</v>
      </c>
      <c r="AE1777" s="80" t="str">
        <f>HYPERLINK("https://twitter.com/realvictorhugog/status/1690592829435695105")</f>
        <v>https://twitter.com/realvictorhugog/status/1690592829435695105</v>
      </c>
      <c r="AF1777" s="79">
        <v>45151.218912037039</v>
      </c>
      <c r="AG1777" s="85">
        <v>45151</v>
      </c>
      <c r="AH1777" s="82" t="s">
        <v>9332</v>
      </c>
      <c r="AI1777" s="77"/>
      <c r="AJ1777" s="77"/>
      <c r="AK1777" s="77"/>
      <c r="AL1777" s="77"/>
      <c r="AM1777" s="77"/>
      <c r="AN1777" s="77"/>
      <c r="AO1777" s="77"/>
      <c r="AP1777" s="77"/>
      <c r="AQ1777" s="77"/>
      <c r="AR1777" s="77"/>
      <c r="AS1777" s="77"/>
      <c r="AT1777" s="77"/>
      <c r="AU1777" s="77"/>
      <c r="AV1777" s="80" t="str">
        <f>HYPERLINK("https://pbs.twimg.com/profile_images/1655602875358142465/JGqMZ7UG_normal.jpg")</f>
        <v>https://pbs.twimg.com/profile_images/1655602875358142465/JGqMZ7UG_normal.jpg</v>
      </c>
      <c r="AW1777" s="82" t="s">
        <v>13942</v>
      </c>
      <c r="AX1777" s="82" t="s">
        <v>15368</v>
      </c>
      <c r="AY1777" s="82" t="s">
        <v>15765</v>
      </c>
      <c r="AZ1777" s="82" t="s">
        <v>15368</v>
      </c>
      <c r="BA1777" s="82" t="s">
        <v>15804</v>
      </c>
      <c r="BB1777" s="82" t="s">
        <v>15804</v>
      </c>
      <c r="BC1777" s="82" t="s">
        <v>15368</v>
      </c>
      <c r="BD1777" s="82" t="s">
        <v>15765</v>
      </c>
      <c r="BE1777" s="77"/>
      <c r="BF1777" s="77"/>
      <c r="BG1777" s="77"/>
      <c r="BH1777" s="77"/>
      <c r="BI1777" s="77"/>
    </row>
    <row r="1778" spans="1:61" x14ac:dyDescent="0.25">
      <c r="A1778" s="62" t="s">
        <v>808</v>
      </c>
      <c r="B1778" s="62" t="s">
        <v>808</v>
      </c>
      <c r="C1778" s="63"/>
      <c r="D1778" s="64"/>
      <c r="E1778" s="65"/>
      <c r="F1778" s="66"/>
      <c r="G1778" s="63"/>
      <c r="H1778" s="67"/>
      <c r="I1778" s="68"/>
      <c r="J1778" s="68"/>
      <c r="K1778" s="32"/>
      <c r="L1778" s="75">
        <v>1778</v>
      </c>
      <c r="M1778" s="75"/>
      <c r="N1778" s="70"/>
      <c r="O1778" s="77" t="s">
        <v>1132</v>
      </c>
      <c r="P1778" s="79">
        <v>45075.932210648149</v>
      </c>
      <c r="Q1778" s="77" t="s">
        <v>2836</v>
      </c>
      <c r="R1778" s="77">
        <v>0</v>
      </c>
      <c r="S1778" s="77">
        <v>0</v>
      </c>
      <c r="T1778" s="77">
        <v>1</v>
      </c>
      <c r="U1778" s="77">
        <v>0</v>
      </c>
      <c r="V1778" s="77">
        <v>6</v>
      </c>
      <c r="W1778" s="82" t="s">
        <v>5292</v>
      </c>
      <c r="X1778" s="77"/>
      <c r="Y1778" s="77"/>
      <c r="Z1778" s="77"/>
      <c r="AA1778" s="77"/>
      <c r="AB1778" s="77"/>
      <c r="AC1778" s="82" t="s">
        <v>7707</v>
      </c>
      <c r="AD1778" s="77" t="s">
        <v>7745</v>
      </c>
      <c r="AE1778" s="80" t="str">
        <f>HYPERLINK("https://twitter.com/realvictorhugog/status/1663309840976838666")</f>
        <v>https://twitter.com/realvictorhugog/status/1663309840976838666</v>
      </c>
      <c r="AF1778" s="79">
        <v>45075.932210648149</v>
      </c>
      <c r="AG1778" s="85">
        <v>45075</v>
      </c>
      <c r="AH1778" s="82" t="s">
        <v>9333</v>
      </c>
      <c r="AI1778" s="77"/>
      <c r="AJ1778" s="77"/>
      <c r="AK1778" s="77"/>
      <c r="AL1778" s="77"/>
      <c r="AM1778" s="77"/>
      <c r="AN1778" s="77"/>
      <c r="AO1778" s="77"/>
      <c r="AP1778" s="77"/>
      <c r="AQ1778" s="77"/>
      <c r="AR1778" s="77"/>
      <c r="AS1778" s="77"/>
      <c r="AT1778" s="77"/>
      <c r="AU1778" s="77"/>
      <c r="AV1778" s="80" t="str">
        <f>HYPERLINK("https://pbs.twimg.com/profile_images/1655602875358142465/JGqMZ7UG_normal.jpg")</f>
        <v>https://pbs.twimg.com/profile_images/1655602875358142465/JGqMZ7UG_normal.jpg</v>
      </c>
      <c r="AW1778" s="82" t="s">
        <v>13943</v>
      </c>
      <c r="AX1778" s="82" t="s">
        <v>15369</v>
      </c>
      <c r="AY1778" s="82" t="s">
        <v>15765</v>
      </c>
      <c r="AZ1778" s="82" t="s">
        <v>15369</v>
      </c>
      <c r="BA1778" s="82" t="s">
        <v>15804</v>
      </c>
      <c r="BB1778" s="82" t="s">
        <v>15804</v>
      </c>
      <c r="BC1778" s="82" t="s">
        <v>15369</v>
      </c>
      <c r="BD1778" s="82" t="s">
        <v>15765</v>
      </c>
      <c r="BE1778" s="77"/>
      <c r="BF1778" s="77"/>
      <c r="BG1778" s="77"/>
      <c r="BH1778" s="77"/>
      <c r="BI1778" s="77"/>
    </row>
    <row r="1779" spans="1:61" x14ac:dyDescent="0.25">
      <c r="A1779" s="62" t="s">
        <v>808</v>
      </c>
      <c r="B1779" s="62" t="s">
        <v>808</v>
      </c>
      <c r="C1779" s="63"/>
      <c r="D1779" s="64"/>
      <c r="E1779" s="65"/>
      <c r="F1779" s="66"/>
      <c r="G1779" s="63"/>
      <c r="H1779" s="67"/>
      <c r="I1779" s="68"/>
      <c r="J1779" s="68"/>
      <c r="K1779" s="32"/>
      <c r="L1779" s="75">
        <v>1779</v>
      </c>
      <c r="M1779" s="75"/>
      <c r="N1779" s="70"/>
      <c r="O1779" s="77" t="s">
        <v>1132</v>
      </c>
      <c r="P1779" s="79">
        <v>45152.719756944447</v>
      </c>
      <c r="Q1779" s="77" t="s">
        <v>2837</v>
      </c>
      <c r="R1779" s="77">
        <v>0</v>
      </c>
      <c r="S1779" s="77">
        <v>0</v>
      </c>
      <c r="T1779" s="77">
        <v>1</v>
      </c>
      <c r="U1779" s="77">
        <v>0</v>
      </c>
      <c r="V1779" s="77">
        <v>2</v>
      </c>
      <c r="W1779" s="82" t="s">
        <v>5289</v>
      </c>
      <c r="X1779" s="77"/>
      <c r="Y1779" s="77"/>
      <c r="Z1779" s="77"/>
      <c r="AA1779" s="77"/>
      <c r="AB1779" s="77"/>
      <c r="AC1779" s="82" t="s">
        <v>7707</v>
      </c>
      <c r="AD1779" s="77" t="s">
        <v>7745</v>
      </c>
      <c r="AE1779" s="80" t="str">
        <f>HYPERLINK("https://twitter.com/realvictorhugog/status/1691136717732851721")</f>
        <v>https://twitter.com/realvictorhugog/status/1691136717732851721</v>
      </c>
      <c r="AF1779" s="79">
        <v>45152.719756944447</v>
      </c>
      <c r="AG1779" s="85">
        <v>45152</v>
      </c>
      <c r="AH1779" s="82" t="s">
        <v>9334</v>
      </c>
      <c r="AI1779" s="77"/>
      <c r="AJ1779" s="77"/>
      <c r="AK1779" s="77"/>
      <c r="AL1779" s="77"/>
      <c r="AM1779" s="77"/>
      <c r="AN1779" s="77"/>
      <c r="AO1779" s="77"/>
      <c r="AP1779" s="77"/>
      <c r="AQ1779" s="77"/>
      <c r="AR1779" s="77"/>
      <c r="AS1779" s="77"/>
      <c r="AT1779" s="77"/>
      <c r="AU1779" s="77"/>
      <c r="AV1779" s="80" t="str">
        <f>HYPERLINK("https://pbs.twimg.com/profile_images/1655602875358142465/JGqMZ7UG_normal.jpg")</f>
        <v>https://pbs.twimg.com/profile_images/1655602875358142465/JGqMZ7UG_normal.jpg</v>
      </c>
      <c r="AW1779" s="82" t="s">
        <v>13944</v>
      </c>
      <c r="AX1779" s="82" t="s">
        <v>15370</v>
      </c>
      <c r="AY1779" s="82" t="s">
        <v>15765</v>
      </c>
      <c r="AZ1779" s="82" t="s">
        <v>15370</v>
      </c>
      <c r="BA1779" s="82" t="s">
        <v>15804</v>
      </c>
      <c r="BB1779" s="82" t="s">
        <v>15804</v>
      </c>
      <c r="BC1779" s="82" t="s">
        <v>15370</v>
      </c>
      <c r="BD1779" s="82" t="s">
        <v>15765</v>
      </c>
      <c r="BE1779" s="77"/>
      <c r="BF1779" s="77"/>
      <c r="BG1779" s="77"/>
      <c r="BH1779" s="77"/>
      <c r="BI1779" s="77"/>
    </row>
    <row r="1780" spans="1:61" x14ac:dyDescent="0.25">
      <c r="A1780" s="62" t="s">
        <v>808</v>
      </c>
      <c r="B1780" s="62" t="s">
        <v>808</v>
      </c>
      <c r="C1780" s="63"/>
      <c r="D1780" s="64"/>
      <c r="E1780" s="65"/>
      <c r="F1780" s="66"/>
      <c r="G1780" s="63"/>
      <c r="H1780" s="67"/>
      <c r="I1780" s="68"/>
      <c r="J1780" s="68"/>
      <c r="K1780" s="32"/>
      <c r="L1780" s="75">
        <v>1780</v>
      </c>
      <c r="M1780" s="75"/>
      <c r="N1780" s="70"/>
      <c r="O1780" s="77" t="s">
        <v>1132</v>
      </c>
      <c r="P1780" s="79">
        <v>45107.823692129627</v>
      </c>
      <c r="Q1780" s="77" t="s">
        <v>2838</v>
      </c>
      <c r="R1780" s="77">
        <v>0</v>
      </c>
      <c r="S1780" s="77">
        <v>0</v>
      </c>
      <c r="T1780" s="77">
        <v>1</v>
      </c>
      <c r="U1780" s="77">
        <v>0</v>
      </c>
      <c r="V1780" s="77">
        <v>7</v>
      </c>
      <c r="W1780" s="82" t="s">
        <v>5291</v>
      </c>
      <c r="X1780" s="77"/>
      <c r="Y1780" s="77"/>
      <c r="Z1780" s="77"/>
      <c r="AA1780" s="77"/>
      <c r="AB1780" s="77"/>
      <c r="AC1780" s="82" t="s">
        <v>7707</v>
      </c>
      <c r="AD1780" s="77" t="s">
        <v>7745</v>
      </c>
      <c r="AE1780" s="80" t="str">
        <f>HYPERLINK("https://twitter.com/realvictorhugog/status/1674866927531876368")</f>
        <v>https://twitter.com/realvictorhugog/status/1674866927531876368</v>
      </c>
      <c r="AF1780" s="79">
        <v>45107.823692129627</v>
      </c>
      <c r="AG1780" s="85">
        <v>45107</v>
      </c>
      <c r="AH1780" s="82" t="s">
        <v>9335</v>
      </c>
      <c r="AI1780" s="77"/>
      <c r="AJ1780" s="77"/>
      <c r="AK1780" s="77"/>
      <c r="AL1780" s="77"/>
      <c r="AM1780" s="77"/>
      <c r="AN1780" s="77"/>
      <c r="AO1780" s="77"/>
      <c r="AP1780" s="77"/>
      <c r="AQ1780" s="77"/>
      <c r="AR1780" s="77"/>
      <c r="AS1780" s="77"/>
      <c r="AT1780" s="77"/>
      <c r="AU1780" s="77"/>
      <c r="AV1780" s="80" t="str">
        <f>HYPERLINK("https://pbs.twimg.com/profile_images/1655602875358142465/JGqMZ7UG_normal.jpg")</f>
        <v>https://pbs.twimg.com/profile_images/1655602875358142465/JGqMZ7UG_normal.jpg</v>
      </c>
      <c r="AW1780" s="82" t="s">
        <v>13945</v>
      </c>
      <c r="AX1780" s="82" t="s">
        <v>15371</v>
      </c>
      <c r="AY1780" s="82" t="s">
        <v>15765</v>
      </c>
      <c r="AZ1780" s="82" t="s">
        <v>15371</v>
      </c>
      <c r="BA1780" s="82" t="s">
        <v>15804</v>
      </c>
      <c r="BB1780" s="82" t="s">
        <v>15804</v>
      </c>
      <c r="BC1780" s="82" t="s">
        <v>15371</v>
      </c>
      <c r="BD1780" s="82" t="s">
        <v>15765</v>
      </c>
      <c r="BE1780" s="77"/>
      <c r="BF1780" s="77"/>
      <c r="BG1780" s="77"/>
      <c r="BH1780" s="77"/>
      <c r="BI1780" s="77"/>
    </row>
    <row r="1781" spans="1:61" x14ac:dyDescent="0.25">
      <c r="A1781" s="62" t="s">
        <v>808</v>
      </c>
      <c r="B1781" s="62" t="s">
        <v>808</v>
      </c>
      <c r="C1781" s="63"/>
      <c r="D1781" s="64"/>
      <c r="E1781" s="65"/>
      <c r="F1781" s="66"/>
      <c r="G1781" s="63"/>
      <c r="H1781" s="67"/>
      <c r="I1781" s="68"/>
      <c r="J1781" s="68"/>
      <c r="K1781" s="32"/>
      <c r="L1781" s="75">
        <v>1781</v>
      </c>
      <c r="M1781" s="75"/>
      <c r="N1781" s="70"/>
      <c r="O1781" s="77" t="s">
        <v>1132</v>
      </c>
      <c r="P1781" s="79">
        <v>45106.860902777778</v>
      </c>
      <c r="Q1781" s="77" t="s">
        <v>2839</v>
      </c>
      <c r="R1781" s="77">
        <v>0</v>
      </c>
      <c r="S1781" s="77">
        <v>0</v>
      </c>
      <c r="T1781" s="77">
        <v>1</v>
      </c>
      <c r="U1781" s="77">
        <v>0</v>
      </c>
      <c r="V1781" s="77">
        <v>3</v>
      </c>
      <c r="W1781" s="82" t="s">
        <v>5288</v>
      </c>
      <c r="X1781" s="77"/>
      <c r="Y1781" s="77"/>
      <c r="Z1781" s="77"/>
      <c r="AA1781" s="77"/>
      <c r="AB1781" s="77"/>
      <c r="AC1781" s="82" t="s">
        <v>7707</v>
      </c>
      <c r="AD1781" s="77" t="s">
        <v>7745</v>
      </c>
      <c r="AE1781" s="80" t="str">
        <f>HYPERLINK("https://twitter.com/realvictorhugog/status/1674518021950390277")</f>
        <v>https://twitter.com/realvictorhugog/status/1674518021950390277</v>
      </c>
      <c r="AF1781" s="79">
        <v>45106.860902777778</v>
      </c>
      <c r="AG1781" s="85">
        <v>45106</v>
      </c>
      <c r="AH1781" s="82" t="s">
        <v>9336</v>
      </c>
      <c r="AI1781" s="77"/>
      <c r="AJ1781" s="77"/>
      <c r="AK1781" s="77"/>
      <c r="AL1781" s="77"/>
      <c r="AM1781" s="77"/>
      <c r="AN1781" s="77"/>
      <c r="AO1781" s="77"/>
      <c r="AP1781" s="77"/>
      <c r="AQ1781" s="77"/>
      <c r="AR1781" s="77"/>
      <c r="AS1781" s="77"/>
      <c r="AT1781" s="77"/>
      <c r="AU1781" s="77"/>
      <c r="AV1781" s="80" t="str">
        <f>HYPERLINK("https://pbs.twimg.com/profile_images/1655602875358142465/JGqMZ7UG_normal.jpg")</f>
        <v>https://pbs.twimg.com/profile_images/1655602875358142465/JGqMZ7UG_normal.jpg</v>
      </c>
      <c r="AW1781" s="82" t="s">
        <v>13946</v>
      </c>
      <c r="AX1781" s="82" t="s">
        <v>15372</v>
      </c>
      <c r="AY1781" s="82" t="s">
        <v>15765</v>
      </c>
      <c r="AZ1781" s="82" t="s">
        <v>15905</v>
      </c>
      <c r="BA1781" s="82" t="s">
        <v>15804</v>
      </c>
      <c r="BB1781" s="82" t="s">
        <v>15804</v>
      </c>
      <c r="BC1781" s="82" t="s">
        <v>15905</v>
      </c>
      <c r="BD1781" s="82" t="s">
        <v>15765</v>
      </c>
      <c r="BE1781" s="77"/>
      <c r="BF1781" s="77"/>
      <c r="BG1781" s="77"/>
      <c r="BH1781" s="77"/>
      <c r="BI1781" s="77"/>
    </row>
    <row r="1782" spans="1:61" x14ac:dyDescent="0.25">
      <c r="A1782" s="62" t="s">
        <v>808</v>
      </c>
      <c r="B1782" s="62" t="s">
        <v>808</v>
      </c>
      <c r="C1782" s="63"/>
      <c r="D1782" s="64"/>
      <c r="E1782" s="65"/>
      <c r="F1782" s="66"/>
      <c r="G1782" s="63"/>
      <c r="H1782" s="67"/>
      <c r="I1782" s="68"/>
      <c r="J1782" s="68"/>
      <c r="K1782" s="32"/>
      <c r="L1782" s="75">
        <v>1782</v>
      </c>
      <c r="M1782" s="75"/>
      <c r="N1782" s="70"/>
      <c r="O1782" s="77" t="s">
        <v>1132</v>
      </c>
      <c r="P1782" s="79">
        <v>45160.807638888888</v>
      </c>
      <c r="Q1782" s="77" t="s">
        <v>2840</v>
      </c>
      <c r="R1782" s="77">
        <v>0</v>
      </c>
      <c r="S1782" s="77">
        <v>0</v>
      </c>
      <c r="T1782" s="77">
        <v>1</v>
      </c>
      <c r="U1782" s="77">
        <v>0</v>
      </c>
      <c r="V1782" s="77">
        <v>5</v>
      </c>
      <c r="W1782" s="82" t="s">
        <v>5293</v>
      </c>
      <c r="X1782" s="77"/>
      <c r="Y1782" s="77"/>
      <c r="Z1782" s="77"/>
      <c r="AA1782" s="77"/>
      <c r="AB1782" s="77"/>
      <c r="AC1782" s="82" t="s">
        <v>7707</v>
      </c>
      <c r="AD1782" s="77" t="s">
        <v>7745</v>
      </c>
      <c r="AE1782" s="80" t="str">
        <f>HYPERLINK("https://twitter.com/realvictorhugog/status/1694067664077922585")</f>
        <v>https://twitter.com/realvictorhugog/status/1694067664077922585</v>
      </c>
      <c r="AF1782" s="79">
        <v>45160.807638888888</v>
      </c>
      <c r="AG1782" s="85">
        <v>45160</v>
      </c>
      <c r="AH1782" s="82" t="s">
        <v>9337</v>
      </c>
      <c r="AI1782" s="77"/>
      <c r="AJ1782" s="77"/>
      <c r="AK1782" s="77"/>
      <c r="AL1782" s="77"/>
      <c r="AM1782" s="77"/>
      <c r="AN1782" s="77"/>
      <c r="AO1782" s="77"/>
      <c r="AP1782" s="77"/>
      <c r="AQ1782" s="77"/>
      <c r="AR1782" s="77"/>
      <c r="AS1782" s="77"/>
      <c r="AT1782" s="77"/>
      <c r="AU1782" s="77"/>
      <c r="AV1782" s="80" t="str">
        <f>HYPERLINK("https://pbs.twimg.com/profile_images/1655602875358142465/JGqMZ7UG_normal.jpg")</f>
        <v>https://pbs.twimg.com/profile_images/1655602875358142465/JGqMZ7UG_normal.jpg</v>
      </c>
      <c r="AW1782" s="82" t="s">
        <v>13947</v>
      </c>
      <c r="AX1782" s="82" t="s">
        <v>15373</v>
      </c>
      <c r="AY1782" s="82" t="s">
        <v>15765</v>
      </c>
      <c r="AZ1782" s="82" t="s">
        <v>15373</v>
      </c>
      <c r="BA1782" s="82" t="s">
        <v>15804</v>
      </c>
      <c r="BB1782" s="82" t="s">
        <v>15804</v>
      </c>
      <c r="BC1782" s="82" t="s">
        <v>15373</v>
      </c>
      <c r="BD1782" s="82" t="s">
        <v>15765</v>
      </c>
      <c r="BE1782" s="77"/>
      <c r="BF1782" s="77"/>
      <c r="BG1782" s="77"/>
      <c r="BH1782" s="77"/>
      <c r="BI1782" s="77"/>
    </row>
    <row r="1783" spans="1:61" x14ac:dyDescent="0.25">
      <c r="A1783" s="62" t="s">
        <v>808</v>
      </c>
      <c r="B1783" s="62" t="s">
        <v>808</v>
      </c>
      <c r="C1783" s="63"/>
      <c r="D1783" s="64"/>
      <c r="E1783" s="65"/>
      <c r="F1783" s="66"/>
      <c r="G1783" s="63"/>
      <c r="H1783" s="67"/>
      <c r="I1783" s="68"/>
      <c r="J1783" s="68"/>
      <c r="K1783" s="32"/>
      <c r="L1783" s="75">
        <v>1783</v>
      </c>
      <c r="M1783" s="75"/>
      <c r="N1783" s="70"/>
      <c r="O1783" s="77" t="s">
        <v>179</v>
      </c>
      <c r="P1783" s="79">
        <v>45145.806539351855</v>
      </c>
      <c r="Q1783" s="77" t="s">
        <v>2841</v>
      </c>
      <c r="R1783" s="77">
        <v>0</v>
      </c>
      <c r="S1783" s="77">
        <v>0</v>
      </c>
      <c r="T1783" s="77">
        <v>1</v>
      </c>
      <c r="U1783" s="77">
        <v>0</v>
      </c>
      <c r="V1783" s="77">
        <v>4</v>
      </c>
      <c r="W1783" s="82" t="s">
        <v>5293</v>
      </c>
      <c r="X1783" s="77"/>
      <c r="Y1783" s="77"/>
      <c r="Z1783" s="77"/>
      <c r="AA1783" s="77" t="s">
        <v>7190</v>
      </c>
      <c r="AB1783" s="77" t="s">
        <v>7696</v>
      </c>
      <c r="AC1783" s="82" t="s">
        <v>7707</v>
      </c>
      <c r="AD1783" s="77" t="s">
        <v>7745</v>
      </c>
      <c r="AE1783" s="80" t="str">
        <f>HYPERLINK("https://twitter.com/realvictorhugog/status/1688631449258209280")</f>
        <v>https://twitter.com/realvictorhugog/status/1688631449258209280</v>
      </c>
      <c r="AF1783" s="79">
        <v>45145.806539351855</v>
      </c>
      <c r="AG1783" s="85">
        <v>45145</v>
      </c>
      <c r="AH1783" s="82" t="s">
        <v>9338</v>
      </c>
      <c r="AI1783" s="77" t="b">
        <v>0</v>
      </c>
      <c r="AJ1783" s="77"/>
      <c r="AK1783" s="77"/>
      <c r="AL1783" s="77"/>
      <c r="AM1783" s="77"/>
      <c r="AN1783" s="77"/>
      <c r="AO1783" s="77"/>
      <c r="AP1783" s="77"/>
      <c r="AQ1783" s="77" t="s">
        <v>11697</v>
      </c>
      <c r="AR1783" s="77"/>
      <c r="AS1783" s="77"/>
      <c r="AT1783" s="77"/>
      <c r="AU1783" s="77"/>
      <c r="AV1783" s="80" t="str">
        <f>HYPERLINK("https://pbs.twimg.com/media/F285Wo5W8AE_B1K.jpg")</f>
        <v>https://pbs.twimg.com/media/F285Wo5W8AE_B1K.jpg</v>
      </c>
      <c r="AW1783" s="82" t="s">
        <v>13948</v>
      </c>
      <c r="AX1783" s="82" t="s">
        <v>13948</v>
      </c>
      <c r="AY1783" s="77"/>
      <c r="AZ1783" s="82" t="s">
        <v>15804</v>
      </c>
      <c r="BA1783" s="82" t="s">
        <v>15804</v>
      </c>
      <c r="BB1783" s="82" t="s">
        <v>15804</v>
      </c>
      <c r="BC1783" s="82" t="s">
        <v>13948</v>
      </c>
      <c r="BD1783" s="82" t="s">
        <v>15765</v>
      </c>
      <c r="BE1783" s="77"/>
      <c r="BF1783" s="77"/>
      <c r="BG1783" s="77"/>
      <c r="BH1783" s="77"/>
      <c r="BI1783" s="77"/>
    </row>
    <row r="1784" spans="1:61" x14ac:dyDescent="0.25">
      <c r="A1784" s="62" t="s">
        <v>808</v>
      </c>
      <c r="B1784" s="62" t="s">
        <v>808</v>
      </c>
      <c r="C1784" s="63"/>
      <c r="D1784" s="64"/>
      <c r="E1784" s="65"/>
      <c r="F1784" s="66"/>
      <c r="G1784" s="63"/>
      <c r="H1784" s="67"/>
      <c r="I1784" s="68"/>
      <c r="J1784" s="68"/>
      <c r="K1784" s="32"/>
      <c r="L1784" s="75">
        <v>1784</v>
      </c>
      <c r="M1784" s="75"/>
      <c r="N1784" s="70"/>
      <c r="O1784" s="77" t="s">
        <v>1132</v>
      </c>
      <c r="P1784" s="79">
        <v>45103.884270833332</v>
      </c>
      <c r="Q1784" s="77" t="s">
        <v>2842</v>
      </c>
      <c r="R1784" s="77">
        <v>0</v>
      </c>
      <c r="S1784" s="77">
        <v>0</v>
      </c>
      <c r="T1784" s="77">
        <v>0</v>
      </c>
      <c r="U1784" s="77">
        <v>0</v>
      </c>
      <c r="V1784" s="77">
        <v>5</v>
      </c>
      <c r="W1784" s="82" t="s">
        <v>5294</v>
      </c>
      <c r="X1784" s="77"/>
      <c r="Y1784" s="77"/>
      <c r="Z1784" s="77"/>
      <c r="AA1784" s="77"/>
      <c r="AB1784" s="77"/>
      <c r="AC1784" s="82" t="s">
        <v>7707</v>
      </c>
      <c r="AD1784" s="77" t="s">
        <v>7745</v>
      </c>
      <c r="AE1784" s="80" t="str">
        <f>HYPERLINK("https://twitter.com/realvictorhugog/status/1673439328075239426")</f>
        <v>https://twitter.com/realvictorhugog/status/1673439328075239426</v>
      </c>
      <c r="AF1784" s="79">
        <v>45103.884270833332</v>
      </c>
      <c r="AG1784" s="85">
        <v>45103</v>
      </c>
      <c r="AH1784" s="82" t="s">
        <v>9339</v>
      </c>
      <c r="AI1784" s="77"/>
      <c r="AJ1784" s="77"/>
      <c r="AK1784" s="77"/>
      <c r="AL1784" s="77"/>
      <c r="AM1784" s="77"/>
      <c r="AN1784" s="77"/>
      <c r="AO1784" s="77"/>
      <c r="AP1784" s="77"/>
      <c r="AQ1784" s="77"/>
      <c r="AR1784" s="77"/>
      <c r="AS1784" s="77"/>
      <c r="AT1784" s="77"/>
      <c r="AU1784" s="77"/>
      <c r="AV1784" s="80" t="str">
        <f>HYPERLINK("https://pbs.twimg.com/profile_images/1655602875358142465/JGqMZ7UG_normal.jpg")</f>
        <v>https://pbs.twimg.com/profile_images/1655602875358142465/JGqMZ7UG_normal.jpg</v>
      </c>
      <c r="AW1784" s="82" t="s">
        <v>13949</v>
      </c>
      <c r="AX1784" s="82" t="s">
        <v>15374</v>
      </c>
      <c r="AY1784" s="82" t="s">
        <v>15765</v>
      </c>
      <c r="AZ1784" s="82" t="s">
        <v>15374</v>
      </c>
      <c r="BA1784" s="82" t="s">
        <v>15804</v>
      </c>
      <c r="BB1784" s="82" t="s">
        <v>15804</v>
      </c>
      <c r="BC1784" s="82" t="s">
        <v>15374</v>
      </c>
      <c r="BD1784" s="82" t="s">
        <v>15765</v>
      </c>
      <c r="BE1784" s="77"/>
      <c r="BF1784" s="77"/>
      <c r="BG1784" s="77"/>
      <c r="BH1784" s="77"/>
      <c r="BI1784" s="77"/>
    </row>
    <row r="1785" spans="1:61" x14ac:dyDescent="0.25">
      <c r="A1785" s="62" t="s">
        <v>808</v>
      </c>
      <c r="B1785" s="62" t="s">
        <v>808</v>
      </c>
      <c r="C1785" s="63"/>
      <c r="D1785" s="64"/>
      <c r="E1785" s="65"/>
      <c r="F1785" s="66"/>
      <c r="G1785" s="63"/>
      <c r="H1785" s="67"/>
      <c r="I1785" s="68"/>
      <c r="J1785" s="68"/>
      <c r="K1785" s="32"/>
      <c r="L1785" s="75">
        <v>1785</v>
      </c>
      <c r="M1785" s="75"/>
      <c r="N1785" s="70"/>
      <c r="O1785" s="77" t="s">
        <v>1132</v>
      </c>
      <c r="P1785" s="79">
        <v>45068.956400462965</v>
      </c>
      <c r="Q1785" s="77" t="s">
        <v>2843</v>
      </c>
      <c r="R1785" s="77">
        <v>0</v>
      </c>
      <c r="S1785" s="77">
        <v>0</v>
      </c>
      <c r="T1785" s="77">
        <v>1</v>
      </c>
      <c r="U1785" s="77">
        <v>0</v>
      </c>
      <c r="V1785" s="77">
        <v>6</v>
      </c>
      <c r="W1785" s="82" t="s">
        <v>5289</v>
      </c>
      <c r="X1785" s="77"/>
      <c r="Y1785" s="77"/>
      <c r="Z1785" s="77"/>
      <c r="AA1785" s="77"/>
      <c r="AB1785" s="77"/>
      <c r="AC1785" s="82" t="s">
        <v>7707</v>
      </c>
      <c r="AD1785" s="77" t="s">
        <v>7745</v>
      </c>
      <c r="AE1785" s="80" t="str">
        <f>HYPERLINK("https://twitter.com/realvictorhugog/status/1660781890566062080")</f>
        <v>https://twitter.com/realvictorhugog/status/1660781890566062080</v>
      </c>
      <c r="AF1785" s="79">
        <v>45068.956400462965</v>
      </c>
      <c r="AG1785" s="85">
        <v>45068</v>
      </c>
      <c r="AH1785" s="82" t="s">
        <v>9340</v>
      </c>
      <c r="AI1785" s="77"/>
      <c r="AJ1785" s="77"/>
      <c r="AK1785" s="77"/>
      <c r="AL1785" s="77"/>
      <c r="AM1785" s="77"/>
      <c r="AN1785" s="77"/>
      <c r="AO1785" s="77"/>
      <c r="AP1785" s="77"/>
      <c r="AQ1785" s="77"/>
      <c r="AR1785" s="77"/>
      <c r="AS1785" s="77"/>
      <c r="AT1785" s="77"/>
      <c r="AU1785" s="77"/>
      <c r="AV1785" s="80" t="str">
        <f>HYPERLINK("https://pbs.twimg.com/profile_images/1655602875358142465/JGqMZ7UG_normal.jpg")</f>
        <v>https://pbs.twimg.com/profile_images/1655602875358142465/JGqMZ7UG_normal.jpg</v>
      </c>
      <c r="AW1785" s="82" t="s">
        <v>13950</v>
      </c>
      <c r="AX1785" s="82" t="s">
        <v>15375</v>
      </c>
      <c r="AY1785" s="82" t="s">
        <v>15765</v>
      </c>
      <c r="AZ1785" s="82" t="s">
        <v>15375</v>
      </c>
      <c r="BA1785" s="82" t="s">
        <v>15804</v>
      </c>
      <c r="BB1785" s="82" t="s">
        <v>15804</v>
      </c>
      <c r="BC1785" s="82" t="s">
        <v>15375</v>
      </c>
      <c r="BD1785" s="82" t="s">
        <v>15765</v>
      </c>
      <c r="BE1785" s="77"/>
      <c r="BF1785" s="77"/>
      <c r="BG1785" s="77"/>
      <c r="BH1785" s="77"/>
      <c r="BI1785" s="77"/>
    </row>
    <row r="1786" spans="1:61" x14ac:dyDescent="0.25">
      <c r="A1786" s="62" t="s">
        <v>809</v>
      </c>
      <c r="B1786" s="62" t="s">
        <v>809</v>
      </c>
      <c r="C1786" s="63"/>
      <c r="D1786" s="64"/>
      <c r="E1786" s="65"/>
      <c r="F1786" s="66"/>
      <c r="G1786" s="63"/>
      <c r="H1786" s="67"/>
      <c r="I1786" s="68"/>
      <c r="J1786" s="68"/>
      <c r="K1786" s="32"/>
      <c r="L1786" s="75">
        <v>1786</v>
      </c>
      <c r="M1786" s="75"/>
      <c r="N1786" s="70"/>
      <c r="O1786" s="77" t="s">
        <v>179</v>
      </c>
      <c r="P1786" s="79">
        <v>45086.562962962962</v>
      </c>
      <c r="Q1786" s="77" t="s">
        <v>2844</v>
      </c>
      <c r="R1786" s="77">
        <v>0</v>
      </c>
      <c r="S1786" s="77">
        <v>0</v>
      </c>
      <c r="T1786" s="77">
        <v>0</v>
      </c>
      <c r="U1786" s="77">
        <v>0</v>
      </c>
      <c r="V1786" s="77">
        <v>8</v>
      </c>
      <c r="W1786" s="82" t="s">
        <v>5295</v>
      </c>
      <c r="X1786" s="77"/>
      <c r="Y1786" s="77"/>
      <c r="Z1786" s="77"/>
      <c r="AA1786" s="77" t="s">
        <v>7191</v>
      </c>
      <c r="AB1786" s="77" t="s">
        <v>7696</v>
      </c>
      <c r="AC1786" s="82" t="s">
        <v>7708</v>
      </c>
      <c r="AD1786" s="77" t="s">
        <v>7745</v>
      </c>
      <c r="AE1786" s="80" t="str">
        <f>HYPERLINK("https://twitter.com/cintiamenegazzo/status/1667162295749713922")</f>
        <v>https://twitter.com/cintiamenegazzo/status/1667162295749713922</v>
      </c>
      <c r="AF1786" s="79">
        <v>45086.562962962962</v>
      </c>
      <c r="AG1786" s="85">
        <v>45086</v>
      </c>
      <c r="AH1786" s="82" t="s">
        <v>9341</v>
      </c>
      <c r="AI1786" s="77" t="b">
        <v>0</v>
      </c>
      <c r="AJ1786" s="77"/>
      <c r="AK1786" s="77"/>
      <c r="AL1786" s="77"/>
      <c r="AM1786" s="77"/>
      <c r="AN1786" s="77"/>
      <c r="AO1786" s="77"/>
      <c r="AP1786" s="77"/>
      <c r="AQ1786" s="77" t="s">
        <v>11698</v>
      </c>
      <c r="AR1786" s="77"/>
      <c r="AS1786" s="77"/>
      <c r="AT1786" s="77"/>
      <c r="AU1786" s="77"/>
      <c r="AV1786" s="80" t="str">
        <f>HYPERLINK("https://pbs.twimg.com/media/FyLzRfUWAAECnpH.jpg")</f>
        <v>https://pbs.twimg.com/media/FyLzRfUWAAECnpH.jpg</v>
      </c>
      <c r="AW1786" s="82" t="s">
        <v>13951</v>
      </c>
      <c r="AX1786" s="82" t="s">
        <v>13951</v>
      </c>
      <c r="AY1786" s="77"/>
      <c r="AZ1786" s="82" t="s">
        <v>15804</v>
      </c>
      <c r="BA1786" s="82" t="s">
        <v>15804</v>
      </c>
      <c r="BB1786" s="82" t="s">
        <v>15804</v>
      </c>
      <c r="BC1786" s="82" t="s">
        <v>13951</v>
      </c>
      <c r="BD1786" s="77">
        <v>135946507</v>
      </c>
      <c r="BE1786" s="77"/>
      <c r="BF1786" s="77"/>
      <c r="BG1786" s="77"/>
      <c r="BH1786" s="77"/>
      <c r="BI1786" s="77"/>
    </row>
    <row r="1787" spans="1:61" x14ac:dyDescent="0.25">
      <c r="A1787" s="62" t="s">
        <v>810</v>
      </c>
      <c r="B1787" s="62" t="s">
        <v>810</v>
      </c>
      <c r="C1787" s="63"/>
      <c r="D1787" s="64"/>
      <c r="E1787" s="65"/>
      <c r="F1787" s="66"/>
      <c r="G1787" s="63"/>
      <c r="H1787" s="67"/>
      <c r="I1787" s="68"/>
      <c r="J1787" s="68"/>
      <c r="K1787" s="32"/>
      <c r="L1787" s="75">
        <v>1787</v>
      </c>
      <c r="M1787" s="75"/>
      <c r="N1787" s="70"/>
      <c r="O1787" s="77" t="s">
        <v>179</v>
      </c>
      <c r="P1787" s="79">
        <v>44972.216539351852</v>
      </c>
      <c r="Q1787" s="77" t="s">
        <v>2845</v>
      </c>
      <c r="R1787" s="77">
        <v>11</v>
      </c>
      <c r="S1787" s="77">
        <v>252</v>
      </c>
      <c r="T1787" s="77">
        <v>50</v>
      </c>
      <c r="U1787" s="77">
        <v>32</v>
      </c>
      <c r="V1787" s="77">
        <v>43803</v>
      </c>
      <c r="W1787" s="77"/>
      <c r="X1787" s="77"/>
      <c r="Y1787" s="77"/>
      <c r="Z1787" s="77"/>
      <c r="AA1787" s="77"/>
      <c r="AB1787" s="77"/>
      <c r="AC1787" s="82" t="s">
        <v>7707</v>
      </c>
      <c r="AD1787" s="77" t="s">
        <v>7745</v>
      </c>
      <c r="AE1787" s="80" t="str">
        <f>HYPERLINK("https://twitter.com/nuno_baio/status/1625724541136781312")</f>
        <v>https://twitter.com/nuno_baio/status/1625724541136781312</v>
      </c>
      <c r="AF1787" s="79">
        <v>44972.216539351852</v>
      </c>
      <c r="AG1787" s="85">
        <v>44972</v>
      </c>
      <c r="AH1787" s="82" t="s">
        <v>9342</v>
      </c>
      <c r="AI1787" s="77"/>
      <c r="AJ1787" s="77"/>
      <c r="AK1787" s="77"/>
      <c r="AL1787" s="77"/>
      <c r="AM1787" s="77"/>
      <c r="AN1787" s="77"/>
      <c r="AO1787" s="77"/>
      <c r="AP1787" s="77"/>
      <c r="AQ1787" s="77"/>
      <c r="AR1787" s="77"/>
      <c r="AS1787" s="77"/>
      <c r="AT1787" s="77"/>
      <c r="AU1787" s="77"/>
      <c r="AV1787" s="80" t="str">
        <f>HYPERLINK("https://pbs.twimg.com/profile_images/1698793146237263872/4G5aOY3C_normal.jpg")</f>
        <v>https://pbs.twimg.com/profile_images/1698793146237263872/4G5aOY3C_normal.jpg</v>
      </c>
      <c r="AW1787" s="82" t="s">
        <v>13952</v>
      </c>
      <c r="AX1787" s="82" t="s">
        <v>13952</v>
      </c>
      <c r="AY1787" s="77"/>
      <c r="AZ1787" s="82" t="s">
        <v>15804</v>
      </c>
      <c r="BA1787" s="82" t="s">
        <v>15804</v>
      </c>
      <c r="BB1787" s="82" t="s">
        <v>15804</v>
      </c>
      <c r="BC1787" s="82" t="s">
        <v>13952</v>
      </c>
      <c r="BD1787" s="82" t="s">
        <v>16469</v>
      </c>
      <c r="BE1787" s="77"/>
      <c r="BF1787" s="77"/>
      <c r="BG1787" s="77"/>
      <c r="BH1787" s="77"/>
      <c r="BI1787" s="77"/>
    </row>
    <row r="1788" spans="1:61" x14ac:dyDescent="0.25">
      <c r="A1788" s="62" t="s">
        <v>811</v>
      </c>
      <c r="B1788" s="62" t="s">
        <v>811</v>
      </c>
      <c r="C1788" s="63"/>
      <c r="D1788" s="64"/>
      <c r="E1788" s="65"/>
      <c r="F1788" s="66"/>
      <c r="G1788" s="63"/>
      <c r="H1788" s="67"/>
      <c r="I1788" s="68"/>
      <c r="J1788" s="68"/>
      <c r="K1788" s="32"/>
      <c r="L1788" s="75">
        <v>1788</v>
      </c>
      <c r="M1788" s="75"/>
      <c r="N1788" s="70"/>
      <c r="O1788" s="77" t="s">
        <v>179</v>
      </c>
      <c r="P1788" s="79">
        <v>45068.853171296294</v>
      </c>
      <c r="Q1788" s="77" t="s">
        <v>2846</v>
      </c>
      <c r="R1788" s="77">
        <v>0</v>
      </c>
      <c r="S1788" s="77">
        <v>0</v>
      </c>
      <c r="T1788" s="77">
        <v>0</v>
      </c>
      <c r="U1788" s="77">
        <v>0</v>
      </c>
      <c r="V1788" s="77">
        <v>5</v>
      </c>
      <c r="W1788" s="82" t="s">
        <v>5264</v>
      </c>
      <c r="X1788" s="80" t="str">
        <f>HYPERLINK("http://dlvr.it/SpRrBK")</f>
        <v>http://dlvr.it/SpRrBK</v>
      </c>
      <c r="Y1788" s="77" t="s">
        <v>6089</v>
      </c>
      <c r="Z1788" s="77"/>
      <c r="AA1788" s="77"/>
      <c r="AB1788" s="77"/>
      <c r="AC1788" s="82" t="s">
        <v>6089</v>
      </c>
      <c r="AD1788" s="77" t="s">
        <v>7745</v>
      </c>
      <c r="AE1788" s="80" t="str">
        <f>HYPERLINK("https://twitter.com/the_new_finance/status/1660744483343077376")</f>
        <v>https://twitter.com/the_new_finance/status/1660744483343077376</v>
      </c>
      <c r="AF1788" s="79">
        <v>45068.853171296294</v>
      </c>
      <c r="AG1788" s="85">
        <v>45068</v>
      </c>
      <c r="AH1788" s="82" t="s">
        <v>9343</v>
      </c>
      <c r="AI1788" s="77" t="b">
        <v>0</v>
      </c>
      <c r="AJ1788" s="77"/>
      <c r="AK1788" s="77"/>
      <c r="AL1788" s="77"/>
      <c r="AM1788" s="77"/>
      <c r="AN1788" s="77"/>
      <c r="AO1788" s="77"/>
      <c r="AP1788" s="77"/>
      <c r="AQ1788" s="77"/>
      <c r="AR1788" s="77"/>
      <c r="AS1788" s="77"/>
      <c r="AT1788" s="77"/>
      <c r="AU1788" s="77"/>
      <c r="AV1788" s="80" t="str">
        <f>HYPERLINK("https://pbs.twimg.com/profile_images/1251898963927748614/n7v8LrL8_normal.jpg")</f>
        <v>https://pbs.twimg.com/profile_images/1251898963927748614/n7v8LrL8_normal.jpg</v>
      </c>
      <c r="AW1788" s="82" t="s">
        <v>13953</v>
      </c>
      <c r="AX1788" s="82" t="s">
        <v>13953</v>
      </c>
      <c r="AY1788" s="77"/>
      <c r="AZ1788" s="82" t="s">
        <v>15804</v>
      </c>
      <c r="BA1788" s="82" t="s">
        <v>15804</v>
      </c>
      <c r="BB1788" s="82" t="s">
        <v>15804</v>
      </c>
      <c r="BC1788" s="82" t="s">
        <v>13953</v>
      </c>
      <c r="BD1788" s="82" t="s">
        <v>16470</v>
      </c>
      <c r="BE1788" s="77"/>
      <c r="BF1788" s="77"/>
      <c r="BG1788" s="77"/>
      <c r="BH1788" s="77"/>
      <c r="BI1788" s="77"/>
    </row>
    <row r="1789" spans="1:61" x14ac:dyDescent="0.25">
      <c r="A1789" s="62" t="s">
        <v>812</v>
      </c>
      <c r="B1789" s="62" t="s">
        <v>812</v>
      </c>
      <c r="C1789" s="63"/>
      <c r="D1789" s="64"/>
      <c r="E1789" s="65"/>
      <c r="F1789" s="66"/>
      <c r="G1789" s="63"/>
      <c r="H1789" s="67"/>
      <c r="I1789" s="68"/>
      <c r="J1789" s="68"/>
      <c r="K1789" s="32"/>
      <c r="L1789" s="75">
        <v>1789</v>
      </c>
      <c r="M1789" s="75"/>
      <c r="N1789" s="70"/>
      <c r="O1789" s="77" t="s">
        <v>179</v>
      </c>
      <c r="P1789" s="79">
        <v>45034.620185185187</v>
      </c>
      <c r="Q1789" s="77" t="s">
        <v>2847</v>
      </c>
      <c r="R1789" s="77">
        <v>0</v>
      </c>
      <c r="S1789" s="77">
        <v>0</v>
      </c>
      <c r="T1789" s="77">
        <v>0</v>
      </c>
      <c r="U1789" s="77">
        <v>0</v>
      </c>
      <c r="V1789" s="77">
        <v>18</v>
      </c>
      <c r="W1789" s="82" t="s">
        <v>5296</v>
      </c>
      <c r="X1789" s="77"/>
      <c r="Y1789" s="77"/>
      <c r="Z1789" s="77"/>
      <c r="AA1789" s="77"/>
      <c r="AB1789" s="77"/>
      <c r="AC1789" s="82" t="s">
        <v>7706</v>
      </c>
      <c r="AD1789" s="77" t="s">
        <v>7745</v>
      </c>
      <c r="AE1789" s="80" t="str">
        <f>HYPERLINK("https://twitter.com/karlfranca/status/1648338862056284165")</f>
        <v>https://twitter.com/karlfranca/status/1648338862056284165</v>
      </c>
      <c r="AF1789" s="79">
        <v>45034.620185185187</v>
      </c>
      <c r="AG1789" s="85">
        <v>45034</v>
      </c>
      <c r="AH1789" s="82" t="s">
        <v>9344</v>
      </c>
      <c r="AI1789" s="77"/>
      <c r="AJ1789" s="77"/>
      <c r="AK1789" s="77"/>
      <c r="AL1789" s="77"/>
      <c r="AM1789" s="77"/>
      <c r="AN1789" s="77"/>
      <c r="AO1789" s="77"/>
      <c r="AP1789" s="77"/>
      <c r="AQ1789" s="77"/>
      <c r="AR1789" s="77"/>
      <c r="AS1789" s="77"/>
      <c r="AT1789" s="77"/>
      <c r="AU1789" s="77"/>
      <c r="AV1789" s="80" t="str">
        <f>HYPERLINK("https://pbs.twimg.com/profile_images/1673406541859266560/ThP893Z1_normal.jpg")</f>
        <v>https://pbs.twimg.com/profile_images/1673406541859266560/ThP893Z1_normal.jpg</v>
      </c>
      <c r="AW1789" s="82" t="s">
        <v>13954</v>
      </c>
      <c r="AX1789" s="82" t="s">
        <v>13954</v>
      </c>
      <c r="AY1789" s="77"/>
      <c r="AZ1789" s="82" t="s">
        <v>15804</v>
      </c>
      <c r="BA1789" s="82" t="s">
        <v>15804</v>
      </c>
      <c r="BB1789" s="82" t="s">
        <v>15804</v>
      </c>
      <c r="BC1789" s="82" t="s">
        <v>13954</v>
      </c>
      <c r="BD1789" s="82" t="s">
        <v>16471</v>
      </c>
      <c r="BE1789" s="77"/>
      <c r="BF1789" s="77"/>
      <c r="BG1789" s="77"/>
      <c r="BH1789" s="77"/>
      <c r="BI1789" s="77"/>
    </row>
    <row r="1790" spans="1:61" x14ac:dyDescent="0.25">
      <c r="A1790" s="62" t="s">
        <v>812</v>
      </c>
      <c r="B1790" s="62" t="s">
        <v>812</v>
      </c>
      <c r="C1790" s="63"/>
      <c r="D1790" s="64"/>
      <c r="E1790" s="65"/>
      <c r="F1790" s="66"/>
      <c r="G1790" s="63"/>
      <c r="H1790" s="67"/>
      <c r="I1790" s="68"/>
      <c r="J1790" s="68"/>
      <c r="K1790" s="32"/>
      <c r="L1790" s="75">
        <v>1790</v>
      </c>
      <c r="M1790" s="75"/>
      <c r="N1790" s="70"/>
      <c r="O1790" s="77" t="s">
        <v>179</v>
      </c>
      <c r="P1790" s="79">
        <v>45020.544791666667</v>
      </c>
      <c r="Q1790" s="77" t="s">
        <v>2848</v>
      </c>
      <c r="R1790" s="77">
        <v>0</v>
      </c>
      <c r="S1790" s="77">
        <v>0</v>
      </c>
      <c r="T1790" s="77">
        <v>0</v>
      </c>
      <c r="U1790" s="77">
        <v>0</v>
      </c>
      <c r="V1790" s="77">
        <v>5</v>
      </c>
      <c r="W1790" s="82" t="s">
        <v>5297</v>
      </c>
      <c r="X1790" s="77"/>
      <c r="Y1790" s="77"/>
      <c r="Z1790" s="77"/>
      <c r="AA1790" s="77"/>
      <c r="AB1790" s="77"/>
      <c r="AC1790" s="82" t="s">
        <v>7706</v>
      </c>
      <c r="AD1790" s="77" t="s">
        <v>7745</v>
      </c>
      <c r="AE1790" s="80" t="str">
        <f>HYPERLINK("https://twitter.com/karlfranca/status/1643238111877447680")</f>
        <v>https://twitter.com/karlfranca/status/1643238111877447680</v>
      </c>
      <c r="AF1790" s="79">
        <v>45020.544791666667</v>
      </c>
      <c r="AG1790" s="85">
        <v>45020</v>
      </c>
      <c r="AH1790" s="82" t="s">
        <v>9345</v>
      </c>
      <c r="AI1790" s="77"/>
      <c r="AJ1790" s="77"/>
      <c r="AK1790" s="77"/>
      <c r="AL1790" s="77"/>
      <c r="AM1790" s="77"/>
      <c r="AN1790" s="77"/>
      <c r="AO1790" s="77"/>
      <c r="AP1790" s="77"/>
      <c r="AQ1790" s="77"/>
      <c r="AR1790" s="77"/>
      <c r="AS1790" s="77"/>
      <c r="AT1790" s="77"/>
      <c r="AU1790" s="77"/>
      <c r="AV1790" s="80" t="str">
        <f>HYPERLINK("https://pbs.twimg.com/profile_images/1673406541859266560/ThP893Z1_normal.jpg")</f>
        <v>https://pbs.twimg.com/profile_images/1673406541859266560/ThP893Z1_normal.jpg</v>
      </c>
      <c r="AW1790" s="82" t="s">
        <v>13955</v>
      </c>
      <c r="AX1790" s="82" t="s">
        <v>13955</v>
      </c>
      <c r="AY1790" s="77"/>
      <c r="AZ1790" s="82" t="s">
        <v>15804</v>
      </c>
      <c r="BA1790" s="82" t="s">
        <v>15804</v>
      </c>
      <c r="BB1790" s="82" t="s">
        <v>15804</v>
      </c>
      <c r="BC1790" s="82" t="s">
        <v>13955</v>
      </c>
      <c r="BD1790" s="82" t="s">
        <v>16471</v>
      </c>
      <c r="BE1790" s="77"/>
      <c r="BF1790" s="77"/>
      <c r="BG1790" s="77"/>
      <c r="BH1790" s="77"/>
      <c r="BI1790" s="77"/>
    </row>
    <row r="1791" spans="1:61" x14ac:dyDescent="0.25">
      <c r="A1791" s="62" t="s">
        <v>813</v>
      </c>
      <c r="B1791" s="62" t="s">
        <v>813</v>
      </c>
      <c r="C1791" s="63"/>
      <c r="D1791" s="64"/>
      <c r="E1791" s="65"/>
      <c r="F1791" s="66"/>
      <c r="G1791" s="63"/>
      <c r="H1791" s="67"/>
      <c r="I1791" s="68"/>
      <c r="J1791" s="68"/>
      <c r="K1791" s="32"/>
      <c r="L1791" s="75">
        <v>1791</v>
      </c>
      <c r="M1791" s="75"/>
      <c r="N1791" s="70"/>
      <c r="O1791" s="77" t="s">
        <v>179</v>
      </c>
      <c r="P1791" s="79">
        <v>45111.518310185187</v>
      </c>
      <c r="Q1791" s="77" t="s">
        <v>2849</v>
      </c>
      <c r="R1791" s="77">
        <v>1</v>
      </c>
      <c r="S1791" s="77">
        <v>2</v>
      </c>
      <c r="T1791" s="77">
        <v>0</v>
      </c>
      <c r="U1791" s="77">
        <v>0</v>
      </c>
      <c r="V1791" s="77">
        <v>66</v>
      </c>
      <c r="W1791" s="82" t="s">
        <v>5298</v>
      </c>
      <c r="X1791" s="80" t="str">
        <f>HYPERLINK("https://www.youtube.com/live/w8WDmGcoIeg?feature=share")</f>
        <v>https://www.youtube.com/live/w8WDmGcoIeg?feature=share</v>
      </c>
      <c r="Y1791" s="77" t="s">
        <v>6006</v>
      </c>
      <c r="Z1791" s="77"/>
      <c r="AA1791" s="77" t="s">
        <v>7192</v>
      </c>
      <c r="AB1791" s="77" t="s">
        <v>7697</v>
      </c>
      <c r="AC1791" s="82" t="s">
        <v>7705</v>
      </c>
      <c r="AD1791" s="77" t="s">
        <v>7745</v>
      </c>
      <c r="AE1791" s="80" t="str">
        <f>HYPERLINK("https://twitter.com/instcivitasbr/status/1676205810253197312")</f>
        <v>https://twitter.com/instcivitasbr/status/1676205810253197312</v>
      </c>
      <c r="AF1791" s="79">
        <v>45111.518310185187</v>
      </c>
      <c r="AG1791" s="85">
        <v>45111</v>
      </c>
      <c r="AH1791" s="82" t="s">
        <v>9346</v>
      </c>
      <c r="AI1791" s="77" t="b">
        <v>0</v>
      </c>
      <c r="AJ1791" s="77"/>
      <c r="AK1791" s="77"/>
      <c r="AL1791" s="77"/>
      <c r="AM1791" s="77"/>
      <c r="AN1791" s="77"/>
      <c r="AO1791" s="77"/>
      <c r="AP1791" s="77"/>
      <c r="AQ1791" s="77" t="s">
        <v>11699</v>
      </c>
      <c r="AR1791" s="77">
        <v>72026</v>
      </c>
      <c r="AS1791" s="77"/>
      <c r="AT1791" s="77"/>
      <c r="AU1791" s="77">
        <v>26</v>
      </c>
      <c r="AV1791" s="80" t="str">
        <f>HYPERLINK("https://pbs.twimg.com/ext_tw_video_thumb/1676205722646839297/pu/img/IUr4kwmB-K7r4ovM.jpg")</f>
        <v>https://pbs.twimg.com/ext_tw_video_thumb/1676205722646839297/pu/img/IUr4kwmB-K7r4ovM.jpg</v>
      </c>
      <c r="AW1791" s="82" t="s">
        <v>13956</v>
      </c>
      <c r="AX1791" s="82" t="s">
        <v>13956</v>
      </c>
      <c r="AY1791" s="77"/>
      <c r="AZ1791" s="82" t="s">
        <v>15804</v>
      </c>
      <c r="BA1791" s="82" t="s">
        <v>15804</v>
      </c>
      <c r="BB1791" s="82" t="s">
        <v>15804</v>
      </c>
      <c r="BC1791" s="82" t="s">
        <v>13956</v>
      </c>
      <c r="BD1791" s="82" t="s">
        <v>16472</v>
      </c>
      <c r="BE1791" s="77"/>
      <c r="BF1791" s="77"/>
      <c r="BG1791" s="77"/>
      <c r="BH1791" s="77"/>
      <c r="BI1791" s="77"/>
    </row>
    <row r="1792" spans="1:61" x14ac:dyDescent="0.25">
      <c r="A1792" s="62" t="s">
        <v>814</v>
      </c>
      <c r="B1792" s="62" t="s">
        <v>814</v>
      </c>
      <c r="C1792" s="63"/>
      <c r="D1792" s="64"/>
      <c r="E1792" s="65"/>
      <c r="F1792" s="66"/>
      <c r="G1792" s="63"/>
      <c r="H1792" s="67"/>
      <c r="I1792" s="68"/>
      <c r="J1792" s="68"/>
      <c r="K1792" s="32"/>
      <c r="L1792" s="75">
        <v>1792</v>
      </c>
      <c r="M1792" s="75"/>
      <c r="N1792" s="70"/>
      <c r="O1792" s="77" t="s">
        <v>1132</v>
      </c>
      <c r="P1792" s="79">
        <v>45002.812523148146</v>
      </c>
      <c r="Q1792" s="77" t="s">
        <v>2850</v>
      </c>
      <c r="R1792" s="77">
        <v>0</v>
      </c>
      <c r="S1792" s="77">
        <v>5</v>
      </c>
      <c r="T1792" s="77">
        <v>0</v>
      </c>
      <c r="U1792" s="77">
        <v>0</v>
      </c>
      <c r="V1792" s="77">
        <v>31</v>
      </c>
      <c r="W1792" s="82" t="s">
        <v>4105</v>
      </c>
      <c r="X1792" s="77"/>
      <c r="Y1792" s="77"/>
      <c r="Z1792" s="77"/>
      <c r="AA1792" s="77"/>
      <c r="AB1792" s="77"/>
      <c r="AC1792" s="82" t="s">
        <v>7703</v>
      </c>
      <c r="AD1792" s="77" t="s">
        <v>7745</v>
      </c>
      <c r="AE1792" s="80" t="str">
        <f>HYPERLINK("https://twitter.com/vincopontovc/status/1636812155046510598")</f>
        <v>https://twitter.com/vincopontovc/status/1636812155046510598</v>
      </c>
      <c r="AF1792" s="79">
        <v>45002.812523148146</v>
      </c>
      <c r="AG1792" s="85">
        <v>45002</v>
      </c>
      <c r="AH1792" s="82" t="s">
        <v>9347</v>
      </c>
      <c r="AI1792" s="77"/>
      <c r="AJ1792" s="77"/>
      <c r="AK1792" s="77"/>
      <c r="AL1792" s="77"/>
      <c r="AM1792" s="77"/>
      <c r="AN1792" s="77"/>
      <c r="AO1792" s="77"/>
      <c r="AP1792" s="77"/>
      <c r="AQ1792" s="77"/>
      <c r="AR1792" s="77"/>
      <c r="AS1792" s="77"/>
      <c r="AT1792" s="77"/>
      <c r="AU1792" s="77"/>
      <c r="AV1792" s="80" t="str">
        <f>HYPERLINK("https://pbs.twimg.com/profile_images/1633831608603250688/1muc5I3O_normal.jpg")</f>
        <v>https://pbs.twimg.com/profile_images/1633831608603250688/1muc5I3O_normal.jpg</v>
      </c>
      <c r="AW1792" s="82" t="s">
        <v>13957</v>
      </c>
      <c r="AX1792" s="82" t="s">
        <v>15376</v>
      </c>
      <c r="AY1792" s="82" t="s">
        <v>15766</v>
      </c>
      <c r="AZ1792" s="82" t="s">
        <v>15376</v>
      </c>
      <c r="BA1792" s="82" t="s">
        <v>15804</v>
      </c>
      <c r="BB1792" s="82" t="s">
        <v>15804</v>
      </c>
      <c r="BC1792" s="82" t="s">
        <v>15376</v>
      </c>
      <c r="BD1792" s="82" t="s">
        <v>15766</v>
      </c>
      <c r="BE1792" s="77"/>
      <c r="BF1792" s="77"/>
      <c r="BG1792" s="77"/>
      <c r="BH1792" s="77"/>
      <c r="BI1792" s="77"/>
    </row>
    <row r="1793" spans="1:61" x14ac:dyDescent="0.25">
      <c r="A1793" s="62" t="s">
        <v>814</v>
      </c>
      <c r="B1793" s="62" t="s">
        <v>814</v>
      </c>
      <c r="C1793" s="63"/>
      <c r="D1793" s="64"/>
      <c r="E1793" s="65"/>
      <c r="F1793" s="66"/>
      <c r="G1793" s="63"/>
      <c r="H1793" s="67"/>
      <c r="I1793" s="68"/>
      <c r="J1793" s="68"/>
      <c r="K1793" s="32"/>
      <c r="L1793" s="75">
        <v>1793</v>
      </c>
      <c r="M1793" s="75"/>
      <c r="N1793" s="70"/>
      <c r="O1793" s="77" t="s">
        <v>1132</v>
      </c>
      <c r="P1793" s="79">
        <v>45006.979270833333</v>
      </c>
      <c r="Q1793" s="77" t="s">
        <v>2851</v>
      </c>
      <c r="R1793" s="77">
        <v>0</v>
      </c>
      <c r="S1793" s="77">
        <v>5</v>
      </c>
      <c r="T1793" s="77">
        <v>0</v>
      </c>
      <c r="U1793" s="77">
        <v>0</v>
      </c>
      <c r="V1793" s="77">
        <v>47</v>
      </c>
      <c r="W1793" s="82" t="s">
        <v>5140</v>
      </c>
      <c r="X1793" s="77"/>
      <c r="Y1793" s="77"/>
      <c r="Z1793" s="77"/>
      <c r="AA1793" s="77"/>
      <c r="AB1793" s="77"/>
      <c r="AC1793" s="82" t="s">
        <v>7703</v>
      </c>
      <c r="AD1793" s="77" t="s">
        <v>7745</v>
      </c>
      <c r="AE1793" s="80" t="str">
        <f>HYPERLINK("https://twitter.com/vincopontovc/status/1638322133490184193")</f>
        <v>https://twitter.com/vincopontovc/status/1638322133490184193</v>
      </c>
      <c r="AF1793" s="79">
        <v>45006.979270833333</v>
      </c>
      <c r="AG1793" s="85">
        <v>45006</v>
      </c>
      <c r="AH1793" s="82" t="s">
        <v>9348</v>
      </c>
      <c r="AI1793" s="77"/>
      <c r="AJ1793" s="77"/>
      <c r="AK1793" s="77"/>
      <c r="AL1793" s="77"/>
      <c r="AM1793" s="77"/>
      <c r="AN1793" s="77"/>
      <c r="AO1793" s="77"/>
      <c r="AP1793" s="77"/>
      <c r="AQ1793" s="77"/>
      <c r="AR1793" s="77"/>
      <c r="AS1793" s="77"/>
      <c r="AT1793" s="77"/>
      <c r="AU1793" s="77"/>
      <c r="AV1793" s="80" t="str">
        <f>HYPERLINK("https://pbs.twimg.com/profile_images/1633831608603250688/1muc5I3O_normal.jpg")</f>
        <v>https://pbs.twimg.com/profile_images/1633831608603250688/1muc5I3O_normal.jpg</v>
      </c>
      <c r="AW1793" s="82" t="s">
        <v>13958</v>
      </c>
      <c r="AX1793" s="82" t="s">
        <v>15377</v>
      </c>
      <c r="AY1793" s="82" t="s">
        <v>15766</v>
      </c>
      <c r="AZ1793" s="82" t="s">
        <v>15906</v>
      </c>
      <c r="BA1793" s="82" t="s">
        <v>15804</v>
      </c>
      <c r="BB1793" s="82" t="s">
        <v>15804</v>
      </c>
      <c r="BC1793" s="82" t="s">
        <v>15906</v>
      </c>
      <c r="BD1793" s="82" t="s">
        <v>15766</v>
      </c>
      <c r="BE1793" s="77"/>
      <c r="BF1793" s="77"/>
      <c r="BG1793" s="77"/>
      <c r="BH1793" s="77"/>
      <c r="BI1793" s="77"/>
    </row>
    <row r="1794" spans="1:61" x14ac:dyDescent="0.25">
      <c r="A1794" s="62" t="s">
        <v>815</v>
      </c>
      <c r="B1794" s="62" t="s">
        <v>815</v>
      </c>
      <c r="C1794" s="63"/>
      <c r="D1794" s="64"/>
      <c r="E1794" s="65"/>
      <c r="F1794" s="66"/>
      <c r="G1794" s="63"/>
      <c r="H1794" s="67"/>
      <c r="I1794" s="68"/>
      <c r="J1794" s="68"/>
      <c r="K1794" s="32"/>
      <c r="L1794" s="75">
        <v>1794</v>
      </c>
      <c r="M1794" s="75"/>
      <c r="N1794" s="70"/>
      <c r="O1794" s="77" t="s">
        <v>179</v>
      </c>
      <c r="P1794" s="79">
        <v>45085.729166666664</v>
      </c>
      <c r="Q1794" s="77" t="s">
        <v>2852</v>
      </c>
      <c r="R1794" s="77">
        <v>0</v>
      </c>
      <c r="S1794" s="77">
        <v>0</v>
      </c>
      <c r="T1794" s="77">
        <v>1</v>
      </c>
      <c r="U1794" s="77">
        <v>0</v>
      </c>
      <c r="V1794" s="77">
        <v>17</v>
      </c>
      <c r="W1794" s="82" t="s">
        <v>5299</v>
      </c>
      <c r="X1794" s="80" t="str">
        <f>HYPERLINK("https://youtu.be/mwxl0MC8vUw")</f>
        <v>https://youtu.be/mwxl0MC8vUw</v>
      </c>
      <c r="Y1794" s="77" t="s">
        <v>6003</v>
      </c>
      <c r="Z1794" s="77"/>
      <c r="AA1794" s="77" t="s">
        <v>7193</v>
      </c>
      <c r="AB1794" s="77" t="s">
        <v>7696</v>
      </c>
      <c r="AC1794" s="82" t="s">
        <v>7706</v>
      </c>
      <c r="AD1794" s="77" t="s">
        <v>7745</v>
      </c>
      <c r="AE1794" s="80" t="str">
        <f>HYPERLINK("https://twitter.com/descomplicaft/status/1666860138970460195")</f>
        <v>https://twitter.com/descomplicaft/status/1666860138970460195</v>
      </c>
      <c r="AF1794" s="79">
        <v>45085.729166666664</v>
      </c>
      <c r="AG1794" s="85">
        <v>45085</v>
      </c>
      <c r="AH1794" s="82" t="s">
        <v>8573</v>
      </c>
      <c r="AI1794" s="77" t="b">
        <v>0</v>
      </c>
      <c r="AJ1794" s="77"/>
      <c r="AK1794" s="77"/>
      <c r="AL1794" s="77"/>
      <c r="AM1794" s="77"/>
      <c r="AN1794" s="77"/>
      <c r="AO1794" s="77"/>
      <c r="AP1794" s="77"/>
      <c r="AQ1794" s="77" t="s">
        <v>11700</v>
      </c>
      <c r="AR1794" s="77"/>
      <c r="AS1794" s="77"/>
      <c r="AT1794" s="77"/>
      <c r="AU1794" s="77"/>
      <c r="AV1794" s="80" t="str">
        <f>HYPERLINK("https://pbs.twimg.com/media/Fx2h5g7WIAIQB_m.jpg")</f>
        <v>https://pbs.twimg.com/media/Fx2h5g7WIAIQB_m.jpg</v>
      </c>
      <c r="AW1794" s="82" t="s">
        <v>13959</v>
      </c>
      <c r="AX1794" s="82" t="s">
        <v>13959</v>
      </c>
      <c r="AY1794" s="77"/>
      <c r="AZ1794" s="82" t="s">
        <v>15804</v>
      </c>
      <c r="BA1794" s="82" t="s">
        <v>15804</v>
      </c>
      <c r="BB1794" s="82" t="s">
        <v>15804</v>
      </c>
      <c r="BC1794" s="82" t="s">
        <v>13959</v>
      </c>
      <c r="BD1794" s="82" t="s">
        <v>16473</v>
      </c>
      <c r="BE1794" s="77"/>
      <c r="BF1794" s="77"/>
      <c r="BG1794" s="77"/>
      <c r="BH1794" s="77"/>
      <c r="BI1794" s="77"/>
    </row>
    <row r="1795" spans="1:61" x14ac:dyDescent="0.25">
      <c r="A1795" s="62" t="s">
        <v>815</v>
      </c>
      <c r="B1795" s="62" t="s">
        <v>815</v>
      </c>
      <c r="C1795" s="63"/>
      <c r="D1795" s="64"/>
      <c r="E1795" s="65"/>
      <c r="F1795" s="66"/>
      <c r="G1795" s="63"/>
      <c r="H1795" s="67"/>
      <c r="I1795" s="68"/>
      <c r="J1795" s="68"/>
      <c r="K1795" s="32"/>
      <c r="L1795" s="75">
        <v>1795</v>
      </c>
      <c r="M1795" s="75"/>
      <c r="N1795" s="70"/>
      <c r="O1795" s="77" t="s">
        <v>179</v>
      </c>
      <c r="P1795" s="79">
        <v>45090.708344907405</v>
      </c>
      <c r="Q1795" s="77" t="s">
        <v>2853</v>
      </c>
      <c r="R1795" s="77">
        <v>0</v>
      </c>
      <c r="S1795" s="77">
        <v>0</v>
      </c>
      <c r="T1795" s="77">
        <v>0</v>
      </c>
      <c r="U1795" s="77">
        <v>0</v>
      </c>
      <c r="V1795" s="77">
        <v>15</v>
      </c>
      <c r="W1795" s="82" t="s">
        <v>5299</v>
      </c>
      <c r="X1795" s="80" t="str">
        <f>HYPERLINK("https://descomplicaftcom.wordpress.com/?p=90")</f>
        <v>https://descomplicaftcom.wordpress.com/?p=90</v>
      </c>
      <c r="Y1795" s="77" t="s">
        <v>6029</v>
      </c>
      <c r="Z1795" s="77"/>
      <c r="AA1795" s="77" t="s">
        <v>7194</v>
      </c>
      <c r="AB1795" s="77" t="s">
        <v>7696</v>
      </c>
      <c r="AC1795" s="82" t="s">
        <v>7706</v>
      </c>
      <c r="AD1795" s="77" t="s">
        <v>7745</v>
      </c>
      <c r="AE1795" s="80" t="str">
        <f>HYPERLINK("https://twitter.com/descomplicaft/status/1668664531852091392")</f>
        <v>https://twitter.com/descomplicaft/status/1668664531852091392</v>
      </c>
      <c r="AF1795" s="79">
        <v>45090.708344907405</v>
      </c>
      <c r="AG1795" s="85">
        <v>45090</v>
      </c>
      <c r="AH1795" s="82" t="s">
        <v>8006</v>
      </c>
      <c r="AI1795" s="77" t="b">
        <v>0</v>
      </c>
      <c r="AJ1795" s="77"/>
      <c r="AK1795" s="77"/>
      <c r="AL1795" s="77"/>
      <c r="AM1795" s="77"/>
      <c r="AN1795" s="77"/>
      <c r="AO1795" s="77"/>
      <c r="AP1795" s="77"/>
      <c r="AQ1795" s="77" t="s">
        <v>11701</v>
      </c>
      <c r="AR1795" s="77"/>
      <c r="AS1795" s="77"/>
      <c r="AT1795" s="77"/>
      <c r="AU1795" s="77"/>
      <c r="AV1795" s="80" t="str">
        <f>HYPERLINK("https://pbs.twimg.com/media/FyHl4HoWYAAZDHG.jpg")</f>
        <v>https://pbs.twimg.com/media/FyHl4HoWYAAZDHG.jpg</v>
      </c>
      <c r="AW1795" s="82" t="s">
        <v>13960</v>
      </c>
      <c r="AX1795" s="82" t="s">
        <v>13960</v>
      </c>
      <c r="AY1795" s="77"/>
      <c r="AZ1795" s="82" t="s">
        <v>15804</v>
      </c>
      <c r="BA1795" s="82" t="s">
        <v>15804</v>
      </c>
      <c r="BB1795" s="82" t="s">
        <v>15804</v>
      </c>
      <c r="BC1795" s="82" t="s">
        <v>13960</v>
      </c>
      <c r="BD1795" s="82" t="s">
        <v>16473</v>
      </c>
      <c r="BE1795" s="77"/>
      <c r="BF1795" s="77"/>
      <c r="BG1795" s="77"/>
      <c r="BH1795" s="77"/>
      <c r="BI1795" s="77"/>
    </row>
    <row r="1796" spans="1:61" x14ac:dyDescent="0.25">
      <c r="A1796" s="62" t="s">
        <v>816</v>
      </c>
      <c r="B1796" s="62" t="s">
        <v>816</v>
      </c>
      <c r="C1796" s="63"/>
      <c r="D1796" s="64"/>
      <c r="E1796" s="65"/>
      <c r="F1796" s="66"/>
      <c r="G1796" s="63"/>
      <c r="H1796" s="67"/>
      <c r="I1796" s="68"/>
      <c r="J1796" s="68"/>
      <c r="K1796" s="32"/>
      <c r="L1796" s="75">
        <v>1796</v>
      </c>
      <c r="M1796" s="75"/>
      <c r="N1796" s="70"/>
      <c r="O1796" s="77" t="s">
        <v>179</v>
      </c>
      <c r="P1796" s="79">
        <v>45108.525821759256</v>
      </c>
      <c r="Q1796" s="77" t="s">
        <v>2854</v>
      </c>
      <c r="R1796" s="77">
        <v>2</v>
      </c>
      <c r="S1796" s="77">
        <v>3</v>
      </c>
      <c r="T1796" s="77">
        <v>0</v>
      </c>
      <c r="U1796" s="77">
        <v>0</v>
      </c>
      <c r="V1796" s="77">
        <v>35</v>
      </c>
      <c r="W1796" s="82" t="s">
        <v>5300</v>
      </c>
      <c r="X1796" s="77"/>
      <c r="Y1796" s="77"/>
      <c r="Z1796" s="77"/>
      <c r="AA1796" s="77" t="s">
        <v>7195</v>
      </c>
      <c r="AB1796" s="77" t="s">
        <v>7696</v>
      </c>
      <c r="AC1796" s="82" t="s">
        <v>7706</v>
      </c>
      <c r="AD1796" s="77" t="s">
        <v>7746</v>
      </c>
      <c r="AE1796" s="80" t="str">
        <f>HYPERLINK("https://twitter.com/puneetkohli1979/status/1675121371414925312")</f>
        <v>https://twitter.com/puneetkohli1979/status/1675121371414925312</v>
      </c>
      <c r="AF1796" s="79">
        <v>45108.525821759256</v>
      </c>
      <c r="AG1796" s="85">
        <v>45108</v>
      </c>
      <c r="AH1796" s="82" t="s">
        <v>9349</v>
      </c>
      <c r="AI1796" s="77" t="b">
        <v>0</v>
      </c>
      <c r="AJ1796" s="77"/>
      <c r="AK1796" s="77"/>
      <c r="AL1796" s="77"/>
      <c r="AM1796" s="77"/>
      <c r="AN1796" s="77"/>
      <c r="AO1796" s="77"/>
      <c r="AP1796" s="77"/>
      <c r="AQ1796" s="77" t="s">
        <v>11702</v>
      </c>
      <c r="AR1796" s="77"/>
      <c r="AS1796" s="77"/>
      <c r="AT1796" s="77"/>
      <c r="AU1796" s="77"/>
      <c r="AV1796" s="80" t="str">
        <f>HYPERLINK("https://pbs.twimg.com/media/Fz85_TOaUAEwlp4.jpg")</f>
        <v>https://pbs.twimg.com/media/Fz85_TOaUAEwlp4.jpg</v>
      </c>
      <c r="AW1796" s="82" t="s">
        <v>13961</v>
      </c>
      <c r="AX1796" s="82" t="s">
        <v>13961</v>
      </c>
      <c r="AY1796" s="77"/>
      <c r="AZ1796" s="82" t="s">
        <v>15804</v>
      </c>
      <c r="BA1796" s="82" t="s">
        <v>15804</v>
      </c>
      <c r="BB1796" s="82" t="s">
        <v>15804</v>
      </c>
      <c r="BC1796" s="82" t="s">
        <v>13961</v>
      </c>
      <c r="BD1796" s="82" t="s">
        <v>16474</v>
      </c>
      <c r="BE1796" s="77"/>
      <c r="BF1796" s="77"/>
      <c r="BG1796" s="77"/>
      <c r="BH1796" s="77"/>
      <c r="BI1796" s="77"/>
    </row>
    <row r="1797" spans="1:61" x14ac:dyDescent="0.25">
      <c r="A1797" s="62" t="s">
        <v>817</v>
      </c>
      <c r="B1797" s="62" t="s">
        <v>817</v>
      </c>
      <c r="C1797" s="63"/>
      <c r="D1797" s="64"/>
      <c r="E1797" s="65"/>
      <c r="F1797" s="66"/>
      <c r="G1797" s="63"/>
      <c r="H1797" s="67"/>
      <c r="I1797" s="68"/>
      <c r="J1797" s="68"/>
      <c r="K1797" s="32"/>
      <c r="L1797" s="75">
        <v>1797</v>
      </c>
      <c r="M1797" s="75"/>
      <c r="N1797" s="70"/>
      <c r="O1797" s="77" t="s">
        <v>179</v>
      </c>
      <c r="P1797" s="79">
        <v>45081.892951388887</v>
      </c>
      <c r="Q1797" s="77" t="s">
        <v>2855</v>
      </c>
      <c r="R1797" s="77">
        <v>0</v>
      </c>
      <c r="S1797" s="77">
        <v>0</v>
      </c>
      <c r="T1797" s="77">
        <v>0</v>
      </c>
      <c r="U1797" s="77">
        <v>0</v>
      </c>
      <c r="V1797" s="77">
        <v>60</v>
      </c>
      <c r="W1797" s="82" t="s">
        <v>5301</v>
      </c>
      <c r="X1797" s="77"/>
      <c r="Y1797" s="77"/>
      <c r="Z1797" s="77"/>
      <c r="AA1797" s="77" t="s">
        <v>7196</v>
      </c>
      <c r="AB1797" s="77" t="s">
        <v>7697</v>
      </c>
      <c r="AC1797" s="82" t="s">
        <v>7707</v>
      </c>
      <c r="AD1797" s="77" t="s">
        <v>7746</v>
      </c>
      <c r="AE1797" s="80" t="str">
        <f>HYPERLINK("https://twitter.com/calilecalil/status/1665469941322006528")</f>
        <v>https://twitter.com/calilecalil/status/1665469941322006528</v>
      </c>
      <c r="AF1797" s="79">
        <v>45081.892951388887</v>
      </c>
      <c r="AG1797" s="85">
        <v>45081</v>
      </c>
      <c r="AH1797" s="82" t="s">
        <v>9350</v>
      </c>
      <c r="AI1797" s="77" t="b">
        <v>0</v>
      </c>
      <c r="AJ1797" s="77"/>
      <c r="AK1797" s="77"/>
      <c r="AL1797" s="77"/>
      <c r="AM1797" s="77"/>
      <c r="AN1797" s="77"/>
      <c r="AO1797" s="77"/>
      <c r="AP1797" s="77"/>
      <c r="AQ1797" s="77" t="s">
        <v>11703</v>
      </c>
      <c r="AR1797" s="77">
        <v>44986</v>
      </c>
      <c r="AS1797" s="77"/>
      <c r="AT1797" s="77"/>
      <c r="AU1797" s="77">
        <v>17</v>
      </c>
      <c r="AV1797" s="80" t="str">
        <f>HYPERLINK("https://pbs.twimg.com/ext_tw_video_thumb/1665469865728131074/pu/img/ZznTvifBd8Tk0KNB.jpg")</f>
        <v>https://pbs.twimg.com/ext_tw_video_thumb/1665469865728131074/pu/img/ZznTvifBd8Tk0KNB.jpg</v>
      </c>
      <c r="AW1797" s="82" t="s">
        <v>13962</v>
      </c>
      <c r="AX1797" s="82" t="s">
        <v>13962</v>
      </c>
      <c r="AY1797" s="77"/>
      <c r="AZ1797" s="82" t="s">
        <v>15804</v>
      </c>
      <c r="BA1797" s="82" t="s">
        <v>15804</v>
      </c>
      <c r="BB1797" s="82" t="s">
        <v>15804</v>
      </c>
      <c r="BC1797" s="82" t="s">
        <v>13962</v>
      </c>
      <c r="BD1797" s="77">
        <v>75173434</v>
      </c>
      <c r="BE1797" s="77"/>
      <c r="BF1797" s="77"/>
      <c r="BG1797" s="77"/>
      <c r="BH1797" s="77"/>
      <c r="BI1797" s="77"/>
    </row>
    <row r="1798" spans="1:61" x14ac:dyDescent="0.25">
      <c r="A1798" s="62" t="s">
        <v>817</v>
      </c>
      <c r="B1798" s="62" t="s">
        <v>817</v>
      </c>
      <c r="C1798" s="63"/>
      <c r="D1798" s="64"/>
      <c r="E1798" s="65"/>
      <c r="F1798" s="66"/>
      <c r="G1798" s="63"/>
      <c r="H1798" s="67"/>
      <c r="I1798" s="68"/>
      <c r="J1798" s="68"/>
      <c r="K1798" s="32"/>
      <c r="L1798" s="75">
        <v>1798</v>
      </c>
      <c r="M1798" s="75"/>
      <c r="N1798" s="70"/>
      <c r="O1798" s="77" t="s">
        <v>179</v>
      </c>
      <c r="P1798" s="79">
        <v>45126.790613425925</v>
      </c>
      <c r="Q1798" s="77" t="s">
        <v>2856</v>
      </c>
      <c r="R1798" s="77">
        <v>0</v>
      </c>
      <c r="S1798" s="77">
        <v>0</v>
      </c>
      <c r="T1798" s="77">
        <v>0</v>
      </c>
      <c r="U1798" s="77">
        <v>0</v>
      </c>
      <c r="V1798" s="77">
        <v>70</v>
      </c>
      <c r="W1798" s="82" t="s">
        <v>5302</v>
      </c>
      <c r="X1798" s="77"/>
      <c r="Y1798" s="77"/>
      <c r="Z1798" s="77"/>
      <c r="AA1798" s="77" t="s">
        <v>7197</v>
      </c>
      <c r="AB1798" s="77" t="s">
        <v>7696</v>
      </c>
      <c r="AC1798" s="82" t="s">
        <v>7707</v>
      </c>
      <c r="AD1798" s="77" t="s">
        <v>7745</v>
      </c>
      <c r="AE1798" s="80" t="str">
        <f>HYPERLINK("https://twitter.com/calilecalil/status/1681740309888114688")</f>
        <v>https://twitter.com/calilecalil/status/1681740309888114688</v>
      </c>
      <c r="AF1798" s="79">
        <v>45126.790613425925</v>
      </c>
      <c r="AG1798" s="85">
        <v>45126</v>
      </c>
      <c r="AH1798" s="82" t="s">
        <v>9351</v>
      </c>
      <c r="AI1798" s="77" t="b">
        <v>0</v>
      </c>
      <c r="AJ1798" s="77"/>
      <c r="AK1798" s="77"/>
      <c r="AL1798" s="77"/>
      <c r="AM1798" s="77"/>
      <c r="AN1798" s="77"/>
      <c r="AO1798" s="77"/>
      <c r="AP1798" s="77"/>
      <c r="AQ1798" s="77" t="s">
        <v>11704</v>
      </c>
      <c r="AR1798" s="77"/>
      <c r="AS1798" s="77"/>
      <c r="AT1798" s="77"/>
      <c r="AU1798" s="77"/>
      <c r="AV1798" s="80" t="str">
        <f>HYPERLINK("https://pbs.twimg.com/media/F1a95hAWAAA8KT2.jpg")</f>
        <v>https://pbs.twimg.com/media/F1a95hAWAAA8KT2.jpg</v>
      </c>
      <c r="AW1798" s="82" t="s">
        <v>13963</v>
      </c>
      <c r="AX1798" s="82" t="s">
        <v>13963</v>
      </c>
      <c r="AY1798" s="77"/>
      <c r="AZ1798" s="82" t="s">
        <v>15804</v>
      </c>
      <c r="BA1798" s="82" t="s">
        <v>15804</v>
      </c>
      <c r="BB1798" s="82" t="s">
        <v>15804</v>
      </c>
      <c r="BC1798" s="82" t="s">
        <v>13963</v>
      </c>
      <c r="BD1798" s="77">
        <v>75173434</v>
      </c>
      <c r="BE1798" s="77"/>
      <c r="BF1798" s="77"/>
      <c r="BG1798" s="77"/>
      <c r="BH1798" s="77"/>
      <c r="BI1798" s="77"/>
    </row>
    <row r="1799" spans="1:61" x14ac:dyDescent="0.25">
      <c r="A1799" s="62" t="s">
        <v>817</v>
      </c>
      <c r="B1799" s="62" t="s">
        <v>817</v>
      </c>
      <c r="C1799" s="63"/>
      <c r="D1799" s="64"/>
      <c r="E1799" s="65"/>
      <c r="F1799" s="66"/>
      <c r="G1799" s="63"/>
      <c r="H1799" s="67"/>
      <c r="I1799" s="68"/>
      <c r="J1799" s="68"/>
      <c r="K1799" s="32"/>
      <c r="L1799" s="75">
        <v>1799</v>
      </c>
      <c r="M1799" s="75"/>
      <c r="N1799" s="70"/>
      <c r="O1799" s="77" t="s">
        <v>179</v>
      </c>
      <c r="P1799" s="79">
        <v>44939.987754629627</v>
      </c>
      <c r="Q1799" s="77" t="s">
        <v>2857</v>
      </c>
      <c r="R1799" s="77">
        <v>0</v>
      </c>
      <c r="S1799" s="77">
        <v>0</v>
      </c>
      <c r="T1799" s="77">
        <v>0</v>
      </c>
      <c r="U1799" s="77">
        <v>0</v>
      </c>
      <c r="V1799" s="77">
        <v>93</v>
      </c>
      <c r="W1799" s="82" t="s">
        <v>5303</v>
      </c>
      <c r="X1799" s="80" t="str">
        <f>HYPERLINK("https://www.instagram.com/p/CnXmkEmph13/?igshid=MDJmNzVkMjY=")</f>
        <v>https://www.instagram.com/p/CnXmkEmph13/?igshid=MDJmNzVkMjY=</v>
      </c>
      <c r="Y1799" s="77" t="s">
        <v>6000</v>
      </c>
      <c r="Z1799" s="77"/>
      <c r="AA1799" s="77"/>
      <c r="AB1799" s="77"/>
      <c r="AC1799" s="82" t="s">
        <v>7707</v>
      </c>
      <c r="AD1799" s="77" t="s">
        <v>7745</v>
      </c>
      <c r="AE1799" s="80" t="str">
        <f>HYPERLINK("https://twitter.com/calilecalil/status/1614045219330064392")</f>
        <v>https://twitter.com/calilecalil/status/1614045219330064392</v>
      </c>
      <c r="AF1799" s="79">
        <v>44939.987754629627</v>
      </c>
      <c r="AG1799" s="85">
        <v>44939</v>
      </c>
      <c r="AH1799" s="82" t="s">
        <v>9352</v>
      </c>
      <c r="AI1799" s="77" t="b">
        <v>0</v>
      </c>
      <c r="AJ1799" s="77"/>
      <c r="AK1799" s="77"/>
      <c r="AL1799" s="77"/>
      <c r="AM1799" s="77"/>
      <c r="AN1799" s="77"/>
      <c r="AO1799" s="77"/>
      <c r="AP1799" s="77"/>
      <c r="AQ1799" s="77"/>
      <c r="AR1799" s="77"/>
      <c r="AS1799" s="77"/>
      <c r="AT1799" s="77"/>
      <c r="AU1799" s="77"/>
      <c r="AV1799" s="80" t="str">
        <f>HYPERLINK("https://pbs.twimg.com/profile_images/1207742176098234368/FXlB5owL_normal.jpg")</f>
        <v>https://pbs.twimg.com/profile_images/1207742176098234368/FXlB5owL_normal.jpg</v>
      </c>
      <c r="AW1799" s="82" t="s">
        <v>13964</v>
      </c>
      <c r="AX1799" s="82" t="s">
        <v>13964</v>
      </c>
      <c r="AY1799" s="77"/>
      <c r="AZ1799" s="82" t="s">
        <v>15804</v>
      </c>
      <c r="BA1799" s="82" t="s">
        <v>15804</v>
      </c>
      <c r="BB1799" s="82" t="s">
        <v>15804</v>
      </c>
      <c r="BC1799" s="82" t="s">
        <v>13964</v>
      </c>
      <c r="BD1799" s="77">
        <v>75173434</v>
      </c>
      <c r="BE1799" s="77"/>
      <c r="BF1799" s="77"/>
      <c r="BG1799" s="77"/>
      <c r="BH1799" s="77"/>
      <c r="BI1799" s="77"/>
    </row>
    <row r="1800" spans="1:61" x14ac:dyDescent="0.25">
      <c r="A1800" s="62" t="s">
        <v>817</v>
      </c>
      <c r="B1800" s="62" t="s">
        <v>817</v>
      </c>
      <c r="C1800" s="63"/>
      <c r="D1800" s="64"/>
      <c r="E1800" s="65"/>
      <c r="F1800" s="66"/>
      <c r="G1800" s="63"/>
      <c r="H1800" s="67"/>
      <c r="I1800" s="68"/>
      <c r="J1800" s="68"/>
      <c r="K1800" s="32"/>
      <c r="L1800" s="75">
        <v>1800</v>
      </c>
      <c r="M1800" s="75"/>
      <c r="N1800" s="70"/>
      <c r="O1800" s="77" t="s">
        <v>179</v>
      </c>
      <c r="P1800" s="79">
        <v>45137.979386574072</v>
      </c>
      <c r="Q1800" s="80" t="str">
        <f>HYPERLINK("https://t.co/jwwAXMD7Zv")</f>
        <v>https://t.co/jwwAXMD7Zv</v>
      </c>
      <c r="R1800" s="77">
        <v>0</v>
      </c>
      <c r="S1800" s="77">
        <v>1</v>
      </c>
      <c r="T1800" s="77">
        <v>0</v>
      </c>
      <c r="U1800" s="77">
        <v>1</v>
      </c>
      <c r="V1800" s="77">
        <v>108</v>
      </c>
      <c r="W1800" s="77"/>
      <c r="X1800" s="77"/>
      <c r="Y1800" s="77"/>
      <c r="Z1800" s="77"/>
      <c r="AA1800" s="77" t="s">
        <v>7198</v>
      </c>
      <c r="AB1800" s="77" t="s">
        <v>7697</v>
      </c>
      <c r="AC1800" s="82" t="s">
        <v>7707</v>
      </c>
      <c r="AD1800" s="77" t="s">
        <v>7753</v>
      </c>
      <c r="AE1800" s="80" t="str">
        <f>HYPERLINK("https://twitter.com/calilecalil/status/1685794985256394753")</f>
        <v>https://twitter.com/calilecalil/status/1685794985256394753</v>
      </c>
      <c r="AF1800" s="79">
        <v>45137.979386574072</v>
      </c>
      <c r="AG1800" s="85">
        <v>45137</v>
      </c>
      <c r="AH1800" s="82" t="s">
        <v>9353</v>
      </c>
      <c r="AI1800" s="77" t="b">
        <v>0</v>
      </c>
      <c r="AJ1800" s="77"/>
      <c r="AK1800" s="77"/>
      <c r="AL1800" s="77"/>
      <c r="AM1800" s="77"/>
      <c r="AN1800" s="77"/>
      <c r="AO1800" s="77"/>
      <c r="AP1800" s="77"/>
      <c r="AQ1800" s="77" t="s">
        <v>11705</v>
      </c>
      <c r="AR1800" s="77">
        <v>44952</v>
      </c>
      <c r="AS1800" s="77"/>
      <c r="AT1800" s="77"/>
      <c r="AU1800" s="77">
        <v>20</v>
      </c>
      <c r="AV1800" s="80" t="str">
        <f>HYPERLINK("https://pbs.twimg.com/ext_tw_video_thumb/1685794940545052673/pu/img/NgwRp6keZMDV_FEa.jpg")</f>
        <v>https://pbs.twimg.com/ext_tw_video_thumb/1685794940545052673/pu/img/NgwRp6keZMDV_FEa.jpg</v>
      </c>
      <c r="AW1800" s="82" t="s">
        <v>13965</v>
      </c>
      <c r="AX1800" s="82" t="s">
        <v>13965</v>
      </c>
      <c r="AY1800" s="77"/>
      <c r="AZ1800" s="82" t="s">
        <v>15804</v>
      </c>
      <c r="BA1800" s="82" t="s">
        <v>15804</v>
      </c>
      <c r="BB1800" s="82" t="s">
        <v>15804</v>
      </c>
      <c r="BC1800" s="82" t="s">
        <v>13965</v>
      </c>
      <c r="BD1800" s="77">
        <v>75173434</v>
      </c>
      <c r="BE1800" s="77"/>
      <c r="BF1800" s="77"/>
      <c r="BG1800" s="77"/>
      <c r="BH1800" s="77"/>
      <c r="BI1800" s="77"/>
    </row>
    <row r="1801" spans="1:61" x14ac:dyDescent="0.25">
      <c r="A1801" s="62" t="s">
        <v>817</v>
      </c>
      <c r="B1801" s="62" t="s">
        <v>817</v>
      </c>
      <c r="C1801" s="63"/>
      <c r="D1801" s="64"/>
      <c r="E1801" s="65"/>
      <c r="F1801" s="66"/>
      <c r="G1801" s="63"/>
      <c r="H1801" s="67"/>
      <c r="I1801" s="68"/>
      <c r="J1801" s="68"/>
      <c r="K1801" s="32"/>
      <c r="L1801" s="75">
        <v>1801</v>
      </c>
      <c r="M1801" s="75"/>
      <c r="N1801" s="70"/>
      <c r="O1801" s="77" t="s">
        <v>179</v>
      </c>
      <c r="P1801" s="79">
        <v>45079.757662037038</v>
      </c>
      <c r="Q1801" s="77" t="s">
        <v>2858</v>
      </c>
      <c r="R1801" s="77">
        <v>0</v>
      </c>
      <c r="S1801" s="77">
        <v>0</v>
      </c>
      <c r="T1801" s="77">
        <v>0</v>
      </c>
      <c r="U1801" s="77">
        <v>0</v>
      </c>
      <c r="V1801" s="77">
        <v>44</v>
      </c>
      <c r="W1801" s="82" t="s">
        <v>5301</v>
      </c>
      <c r="X1801" s="77"/>
      <c r="Y1801" s="77"/>
      <c r="Z1801" s="77"/>
      <c r="AA1801" s="77" t="s">
        <v>7199</v>
      </c>
      <c r="AB1801" s="77" t="s">
        <v>7697</v>
      </c>
      <c r="AC1801" s="82" t="s">
        <v>7707</v>
      </c>
      <c r="AD1801" s="77" t="s">
        <v>7746</v>
      </c>
      <c r="AE1801" s="80" t="str">
        <f>HYPERLINK("https://twitter.com/calilecalil/status/1664696138232913921")</f>
        <v>https://twitter.com/calilecalil/status/1664696138232913921</v>
      </c>
      <c r="AF1801" s="79">
        <v>45079.757662037038</v>
      </c>
      <c r="AG1801" s="85">
        <v>45079</v>
      </c>
      <c r="AH1801" s="82" t="s">
        <v>9354</v>
      </c>
      <c r="AI1801" s="77" t="b">
        <v>0</v>
      </c>
      <c r="AJ1801" s="77"/>
      <c r="AK1801" s="77"/>
      <c r="AL1801" s="77"/>
      <c r="AM1801" s="77"/>
      <c r="AN1801" s="77"/>
      <c r="AO1801" s="77"/>
      <c r="AP1801" s="77"/>
      <c r="AQ1801" s="77" t="s">
        <v>11706</v>
      </c>
      <c r="AR1801" s="77">
        <v>44963</v>
      </c>
      <c r="AS1801" s="77"/>
      <c r="AT1801" s="77"/>
      <c r="AU1801" s="77">
        <v>13</v>
      </c>
      <c r="AV1801" s="80" t="str">
        <f>HYPERLINK("https://pbs.twimg.com/ext_tw_video_thumb/1664696055798149120/pu/img/3J_FbkSYSW39DC8l.jpg")</f>
        <v>https://pbs.twimg.com/ext_tw_video_thumb/1664696055798149120/pu/img/3J_FbkSYSW39DC8l.jpg</v>
      </c>
      <c r="AW1801" s="82" t="s">
        <v>13966</v>
      </c>
      <c r="AX1801" s="82" t="s">
        <v>13966</v>
      </c>
      <c r="AY1801" s="77"/>
      <c r="AZ1801" s="82" t="s">
        <v>15804</v>
      </c>
      <c r="BA1801" s="82" t="s">
        <v>15804</v>
      </c>
      <c r="BB1801" s="82" t="s">
        <v>15804</v>
      </c>
      <c r="BC1801" s="82" t="s">
        <v>13966</v>
      </c>
      <c r="BD1801" s="77">
        <v>75173434</v>
      </c>
      <c r="BE1801" s="77"/>
      <c r="BF1801" s="77"/>
      <c r="BG1801" s="77"/>
      <c r="BH1801" s="77"/>
      <c r="BI1801" s="77"/>
    </row>
    <row r="1802" spans="1:61" x14ac:dyDescent="0.25">
      <c r="A1802" s="62" t="s">
        <v>817</v>
      </c>
      <c r="B1802" s="62" t="s">
        <v>817</v>
      </c>
      <c r="C1802" s="63"/>
      <c r="D1802" s="64"/>
      <c r="E1802" s="65"/>
      <c r="F1802" s="66"/>
      <c r="G1802" s="63"/>
      <c r="H1802" s="67"/>
      <c r="I1802" s="68"/>
      <c r="J1802" s="68"/>
      <c r="K1802" s="32"/>
      <c r="L1802" s="75">
        <v>1802</v>
      </c>
      <c r="M1802" s="75"/>
      <c r="N1802" s="70"/>
      <c r="O1802" s="77" t="s">
        <v>179</v>
      </c>
      <c r="P1802" s="79">
        <v>45143.883761574078</v>
      </c>
      <c r="Q1802" s="77" t="s">
        <v>2859</v>
      </c>
      <c r="R1802" s="77">
        <v>0</v>
      </c>
      <c r="S1802" s="77">
        <v>0</v>
      </c>
      <c r="T1802" s="77">
        <v>0</v>
      </c>
      <c r="U1802" s="77">
        <v>1</v>
      </c>
      <c r="V1802" s="77">
        <v>249</v>
      </c>
      <c r="W1802" s="82" t="s">
        <v>5304</v>
      </c>
      <c r="X1802" s="77"/>
      <c r="Y1802" s="77"/>
      <c r="Z1802" s="77"/>
      <c r="AA1802" s="77" t="s">
        <v>7200</v>
      </c>
      <c r="AB1802" s="77" t="s">
        <v>7697</v>
      </c>
      <c r="AC1802" s="82" t="s">
        <v>7707</v>
      </c>
      <c r="AD1802" s="77" t="s">
        <v>7746</v>
      </c>
      <c r="AE1802" s="80" t="str">
        <f>HYPERLINK("https://twitter.com/calilecalil/status/1687934659450060801")</f>
        <v>https://twitter.com/calilecalil/status/1687934659450060801</v>
      </c>
      <c r="AF1802" s="79">
        <v>45143.883761574078</v>
      </c>
      <c r="AG1802" s="85">
        <v>45143</v>
      </c>
      <c r="AH1802" s="82" t="s">
        <v>9355</v>
      </c>
      <c r="AI1802" s="77" t="b">
        <v>0</v>
      </c>
      <c r="AJ1802" s="77"/>
      <c r="AK1802" s="77"/>
      <c r="AL1802" s="77"/>
      <c r="AM1802" s="77"/>
      <c r="AN1802" s="77"/>
      <c r="AO1802" s="77"/>
      <c r="AP1802" s="77"/>
      <c r="AQ1802" s="77" t="s">
        <v>11707</v>
      </c>
      <c r="AR1802" s="77">
        <v>44957</v>
      </c>
      <c r="AS1802" s="77"/>
      <c r="AT1802" s="77"/>
      <c r="AU1802" s="77">
        <v>17</v>
      </c>
      <c r="AV1802" s="80" t="str">
        <f>HYPERLINK("https://pbs.twimg.com/ext_tw_video_thumb/1687934589967228929/pu/img/dOaJwE3A_Y3_ueAi.jpg")</f>
        <v>https://pbs.twimg.com/ext_tw_video_thumb/1687934589967228929/pu/img/dOaJwE3A_Y3_ueAi.jpg</v>
      </c>
      <c r="AW1802" s="82" t="s">
        <v>13967</v>
      </c>
      <c r="AX1802" s="82" t="s">
        <v>13967</v>
      </c>
      <c r="AY1802" s="77"/>
      <c r="AZ1802" s="82" t="s">
        <v>15804</v>
      </c>
      <c r="BA1802" s="82" t="s">
        <v>15804</v>
      </c>
      <c r="BB1802" s="82" t="s">
        <v>15804</v>
      </c>
      <c r="BC1802" s="82" t="s">
        <v>13967</v>
      </c>
      <c r="BD1802" s="77">
        <v>75173434</v>
      </c>
      <c r="BE1802" s="77"/>
      <c r="BF1802" s="77"/>
      <c r="BG1802" s="77"/>
      <c r="BH1802" s="77"/>
      <c r="BI1802" s="77"/>
    </row>
    <row r="1803" spans="1:61" x14ac:dyDescent="0.25">
      <c r="A1803" s="62" t="s">
        <v>817</v>
      </c>
      <c r="B1803" s="62" t="s">
        <v>817</v>
      </c>
      <c r="C1803" s="63"/>
      <c r="D1803" s="64"/>
      <c r="E1803" s="65"/>
      <c r="F1803" s="66"/>
      <c r="G1803" s="63"/>
      <c r="H1803" s="67"/>
      <c r="I1803" s="68"/>
      <c r="J1803" s="68"/>
      <c r="K1803" s="32"/>
      <c r="L1803" s="75">
        <v>1803</v>
      </c>
      <c r="M1803" s="75"/>
      <c r="N1803" s="70"/>
      <c r="O1803" s="77" t="s">
        <v>179</v>
      </c>
      <c r="P1803" s="79">
        <v>45140.730925925927</v>
      </c>
      <c r="Q1803" s="77" t="s">
        <v>2860</v>
      </c>
      <c r="R1803" s="77">
        <v>0</v>
      </c>
      <c r="S1803" s="77">
        <v>0</v>
      </c>
      <c r="T1803" s="77">
        <v>0</v>
      </c>
      <c r="U1803" s="77">
        <v>0</v>
      </c>
      <c r="V1803" s="77">
        <v>52</v>
      </c>
      <c r="W1803" s="82" t="s">
        <v>5305</v>
      </c>
      <c r="X1803" s="77"/>
      <c r="Y1803" s="77"/>
      <c r="Z1803" s="77"/>
      <c r="AA1803" s="77" t="s">
        <v>7201</v>
      </c>
      <c r="AB1803" s="77" t="s">
        <v>7697</v>
      </c>
      <c r="AC1803" s="82" t="s">
        <v>7707</v>
      </c>
      <c r="AD1803" s="77" t="s">
        <v>7745</v>
      </c>
      <c r="AE1803" s="80" t="str">
        <f>HYPERLINK("https://twitter.com/calilecalil/status/1686792110912008197")</f>
        <v>https://twitter.com/calilecalil/status/1686792110912008197</v>
      </c>
      <c r="AF1803" s="79">
        <v>45140.730925925927</v>
      </c>
      <c r="AG1803" s="85">
        <v>45140</v>
      </c>
      <c r="AH1803" s="82" t="s">
        <v>9356</v>
      </c>
      <c r="AI1803" s="77" t="b">
        <v>0</v>
      </c>
      <c r="AJ1803" s="77"/>
      <c r="AK1803" s="77"/>
      <c r="AL1803" s="77"/>
      <c r="AM1803" s="77"/>
      <c r="AN1803" s="77"/>
      <c r="AO1803" s="77"/>
      <c r="AP1803" s="77"/>
      <c r="AQ1803" s="77" t="s">
        <v>11708</v>
      </c>
      <c r="AR1803" s="77">
        <v>44302</v>
      </c>
      <c r="AS1803" s="77"/>
      <c r="AT1803" s="77"/>
      <c r="AU1803" s="77">
        <v>9</v>
      </c>
      <c r="AV1803" s="80" t="str">
        <f>HYPERLINK("https://pbs.twimg.com/ext_tw_video_thumb/1686792035397758997/pu/img/rJkFyUwnJ-g_lnmY.jpg")</f>
        <v>https://pbs.twimg.com/ext_tw_video_thumb/1686792035397758997/pu/img/rJkFyUwnJ-g_lnmY.jpg</v>
      </c>
      <c r="AW1803" s="82" t="s">
        <v>13968</v>
      </c>
      <c r="AX1803" s="82" t="s">
        <v>13968</v>
      </c>
      <c r="AY1803" s="77"/>
      <c r="AZ1803" s="82" t="s">
        <v>15804</v>
      </c>
      <c r="BA1803" s="82" t="s">
        <v>15804</v>
      </c>
      <c r="BB1803" s="82" t="s">
        <v>15804</v>
      </c>
      <c r="BC1803" s="82" t="s">
        <v>13968</v>
      </c>
      <c r="BD1803" s="77">
        <v>75173434</v>
      </c>
      <c r="BE1803" s="77"/>
      <c r="BF1803" s="77"/>
      <c r="BG1803" s="77"/>
      <c r="BH1803" s="77"/>
      <c r="BI1803" s="77"/>
    </row>
    <row r="1804" spans="1:61" x14ac:dyDescent="0.25">
      <c r="A1804" s="62" t="s">
        <v>817</v>
      </c>
      <c r="B1804" s="62" t="s">
        <v>817</v>
      </c>
      <c r="C1804" s="63"/>
      <c r="D1804" s="64"/>
      <c r="E1804" s="65"/>
      <c r="F1804" s="66"/>
      <c r="G1804" s="63"/>
      <c r="H1804" s="67"/>
      <c r="I1804" s="68"/>
      <c r="J1804" s="68"/>
      <c r="K1804" s="32"/>
      <c r="L1804" s="75">
        <v>1804</v>
      </c>
      <c r="M1804" s="75"/>
      <c r="N1804" s="70"/>
      <c r="O1804" s="77" t="s">
        <v>179</v>
      </c>
      <c r="P1804" s="79">
        <v>45125.657905092594</v>
      </c>
      <c r="Q1804" s="77" t="s">
        <v>2861</v>
      </c>
      <c r="R1804" s="77">
        <v>1</v>
      </c>
      <c r="S1804" s="77">
        <v>2</v>
      </c>
      <c r="T1804" s="77">
        <v>0</v>
      </c>
      <c r="U1804" s="77">
        <v>0</v>
      </c>
      <c r="V1804" s="77">
        <v>101</v>
      </c>
      <c r="W1804" s="82" t="s">
        <v>5306</v>
      </c>
      <c r="X1804" s="77"/>
      <c r="Y1804" s="77"/>
      <c r="Z1804" s="77"/>
      <c r="AA1804" s="77" t="s">
        <v>7202</v>
      </c>
      <c r="AB1804" s="77" t="s">
        <v>7697</v>
      </c>
      <c r="AC1804" s="82" t="s">
        <v>7707</v>
      </c>
      <c r="AD1804" s="77" t="s">
        <v>7745</v>
      </c>
      <c r="AE1804" s="80" t="str">
        <f>HYPERLINK("https://twitter.com/calilecalil/status/1681329827729604608")</f>
        <v>https://twitter.com/calilecalil/status/1681329827729604608</v>
      </c>
      <c r="AF1804" s="79">
        <v>45125.657905092594</v>
      </c>
      <c r="AG1804" s="85">
        <v>45125</v>
      </c>
      <c r="AH1804" s="82" t="s">
        <v>9357</v>
      </c>
      <c r="AI1804" s="77" t="b">
        <v>0</v>
      </c>
      <c r="AJ1804" s="77"/>
      <c r="AK1804" s="77"/>
      <c r="AL1804" s="77"/>
      <c r="AM1804" s="77"/>
      <c r="AN1804" s="77"/>
      <c r="AO1804" s="77"/>
      <c r="AP1804" s="77"/>
      <c r="AQ1804" s="77" t="s">
        <v>11709</v>
      </c>
      <c r="AR1804" s="77">
        <v>30300</v>
      </c>
      <c r="AS1804" s="77"/>
      <c r="AT1804" s="77"/>
      <c r="AU1804" s="77">
        <v>34</v>
      </c>
      <c r="AV1804" s="80" t="str">
        <f>HYPERLINK("https://pbs.twimg.com/ext_tw_video_thumb/1681329755667177473/pu/img/U9CtMrF84c0fzAmM.jpg")</f>
        <v>https://pbs.twimg.com/ext_tw_video_thumb/1681329755667177473/pu/img/U9CtMrF84c0fzAmM.jpg</v>
      </c>
      <c r="AW1804" s="82" t="s">
        <v>13969</v>
      </c>
      <c r="AX1804" s="82" t="s">
        <v>13969</v>
      </c>
      <c r="AY1804" s="77"/>
      <c r="AZ1804" s="82" t="s">
        <v>15804</v>
      </c>
      <c r="BA1804" s="82" t="s">
        <v>15804</v>
      </c>
      <c r="BB1804" s="82" t="s">
        <v>15804</v>
      </c>
      <c r="BC1804" s="82" t="s">
        <v>13969</v>
      </c>
      <c r="BD1804" s="77">
        <v>75173434</v>
      </c>
      <c r="BE1804" s="77"/>
      <c r="BF1804" s="77"/>
      <c r="BG1804" s="77"/>
      <c r="BH1804" s="77"/>
      <c r="BI1804" s="77"/>
    </row>
    <row r="1805" spans="1:61" x14ac:dyDescent="0.25">
      <c r="A1805" s="62" t="s">
        <v>818</v>
      </c>
      <c r="B1805" s="62" t="s">
        <v>817</v>
      </c>
      <c r="C1805" s="63"/>
      <c r="D1805" s="64"/>
      <c r="E1805" s="65"/>
      <c r="F1805" s="66"/>
      <c r="G1805" s="63"/>
      <c r="H1805" s="67"/>
      <c r="I1805" s="68"/>
      <c r="J1805" s="68"/>
      <c r="K1805" s="32"/>
      <c r="L1805" s="75">
        <v>1805</v>
      </c>
      <c r="M1805" s="75"/>
      <c r="N1805" s="70"/>
      <c r="O1805" s="77" t="s">
        <v>1135</v>
      </c>
      <c r="P1805" s="79">
        <v>45138.661076388889</v>
      </c>
      <c r="Q1805" s="77" t="s">
        <v>2862</v>
      </c>
      <c r="R1805" s="77">
        <v>0</v>
      </c>
      <c r="S1805" s="77">
        <v>0</v>
      </c>
      <c r="T1805" s="77">
        <v>0</v>
      </c>
      <c r="U1805" s="77">
        <v>0</v>
      </c>
      <c r="V1805" s="77">
        <v>48</v>
      </c>
      <c r="W1805" s="82" t="s">
        <v>5307</v>
      </c>
      <c r="X1805" s="77"/>
      <c r="Y1805" s="77"/>
      <c r="Z1805" s="77"/>
      <c r="AA1805" s="77"/>
      <c r="AB1805" s="77"/>
      <c r="AC1805" s="82" t="s">
        <v>7707</v>
      </c>
      <c r="AD1805" s="77" t="s">
        <v>7748</v>
      </c>
      <c r="AE1805" s="80" t="str">
        <f>HYPERLINK("https://twitter.com/lipfiori/status/1686042019045445633")</f>
        <v>https://twitter.com/lipfiori/status/1686042019045445633</v>
      </c>
      <c r="AF1805" s="79">
        <v>45138.661076388889</v>
      </c>
      <c r="AG1805" s="85">
        <v>45138</v>
      </c>
      <c r="AH1805" s="82" t="s">
        <v>9085</v>
      </c>
      <c r="AI1805" s="77"/>
      <c r="AJ1805" s="77"/>
      <c r="AK1805" s="77"/>
      <c r="AL1805" s="77"/>
      <c r="AM1805" s="77"/>
      <c r="AN1805" s="77"/>
      <c r="AO1805" s="77"/>
      <c r="AP1805" s="77"/>
      <c r="AQ1805" s="77"/>
      <c r="AR1805" s="77"/>
      <c r="AS1805" s="77"/>
      <c r="AT1805" s="77"/>
      <c r="AU1805" s="77"/>
      <c r="AV1805" s="80" t="str">
        <f>HYPERLINK("https://pbs.twimg.com/profile_images/1441879669532286978/xQyU-M6t_normal.jpg")</f>
        <v>https://pbs.twimg.com/profile_images/1441879669532286978/xQyU-M6t_normal.jpg</v>
      </c>
      <c r="AW1805" s="82" t="s">
        <v>13970</v>
      </c>
      <c r="AX1805" s="82" t="s">
        <v>13970</v>
      </c>
      <c r="AY1805" s="77"/>
      <c r="AZ1805" s="82" t="s">
        <v>15804</v>
      </c>
      <c r="BA1805" s="82" t="s">
        <v>13965</v>
      </c>
      <c r="BB1805" s="82" t="s">
        <v>15804</v>
      </c>
      <c r="BC1805" s="82" t="s">
        <v>13965</v>
      </c>
      <c r="BD1805" s="82" t="s">
        <v>16475</v>
      </c>
      <c r="BE1805" s="77"/>
      <c r="BF1805" s="77"/>
      <c r="BG1805" s="77"/>
      <c r="BH1805" s="77"/>
      <c r="BI1805" s="77"/>
    </row>
    <row r="1806" spans="1:61" x14ac:dyDescent="0.25">
      <c r="A1806" s="62" t="s">
        <v>819</v>
      </c>
      <c r="B1806" s="62" t="s">
        <v>819</v>
      </c>
      <c r="C1806" s="63"/>
      <c r="D1806" s="64"/>
      <c r="E1806" s="65"/>
      <c r="F1806" s="66"/>
      <c r="G1806" s="63"/>
      <c r="H1806" s="67"/>
      <c r="I1806" s="68"/>
      <c r="J1806" s="68"/>
      <c r="K1806" s="32"/>
      <c r="L1806" s="75">
        <v>1806</v>
      </c>
      <c r="M1806" s="75"/>
      <c r="N1806" s="70"/>
      <c r="O1806" s="77" t="s">
        <v>1132</v>
      </c>
      <c r="P1806" s="79">
        <v>45071.434062499997</v>
      </c>
      <c r="Q1806" s="77" t="s">
        <v>2863</v>
      </c>
      <c r="R1806" s="77">
        <v>0</v>
      </c>
      <c r="S1806" s="77">
        <v>0</v>
      </c>
      <c r="T1806" s="77">
        <v>0</v>
      </c>
      <c r="U1806" s="77">
        <v>0</v>
      </c>
      <c r="V1806" s="77">
        <v>10</v>
      </c>
      <c r="W1806" s="82" t="s">
        <v>5308</v>
      </c>
      <c r="X1806" s="77"/>
      <c r="Y1806" s="77"/>
      <c r="Z1806" s="77"/>
      <c r="AA1806" s="77"/>
      <c r="AB1806" s="77"/>
      <c r="AC1806" s="82" t="s">
        <v>7705</v>
      </c>
      <c r="AD1806" s="77" t="s">
        <v>7745</v>
      </c>
      <c r="AE1806" s="80" t="str">
        <f>HYPERLINK("https://twitter.com/economedicos/status/1661679766875824130")</f>
        <v>https://twitter.com/economedicos/status/1661679766875824130</v>
      </c>
      <c r="AF1806" s="79">
        <v>45071.434062499997</v>
      </c>
      <c r="AG1806" s="85">
        <v>45071</v>
      </c>
      <c r="AH1806" s="82" t="s">
        <v>9358</v>
      </c>
      <c r="AI1806" s="77"/>
      <c r="AJ1806" s="77"/>
      <c r="AK1806" s="77"/>
      <c r="AL1806" s="77"/>
      <c r="AM1806" s="77"/>
      <c r="AN1806" s="77"/>
      <c r="AO1806" s="77"/>
      <c r="AP1806" s="77"/>
      <c r="AQ1806" s="77"/>
      <c r="AR1806" s="77"/>
      <c r="AS1806" s="77"/>
      <c r="AT1806" s="77"/>
      <c r="AU1806" s="77"/>
      <c r="AV1806" s="80" t="str">
        <f>HYPERLINK("https://pbs.twimg.com/profile_images/1283576393662636034/EjgsMA_W_normal.jpg")</f>
        <v>https://pbs.twimg.com/profile_images/1283576393662636034/EjgsMA_W_normal.jpg</v>
      </c>
      <c r="AW1806" s="82" t="s">
        <v>13971</v>
      </c>
      <c r="AX1806" s="82" t="s">
        <v>15378</v>
      </c>
      <c r="AY1806" s="82" t="s">
        <v>15767</v>
      </c>
      <c r="AZ1806" s="82" t="s">
        <v>15907</v>
      </c>
      <c r="BA1806" s="82" t="s">
        <v>15804</v>
      </c>
      <c r="BB1806" s="82" t="s">
        <v>15804</v>
      </c>
      <c r="BC1806" s="82" t="s">
        <v>15907</v>
      </c>
      <c r="BD1806" s="82" t="s">
        <v>15767</v>
      </c>
      <c r="BE1806" s="77"/>
      <c r="BF1806" s="77"/>
      <c r="BG1806" s="77"/>
      <c r="BH1806" s="77"/>
      <c r="BI1806" s="77"/>
    </row>
    <row r="1807" spans="1:61" x14ac:dyDescent="0.25">
      <c r="A1807" s="62" t="s">
        <v>819</v>
      </c>
      <c r="B1807" s="62" t="s">
        <v>819</v>
      </c>
      <c r="C1807" s="63"/>
      <c r="D1807" s="64"/>
      <c r="E1807" s="65"/>
      <c r="F1807" s="66"/>
      <c r="G1807" s="63"/>
      <c r="H1807" s="67"/>
      <c r="I1807" s="68"/>
      <c r="J1807" s="68"/>
      <c r="K1807" s="32"/>
      <c r="L1807" s="75">
        <v>1807</v>
      </c>
      <c r="M1807" s="75"/>
      <c r="N1807" s="70"/>
      <c r="O1807" s="77" t="s">
        <v>1132</v>
      </c>
      <c r="P1807" s="79">
        <v>45042.459756944445</v>
      </c>
      <c r="Q1807" s="77" t="s">
        <v>2864</v>
      </c>
      <c r="R1807" s="77">
        <v>0</v>
      </c>
      <c r="S1807" s="77">
        <v>0</v>
      </c>
      <c r="T1807" s="77">
        <v>0</v>
      </c>
      <c r="U1807" s="77">
        <v>0</v>
      </c>
      <c r="V1807" s="77">
        <v>9</v>
      </c>
      <c r="W1807" s="82" t="s">
        <v>5308</v>
      </c>
      <c r="X1807" s="77"/>
      <c r="Y1807" s="77"/>
      <c r="Z1807" s="77"/>
      <c r="AA1807" s="77"/>
      <c r="AB1807" s="77"/>
      <c r="AC1807" s="82" t="s">
        <v>7705</v>
      </c>
      <c r="AD1807" s="77" t="s">
        <v>7745</v>
      </c>
      <c r="AE1807" s="80" t="str">
        <f>HYPERLINK("https://twitter.com/economedicos/status/1651179830266699776")</f>
        <v>https://twitter.com/economedicos/status/1651179830266699776</v>
      </c>
      <c r="AF1807" s="79">
        <v>45042.459756944445</v>
      </c>
      <c r="AG1807" s="85">
        <v>45042</v>
      </c>
      <c r="AH1807" s="82" t="s">
        <v>9359</v>
      </c>
      <c r="AI1807" s="77"/>
      <c r="AJ1807" s="77"/>
      <c r="AK1807" s="77"/>
      <c r="AL1807" s="77"/>
      <c r="AM1807" s="77"/>
      <c r="AN1807" s="77"/>
      <c r="AO1807" s="77"/>
      <c r="AP1807" s="77"/>
      <c r="AQ1807" s="77"/>
      <c r="AR1807" s="77"/>
      <c r="AS1807" s="77"/>
      <c r="AT1807" s="77"/>
      <c r="AU1807" s="77"/>
      <c r="AV1807" s="80" t="str">
        <f>HYPERLINK("https://pbs.twimg.com/profile_images/1283576393662636034/EjgsMA_W_normal.jpg")</f>
        <v>https://pbs.twimg.com/profile_images/1283576393662636034/EjgsMA_W_normal.jpg</v>
      </c>
      <c r="AW1807" s="82" t="s">
        <v>13972</v>
      </c>
      <c r="AX1807" s="82" t="s">
        <v>15379</v>
      </c>
      <c r="AY1807" s="82" t="s">
        <v>15767</v>
      </c>
      <c r="AZ1807" s="82" t="s">
        <v>15908</v>
      </c>
      <c r="BA1807" s="82" t="s">
        <v>15804</v>
      </c>
      <c r="BB1807" s="82" t="s">
        <v>15804</v>
      </c>
      <c r="BC1807" s="82" t="s">
        <v>15908</v>
      </c>
      <c r="BD1807" s="82" t="s">
        <v>15767</v>
      </c>
      <c r="BE1807" s="77"/>
      <c r="BF1807" s="77"/>
      <c r="BG1807" s="77"/>
      <c r="BH1807" s="77"/>
      <c r="BI1807" s="77"/>
    </row>
    <row r="1808" spans="1:61" x14ac:dyDescent="0.25">
      <c r="A1808" s="62" t="s">
        <v>819</v>
      </c>
      <c r="B1808" s="62" t="s">
        <v>819</v>
      </c>
      <c r="C1808" s="63"/>
      <c r="D1808" s="64"/>
      <c r="E1808" s="65"/>
      <c r="F1808" s="66"/>
      <c r="G1808" s="63"/>
      <c r="H1808" s="67"/>
      <c r="I1808" s="68"/>
      <c r="J1808" s="68"/>
      <c r="K1808" s="32"/>
      <c r="L1808" s="75">
        <v>1808</v>
      </c>
      <c r="M1808" s="75"/>
      <c r="N1808" s="70"/>
      <c r="O1808" s="77" t="s">
        <v>1132</v>
      </c>
      <c r="P1808" s="79">
        <v>45033.461053240739</v>
      </c>
      <c r="Q1808" s="77" t="s">
        <v>2865</v>
      </c>
      <c r="R1808" s="77">
        <v>0</v>
      </c>
      <c r="S1808" s="77">
        <v>0</v>
      </c>
      <c r="T1808" s="77">
        <v>0</v>
      </c>
      <c r="U1808" s="77">
        <v>0</v>
      </c>
      <c r="V1808" s="77">
        <v>4</v>
      </c>
      <c r="W1808" s="82" t="s">
        <v>5308</v>
      </c>
      <c r="X1808" s="77"/>
      <c r="Y1808" s="77"/>
      <c r="Z1808" s="77"/>
      <c r="AA1808" s="77"/>
      <c r="AB1808" s="77"/>
      <c r="AC1808" s="82" t="s">
        <v>7705</v>
      </c>
      <c r="AD1808" s="77" t="s">
        <v>7745</v>
      </c>
      <c r="AE1808" s="80" t="str">
        <f>HYPERLINK("https://twitter.com/economedicos/status/1647918808655360001")</f>
        <v>https://twitter.com/economedicos/status/1647918808655360001</v>
      </c>
      <c r="AF1808" s="79">
        <v>45033.461053240739</v>
      </c>
      <c r="AG1808" s="85">
        <v>45033</v>
      </c>
      <c r="AH1808" s="82" t="s">
        <v>9360</v>
      </c>
      <c r="AI1808" s="77"/>
      <c r="AJ1808" s="77"/>
      <c r="AK1808" s="77"/>
      <c r="AL1808" s="77"/>
      <c r="AM1808" s="77"/>
      <c r="AN1808" s="77"/>
      <c r="AO1808" s="77"/>
      <c r="AP1808" s="77"/>
      <c r="AQ1808" s="77"/>
      <c r="AR1808" s="77"/>
      <c r="AS1808" s="77"/>
      <c r="AT1808" s="77"/>
      <c r="AU1808" s="77"/>
      <c r="AV1808" s="80" t="str">
        <f>HYPERLINK("https://pbs.twimg.com/profile_images/1283576393662636034/EjgsMA_W_normal.jpg")</f>
        <v>https://pbs.twimg.com/profile_images/1283576393662636034/EjgsMA_W_normal.jpg</v>
      </c>
      <c r="AW1808" s="82" t="s">
        <v>13973</v>
      </c>
      <c r="AX1808" s="82" t="s">
        <v>15380</v>
      </c>
      <c r="AY1808" s="82" t="s">
        <v>15767</v>
      </c>
      <c r="AZ1808" s="82" t="s">
        <v>15909</v>
      </c>
      <c r="BA1808" s="82" t="s">
        <v>15804</v>
      </c>
      <c r="BB1808" s="82" t="s">
        <v>15804</v>
      </c>
      <c r="BC1808" s="82" t="s">
        <v>15909</v>
      </c>
      <c r="BD1808" s="82" t="s">
        <v>15767</v>
      </c>
      <c r="BE1808" s="77"/>
      <c r="BF1808" s="77"/>
      <c r="BG1808" s="77"/>
      <c r="BH1808" s="77"/>
      <c r="BI1808" s="77"/>
    </row>
    <row r="1809" spans="1:61" x14ac:dyDescent="0.25">
      <c r="A1809" s="62" t="s">
        <v>819</v>
      </c>
      <c r="B1809" s="62" t="s">
        <v>819</v>
      </c>
      <c r="C1809" s="63"/>
      <c r="D1809" s="64"/>
      <c r="E1809" s="65"/>
      <c r="F1809" s="66"/>
      <c r="G1809" s="63"/>
      <c r="H1809" s="67"/>
      <c r="I1809" s="68"/>
      <c r="J1809" s="68"/>
      <c r="K1809" s="32"/>
      <c r="L1809" s="75">
        <v>1809</v>
      </c>
      <c r="M1809" s="75"/>
      <c r="N1809" s="70"/>
      <c r="O1809" s="77" t="s">
        <v>1132</v>
      </c>
      <c r="P1809" s="79">
        <v>44995.44604166667</v>
      </c>
      <c r="Q1809" s="77" t="s">
        <v>2866</v>
      </c>
      <c r="R1809" s="77">
        <v>0</v>
      </c>
      <c r="S1809" s="77">
        <v>0</v>
      </c>
      <c r="T1809" s="77">
        <v>0</v>
      </c>
      <c r="U1809" s="77">
        <v>0</v>
      </c>
      <c r="V1809" s="77">
        <v>8</v>
      </c>
      <c r="W1809" s="82" t="s">
        <v>5308</v>
      </c>
      <c r="X1809" s="77"/>
      <c r="Y1809" s="77"/>
      <c r="Z1809" s="77"/>
      <c r="AA1809" s="77"/>
      <c r="AB1809" s="77"/>
      <c r="AC1809" s="82" t="s">
        <v>7705</v>
      </c>
      <c r="AD1809" s="77" t="s">
        <v>7745</v>
      </c>
      <c r="AE1809" s="80" t="str">
        <f>HYPERLINK("https://twitter.com/economedicos/status/1634142631407108097")</f>
        <v>https://twitter.com/economedicos/status/1634142631407108097</v>
      </c>
      <c r="AF1809" s="79">
        <v>44995.44604166667</v>
      </c>
      <c r="AG1809" s="85">
        <v>44995</v>
      </c>
      <c r="AH1809" s="82" t="s">
        <v>9361</v>
      </c>
      <c r="AI1809" s="77"/>
      <c r="AJ1809" s="77"/>
      <c r="AK1809" s="77"/>
      <c r="AL1809" s="77"/>
      <c r="AM1809" s="77"/>
      <c r="AN1809" s="77"/>
      <c r="AO1809" s="77"/>
      <c r="AP1809" s="77"/>
      <c r="AQ1809" s="77"/>
      <c r="AR1809" s="77"/>
      <c r="AS1809" s="77"/>
      <c r="AT1809" s="77"/>
      <c r="AU1809" s="77"/>
      <c r="AV1809" s="80" t="str">
        <f>HYPERLINK("https://pbs.twimg.com/profile_images/1283576393662636034/EjgsMA_W_normal.jpg")</f>
        <v>https://pbs.twimg.com/profile_images/1283576393662636034/EjgsMA_W_normal.jpg</v>
      </c>
      <c r="AW1809" s="82" t="s">
        <v>13974</v>
      </c>
      <c r="AX1809" s="82" t="s">
        <v>15381</v>
      </c>
      <c r="AY1809" s="82" t="s">
        <v>15767</v>
      </c>
      <c r="AZ1809" s="82" t="s">
        <v>15910</v>
      </c>
      <c r="BA1809" s="82" t="s">
        <v>15804</v>
      </c>
      <c r="BB1809" s="82" t="s">
        <v>15804</v>
      </c>
      <c r="BC1809" s="82" t="s">
        <v>15910</v>
      </c>
      <c r="BD1809" s="82" t="s">
        <v>15767</v>
      </c>
      <c r="BE1809" s="77"/>
      <c r="BF1809" s="77"/>
      <c r="BG1809" s="77"/>
      <c r="BH1809" s="77"/>
      <c r="BI1809" s="77"/>
    </row>
    <row r="1810" spans="1:61" x14ac:dyDescent="0.25">
      <c r="A1810" s="62" t="s">
        <v>819</v>
      </c>
      <c r="B1810" s="62" t="s">
        <v>819</v>
      </c>
      <c r="C1810" s="63"/>
      <c r="D1810" s="64"/>
      <c r="E1810" s="65"/>
      <c r="F1810" s="66"/>
      <c r="G1810" s="63"/>
      <c r="H1810" s="67"/>
      <c r="I1810" s="68"/>
      <c r="J1810" s="68"/>
      <c r="K1810" s="32"/>
      <c r="L1810" s="75">
        <v>1810</v>
      </c>
      <c r="M1810" s="75"/>
      <c r="N1810" s="70"/>
      <c r="O1810" s="77" t="s">
        <v>1132</v>
      </c>
      <c r="P1810" s="79">
        <v>44994.433321759258</v>
      </c>
      <c r="Q1810" s="77" t="s">
        <v>2867</v>
      </c>
      <c r="R1810" s="77">
        <v>0</v>
      </c>
      <c r="S1810" s="77">
        <v>0</v>
      </c>
      <c r="T1810" s="77">
        <v>0</v>
      </c>
      <c r="U1810" s="77">
        <v>0</v>
      </c>
      <c r="V1810" s="77">
        <v>12</v>
      </c>
      <c r="W1810" s="82" t="s">
        <v>5308</v>
      </c>
      <c r="X1810" s="77"/>
      <c r="Y1810" s="77"/>
      <c r="Z1810" s="77"/>
      <c r="AA1810" s="77"/>
      <c r="AB1810" s="77"/>
      <c r="AC1810" s="82" t="s">
        <v>7705</v>
      </c>
      <c r="AD1810" s="77" t="s">
        <v>7745</v>
      </c>
      <c r="AE1810" s="80" t="str">
        <f>HYPERLINK("https://twitter.com/economedicos/status/1633775631358996481")</f>
        <v>https://twitter.com/economedicos/status/1633775631358996481</v>
      </c>
      <c r="AF1810" s="79">
        <v>44994.433321759258</v>
      </c>
      <c r="AG1810" s="85">
        <v>44994</v>
      </c>
      <c r="AH1810" s="82" t="s">
        <v>9362</v>
      </c>
      <c r="AI1810" s="77"/>
      <c r="AJ1810" s="77"/>
      <c r="AK1810" s="77"/>
      <c r="AL1810" s="77"/>
      <c r="AM1810" s="77"/>
      <c r="AN1810" s="77"/>
      <c r="AO1810" s="77"/>
      <c r="AP1810" s="77"/>
      <c r="AQ1810" s="77"/>
      <c r="AR1810" s="77"/>
      <c r="AS1810" s="77"/>
      <c r="AT1810" s="77"/>
      <c r="AU1810" s="77"/>
      <c r="AV1810" s="80" t="str">
        <f>HYPERLINK("https://pbs.twimg.com/profile_images/1283576393662636034/EjgsMA_W_normal.jpg")</f>
        <v>https://pbs.twimg.com/profile_images/1283576393662636034/EjgsMA_W_normal.jpg</v>
      </c>
      <c r="AW1810" s="82" t="s">
        <v>13975</v>
      </c>
      <c r="AX1810" s="82" t="s">
        <v>15382</v>
      </c>
      <c r="AY1810" s="82" t="s">
        <v>15767</v>
      </c>
      <c r="AZ1810" s="82" t="s">
        <v>15911</v>
      </c>
      <c r="BA1810" s="82" t="s">
        <v>15804</v>
      </c>
      <c r="BB1810" s="82" t="s">
        <v>15804</v>
      </c>
      <c r="BC1810" s="82" t="s">
        <v>15911</v>
      </c>
      <c r="BD1810" s="82" t="s">
        <v>15767</v>
      </c>
      <c r="BE1810" s="77"/>
      <c r="BF1810" s="77"/>
      <c r="BG1810" s="77"/>
      <c r="BH1810" s="77"/>
      <c r="BI1810" s="77"/>
    </row>
    <row r="1811" spans="1:61" x14ac:dyDescent="0.25">
      <c r="A1811" s="62" t="s">
        <v>819</v>
      </c>
      <c r="B1811" s="62" t="s">
        <v>819</v>
      </c>
      <c r="C1811" s="63"/>
      <c r="D1811" s="64"/>
      <c r="E1811" s="65"/>
      <c r="F1811" s="66"/>
      <c r="G1811" s="63"/>
      <c r="H1811" s="67"/>
      <c r="I1811" s="68"/>
      <c r="J1811" s="68"/>
      <c r="K1811" s="32"/>
      <c r="L1811" s="75">
        <v>1811</v>
      </c>
      <c r="M1811" s="75"/>
      <c r="N1811" s="70"/>
      <c r="O1811" s="77" t="s">
        <v>1132</v>
      </c>
      <c r="P1811" s="79">
        <v>44946.450833333336</v>
      </c>
      <c r="Q1811" s="77" t="s">
        <v>2868</v>
      </c>
      <c r="R1811" s="77">
        <v>0</v>
      </c>
      <c r="S1811" s="77">
        <v>0</v>
      </c>
      <c r="T1811" s="77">
        <v>0</v>
      </c>
      <c r="U1811" s="77">
        <v>0</v>
      </c>
      <c r="V1811" s="77">
        <v>7</v>
      </c>
      <c r="W1811" s="82" t="s">
        <v>5308</v>
      </c>
      <c r="X1811" s="77"/>
      <c r="Y1811" s="77"/>
      <c r="Z1811" s="77"/>
      <c r="AA1811" s="77"/>
      <c r="AB1811" s="77"/>
      <c r="AC1811" s="82" t="s">
        <v>7705</v>
      </c>
      <c r="AD1811" s="77" t="s">
        <v>7745</v>
      </c>
      <c r="AE1811" s="80" t="str">
        <f>HYPERLINK("https://twitter.com/economedicos/status/1616387360840712192")</f>
        <v>https://twitter.com/economedicos/status/1616387360840712192</v>
      </c>
      <c r="AF1811" s="79">
        <v>44946.450833333336</v>
      </c>
      <c r="AG1811" s="85">
        <v>44946</v>
      </c>
      <c r="AH1811" s="82" t="s">
        <v>9363</v>
      </c>
      <c r="AI1811" s="77"/>
      <c r="AJ1811" s="77"/>
      <c r="AK1811" s="77"/>
      <c r="AL1811" s="77"/>
      <c r="AM1811" s="77"/>
      <c r="AN1811" s="77"/>
      <c r="AO1811" s="77"/>
      <c r="AP1811" s="77"/>
      <c r="AQ1811" s="77"/>
      <c r="AR1811" s="77"/>
      <c r="AS1811" s="77"/>
      <c r="AT1811" s="77"/>
      <c r="AU1811" s="77"/>
      <c r="AV1811" s="80" t="str">
        <f>HYPERLINK("https://pbs.twimg.com/profile_images/1283576393662636034/EjgsMA_W_normal.jpg")</f>
        <v>https://pbs.twimg.com/profile_images/1283576393662636034/EjgsMA_W_normal.jpg</v>
      </c>
      <c r="AW1811" s="82" t="s">
        <v>13976</v>
      </c>
      <c r="AX1811" s="82" t="s">
        <v>15383</v>
      </c>
      <c r="AY1811" s="82" t="s">
        <v>15767</v>
      </c>
      <c r="AZ1811" s="82" t="s">
        <v>15912</v>
      </c>
      <c r="BA1811" s="82" t="s">
        <v>15804</v>
      </c>
      <c r="BB1811" s="82" t="s">
        <v>15804</v>
      </c>
      <c r="BC1811" s="82" t="s">
        <v>15912</v>
      </c>
      <c r="BD1811" s="82" t="s">
        <v>15767</v>
      </c>
      <c r="BE1811" s="77"/>
      <c r="BF1811" s="77"/>
      <c r="BG1811" s="77"/>
      <c r="BH1811" s="77"/>
      <c r="BI1811" s="77"/>
    </row>
    <row r="1812" spans="1:61" x14ac:dyDescent="0.25">
      <c r="A1812" s="62" t="s">
        <v>819</v>
      </c>
      <c r="B1812" s="62" t="s">
        <v>819</v>
      </c>
      <c r="C1812" s="63"/>
      <c r="D1812" s="64"/>
      <c r="E1812" s="65"/>
      <c r="F1812" s="66"/>
      <c r="G1812" s="63"/>
      <c r="H1812" s="67"/>
      <c r="I1812" s="68"/>
      <c r="J1812" s="68"/>
      <c r="K1812" s="32"/>
      <c r="L1812" s="75">
        <v>1812</v>
      </c>
      <c r="M1812" s="75"/>
      <c r="N1812" s="70"/>
      <c r="O1812" s="77" t="s">
        <v>1132</v>
      </c>
      <c r="P1812" s="79">
        <v>44938.426111111112</v>
      </c>
      <c r="Q1812" s="77" t="s">
        <v>2869</v>
      </c>
      <c r="R1812" s="77">
        <v>0</v>
      </c>
      <c r="S1812" s="77">
        <v>0</v>
      </c>
      <c r="T1812" s="77">
        <v>0</v>
      </c>
      <c r="U1812" s="77">
        <v>0</v>
      </c>
      <c r="V1812" s="77">
        <v>28</v>
      </c>
      <c r="W1812" s="82" t="s">
        <v>5308</v>
      </c>
      <c r="X1812" s="77"/>
      <c r="Y1812" s="77"/>
      <c r="Z1812" s="77"/>
      <c r="AA1812" s="77"/>
      <c r="AB1812" s="77"/>
      <c r="AC1812" s="82" t="s">
        <v>7705</v>
      </c>
      <c r="AD1812" s="77" t="s">
        <v>7745</v>
      </c>
      <c r="AE1812" s="80" t="str">
        <f>HYPERLINK("https://twitter.com/economedicos/status/1613479296827260929")</f>
        <v>https://twitter.com/economedicos/status/1613479296827260929</v>
      </c>
      <c r="AF1812" s="79">
        <v>44938.426111111112</v>
      </c>
      <c r="AG1812" s="85">
        <v>44938</v>
      </c>
      <c r="AH1812" s="82" t="s">
        <v>9364</v>
      </c>
      <c r="AI1812" s="77"/>
      <c r="AJ1812" s="77"/>
      <c r="AK1812" s="77"/>
      <c r="AL1812" s="77"/>
      <c r="AM1812" s="77"/>
      <c r="AN1812" s="77"/>
      <c r="AO1812" s="77"/>
      <c r="AP1812" s="77"/>
      <c r="AQ1812" s="77"/>
      <c r="AR1812" s="77"/>
      <c r="AS1812" s="77"/>
      <c r="AT1812" s="77"/>
      <c r="AU1812" s="77"/>
      <c r="AV1812" s="80" t="str">
        <f>HYPERLINK("https://pbs.twimg.com/profile_images/1283576393662636034/EjgsMA_W_normal.jpg")</f>
        <v>https://pbs.twimg.com/profile_images/1283576393662636034/EjgsMA_W_normal.jpg</v>
      </c>
      <c r="AW1812" s="82" t="s">
        <v>13977</v>
      </c>
      <c r="AX1812" s="82" t="s">
        <v>15384</v>
      </c>
      <c r="AY1812" s="82" t="s">
        <v>15767</v>
      </c>
      <c r="AZ1812" s="82" t="s">
        <v>15913</v>
      </c>
      <c r="BA1812" s="82" t="s">
        <v>15804</v>
      </c>
      <c r="BB1812" s="82" t="s">
        <v>15804</v>
      </c>
      <c r="BC1812" s="82" t="s">
        <v>15913</v>
      </c>
      <c r="BD1812" s="82" t="s">
        <v>15767</v>
      </c>
      <c r="BE1812" s="77"/>
      <c r="BF1812" s="77"/>
      <c r="BG1812" s="77"/>
      <c r="BH1812" s="77"/>
      <c r="BI1812" s="77"/>
    </row>
    <row r="1813" spans="1:61" x14ac:dyDescent="0.25">
      <c r="A1813" s="62" t="s">
        <v>819</v>
      </c>
      <c r="B1813" s="62" t="s">
        <v>819</v>
      </c>
      <c r="C1813" s="63"/>
      <c r="D1813" s="64"/>
      <c r="E1813" s="65"/>
      <c r="F1813" s="66"/>
      <c r="G1813" s="63"/>
      <c r="H1813" s="67"/>
      <c r="I1813" s="68"/>
      <c r="J1813" s="68"/>
      <c r="K1813" s="32"/>
      <c r="L1813" s="75">
        <v>1813</v>
      </c>
      <c r="M1813" s="75"/>
      <c r="N1813" s="70"/>
      <c r="O1813" s="77" t="s">
        <v>1132</v>
      </c>
      <c r="P1813" s="79">
        <v>44937.468819444446</v>
      </c>
      <c r="Q1813" s="77" t="s">
        <v>2870</v>
      </c>
      <c r="R1813" s="77">
        <v>0</v>
      </c>
      <c r="S1813" s="77">
        <v>0</v>
      </c>
      <c r="T1813" s="77">
        <v>0</v>
      </c>
      <c r="U1813" s="77">
        <v>0</v>
      </c>
      <c r="V1813" s="77">
        <v>17</v>
      </c>
      <c r="W1813" s="82" t="s">
        <v>5308</v>
      </c>
      <c r="X1813" s="77"/>
      <c r="Y1813" s="77"/>
      <c r="Z1813" s="77"/>
      <c r="AA1813" s="77"/>
      <c r="AB1813" s="77"/>
      <c r="AC1813" s="82" t="s">
        <v>7705</v>
      </c>
      <c r="AD1813" s="77" t="s">
        <v>7745</v>
      </c>
      <c r="AE1813" s="80" t="str">
        <f>HYPERLINK("https://twitter.com/economedicos/status/1613132389433200641")</f>
        <v>https://twitter.com/economedicos/status/1613132389433200641</v>
      </c>
      <c r="AF1813" s="79">
        <v>44937.468819444446</v>
      </c>
      <c r="AG1813" s="85">
        <v>44937</v>
      </c>
      <c r="AH1813" s="82" t="s">
        <v>9365</v>
      </c>
      <c r="AI1813" s="77"/>
      <c r="AJ1813" s="77"/>
      <c r="AK1813" s="77"/>
      <c r="AL1813" s="77"/>
      <c r="AM1813" s="77"/>
      <c r="AN1813" s="77"/>
      <c r="AO1813" s="77"/>
      <c r="AP1813" s="77"/>
      <c r="AQ1813" s="77"/>
      <c r="AR1813" s="77"/>
      <c r="AS1813" s="77"/>
      <c r="AT1813" s="77"/>
      <c r="AU1813" s="77"/>
      <c r="AV1813" s="80" t="str">
        <f>HYPERLINK("https://pbs.twimg.com/profile_images/1283576393662636034/EjgsMA_W_normal.jpg")</f>
        <v>https://pbs.twimg.com/profile_images/1283576393662636034/EjgsMA_W_normal.jpg</v>
      </c>
      <c r="AW1813" s="82" t="s">
        <v>13978</v>
      </c>
      <c r="AX1813" s="82" t="s">
        <v>15385</v>
      </c>
      <c r="AY1813" s="82" t="s">
        <v>15767</v>
      </c>
      <c r="AZ1813" s="82" t="s">
        <v>15914</v>
      </c>
      <c r="BA1813" s="82" t="s">
        <v>15804</v>
      </c>
      <c r="BB1813" s="82" t="s">
        <v>15804</v>
      </c>
      <c r="BC1813" s="82" t="s">
        <v>15914</v>
      </c>
      <c r="BD1813" s="82" t="s">
        <v>15767</v>
      </c>
      <c r="BE1813" s="77"/>
      <c r="BF1813" s="77"/>
      <c r="BG1813" s="77"/>
      <c r="BH1813" s="77"/>
      <c r="BI1813" s="77"/>
    </row>
    <row r="1814" spans="1:61" x14ac:dyDescent="0.25">
      <c r="A1814" s="62" t="s">
        <v>819</v>
      </c>
      <c r="B1814" s="62" t="s">
        <v>819</v>
      </c>
      <c r="C1814" s="63"/>
      <c r="D1814" s="64"/>
      <c r="E1814" s="65"/>
      <c r="F1814" s="66"/>
      <c r="G1814" s="63"/>
      <c r="H1814" s="67"/>
      <c r="I1814" s="68"/>
      <c r="J1814" s="68"/>
      <c r="K1814" s="32"/>
      <c r="L1814" s="75">
        <v>1814</v>
      </c>
      <c r="M1814" s="75"/>
      <c r="N1814" s="70"/>
      <c r="O1814" s="77" t="s">
        <v>1132</v>
      </c>
      <c r="P1814" s="79">
        <v>44935.509340277778</v>
      </c>
      <c r="Q1814" s="77" t="s">
        <v>2871</v>
      </c>
      <c r="R1814" s="77">
        <v>0</v>
      </c>
      <c r="S1814" s="77">
        <v>0</v>
      </c>
      <c r="T1814" s="77">
        <v>0</v>
      </c>
      <c r="U1814" s="77">
        <v>0</v>
      </c>
      <c r="V1814" s="77">
        <v>58</v>
      </c>
      <c r="W1814" s="82" t="s">
        <v>5308</v>
      </c>
      <c r="X1814" s="77"/>
      <c r="Y1814" s="77"/>
      <c r="Z1814" s="77"/>
      <c r="AA1814" s="77"/>
      <c r="AB1814" s="77"/>
      <c r="AC1814" s="82" t="s">
        <v>7705</v>
      </c>
      <c r="AD1814" s="77" t="s">
        <v>7745</v>
      </c>
      <c r="AE1814" s="80" t="str">
        <f>HYPERLINK("https://twitter.com/economedicos/status/1612422296400023552")</f>
        <v>https://twitter.com/economedicos/status/1612422296400023552</v>
      </c>
      <c r="AF1814" s="79">
        <v>44935.509340277778</v>
      </c>
      <c r="AG1814" s="85">
        <v>44935</v>
      </c>
      <c r="AH1814" s="82" t="s">
        <v>9366</v>
      </c>
      <c r="AI1814" s="77"/>
      <c r="AJ1814" s="77"/>
      <c r="AK1814" s="77"/>
      <c r="AL1814" s="77"/>
      <c r="AM1814" s="77"/>
      <c r="AN1814" s="77"/>
      <c r="AO1814" s="77"/>
      <c r="AP1814" s="77"/>
      <c r="AQ1814" s="77"/>
      <c r="AR1814" s="77"/>
      <c r="AS1814" s="77"/>
      <c r="AT1814" s="77"/>
      <c r="AU1814" s="77"/>
      <c r="AV1814" s="80" t="str">
        <f>HYPERLINK("https://pbs.twimg.com/profile_images/1283576393662636034/EjgsMA_W_normal.jpg")</f>
        <v>https://pbs.twimg.com/profile_images/1283576393662636034/EjgsMA_W_normal.jpg</v>
      </c>
      <c r="AW1814" s="82" t="s">
        <v>13979</v>
      </c>
      <c r="AX1814" s="82" t="s">
        <v>15386</v>
      </c>
      <c r="AY1814" s="82" t="s">
        <v>15767</v>
      </c>
      <c r="AZ1814" s="82" t="s">
        <v>15915</v>
      </c>
      <c r="BA1814" s="82" t="s">
        <v>15804</v>
      </c>
      <c r="BB1814" s="82" t="s">
        <v>15804</v>
      </c>
      <c r="BC1814" s="82" t="s">
        <v>15915</v>
      </c>
      <c r="BD1814" s="82" t="s">
        <v>15767</v>
      </c>
      <c r="BE1814" s="77"/>
      <c r="BF1814" s="77"/>
      <c r="BG1814" s="77"/>
      <c r="BH1814" s="77"/>
      <c r="BI1814" s="77"/>
    </row>
    <row r="1815" spans="1:61" x14ac:dyDescent="0.25">
      <c r="A1815" s="62" t="s">
        <v>819</v>
      </c>
      <c r="B1815" s="62" t="s">
        <v>819</v>
      </c>
      <c r="C1815" s="63"/>
      <c r="D1815" s="64"/>
      <c r="E1815" s="65"/>
      <c r="F1815" s="66"/>
      <c r="G1815" s="63"/>
      <c r="H1815" s="67"/>
      <c r="I1815" s="68"/>
      <c r="J1815" s="68"/>
      <c r="K1815" s="32"/>
      <c r="L1815" s="75">
        <v>1815</v>
      </c>
      <c r="M1815" s="75"/>
      <c r="N1815" s="70"/>
      <c r="O1815" s="77" t="s">
        <v>1132</v>
      </c>
      <c r="P1815" s="79">
        <v>44932.433171296296</v>
      </c>
      <c r="Q1815" s="77" t="s">
        <v>2872</v>
      </c>
      <c r="R1815" s="77">
        <v>0</v>
      </c>
      <c r="S1815" s="77">
        <v>0</v>
      </c>
      <c r="T1815" s="77">
        <v>0</v>
      </c>
      <c r="U1815" s="77">
        <v>0</v>
      </c>
      <c r="V1815" s="77">
        <v>5</v>
      </c>
      <c r="W1815" s="82" t="s">
        <v>5308</v>
      </c>
      <c r="X1815" s="77"/>
      <c r="Y1815" s="77"/>
      <c r="Z1815" s="77"/>
      <c r="AA1815" s="77"/>
      <c r="AB1815" s="77"/>
      <c r="AC1815" s="82" t="s">
        <v>7705</v>
      </c>
      <c r="AD1815" s="77" t="s">
        <v>7745</v>
      </c>
      <c r="AE1815" s="80" t="str">
        <f>HYPERLINK("https://twitter.com/economedicos/status/1611307531908923392")</f>
        <v>https://twitter.com/economedicos/status/1611307531908923392</v>
      </c>
      <c r="AF1815" s="79">
        <v>44932.433171296296</v>
      </c>
      <c r="AG1815" s="85">
        <v>44932</v>
      </c>
      <c r="AH1815" s="82" t="s">
        <v>9367</v>
      </c>
      <c r="AI1815" s="77"/>
      <c r="AJ1815" s="77"/>
      <c r="AK1815" s="77"/>
      <c r="AL1815" s="77"/>
      <c r="AM1815" s="77"/>
      <c r="AN1815" s="77"/>
      <c r="AO1815" s="77"/>
      <c r="AP1815" s="77"/>
      <c r="AQ1815" s="77"/>
      <c r="AR1815" s="77"/>
      <c r="AS1815" s="77"/>
      <c r="AT1815" s="77"/>
      <c r="AU1815" s="77"/>
      <c r="AV1815" s="80" t="str">
        <f>HYPERLINK("https://pbs.twimg.com/profile_images/1283576393662636034/EjgsMA_W_normal.jpg")</f>
        <v>https://pbs.twimg.com/profile_images/1283576393662636034/EjgsMA_W_normal.jpg</v>
      </c>
      <c r="AW1815" s="82" t="s">
        <v>13980</v>
      </c>
      <c r="AX1815" s="82" t="s">
        <v>15387</v>
      </c>
      <c r="AY1815" s="82" t="s">
        <v>15767</v>
      </c>
      <c r="AZ1815" s="82" t="s">
        <v>15916</v>
      </c>
      <c r="BA1815" s="82" t="s">
        <v>15804</v>
      </c>
      <c r="BB1815" s="82" t="s">
        <v>15804</v>
      </c>
      <c r="BC1815" s="82" t="s">
        <v>15916</v>
      </c>
      <c r="BD1815" s="82" t="s">
        <v>15767</v>
      </c>
      <c r="BE1815" s="77"/>
      <c r="BF1815" s="77"/>
      <c r="BG1815" s="77"/>
      <c r="BH1815" s="77"/>
      <c r="BI1815" s="77"/>
    </row>
    <row r="1816" spans="1:61" x14ac:dyDescent="0.25">
      <c r="A1816" s="62" t="s">
        <v>819</v>
      </c>
      <c r="B1816" s="62" t="s">
        <v>819</v>
      </c>
      <c r="C1816" s="63"/>
      <c r="D1816" s="64"/>
      <c r="E1816" s="65"/>
      <c r="F1816" s="66"/>
      <c r="G1816" s="63"/>
      <c r="H1816" s="67"/>
      <c r="I1816" s="68"/>
      <c r="J1816" s="68"/>
      <c r="K1816" s="32"/>
      <c r="L1816" s="75">
        <v>1816</v>
      </c>
      <c r="M1816" s="75"/>
      <c r="N1816" s="70"/>
      <c r="O1816" s="77" t="s">
        <v>1132</v>
      </c>
      <c r="P1816" s="79">
        <v>44931.461527777778</v>
      </c>
      <c r="Q1816" s="77" t="s">
        <v>2873</v>
      </c>
      <c r="R1816" s="77">
        <v>0</v>
      </c>
      <c r="S1816" s="77">
        <v>0</v>
      </c>
      <c r="T1816" s="77">
        <v>0</v>
      </c>
      <c r="U1816" s="77">
        <v>0</v>
      </c>
      <c r="V1816" s="77">
        <v>5</v>
      </c>
      <c r="W1816" s="82" t="s">
        <v>5309</v>
      </c>
      <c r="X1816" s="77"/>
      <c r="Y1816" s="77"/>
      <c r="Z1816" s="77"/>
      <c r="AA1816" s="77"/>
      <c r="AB1816" s="77"/>
      <c r="AC1816" s="82" t="s">
        <v>7705</v>
      </c>
      <c r="AD1816" s="77" t="s">
        <v>7745</v>
      </c>
      <c r="AE1816" s="80" t="str">
        <f>HYPERLINK("https://twitter.com/economedicos/status/1610955417022271488")</f>
        <v>https://twitter.com/economedicos/status/1610955417022271488</v>
      </c>
      <c r="AF1816" s="79">
        <v>44931.461527777778</v>
      </c>
      <c r="AG1816" s="85">
        <v>44931</v>
      </c>
      <c r="AH1816" s="82" t="s">
        <v>9368</v>
      </c>
      <c r="AI1816" s="77"/>
      <c r="AJ1816" s="77"/>
      <c r="AK1816" s="77"/>
      <c r="AL1816" s="77"/>
      <c r="AM1816" s="77"/>
      <c r="AN1816" s="77"/>
      <c r="AO1816" s="77"/>
      <c r="AP1816" s="77"/>
      <c r="AQ1816" s="77"/>
      <c r="AR1816" s="77"/>
      <c r="AS1816" s="77"/>
      <c r="AT1816" s="77"/>
      <c r="AU1816" s="77"/>
      <c r="AV1816" s="80" t="str">
        <f>HYPERLINK("https://pbs.twimg.com/profile_images/1283576393662636034/EjgsMA_W_normal.jpg")</f>
        <v>https://pbs.twimg.com/profile_images/1283576393662636034/EjgsMA_W_normal.jpg</v>
      </c>
      <c r="AW1816" s="82" t="s">
        <v>13981</v>
      </c>
      <c r="AX1816" s="82" t="s">
        <v>15388</v>
      </c>
      <c r="AY1816" s="82" t="s">
        <v>15767</v>
      </c>
      <c r="AZ1816" s="82" t="s">
        <v>15917</v>
      </c>
      <c r="BA1816" s="82" t="s">
        <v>15804</v>
      </c>
      <c r="BB1816" s="82" t="s">
        <v>15804</v>
      </c>
      <c r="BC1816" s="82" t="s">
        <v>15917</v>
      </c>
      <c r="BD1816" s="82" t="s">
        <v>15767</v>
      </c>
      <c r="BE1816" s="77"/>
      <c r="BF1816" s="77"/>
      <c r="BG1816" s="77"/>
      <c r="BH1816" s="77"/>
      <c r="BI1816" s="77"/>
    </row>
    <row r="1817" spans="1:61" x14ac:dyDescent="0.25">
      <c r="A1817" s="62" t="s">
        <v>819</v>
      </c>
      <c r="B1817" s="62" t="s">
        <v>819</v>
      </c>
      <c r="C1817" s="63"/>
      <c r="D1817" s="64"/>
      <c r="E1817" s="65"/>
      <c r="F1817" s="66"/>
      <c r="G1817" s="63"/>
      <c r="H1817" s="67"/>
      <c r="I1817" s="68"/>
      <c r="J1817" s="68"/>
      <c r="K1817" s="32"/>
      <c r="L1817" s="75">
        <v>1817</v>
      </c>
      <c r="M1817" s="75"/>
      <c r="N1817" s="70"/>
      <c r="O1817" s="77" t="s">
        <v>1132</v>
      </c>
      <c r="P1817" s="79">
        <v>45127.469780092593</v>
      </c>
      <c r="Q1817" s="77" t="s">
        <v>2874</v>
      </c>
      <c r="R1817" s="77">
        <v>0</v>
      </c>
      <c r="S1817" s="77">
        <v>0</v>
      </c>
      <c r="T1817" s="77">
        <v>0</v>
      </c>
      <c r="U1817" s="77">
        <v>0</v>
      </c>
      <c r="V1817" s="77">
        <v>19</v>
      </c>
      <c r="W1817" s="82" t="s">
        <v>5308</v>
      </c>
      <c r="X1817" s="77"/>
      <c r="Y1817" s="77"/>
      <c r="Z1817" s="77"/>
      <c r="AA1817" s="77"/>
      <c r="AB1817" s="77"/>
      <c r="AC1817" s="82" t="s">
        <v>7705</v>
      </c>
      <c r="AD1817" s="77" t="s">
        <v>7745</v>
      </c>
      <c r="AE1817" s="80" t="str">
        <f>HYPERLINK("https://twitter.com/economedicos/status/1681986431827300352")</f>
        <v>https://twitter.com/economedicos/status/1681986431827300352</v>
      </c>
      <c r="AF1817" s="79">
        <v>45127.469780092593</v>
      </c>
      <c r="AG1817" s="85">
        <v>45127</v>
      </c>
      <c r="AH1817" s="82" t="s">
        <v>9369</v>
      </c>
      <c r="AI1817" s="77"/>
      <c r="AJ1817" s="77"/>
      <c r="AK1817" s="77"/>
      <c r="AL1817" s="77"/>
      <c r="AM1817" s="77"/>
      <c r="AN1817" s="77"/>
      <c r="AO1817" s="77"/>
      <c r="AP1817" s="77"/>
      <c r="AQ1817" s="77"/>
      <c r="AR1817" s="77"/>
      <c r="AS1817" s="77"/>
      <c r="AT1817" s="77"/>
      <c r="AU1817" s="77"/>
      <c r="AV1817" s="80" t="str">
        <f>HYPERLINK("https://pbs.twimg.com/profile_images/1283576393662636034/EjgsMA_W_normal.jpg")</f>
        <v>https://pbs.twimg.com/profile_images/1283576393662636034/EjgsMA_W_normal.jpg</v>
      </c>
      <c r="AW1817" s="82" t="s">
        <v>13982</v>
      </c>
      <c r="AX1817" s="82" t="s">
        <v>15389</v>
      </c>
      <c r="AY1817" s="82" t="s">
        <v>15767</v>
      </c>
      <c r="AZ1817" s="82" t="s">
        <v>15918</v>
      </c>
      <c r="BA1817" s="82" t="s">
        <v>15804</v>
      </c>
      <c r="BB1817" s="82" t="s">
        <v>15804</v>
      </c>
      <c r="BC1817" s="82" t="s">
        <v>15918</v>
      </c>
      <c r="BD1817" s="82" t="s">
        <v>15767</v>
      </c>
      <c r="BE1817" s="77"/>
      <c r="BF1817" s="77"/>
      <c r="BG1817" s="77"/>
      <c r="BH1817" s="77"/>
      <c r="BI1817" s="77"/>
    </row>
    <row r="1818" spans="1:61" x14ac:dyDescent="0.25">
      <c r="A1818" s="62" t="s">
        <v>819</v>
      </c>
      <c r="B1818" s="62" t="s">
        <v>819</v>
      </c>
      <c r="C1818" s="63"/>
      <c r="D1818" s="64"/>
      <c r="E1818" s="65"/>
      <c r="F1818" s="66"/>
      <c r="G1818" s="63"/>
      <c r="H1818" s="67"/>
      <c r="I1818" s="68"/>
      <c r="J1818" s="68"/>
      <c r="K1818" s="32"/>
      <c r="L1818" s="75">
        <v>1818</v>
      </c>
      <c r="M1818" s="75"/>
      <c r="N1818" s="70"/>
      <c r="O1818" s="77" t="s">
        <v>1132</v>
      </c>
      <c r="P1818" s="79">
        <v>45110.446342592593</v>
      </c>
      <c r="Q1818" s="77" t="s">
        <v>2875</v>
      </c>
      <c r="R1818" s="77">
        <v>0</v>
      </c>
      <c r="S1818" s="77">
        <v>0</v>
      </c>
      <c r="T1818" s="77">
        <v>0</v>
      </c>
      <c r="U1818" s="77">
        <v>0</v>
      </c>
      <c r="V1818" s="77">
        <v>8</v>
      </c>
      <c r="W1818" s="82" t="s">
        <v>5308</v>
      </c>
      <c r="X1818" s="77"/>
      <c r="Y1818" s="77"/>
      <c r="Z1818" s="77"/>
      <c r="AA1818" s="77"/>
      <c r="AB1818" s="77"/>
      <c r="AC1818" s="82" t="s">
        <v>7705</v>
      </c>
      <c r="AD1818" s="77" t="s">
        <v>7745</v>
      </c>
      <c r="AE1818" s="80" t="str">
        <f>HYPERLINK("https://twitter.com/economedicos/status/1675817344092733441")</f>
        <v>https://twitter.com/economedicos/status/1675817344092733441</v>
      </c>
      <c r="AF1818" s="79">
        <v>45110.446342592593</v>
      </c>
      <c r="AG1818" s="85">
        <v>45110</v>
      </c>
      <c r="AH1818" s="82" t="s">
        <v>9370</v>
      </c>
      <c r="AI1818" s="77"/>
      <c r="AJ1818" s="77"/>
      <c r="AK1818" s="77"/>
      <c r="AL1818" s="77"/>
      <c r="AM1818" s="77"/>
      <c r="AN1818" s="77"/>
      <c r="AO1818" s="77"/>
      <c r="AP1818" s="77"/>
      <c r="AQ1818" s="77"/>
      <c r="AR1818" s="77"/>
      <c r="AS1818" s="77"/>
      <c r="AT1818" s="77"/>
      <c r="AU1818" s="77"/>
      <c r="AV1818" s="80" t="str">
        <f>HYPERLINK("https://pbs.twimg.com/profile_images/1283576393662636034/EjgsMA_W_normal.jpg")</f>
        <v>https://pbs.twimg.com/profile_images/1283576393662636034/EjgsMA_W_normal.jpg</v>
      </c>
      <c r="AW1818" s="82" t="s">
        <v>13983</v>
      </c>
      <c r="AX1818" s="82" t="s">
        <v>15390</v>
      </c>
      <c r="AY1818" s="82" t="s">
        <v>15767</v>
      </c>
      <c r="AZ1818" s="82" t="s">
        <v>15919</v>
      </c>
      <c r="BA1818" s="82" t="s">
        <v>15804</v>
      </c>
      <c r="BB1818" s="82" t="s">
        <v>15804</v>
      </c>
      <c r="BC1818" s="82" t="s">
        <v>15919</v>
      </c>
      <c r="BD1818" s="82" t="s">
        <v>15767</v>
      </c>
      <c r="BE1818" s="77"/>
      <c r="BF1818" s="77"/>
      <c r="BG1818" s="77"/>
      <c r="BH1818" s="77"/>
      <c r="BI1818" s="77"/>
    </row>
    <row r="1819" spans="1:61" x14ac:dyDescent="0.25">
      <c r="A1819" s="62" t="s">
        <v>819</v>
      </c>
      <c r="B1819" s="62" t="s">
        <v>819</v>
      </c>
      <c r="C1819" s="63"/>
      <c r="D1819" s="64"/>
      <c r="E1819" s="65"/>
      <c r="F1819" s="66"/>
      <c r="G1819" s="63"/>
      <c r="H1819" s="67"/>
      <c r="I1819" s="68"/>
      <c r="J1819" s="68"/>
      <c r="K1819" s="32"/>
      <c r="L1819" s="75">
        <v>1819</v>
      </c>
      <c r="M1819" s="75"/>
      <c r="N1819" s="70"/>
      <c r="O1819" s="77" t="s">
        <v>1132</v>
      </c>
      <c r="P1819" s="79">
        <v>45091.449270833335</v>
      </c>
      <c r="Q1819" s="77" t="s">
        <v>2876</v>
      </c>
      <c r="R1819" s="77">
        <v>0</v>
      </c>
      <c r="S1819" s="77">
        <v>0</v>
      </c>
      <c r="T1819" s="77">
        <v>0</v>
      </c>
      <c r="U1819" s="77">
        <v>0</v>
      </c>
      <c r="V1819" s="77">
        <v>4</v>
      </c>
      <c r="W1819" s="82" t="s">
        <v>5308</v>
      </c>
      <c r="X1819" s="77"/>
      <c r="Y1819" s="77"/>
      <c r="Z1819" s="77"/>
      <c r="AA1819" s="77"/>
      <c r="AB1819" s="77"/>
      <c r="AC1819" s="82" t="s">
        <v>7705</v>
      </c>
      <c r="AD1819" s="77" t="s">
        <v>7745</v>
      </c>
      <c r="AE1819" s="80" t="str">
        <f>HYPERLINK("https://twitter.com/economedicos/status/1668933033783709698")</f>
        <v>https://twitter.com/economedicos/status/1668933033783709698</v>
      </c>
      <c r="AF1819" s="79">
        <v>45091.449270833335</v>
      </c>
      <c r="AG1819" s="85">
        <v>45091</v>
      </c>
      <c r="AH1819" s="82" t="s">
        <v>9371</v>
      </c>
      <c r="AI1819" s="77"/>
      <c r="AJ1819" s="77"/>
      <c r="AK1819" s="77"/>
      <c r="AL1819" s="77"/>
      <c r="AM1819" s="77"/>
      <c r="AN1819" s="77"/>
      <c r="AO1819" s="77"/>
      <c r="AP1819" s="77"/>
      <c r="AQ1819" s="77"/>
      <c r="AR1819" s="77"/>
      <c r="AS1819" s="77"/>
      <c r="AT1819" s="77"/>
      <c r="AU1819" s="77"/>
      <c r="AV1819" s="80" t="str">
        <f>HYPERLINK("https://pbs.twimg.com/profile_images/1283576393662636034/EjgsMA_W_normal.jpg")</f>
        <v>https://pbs.twimg.com/profile_images/1283576393662636034/EjgsMA_W_normal.jpg</v>
      </c>
      <c r="AW1819" s="82" t="s">
        <v>13984</v>
      </c>
      <c r="AX1819" s="82" t="s">
        <v>15391</v>
      </c>
      <c r="AY1819" s="82" t="s">
        <v>15767</v>
      </c>
      <c r="AZ1819" s="82" t="s">
        <v>15920</v>
      </c>
      <c r="BA1819" s="82" t="s">
        <v>15804</v>
      </c>
      <c r="BB1819" s="82" t="s">
        <v>15804</v>
      </c>
      <c r="BC1819" s="82" t="s">
        <v>15920</v>
      </c>
      <c r="BD1819" s="82" t="s">
        <v>15767</v>
      </c>
      <c r="BE1819" s="77"/>
      <c r="BF1819" s="77"/>
      <c r="BG1819" s="77"/>
      <c r="BH1819" s="77"/>
      <c r="BI1819" s="77"/>
    </row>
    <row r="1820" spans="1:61" x14ac:dyDescent="0.25">
      <c r="A1820" s="62" t="s">
        <v>819</v>
      </c>
      <c r="B1820" s="62" t="s">
        <v>819</v>
      </c>
      <c r="C1820" s="63"/>
      <c r="D1820" s="64"/>
      <c r="E1820" s="65"/>
      <c r="F1820" s="66"/>
      <c r="G1820" s="63"/>
      <c r="H1820" s="67"/>
      <c r="I1820" s="68"/>
      <c r="J1820" s="68"/>
      <c r="K1820" s="32"/>
      <c r="L1820" s="75">
        <v>1820</v>
      </c>
      <c r="M1820" s="75"/>
      <c r="N1820" s="70"/>
      <c r="O1820" s="77" t="s">
        <v>1132</v>
      </c>
      <c r="P1820" s="79">
        <v>45089.451979166668</v>
      </c>
      <c r="Q1820" s="77" t="s">
        <v>2877</v>
      </c>
      <c r="R1820" s="77">
        <v>0</v>
      </c>
      <c r="S1820" s="77">
        <v>0</v>
      </c>
      <c r="T1820" s="77">
        <v>0</v>
      </c>
      <c r="U1820" s="77">
        <v>0</v>
      </c>
      <c r="V1820" s="77">
        <v>3</v>
      </c>
      <c r="W1820" s="82" t="s">
        <v>5308</v>
      </c>
      <c r="X1820" s="77"/>
      <c r="Y1820" s="77"/>
      <c r="Z1820" s="77"/>
      <c r="AA1820" s="77"/>
      <c r="AB1820" s="77"/>
      <c r="AC1820" s="82" t="s">
        <v>7705</v>
      </c>
      <c r="AD1820" s="77" t="s">
        <v>7745</v>
      </c>
      <c r="AE1820" s="80" t="str">
        <f>HYPERLINK("https://twitter.com/economedicos/status/1668209241113460736")</f>
        <v>https://twitter.com/economedicos/status/1668209241113460736</v>
      </c>
      <c r="AF1820" s="79">
        <v>45089.451979166668</v>
      </c>
      <c r="AG1820" s="85">
        <v>45089</v>
      </c>
      <c r="AH1820" s="82" t="s">
        <v>9372</v>
      </c>
      <c r="AI1820" s="77"/>
      <c r="AJ1820" s="77"/>
      <c r="AK1820" s="77"/>
      <c r="AL1820" s="77"/>
      <c r="AM1820" s="77"/>
      <c r="AN1820" s="77"/>
      <c r="AO1820" s="77"/>
      <c r="AP1820" s="77"/>
      <c r="AQ1820" s="77"/>
      <c r="AR1820" s="77"/>
      <c r="AS1820" s="77"/>
      <c r="AT1820" s="77"/>
      <c r="AU1820" s="77"/>
      <c r="AV1820" s="80" t="str">
        <f>HYPERLINK("https://pbs.twimg.com/profile_images/1283576393662636034/EjgsMA_W_normal.jpg")</f>
        <v>https://pbs.twimg.com/profile_images/1283576393662636034/EjgsMA_W_normal.jpg</v>
      </c>
      <c r="AW1820" s="82" t="s">
        <v>13985</v>
      </c>
      <c r="AX1820" s="82" t="s">
        <v>15392</v>
      </c>
      <c r="AY1820" s="82" t="s">
        <v>15767</v>
      </c>
      <c r="AZ1820" s="82" t="s">
        <v>15921</v>
      </c>
      <c r="BA1820" s="82" t="s">
        <v>15804</v>
      </c>
      <c r="BB1820" s="82" t="s">
        <v>15804</v>
      </c>
      <c r="BC1820" s="82" t="s">
        <v>15921</v>
      </c>
      <c r="BD1820" s="82" t="s">
        <v>15767</v>
      </c>
      <c r="BE1820" s="77"/>
      <c r="BF1820" s="77"/>
      <c r="BG1820" s="77"/>
      <c r="BH1820" s="77"/>
      <c r="BI1820" s="77"/>
    </row>
    <row r="1821" spans="1:61" x14ac:dyDescent="0.25">
      <c r="A1821" s="62" t="s">
        <v>819</v>
      </c>
      <c r="B1821" s="62" t="s">
        <v>819</v>
      </c>
      <c r="C1821" s="63"/>
      <c r="D1821" s="64"/>
      <c r="E1821" s="65"/>
      <c r="F1821" s="66"/>
      <c r="G1821" s="63"/>
      <c r="H1821" s="67"/>
      <c r="I1821" s="68"/>
      <c r="J1821" s="68"/>
      <c r="K1821" s="32"/>
      <c r="L1821" s="75">
        <v>1821</v>
      </c>
      <c r="M1821" s="75"/>
      <c r="N1821" s="70"/>
      <c r="O1821" s="77" t="s">
        <v>1132</v>
      </c>
      <c r="P1821" s="79">
        <v>45086.575972222221</v>
      </c>
      <c r="Q1821" s="77" t="s">
        <v>2878</v>
      </c>
      <c r="R1821" s="77">
        <v>0</v>
      </c>
      <c r="S1821" s="77">
        <v>0</v>
      </c>
      <c r="T1821" s="77">
        <v>0</v>
      </c>
      <c r="U1821" s="77">
        <v>0</v>
      </c>
      <c r="V1821" s="77">
        <v>1</v>
      </c>
      <c r="W1821" s="82" t="s">
        <v>5308</v>
      </c>
      <c r="X1821" s="77"/>
      <c r="Y1821" s="77"/>
      <c r="Z1821" s="77"/>
      <c r="AA1821" s="77"/>
      <c r="AB1821" s="77"/>
      <c r="AC1821" s="82" t="s">
        <v>7705</v>
      </c>
      <c r="AD1821" s="77" t="s">
        <v>7745</v>
      </c>
      <c r="AE1821" s="80" t="str">
        <f>HYPERLINK("https://twitter.com/economedicos/status/1667167009270816769")</f>
        <v>https://twitter.com/economedicos/status/1667167009270816769</v>
      </c>
      <c r="AF1821" s="79">
        <v>45086.575972222221</v>
      </c>
      <c r="AG1821" s="85">
        <v>45086</v>
      </c>
      <c r="AH1821" s="82" t="s">
        <v>9373</v>
      </c>
      <c r="AI1821" s="77"/>
      <c r="AJ1821" s="77"/>
      <c r="AK1821" s="77"/>
      <c r="AL1821" s="77"/>
      <c r="AM1821" s="77"/>
      <c r="AN1821" s="77"/>
      <c r="AO1821" s="77"/>
      <c r="AP1821" s="77"/>
      <c r="AQ1821" s="77"/>
      <c r="AR1821" s="77"/>
      <c r="AS1821" s="77"/>
      <c r="AT1821" s="77"/>
      <c r="AU1821" s="77"/>
      <c r="AV1821" s="80" t="str">
        <f>HYPERLINK("https://pbs.twimg.com/profile_images/1283576393662636034/EjgsMA_W_normal.jpg")</f>
        <v>https://pbs.twimg.com/profile_images/1283576393662636034/EjgsMA_W_normal.jpg</v>
      </c>
      <c r="AW1821" s="82" t="s">
        <v>13986</v>
      </c>
      <c r="AX1821" s="82" t="s">
        <v>15393</v>
      </c>
      <c r="AY1821" s="82" t="s">
        <v>15767</v>
      </c>
      <c r="AZ1821" s="82" t="s">
        <v>15922</v>
      </c>
      <c r="BA1821" s="82" t="s">
        <v>15804</v>
      </c>
      <c r="BB1821" s="82" t="s">
        <v>15804</v>
      </c>
      <c r="BC1821" s="82" t="s">
        <v>15922</v>
      </c>
      <c r="BD1821" s="82" t="s">
        <v>15767</v>
      </c>
      <c r="BE1821" s="77"/>
      <c r="BF1821" s="77"/>
      <c r="BG1821" s="77"/>
      <c r="BH1821" s="77"/>
      <c r="BI1821" s="77"/>
    </row>
    <row r="1822" spans="1:61" x14ac:dyDescent="0.25">
      <c r="A1822" s="62" t="s">
        <v>819</v>
      </c>
      <c r="B1822" s="62" t="s">
        <v>819</v>
      </c>
      <c r="C1822" s="63"/>
      <c r="D1822" s="64"/>
      <c r="E1822" s="65"/>
      <c r="F1822" s="66"/>
      <c r="G1822" s="63"/>
      <c r="H1822" s="67"/>
      <c r="I1822" s="68"/>
      <c r="J1822" s="68"/>
      <c r="K1822" s="32"/>
      <c r="L1822" s="75">
        <v>1822</v>
      </c>
      <c r="M1822" s="75"/>
      <c r="N1822" s="70"/>
      <c r="O1822" s="77" t="s">
        <v>1132</v>
      </c>
      <c r="P1822" s="79">
        <v>45049.477592592593</v>
      </c>
      <c r="Q1822" s="77" t="s">
        <v>2879</v>
      </c>
      <c r="R1822" s="77">
        <v>0</v>
      </c>
      <c r="S1822" s="77">
        <v>0</v>
      </c>
      <c r="T1822" s="77">
        <v>0</v>
      </c>
      <c r="U1822" s="77">
        <v>0</v>
      </c>
      <c r="V1822" s="77">
        <v>5</v>
      </c>
      <c r="W1822" s="82" t="s">
        <v>5308</v>
      </c>
      <c r="X1822" s="77"/>
      <c r="Y1822" s="77"/>
      <c r="Z1822" s="77"/>
      <c r="AA1822" s="77"/>
      <c r="AB1822" s="77"/>
      <c r="AC1822" s="82" t="s">
        <v>7705</v>
      </c>
      <c r="AD1822" s="77" t="s">
        <v>7745</v>
      </c>
      <c r="AE1822" s="80" t="str">
        <f>HYPERLINK("https://twitter.com/economedicos/status/1653723009046261763")</f>
        <v>https://twitter.com/economedicos/status/1653723009046261763</v>
      </c>
      <c r="AF1822" s="79">
        <v>45049.477592592593</v>
      </c>
      <c r="AG1822" s="85">
        <v>45049</v>
      </c>
      <c r="AH1822" s="82" t="s">
        <v>9374</v>
      </c>
      <c r="AI1822" s="77"/>
      <c r="AJ1822" s="77"/>
      <c r="AK1822" s="77"/>
      <c r="AL1822" s="77"/>
      <c r="AM1822" s="77"/>
      <c r="AN1822" s="77"/>
      <c r="AO1822" s="77"/>
      <c r="AP1822" s="77"/>
      <c r="AQ1822" s="77"/>
      <c r="AR1822" s="77"/>
      <c r="AS1822" s="77"/>
      <c r="AT1822" s="77"/>
      <c r="AU1822" s="77"/>
      <c r="AV1822" s="80" t="str">
        <f>HYPERLINK("https://pbs.twimg.com/profile_images/1283576393662636034/EjgsMA_W_normal.jpg")</f>
        <v>https://pbs.twimg.com/profile_images/1283576393662636034/EjgsMA_W_normal.jpg</v>
      </c>
      <c r="AW1822" s="82" t="s">
        <v>13987</v>
      </c>
      <c r="AX1822" s="82" t="s">
        <v>15394</v>
      </c>
      <c r="AY1822" s="82" t="s">
        <v>15767</v>
      </c>
      <c r="AZ1822" s="82" t="s">
        <v>15923</v>
      </c>
      <c r="BA1822" s="82" t="s">
        <v>15804</v>
      </c>
      <c r="BB1822" s="82" t="s">
        <v>15804</v>
      </c>
      <c r="BC1822" s="82" t="s">
        <v>15923</v>
      </c>
      <c r="BD1822" s="82" t="s">
        <v>15767</v>
      </c>
      <c r="BE1822" s="77"/>
      <c r="BF1822" s="77"/>
      <c r="BG1822" s="77"/>
      <c r="BH1822" s="77"/>
      <c r="BI1822" s="77"/>
    </row>
    <row r="1823" spans="1:61" x14ac:dyDescent="0.25">
      <c r="A1823" s="62" t="s">
        <v>819</v>
      </c>
      <c r="B1823" s="62" t="s">
        <v>819</v>
      </c>
      <c r="C1823" s="63"/>
      <c r="D1823" s="64"/>
      <c r="E1823" s="65"/>
      <c r="F1823" s="66"/>
      <c r="G1823" s="63"/>
      <c r="H1823" s="67"/>
      <c r="I1823" s="68"/>
      <c r="J1823" s="68"/>
      <c r="K1823" s="32"/>
      <c r="L1823" s="75">
        <v>1823</v>
      </c>
      <c r="M1823" s="75"/>
      <c r="N1823" s="70"/>
      <c r="O1823" s="77" t="s">
        <v>1132</v>
      </c>
      <c r="P1823" s="79">
        <v>45048.466053240743</v>
      </c>
      <c r="Q1823" s="77" t="s">
        <v>2880</v>
      </c>
      <c r="R1823" s="77">
        <v>0</v>
      </c>
      <c r="S1823" s="77">
        <v>0</v>
      </c>
      <c r="T1823" s="77">
        <v>0</v>
      </c>
      <c r="U1823" s="77">
        <v>0</v>
      </c>
      <c r="V1823" s="77">
        <v>3</v>
      </c>
      <c r="W1823" s="82" t="s">
        <v>5308</v>
      </c>
      <c r="X1823" s="77"/>
      <c r="Y1823" s="77"/>
      <c r="Z1823" s="77"/>
      <c r="AA1823" s="77"/>
      <c r="AB1823" s="77"/>
      <c r="AC1823" s="82" t="s">
        <v>7705</v>
      </c>
      <c r="AD1823" s="77" t="s">
        <v>7745</v>
      </c>
      <c r="AE1823" s="80" t="str">
        <f>HYPERLINK("https://twitter.com/economedicos/status/1653356439614701568")</f>
        <v>https://twitter.com/economedicos/status/1653356439614701568</v>
      </c>
      <c r="AF1823" s="79">
        <v>45048.466053240743</v>
      </c>
      <c r="AG1823" s="85">
        <v>45048</v>
      </c>
      <c r="AH1823" s="82" t="s">
        <v>9375</v>
      </c>
      <c r="AI1823" s="77"/>
      <c r="AJ1823" s="77"/>
      <c r="AK1823" s="77"/>
      <c r="AL1823" s="77"/>
      <c r="AM1823" s="77"/>
      <c r="AN1823" s="77"/>
      <c r="AO1823" s="77"/>
      <c r="AP1823" s="77"/>
      <c r="AQ1823" s="77"/>
      <c r="AR1823" s="77"/>
      <c r="AS1823" s="77"/>
      <c r="AT1823" s="77"/>
      <c r="AU1823" s="77"/>
      <c r="AV1823" s="80" t="str">
        <f>HYPERLINK("https://pbs.twimg.com/profile_images/1283576393662636034/EjgsMA_W_normal.jpg")</f>
        <v>https://pbs.twimg.com/profile_images/1283576393662636034/EjgsMA_W_normal.jpg</v>
      </c>
      <c r="AW1823" s="82" t="s">
        <v>13988</v>
      </c>
      <c r="AX1823" s="82" t="s">
        <v>15395</v>
      </c>
      <c r="AY1823" s="82" t="s">
        <v>15767</v>
      </c>
      <c r="AZ1823" s="82" t="s">
        <v>15924</v>
      </c>
      <c r="BA1823" s="82" t="s">
        <v>15804</v>
      </c>
      <c r="BB1823" s="82" t="s">
        <v>15804</v>
      </c>
      <c r="BC1823" s="82" t="s">
        <v>15924</v>
      </c>
      <c r="BD1823" s="82" t="s">
        <v>15767</v>
      </c>
      <c r="BE1823" s="77"/>
      <c r="BF1823" s="77"/>
      <c r="BG1823" s="77"/>
      <c r="BH1823" s="77"/>
      <c r="BI1823" s="77"/>
    </row>
    <row r="1824" spans="1:61" x14ac:dyDescent="0.25">
      <c r="A1824" s="62" t="s">
        <v>819</v>
      </c>
      <c r="B1824" s="62" t="s">
        <v>819</v>
      </c>
      <c r="C1824" s="63"/>
      <c r="D1824" s="64"/>
      <c r="E1824" s="65"/>
      <c r="F1824" s="66"/>
      <c r="G1824" s="63"/>
      <c r="H1824" s="67"/>
      <c r="I1824" s="68"/>
      <c r="J1824" s="68"/>
      <c r="K1824" s="32"/>
      <c r="L1824" s="75">
        <v>1824</v>
      </c>
      <c r="M1824" s="75"/>
      <c r="N1824" s="70"/>
      <c r="O1824" s="77" t="s">
        <v>1132</v>
      </c>
      <c r="P1824" s="79">
        <v>45040.4453125</v>
      </c>
      <c r="Q1824" s="77" t="s">
        <v>2881</v>
      </c>
      <c r="R1824" s="77">
        <v>0</v>
      </c>
      <c r="S1824" s="77">
        <v>0</v>
      </c>
      <c r="T1824" s="77">
        <v>0</v>
      </c>
      <c r="U1824" s="77">
        <v>0</v>
      </c>
      <c r="V1824" s="77">
        <v>2</v>
      </c>
      <c r="W1824" s="82" t="s">
        <v>5308</v>
      </c>
      <c r="X1824" s="77"/>
      <c r="Y1824" s="77"/>
      <c r="Z1824" s="77"/>
      <c r="AA1824" s="77"/>
      <c r="AB1824" s="77"/>
      <c r="AC1824" s="82" t="s">
        <v>7705</v>
      </c>
      <c r="AD1824" s="77" t="s">
        <v>7745</v>
      </c>
      <c r="AE1824" s="80" t="str">
        <f>HYPERLINK("https://twitter.com/economedicos/status/1650449818123223040")</f>
        <v>https://twitter.com/economedicos/status/1650449818123223040</v>
      </c>
      <c r="AF1824" s="79">
        <v>45040.4453125</v>
      </c>
      <c r="AG1824" s="85">
        <v>45040</v>
      </c>
      <c r="AH1824" s="82" t="s">
        <v>9376</v>
      </c>
      <c r="AI1824" s="77"/>
      <c r="AJ1824" s="77"/>
      <c r="AK1824" s="77"/>
      <c r="AL1824" s="77"/>
      <c r="AM1824" s="77"/>
      <c r="AN1824" s="77"/>
      <c r="AO1824" s="77"/>
      <c r="AP1824" s="77"/>
      <c r="AQ1824" s="77"/>
      <c r="AR1824" s="77"/>
      <c r="AS1824" s="77"/>
      <c r="AT1824" s="77"/>
      <c r="AU1824" s="77"/>
      <c r="AV1824" s="80" t="str">
        <f>HYPERLINK("https://pbs.twimg.com/profile_images/1283576393662636034/EjgsMA_W_normal.jpg")</f>
        <v>https://pbs.twimg.com/profile_images/1283576393662636034/EjgsMA_W_normal.jpg</v>
      </c>
      <c r="AW1824" s="82" t="s">
        <v>13989</v>
      </c>
      <c r="AX1824" s="82" t="s">
        <v>15396</v>
      </c>
      <c r="AY1824" s="82" t="s">
        <v>15767</v>
      </c>
      <c r="AZ1824" s="82" t="s">
        <v>15925</v>
      </c>
      <c r="BA1824" s="82" t="s">
        <v>15804</v>
      </c>
      <c r="BB1824" s="82" t="s">
        <v>15804</v>
      </c>
      <c r="BC1824" s="82" t="s">
        <v>15925</v>
      </c>
      <c r="BD1824" s="82" t="s">
        <v>15767</v>
      </c>
      <c r="BE1824" s="77"/>
      <c r="BF1824" s="77"/>
      <c r="BG1824" s="77"/>
      <c r="BH1824" s="77"/>
      <c r="BI1824" s="77"/>
    </row>
    <row r="1825" spans="1:61" x14ac:dyDescent="0.25">
      <c r="A1825" s="62" t="s">
        <v>819</v>
      </c>
      <c r="B1825" s="62" t="s">
        <v>819</v>
      </c>
      <c r="C1825" s="63"/>
      <c r="D1825" s="64"/>
      <c r="E1825" s="65"/>
      <c r="F1825" s="66"/>
      <c r="G1825" s="63"/>
      <c r="H1825" s="67"/>
      <c r="I1825" s="68"/>
      <c r="J1825" s="68"/>
      <c r="K1825" s="32"/>
      <c r="L1825" s="75">
        <v>1825</v>
      </c>
      <c r="M1825" s="75"/>
      <c r="N1825" s="70"/>
      <c r="O1825" s="77" t="s">
        <v>1132</v>
      </c>
      <c r="P1825" s="79">
        <v>45002.439745370371</v>
      </c>
      <c r="Q1825" s="77" t="s">
        <v>2882</v>
      </c>
      <c r="R1825" s="77">
        <v>0</v>
      </c>
      <c r="S1825" s="77">
        <v>0</v>
      </c>
      <c r="T1825" s="77">
        <v>0</v>
      </c>
      <c r="U1825" s="77">
        <v>0</v>
      </c>
      <c r="V1825" s="77">
        <v>7</v>
      </c>
      <c r="W1825" s="82" t="s">
        <v>5308</v>
      </c>
      <c r="X1825" s="77"/>
      <c r="Y1825" s="77"/>
      <c r="Z1825" s="77"/>
      <c r="AA1825" s="77"/>
      <c r="AB1825" s="77"/>
      <c r="AC1825" s="82" t="s">
        <v>7705</v>
      </c>
      <c r="AD1825" s="77" t="s">
        <v>7745</v>
      </c>
      <c r="AE1825" s="80" t="str">
        <f>HYPERLINK("https://twitter.com/economedicos/status/1636677063221424128")</f>
        <v>https://twitter.com/economedicos/status/1636677063221424128</v>
      </c>
      <c r="AF1825" s="79">
        <v>45002.439745370371</v>
      </c>
      <c r="AG1825" s="85">
        <v>45002</v>
      </c>
      <c r="AH1825" s="82" t="s">
        <v>9377</v>
      </c>
      <c r="AI1825" s="77"/>
      <c r="AJ1825" s="77"/>
      <c r="AK1825" s="77"/>
      <c r="AL1825" s="77"/>
      <c r="AM1825" s="77"/>
      <c r="AN1825" s="77"/>
      <c r="AO1825" s="77"/>
      <c r="AP1825" s="77"/>
      <c r="AQ1825" s="77"/>
      <c r="AR1825" s="77"/>
      <c r="AS1825" s="77"/>
      <c r="AT1825" s="77"/>
      <c r="AU1825" s="77"/>
      <c r="AV1825" s="80" t="str">
        <f>HYPERLINK("https://pbs.twimg.com/profile_images/1283576393662636034/EjgsMA_W_normal.jpg")</f>
        <v>https://pbs.twimg.com/profile_images/1283576393662636034/EjgsMA_W_normal.jpg</v>
      </c>
      <c r="AW1825" s="82" t="s">
        <v>13990</v>
      </c>
      <c r="AX1825" s="82" t="s">
        <v>15397</v>
      </c>
      <c r="AY1825" s="82" t="s">
        <v>15767</v>
      </c>
      <c r="AZ1825" s="82" t="s">
        <v>15926</v>
      </c>
      <c r="BA1825" s="82" t="s">
        <v>15804</v>
      </c>
      <c r="BB1825" s="82" t="s">
        <v>15804</v>
      </c>
      <c r="BC1825" s="82" t="s">
        <v>15926</v>
      </c>
      <c r="BD1825" s="82" t="s">
        <v>15767</v>
      </c>
      <c r="BE1825" s="77"/>
      <c r="BF1825" s="77"/>
      <c r="BG1825" s="77"/>
      <c r="BH1825" s="77"/>
      <c r="BI1825" s="77"/>
    </row>
    <row r="1826" spans="1:61" x14ac:dyDescent="0.25">
      <c r="A1826" s="62" t="s">
        <v>819</v>
      </c>
      <c r="B1826" s="62" t="s">
        <v>819</v>
      </c>
      <c r="C1826" s="63"/>
      <c r="D1826" s="64"/>
      <c r="E1826" s="65"/>
      <c r="F1826" s="66"/>
      <c r="G1826" s="63"/>
      <c r="H1826" s="67"/>
      <c r="I1826" s="68"/>
      <c r="J1826" s="68"/>
      <c r="K1826" s="32"/>
      <c r="L1826" s="75">
        <v>1826</v>
      </c>
      <c r="M1826" s="75"/>
      <c r="N1826" s="70"/>
      <c r="O1826" s="77" t="s">
        <v>1132</v>
      </c>
      <c r="P1826" s="79">
        <v>45001.452268518522</v>
      </c>
      <c r="Q1826" s="77" t="s">
        <v>2883</v>
      </c>
      <c r="R1826" s="77">
        <v>0</v>
      </c>
      <c r="S1826" s="77">
        <v>1</v>
      </c>
      <c r="T1826" s="77">
        <v>0</v>
      </c>
      <c r="U1826" s="77">
        <v>0</v>
      </c>
      <c r="V1826" s="77">
        <v>14</v>
      </c>
      <c r="W1826" s="82" t="s">
        <v>5308</v>
      </c>
      <c r="X1826" s="77"/>
      <c r="Y1826" s="77"/>
      <c r="Z1826" s="77"/>
      <c r="AA1826" s="77"/>
      <c r="AB1826" s="77"/>
      <c r="AC1826" s="82" t="s">
        <v>7705</v>
      </c>
      <c r="AD1826" s="77" t="s">
        <v>7745</v>
      </c>
      <c r="AE1826" s="80" t="str">
        <f>HYPERLINK("https://twitter.com/economedicos/status/1636319213689229314")</f>
        <v>https://twitter.com/economedicos/status/1636319213689229314</v>
      </c>
      <c r="AF1826" s="79">
        <v>45001.452268518522</v>
      </c>
      <c r="AG1826" s="85">
        <v>45001</v>
      </c>
      <c r="AH1826" s="82" t="s">
        <v>9378</v>
      </c>
      <c r="AI1826" s="77"/>
      <c r="AJ1826" s="77"/>
      <c r="AK1826" s="77"/>
      <c r="AL1826" s="77"/>
      <c r="AM1826" s="77"/>
      <c r="AN1826" s="77"/>
      <c r="AO1826" s="77"/>
      <c r="AP1826" s="77"/>
      <c r="AQ1826" s="77"/>
      <c r="AR1826" s="77"/>
      <c r="AS1826" s="77"/>
      <c r="AT1826" s="77"/>
      <c r="AU1826" s="77"/>
      <c r="AV1826" s="80" t="str">
        <f>HYPERLINK("https://pbs.twimg.com/profile_images/1283576393662636034/EjgsMA_W_normal.jpg")</f>
        <v>https://pbs.twimg.com/profile_images/1283576393662636034/EjgsMA_W_normal.jpg</v>
      </c>
      <c r="AW1826" s="82" t="s">
        <v>13991</v>
      </c>
      <c r="AX1826" s="82" t="s">
        <v>15398</v>
      </c>
      <c r="AY1826" s="82" t="s">
        <v>15767</v>
      </c>
      <c r="AZ1826" s="82" t="s">
        <v>15927</v>
      </c>
      <c r="BA1826" s="82" t="s">
        <v>15804</v>
      </c>
      <c r="BB1826" s="82" t="s">
        <v>15804</v>
      </c>
      <c r="BC1826" s="82" t="s">
        <v>15927</v>
      </c>
      <c r="BD1826" s="82" t="s">
        <v>15767</v>
      </c>
      <c r="BE1826" s="77"/>
      <c r="BF1826" s="77"/>
      <c r="BG1826" s="77"/>
      <c r="BH1826" s="77"/>
      <c r="BI1826" s="77"/>
    </row>
    <row r="1827" spans="1:61" x14ac:dyDescent="0.25">
      <c r="A1827" s="62" t="s">
        <v>819</v>
      </c>
      <c r="B1827" s="62" t="s">
        <v>819</v>
      </c>
      <c r="C1827" s="63"/>
      <c r="D1827" s="64"/>
      <c r="E1827" s="65"/>
      <c r="F1827" s="66"/>
      <c r="G1827" s="63"/>
      <c r="H1827" s="67"/>
      <c r="I1827" s="68"/>
      <c r="J1827" s="68"/>
      <c r="K1827" s="32"/>
      <c r="L1827" s="75">
        <v>1827</v>
      </c>
      <c r="M1827" s="75"/>
      <c r="N1827" s="70"/>
      <c r="O1827" s="77" t="s">
        <v>1132</v>
      </c>
      <c r="P1827" s="79">
        <v>45000.633263888885</v>
      </c>
      <c r="Q1827" s="77" t="s">
        <v>2884</v>
      </c>
      <c r="R1827" s="77">
        <v>0</v>
      </c>
      <c r="S1827" s="77">
        <v>0</v>
      </c>
      <c r="T1827" s="77">
        <v>0</v>
      </c>
      <c r="U1827" s="77">
        <v>0</v>
      </c>
      <c r="V1827" s="77">
        <v>114</v>
      </c>
      <c r="W1827" s="82" t="s">
        <v>5308</v>
      </c>
      <c r="X1827" s="77"/>
      <c r="Y1827" s="77"/>
      <c r="Z1827" s="77"/>
      <c r="AA1827" s="77"/>
      <c r="AB1827" s="77"/>
      <c r="AC1827" s="82" t="s">
        <v>7705</v>
      </c>
      <c r="AD1827" s="77" t="s">
        <v>7745</v>
      </c>
      <c r="AE1827" s="80" t="str">
        <f>HYPERLINK("https://twitter.com/economedicos/status/1636022414277505027")</f>
        <v>https://twitter.com/economedicos/status/1636022414277505027</v>
      </c>
      <c r="AF1827" s="79">
        <v>45000.633263888885</v>
      </c>
      <c r="AG1827" s="85">
        <v>45000</v>
      </c>
      <c r="AH1827" s="82" t="s">
        <v>9379</v>
      </c>
      <c r="AI1827" s="77"/>
      <c r="AJ1827" s="77"/>
      <c r="AK1827" s="77"/>
      <c r="AL1827" s="77"/>
      <c r="AM1827" s="77"/>
      <c r="AN1827" s="77"/>
      <c r="AO1827" s="77"/>
      <c r="AP1827" s="77"/>
      <c r="AQ1827" s="77"/>
      <c r="AR1827" s="77"/>
      <c r="AS1827" s="77"/>
      <c r="AT1827" s="77"/>
      <c r="AU1827" s="77"/>
      <c r="AV1827" s="80" t="str">
        <f>HYPERLINK("https://pbs.twimg.com/profile_images/1283576393662636034/EjgsMA_W_normal.jpg")</f>
        <v>https://pbs.twimg.com/profile_images/1283576393662636034/EjgsMA_W_normal.jpg</v>
      </c>
      <c r="AW1827" s="82" t="s">
        <v>13992</v>
      </c>
      <c r="AX1827" s="82" t="s">
        <v>15399</v>
      </c>
      <c r="AY1827" s="82" t="s">
        <v>15767</v>
      </c>
      <c r="AZ1827" s="82" t="s">
        <v>15928</v>
      </c>
      <c r="BA1827" s="82" t="s">
        <v>15804</v>
      </c>
      <c r="BB1827" s="82" t="s">
        <v>15804</v>
      </c>
      <c r="BC1827" s="82" t="s">
        <v>15928</v>
      </c>
      <c r="BD1827" s="82" t="s">
        <v>15767</v>
      </c>
      <c r="BE1827" s="77"/>
      <c r="BF1827" s="77"/>
      <c r="BG1827" s="77"/>
      <c r="BH1827" s="77"/>
      <c r="BI1827" s="77"/>
    </row>
    <row r="1828" spans="1:61" x14ac:dyDescent="0.25">
      <c r="A1828" s="62" t="s">
        <v>819</v>
      </c>
      <c r="B1828" s="62" t="s">
        <v>819</v>
      </c>
      <c r="C1828" s="63"/>
      <c r="D1828" s="64"/>
      <c r="E1828" s="65"/>
      <c r="F1828" s="66"/>
      <c r="G1828" s="63"/>
      <c r="H1828" s="67"/>
      <c r="I1828" s="68"/>
      <c r="J1828" s="68"/>
      <c r="K1828" s="32"/>
      <c r="L1828" s="75">
        <v>1828</v>
      </c>
      <c r="M1828" s="75"/>
      <c r="N1828" s="70"/>
      <c r="O1828" s="77" t="s">
        <v>1132</v>
      </c>
      <c r="P1828" s="79">
        <v>44999.453298611108</v>
      </c>
      <c r="Q1828" s="77" t="s">
        <v>2885</v>
      </c>
      <c r="R1828" s="77">
        <v>0</v>
      </c>
      <c r="S1828" s="77">
        <v>0</v>
      </c>
      <c r="T1828" s="77">
        <v>0</v>
      </c>
      <c r="U1828" s="77">
        <v>0</v>
      </c>
      <c r="V1828" s="77">
        <v>9</v>
      </c>
      <c r="W1828" s="82" t="s">
        <v>5308</v>
      </c>
      <c r="X1828" s="77"/>
      <c r="Y1828" s="77"/>
      <c r="Z1828" s="77"/>
      <c r="AA1828" s="77"/>
      <c r="AB1828" s="77"/>
      <c r="AC1828" s="82" t="s">
        <v>7705</v>
      </c>
      <c r="AD1828" s="77" t="s">
        <v>7745</v>
      </c>
      <c r="AE1828" s="80" t="str">
        <f>HYPERLINK("https://twitter.com/economedicos/status/1635594811544592387")</f>
        <v>https://twitter.com/economedicos/status/1635594811544592387</v>
      </c>
      <c r="AF1828" s="79">
        <v>44999.453298611108</v>
      </c>
      <c r="AG1828" s="85">
        <v>44999</v>
      </c>
      <c r="AH1828" s="82" t="s">
        <v>9380</v>
      </c>
      <c r="AI1828" s="77"/>
      <c r="AJ1828" s="77"/>
      <c r="AK1828" s="77"/>
      <c r="AL1828" s="77"/>
      <c r="AM1828" s="77"/>
      <c r="AN1828" s="77"/>
      <c r="AO1828" s="77"/>
      <c r="AP1828" s="77"/>
      <c r="AQ1828" s="77"/>
      <c r="AR1828" s="77"/>
      <c r="AS1828" s="77"/>
      <c r="AT1828" s="77"/>
      <c r="AU1828" s="77"/>
      <c r="AV1828" s="80" t="str">
        <f>HYPERLINK("https://pbs.twimg.com/profile_images/1283576393662636034/EjgsMA_W_normal.jpg")</f>
        <v>https://pbs.twimg.com/profile_images/1283576393662636034/EjgsMA_W_normal.jpg</v>
      </c>
      <c r="AW1828" s="82" t="s">
        <v>13993</v>
      </c>
      <c r="AX1828" s="82" t="s">
        <v>15400</v>
      </c>
      <c r="AY1828" s="82" t="s">
        <v>15767</v>
      </c>
      <c r="AZ1828" s="82" t="s">
        <v>15929</v>
      </c>
      <c r="BA1828" s="82" t="s">
        <v>15804</v>
      </c>
      <c r="BB1828" s="82" t="s">
        <v>15804</v>
      </c>
      <c r="BC1828" s="82" t="s">
        <v>15929</v>
      </c>
      <c r="BD1828" s="82" t="s">
        <v>15767</v>
      </c>
      <c r="BE1828" s="77"/>
      <c r="BF1828" s="77"/>
      <c r="BG1828" s="77"/>
      <c r="BH1828" s="77"/>
      <c r="BI1828" s="77"/>
    </row>
    <row r="1829" spans="1:61" x14ac:dyDescent="0.25">
      <c r="A1829" s="62" t="s">
        <v>819</v>
      </c>
      <c r="B1829" s="62" t="s">
        <v>819</v>
      </c>
      <c r="C1829" s="63"/>
      <c r="D1829" s="64"/>
      <c r="E1829" s="65"/>
      <c r="F1829" s="66"/>
      <c r="G1829" s="63"/>
      <c r="H1829" s="67"/>
      <c r="I1829" s="68"/>
      <c r="J1829" s="68"/>
      <c r="K1829" s="32"/>
      <c r="L1829" s="75">
        <v>1829</v>
      </c>
      <c r="M1829" s="75"/>
      <c r="N1829" s="70"/>
      <c r="O1829" s="77" t="s">
        <v>1132</v>
      </c>
      <c r="P1829" s="79">
        <v>44944.455358796295</v>
      </c>
      <c r="Q1829" s="77" t="s">
        <v>2886</v>
      </c>
      <c r="R1829" s="77">
        <v>0</v>
      </c>
      <c r="S1829" s="77">
        <v>0</v>
      </c>
      <c r="T1829" s="77">
        <v>0</v>
      </c>
      <c r="U1829" s="77">
        <v>0</v>
      </c>
      <c r="V1829" s="77">
        <v>8</v>
      </c>
      <c r="W1829" s="82" t="s">
        <v>5308</v>
      </c>
      <c r="X1829" s="77"/>
      <c r="Y1829" s="77"/>
      <c r="Z1829" s="77"/>
      <c r="AA1829" s="77"/>
      <c r="AB1829" s="77"/>
      <c r="AC1829" s="82" t="s">
        <v>7705</v>
      </c>
      <c r="AD1829" s="77" t="s">
        <v>7745</v>
      </c>
      <c r="AE1829" s="80" t="str">
        <f>HYPERLINK("https://twitter.com/economedicos/status/1615664225153871873")</f>
        <v>https://twitter.com/economedicos/status/1615664225153871873</v>
      </c>
      <c r="AF1829" s="79">
        <v>44944.455358796295</v>
      </c>
      <c r="AG1829" s="85">
        <v>44944</v>
      </c>
      <c r="AH1829" s="82" t="s">
        <v>9381</v>
      </c>
      <c r="AI1829" s="77"/>
      <c r="AJ1829" s="77"/>
      <c r="AK1829" s="77"/>
      <c r="AL1829" s="77"/>
      <c r="AM1829" s="77"/>
      <c r="AN1829" s="77"/>
      <c r="AO1829" s="77"/>
      <c r="AP1829" s="77"/>
      <c r="AQ1829" s="77"/>
      <c r="AR1829" s="77"/>
      <c r="AS1829" s="77"/>
      <c r="AT1829" s="77"/>
      <c r="AU1829" s="77"/>
      <c r="AV1829" s="80" t="str">
        <f>HYPERLINK("https://pbs.twimg.com/profile_images/1283576393662636034/EjgsMA_W_normal.jpg")</f>
        <v>https://pbs.twimg.com/profile_images/1283576393662636034/EjgsMA_W_normal.jpg</v>
      </c>
      <c r="AW1829" s="82" t="s">
        <v>13994</v>
      </c>
      <c r="AX1829" s="82" t="s">
        <v>15401</v>
      </c>
      <c r="AY1829" s="82" t="s">
        <v>15767</v>
      </c>
      <c r="AZ1829" s="82" t="s">
        <v>15930</v>
      </c>
      <c r="BA1829" s="82" t="s">
        <v>15804</v>
      </c>
      <c r="BB1829" s="82" t="s">
        <v>15804</v>
      </c>
      <c r="BC1829" s="82" t="s">
        <v>15930</v>
      </c>
      <c r="BD1829" s="82" t="s">
        <v>15767</v>
      </c>
      <c r="BE1829" s="77"/>
      <c r="BF1829" s="77"/>
      <c r="BG1829" s="77"/>
      <c r="BH1829" s="77"/>
      <c r="BI1829" s="77"/>
    </row>
    <row r="1830" spans="1:61" x14ac:dyDescent="0.25">
      <c r="A1830" s="62" t="s">
        <v>819</v>
      </c>
      <c r="B1830" s="62" t="s">
        <v>819</v>
      </c>
      <c r="C1830" s="63"/>
      <c r="D1830" s="64"/>
      <c r="E1830" s="65"/>
      <c r="F1830" s="66"/>
      <c r="G1830" s="63"/>
      <c r="H1830" s="67"/>
      <c r="I1830" s="68"/>
      <c r="J1830" s="68"/>
      <c r="K1830" s="32"/>
      <c r="L1830" s="75">
        <v>1830</v>
      </c>
      <c r="M1830" s="75"/>
      <c r="N1830" s="70"/>
      <c r="O1830" s="77" t="s">
        <v>1132</v>
      </c>
      <c r="P1830" s="79">
        <v>44943.474016203705</v>
      </c>
      <c r="Q1830" s="77" t="s">
        <v>2887</v>
      </c>
      <c r="R1830" s="77">
        <v>0</v>
      </c>
      <c r="S1830" s="77">
        <v>0</v>
      </c>
      <c r="T1830" s="77">
        <v>0</v>
      </c>
      <c r="U1830" s="77">
        <v>0</v>
      </c>
      <c r="V1830" s="77">
        <v>6</v>
      </c>
      <c r="W1830" s="82" t="s">
        <v>5308</v>
      </c>
      <c r="X1830" s="77"/>
      <c r="Y1830" s="77"/>
      <c r="Z1830" s="77"/>
      <c r="AA1830" s="77"/>
      <c r="AB1830" s="77"/>
      <c r="AC1830" s="82" t="s">
        <v>7705</v>
      </c>
      <c r="AD1830" s="77" t="s">
        <v>7745</v>
      </c>
      <c r="AE1830" s="80" t="str">
        <f>HYPERLINK("https://twitter.com/economedicos/status/1615308600389369856")</f>
        <v>https://twitter.com/economedicos/status/1615308600389369856</v>
      </c>
      <c r="AF1830" s="79">
        <v>44943.474016203705</v>
      </c>
      <c r="AG1830" s="85">
        <v>44943</v>
      </c>
      <c r="AH1830" s="82" t="s">
        <v>9382</v>
      </c>
      <c r="AI1830" s="77"/>
      <c r="AJ1830" s="77"/>
      <c r="AK1830" s="77"/>
      <c r="AL1830" s="77"/>
      <c r="AM1830" s="77"/>
      <c r="AN1830" s="77"/>
      <c r="AO1830" s="77"/>
      <c r="AP1830" s="77"/>
      <c r="AQ1830" s="77"/>
      <c r="AR1830" s="77"/>
      <c r="AS1830" s="77"/>
      <c r="AT1830" s="77"/>
      <c r="AU1830" s="77"/>
      <c r="AV1830" s="80" t="str">
        <f>HYPERLINK("https://pbs.twimg.com/profile_images/1283576393662636034/EjgsMA_W_normal.jpg")</f>
        <v>https://pbs.twimg.com/profile_images/1283576393662636034/EjgsMA_W_normal.jpg</v>
      </c>
      <c r="AW1830" s="82" t="s">
        <v>13995</v>
      </c>
      <c r="AX1830" s="82" t="s">
        <v>15402</v>
      </c>
      <c r="AY1830" s="82" t="s">
        <v>15767</v>
      </c>
      <c r="AZ1830" s="82" t="s">
        <v>15931</v>
      </c>
      <c r="BA1830" s="82" t="s">
        <v>15804</v>
      </c>
      <c r="BB1830" s="82" t="s">
        <v>15804</v>
      </c>
      <c r="BC1830" s="82" t="s">
        <v>15931</v>
      </c>
      <c r="BD1830" s="82" t="s">
        <v>15767</v>
      </c>
      <c r="BE1830" s="77"/>
      <c r="BF1830" s="77"/>
      <c r="BG1830" s="77"/>
      <c r="BH1830" s="77"/>
      <c r="BI1830" s="77"/>
    </row>
    <row r="1831" spans="1:61" x14ac:dyDescent="0.25">
      <c r="A1831" s="62" t="s">
        <v>819</v>
      </c>
      <c r="B1831" s="62" t="s">
        <v>819</v>
      </c>
      <c r="C1831" s="63"/>
      <c r="D1831" s="64"/>
      <c r="E1831" s="65"/>
      <c r="F1831" s="66"/>
      <c r="G1831" s="63"/>
      <c r="H1831" s="67"/>
      <c r="I1831" s="68"/>
      <c r="J1831" s="68"/>
      <c r="K1831" s="32"/>
      <c r="L1831" s="75">
        <v>1831</v>
      </c>
      <c r="M1831" s="75"/>
      <c r="N1831" s="70"/>
      <c r="O1831" s="77" t="s">
        <v>1132</v>
      </c>
      <c r="P1831" s="79">
        <v>44942.561481481483</v>
      </c>
      <c r="Q1831" s="77" t="s">
        <v>2888</v>
      </c>
      <c r="R1831" s="77">
        <v>0</v>
      </c>
      <c r="S1831" s="77">
        <v>0</v>
      </c>
      <c r="T1831" s="77">
        <v>0</v>
      </c>
      <c r="U1831" s="77">
        <v>0</v>
      </c>
      <c r="V1831" s="77">
        <v>10</v>
      </c>
      <c r="W1831" s="82" t="s">
        <v>5308</v>
      </c>
      <c r="X1831" s="77"/>
      <c r="Y1831" s="77"/>
      <c r="Z1831" s="77"/>
      <c r="AA1831" s="77"/>
      <c r="AB1831" s="77"/>
      <c r="AC1831" s="82" t="s">
        <v>7705</v>
      </c>
      <c r="AD1831" s="77" t="s">
        <v>7745</v>
      </c>
      <c r="AE1831" s="80" t="str">
        <f>HYPERLINK("https://twitter.com/economedicos/status/1614977905263534080")</f>
        <v>https://twitter.com/economedicos/status/1614977905263534080</v>
      </c>
      <c r="AF1831" s="79">
        <v>44942.561481481483</v>
      </c>
      <c r="AG1831" s="85">
        <v>44942</v>
      </c>
      <c r="AH1831" s="82" t="s">
        <v>9383</v>
      </c>
      <c r="AI1831" s="77"/>
      <c r="AJ1831" s="77"/>
      <c r="AK1831" s="77"/>
      <c r="AL1831" s="77"/>
      <c r="AM1831" s="77"/>
      <c r="AN1831" s="77"/>
      <c r="AO1831" s="77"/>
      <c r="AP1831" s="77"/>
      <c r="AQ1831" s="77"/>
      <c r="AR1831" s="77"/>
      <c r="AS1831" s="77"/>
      <c r="AT1831" s="77"/>
      <c r="AU1831" s="77"/>
      <c r="AV1831" s="80" t="str">
        <f>HYPERLINK("https://pbs.twimg.com/profile_images/1283576393662636034/EjgsMA_W_normal.jpg")</f>
        <v>https://pbs.twimg.com/profile_images/1283576393662636034/EjgsMA_W_normal.jpg</v>
      </c>
      <c r="AW1831" s="82" t="s">
        <v>13996</v>
      </c>
      <c r="AX1831" s="82" t="s">
        <v>15403</v>
      </c>
      <c r="AY1831" s="82" t="s">
        <v>15767</v>
      </c>
      <c r="AZ1831" s="82" t="s">
        <v>15932</v>
      </c>
      <c r="BA1831" s="82" t="s">
        <v>15804</v>
      </c>
      <c r="BB1831" s="82" t="s">
        <v>15804</v>
      </c>
      <c r="BC1831" s="82" t="s">
        <v>15932</v>
      </c>
      <c r="BD1831" s="82" t="s">
        <v>15767</v>
      </c>
      <c r="BE1831" s="77"/>
      <c r="BF1831" s="77"/>
      <c r="BG1831" s="77"/>
      <c r="BH1831" s="77"/>
      <c r="BI1831" s="77"/>
    </row>
    <row r="1832" spans="1:61" x14ac:dyDescent="0.25">
      <c r="A1832" s="62" t="s">
        <v>819</v>
      </c>
      <c r="B1832" s="62" t="s">
        <v>819</v>
      </c>
      <c r="C1832" s="63"/>
      <c r="D1832" s="64"/>
      <c r="E1832" s="65"/>
      <c r="F1832" s="66"/>
      <c r="G1832" s="63"/>
      <c r="H1832" s="67"/>
      <c r="I1832" s="68"/>
      <c r="J1832" s="68"/>
      <c r="K1832" s="32"/>
      <c r="L1832" s="75">
        <v>1832</v>
      </c>
      <c r="M1832" s="75"/>
      <c r="N1832" s="70"/>
      <c r="O1832" s="77" t="s">
        <v>1132</v>
      </c>
      <c r="P1832" s="79">
        <v>44939.466192129628</v>
      </c>
      <c r="Q1832" s="77" t="s">
        <v>2889</v>
      </c>
      <c r="R1832" s="77">
        <v>0</v>
      </c>
      <c r="S1832" s="77">
        <v>0</v>
      </c>
      <c r="T1832" s="77">
        <v>0</v>
      </c>
      <c r="U1832" s="77">
        <v>0</v>
      </c>
      <c r="V1832" s="77">
        <v>26</v>
      </c>
      <c r="W1832" s="82" t="s">
        <v>5308</v>
      </c>
      <c r="X1832" s="77"/>
      <c r="Y1832" s="77"/>
      <c r="Z1832" s="77"/>
      <c r="AA1832" s="77"/>
      <c r="AB1832" s="77"/>
      <c r="AC1832" s="82" t="s">
        <v>7705</v>
      </c>
      <c r="AD1832" s="77" t="s">
        <v>7745</v>
      </c>
      <c r="AE1832" s="80" t="str">
        <f>HYPERLINK("https://twitter.com/economedicos/status/1613856211224461313")</f>
        <v>https://twitter.com/economedicos/status/1613856211224461313</v>
      </c>
      <c r="AF1832" s="79">
        <v>44939.466192129628</v>
      </c>
      <c r="AG1832" s="85">
        <v>44939</v>
      </c>
      <c r="AH1832" s="82" t="s">
        <v>9384</v>
      </c>
      <c r="AI1832" s="77"/>
      <c r="AJ1832" s="77"/>
      <c r="AK1832" s="77"/>
      <c r="AL1832" s="77"/>
      <c r="AM1832" s="77"/>
      <c r="AN1832" s="77"/>
      <c r="AO1832" s="77"/>
      <c r="AP1832" s="77"/>
      <c r="AQ1832" s="77"/>
      <c r="AR1832" s="77"/>
      <c r="AS1832" s="77"/>
      <c r="AT1832" s="77"/>
      <c r="AU1832" s="77"/>
      <c r="AV1832" s="80" t="str">
        <f>HYPERLINK("https://pbs.twimg.com/profile_images/1283576393662636034/EjgsMA_W_normal.jpg")</f>
        <v>https://pbs.twimg.com/profile_images/1283576393662636034/EjgsMA_W_normal.jpg</v>
      </c>
      <c r="AW1832" s="82" t="s">
        <v>13997</v>
      </c>
      <c r="AX1832" s="82" t="s">
        <v>15404</v>
      </c>
      <c r="AY1832" s="82" t="s">
        <v>15767</v>
      </c>
      <c r="AZ1832" s="82" t="s">
        <v>15933</v>
      </c>
      <c r="BA1832" s="82" t="s">
        <v>15804</v>
      </c>
      <c r="BB1832" s="82" t="s">
        <v>15804</v>
      </c>
      <c r="BC1832" s="82" t="s">
        <v>15933</v>
      </c>
      <c r="BD1832" s="82" t="s">
        <v>15767</v>
      </c>
      <c r="BE1832" s="77"/>
      <c r="BF1832" s="77"/>
      <c r="BG1832" s="77"/>
      <c r="BH1832" s="77"/>
      <c r="BI1832" s="77"/>
    </row>
    <row r="1833" spans="1:61" x14ac:dyDescent="0.25">
      <c r="A1833" s="62" t="s">
        <v>819</v>
      </c>
      <c r="B1833" s="62" t="s">
        <v>819</v>
      </c>
      <c r="C1833" s="63"/>
      <c r="D1833" s="64"/>
      <c r="E1833" s="65"/>
      <c r="F1833" s="66"/>
      <c r="G1833" s="63"/>
      <c r="H1833" s="67"/>
      <c r="I1833" s="68"/>
      <c r="J1833" s="68"/>
      <c r="K1833" s="32"/>
      <c r="L1833" s="75">
        <v>1833</v>
      </c>
      <c r="M1833" s="75"/>
      <c r="N1833" s="70"/>
      <c r="O1833" s="77" t="s">
        <v>1132</v>
      </c>
      <c r="P1833" s="79">
        <v>45156.464444444442</v>
      </c>
      <c r="Q1833" s="77" t="s">
        <v>2890</v>
      </c>
      <c r="R1833" s="77">
        <v>0</v>
      </c>
      <c r="S1833" s="77">
        <v>0</v>
      </c>
      <c r="T1833" s="77">
        <v>0</v>
      </c>
      <c r="U1833" s="77">
        <v>0</v>
      </c>
      <c r="V1833" s="77">
        <v>10</v>
      </c>
      <c r="W1833" s="82" t="s">
        <v>5308</v>
      </c>
      <c r="X1833" s="77"/>
      <c r="Y1833" s="77"/>
      <c r="Z1833" s="77"/>
      <c r="AA1833" s="77"/>
      <c r="AB1833" s="77"/>
      <c r="AC1833" s="82" t="s">
        <v>7705</v>
      </c>
      <c r="AD1833" s="77" t="s">
        <v>7745</v>
      </c>
      <c r="AE1833" s="80" t="str">
        <f>HYPERLINK("https://twitter.com/economedicos/status/1692493744400994716")</f>
        <v>https://twitter.com/economedicos/status/1692493744400994716</v>
      </c>
      <c r="AF1833" s="79">
        <v>45156.464444444442</v>
      </c>
      <c r="AG1833" s="85">
        <v>45156</v>
      </c>
      <c r="AH1833" s="82" t="s">
        <v>9385</v>
      </c>
      <c r="AI1833" s="77"/>
      <c r="AJ1833" s="77"/>
      <c r="AK1833" s="77"/>
      <c r="AL1833" s="77"/>
      <c r="AM1833" s="77"/>
      <c r="AN1833" s="77"/>
      <c r="AO1833" s="77"/>
      <c r="AP1833" s="77"/>
      <c r="AQ1833" s="77"/>
      <c r="AR1833" s="77"/>
      <c r="AS1833" s="77"/>
      <c r="AT1833" s="77"/>
      <c r="AU1833" s="77"/>
      <c r="AV1833" s="80" t="str">
        <f>HYPERLINK("https://pbs.twimg.com/profile_images/1283576393662636034/EjgsMA_W_normal.jpg")</f>
        <v>https://pbs.twimg.com/profile_images/1283576393662636034/EjgsMA_W_normal.jpg</v>
      </c>
      <c r="AW1833" s="82" t="s">
        <v>13998</v>
      </c>
      <c r="AX1833" s="82" t="s">
        <v>15405</v>
      </c>
      <c r="AY1833" s="82" t="s">
        <v>15767</v>
      </c>
      <c r="AZ1833" s="82" t="s">
        <v>15934</v>
      </c>
      <c r="BA1833" s="82" t="s">
        <v>15804</v>
      </c>
      <c r="BB1833" s="82" t="s">
        <v>15804</v>
      </c>
      <c r="BC1833" s="82" t="s">
        <v>15934</v>
      </c>
      <c r="BD1833" s="82" t="s">
        <v>15767</v>
      </c>
      <c r="BE1833" s="77"/>
      <c r="BF1833" s="77"/>
      <c r="BG1833" s="77"/>
      <c r="BH1833" s="77"/>
      <c r="BI1833" s="77"/>
    </row>
    <row r="1834" spans="1:61" x14ac:dyDescent="0.25">
      <c r="A1834" s="62" t="s">
        <v>819</v>
      </c>
      <c r="B1834" s="62" t="s">
        <v>819</v>
      </c>
      <c r="C1834" s="63"/>
      <c r="D1834" s="64"/>
      <c r="E1834" s="65"/>
      <c r="F1834" s="66"/>
      <c r="G1834" s="63"/>
      <c r="H1834" s="67"/>
      <c r="I1834" s="68"/>
      <c r="J1834" s="68"/>
      <c r="K1834" s="32"/>
      <c r="L1834" s="75">
        <v>1834</v>
      </c>
      <c r="M1834" s="75"/>
      <c r="N1834" s="70"/>
      <c r="O1834" s="77" t="s">
        <v>1132</v>
      </c>
      <c r="P1834" s="79">
        <v>45147.453379629631</v>
      </c>
      <c r="Q1834" s="77" t="s">
        <v>2891</v>
      </c>
      <c r="R1834" s="77">
        <v>0</v>
      </c>
      <c r="S1834" s="77">
        <v>0</v>
      </c>
      <c r="T1834" s="77">
        <v>0</v>
      </c>
      <c r="U1834" s="77">
        <v>0</v>
      </c>
      <c r="V1834" s="77">
        <v>21</v>
      </c>
      <c r="W1834" s="82" t="s">
        <v>5308</v>
      </c>
      <c r="X1834" s="77"/>
      <c r="Y1834" s="77"/>
      <c r="Z1834" s="77"/>
      <c r="AA1834" s="77"/>
      <c r="AB1834" s="77"/>
      <c r="AC1834" s="82" t="s">
        <v>7705</v>
      </c>
      <c r="AD1834" s="77" t="s">
        <v>7745</v>
      </c>
      <c r="AE1834" s="80" t="str">
        <f>HYPERLINK("https://twitter.com/economedicos/status/1689228245495918592")</f>
        <v>https://twitter.com/economedicos/status/1689228245495918592</v>
      </c>
      <c r="AF1834" s="79">
        <v>45147.453379629631</v>
      </c>
      <c r="AG1834" s="85">
        <v>45147</v>
      </c>
      <c r="AH1834" s="82" t="s">
        <v>9386</v>
      </c>
      <c r="AI1834" s="77"/>
      <c r="AJ1834" s="77"/>
      <c r="AK1834" s="77"/>
      <c r="AL1834" s="77"/>
      <c r="AM1834" s="77"/>
      <c r="AN1834" s="77"/>
      <c r="AO1834" s="77"/>
      <c r="AP1834" s="77"/>
      <c r="AQ1834" s="77"/>
      <c r="AR1834" s="77"/>
      <c r="AS1834" s="77"/>
      <c r="AT1834" s="77"/>
      <c r="AU1834" s="77"/>
      <c r="AV1834" s="80" t="str">
        <f>HYPERLINK("https://pbs.twimg.com/profile_images/1283576393662636034/EjgsMA_W_normal.jpg")</f>
        <v>https://pbs.twimg.com/profile_images/1283576393662636034/EjgsMA_W_normal.jpg</v>
      </c>
      <c r="AW1834" s="82" t="s">
        <v>13999</v>
      </c>
      <c r="AX1834" s="82" t="s">
        <v>15406</v>
      </c>
      <c r="AY1834" s="82" t="s">
        <v>15767</v>
      </c>
      <c r="AZ1834" s="82" t="s">
        <v>15935</v>
      </c>
      <c r="BA1834" s="82" t="s">
        <v>15804</v>
      </c>
      <c r="BB1834" s="82" t="s">
        <v>15804</v>
      </c>
      <c r="BC1834" s="82" t="s">
        <v>15935</v>
      </c>
      <c r="BD1834" s="82" t="s">
        <v>15767</v>
      </c>
      <c r="BE1834" s="77"/>
      <c r="BF1834" s="77"/>
      <c r="BG1834" s="77"/>
      <c r="BH1834" s="77"/>
      <c r="BI1834" s="77"/>
    </row>
    <row r="1835" spans="1:61" x14ac:dyDescent="0.25">
      <c r="A1835" s="62" t="s">
        <v>819</v>
      </c>
      <c r="B1835" s="62" t="s">
        <v>819</v>
      </c>
      <c r="C1835" s="63"/>
      <c r="D1835" s="64"/>
      <c r="E1835" s="65"/>
      <c r="F1835" s="66"/>
      <c r="G1835" s="63"/>
      <c r="H1835" s="67"/>
      <c r="I1835" s="68"/>
      <c r="J1835" s="68"/>
      <c r="K1835" s="32"/>
      <c r="L1835" s="75">
        <v>1835</v>
      </c>
      <c r="M1835" s="75"/>
      <c r="N1835" s="70"/>
      <c r="O1835" s="77" t="s">
        <v>1132</v>
      </c>
      <c r="P1835" s="79">
        <v>45140.449618055558</v>
      </c>
      <c r="Q1835" s="77" t="s">
        <v>2892</v>
      </c>
      <c r="R1835" s="77">
        <v>0</v>
      </c>
      <c r="S1835" s="77">
        <v>0</v>
      </c>
      <c r="T1835" s="77">
        <v>0</v>
      </c>
      <c r="U1835" s="77">
        <v>0</v>
      </c>
      <c r="V1835" s="77">
        <v>27</v>
      </c>
      <c r="W1835" s="82" t="s">
        <v>5308</v>
      </c>
      <c r="X1835" s="77"/>
      <c r="Y1835" s="77"/>
      <c r="Z1835" s="77"/>
      <c r="AA1835" s="77"/>
      <c r="AB1835" s="77"/>
      <c r="AC1835" s="82" t="s">
        <v>7705</v>
      </c>
      <c r="AD1835" s="77" t="s">
        <v>7745</v>
      </c>
      <c r="AE1835" s="80" t="str">
        <f>HYPERLINK("https://twitter.com/economedicos/status/1686690164242882562")</f>
        <v>https://twitter.com/economedicos/status/1686690164242882562</v>
      </c>
      <c r="AF1835" s="79">
        <v>45140.449618055558</v>
      </c>
      <c r="AG1835" s="85">
        <v>45140</v>
      </c>
      <c r="AH1835" s="82" t="s">
        <v>9387</v>
      </c>
      <c r="AI1835" s="77"/>
      <c r="AJ1835" s="77"/>
      <c r="AK1835" s="77"/>
      <c r="AL1835" s="77"/>
      <c r="AM1835" s="77"/>
      <c r="AN1835" s="77"/>
      <c r="AO1835" s="77"/>
      <c r="AP1835" s="77"/>
      <c r="AQ1835" s="77"/>
      <c r="AR1835" s="77"/>
      <c r="AS1835" s="77"/>
      <c r="AT1835" s="77"/>
      <c r="AU1835" s="77"/>
      <c r="AV1835" s="80" t="str">
        <f>HYPERLINK("https://pbs.twimg.com/profile_images/1283576393662636034/EjgsMA_W_normal.jpg")</f>
        <v>https://pbs.twimg.com/profile_images/1283576393662636034/EjgsMA_W_normal.jpg</v>
      </c>
      <c r="AW1835" s="82" t="s">
        <v>14000</v>
      </c>
      <c r="AX1835" s="82" t="s">
        <v>15407</v>
      </c>
      <c r="AY1835" s="82" t="s">
        <v>15767</v>
      </c>
      <c r="AZ1835" s="82" t="s">
        <v>15936</v>
      </c>
      <c r="BA1835" s="82" t="s">
        <v>15804</v>
      </c>
      <c r="BB1835" s="82" t="s">
        <v>15804</v>
      </c>
      <c r="BC1835" s="82" t="s">
        <v>15936</v>
      </c>
      <c r="BD1835" s="82" t="s">
        <v>15767</v>
      </c>
      <c r="BE1835" s="77"/>
      <c r="BF1835" s="77"/>
      <c r="BG1835" s="77"/>
      <c r="BH1835" s="77"/>
      <c r="BI1835" s="77"/>
    </row>
    <row r="1836" spans="1:61" x14ac:dyDescent="0.25">
      <c r="A1836" s="62" t="s">
        <v>819</v>
      </c>
      <c r="B1836" s="62" t="s">
        <v>819</v>
      </c>
      <c r="C1836" s="63"/>
      <c r="D1836" s="64"/>
      <c r="E1836" s="65"/>
      <c r="F1836" s="66"/>
      <c r="G1836" s="63"/>
      <c r="H1836" s="67"/>
      <c r="I1836" s="68"/>
      <c r="J1836" s="68"/>
      <c r="K1836" s="32"/>
      <c r="L1836" s="75">
        <v>1836</v>
      </c>
      <c r="M1836" s="75"/>
      <c r="N1836" s="70"/>
      <c r="O1836" s="77" t="s">
        <v>1132</v>
      </c>
      <c r="P1836" s="79">
        <v>45132.460543981484</v>
      </c>
      <c r="Q1836" s="77" t="s">
        <v>2893</v>
      </c>
      <c r="R1836" s="77">
        <v>0</v>
      </c>
      <c r="S1836" s="77">
        <v>0</v>
      </c>
      <c r="T1836" s="77">
        <v>0</v>
      </c>
      <c r="U1836" s="77">
        <v>0</v>
      </c>
      <c r="V1836" s="77">
        <v>18</v>
      </c>
      <c r="W1836" s="82" t="s">
        <v>5308</v>
      </c>
      <c r="X1836" s="77"/>
      <c r="Y1836" s="77"/>
      <c r="Z1836" s="77"/>
      <c r="AA1836" s="77"/>
      <c r="AB1836" s="77"/>
      <c r="AC1836" s="82" t="s">
        <v>7705</v>
      </c>
      <c r="AD1836" s="77" t="s">
        <v>7745</v>
      </c>
      <c r="AE1836" s="80" t="str">
        <f>HYPERLINK("https://twitter.com/economedicos/status/1683795022859079681")</f>
        <v>https://twitter.com/economedicos/status/1683795022859079681</v>
      </c>
      <c r="AF1836" s="79">
        <v>45132.460543981484</v>
      </c>
      <c r="AG1836" s="85">
        <v>45132</v>
      </c>
      <c r="AH1836" s="82" t="s">
        <v>9388</v>
      </c>
      <c r="AI1836" s="77"/>
      <c r="AJ1836" s="77"/>
      <c r="AK1836" s="77"/>
      <c r="AL1836" s="77"/>
      <c r="AM1836" s="77"/>
      <c r="AN1836" s="77"/>
      <c r="AO1836" s="77"/>
      <c r="AP1836" s="77"/>
      <c r="AQ1836" s="77"/>
      <c r="AR1836" s="77"/>
      <c r="AS1836" s="77"/>
      <c r="AT1836" s="77"/>
      <c r="AU1836" s="77"/>
      <c r="AV1836" s="80" t="str">
        <f>HYPERLINK("https://pbs.twimg.com/profile_images/1283576393662636034/EjgsMA_W_normal.jpg")</f>
        <v>https://pbs.twimg.com/profile_images/1283576393662636034/EjgsMA_W_normal.jpg</v>
      </c>
      <c r="AW1836" s="82" t="s">
        <v>14001</v>
      </c>
      <c r="AX1836" s="82" t="s">
        <v>15408</v>
      </c>
      <c r="AY1836" s="82" t="s">
        <v>15767</v>
      </c>
      <c r="AZ1836" s="82" t="s">
        <v>15937</v>
      </c>
      <c r="BA1836" s="82" t="s">
        <v>15804</v>
      </c>
      <c r="BB1836" s="82" t="s">
        <v>15804</v>
      </c>
      <c r="BC1836" s="82" t="s">
        <v>15937</v>
      </c>
      <c r="BD1836" s="82" t="s">
        <v>15767</v>
      </c>
      <c r="BE1836" s="77"/>
      <c r="BF1836" s="77"/>
      <c r="BG1836" s="77"/>
      <c r="BH1836" s="77"/>
      <c r="BI1836" s="77"/>
    </row>
    <row r="1837" spans="1:61" x14ac:dyDescent="0.25">
      <c r="A1837" s="62" t="s">
        <v>819</v>
      </c>
      <c r="B1837" s="62" t="s">
        <v>819</v>
      </c>
      <c r="C1837" s="63"/>
      <c r="D1837" s="64"/>
      <c r="E1837" s="65"/>
      <c r="F1837" s="66"/>
      <c r="G1837" s="63"/>
      <c r="H1837" s="67"/>
      <c r="I1837" s="68"/>
      <c r="J1837" s="68"/>
      <c r="K1837" s="32"/>
      <c r="L1837" s="75">
        <v>1837</v>
      </c>
      <c r="M1837" s="75"/>
      <c r="N1837" s="70"/>
      <c r="O1837" s="77" t="s">
        <v>1132</v>
      </c>
      <c r="P1837" s="79">
        <v>45126.458310185182</v>
      </c>
      <c r="Q1837" s="77" t="s">
        <v>2894</v>
      </c>
      <c r="R1837" s="77">
        <v>0</v>
      </c>
      <c r="S1837" s="77">
        <v>0</v>
      </c>
      <c r="T1837" s="77">
        <v>0</v>
      </c>
      <c r="U1837" s="77">
        <v>0</v>
      </c>
      <c r="V1837" s="77">
        <v>12</v>
      </c>
      <c r="W1837" s="82" t="s">
        <v>5308</v>
      </c>
      <c r="X1837" s="77"/>
      <c r="Y1837" s="77"/>
      <c r="Z1837" s="77"/>
      <c r="AA1837" s="77"/>
      <c r="AB1837" s="77"/>
      <c r="AC1837" s="82" t="s">
        <v>7705</v>
      </c>
      <c r="AD1837" s="77" t="s">
        <v>7745</v>
      </c>
      <c r="AE1837" s="80" t="str">
        <f>HYPERLINK("https://twitter.com/economedicos/status/1681619885779042306")</f>
        <v>https://twitter.com/economedicos/status/1681619885779042306</v>
      </c>
      <c r="AF1837" s="79">
        <v>45126.458310185182</v>
      </c>
      <c r="AG1837" s="85">
        <v>45126</v>
      </c>
      <c r="AH1837" s="82" t="s">
        <v>9389</v>
      </c>
      <c r="AI1837" s="77"/>
      <c r="AJ1837" s="77"/>
      <c r="AK1837" s="77"/>
      <c r="AL1837" s="77"/>
      <c r="AM1837" s="77"/>
      <c r="AN1837" s="77"/>
      <c r="AO1837" s="77"/>
      <c r="AP1837" s="77"/>
      <c r="AQ1837" s="77"/>
      <c r="AR1837" s="77"/>
      <c r="AS1837" s="77"/>
      <c r="AT1837" s="77"/>
      <c r="AU1837" s="77"/>
      <c r="AV1837" s="80" t="str">
        <f>HYPERLINK("https://pbs.twimg.com/profile_images/1283576393662636034/EjgsMA_W_normal.jpg")</f>
        <v>https://pbs.twimg.com/profile_images/1283576393662636034/EjgsMA_W_normal.jpg</v>
      </c>
      <c r="AW1837" s="82" t="s">
        <v>14002</v>
      </c>
      <c r="AX1837" s="82" t="s">
        <v>15409</v>
      </c>
      <c r="AY1837" s="82" t="s">
        <v>15767</v>
      </c>
      <c r="AZ1837" s="82" t="s">
        <v>15938</v>
      </c>
      <c r="BA1837" s="82" t="s">
        <v>15804</v>
      </c>
      <c r="BB1837" s="82" t="s">
        <v>15804</v>
      </c>
      <c r="BC1837" s="82" t="s">
        <v>15938</v>
      </c>
      <c r="BD1837" s="82" t="s">
        <v>15767</v>
      </c>
      <c r="BE1837" s="77"/>
      <c r="BF1837" s="77"/>
      <c r="BG1837" s="77"/>
      <c r="BH1837" s="77"/>
      <c r="BI1837" s="77"/>
    </row>
    <row r="1838" spans="1:61" x14ac:dyDescent="0.25">
      <c r="A1838" s="62" t="s">
        <v>819</v>
      </c>
      <c r="B1838" s="62" t="s">
        <v>819</v>
      </c>
      <c r="C1838" s="63"/>
      <c r="D1838" s="64"/>
      <c r="E1838" s="65"/>
      <c r="F1838" s="66"/>
      <c r="G1838" s="63"/>
      <c r="H1838" s="67"/>
      <c r="I1838" s="68"/>
      <c r="J1838" s="68"/>
      <c r="K1838" s="32"/>
      <c r="L1838" s="75">
        <v>1838</v>
      </c>
      <c r="M1838" s="75"/>
      <c r="N1838" s="70"/>
      <c r="O1838" s="77" t="s">
        <v>1132</v>
      </c>
      <c r="P1838" s="79">
        <v>45125.437442129631</v>
      </c>
      <c r="Q1838" s="77" t="s">
        <v>2895</v>
      </c>
      <c r="R1838" s="77">
        <v>0</v>
      </c>
      <c r="S1838" s="77">
        <v>0</v>
      </c>
      <c r="T1838" s="77">
        <v>0</v>
      </c>
      <c r="U1838" s="77">
        <v>0</v>
      </c>
      <c r="V1838" s="77">
        <v>6</v>
      </c>
      <c r="W1838" s="82" t="s">
        <v>5309</v>
      </c>
      <c r="X1838" s="77"/>
      <c r="Y1838" s="77"/>
      <c r="Z1838" s="77"/>
      <c r="AA1838" s="77"/>
      <c r="AB1838" s="77"/>
      <c r="AC1838" s="82" t="s">
        <v>7705</v>
      </c>
      <c r="AD1838" s="77" t="s">
        <v>7745</v>
      </c>
      <c r="AE1838" s="80" t="str">
        <f>HYPERLINK("https://twitter.com/economedicos/status/1681249935985967105")</f>
        <v>https://twitter.com/economedicos/status/1681249935985967105</v>
      </c>
      <c r="AF1838" s="79">
        <v>45125.437442129631</v>
      </c>
      <c r="AG1838" s="85">
        <v>45125</v>
      </c>
      <c r="AH1838" s="82" t="s">
        <v>9390</v>
      </c>
      <c r="AI1838" s="77"/>
      <c r="AJ1838" s="77"/>
      <c r="AK1838" s="77"/>
      <c r="AL1838" s="77"/>
      <c r="AM1838" s="77"/>
      <c r="AN1838" s="77"/>
      <c r="AO1838" s="77"/>
      <c r="AP1838" s="77"/>
      <c r="AQ1838" s="77"/>
      <c r="AR1838" s="77"/>
      <c r="AS1838" s="77"/>
      <c r="AT1838" s="77"/>
      <c r="AU1838" s="77"/>
      <c r="AV1838" s="80" t="str">
        <f>HYPERLINK("https://pbs.twimg.com/profile_images/1283576393662636034/EjgsMA_W_normal.jpg")</f>
        <v>https://pbs.twimg.com/profile_images/1283576393662636034/EjgsMA_W_normal.jpg</v>
      </c>
      <c r="AW1838" s="82" t="s">
        <v>14003</v>
      </c>
      <c r="AX1838" s="82" t="s">
        <v>15410</v>
      </c>
      <c r="AY1838" s="82" t="s">
        <v>15767</v>
      </c>
      <c r="AZ1838" s="82" t="s">
        <v>15939</v>
      </c>
      <c r="BA1838" s="82" t="s">
        <v>15804</v>
      </c>
      <c r="BB1838" s="82" t="s">
        <v>15804</v>
      </c>
      <c r="BC1838" s="82" t="s">
        <v>15939</v>
      </c>
      <c r="BD1838" s="82" t="s">
        <v>15767</v>
      </c>
      <c r="BE1838" s="77"/>
      <c r="BF1838" s="77"/>
      <c r="BG1838" s="77"/>
      <c r="BH1838" s="77"/>
      <c r="BI1838" s="77"/>
    </row>
    <row r="1839" spans="1:61" x14ac:dyDescent="0.25">
      <c r="A1839" s="62" t="s">
        <v>819</v>
      </c>
      <c r="B1839" s="62" t="s">
        <v>819</v>
      </c>
      <c r="C1839" s="63"/>
      <c r="D1839" s="64"/>
      <c r="E1839" s="65"/>
      <c r="F1839" s="66"/>
      <c r="G1839" s="63"/>
      <c r="H1839" s="67"/>
      <c r="I1839" s="68"/>
      <c r="J1839" s="68"/>
      <c r="K1839" s="32"/>
      <c r="L1839" s="75">
        <v>1839</v>
      </c>
      <c r="M1839" s="75"/>
      <c r="N1839" s="70"/>
      <c r="O1839" s="77" t="s">
        <v>1132</v>
      </c>
      <c r="P1839" s="79">
        <v>45124.5390162037</v>
      </c>
      <c r="Q1839" s="77" t="s">
        <v>2896</v>
      </c>
      <c r="R1839" s="77">
        <v>0</v>
      </c>
      <c r="S1839" s="77">
        <v>0</v>
      </c>
      <c r="T1839" s="77">
        <v>0</v>
      </c>
      <c r="U1839" s="77">
        <v>0</v>
      </c>
      <c r="V1839" s="77">
        <v>6</v>
      </c>
      <c r="W1839" s="82" t="s">
        <v>5308</v>
      </c>
      <c r="X1839" s="77"/>
      <c r="Y1839" s="77"/>
      <c r="Z1839" s="77"/>
      <c r="AA1839" s="77"/>
      <c r="AB1839" s="77"/>
      <c r="AC1839" s="82" t="s">
        <v>7705</v>
      </c>
      <c r="AD1839" s="77" t="s">
        <v>7745</v>
      </c>
      <c r="AE1839" s="80" t="str">
        <f>HYPERLINK("https://twitter.com/economedicos/status/1680924355922886661")</f>
        <v>https://twitter.com/economedicos/status/1680924355922886661</v>
      </c>
      <c r="AF1839" s="79">
        <v>45124.5390162037</v>
      </c>
      <c r="AG1839" s="85">
        <v>45124</v>
      </c>
      <c r="AH1839" s="82" t="s">
        <v>9391</v>
      </c>
      <c r="AI1839" s="77"/>
      <c r="AJ1839" s="77"/>
      <c r="AK1839" s="77"/>
      <c r="AL1839" s="77"/>
      <c r="AM1839" s="77"/>
      <c r="AN1839" s="77"/>
      <c r="AO1839" s="77"/>
      <c r="AP1839" s="77"/>
      <c r="AQ1839" s="77"/>
      <c r="AR1839" s="77"/>
      <c r="AS1839" s="77"/>
      <c r="AT1839" s="77"/>
      <c r="AU1839" s="77"/>
      <c r="AV1839" s="80" t="str">
        <f>HYPERLINK("https://pbs.twimg.com/profile_images/1283576393662636034/EjgsMA_W_normal.jpg")</f>
        <v>https://pbs.twimg.com/profile_images/1283576393662636034/EjgsMA_W_normal.jpg</v>
      </c>
      <c r="AW1839" s="82" t="s">
        <v>14004</v>
      </c>
      <c r="AX1839" s="82" t="s">
        <v>15411</v>
      </c>
      <c r="AY1839" s="82" t="s">
        <v>15767</v>
      </c>
      <c r="AZ1839" s="82" t="s">
        <v>15940</v>
      </c>
      <c r="BA1839" s="82" t="s">
        <v>15804</v>
      </c>
      <c r="BB1839" s="82" t="s">
        <v>15804</v>
      </c>
      <c r="BC1839" s="82" t="s">
        <v>15940</v>
      </c>
      <c r="BD1839" s="82" t="s">
        <v>15767</v>
      </c>
      <c r="BE1839" s="77"/>
      <c r="BF1839" s="77"/>
      <c r="BG1839" s="77"/>
      <c r="BH1839" s="77"/>
      <c r="BI1839" s="77"/>
    </row>
    <row r="1840" spans="1:61" x14ac:dyDescent="0.25">
      <c r="A1840" s="62" t="s">
        <v>819</v>
      </c>
      <c r="B1840" s="62" t="s">
        <v>819</v>
      </c>
      <c r="C1840" s="63"/>
      <c r="D1840" s="64"/>
      <c r="E1840" s="65"/>
      <c r="F1840" s="66"/>
      <c r="G1840" s="63"/>
      <c r="H1840" s="67"/>
      <c r="I1840" s="68"/>
      <c r="J1840" s="68"/>
      <c r="K1840" s="32"/>
      <c r="L1840" s="75">
        <v>1840</v>
      </c>
      <c r="M1840" s="75"/>
      <c r="N1840" s="70"/>
      <c r="O1840" s="77" t="s">
        <v>1132</v>
      </c>
      <c r="P1840" s="79">
        <v>45107.472754629627</v>
      </c>
      <c r="Q1840" s="77" t="s">
        <v>2897</v>
      </c>
      <c r="R1840" s="77">
        <v>0</v>
      </c>
      <c r="S1840" s="77">
        <v>0</v>
      </c>
      <c r="T1840" s="77">
        <v>0</v>
      </c>
      <c r="U1840" s="77">
        <v>0</v>
      </c>
      <c r="V1840" s="77">
        <v>9</v>
      </c>
      <c r="W1840" s="82" t="s">
        <v>5308</v>
      </c>
      <c r="X1840" s="77"/>
      <c r="Y1840" s="77"/>
      <c r="Z1840" s="77"/>
      <c r="AA1840" s="77"/>
      <c r="AB1840" s="77"/>
      <c r="AC1840" s="82" t="s">
        <v>7705</v>
      </c>
      <c r="AD1840" s="77" t="s">
        <v>7745</v>
      </c>
      <c r="AE1840" s="80" t="str">
        <f>HYPERLINK("https://twitter.com/economedicos/status/1674739753005056002")</f>
        <v>https://twitter.com/economedicos/status/1674739753005056002</v>
      </c>
      <c r="AF1840" s="79">
        <v>45107.472754629627</v>
      </c>
      <c r="AG1840" s="85">
        <v>45107</v>
      </c>
      <c r="AH1840" s="82" t="s">
        <v>9392</v>
      </c>
      <c r="AI1840" s="77"/>
      <c r="AJ1840" s="77"/>
      <c r="AK1840" s="77"/>
      <c r="AL1840" s="77"/>
      <c r="AM1840" s="77"/>
      <c r="AN1840" s="77"/>
      <c r="AO1840" s="77"/>
      <c r="AP1840" s="77"/>
      <c r="AQ1840" s="77"/>
      <c r="AR1840" s="77"/>
      <c r="AS1840" s="77"/>
      <c r="AT1840" s="77"/>
      <c r="AU1840" s="77"/>
      <c r="AV1840" s="80" t="str">
        <f>HYPERLINK("https://pbs.twimg.com/profile_images/1283576393662636034/EjgsMA_W_normal.jpg")</f>
        <v>https://pbs.twimg.com/profile_images/1283576393662636034/EjgsMA_W_normal.jpg</v>
      </c>
      <c r="AW1840" s="82" t="s">
        <v>14005</v>
      </c>
      <c r="AX1840" s="82" t="s">
        <v>15412</v>
      </c>
      <c r="AY1840" s="82" t="s">
        <v>15767</v>
      </c>
      <c r="AZ1840" s="82" t="s">
        <v>15941</v>
      </c>
      <c r="BA1840" s="82" t="s">
        <v>15804</v>
      </c>
      <c r="BB1840" s="82" t="s">
        <v>15804</v>
      </c>
      <c r="BC1840" s="82" t="s">
        <v>15941</v>
      </c>
      <c r="BD1840" s="82" t="s">
        <v>15767</v>
      </c>
      <c r="BE1840" s="77"/>
      <c r="BF1840" s="77"/>
      <c r="BG1840" s="77"/>
      <c r="BH1840" s="77"/>
      <c r="BI1840" s="77"/>
    </row>
    <row r="1841" spans="1:61" x14ac:dyDescent="0.25">
      <c r="A1841" s="62" t="s">
        <v>819</v>
      </c>
      <c r="B1841" s="62" t="s">
        <v>819</v>
      </c>
      <c r="C1841" s="63"/>
      <c r="D1841" s="64"/>
      <c r="E1841" s="65"/>
      <c r="F1841" s="66"/>
      <c r="G1841" s="63"/>
      <c r="H1841" s="67"/>
      <c r="I1841" s="68"/>
      <c r="J1841" s="68"/>
      <c r="K1841" s="32"/>
      <c r="L1841" s="75">
        <v>1841</v>
      </c>
      <c r="M1841" s="75"/>
      <c r="N1841" s="70"/>
      <c r="O1841" s="77" t="s">
        <v>1132</v>
      </c>
      <c r="P1841" s="79">
        <v>45106.44902777778</v>
      </c>
      <c r="Q1841" s="77" t="s">
        <v>2898</v>
      </c>
      <c r="R1841" s="77">
        <v>0</v>
      </c>
      <c r="S1841" s="77">
        <v>0</v>
      </c>
      <c r="T1841" s="77">
        <v>0</v>
      </c>
      <c r="U1841" s="77">
        <v>0</v>
      </c>
      <c r="V1841" s="77">
        <v>8</v>
      </c>
      <c r="W1841" s="82" t="s">
        <v>5308</v>
      </c>
      <c r="X1841" s="77"/>
      <c r="Y1841" s="77"/>
      <c r="Z1841" s="77"/>
      <c r="AA1841" s="77"/>
      <c r="AB1841" s="77"/>
      <c r="AC1841" s="82" t="s">
        <v>7705</v>
      </c>
      <c r="AD1841" s="77" t="s">
        <v>7745</v>
      </c>
      <c r="AE1841" s="80" t="str">
        <f>HYPERLINK("https://twitter.com/economedicos/status/1674368763267895297")</f>
        <v>https://twitter.com/economedicos/status/1674368763267895297</v>
      </c>
      <c r="AF1841" s="79">
        <v>45106.44902777778</v>
      </c>
      <c r="AG1841" s="85">
        <v>45106</v>
      </c>
      <c r="AH1841" s="82" t="s">
        <v>9393</v>
      </c>
      <c r="AI1841" s="77"/>
      <c r="AJ1841" s="77"/>
      <c r="AK1841" s="77"/>
      <c r="AL1841" s="77"/>
      <c r="AM1841" s="77"/>
      <c r="AN1841" s="77"/>
      <c r="AO1841" s="77"/>
      <c r="AP1841" s="77"/>
      <c r="AQ1841" s="77"/>
      <c r="AR1841" s="77"/>
      <c r="AS1841" s="77"/>
      <c r="AT1841" s="77"/>
      <c r="AU1841" s="77"/>
      <c r="AV1841" s="80" t="str">
        <f>HYPERLINK("https://pbs.twimg.com/profile_images/1283576393662636034/EjgsMA_W_normal.jpg")</f>
        <v>https://pbs.twimg.com/profile_images/1283576393662636034/EjgsMA_W_normal.jpg</v>
      </c>
      <c r="AW1841" s="82" t="s">
        <v>14006</v>
      </c>
      <c r="AX1841" s="82" t="s">
        <v>15413</v>
      </c>
      <c r="AY1841" s="82" t="s">
        <v>15767</v>
      </c>
      <c r="AZ1841" s="82" t="s">
        <v>15942</v>
      </c>
      <c r="BA1841" s="82" t="s">
        <v>15804</v>
      </c>
      <c r="BB1841" s="82" t="s">
        <v>15804</v>
      </c>
      <c r="BC1841" s="82" t="s">
        <v>15942</v>
      </c>
      <c r="BD1841" s="82" t="s">
        <v>15767</v>
      </c>
      <c r="BE1841" s="77"/>
      <c r="BF1841" s="77"/>
      <c r="BG1841" s="77"/>
      <c r="BH1841" s="77"/>
      <c r="BI1841" s="77"/>
    </row>
    <row r="1842" spans="1:61" x14ac:dyDescent="0.25">
      <c r="A1842" s="62" t="s">
        <v>819</v>
      </c>
      <c r="B1842" s="62" t="s">
        <v>819</v>
      </c>
      <c r="C1842" s="63"/>
      <c r="D1842" s="64"/>
      <c r="E1842" s="65"/>
      <c r="F1842" s="66"/>
      <c r="G1842" s="63"/>
      <c r="H1842" s="67"/>
      <c r="I1842" s="68"/>
      <c r="J1842" s="68"/>
      <c r="K1842" s="32"/>
      <c r="L1842" s="75">
        <v>1842</v>
      </c>
      <c r="M1842" s="75"/>
      <c r="N1842" s="70"/>
      <c r="O1842" s="77" t="s">
        <v>1132</v>
      </c>
      <c r="P1842" s="79">
        <v>45085.411979166667</v>
      </c>
      <c r="Q1842" s="77" t="s">
        <v>2899</v>
      </c>
      <c r="R1842" s="77">
        <v>0</v>
      </c>
      <c r="S1842" s="77">
        <v>0</v>
      </c>
      <c r="T1842" s="77">
        <v>0</v>
      </c>
      <c r="U1842" s="77">
        <v>0</v>
      </c>
      <c r="V1842" s="77">
        <v>2</v>
      </c>
      <c r="W1842" s="82" t="s">
        <v>5308</v>
      </c>
      <c r="X1842" s="77"/>
      <c r="Y1842" s="77"/>
      <c r="Z1842" s="77"/>
      <c r="AA1842" s="77"/>
      <c r="AB1842" s="77"/>
      <c r="AC1842" s="82" t="s">
        <v>7705</v>
      </c>
      <c r="AD1842" s="77" t="s">
        <v>7745</v>
      </c>
      <c r="AE1842" s="80" t="str">
        <f>HYPERLINK("https://twitter.com/economedicos/status/1666745194019192835")</f>
        <v>https://twitter.com/economedicos/status/1666745194019192835</v>
      </c>
      <c r="AF1842" s="79">
        <v>45085.411979166667</v>
      </c>
      <c r="AG1842" s="85">
        <v>45085</v>
      </c>
      <c r="AH1842" s="82" t="s">
        <v>9394</v>
      </c>
      <c r="AI1842" s="77"/>
      <c r="AJ1842" s="77"/>
      <c r="AK1842" s="77"/>
      <c r="AL1842" s="77"/>
      <c r="AM1842" s="77"/>
      <c r="AN1842" s="77"/>
      <c r="AO1842" s="77"/>
      <c r="AP1842" s="77"/>
      <c r="AQ1842" s="77"/>
      <c r="AR1842" s="77"/>
      <c r="AS1842" s="77"/>
      <c r="AT1842" s="77"/>
      <c r="AU1842" s="77"/>
      <c r="AV1842" s="80" t="str">
        <f>HYPERLINK("https://pbs.twimg.com/profile_images/1283576393662636034/EjgsMA_W_normal.jpg")</f>
        <v>https://pbs.twimg.com/profile_images/1283576393662636034/EjgsMA_W_normal.jpg</v>
      </c>
      <c r="AW1842" s="82" t="s">
        <v>14007</v>
      </c>
      <c r="AX1842" s="82" t="s">
        <v>15414</v>
      </c>
      <c r="AY1842" s="82" t="s">
        <v>15767</v>
      </c>
      <c r="AZ1842" s="82" t="s">
        <v>15943</v>
      </c>
      <c r="BA1842" s="82" t="s">
        <v>15804</v>
      </c>
      <c r="BB1842" s="82" t="s">
        <v>15804</v>
      </c>
      <c r="BC1842" s="82" t="s">
        <v>15943</v>
      </c>
      <c r="BD1842" s="82" t="s">
        <v>15767</v>
      </c>
      <c r="BE1842" s="77"/>
      <c r="BF1842" s="77"/>
      <c r="BG1842" s="77"/>
      <c r="BH1842" s="77"/>
      <c r="BI1842" s="77"/>
    </row>
    <row r="1843" spans="1:61" x14ac:dyDescent="0.25">
      <c r="A1843" s="62" t="s">
        <v>819</v>
      </c>
      <c r="B1843" s="62" t="s">
        <v>819</v>
      </c>
      <c r="C1843" s="63"/>
      <c r="D1843" s="64"/>
      <c r="E1843" s="65"/>
      <c r="F1843" s="66"/>
      <c r="G1843" s="63"/>
      <c r="H1843" s="67"/>
      <c r="I1843" s="68"/>
      <c r="J1843" s="68"/>
      <c r="K1843" s="32"/>
      <c r="L1843" s="75">
        <v>1843</v>
      </c>
      <c r="M1843" s="75"/>
      <c r="N1843" s="70"/>
      <c r="O1843" s="77" t="s">
        <v>1132</v>
      </c>
      <c r="P1843" s="79">
        <v>45064.500648148147</v>
      </c>
      <c r="Q1843" s="77" t="s">
        <v>2900</v>
      </c>
      <c r="R1843" s="77">
        <v>0</v>
      </c>
      <c r="S1843" s="77">
        <v>0</v>
      </c>
      <c r="T1843" s="77">
        <v>0</v>
      </c>
      <c r="U1843" s="77">
        <v>0</v>
      </c>
      <c r="V1843" s="77">
        <v>2</v>
      </c>
      <c r="W1843" s="82" t="s">
        <v>5308</v>
      </c>
      <c r="X1843" s="77"/>
      <c r="Y1843" s="77"/>
      <c r="Z1843" s="77"/>
      <c r="AA1843" s="77"/>
      <c r="AB1843" s="77"/>
      <c r="AC1843" s="82" t="s">
        <v>7705</v>
      </c>
      <c r="AD1843" s="77" t="s">
        <v>7745</v>
      </c>
      <c r="AE1843" s="80" t="str">
        <f>HYPERLINK("https://twitter.com/economedicos/status/1659167181542760451")</f>
        <v>https://twitter.com/economedicos/status/1659167181542760451</v>
      </c>
      <c r="AF1843" s="79">
        <v>45064.500648148147</v>
      </c>
      <c r="AG1843" s="85">
        <v>45064</v>
      </c>
      <c r="AH1843" s="82" t="s">
        <v>9395</v>
      </c>
      <c r="AI1843" s="77"/>
      <c r="AJ1843" s="77"/>
      <c r="AK1843" s="77"/>
      <c r="AL1843" s="77"/>
      <c r="AM1843" s="77"/>
      <c r="AN1843" s="77"/>
      <c r="AO1843" s="77"/>
      <c r="AP1843" s="77"/>
      <c r="AQ1843" s="77"/>
      <c r="AR1843" s="77"/>
      <c r="AS1843" s="77"/>
      <c r="AT1843" s="77"/>
      <c r="AU1843" s="77"/>
      <c r="AV1843" s="80" t="str">
        <f>HYPERLINK("https://pbs.twimg.com/profile_images/1283576393662636034/EjgsMA_W_normal.jpg")</f>
        <v>https://pbs.twimg.com/profile_images/1283576393662636034/EjgsMA_W_normal.jpg</v>
      </c>
      <c r="AW1843" s="82" t="s">
        <v>14008</v>
      </c>
      <c r="AX1843" s="82" t="s">
        <v>15415</v>
      </c>
      <c r="AY1843" s="82" t="s">
        <v>15767</v>
      </c>
      <c r="AZ1843" s="82" t="s">
        <v>15944</v>
      </c>
      <c r="BA1843" s="82" t="s">
        <v>15804</v>
      </c>
      <c r="BB1843" s="82" t="s">
        <v>15804</v>
      </c>
      <c r="BC1843" s="82" t="s">
        <v>15944</v>
      </c>
      <c r="BD1843" s="82" t="s">
        <v>15767</v>
      </c>
      <c r="BE1843" s="77"/>
      <c r="BF1843" s="77"/>
      <c r="BG1843" s="77"/>
      <c r="BH1843" s="77"/>
      <c r="BI1843" s="77"/>
    </row>
    <row r="1844" spans="1:61" x14ac:dyDescent="0.25">
      <c r="A1844" s="62" t="s">
        <v>819</v>
      </c>
      <c r="B1844" s="62" t="s">
        <v>819</v>
      </c>
      <c r="C1844" s="63"/>
      <c r="D1844" s="64"/>
      <c r="E1844" s="65"/>
      <c r="F1844" s="66"/>
      <c r="G1844" s="63"/>
      <c r="H1844" s="67"/>
      <c r="I1844" s="68"/>
      <c r="J1844" s="68"/>
      <c r="K1844" s="32"/>
      <c r="L1844" s="75">
        <v>1844</v>
      </c>
      <c r="M1844" s="75"/>
      <c r="N1844" s="70"/>
      <c r="O1844" s="77" t="s">
        <v>1132</v>
      </c>
      <c r="P1844" s="79">
        <v>45063.464537037034</v>
      </c>
      <c r="Q1844" s="77" t="s">
        <v>2901</v>
      </c>
      <c r="R1844" s="77">
        <v>0</v>
      </c>
      <c r="S1844" s="77">
        <v>0</v>
      </c>
      <c r="T1844" s="77">
        <v>0</v>
      </c>
      <c r="U1844" s="77">
        <v>0</v>
      </c>
      <c r="V1844" s="77">
        <v>9</v>
      </c>
      <c r="W1844" s="82" t="s">
        <v>5308</v>
      </c>
      <c r="X1844" s="77"/>
      <c r="Y1844" s="77"/>
      <c r="Z1844" s="77"/>
      <c r="AA1844" s="77"/>
      <c r="AB1844" s="77"/>
      <c r="AC1844" s="82" t="s">
        <v>7705</v>
      </c>
      <c r="AD1844" s="77" t="s">
        <v>7745</v>
      </c>
      <c r="AE1844" s="80" t="str">
        <f>HYPERLINK("https://twitter.com/economedicos/status/1658791707436105729")</f>
        <v>https://twitter.com/economedicos/status/1658791707436105729</v>
      </c>
      <c r="AF1844" s="79">
        <v>45063.464537037034</v>
      </c>
      <c r="AG1844" s="85">
        <v>45063</v>
      </c>
      <c r="AH1844" s="82" t="s">
        <v>9396</v>
      </c>
      <c r="AI1844" s="77"/>
      <c r="AJ1844" s="77"/>
      <c r="AK1844" s="77"/>
      <c r="AL1844" s="77"/>
      <c r="AM1844" s="77"/>
      <c r="AN1844" s="77"/>
      <c r="AO1844" s="77"/>
      <c r="AP1844" s="77"/>
      <c r="AQ1844" s="77"/>
      <c r="AR1844" s="77"/>
      <c r="AS1844" s="77"/>
      <c r="AT1844" s="77"/>
      <c r="AU1844" s="77"/>
      <c r="AV1844" s="80" t="str">
        <f>HYPERLINK("https://pbs.twimg.com/profile_images/1283576393662636034/EjgsMA_W_normal.jpg")</f>
        <v>https://pbs.twimg.com/profile_images/1283576393662636034/EjgsMA_W_normal.jpg</v>
      </c>
      <c r="AW1844" s="82" t="s">
        <v>14009</v>
      </c>
      <c r="AX1844" s="82" t="s">
        <v>15416</v>
      </c>
      <c r="AY1844" s="82" t="s">
        <v>15767</v>
      </c>
      <c r="AZ1844" s="82" t="s">
        <v>15945</v>
      </c>
      <c r="BA1844" s="82" t="s">
        <v>15804</v>
      </c>
      <c r="BB1844" s="82" t="s">
        <v>15804</v>
      </c>
      <c r="BC1844" s="82" t="s">
        <v>15945</v>
      </c>
      <c r="BD1844" s="82" t="s">
        <v>15767</v>
      </c>
      <c r="BE1844" s="77"/>
      <c r="BF1844" s="77"/>
      <c r="BG1844" s="77"/>
      <c r="BH1844" s="77"/>
      <c r="BI1844" s="77"/>
    </row>
    <row r="1845" spans="1:61" x14ac:dyDescent="0.25">
      <c r="A1845" s="62" t="s">
        <v>819</v>
      </c>
      <c r="B1845" s="62" t="s">
        <v>819</v>
      </c>
      <c r="C1845" s="63"/>
      <c r="D1845" s="64"/>
      <c r="E1845" s="65"/>
      <c r="F1845" s="66"/>
      <c r="G1845" s="63"/>
      <c r="H1845" s="67"/>
      <c r="I1845" s="68"/>
      <c r="J1845" s="68"/>
      <c r="K1845" s="32"/>
      <c r="L1845" s="75">
        <v>1845</v>
      </c>
      <c r="M1845" s="75"/>
      <c r="N1845" s="70"/>
      <c r="O1845" s="77" t="s">
        <v>1132</v>
      </c>
      <c r="P1845" s="79">
        <v>45062.451539351852</v>
      </c>
      <c r="Q1845" s="77" t="s">
        <v>2902</v>
      </c>
      <c r="R1845" s="77">
        <v>0</v>
      </c>
      <c r="S1845" s="77">
        <v>0</v>
      </c>
      <c r="T1845" s="77">
        <v>0</v>
      </c>
      <c r="U1845" s="77">
        <v>0</v>
      </c>
      <c r="V1845" s="77">
        <v>3</v>
      </c>
      <c r="W1845" s="82" t="s">
        <v>5308</v>
      </c>
      <c r="X1845" s="77"/>
      <c r="Y1845" s="77"/>
      <c r="Z1845" s="77"/>
      <c r="AA1845" s="77"/>
      <c r="AB1845" s="77"/>
      <c r="AC1845" s="82" t="s">
        <v>7705</v>
      </c>
      <c r="AD1845" s="77" t="s">
        <v>7745</v>
      </c>
      <c r="AE1845" s="80" t="str">
        <f>HYPERLINK("https://twitter.com/economedicos/status/1658424610327494656")</f>
        <v>https://twitter.com/economedicos/status/1658424610327494656</v>
      </c>
      <c r="AF1845" s="79">
        <v>45062.451539351852</v>
      </c>
      <c r="AG1845" s="85">
        <v>45062</v>
      </c>
      <c r="AH1845" s="82" t="s">
        <v>9134</v>
      </c>
      <c r="AI1845" s="77"/>
      <c r="AJ1845" s="77"/>
      <c r="AK1845" s="77"/>
      <c r="AL1845" s="77"/>
      <c r="AM1845" s="77"/>
      <c r="AN1845" s="77"/>
      <c r="AO1845" s="77"/>
      <c r="AP1845" s="77"/>
      <c r="AQ1845" s="77"/>
      <c r="AR1845" s="77"/>
      <c r="AS1845" s="77"/>
      <c r="AT1845" s="77"/>
      <c r="AU1845" s="77"/>
      <c r="AV1845" s="80" t="str">
        <f>HYPERLINK("https://pbs.twimg.com/profile_images/1283576393662636034/EjgsMA_W_normal.jpg")</f>
        <v>https://pbs.twimg.com/profile_images/1283576393662636034/EjgsMA_W_normal.jpg</v>
      </c>
      <c r="AW1845" s="82" t="s">
        <v>14010</v>
      </c>
      <c r="AX1845" s="82" t="s">
        <v>15417</v>
      </c>
      <c r="AY1845" s="82" t="s">
        <v>15767</v>
      </c>
      <c r="AZ1845" s="82" t="s">
        <v>15946</v>
      </c>
      <c r="BA1845" s="82" t="s">
        <v>15804</v>
      </c>
      <c r="BB1845" s="82" t="s">
        <v>15804</v>
      </c>
      <c r="BC1845" s="82" t="s">
        <v>15946</v>
      </c>
      <c r="BD1845" s="82" t="s">
        <v>15767</v>
      </c>
      <c r="BE1845" s="77"/>
      <c r="BF1845" s="77"/>
      <c r="BG1845" s="77"/>
      <c r="BH1845" s="77"/>
      <c r="BI1845" s="77"/>
    </row>
    <row r="1846" spans="1:61" x14ac:dyDescent="0.25">
      <c r="A1846" s="62" t="s">
        <v>819</v>
      </c>
      <c r="B1846" s="62" t="s">
        <v>819</v>
      </c>
      <c r="C1846" s="63"/>
      <c r="D1846" s="64"/>
      <c r="E1846" s="65"/>
      <c r="F1846" s="66"/>
      <c r="G1846" s="63"/>
      <c r="H1846" s="67"/>
      <c r="I1846" s="68"/>
      <c r="J1846" s="68"/>
      <c r="K1846" s="32"/>
      <c r="L1846" s="75">
        <v>1846</v>
      </c>
      <c r="M1846" s="75"/>
      <c r="N1846" s="70"/>
      <c r="O1846" s="77" t="s">
        <v>1132</v>
      </c>
      <c r="P1846" s="79">
        <v>45014.455868055556</v>
      </c>
      <c r="Q1846" s="77" t="s">
        <v>2903</v>
      </c>
      <c r="R1846" s="77">
        <v>0</v>
      </c>
      <c r="S1846" s="77">
        <v>0</v>
      </c>
      <c r="T1846" s="77">
        <v>0</v>
      </c>
      <c r="U1846" s="77">
        <v>0</v>
      </c>
      <c r="V1846" s="77">
        <v>4</v>
      </c>
      <c r="W1846" s="82" t="s">
        <v>5308</v>
      </c>
      <c r="X1846" s="77"/>
      <c r="Y1846" s="77"/>
      <c r="Z1846" s="77"/>
      <c r="AA1846" s="77"/>
      <c r="AB1846" s="77"/>
      <c r="AC1846" s="82" t="s">
        <v>7705</v>
      </c>
      <c r="AD1846" s="77" t="s">
        <v>7745</v>
      </c>
      <c r="AE1846" s="80" t="str">
        <f>HYPERLINK("https://twitter.com/economedicos/status/1641031561180053504")</f>
        <v>https://twitter.com/economedicos/status/1641031561180053504</v>
      </c>
      <c r="AF1846" s="79">
        <v>45014.455868055556</v>
      </c>
      <c r="AG1846" s="85">
        <v>45014</v>
      </c>
      <c r="AH1846" s="82" t="s">
        <v>9397</v>
      </c>
      <c r="AI1846" s="77"/>
      <c r="AJ1846" s="77"/>
      <c r="AK1846" s="77"/>
      <c r="AL1846" s="77"/>
      <c r="AM1846" s="77"/>
      <c r="AN1846" s="77"/>
      <c r="AO1846" s="77"/>
      <c r="AP1846" s="77"/>
      <c r="AQ1846" s="77"/>
      <c r="AR1846" s="77"/>
      <c r="AS1846" s="77"/>
      <c r="AT1846" s="77"/>
      <c r="AU1846" s="77"/>
      <c r="AV1846" s="80" t="str">
        <f>HYPERLINK("https://pbs.twimg.com/profile_images/1283576393662636034/EjgsMA_W_normal.jpg")</f>
        <v>https://pbs.twimg.com/profile_images/1283576393662636034/EjgsMA_W_normal.jpg</v>
      </c>
      <c r="AW1846" s="82" t="s">
        <v>14011</v>
      </c>
      <c r="AX1846" s="82" t="s">
        <v>15418</v>
      </c>
      <c r="AY1846" s="82" t="s">
        <v>15767</v>
      </c>
      <c r="AZ1846" s="82" t="s">
        <v>15947</v>
      </c>
      <c r="BA1846" s="82" t="s">
        <v>15804</v>
      </c>
      <c r="BB1846" s="82" t="s">
        <v>15804</v>
      </c>
      <c r="BC1846" s="82" t="s">
        <v>15947</v>
      </c>
      <c r="BD1846" s="82" t="s">
        <v>15767</v>
      </c>
      <c r="BE1846" s="77"/>
      <c r="BF1846" s="77"/>
      <c r="BG1846" s="77"/>
      <c r="BH1846" s="77"/>
      <c r="BI1846" s="77"/>
    </row>
    <row r="1847" spans="1:61" x14ac:dyDescent="0.25">
      <c r="A1847" s="62" t="s">
        <v>819</v>
      </c>
      <c r="B1847" s="62" t="s">
        <v>819</v>
      </c>
      <c r="C1847" s="63"/>
      <c r="D1847" s="64"/>
      <c r="E1847" s="65"/>
      <c r="F1847" s="66"/>
      <c r="G1847" s="63"/>
      <c r="H1847" s="67"/>
      <c r="I1847" s="68"/>
      <c r="J1847" s="68"/>
      <c r="K1847" s="32"/>
      <c r="L1847" s="75">
        <v>1847</v>
      </c>
      <c r="M1847" s="75"/>
      <c r="N1847" s="70"/>
      <c r="O1847" s="77" t="s">
        <v>1132</v>
      </c>
      <c r="P1847" s="79">
        <v>45013.463888888888</v>
      </c>
      <c r="Q1847" s="77" t="s">
        <v>2904</v>
      </c>
      <c r="R1847" s="77">
        <v>0</v>
      </c>
      <c r="S1847" s="77">
        <v>0</v>
      </c>
      <c r="T1847" s="77">
        <v>0</v>
      </c>
      <c r="U1847" s="77">
        <v>0</v>
      </c>
      <c r="V1847" s="77">
        <v>2</v>
      </c>
      <c r="W1847" s="82" t="s">
        <v>5308</v>
      </c>
      <c r="X1847" s="77"/>
      <c r="Y1847" s="77"/>
      <c r="Z1847" s="77"/>
      <c r="AA1847" s="77"/>
      <c r="AB1847" s="77"/>
      <c r="AC1847" s="82" t="s">
        <v>7705</v>
      </c>
      <c r="AD1847" s="77" t="s">
        <v>7745</v>
      </c>
      <c r="AE1847" s="80" t="str">
        <f>HYPERLINK("https://twitter.com/economedicos/status/1640672078771761152")</f>
        <v>https://twitter.com/economedicos/status/1640672078771761152</v>
      </c>
      <c r="AF1847" s="79">
        <v>45013.463888888888</v>
      </c>
      <c r="AG1847" s="85">
        <v>45013</v>
      </c>
      <c r="AH1847" s="82" t="s">
        <v>9398</v>
      </c>
      <c r="AI1847" s="77"/>
      <c r="AJ1847" s="77"/>
      <c r="AK1847" s="77"/>
      <c r="AL1847" s="77"/>
      <c r="AM1847" s="77"/>
      <c r="AN1847" s="77"/>
      <c r="AO1847" s="77"/>
      <c r="AP1847" s="77"/>
      <c r="AQ1847" s="77"/>
      <c r="AR1847" s="77"/>
      <c r="AS1847" s="77"/>
      <c r="AT1847" s="77"/>
      <c r="AU1847" s="77"/>
      <c r="AV1847" s="80" t="str">
        <f>HYPERLINK("https://pbs.twimg.com/profile_images/1283576393662636034/EjgsMA_W_normal.jpg")</f>
        <v>https://pbs.twimg.com/profile_images/1283576393662636034/EjgsMA_W_normal.jpg</v>
      </c>
      <c r="AW1847" s="82" t="s">
        <v>14012</v>
      </c>
      <c r="AX1847" s="82" t="s">
        <v>15419</v>
      </c>
      <c r="AY1847" s="82" t="s">
        <v>15767</v>
      </c>
      <c r="AZ1847" s="82" t="s">
        <v>15948</v>
      </c>
      <c r="BA1847" s="82" t="s">
        <v>15804</v>
      </c>
      <c r="BB1847" s="82" t="s">
        <v>15804</v>
      </c>
      <c r="BC1847" s="82" t="s">
        <v>15948</v>
      </c>
      <c r="BD1847" s="82" t="s">
        <v>15767</v>
      </c>
      <c r="BE1847" s="77"/>
      <c r="BF1847" s="77"/>
      <c r="BG1847" s="77"/>
      <c r="BH1847" s="77"/>
      <c r="BI1847" s="77"/>
    </row>
    <row r="1848" spans="1:61" x14ac:dyDescent="0.25">
      <c r="A1848" s="62" t="s">
        <v>819</v>
      </c>
      <c r="B1848" s="62" t="s">
        <v>819</v>
      </c>
      <c r="C1848" s="63"/>
      <c r="D1848" s="64"/>
      <c r="E1848" s="65"/>
      <c r="F1848" s="66"/>
      <c r="G1848" s="63"/>
      <c r="H1848" s="67"/>
      <c r="I1848" s="68"/>
      <c r="J1848" s="68"/>
      <c r="K1848" s="32"/>
      <c r="L1848" s="75">
        <v>1848</v>
      </c>
      <c r="M1848" s="75"/>
      <c r="N1848" s="70"/>
      <c r="O1848" s="77" t="s">
        <v>1132</v>
      </c>
      <c r="P1848" s="79">
        <v>45009.462083333332</v>
      </c>
      <c r="Q1848" s="77" t="s">
        <v>2905</v>
      </c>
      <c r="R1848" s="77">
        <v>0</v>
      </c>
      <c r="S1848" s="77">
        <v>0</v>
      </c>
      <c r="T1848" s="77">
        <v>0</v>
      </c>
      <c r="U1848" s="77">
        <v>0</v>
      </c>
      <c r="V1848" s="77">
        <v>3</v>
      </c>
      <c r="W1848" s="82" t="s">
        <v>5308</v>
      </c>
      <c r="X1848" s="77"/>
      <c r="Y1848" s="77"/>
      <c r="Z1848" s="77"/>
      <c r="AA1848" s="77"/>
      <c r="AB1848" s="77"/>
      <c r="AC1848" s="82" t="s">
        <v>7705</v>
      </c>
      <c r="AD1848" s="77" t="s">
        <v>7745</v>
      </c>
      <c r="AE1848" s="80" t="str">
        <f>HYPERLINK("https://twitter.com/economedicos/status/1639221874184912896")</f>
        <v>https://twitter.com/economedicos/status/1639221874184912896</v>
      </c>
      <c r="AF1848" s="79">
        <v>45009.462083333332</v>
      </c>
      <c r="AG1848" s="85">
        <v>45009</v>
      </c>
      <c r="AH1848" s="82" t="s">
        <v>9399</v>
      </c>
      <c r="AI1848" s="77"/>
      <c r="AJ1848" s="77"/>
      <c r="AK1848" s="77"/>
      <c r="AL1848" s="77"/>
      <c r="AM1848" s="77"/>
      <c r="AN1848" s="77"/>
      <c r="AO1848" s="77"/>
      <c r="AP1848" s="77"/>
      <c r="AQ1848" s="77"/>
      <c r="AR1848" s="77"/>
      <c r="AS1848" s="77"/>
      <c r="AT1848" s="77"/>
      <c r="AU1848" s="77"/>
      <c r="AV1848" s="80" t="str">
        <f>HYPERLINK("https://pbs.twimg.com/profile_images/1283576393662636034/EjgsMA_W_normal.jpg")</f>
        <v>https://pbs.twimg.com/profile_images/1283576393662636034/EjgsMA_W_normal.jpg</v>
      </c>
      <c r="AW1848" s="82" t="s">
        <v>14013</v>
      </c>
      <c r="AX1848" s="82" t="s">
        <v>15420</v>
      </c>
      <c r="AY1848" s="82" t="s">
        <v>15767</v>
      </c>
      <c r="AZ1848" s="82" t="s">
        <v>15949</v>
      </c>
      <c r="BA1848" s="82" t="s">
        <v>15804</v>
      </c>
      <c r="BB1848" s="82" t="s">
        <v>15804</v>
      </c>
      <c r="BC1848" s="82" t="s">
        <v>15949</v>
      </c>
      <c r="BD1848" s="82" t="s">
        <v>15767</v>
      </c>
      <c r="BE1848" s="77"/>
      <c r="BF1848" s="77"/>
      <c r="BG1848" s="77"/>
      <c r="BH1848" s="77"/>
      <c r="BI1848" s="77"/>
    </row>
    <row r="1849" spans="1:61" x14ac:dyDescent="0.25">
      <c r="A1849" s="62" t="s">
        <v>819</v>
      </c>
      <c r="B1849" s="62" t="s">
        <v>819</v>
      </c>
      <c r="C1849" s="63"/>
      <c r="D1849" s="64"/>
      <c r="E1849" s="65"/>
      <c r="F1849" s="66"/>
      <c r="G1849" s="63"/>
      <c r="H1849" s="67"/>
      <c r="I1849" s="68"/>
      <c r="J1849" s="68"/>
      <c r="K1849" s="32"/>
      <c r="L1849" s="75">
        <v>1849</v>
      </c>
      <c r="M1849" s="75"/>
      <c r="N1849" s="70"/>
      <c r="O1849" s="77" t="s">
        <v>1132</v>
      </c>
      <c r="P1849" s="79">
        <v>44966.442962962959</v>
      </c>
      <c r="Q1849" s="77" t="s">
        <v>2906</v>
      </c>
      <c r="R1849" s="77">
        <v>0</v>
      </c>
      <c r="S1849" s="77">
        <v>0</v>
      </c>
      <c r="T1849" s="77">
        <v>0</v>
      </c>
      <c r="U1849" s="77">
        <v>0</v>
      </c>
      <c r="V1849" s="77">
        <v>5</v>
      </c>
      <c r="W1849" s="82" t="s">
        <v>5308</v>
      </c>
      <c r="X1849" s="77"/>
      <c r="Y1849" s="77"/>
      <c r="Z1849" s="77"/>
      <c r="AA1849" s="77"/>
      <c r="AB1849" s="77"/>
      <c r="AC1849" s="82" t="s">
        <v>7705</v>
      </c>
      <c r="AD1849" s="77" t="s">
        <v>7745</v>
      </c>
      <c r="AE1849" s="80" t="str">
        <f>HYPERLINK("https://twitter.com/economedicos/status/1623632264679546885")</f>
        <v>https://twitter.com/economedicos/status/1623632264679546885</v>
      </c>
      <c r="AF1849" s="79">
        <v>44966.442962962959</v>
      </c>
      <c r="AG1849" s="85">
        <v>44966</v>
      </c>
      <c r="AH1849" s="82" t="s">
        <v>9400</v>
      </c>
      <c r="AI1849" s="77"/>
      <c r="AJ1849" s="77"/>
      <c r="AK1849" s="77"/>
      <c r="AL1849" s="77"/>
      <c r="AM1849" s="77"/>
      <c r="AN1849" s="77"/>
      <c r="AO1849" s="77"/>
      <c r="AP1849" s="77"/>
      <c r="AQ1849" s="77"/>
      <c r="AR1849" s="77"/>
      <c r="AS1849" s="77"/>
      <c r="AT1849" s="77"/>
      <c r="AU1849" s="77"/>
      <c r="AV1849" s="80" t="str">
        <f>HYPERLINK("https://pbs.twimg.com/profile_images/1283576393662636034/EjgsMA_W_normal.jpg")</f>
        <v>https://pbs.twimg.com/profile_images/1283576393662636034/EjgsMA_W_normal.jpg</v>
      </c>
      <c r="AW1849" s="82" t="s">
        <v>14014</v>
      </c>
      <c r="AX1849" s="82" t="s">
        <v>15421</v>
      </c>
      <c r="AY1849" s="82" t="s">
        <v>15767</v>
      </c>
      <c r="AZ1849" s="82" t="s">
        <v>15950</v>
      </c>
      <c r="BA1849" s="82" t="s">
        <v>15804</v>
      </c>
      <c r="BB1849" s="82" t="s">
        <v>15804</v>
      </c>
      <c r="BC1849" s="82" t="s">
        <v>15950</v>
      </c>
      <c r="BD1849" s="82" t="s">
        <v>15767</v>
      </c>
      <c r="BE1849" s="77"/>
      <c r="BF1849" s="77"/>
      <c r="BG1849" s="77"/>
      <c r="BH1849" s="77"/>
      <c r="BI1849" s="77"/>
    </row>
    <row r="1850" spans="1:61" x14ac:dyDescent="0.25">
      <c r="A1850" s="62" t="s">
        <v>819</v>
      </c>
      <c r="B1850" s="62" t="s">
        <v>819</v>
      </c>
      <c r="C1850" s="63"/>
      <c r="D1850" s="64"/>
      <c r="E1850" s="65"/>
      <c r="F1850" s="66"/>
      <c r="G1850" s="63"/>
      <c r="H1850" s="67"/>
      <c r="I1850" s="68"/>
      <c r="J1850" s="68"/>
      <c r="K1850" s="32"/>
      <c r="L1850" s="75">
        <v>1850</v>
      </c>
      <c r="M1850" s="75"/>
      <c r="N1850" s="70"/>
      <c r="O1850" s="77" t="s">
        <v>1132</v>
      </c>
      <c r="P1850" s="79">
        <v>44964.44059027778</v>
      </c>
      <c r="Q1850" s="77" t="s">
        <v>2907</v>
      </c>
      <c r="R1850" s="77">
        <v>0</v>
      </c>
      <c r="S1850" s="77">
        <v>0</v>
      </c>
      <c r="T1850" s="77">
        <v>0</v>
      </c>
      <c r="U1850" s="77">
        <v>0</v>
      </c>
      <c r="V1850" s="77">
        <v>10</v>
      </c>
      <c r="W1850" s="82" t="s">
        <v>5308</v>
      </c>
      <c r="X1850" s="77"/>
      <c r="Y1850" s="77"/>
      <c r="Z1850" s="77"/>
      <c r="AA1850" s="77"/>
      <c r="AB1850" s="77"/>
      <c r="AC1850" s="82" t="s">
        <v>7705</v>
      </c>
      <c r="AD1850" s="77" t="s">
        <v>7745</v>
      </c>
      <c r="AE1850" s="80" t="str">
        <f>HYPERLINK("https://twitter.com/economedicos/status/1622906630844170240")</f>
        <v>https://twitter.com/economedicos/status/1622906630844170240</v>
      </c>
      <c r="AF1850" s="79">
        <v>44964.44059027778</v>
      </c>
      <c r="AG1850" s="85">
        <v>44964</v>
      </c>
      <c r="AH1850" s="82" t="s">
        <v>9401</v>
      </c>
      <c r="AI1850" s="77"/>
      <c r="AJ1850" s="77"/>
      <c r="AK1850" s="77"/>
      <c r="AL1850" s="77"/>
      <c r="AM1850" s="77"/>
      <c r="AN1850" s="77"/>
      <c r="AO1850" s="77"/>
      <c r="AP1850" s="77"/>
      <c r="AQ1850" s="77"/>
      <c r="AR1850" s="77"/>
      <c r="AS1850" s="77"/>
      <c r="AT1850" s="77"/>
      <c r="AU1850" s="77"/>
      <c r="AV1850" s="80" t="str">
        <f>HYPERLINK("https://pbs.twimg.com/profile_images/1283576393662636034/EjgsMA_W_normal.jpg")</f>
        <v>https://pbs.twimg.com/profile_images/1283576393662636034/EjgsMA_W_normal.jpg</v>
      </c>
      <c r="AW1850" s="82" t="s">
        <v>14015</v>
      </c>
      <c r="AX1850" s="82" t="s">
        <v>15422</v>
      </c>
      <c r="AY1850" s="82" t="s">
        <v>15767</v>
      </c>
      <c r="AZ1850" s="82" t="s">
        <v>15951</v>
      </c>
      <c r="BA1850" s="82" t="s">
        <v>15804</v>
      </c>
      <c r="BB1850" s="82" t="s">
        <v>15804</v>
      </c>
      <c r="BC1850" s="82" t="s">
        <v>15951</v>
      </c>
      <c r="BD1850" s="82" t="s">
        <v>15767</v>
      </c>
      <c r="BE1850" s="77"/>
      <c r="BF1850" s="77"/>
      <c r="BG1850" s="77"/>
      <c r="BH1850" s="77"/>
      <c r="BI1850" s="77"/>
    </row>
    <row r="1851" spans="1:61" x14ac:dyDescent="0.25">
      <c r="A1851" s="62" t="s">
        <v>819</v>
      </c>
      <c r="B1851" s="62" t="s">
        <v>819</v>
      </c>
      <c r="C1851" s="63"/>
      <c r="D1851" s="64"/>
      <c r="E1851" s="65"/>
      <c r="F1851" s="66"/>
      <c r="G1851" s="63"/>
      <c r="H1851" s="67"/>
      <c r="I1851" s="68"/>
      <c r="J1851" s="68"/>
      <c r="K1851" s="32"/>
      <c r="L1851" s="75">
        <v>1851</v>
      </c>
      <c r="M1851" s="75"/>
      <c r="N1851" s="70"/>
      <c r="O1851" s="77" t="s">
        <v>1132</v>
      </c>
      <c r="P1851" s="79">
        <v>44963.453101851854</v>
      </c>
      <c r="Q1851" s="77" t="s">
        <v>2908</v>
      </c>
      <c r="R1851" s="77">
        <v>0</v>
      </c>
      <c r="S1851" s="77">
        <v>1</v>
      </c>
      <c r="T1851" s="77">
        <v>0</v>
      </c>
      <c r="U1851" s="77">
        <v>0</v>
      </c>
      <c r="V1851" s="77">
        <v>9</v>
      </c>
      <c r="W1851" s="82" t="s">
        <v>5308</v>
      </c>
      <c r="X1851" s="77"/>
      <c r="Y1851" s="77"/>
      <c r="Z1851" s="77"/>
      <c r="AA1851" s="77"/>
      <c r="AB1851" s="77"/>
      <c r="AC1851" s="82" t="s">
        <v>7705</v>
      </c>
      <c r="AD1851" s="77" t="s">
        <v>7745</v>
      </c>
      <c r="AE1851" s="80" t="str">
        <f>HYPERLINK("https://twitter.com/economedicos/status/1622548777260273665")</f>
        <v>https://twitter.com/economedicos/status/1622548777260273665</v>
      </c>
      <c r="AF1851" s="79">
        <v>44963.453101851854</v>
      </c>
      <c r="AG1851" s="85">
        <v>44963</v>
      </c>
      <c r="AH1851" s="82" t="s">
        <v>9402</v>
      </c>
      <c r="AI1851" s="77"/>
      <c r="AJ1851" s="77"/>
      <c r="AK1851" s="77"/>
      <c r="AL1851" s="77"/>
      <c r="AM1851" s="77"/>
      <c r="AN1851" s="77"/>
      <c r="AO1851" s="77"/>
      <c r="AP1851" s="77"/>
      <c r="AQ1851" s="77"/>
      <c r="AR1851" s="77"/>
      <c r="AS1851" s="77"/>
      <c r="AT1851" s="77"/>
      <c r="AU1851" s="77"/>
      <c r="AV1851" s="80" t="str">
        <f>HYPERLINK("https://pbs.twimg.com/profile_images/1283576393662636034/EjgsMA_W_normal.jpg")</f>
        <v>https://pbs.twimg.com/profile_images/1283576393662636034/EjgsMA_W_normal.jpg</v>
      </c>
      <c r="AW1851" s="82" t="s">
        <v>14016</v>
      </c>
      <c r="AX1851" s="82" t="s">
        <v>15423</v>
      </c>
      <c r="AY1851" s="82" t="s">
        <v>15767</v>
      </c>
      <c r="AZ1851" s="82" t="s">
        <v>15952</v>
      </c>
      <c r="BA1851" s="82" t="s">
        <v>15804</v>
      </c>
      <c r="BB1851" s="82" t="s">
        <v>15804</v>
      </c>
      <c r="BC1851" s="82" t="s">
        <v>15952</v>
      </c>
      <c r="BD1851" s="82" t="s">
        <v>15767</v>
      </c>
      <c r="BE1851" s="77"/>
      <c r="BF1851" s="77"/>
      <c r="BG1851" s="77"/>
      <c r="BH1851" s="77"/>
      <c r="BI1851" s="77"/>
    </row>
    <row r="1852" spans="1:61" x14ac:dyDescent="0.25">
      <c r="A1852" s="62" t="s">
        <v>819</v>
      </c>
      <c r="B1852" s="62" t="s">
        <v>819</v>
      </c>
      <c r="C1852" s="63"/>
      <c r="D1852" s="64"/>
      <c r="E1852" s="65"/>
      <c r="F1852" s="66"/>
      <c r="G1852" s="63"/>
      <c r="H1852" s="67"/>
      <c r="I1852" s="68"/>
      <c r="J1852" s="68"/>
      <c r="K1852" s="32"/>
      <c r="L1852" s="75">
        <v>1852</v>
      </c>
      <c r="M1852" s="75"/>
      <c r="N1852" s="70"/>
      <c r="O1852" s="77" t="s">
        <v>1132</v>
      </c>
      <c r="P1852" s="79">
        <v>45166.468287037038</v>
      </c>
      <c r="Q1852" s="77" t="s">
        <v>2909</v>
      </c>
      <c r="R1852" s="77">
        <v>0</v>
      </c>
      <c r="S1852" s="77">
        <v>0</v>
      </c>
      <c r="T1852" s="77">
        <v>0</v>
      </c>
      <c r="U1852" s="77">
        <v>0</v>
      </c>
      <c r="V1852" s="77">
        <v>10</v>
      </c>
      <c r="W1852" s="82" t="s">
        <v>5310</v>
      </c>
      <c r="X1852" s="77"/>
      <c r="Y1852" s="77"/>
      <c r="Z1852" s="77"/>
      <c r="AA1852" s="77"/>
      <c r="AB1852" s="77"/>
      <c r="AC1852" s="82" t="s">
        <v>7705</v>
      </c>
      <c r="AD1852" s="77" t="s">
        <v>7745</v>
      </c>
      <c r="AE1852" s="80" t="str">
        <f>HYPERLINK("https://twitter.com/economedicos/status/1696119014215368833")</f>
        <v>https://twitter.com/economedicos/status/1696119014215368833</v>
      </c>
      <c r="AF1852" s="79">
        <v>45166.468287037038</v>
      </c>
      <c r="AG1852" s="85">
        <v>45166</v>
      </c>
      <c r="AH1852" s="82" t="s">
        <v>9403</v>
      </c>
      <c r="AI1852" s="77"/>
      <c r="AJ1852" s="77"/>
      <c r="AK1852" s="77"/>
      <c r="AL1852" s="77"/>
      <c r="AM1852" s="77"/>
      <c r="AN1852" s="77"/>
      <c r="AO1852" s="77"/>
      <c r="AP1852" s="77"/>
      <c r="AQ1852" s="77"/>
      <c r="AR1852" s="77"/>
      <c r="AS1852" s="77"/>
      <c r="AT1852" s="77"/>
      <c r="AU1852" s="77"/>
      <c r="AV1852" s="80" t="str">
        <f>HYPERLINK("https://pbs.twimg.com/profile_images/1283576393662636034/EjgsMA_W_normal.jpg")</f>
        <v>https://pbs.twimg.com/profile_images/1283576393662636034/EjgsMA_W_normal.jpg</v>
      </c>
      <c r="AW1852" s="82" t="s">
        <v>14017</v>
      </c>
      <c r="AX1852" s="82" t="s">
        <v>15424</v>
      </c>
      <c r="AY1852" s="82" t="s">
        <v>15767</v>
      </c>
      <c r="AZ1852" s="82" t="s">
        <v>15953</v>
      </c>
      <c r="BA1852" s="82" t="s">
        <v>15804</v>
      </c>
      <c r="BB1852" s="82" t="s">
        <v>15804</v>
      </c>
      <c r="BC1852" s="82" t="s">
        <v>15953</v>
      </c>
      <c r="BD1852" s="82" t="s">
        <v>15767</v>
      </c>
      <c r="BE1852" s="77"/>
      <c r="BF1852" s="77"/>
      <c r="BG1852" s="77"/>
      <c r="BH1852" s="77"/>
      <c r="BI1852" s="77"/>
    </row>
    <row r="1853" spans="1:61" x14ac:dyDescent="0.25">
      <c r="A1853" s="62" t="s">
        <v>819</v>
      </c>
      <c r="B1853" s="62" t="s">
        <v>819</v>
      </c>
      <c r="C1853" s="63"/>
      <c r="D1853" s="64"/>
      <c r="E1853" s="65"/>
      <c r="F1853" s="66"/>
      <c r="G1853" s="63"/>
      <c r="H1853" s="67"/>
      <c r="I1853" s="68"/>
      <c r="J1853" s="68"/>
      <c r="K1853" s="32"/>
      <c r="L1853" s="75">
        <v>1853</v>
      </c>
      <c r="M1853" s="75"/>
      <c r="N1853" s="70"/>
      <c r="O1853" s="77" t="s">
        <v>1132</v>
      </c>
      <c r="P1853" s="79">
        <v>45153.447199074071</v>
      </c>
      <c r="Q1853" s="77" t="s">
        <v>2910</v>
      </c>
      <c r="R1853" s="77">
        <v>0</v>
      </c>
      <c r="S1853" s="77">
        <v>0</v>
      </c>
      <c r="T1853" s="77">
        <v>0</v>
      </c>
      <c r="U1853" s="77">
        <v>0</v>
      </c>
      <c r="V1853" s="77">
        <v>6</v>
      </c>
      <c r="W1853" s="82" t="s">
        <v>5308</v>
      </c>
      <c r="X1853" s="77"/>
      <c r="Y1853" s="77"/>
      <c r="Z1853" s="77"/>
      <c r="AA1853" s="77"/>
      <c r="AB1853" s="77"/>
      <c r="AC1853" s="82" t="s">
        <v>7705</v>
      </c>
      <c r="AD1853" s="77" t="s">
        <v>7745</v>
      </c>
      <c r="AE1853" s="80" t="str">
        <f>HYPERLINK("https://twitter.com/economedicos/status/1691400332952182784")</f>
        <v>https://twitter.com/economedicos/status/1691400332952182784</v>
      </c>
      <c r="AF1853" s="79">
        <v>45153.447199074071</v>
      </c>
      <c r="AG1853" s="85">
        <v>45153</v>
      </c>
      <c r="AH1853" s="82" t="s">
        <v>9404</v>
      </c>
      <c r="AI1853" s="77"/>
      <c r="AJ1853" s="77"/>
      <c r="AK1853" s="77"/>
      <c r="AL1853" s="77"/>
      <c r="AM1853" s="77"/>
      <c r="AN1853" s="77"/>
      <c r="AO1853" s="77"/>
      <c r="AP1853" s="77"/>
      <c r="AQ1853" s="77"/>
      <c r="AR1853" s="77"/>
      <c r="AS1853" s="77"/>
      <c r="AT1853" s="77"/>
      <c r="AU1853" s="77"/>
      <c r="AV1853" s="80" t="str">
        <f>HYPERLINK("https://pbs.twimg.com/profile_images/1283576393662636034/EjgsMA_W_normal.jpg")</f>
        <v>https://pbs.twimg.com/profile_images/1283576393662636034/EjgsMA_W_normal.jpg</v>
      </c>
      <c r="AW1853" s="82" t="s">
        <v>14018</v>
      </c>
      <c r="AX1853" s="82" t="s">
        <v>15425</v>
      </c>
      <c r="AY1853" s="82" t="s">
        <v>15767</v>
      </c>
      <c r="AZ1853" s="82" t="s">
        <v>15954</v>
      </c>
      <c r="BA1853" s="82" t="s">
        <v>15804</v>
      </c>
      <c r="BB1853" s="82" t="s">
        <v>15804</v>
      </c>
      <c r="BC1853" s="82" t="s">
        <v>15954</v>
      </c>
      <c r="BD1853" s="82" t="s">
        <v>15767</v>
      </c>
      <c r="BE1853" s="77"/>
      <c r="BF1853" s="77"/>
      <c r="BG1853" s="77"/>
      <c r="BH1853" s="77"/>
      <c r="BI1853" s="77"/>
    </row>
    <row r="1854" spans="1:61" x14ac:dyDescent="0.25">
      <c r="A1854" s="62" t="s">
        <v>819</v>
      </c>
      <c r="B1854" s="62" t="s">
        <v>819</v>
      </c>
      <c r="C1854" s="63"/>
      <c r="D1854" s="64"/>
      <c r="E1854" s="65"/>
      <c r="F1854" s="66"/>
      <c r="G1854" s="63"/>
      <c r="H1854" s="67"/>
      <c r="I1854" s="68"/>
      <c r="J1854" s="68"/>
      <c r="K1854" s="32"/>
      <c r="L1854" s="75">
        <v>1854</v>
      </c>
      <c r="M1854" s="75"/>
      <c r="N1854" s="70"/>
      <c r="O1854" s="77" t="s">
        <v>1132</v>
      </c>
      <c r="P1854" s="79">
        <v>45145.494930555556</v>
      </c>
      <c r="Q1854" s="77" t="s">
        <v>2911</v>
      </c>
      <c r="R1854" s="77">
        <v>0</v>
      </c>
      <c r="S1854" s="77">
        <v>0</v>
      </c>
      <c r="T1854" s="77">
        <v>0</v>
      </c>
      <c r="U1854" s="77">
        <v>0</v>
      </c>
      <c r="V1854" s="77">
        <v>17</v>
      </c>
      <c r="W1854" s="82" t="s">
        <v>5308</v>
      </c>
      <c r="X1854" s="77"/>
      <c r="Y1854" s="77"/>
      <c r="Z1854" s="77"/>
      <c r="AA1854" s="77"/>
      <c r="AB1854" s="77"/>
      <c r="AC1854" s="82" t="s">
        <v>7705</v>
      </c>
      <c r="AD1854" s="77" t="s">
        <v>7745</v>
      </c>
      <c r="AE1854" s="80" t="str">
        <f>HYPERLINK("https://twitter.com/economedicos/status/1688518527391559680")</f>
        <v>https://twitter.com/economedicos/status/1688518527391559680</v>
      </c>
      <c r="AF1854" s="79">
        <v>45145.494930555556</v>
      </c>
      <c r="AG1854" s="85">
        <v>45145</v>
      </c>
      <c r="AH1854" s="82" t="s">
        <v>9405</v>
      </c>
      <c r="AI1854" s="77"/>
      <c r="AJ1854" s="77"/>
      <c r="AK1854" s="77"/>
      <c r="AL1854" s="77"/>
      <c r="AM1854" s="77"/>
      <c r="AN1854" s="77"/>
      <c r="AO1854" s="77"/>
      <c r="AP1854" s="77"/>
      <c r="AQ1854" s="77"/>
      <c r="AR1854" s="77"/>
      <c r="AS1854" s="77"/>
      <c r="AT1854" s="77"/>
      <c r="AU1854" s="77"/>
      <c r="AV1854" s="80" t="str">
        <f>HYPERLINK("https://pbs.twimg.com/profile_images/1283576393662636034/EjgsMA_W_normal.jpg")</f>
        <v>https://pbs.twimg.com/profile_images/1283576393662636034/EjgsMA_W_normal.jpg</v>
      </c>
      <c r="AW1854" s="82" t="s">
        <v>14019</v>
      </c>
      <c r="AX1854" s="82" t="s">
        <v>15426</v>
      </c>
      <c r="AY1854" s="82" t="s">
        <v>15767</v>
      </c>
      <c r="AZ1854" s="82" t="s">
        <v>15955</v>
      </c>
      <c r="BA1854" s="82" t="s">
        <v>15804</v>
      </c>
      <c r="BB1854" s="82" t="s">
        <v>15804</v>
      </c>
      <c r="BC1854" s="82" t="s">
        <v>15955</v>
      </c>
      <c r="BD1854" s="82" t="s">
        <v>15767</v>
      </c>
      <c r="BE1854" s="77"/>
      <c r="BF1854" s="77"/>
      <c r="BG1854" s="77"/>
      <c r="BH1854" s="77"/>
      <c r="BI1854" s="77"/>
    </row>
    <row r="1855" spans="1:61" x14ac:dyDescent="0.25">
      <c r="A1855" s="62" t="s">
        <v>819</v>
      </c>
      <c r="B1855" s="62" t="s">
        <v>819</v>
      </c>
      <c r="C1855" s="63"/>
      <c r="D1855" s="64"/>
      <c r="E1855" s="65"/>
      <c r="F1855" s="66"/>
      <c r="G1855" s="63"/>
      <c r="H1855" s="67"/>
      <c r="I1855" s="68"/>
      <c r="J1855" s="68"/>
      <c r="K1855" s="32"/>
      <c r="L1855" s="75">
        <v>1855</v>
      </c>
      <c r="M1855" s="75"/>
      <c r="N1855" s="70"/>
      <c r="O1855" s="77" t="s">
        <v>1132</v>
      </c>
      <c r="P1855" s="79">
        <v>45139.481562499997</v>
      </c>
      <c r="Q1855" s="77" t="s">
        <v>2912</v>
      </c>
      <c r="R1855" s="77">
        <v>0</v>
      </c>
      <c r="S1855" s="77">
        <v>0</v>
      </c>
      <c r="T1855" s="77">
        <v>0</v>
      </c>
      <c r="U1855" s="77">
        <v>0</v>
      </c>
      <c r="V1855" s="77">
        <v>16</v>
      </c>
      <c r="W1855" s="82" t="s">
        <v>5308</v>
      </c>
      <c r="X1855" s="77"/>
      <c r="Y1855" s="77"/>
      <c r="Z1855" s="77"/>
      <c r="AA1855" s="77"/>
      <c r="AB1855" s="77"/>
      <c r="AC1855" s="82" t="s">
        <v>7705</v>
      </c>
      <c r="AD1855" s="77" t="s">
        <v>7745</v>
      </c>
      <c r="AE1855" s="80" t="str">
        <f>HYPERLINK("https://twitter.com/economedicos/status/1686339356066230273")</f>
        <v>https://twitter.com/economedicos/status/1686339356066230273</v>
      </c>
      <c r="AF1855" s="79">
        <v>45139.481562499997</v>
      </c>
      <c r="AG1855" s="85">
        <v>45139</v>
      </c>
      <c r="AH1855" s="82" t="s">
        <v>9406</v>
      </c>
      <c r="AI1855" s="77"/>
      <c r="AJ1855" s="77"/>
      <c r="AK1855" s="77"/>
      <c r="AL1855" s="77"/>
      <c r="AM1855" s="77"/>
      <c r="AN1855" s="77"/>
      <c r="AO1855" s="77"/>
      <c r="AP1855" s="77"/>
      <c r="AQ1855" s="77"/>
      <c r="AR1855" s="77"/>
      <c r="AS1855" s="77"/>
      <c r="AT1855" s="77"/>
      <c r="AU1855" s="77"/>
      <c r="AV1855" s="80" t="str">
        <f>HYPERLINK("https://pbs.twimg.com/profile_images/1283576393662636034/EjgsMA_W_normal.jpg")</f>
        <v>https://pbs.twimg.com/profile_images/1283576393662636034/EjgsMA_W_normal.jpg</v>
      </c>
      <c r="AW1855" s="82" t="s">
        <v>14020</v>
      </c>
      <c r="AX1855" s="82" t="s">
        <v>15427</v>
      </c>
      <c r="AY1855" s="82" t="s">
        <v>15767</v>
      </c>
      <c r="AZ1855" s="82" t="s">
        <v>15956</v>
      </c>
      <c r="BA1855" s="82" t="s">
        <v>15804</v>
      </c>
      <c r="BB1855" s="82" t="s">
        <v>15804</v>
      </c>
      <c r="BC1855" s="82" t="s">
        <v>15956</v>
      </c>
      <c r="BD1855" s="82" t="s">
        <v>15767</v>
      </c>
      <c r="BE1855" s="77"/>
      <c r="BF1855" s="77"/>
      <c r="BG1855" s="77"/>
      <c r="BH1855" s="77"/>
      <c r="BI1855" s="77"/>
    </row>
    <row r="1856" spans="1:61" x14ac:dyDescent="0.25">
      <c r="A1856" s="62" t="s">
        <v>819</v>
      </c>
      <c r="B1856" s="62" t="s">
        <v>819</v>
      </c>
      <c r="C1856" s="63"/>
      <c r="D1856" s="64"/>
      <c r="E1856" s="65"/>
      <c r="F1856" s="66"/>
      <c r="G1856" s="63"/>
      <c r="H1856" s="67"/>
      <c r="I1856" s="68"/>
      <c r="J1856" s="68"/>
      <c r="K1856" s="32"/>
      <c r="L1856" s="75">
        <v>1856</v>
      </c>
      <c r="M1856" s="75"/>
      <c r="N1856" s="70"/>
      <c r="O1856" s="77" t="s">
        <v>1132</v>
      </c>
      <c r="P1856" s="79">
        <v>45138.553715277776</v>
      </c>
      <c r="Q1856" s="77" t="s">
        <v>2913</v>
      </c>
      <c r="R1856" s="77">
        <v>0</v>
      </c>
      <c r="S1856" s="77">
        <v>0</v>
      </c>
      <c r="T1856" s="77">
        <v>0</v>
      </c>
      <c r="U1856" s="77">
        <v>0</v>
      </c>
      <c r="V1856" s="77">
        <v>11</v>
      </c>
      <c r="W1856" s="82" t="s">
        <v>5308</v>
      </c>
      <c r="X1856" s="77"/>
      <c r="Y1856" s="77"/>
      <c r="Z1856" s="77"/>
      <c r="AA1856" s="77"/>
      <c r="AB1856" s="77"/>
      <c r="AC1856" s="82" t="s">
        <v>7705</v>
      </c>
      <c r="AD1856" s="77" t="s">
        <v>7745</v>
      </c>
      <c r="AE1856" s="80" t="str">
        <f>HYPERLINK("https://twitter.com/economedicos/status/1686003115386875906")</f>
        <v>https://twitter.com/economedicos/status/1686003115386875906</v>
      </c>
      <c r="AF1856" s="79">
        <v>45138.553715277776</v>
      </c>
      <c r="AG1856" s="85">
        <v>45138</v>
      </c>
      <c r="AH1856" s="82" t="s">
        <v>9407</v>
      </c>
      <c r="AI1856" s="77"/>
      <c r="AJ1856" s="77"/>
      <c r="AK1856" s="77"/>
      <c r="AL1856" s="77"/>
      <c r="AM1856" s="77"/>
      <c r="AN1856" s="77"/>
      <c r="AO1856" s="77"/>
      <c r="AP1856" s="77"/>
      <c r="AQ1856" s="77"/>
      <c r="AR1856" s="77"/>
      <c r="AS1856" s="77"/>
      <c r="AT1856" s="77"/>
      <c r="AU1856" s="77"/>
      <c r="AV1856" s="80" t="str">
        <f>HYPERLINK("https://pbs.twimg.com/profile_images/1283576393662636034/EjgsMA_W_normal.jpg")</f>
        <v>https://pbs.twimg.com/profile_images/1283576393662636034/EjgsMA_W_normal.jpg</v>
      </c>
      <c r="AW1856" s="82" t="s">
        <v>14021</v>
      </c>
      <c r="AX1856" s="82" t="s">
        <v>15428</v>
      </c>
      <c r="AY1856" s="82" t="s">
        <v>15767</v>
      </c>
      <c r="AZ1856" s="82" t="s">
        <v>15957</v>
      </c>
      <c r="BA1856" s="82" t="s">
        <v>15804</v>
      </c>
      <c r="BB1856" s="82" t="s">
        <v>15804</v>
      </c>
      <c r="BC1856" s="82" t="s">
        <v>15957</v>
      </c>
      <c r="BD1856" s="82" t="s">
        <v>15767</v>
      </c>
      <c r="BE1856" s="77"/>
      <c r="BF1856" s="77"/>
      <c r="BG1856" s="77"/>
      <c r="BH1856" s="77"/>
      <c r="BI1856" s="77"/>
    </row>
    <row r="1857" spans="1:61" x14ac:dyDescent="0.25">
      <c r="A1857" s="62" t="s">
        <v>819</v>
      </c>
      <c r="B1857" s="62" t="s">
        <v>819</v>
      </c>
      <c r="C1857" s="63"/>
      <c r="D1857" s="64"/>
      <c r="E1857" s="65"/>
      <c r="F1857" s="66"/>
      <c r="G1857" s="63"/>
      <c r="H1857" s="67"/>
      <c r="I1857" s="68"/>
      <c r="J1857" s="68"/>
      <c r="K1857" s="32"/>
      <c r="L1857" s="75">
        <v>1857</v>
      </c>
      <c r="M1857" s="75"/>
      <c r="N1857" s="70"/>
      <c r="O1857" s="77" t="s">
        <v>1132</v>
      </c>
      <c r="P1857" s="79">
        <v>45128.464432870373</v>
      </c>
      <c r="Q1857" s="77" t="s">
        <v>2914</v>
      </c>
      <c r="R1857" s="77">
        <v>0</v>
      </c>
      <c r="S1857" s="77">
        <v>0</v>
      </c>
      <c r="T1857" s="77">
        <v>0</v>
      </c>
      <c r="U1857" s="77">
        <v>0</v>
      </c>
      <c r="V1857" s="77">
        <v>3</v>
      </c>
      <c r="W1857" s="82" t="s">
        <v>5308</v>
      </c>
      <c r="X1857" s="77"/>
      <c r="Y1857" s="77"/>
      <c r="Z1857" s="77"/>
      <c r="AA1857" s="77"/>
      <c r="AB1857" s="77"/>
      <c r="AC1857" s="82" t="s">
        <v>7705</v>
      </c>
      <c r="AD1857" s="77" t="s">
        <v>7745</v>
      </c>
      <c r="AE1857" s="80" t="str">
        <f>HYPERLINK("https://twitter.com/economedicos/status/1682346878807973890")</f>
        <v>https://twitter.com/economedicos/status/1682346878807973890</v>
      </c>
      <c r="AF1857" s="79">
        <v>45128.464432870373</v>
      </c>
      <c r="AG1857" s="85">
        <v>45128</v>
      </c>
      <c r="AH1857" s="82" t="s">
        <v>9408</v>
      </c>
      <c r="AI1857" s="77"/>
      <c r="AJ1857" s="77"/>
      <c r="AK1857" s="77"/>
      <c r="AL1857" s="77"/>
      <c r="AM1857" s="77"/>
      <c r="AN1857" s="77"/>
      <c r="AO1857" s="77"/>
      <c r="AP1857" s="77"/>
      <c r="AQ1857" s="77"/>
      <c r="AR1857" s="77"/>
      <c r="AS1857" s="77"/>
      <c r="AT1857" s="77"/>
      <c r="AU1857" s="77"/>
      <c r="AV1857" s="80" t="str">
        <f>HYPERLINK("https://pbs.twimg.com/profile_images/1283576393662636034/EjgsMA_W_normal.jpg")</f>
        <v>https://pbs.twimg.com/profile_images/1283576393662636034/EjgsMA_W_normal.jpg</v>
      </c>
      <c r="AW1857" s="82" t="s">
        <v>14022</v>
      </c>
      <c r="AX1857" s="82" t="s">
        <v>15429</v>
      </c>
      <c r="AY1857" s="82" t="s">
        <v>15767</v>
      </c>
      <c r="AZ1857" s="82" t="s">
        <v>15958</v>
      </c>
      <c r="BA1857" s="82" t="s">
        <v>15804</v>
      </c>
      <c r="BB1857" s="82" t="s">
        <v>15804</v>
      </c>
      <c r="BC1857" s="82" t="s">
        <v>15958</v>
      </c>
      <c r="BD1857" s="82" t="s">
        <v>15767</v>
      </c>
      <c r="BE1857" s="77"/>
      <c r="BF1857" s="77"/>
      <c r="BG1857" s="77"/>
      <c r="BH1857" s="77"/>
      <c r="BI1857" s="77"/>
    </row>
    <row r="1858" spans="1:61" x14ac:dyDescent="0.25">
      <c r="A1858" s="62" t="s">
        <v>819</v>
      </c>
      <c r="B1858" s="62" t="s">
        <v>819</v>
      </c>
      <c r="C1858" s="63"/>
      <c r="D1858" s="64"/>
      <c r="E1858" s="65"/>
      <c r="F1858" s="66"/>
      <c r="G1858" s="63"/>
      <c r="H1858" s="67"/>
      <c r="I1858" s="68"/>
      <c r="J1858" s="68"/>
      <c r="K1858" s="32"/>
      <c r="L1858" s="75">
        <v>1858</v>
      </c>
      <c r="M1858" s="75"/>
      <c r="N1858" s="70"/>
      <c r="O1858" s="77" t="s">
        <v>1132</v>
      </c>
      <c r="P1858" s="79">
        <v>45117.471018518518</v>
      </c>
      <c r="Q1858" s="77" t="s">
        <v>2915</v>
      </c>
      <c r="R1858" s="77">
        <v>0</v>
      </c>
      <c r="S1858" s="77">
        <v>0</v>
      </c>
      <c r="T1858" s="77">
        <v>0</v>
      </c>
      <c r="U1858" s="77">
        <v>0</v>
      </c>
      <c r="V1858" s="77">
        <v>10</v>
      </c>
      <c r="W1858" s="82" t="s">
        <v>5308</v>
      </c>
      <c r="X1858" s="77"/>
      <c r="Y1858" s="77"/>
      <c r="Z1858" s="77"/>
      <c r="AA1858" s="77"/>
      <c r="AB1858" s="77"/>
      <c r="AC1858" s="82" t="s">
        <v>7705</v>
      </c>
      <c r="AD1858" s="77" t="s">
        <v>7745</v>
      </c>
      <c r="AE1858" s="80" t="str">
        <f>HYPERLINK("https://twitter.com/economedicos/status/1678362999566786561")</f>
        <v>https://twitter.com/economedicos/status/1678362999566786561</v>
      </c>
      <c r="AF1858" s="79">
        <v>45117.471018518518</v>
      </c>
      <c r="AG1858" s="85">
        <v>45117</v>
      </c>
      <c r="AH1858" s="82" t="s">
        <v>9409</v>
      </c>
      <c r="AI1858" s="77"/>
      <c r="AJ1858" s="77"/>
      <c r="AK1858" s="77"/>
      <c r="AL1858" s="77"/>
      <c r="AM1858" s="77"/>
      <c r="AN1858" s="77"/>
      <c r="AO1858" s="77"/>
      <c r="AP1858" s="77"/>
      <c r="AQ1858" s="77"/>
      <c r="AR1858" s="77"/>
      <c r="AS1858" s="77"/>
      <c r="AT1858" s="77"/>
      <c r="AU1858" s="77"/>
      <c r="AV1858" s="80" t="str">
        <f>HYPERLINK("https://pbs.twimg.com/profile_images/1283576393662636034/EjgsMA_W_normal.jpg")</f>
        <v>https://pbs.twimg.com/profile_images/1283576393662636034/EjgsMA_W_normal.jpg</v>
      </c>
      <c r="AW1858" s="82" t="s">
        <v>14023</v>
      </c>
      <c r="AX1858" s="82" t="s">
        <v>15430</v>
      </c>
      <c r="AY1858" s="82" t="s">
        <v>15767</v>
      </c>
      <c r="AZ1858" s="82" t="s">
        <v>15959</v>
      </c>
      <c r="BA1858" s="82" t="s">
        <v>15804</v>
      </c>
      <c r="BB1858" s="82" t="s">
        <v>15804</v>
      </c>
      <c r="BC1858" s="82" t="s">
        <v>15959</v>
      </c>
      <c r="BD1858" s="82" t="s">
        <v>15767</v>
      </c>
      <c r="BE1858" s="77"/>
      <c r="BF1858" s="77"/>
      <c r="BG1858" s="77"/>
      <c r="BH1858" s="77"/>
      <c r="BI1858" s="77"/>
    </row>
    <row r="1859" spans="1:61" x14ac:dyDescent="0.25">
      <c r="A1859" s="62" t="s">
        <v>819</v>
      </c>
      <c r="B1859" s="62" t="s">
        <v>819</v>
      </c>
      <c r="C1859" s="63"/>
      <c r="D1859" s="64"/>
      <c r="E1859" s="65"/>
      <c r="F1859" s="66"/>
      <c r="G1859" s="63"/>
      <c r="H1859" s="67"/>
      <c r="I1859" s="68"/>
      <c r="J1859" s="68"/>
      <c r="K1859" s="32"/>
      <c r="L1859" s="75">
        <v>1859</v>
      </c>
      <c r="M1859" s="75"/>
      <c r="N1859" s="70"/>
      <c r="O1859" s="77" t="s">
        <v>1132</v>
      </c>
      <c r="P1859" s="79">
        <v>45096.466168981482</v>
      </c>
      <c r="Q1859" s="77" t="s">
        <v>2916</v>
      </c>
      <c r="R1859" s="77">
        <v>0</v>
      </c>
      <c r="S1859" s="77">
        <v>0</v>
      </c>
      <c r="T1859" s="77">
        <v>0</v>
      </c>
      <c r="U1859" s="77">
        <v>0</v>
      </c>
      <c r="V1859" s="77">
        <v>10</v>
      </c>
      <c r="W1859" s="82" t="s">
        <v>5308</v>
      </c>
      <c r="X1859" s="77"/>
      <c r="Y1859" s="77"/>
      <c r="Z1859" s="77"/>
      <c r="AA1859" s="77"/>
      <c r="AB1859" s="77"/>
      <c r="AC1859" s="82" t="s">
        <v>7705</v>
      </c>
      <c r="AD1859" s="77" t="s">
        <v>7745</v>
      </c>
      <c r="AE1859" s="80" t="str">
        <f>HYPERLINK("https://twitter.com/economedicos/status/1670751098477457411")</f>
        <v>https://twitter.com/economedicos/status/1670751098477457411</v>
      </c>
      <c r="AF1859" s="79">
        <v>45096.466168981482</v>
      </c>
      <c r="AG1859" s="85">
        <v>45096</v>
      </c>
      <c r="AH1859" s="82" t="s">
        <v>9410</v>
      </c>
      <c r="AI1859" s="77"/>
      <c r="AJ1859" s="77"/>
      <c r="AK1859" s="77"/>
      <c r="AL1859" s="77"/>
      <c r="AM1859" s="77"/>
      <c r="AN1859" s="77"/>
      <c r="AO1859" s="77"/>
      <c r="AP1859" s="77"/>
      <c r="AQ1859" s="77"/>
      <c r="AR1859" s="77"/>
      <c r="AS1859" s="77"/>
      <c r="AT1859" s="77"/>
      <c r="AU1859" s="77"/>
      <c r="AV1859" s="80" t="str">
        <f>HYPERLINK("https://pbs.twimg.com/profile_images/1283576393662636034/EjgsMA_W_normal.jpg")</f>
        <v>https://pbs.twimg.com/profile_images/1283576393662636034/EjgsMA_W_normal.jpg</v>
      </c>
      <c r="AW1859" s="82" t="s">
        <v>14024</v>
      </c>
      <c r="AX1859" s="82" t="s">
        <v>15431</v>
      </c>
      <c r="AY1859" s="82" t="s">
        <v>15767</v>
      </c>
      <c r="AZ1859" s="82" t="s">
        <v>15960</v>
      </c>
      <c r="BA1859" s="82" t="s">
        <v>15804</v>
      </c>
      <c r="BB1859" s="82" t="s">
        <v>15804</v>
      </c>
      <c r="BC1859" s="82" t="s">
        <v>15960</v>
      </c>
      <c r="BD1859" s="82" t="s">
        <v>15767</v>
      </c>
      <c r="BE1859" s="77"/>
      <c r="BF1859" s="77"/>
      <c r="BG1859" s="77"/>
      <c r="BH1859" s="77"/>
      <c r="BI1859" s="77"/>
    </row>
    <row r="1860" spans="1:61" x14ac:dyDescent="0.25">
      <c r="A1860" s="62" t="s">
        <v>819</v>
      </c>
      <c r="B1860" s="62" t="s">
        <v>819</v>
      </c>
      <c r="C1860" s="63"/>
      <c r="D1860" s="64"/>
      <c r="E1860" s="65"/>
      <c r="F1860" s="66"/>
      <c r="G1860" s="63"/>
      <c r="H1860" s="67"/>
      <c r="I1860" s="68"/>
      <c r="J1860" s="68"/>
      <c r="K1860" s="32"/>
      <c r="L1860" s="75">
        <v>1860</v>
      </c>
      <c r="M1860" s="75"/>
      <c r="N1860" s="70"/>
      <c r="O1860" s="77" t="s">
        <v>1132</v>
      </c>
      <c r="P1860" s="79">
        <v>45079.507488425923</v>
      </c>
      <c r="Q1860" s="77" t="s">
        <v>2917</v>
      </c>
      <c r="R1860" s="77">
        <v>0</v>
      </c>
      <c r="S1860" s="77">
        <v>0</v>
      </c>
      <c r="T1860" s="77">
        <v>0</v>
      </c>
      <c r="U1860" s="77">
        <v>0</v>
      </c>
      <c r="V1860" s="77">
        <v>11</v>
      </c>
      <c r="W1860" s="82" t="s">
        <v>5308</v>
      </c>
      <c r="X1860" s="77"/>
      <c r="Y1860" s="77"/>
      <c r="Z1860" s="77"/>
      <c r="AA1860" s="77"/>
      <c r="AB1860" s="77"/>
      <c r="AC1860" s="82" t="s">
        <v>7705</v>
      </c>
      <c r="AD1860" s="77" t="s">
        <v>7745</v>
      </c>
      <c r="AE1860" s="80" t="str">
        <f>HYPERLINK("https://twitter.com/economedicos/status/1664605476397383682")</f>
        <v>https://twitter.com/economedicos/status/1664605476397383682</v>
      </c>
      <c r="AF1860" s="79">
        <v>45079.507488425923</v>
      </c>
      <c r="AG1860" s="85">
        <v>45079</v>
      </c>
      <c r="AH1860" s="82" t="s">
        <v>9411</v>
      </c>
      <c r="AI1860" s="77"/>
      <c r="AJ1860" s="77"/>
      <c r="AK1860" s="77"/>
      <c r="AL1860" s="77"/>
      <c r="AM1860" s="77"/>
      <c r="AN1860" s="77"/>
      <c r="AO1860" s="77"/>
      <c r="AP1860" s="77"/>
      <c r="AQ1860" s="77"/>
      <c r="AR1860" s="77"/>
      <c r="AS1860" s="77"/>
      <c r="AT1860" s="77"/>
      <c r="AU1860" s="77"/>
      <c r="AV1860" s="80" t="str">
        <f>HYPERLINK("https://pbs.twimg.com/profile_images/1283576393662636034/EjgsMA_W_normal.jpg")</f>
        <v>https://pbs.twimg.com/profile_images/1283576393662636034/EjgsMA_W_normal.jpg</v>
      </c>
      <c r="AW1860" s="82" t="s">
        <v>14025</v>
      </c>
      <c r="AX1860" s="82" t="s">
        <v>15432</v>
      </c>
      <c r="AY1860" s="82" t="s">
        <v>15767</v>
      </c>
      <c r="AZ1860" s="82" t="s">
        <v>15961</v>
      </c>
      <c r="BA1860" s="82" t="s">
        <v>15804</v>
      </c>
      <c r="BB1860" s="82" t="s">
        <v>15804</v>
      </c>
      <c r="BC1860" s="82" t="s">
        <v>15961</v>
      </c>
      <c r="BD1860" s="82" t="s">
        <v>15767</v>
      </c>
      <c r="BE1860" s="77"/>
      <c r="BF1860" s="77"/>
      <c r="BG1860" s="77"/>
      <c r="BH1860" s="77"/>
      <c r="BI1860" s="77"/>
    </row>
    <row r="1861" spans="1:61" x14ac:dyDescent="0.25">
      <c r="A1861" s="62" t="s">
        <v>819</v>
      </c>
      <c r="B1861" s="62" t="s">
        <v>819</v>
      </c>
      <c r="C1861" s="63"/>
      <c r="D1861" s="64"/>
      <c r="E1861" s="65"/>
      <c r="F1861" s="66"/>
      <c r="G1861" s="63"/>
      <c r="H1861" s="67"/>
      <c r="I1861" s="68"/>
      <c r="J1861" s="68"/>
      <c r="K1861" s="32"/>
      <c r="L1861" s="75">
        <v>1861</v>
      </c>
      <c r="M1861" s="75"/>
      <c r="N1861" s="70"/>
      <c r="O1861" s="77" t="s">
        <v>1132</v>
      </c>
      <c r="P1861" s="79">
        <v>45078.443726851852</v>
      </c>
      <c r="Q1861" s="77" t="s">
        <v>2918</v>
      </c>
      <c r="R1861" s="77">
        <v>0</v>
      </c>
      <c r="S1861" s="77">
        <v>0</v>
      </c>
      <c r="T1861" s="77">
        <v>0</v>
      </c>
      <c r="U1861" s="77">
        <v>0</v>
      </c>
      <c r="V1861" s="77">
        <v>5</v>
      </c>
      <c r="W1861" s="82" t="s">
        <v>5308</v>
      </c>
      <c r="X1861" s="77"/>
      <c r="Y1861" s="77"/>
      <c r="Z1861" s="77"/>
      <c r="AA1861" s="77"/>
      <c r="AB1861" s="77"/>
      <c r="AC1861" s="82" t="s">
        <v>7705</v>
      </c>
      <c r="AD1861" s="77" t="s">
        <v>7745</v>
      </c>
      <c r="AE1861" s="80" t="str">
        <f>HYPERLINK("https://twitter.com/economedicos/status/1664219985865068544")</f>
        <v>https://twitter.com/economedicos/status/1664219985865068544</v>
      </c>
      <c r="AF1861" s="79">
        <v>45078.443726851852</v>
      </c>
      <c r="AG1861" s="85">
        <v>45078</v>
      </c>
      <c r="AH1861" s="82" t="s">
        <v>9412</v>
      </c>
      <c r="AI1861" s="77"/>
      <c r="AJ1861" s="77"/>
      <c r="AK1861" s="77"/>
      <c r="AL1861" s="77"/>
      <c r="AM1861" s="77"/>
      <c r="AN1861" s="77"/>
      <c r="AO1861" s="77"/>
      <c r="AP1861" s="77"/>
      <c r="AQ1861" s="77"/>
      <c r="AR1861" s="77"/>
      <c r="AS1861" s="77"/>
      <c r="AT1861" s="77"/>
      <c r="AU1861" s="77"/>
      <c r="AV1861" s="80" t="str">
        <f>HYPERLINK("https://pbs.twimg.com/profile_images/1283576393662636034/EjgsMA_W_normal.jpg")</f>
        <v>https://pbs.twimg.com/profile_images/1283576393662636034/EjgsMA_W_normal.jpg</v>
      </c>
      <c r="AW1861" s="82" t="s">
        <v>14026</v>
      </c>
      <c r="AX1861" s="82" t="s">
        <v>15433</v>
      </c>
      <c r="AY1861" s="82" t="s">
        <v>15767</v>
      </c>
      <c r="AZ1861" s="82" t="s">
        <v>15962</v>
      </c>
      <c r="BA1861" s="82" t="s">
        <v>15804</v>
      </c>
      <c r="BB1861" s="82" t="s">
        <v>15804</v>
      </c>
      <c r="BC1861" s="82" t="s">
        <v>15962</v>
      </c>
      <c r="BD1861" s="82" t="s">
        <v>15767</v>
      </c>
      <c r="BE1861" s="77"/>
      <c r="BF1861" s="77"/>
      <c r="BG1861" s="77"/>
      <c r="BH1861" s="77"/>
      <c r="BI1861" s="77"/>
    </row>
    <row r="1862" spans="1:61" x14ac:dyDescent="0.25">
      <c r="A1862" s="62" t="s">
        <v>819</v>
      </c>
      <c r="B1862" s="62" t="s">
        <v>819</v>
      </c>
      <c r="C1862" s="63"/>
      <c r="D1862" s="64"/>
      <c r="E1862" s="65"/>
      <c r="F1862" s="66"/>
      <c r="G1862" s="63"/>
      <c r="H1862" s="67"/>
      <c r="I1862" s="68"/>
      <c r="J1862" s="68"/>
      <c r="K1862" s="32"/>
      <c r="L1862" s="75">
        <v>1862</v>
      </c>
      <c r="M1862" s="75"/>
      <c r="N1862" s="70"/>
      <c r="O1862" s="77" t="s">
        <v>1132</v>
      </c>
      <c r="P1862" s="79">
        <v>45061.464756944442</v>
      </c>
      <c r="Q1862" s="77" t="s">
        <v>2919</v>
      </c>
      <c r="R1862" s="77">
        <v>0</v>
      </c>
      <c r="S1862" s="77">
        <v>0</v>
      </c>
      <c r="T1862" s="77">
        <v>0</v>
      </c>
      <c r="U1862" s="77">
        <v>0</v>
      </c>
      <c r="V1862" s="77">
        <v>7</v>
      </c>
      <c r="W1862" s="82" t="s">
        <v>5308</v>
      </c>
      <c r="X1862" s="77"/>
      <c r="Y1862" s="77"/>
      <c r="Z1862" s="77"/>
      <c r="AA1862" s="77"/>
      <c r="AB1862" s="77"/>
      <c r="AC1862" s="82" t="s">
        <v>7705</v>
      </c>
      <c r="AD1862" s="77" t="s">
        <v>7745</v>
      </c>
      <c r="AE1862" s="80" t="str">
        <f>HYPERLINK("https://twitter.com/economedicos/status/1658067009182089219")</f>
        <v>https://twitter.com/economedicos/status/1658067009182089219</v>
      </c>
      <c r="AF1862" s="79">
        <v>45061.464756944442</v>
      </c>
      <c r="AG1862" s="85">
        <v>45061</v>
      </c>
      <c r="AH1862" s="82" t="s">
        <v>9413</v>
      </c>
      <c r="AI1862" s="77"/>
      <c r="AJ1862" s="77"/>
      <c r="AK1862" s="77"/>
      <c r="AL1862" s="77"/>
      <c r="AM1862" s="77"/>
      <c r="AN1862" s="77"/>
      <c r="AO1862" s="77"/>
      <c r="AP1862" s="77"/>
      <c r="AQ1862" s="77"/>
      <c r="AR1862" s="77"/>
      <c r="AS1862" s="77"/>
      <c r="AT1862" s="77"/>
      <c r="AU1862" s="77"/>
      <c r="AV1862" s="80" t="str">
        <f>HYPERLINK("https://pbs.twimg.com/profile_images/1283576393662636034/EjgsMA_W_normal.jpg")</f>
        <v>https://pbs.twimg.com/profile_images/1283576393662636034/EjgsMA_W_normal.jpg</v>
      </c>
      <c r="AW1862" s="82" t="s">
        <v>14027</v>
      </c>
      <c r="AX1862" s="82" t="s">
        <v>15434</v>
      </c>
      <c r="AY1862" s="82" t="s">
        <v>15767</v>
      </c>
      <c r="AZ1862" s="82" t="s">
        <v>15963</v>
      </c>
      <c r="BA1862" s="82" t="s">
        <v>15804</v>
      </c>
      <c r="BB1862" s="82" t="s">
        <v>15804</v>
      </c>
      <c r="BC1862" s="82" t="s">
        <v>15963</v>
      </c>
      <c r="BD1862" s="82" t="s">
        <v>15767</v>
      </c>
      <c r="BE1862" s="77"/>
      <c r="BF1862" s="77"/>
      <c r="BG1862" s="77"/>
      <c r="BH1862" s="77"/>
      <c r="BI1862" s="77"/>
    </row>
    <row r="1863" spans="1:61" x14ac:dyDescent="0.25">
      <c r="A1863" s="62" t="s">
        <v>819</v>
      </c>
      <c r="B1863" s="62" t="s">
        <v>819</v>
      </c>
      <c r="C1863" s="63"/>
      <c r="D1863" s="64"/>
      <c r="E1863" s="65"/>
      <c r="F1863" s="66"/>
      <c r="G1863" s="63"/>
      <c r="H1863" s="67"/>
      <c r="I1863" s="68"/>
      <c r="J1863" s="68"/>
      <c r="K1863" s="32"/>
      <c r="L1863" s="75">
        <v>1863</v>
      </c>
      <c r="M1863" s="75"/>
      <c r="N1863" s="70"/>
      <c r="O1863" s="77" t="s">
        <v>1132</v>
      </c>
      <c r="P1863" s="79">
        <v>45058.434756944444</v>
      </c>
      <c r="Q1863" s="77" t="s">
        <v>2920</v>
      </c>
      <c r="R1863" s="77">
        <v>0</v>
      </c>
      <c r="S1863" s="77">
        <v>0</v>
      </c>
      <c r="T1863" s="77">
        <v>0</v>
      </c>
      <c r="U1863" s="77">
        <v>0</v>
      </c>
      <c r="V1863" s="77">
        <v>6</v>
      </c>
      <c r="W1863" s="82" t="s">
        <v>5308</v>
      </c>
      <c r="X1863" s="77"/>
      <c r="Y1863" s="77"/>
      <c r="Z1863" s="77"/>
      <c r="AA1863" s="77"/>
      <c r="AB1863" s="77"/>
      <c r="AC1863" s="82" t="s">
        <v>7705</v>
      </c>
      <c r="AD1863" s="77" t="s">
        <v>7745</v>
      </c>
      <c r="AE1863" s="80" t="str">
        <f>HYPERLINK("https://twitter.com/economedicos/status/1656968976088399872")</f>
        <v>https://twitter.com/economedicos/status/1656968976088399872</v>
      </c>
      <c r="AF1863" s="79">
        <v>45058.434756944444</v>
      </c>
      <c r="AG1863" s="85">
        <v>45058</v>
      </c>
      <c r="AH1863" s="82" t="s">
        <v>9414</v>
      </c>
      <c r="AI1863" s="77"/>
      <c r="AJ1863" s="77"/>
      <c r="AK1863" s="77"/>
      <c r="AL1863" s="77"/>
      <c r="AM1863" s="77"/>
      <c r="AN1863" s="77"/>
      <c r="AO1863" s="77"/>
      <c r="AP1863" s="77"/>
      <c r="AQ1863" s="77"/>
      <c r="AR1863" s="77"/>
      <c r="AS1863" s="77"/>
      <c r="AT1863" s="77"/>
      <c r="AU1863" s="77"/>
      <c r="AV1863" s="80" t="str">
        <f>HYPERLINK("https://pbs.twimg.com/profile_images/1283576393662636034/EjgsMA_W_normal.jpg")</f>
        <v>https://pbs.twimg.com/profile_images/1283576393662636034/EjgsMA_W_normal.jpg</v>
      </c>
      <c r="AW1863" s="82" t="s">
        <v>14028</v>
      </c>
      <c r="AX1863" s="82" t="s">
        <v>15435</v>
      </c>
      <c r="AY1863" s="82" t="s">
        <v>15767</v>
      </c>
      <c r="AZ1863" s="82" t="s">
        <v>15964</v>
      </c>
      <c r="BA1863" s="82" t="s">
        <v>15804</v>
      </c>
      <c r="BB1863" s="82" t="s">
        <v>15804</v>
      </c>
      <c r="BC1863" s="82" t="s">
        <v>15964</v>
      </c>
      <c r="BD1863" s="82" t="s">
        <v>15767</v>
      </c>
      <c r="BE1863" s="77"/>
      <c r="BF1863" s="77"/>
      <c r="BG1863" s="77"/>
      <c r="BH1863" s="77"/>
      <c r="BI1863" s="77"/>
    </row>
    <row r="1864" spans="1:61" x14ac:dyDescent="0.25">
      <c r="A1864" s="62" t="s">
        <v>819</v>
      </c>
      <c r="B1864" s="62" t="s">
        <v>819</v>
      </c>
      <c r="C1864" s="63"/>
      <c r="D1864" s="64"/>
      <c r="E1864" s="65"/>
      <c r="F1864" s="66"/>
      <c r="G1864" s="63"/>
      <c r="H1864" s="67"/>
      <c r="I1864" s="68"/>
      <c r="J1864" s="68"/>
      <c r="K1864" s="32"/>
      <c r="L1864" s="75">
        <v>1864</v>
      </c>
      <c r="M1864" s="75"/>
      <c r="N1864" s="70"/>
      <c r="O1864" s="77" t="s">
        <v>1132</v>
      </c>
      <c r="P1864" s="79">
        <v>45057.44085648148</v>
      </c>
      <c r="Q1864" s="77" t="s">
        <v>2921</v>
      </c>
      <c r="R1864" s="77">
        <v>0</v>
      </c>
      <c r="S1864" s="77">
        <v>0</v>
      </c>
      <c r="T1864" s="77">
        <v>0</v>
      </c>
      <c r="U1864" s="77">
        <v>0</v>
      </c>
      <c r="V1864" s="77">
        <v>7</v>
      </c>
      <c r="W1864" s="82" t="s">
        <v>5308</v>
      </c>
      <c r="X1864" s="77"/>
      <c r="Y1864" s="77"/>
      <c r="Z1864" s="77"/>
      <c r="AA1864" s="77"/>
      <c r="AB1864" s="77"/>
      <c r="AC1864" s="82" t="s">
        <v>7705</v>
      </c>
      <c r="AD1864" s="77" t="s">
        <v>7745</v>
      </c>
      <c r="AE1864" s="80" t="str">
        <f>HYPERLINK("https://twitter.com/economedicos/status/1656608800495812608")</f>
        <v>https://twitter.com/economedicos/status/1656608800495812608</v>
      </c>
      <c r="AF1864" s="79">
        <v>45057.44085648148</v>
      </c>
      <c r="AG1864" s="85">
        <v>45057</v>
      </c>
      <c r="AH1864" s="82" t="s">
        <v>9415</v>
      </c>
      <c r="AI1864" s="77"/>
      <c r="AJ1864" s="77"/>
      <c r="AK1864" s="77"/>
      <c r="AL1864" s="77"/>
      <c r="AM1864" s="77"/>
      <c r="AN1864" s="77"/>
      <c r="AO1864" s="77"/>
      <c r="AP1864" s="77"/>
      <c r="AQ1864" s="77"/>
      <c r="AR1864" s="77"/>
      <c r="AS1864" s="77"/>
      <c r="AT1864" s="77"/>
      <c r="AU1864" s="77"/>
      <c r="AV1864" s="80" t="str">
        <f>HYPERLINK("https://pbs.twimg.com/profile_images/1283576393662636034/EjgsMA_W_normal.jpg")</f>
        <v>https://pbs.twimg.com/profile_images/1283576393662636034/EjgsMA_W_normal.jpg</v>
      </c>
      <c r="AW1864" s="82" t="s">
        <v>14029</v>
      </c>
      <c r="AX1864" s="82" t="s">
        <v>15436</v>
      </c>
      <c r="AY1864" s="82" t="s">
        <v>15767</v>
      </c>
      <c r="AZ1864" s="82" t="s">
        <v>15965</v>
      </c>
      <c r="BA1864" s="82" t="s">
        <v>15804</v>
      </c>
      <c r="BB1864" s="82" t="s">
        <v>15804</v>
      </c>
      <c r="BC1864" s="82" t="s">
        <v>15965</v>
      </c>
      <c r="BD1864" s="82" t="s">
        <v>15767</v>
      </c>
      <c r="BE1864" s="77"/>
      <c r="BF1864" s="77"/>
      <c r="BG1864" s="77"/>
      <c r="BH1864" s="77"/>
      <c r="BI1864" s="77"/>
    </row>
    <row r="1865" spans="1:61" x14ac:dyDescent="0.25">
      <c r="A1865" s="62" t="s">
        <v>819</v>
      </c>
      <c r="B1865" s="62" t="s">
        <v>819</v>
      </c>
      <c r="C1865" s="63"/>
      <c r="D1865" s="64"/>
      <c r="E1865" s="65"/>
      <c r="F1865" s="66"/>
      <c r="G1865" s="63"/>
      <c r="H1865" s="67"/>
      <c r="I1865" s="68"/>
      <c r="J1865" s="68"/>
      <c r="K1865" s="32"/>
      <c r="L1865" s="75">
        <v>1865</v>
      </c>
      <c r="M1865" s="75"/>
      <c r="N1865" s="70"/>
      <c r="O1865" s="77" t="s">
        <v>1132</v>
      </c>
      <c r="P1865" s="79">
        <v>45020.455787037034</v>
      </c>
      <c r="Q1865" s="77" t="s">
        <v>2922</v>
      </c>
      <c r="R1865" s="77">
        <v>0</v>
      </c>
      <c r="S1865" s="77">
        <v>0</v>
      </c>
      <c r="T1865" s="77">
        <v>0</v>
      </c>
      <c r="U1865" s="77">
        <v>0</v>
      </c>
      <c r="V1865" s="77">
        <v>39</v>
      </c>
      <c r="W1865" s="82" t="s">
        <v>5308</v>
      </c>
      <c r="X1865" s="77"/>
      <c r="Y1865" s="77"/>
      <c r="Z1865" s="77"/>
      <c r="AA1865" s="77"/>
      <c r="AB1865" s="77"/>
      <c r="AC1865" s="82" t="s">
        <v>7705</v>
      </c>
      <c r="AD1865" s="77" t="s">
        <v>7745</v>
      </c>
      <c r="AE1865" s="80" t="str">
        <f>HYPERLINK("https://twitter.com/economedicos/status/1643205856865951748")</f>
        <v>https://twitter.com/economedicos/status/1643205856865951748</v>
      </c>
      <c r="AF1865" s="79">
        <v>45020.455787037034</v>
      </c>
      <c r="AG1865" s="85">
        <v>45020</v>
      </c>
      <c r="AH1865" s="82" t="s">
        <v>9416</v>
      </c>
      <c r="AI1865" s="77"/>
      <c r="AJ1865" s="77"/>
      <c r="AK1865" s="77"/>
      <c r="AL1865" s="77"/>
      <c r="AM1865" s="77"/>
      <c r="AN1865" s="77"/>
      <c r="AO1865" s="77"/>
      <c r="AP1865" s="77"/>
      <c r="AQ1865" s="77"/>
      <c r="AR1865" s="77"/>
      <c r="AS1865" s="77"/>
      <c r="AT1865" s="77"/>
      <c r="AU1865" s="77"/>
      <c r="AV1865" s="80" t="str">
        <f>HYPERLINK("https://pbs.twimg.com/profile_images/1283576393662636034/EjgsMA_W_normal.jpg")</f>
        <v>https://pbs.twimg.com/profile_images/1283576393662636034/EjgsMA_W_normal.jpg</v>
      </c>
      <c r="AW1865" s="82" t="s">
        <v>14030</v>
      </c>
      <c r="AX1865" s="82" t="s">
        <v>15437</v>
      </c>
      <c r="AY1865" s="82" t="s">
        <v>15767</v>
      </c>
      <c r="AZ1865" s="82" t="s">
        <v>15966</v>
      </c>
      <c r="BA1865" s="82" t="s">
        <v>15804</v>
      </c>
      <c r="BB1865" s="82" t="s">
        <v>15804</v>
      </c>
      <c r="BC1865" s="82" t="s">
        <v>15966</v>
      </c>
      <c r="BD1865" s="82" t="s">
        <v>15767</v>
      </c>
      <c r="BE1865" s="77"/>
      <c r="BF1865" s="77"/>
      <c r="BG1865" s="77"/>
      <c r="BH1865" s="77"/>
      <c r="BI1865" s="77"/>
    </row>
    <row r="1866" spans="1:61" x14ac:dyDescent="0.25">
      <c r="A1866" s="62" t="s">
        <v>819</v>
      </c>
      <c r="B1866" s="62" t="s">
        <v>819</v>
      </c>
      <c r="C1866" s="63"/>
      <c r="D1866" s="64"/>
      <c r="E1866" s="65"/>
      <c r="F1866" s="66"/>
      <c r="G1866" s="63"/>
      <c r="H1866" s="67"/>
      <c r="I1866" s="68"/>
      <c r="J1866" s="68"/>
      <c r="K1866" s="32"/>
      <c r="L1866" s="75">
        <v>1866</v>
      </c>
      <c r="M1866" s="75"/>
      <c r="N1866" s="70"/>
      <c r="O1866" s="77" t="s">
        <v>1132</v>
      </c>
      <c r="P1866" s="79">
        <v>45019.464467592596</v>
      </c>
      <c r="Q1866" s="77" t="s">
        <v>2923</v>
      </c>
      <c r="R1866" s="77">
        <v>0</v>
      </c>
      <c r="S1866" s="77">
        <v>0</v>
      </c>
      <c r="T1866" s="77">
        <v>0</v>
      </c>
      <c r="U1866" s="77">
        <v>0</v>
      </c>
      <c r="V1866" s="77">
        <v>10</v>
      </c>
      <c r="W1866" s="82" t="s">
        <v>5308</v>
      </c>
      <c r="X1866" s="77"/>
      <c r="Y1866" s="77"/>
      <c r="Z1866" s="77"/>
      <c r="AA1866" s="77"/>
      <c r="AB1866" s="77"/>
      <c r="AC1866" s="82" t="s">
        <v>7705</v>
      </c>
      <c r="AD1866" s="77" t="s">
        <v>7745</v>
      </c>
      <c r="AE1866" s="80" t="str">
        <f>HYPERLINK("https://twitter.com/economedicos/status/1642846616586534917")</f>
        <v>https://twitter.com/economedicos/status/1642846616586534917</v>
      </c>
      <c r="AF1866" s="79">
        <v>45019.464467592596</v>
      </c>
      <c r="AG1866" s="85">
        <v>45019</v>
      </c>
      <c r="AH1866" s="82" t="s">
        <v>9417</v>
      </c>
      <c r="AI1866" s="77"/>
      <c r="AJ1866" s="77"/>
      <c r="AK1866" s="77"/>
      <c r="AL1866" s="77"/>
      <c r="AM1866" s="77"/>
      <c r="AN1866" s="77"/>
      <c r="AO1866" s="77"/>
      <c r="AP1866" s="77"/>
      <c r="AQ1866" s="77"/>
      <c r="AR1866" s="77"/>
      <c r="AS1866" s="77"/>
      <c r="AT1866" s="77"/>
      <c r="AU1866" s="77"/>
      <c r="AV1866" s="80" t="str">
        <f>HYPERLINK("https://pbs.twimg.com/profile_images/1283576393662636034/EjgsMA_W_normal.jpg")</f>
        <v>https://pbs.twimg.com/profile_images/1283576393662636034/EjgsMA_W_normal.jpg</v>
      </c>
      <c r="AW1866" s="82" t="s">
        <v>14031</v>
      </c>
      <c r="AX1866" s="82" t="s">
        <v>15438</v>
      </c>
      <c r="AY1866" s="82" t="s">
        <v>15767</v>
      </c>
      <c r="AZ1866" s="82" t="s">
        <v>15967</v>
      </c>
      <c r="BA1866" s="82" t="s">
        <v>15804</v>
      </c>
      <c r="BB1866" s="82" t="s">
        <v>15804</v>
      </c>
      <c r="BC1866" s="82" t="s">
        <v>15967</v>
      </c>
      <c r="BD1866" s="82" t="s">
        <v>15767</v>
      </c>
      <c r="BE1866" s="77"/>
      <c r="BF1866" s="77"/>
      <c r="BG1866" s="77"/>
      <c r="BH1866" s="77"/>
      <c r="BI1866" s="77"/>
    </row>
    <row r="1867" spans="1:61" x14ac:dyDescent="0.25">
      <c r="A1867" s="62" t="s">
        <v>819</v>
      </c>
      <c r="B1867" s="62" t="s">
        <v>819</v>
      </c>
      <c r="C1867" s="63"/>
      <c r="D1867" s="64"/>
      <c r="E1867" s="65"/>
      <c r="F1867" s="66"/>
      <c r="G1867" s="63"/>
      <c r="H1867" s="67"/>
      <c r="I1867" s="68"/>
      <c r="J1867" s="68"/>
      <c r="K1867" s="32"/>
      <c r="L1867" s="75">
        <v>1867</v>
      </c>
      <c r="M1867" s="75"/>
      <c r="N1867" s="70"/>
      <c r="O1867" s="77" t="s">
        <v>1132</v>
      </c>
      <c r="P1867" s="79">
        <v>45015.506284722222</v>
      </c>
      <c r="Q1867" s="77" t="s">
        <v>2924</v>
      </c>
      <c r="R1867" s="77">
        <v>0</v>
      </c>
      <c r="S1867" s="77">
        <v>0</v>
      </c>
      <c r="T1867" s="77">
        <v>0</v>
      </c>
      <c r="U1867" s="77">
        <v>0</v>
      </c>
      <c r="V1867" s="77">
        <v>4</v>
      </c>
      <c r="W1867" s="82" t="s">
        <v>5308</v>
      </c>
      <c r="X1867" s="77"/>
      <c r="Y1867" s="77"/>
      <c r="Z1867" s="77"/>
      <c r="AA1867" s="77"/>
      <c r="AB1867" s="77"/>
      <c r="AC1867" s="82" t="s">
        <v>7705</v>
      </c>
      <c r="AD1867" s="77" t="s">
        <v>7745</v>
      </c>
      <c r="AE1867" s="80" t="str">
        <f>HYPERLINK("https://twitter.com/economedicos/status/1641412220318806016")</f>
        <v>https://twitter.com/economedicos/status/1641412220318806016</v>
      </c>
      <c r="AF1867" s="79">
        <v>45015.506284722222</v>
      </c>
      <c r="AG1867" s="85">
        <v>45015</v>
      </c>
      <c r="AH1867" s="82" t="s">
        <v>9418</v>
      </c>
      <c r="AI1867" s="77"/>
      <c r="AJ1867" s="77"/>
      <c r="AK1867" s="77"/>
      <c r="AL1867" s="77"/>
      <c r="AM1867" s="77"/>
      <c r="AN1867" s="77"/>
      <c r="AO1867" s="77"/>
      <c r="AP1867" s="77"/>
      <c r="AQ1867" s="77"/>
      <c r="AR1867" s="77"/>
      <c r="AS1867" s="77"/>
      <c r="AT1867" s="77"/>
      <c r="AU1867" s="77"/>
      <c r="AV1867" s="80" t="str">
        <f>HYPERLINK("https://pbs.twimg.com/profile_images/1283576393662636034/EjgsMA_W_normal.jpg")</f>
        <v>https://pbs.twimg.com/profile_images/1283576393662636034/EjgsMA_W_normal.jpg</v>
      </c>
      <c r="AW1867" s="82" t="s">
        <v>14032</v>
      </c>
      <c r="AX1867" s="82" t="s">
        <v>15439</v>
      </c>
      <c r="AY1867" s="82" t="s">
        <v>15767</v>
      </c>
      <c r="AZ1867" s="82" t="s">
        <v>15968</v>
      </c>
      <c r="BA1867" s="82" t="s">
        <v>15804</v>
      </c>
      <c r="BB1867" s="82" t="s">
        <v>15804</v>
      </c>
      <c r="BC1867" s="82" t="s">
        <v>15968</v>
      </c>
      <c r="BD1867" s="82" t="s">
        <v>15767</v>
      </c>
      <c r="BE1867" s="77"/>
      <c r="BF1867" s="77"/>
      <c r="BG1867" s="77"/>
      <c r="BH1867" s="77"/>
      <c r="BI1867" s="77"/>
    </row>
    <row r="1868" spans="1:61" x14ac:dyDescent="0.25">
      <c r="A1868" s="62" t="s">
        <v>819</v>
      </c>
      <c r="B1868" s="62" t="s">
        <v>819</v>
      </c>
      <c r="C1868" s="63"/>
      <c r="D1868" s="64"/>
      <c r="E1868" s="65"/>
      <c r="F1868" s="66"/>
      <c r="G1868" s="63"/>
      <c r="H1868" s="67"/>
      <c r="I1868" s="68"/>
      <c r="J1868" s="68"/>
      <c r="K1868" s="32"/>
      <c r="L1868" s="75">
        <v>1868</v>
      </c>
      <c r="M1868" s="75"/>
      <c r="N1868" s="70"/>
      <c r="O1868" s="77" t="s">
        <v>1132</v>
      </c>
      <c r="P1868" s="79">
        <v>44979.496388888889</v>
      </c>
      <c r="Q1868" s="77" t="s">
        <v>2925</v>
      </c>
      <c r="R1868" s="77">
        <v>0</v>
      </c>
      <c r="S1868" s="77">
        <v>0</v>
      </c>
      <c r="T1868" s="77">
        <v>0</v>
      </c>
      <c r="U1868" s="77">
        <v>0</v>
      </c>
      <c r="V1868" s="77">
        <v>11</v>
      </c>
      <c r="W1868" s="82" t="s">
        <v>5309</v>
      </c>
      <c r="X1868" s="77"/>
      <c r="Y1868" s="77"/>
      <c r="Z1868" s="77"/>
      <c r="AA1868" s="77"/>
      <c r="AB1868" s="77"/>
      <c r="AC1868" s="82" t="s">
        <v>7705</v>
      </c>
      <c r="AD1868" s="77" t="s">
        <v>7745</v>
      </c>
      <c r="AE1868" s="80" t="str">
        <f>HYPERLINK("https://twitter.com/economedicos/status/1628362667848089600")</f>
        <v>https://twitter.com/economedicos/status/1628362667848089600</v>
      </c>
      <c r="AF1868" s="79">
        <v>44979.496388888889</v>
      </c>
      <c r="AG1868" s="85">
        <v>44979</v>
      </c>
      <c r="AH1868" s="82" t="s">
        <v>9419</v>
      </c>
      <c r="AI1868" s="77"/>
      <c r="AJ1868" s="77"/>
      <c r="AK1868" s="77"/>
      <c r="AL1868" s="77"/>
      <c r="AM1868" s="77"/>
      <c r="AN1868" s="77"/>
      <c r="AO1868" s="77"/>
      <c r="AP1868" s="77"/>
      <c r="AQ1868" s="77"/>
      <c r="AR1868" s="77"/>
      <c r="AS1868" s="77"/>
      <c r="AT1868" s="77"/>
      <c r="AU1868" s="77"/>
      <c r="AV1868" s="80" t="str">
        <f>HYPERLINK("https://pbs.twimg.com/profile_images/1283576393662636034/EjgsMA_W_normal.jpg")</f>
        <v>https://pbs.twimg.com/profile_images/1283576393662636034/EjgsMA_W_normal.jpg</v>
      </c>
      <c r="AW1868" s="82" t="s">
        <v>14033</v>
      </c>
      <c r="AX1868" s="82" t="s">
        <v>15440</v>
      </c>
      <c r="AY1868" s="82" t="s">
        <v>15767</v>
      </c>
      <c r="AZ1868" s="82" t="s">
        <v>15969</v>
      </c>
      <c r="BA1868" s="82" t="s">
        <v>15804</v>
      </c>
      <c r="BB1868" s="82" t="s">
        <v>15804</v>
      </c>
      <c r="BC1868" s="82" t="s">
        <v>15969</v>
      </c>
      <c r="BD1868" s="82" t="s">
        <v>15767</v>
      </c>
      <c r="BE1868" s="77"/>
      <c r="BF1868" s="77"/>
      <c r="BG1868" s="77"/>
      <c r="BH1868" s="77"/>
      <c r="BI1868" s="77"/>
    </row>
    <row r="1869" spans="1:61" x14ac:dyDescent="0.25">
      <c r="A1869" s="62" t="s">
        <v>819</v>
      </c>
      <c r="B1869" s="62" t="s">
        <v>819</v>
      </c>
      <c r="C1869" s="63"/>
      <c r="D1869" s="64"/>
      <c r="E1869" s="65"/>
      <c r="F1869" s="66"/>
      <c r="G1869" s="63"/>
      <c r="H1869" s="67"/>
      <c r="I1869" s="68"/>
      <c r="J1869" s="68"/>
      <c r="K1869" s="32"/>
      <c r="L1869" s="75">
        <v>1869</v>
      </c>
      <c r="M1869" s="75"/>
      <c r="N1869" s="70"/>
      <c r="O1869" s="77" t="s">
        <v>1132</v>
      </c>
      <c r="P1869" s="79">
        <v>44974.466736111113</v>
      </c>
      <c r="Q1869" s="77" t="s">
        <v>2926</v>
      </c>
      <c r="R1869" s="77">
        <v>0</v>
      </c>
      <c r="S1869" s="77">
        <v>0</v>
      </c>
      <c r="T1869" s="77">
        <v>0</v>
      </c>
      <c r="U1869" s="77">
        <v>0</v>
      </c>
      <c r="V1869" s="77">
        <v>10</v>
      </c>
      <c r="W1869" s="82" t="s">
        <v>5308</v>
      </c>
      <c r="X1869" s="77"/>
      <c r="Y1869" s="77"/>
      <c r="Z1869" s="77"/>
      <c r="AA1869" s="77"/>
      <c r="AB1869" s="77"/>
      <c r="AC1869" s="82" t="s">
        <v>7705</v>
      </c>
      <c r="AD1869" s="77" t="s">
        <v>7745</v>
      </c>
      <c r="AE1869" s="80" t="str">
        <f>HYPERLINK("https://twitter.com/economedicos/status/1626539982700654592")</f>
        <v>https://twitter.com/economedicos/status/1626539982700654592</v>
      </c>
      <c r="AF1869" s="79">
        <v>44974.466736111113</v>
      </c>
      <c r="AG1869" s="85">
        <v>44974</v>
      </c>
      <c r="AH1869" s="82" t="s">
        <v>9420</v>
      </c>
      <c r="AI1869" s="77"/>
      <c r="AJ1869" s="77"/>
      <c r="AK1869" s="77"/>
      <c r="AL1869" s="77"/>
      <c r="AM1869" s="77"/>
      <c r="AN1869" s="77"/>
      <c r="AO1869" s="77"/>
      <c r="AP1869" s="77"/>
      <c r="AQ1869" s="77"/>
      <c r="AR1869" s="77"/>
      <c r="AS1869" s="77"/>
      <c r="AT1869" s="77"/>
      <c r="AU1869" s="77"/>
      <c r="AV1869" s="80" t="str">
        <f>HYPERLINK("https://pbs.twimg.com/profile_images/1283576393662636034/EjgsMA_W_normal.jpg")</f>
        <v>https://pbs.twimg.com/profile_images/1283576393662636034/EjgsMA_W_normal.jpg</v>
      </c>
      <c r="AW1869" s="82" t="s">
        <v>14034</v>
      </c>
      <c r="AX1869" s="82" t="s">
        <v>15441</v>
      </c>
      <c r="AY1869" s="82" t="s">
        <v>15767</v>
      </c>
      <c r="AZ1869" s="82" t="s">
        <v>15970</v>
      </c>
      <c r="BA1869" s="82" t="s">
        <v>15804</v>
      </c>
      <c r="BB1869" s="82" t="s">
        <v>15804</v>
      </c>
      <c r="BC1869" s="82" t="s">
        <v>15970</v>
      </c>
      <c r="BD1869" s="82" t="s">
        <v>15767</v>
      </c>
      <c r="BE1869" s="77"/>
      <c r="BF1869" s="77"/>
      <c r="BG1869" s="77"/>
      <c r="BH1869" s="77"/>
      <c r="BI1869" s="77"/>
    </row>
    <row r="1870" spans="1:61" x14ac:dyDescent="0.25">
      <c r="A1870" s="62" t="s">
        <v>819</v>
      </c>
      <c r="B1870" s="62" t="s">
        <v>819</v>
      </c>
      <c r="C1870" s="63"/>
      <c r="D1870" s="64"/>
      <c r="E1870" s="65"/>
      <c r="F1870" s="66"/>
      <c r="G1870" s="63"/>
      <c r="H1870" s="67"/>
      <c r="I1870" s="68"/>
      <c r="J1870" s="68"/>
      <c r="K1870" s="32"/>
      <c r="L1870" s="75">
        <v>1870</v>
      </c>
      <c r="M1870" s="75"/>
      <c r="N1870" s="70"/>
      <c r="O1870" s="77" t="s">
        <v>1132</v>
      </c>
      <c r="P1870" s="79">
        <v>44973.486620370371</v>
      </c>
      <c r="Q1870" s="77" t="s">
        <v>2927</v>
      </c>
      <c r="R1870" s="77">
        <v>0</v>
      </c>
      <c r="S1870" s="77">
        <v>0</v>
      </c>
      <c r="T1870" s="77">
        <v>0</v>
      </c>
      <c r="U1870" s="77">
        <v>0</v>
      </c>
      <c r="V1870" s="77">
        <v>7</v>
      </c>
      <c r="W1870" s="82" t="s">
        <v>5308</v>
      </c>
      <c r="X1870" s="77"/>
      <c r="Y1870" s="77"/>
      <c r="Z1870" s="77"/>
      <c r="AA1870" s="77"/>
      <c r="AB1870" s="77"/>
      <c r="AC1870" s="82" t="s">
        <v>7705</v>
      </c>
      <c r="AD1870" s="77" t="s">
        <v>7745</v>
      </c>
      <c r="AE1870" s="80" t="str">
        <f>HYPERLINK("https://twitter.com/economedicos/status/1626184803518144512")</f>
        <v>https://twitter.com/economedicos/status/1626184803518144512</v>
      </c>
      <c r="AF1870" s="79">
        <v>44973.486620370371</v>
      </c>
      <c r="AG1870" s="85">
        <v>44973</v>
      </c>
      <c r="AH1870" s="82" t="s">
        <v>9421</v>
      </c>
      <c r="AI1870" s="77"/>
      <c r="AJ1870" s="77"/>
      <c r="AK1870" s="77"/>
      <c r="AL1870" s="77"/>
      <c r="AM1870" s="77"/>
      <c r="AN1870" s="77"/>
      <c r="AO1870" s="77"/>
      <c r="AP1870" s="77"/>
      <c r="AQ1870" s="77"/>
      <c r="AR1870" s="77"/>
      <c r="AS1870" s="77"/>
      <c r="AT1870" s="77"/>
      <c r="AU1870" s="77"/>
      <c r="AV1870" s="80" t="str">
        <f>HYPERLINK("https://pbs.twimg.com/profile_images/1283576393662636034/EjgsMA_W_normal.jpg")</f>
        <v>https://pbs.twimg.com/profile_images/1283576393662636034/EjgsMA_W_normal.jpg</v>
      </c>
      <c r="AW1870" s="82" t="s">
        <v>14035</v>
      </c>
      <c r="AX1870" s="82" t="s">
        <v>15442</v>
      </c>
      <c r="AY1870" s="82" t="s">
        <v>15767</v>
      </c>
      <c r="AZ1870" s="82" t="s">
        <v>15971</v>
      </c>
      <c r="BA1870" s="82" t="s">
        <v>15804</v>
      </c>
      <c r="BB1870" s="82" t="s">
        <v>15804</v>
      </c>
      <c r="BC1870" s="82" t="s">
        <v>15971</v>
      </c>
      <c r="BD1870" s="82" t="s">
        <v>15767</v>
      </c>
      <c r="BE1870" s="77"/>
      <c r="BF1870" s="77"/>
      <c r="BG1870" s="77"/>
      <c r="BH1870" s="77"/>
      <c r="BI1870" s="77"/>
    </row>
    <row r="1871" spans="1:61" x14ac:dyDescent="0.25">
      <c r="A1871" s="62" t="s">
        <v>819</v>
      </c>
      <c r="B1871" s="62" t="s">
        <v>819</v>
      </c>
      <c r="C1871" s="63"/>
      <c r="D1871" s="64"/>
      <c r="E1871" s="65"/>
      <c r="F1871" s="66"/>
      <c r="G1871" s="63"/>
      <c r="H1871" s="67"/>
      <c r="I1871" s="68"/>
      <c r="J1871" s="68"/>
      <c r="K1871" s="32"/>
      <c r="L1871" s="75">
        <v>1871</v>
      </c>
      <c r="M1871" s="75"/>
      <c r="N1871" s="70"/>
      <c r="O1871" s="77" t="s">
        <v>1132</v>
      </c>
      <c r="P1871" s="79">
        <v>44972.443449074075</v>
      </c>
      <c r="Q1871" s="77" t="s">
        <v>2928</v>
      </c>
      <c r="R1871" s="77">
        <v>0</v>
      </c>
      <c r="S1871" s="77">
        <v>0</v>
      </c>
      <c r="T1871" s="77">
        <v>0</v>
      </c>
      <c r="U1871" s="77">
        <v>0</v>
      </c>
      <c r="V1871" s="77">
        <v>4</v>
      </c>
      <c r="W1871" s="82" t="s">
        <v>5308</v>
      </c>
      <c r="X1871" s="77"/>
      <c r="Y1871" s="77"/>
      <c r="Z1871" s="77"/>
      <c r="AA1871" s="77"/>
      <c r="AB1871" s="77"/>
      <c r="AC1871" s="82" t="s">
        <v>7705</v>
      </c>
      <c r="AD1871" s="77" t="s">
        <v>7745</v>
      </c>
      <c r="AE1871" s="80" t="str">
        <f>HYPERLINK("https://twitter.com/economedicos/status/1625806770802139137")</f>
        <v>https://twitter.com/economedicos/status/1625806770802139137</v>
      </c>
      <c r="AF1871" s="79">
        <v>44972.443449074075</v>
      </c>
      <c r="AG1871" s="85">
        <v>44972</v>
      </c>
      <c r="AH1871" s="82" t="s">
        <v>9422</v>
      </c>
      <c r="AI1871" s="77"/>
      <c r="AJ1871" s="77"/>
      <c r="AK1871" s="77"/>
      <c r="AL1871" s="77"/>
      <c r="AM1871" s="77"/>
      <c r="AN1871" s="77"/>
      <c r="AO1871" s="77"/>
      <c r="AP1871" s="77"/>
      <c r="AQ1871" s="77"/>
      <c r="AR1871" s="77"/>
      <c r="AS1871" s="77"/>
      <c r="AT1871" s="77"/>
      <c r="AU1871" s="77"/>
      <c r="AV1871" s="80" t="str">
        <f>HYPERLINK("https://pbs.twimg.com/profile_images/1283576393662636034/EjgsMA_W_normal.jpg")</f>
        <v>https://pbs.twimg.com/profile_images/1283576393662636034/EjgsMA_W_normal.jpg</v>
      </c>
      <c r="AW1871" s="82" t="s">
        <v>14036</v>
      </c>
      <c r="AX1871" s="82" t="s">
        <v>15443</v>
      </c>
      <c r="AY1871" s="82" t="s">
        <v>15767</v>
      </c>
      <c r="AZ1871" s="82" t="s">
        <v>15972</v>
      </c>
      <c r="BA1871" s="82" t="s">
        <v>15804</v>
      </c>
      <c r="BB1871" s="82" t="s">
        <v>15804</v>
      </c>
      <c r="BC1871" s="82" t="s">
        <v>15972</v>
      </c>
      <c r="BD1871" s="82" t="s">
        <v>15767</v>
      </c>
      <c r="BE1871" s="77"/>
      <c r="BF1871" s="77"/>
      <c r="BG1871" s="77"/>
      <c r="BH1871" s="77"/>
      <c r="BI1871" s="77"/>
    </row>
    <row r="1872" spans="1:61" x14ac:dyDescent="0.25">
      <c r="A1872" s="62" t="s">
        <v>819</v>
      </c>
      <c r="B1872" s="62" t="s">
        <v>819</v>
      </c>
      <c r="C1872" s="63"/>
      <c r="D1872" s="64"/>
      <c r="E1872" s="65"/>
      <c r="F1872" s="66"/>
      <c r="G1872" s="63"/>
      <c r="H1872" s="67"/>
      <c r="I1872" s="68"/>
      <c r="J1872" s="68"/>
      <c r="K1872" s="32"/>
      <c r="L1872" s="75">
        <v>1872</v>
      </c>
      <c r="M1872" s="75"/>
      <c r="N1872" s="70"/>
      <c r="O1872" s="77" t="s">
        <v>1132</v>
      </c>
      <c r="P1872" s="79">
        <v>45167.452905092592</v>
      </c>
      <c r="Q1872" s="77" t="s">
        <v>2929</v>
      </c>
      <c r="R1872" s="77">
        <v>0</v>
      </c>
      <c r="S1872" s="77">
        <v>0</v>
      </c>
      <c r="T1872" s="77">
        <v>0</v>
      </c>
      <c r="U1872" s="77">
        <v>0</v>
      </c>
      <c r="V1872" s="77">
        <v>10</v>
      </c>
      <c r="W1872" s="82" t="s">
        <v>5308</v>
      </c>
      <c r="X1872" s="77"/>
      <c r="Y1872" s="77"/>
      <c r="Z1872" s="77"/>
      <c r="AA1872" s="77"/>
      <c r="AB1872" s="77"/>
      <c r="AC1872" s="82" t="s">
        <v>7705</v>
      </c>
      <c r="AD1872" s="77" t="s">
        <v>7745</v>
      </c>
      <c r="AE1872" s="80" t="str">
        <f>HYPERLINK("https://twitter.com/economedicos/status/1696475828081590297")</f>
        <v>https://twitter.com/economedicos/status/1696475828081590297</v>
      </c>
      <c r="AF1872" s="79">
        <v>45167.452905092592</v>
      </c>
      <c r="AG1872" s="85">
        <v>45167</v>
      </c>
      <c r="AH1872" s="82" t="s">
        <v>9423</v>
      </c>
      <c r="AI1872" s="77"/>
      <c r="AJ1872" s="77"/>
      <c r="AK1872" s="77"/>
      <c r="AL1872" s="77"/>
      <c r="AM1872" s="77"/>
      <c r="AN1872" s="77"/>
      <c r="AO1872" s="77"/>
      <c r="AP1872" s="77"/>
      <c r="AQ1872" s="77"/>
      <c r="AR1872" s="77"/>
      <c r="AS1872" s="77"/>
      <c r="AT1872" s="77"/>
      <c r="AU1872" s="77"/>
      <c r="AV1872" s="80" t="str">
        <f>HYPERLINK("https://pbs.twimg.com/profile_images/1283576393662636034/EjgsMA_W_normal.jpg")</f>
        <v>https://pbs.twimg.com/profile_images/1283576393662636034/EjgsMA_W_normal.jpg</v>
      </c>
      <c r="AW1872" s="82" t="s">
        <v>14037</v>
      </c>
      <c r="AX1872" s="82" t="s">
        <v>15444</v>
      </c>
      <c r="AY1872" s="82" t="s">
        <v>15767</v>
      </c>
      <c r="AZ1872" s="82" t="s">
        <v>15973</v>
      </c>
      <c r="BA1872" s="82" t="s">
        <v>15804</v>
      </c>
      <c r="BB1872" s="82" t="s">
        <v>15804</v>
      </c>
      <c r="BC1872" s="82" t="s">
        <v>15973</v>
      </c>
      <c r="BD1872" s="82" t="s">
        <v>15767</v>
      </c>
      <c r="BE1872" s="77"/>
      <c r="BF1872" s="77"/>
      <c r="BG1872" s="77"/>
      <c r="BH1872" s="77"/>
      <c r="BI1872" s="77"/>
    </row>
    <row r="1873" spans="1:61" x14ac:dyDescent="0.25">
      <c r="A1873" s="62" t="s">
        <v>819</v>
      </c>
      <c r="B1873" s="62" t="s">
        <v>819</v>
      </c>
      <c r="C1873" s="63"/>
      <c r="D1873" s="64"/>
      <c r="E1873" s="65"/>
      <c r="F1873" s="66"/>
      <c r="G1873" s="63"/>
      <c r="H1873" s="67"/>
      <c r="I1873" s="68"/>
      <c r="J1873" s="68"/>
      <c r="K1873" s="32"/>
      <c r="L1873" s="75">
        <v>1873</v>
      </c>
      <c r="M1873" s="75"/>
      <c r="N1873" s="70"/>
      <c r="O1873" s="77" t="s">
        <v>1132</v>
      </c>
      <c r="P1873" s="79">
        <v>45161.395555555559</v>
      </c>
      <c r="Q1873" s="77" t="s">
        <v>2930</v>
      </c>
      <c r="R1873" s="77">
        <v>0</v>
      </c>
      <c r="S1873" s="77">
        <v>0</v>
      </c>
      <c r="T1873" s="77">
        <v>0</v>
      </c>
      <c r="U1873" s="77">
        <v>0</v>
      </c>
      <c r="V1873" s="77">
        <v>17</v>
      </c>
      <c r="W1873" s="82" t="s">
        <v>5308</v>
      </c>
      <c r="X1873" s="77"/>
      <c r="Y1873" s="77"/>
      <c r="Z1873" s="77"/>
      <c r="AA1873" s="77"/>
      <c r="AB1873" s="77"/>
      <c r="AC1873" s="82" t="s">
        <v>7705</v>
      </c>
      <c r="AD1873" s="77" t="s">
        <v>7745</v>
      </c>
      <c r="AE1873" s="80" t="str">
        <f>HYPERLINK("https://twitter.com/economedicos/status/1694280721584799760")</f>
        <v>https://twitter.com/economedicos/status/1694280721584799760</v>
      </c>
      <c r="AF1873" s="79">
        <v>45161.395555555559</v>
      </c>
      <c r="AG1873" s="85">
        <v>45161</v>
      </c>
      <c r="AH1873" s="82" t="s">
        <v>9424</v>
      </c>
      <c r="AI1873" s="77"/>
      <c r="AJ1873" s="77"/>
      <c r="AK1873" s="77"/>
      <c r="AL1873" s="77"/>
      <c r="AM1873" s="77"/>
      <c r="AN1873" s="77"/>
      <c r="AO1873" s="77"/>
      <c r="AP1873" s="77"/>
      <c r="AQ1873" s="77"/>
      <c r="AR1873" s="77"/>
      <c r="AS1873" s="77"/>
      <c r="AT1873" s="77"/>
      <c r="AU1873" s="77"/>
      <c r="AV1873" s="80" t="str">
        <f>HYPERLINK("https://pbs.twimg.com/profile_images/1283576393662636034/EjgsMA_W_normal.jpg")</f>
        <v>https://pbs.twimg.com/profile_images/1283576393662636034/EjgsMA_W_normal.jpg</v>
      </c>
      <c r="AW1873" s="82" t="s">
        <v>14038</v>
      </c>
      <c r="AX1873" s="82" t="s">
        <v>15445</v>
      </c>
      <c r="AY1873" s="82" t="s">
        <v>15767</v>
      </c>
      <c r="AZ1873" s="82" t="s">
        <v>15974</v>
      </c>
      <c r="BA1873" s="82" t="s">
        <v>15804</v>
      </c>
      <c r="BB1873" s="82" t="s">
        <v>15804</v>
      </c>
      <c r="BC1873" s="82" t="s">
        <v>15974</v>
      </c>
      <c r="BD1873" s="82" t="s">
        <v>15767</v>
      </c>
      <c r="BE1873" s="77"/>
      <c r="BF1873" s="77"/>
      <c r="BG1873" s="77"/>
      <c r="BH1873" s="77"/>
      <c r="BI1873" s="77"/>
    </row>
    <row r="1874" spans="1:61" x14ac:dyDescent="0.25">
      <c r="A1874" s="62" t="s">
        <v>819</v>
      </c>
      <c r="B1874" s="62" t="s">
        <v>819</v>
      </c>
      <c r="C1874" s="63"/>
      <c r="D1874" s="64"/>
      <c r="E1874" s="65"/>
      <c r="F1874" s="66"/>
      <c r="G1874" s="63"/>
      <c r="H1874" s="67"/>
      <c r="I1874" s="68"/>
      <c r="J1874" s="68"/>
      <c r="K1874" s="32"/>
      <c r="L1874" s="75">
        <v>1874</v>
      </c>
      <c r="M1874" s="75"/>
      <c r="N1874" s="70"/>
      <c r="O1874" s="77" t="s">
        <v>1132</v>
      </c>
      <c r="P1874" s="79">
        <v>45160.449131944442</v>
      </c>
      <c r="Q1874" s="77" t="s">
        <v>2931</v>
      </c>
      <c r="R1874" s="77">
        <v>0</v>
      </c>
      <c r="S1874" s="77">
        <v>0</v>
      </c>
      <c r="T1874" s="77">
        <v>0</v>
      </c>
      <c r="U1874" s="77">
        <v>0</v>
      </c>
      <c r="V1874" s="77">
        <v>3</v>
      </c>
      <c r="W1874" s="82" t="s">
        <v>5308</v>
      </c>
      <c r="X1874" s="77"/>
      <c r="Y1874" s="77"/>
      <c r="Z1874" s="77"/>
      <c r="AA1874" s="77"/>
      <c r="AB1874" s="77"/>
      <c r="AC1874" s="82" t="s">
        <v>7705</v>
      </c>
      <c r="AD1874" s="77" t="s">
        <v>7745</v>
      </c>
      <c r="AE1874" s="80" t="str">
        <f>HYPERLINK("https://twitter.com/economedicos/status/1693937747713544694")</f>
        <v>https://twitter.com/economedicos/status/1693937747713544694</v>
      </c>
      <c r="AF1874" s="79">
        <v>45160.449131944442</v>
      </c>
      <c r="AG1874" s="85">
        <v>45160</v>
      </c>
      <c r="AH1874" s="82" t="s">
        <v>9425</v>
      </c>
      <c r="AI1874" s="77"/>
      <c r="AJ1874" s="77"/>
      <c r="AK1874" s="77"/>
      <c r="AL1874" s="77"/>
      <c r="AM1874" s="77"/>
      <c r="AN1874" s="77"/>
      <c r="AO1874" s="77"/>
      <c r="AP1874" s="77"/>
      <c r="AQ1874" s="77"/>
      <c r="AR1874" s="77"/>
      <c r="AS1874" s="77"/>
      <c r="AT1874" s="77"/>
      <c r="AU1874" s="77"/>
      <c r="AV1874" s="80" t="str">
        <f>HYPERLINK("https://pbs.twimg.com/profile_images/1283576393662636034/EjgsMA_W_normal.jpg")</f>
        <v>https://pbs.twimg.com/profile_images/1283576393662636034/EjgsMA_W_normal.jpg</v>
      </c>
      <c r="AW1874" s="82" t="s">
        <v>14039</v>
      </c>
      <c r="AX1874" s="82" t="s">
        <v>15446</v>
      </c>
      <c r="AY1874" s="82" t="s">
        <v>15767</v>
      </c>
      <c r="AZ1874" s="82" t="s">
        <v>15975</v>
      </c>
      <c r="BA1874" s="82" t="s">
        <v>15804</v>
      </c>
      <c r="BB1874" s="82" t="s">
        <v>15804</v>
      </c>
      <c r="BC1874" s="82" t="s">
        <v>15975</v>
      </c>
      <c r="BD1874" s="82" t="s">
        <v>15767</v>
      </c>
      <c r="BE1874" s="77"/>
      <c r="BF1874" s="77"/>
      <c r="BG1874" s="77"/>
      <c r="BH1874" s="77"/>
      <c r="BI1874" s="77"/>
    </row>
    <row r="1875" spans="1:61" x14ac:dyDescent="0.25">
      <c r="A1875" s="62" t="s">
        <v>819</v>
      </c>
      <c r="B1875" s="62" t="s">
        <v>819</v>
      </c>
      <c r="C1875" s="63"/>
      <c r="D1875" s="64"/>
      <c r="E1875" s="65"/>
      <c r="F1875" s="66"/>
      <c r="G1875" s="63"/>
      <c r="H1875" s="67"/>
      <c r="I1875" s="68"/>
      <c r="J1875" s="68"/>
      <c r="K1875" s="32"/>
      <c r="L1875" s="75">
        <v>1875</v>
      </c>
      <c r="M1875" s="75"/>
      <c r="N1875" s="70"/>
      <c r="O1875" s="77" t="s">
        <v>1132</v>
      </c>
      <c r="P1875" s="79">
        <v>45159.491932870369</v>
      </c>
      <c r="Q1875" s="77" t="s">
        <v>2932</v>
      </c>
      <c r="R1875" s="77">
        <v>0</v>
      </c>
      <c r="S1875" s="77">
        <v>0</v>
      </c>
      <c r="T1875" s="77">
        <v>0</v>
      </c>
      <c r="U1875" s="77">
        <v>0</v>
      </c>
      <c r="V1875" s="77">
        <v>6</v>
      </c>
      <c r="W1875" s="82" t="s">
        <v>5308</v>
      </c>
      <c r="X1875" s="77"/>
      <c r="Y1875" s="77"/>
      <c r="Z1875" s="77"/>
      <c r="AA1875" s="77"/>
      <c r="AB1875" s="77"/>
      <c r="AC1875" s="82" t="s">
        <v>7705</v>
      </c>
      <c r="AD1875" s="77" t="s">
        <v>7745</v>
      </c>
      <c r="AE1875" s="80" t="str">
        <f>HYPERLINK("https://twitter.com/economedicos/status/1693590870367330647")</f>
        <v>https://twitter.com/economedicos/status/1693590870367330647</v>
      </c>
      <c r="AF1875" s="79">
        <v>45159.491932870369</v>
      </c>
      <c r="AG1875" s="85">
        <v>45159</v>
      </c>
      <c r="AH1875" s="82" t="s">
        <v>7820</v>
      </c>
      <c r="AI1875" s="77"/>
      <c r="AJ1875" s="77"/>
      <c r="AK1875" s="77"/>
      <c r="AL1875" s="77"/>
      <c r="AM1875" s="77"/>
      <c r="AN1875" s="77"/>
      <c r="AO1875" s="77"/>
      <c r="AP1875" s="77"/>
      <c r="AQ1875" s="77"/>
      <c r="AR1875" s="77"/>
      <c r="AS1875" s="77"/>
      <c r="AT1875" s="77"/>
      <c r="AU1875" s="77"/>
      <c r="AV1875" s="80" t="str">
        <f>HYPERLINK("https://pbs.twimg.com/profile_images/1283576393662636034/EjgsMA_W_normal.jpg")</f>
        <v>https://pbs.twimg.com/profile_images/1283576393662636034/EjgsMA_W_normal.jpg</v>
      </c>
      <c r="AW1875" s="82" t="s">
        <v>14040</v>
      </c>
      <c r="AX1875" s="82" t="s">
        <v>15447</v>
      </c>
      <c r="AY1875" s="82" t="s">
        <v>15767</v>
      </c>
      <c r="AZ1875" s="82" t="s">
        <v>15976</v>
      </c>
      <c r="BA1875" s="82" t="s">
        <v>15804</v>
      </c>
      <c r="BB1875" s="82" t="s">
        <v>15804</v>
      </c>
      <c r="BC1875" s="82" t="s">
        <v>15976</v>
      </c>
      <c r="BD1875" s="82" t="s">
        <v>15767</v>
      </c>
      <c r="BE1875" s="77"/>
      <c r="BF1875" s="77"/>
      <c r="BG1875" s="77"/>
      <c r="BH1875" s="77"/>
      <c r="BI1875" s="77"/>
    </row>
    <row r="1876" spans="1:61" x14ac:dyDescent="0.25">
      <c r="A1876" s="62" t="s">
        <v>819</v>
      </c>
      <c r="B1876" s="62" t="s">
        <v>819</v>
      </c>
      <c r="C1876" s="63"/>
      <c r="D1876" s="64"/>
      <c r="E1876" s="65"/>
      <c r="F1876" s="66"/>
      <c r="G1876" s="63"/>
      <c r="H1876" s="67"/>
      <c r="I1876" s="68"/>
      <c r="J1876" s="68"/>
      <c r="K1876" s="32"/>
      <c r="L1876" s="75">
        <v>1876</v>
      </c>
      <c r="M1876" s="75"/>
      <c r="N1876" s="70"/>
      <c r="O1876" s="77" t="s">
        <v>1132</v>
      </c>
      <c r="P1876" s="79">
        <v>45152.465289351851</v>
      </c>
      <c r="Q1876" s="77" t="s">
        <v>2933</v>
      </c>
      <c r="R1876" s="77">
        <v>0</v>
      </c>
      <c r="S1876" s="77">
        <v>0</v>
      </c>
      <c r="T1876" s="77">
        <v>0</v>
      </c>
      <c r="U1876" s="77">
        <v>0</v>
      </c>
      <c r="V1876" s="77">
        <v>6</v>
      </c>
      <c r="W1876" s="82" t="s">
        <v>5308</v>
      </c>
      <c r="X1876" s="77"/>
      <c r="Y1876" s="77"/>
      <c r="Z1876" s="77"/>
      <c r="AA1876" s="77"/>
      <c r="AB1876" s="77"/>
      <c r="AC1876" s="82" t="s">
        <v>7705</v>
      </c>
      <c r="AD1876" s="77" t="s">
        <v>7745</v>
      </c>
      <c r="AE1876" s="80" t="str">
        <f>HYPERLINK("https://twitter.com/economedicos/status/1691044500137762816")</f>
        <v>https://twitter.com/economedicos/status/1691044500137762816</v>
      </c>
      <c r="AF1876" s="79">
        <v>45152.465289351851</v>
      </c>
      <c r="AG1876" s="85">
        <v>45152</v>
      </c>
      <c r="AH1876" s="82" t="s">
        <v>9426</v>
      </c>
      <c r="AI1876" s="77"/>
      <c r="AJ1876" s="77"/>
      <c r="AK1876" s="77"/>
      <c r="AL1876" s="77"/>
      <c r="AM1876" s="77"/>
      <c r="AN1876" s="77"/>
      <c r="AO1876" s="77"/>
      <c r="AP1876" s="77"/>
      <c r="AQ1876" s="77"/>
      <c r="AR1876" s="77"/>
      <c r="AS1876" s="77"/>
      <c r="AT1876" s="77"/>
      <c r="AU1876" s="77"/>
      <c r="AV1876" s="80" t="str">
        <f>HYPERLINK("https://pbs.twimg.com/profile_images/1283576393662636034/EjgsMA_W_normal.jpg")</f>
        <v>https://pbs.twimg.com/profile_images/1283576393662636034/EjgsMA_W_normal.jpg</v>
      </c>
      <c r="AW1876" s="82" t="s">
        <v>14041</v>
      </c>
      <c r="AX1876" s="82" t="s">
        <v>15448</v>
      </c>
      <c r="AY1876" s="82" t="s">
        <v>15767</v>
      </c>
      <c r="AZ1876" s="82" t="s">
        <v>15977</v>
      </c>
      <c r="BA1876" s="82" t="s">
        <v>15804</v>
      </c>
      <c r="BB1876" s="82" t="s">
        <v>15804</v>
      </c>
      <c r="BC1876" s="82" t="s">
        <v>15977</v>
      </c>
      <c r="BD1876" s="82" t="s">
        <v>15767</v>
      </c>
      <c r="BE1876" s="77"/>
      <c r="BF1876" s="77"/>
      <c r="BG1876" s="77"/>
      <c r="BH1876" s="77"/>
      <c r="BI1876" s="77"/>
    </row>
    <row r="1877" spans="1:61" x14ac:dyDescent="0.25">
      <c r="A1877" s="62" t="s">
        <v>819</v>
      </c>
      <c r="B1877" s="62" t="s">
        <v>819</v>
      </c>
      <c r="C1877" s="63"/>
      <c r="D1877" s="64"/>
      <c r="E1877" s="65"/>
      <c r="F1877" s="66"/>
      <c r="G1877" s="63"/>
      <c r="H1877" s="67"/>
      <c r="I1877" s="68"/>
      <c r="J1877" s="68"/>
      <c r="K1877" s="32"/>
      <c r="L1877" s="75">
        <v>1877</v>
      </c>
      <c r="M1877" s="75"/>
      <c r="N1877" s="70"/>
      <c r="O1877" s="77" t="s">
        <v>1132</v>
      </c>
      <c r="P1877" s="79">
        <v>45146.46329861111</v>
      </c>
      <c r="Q1877" s="77" t="s">
        <v>2934</v>
      </c>
      <c r="R1877" s="77">
        <v>0</v>
      </c>
      <c r="S1877" s="77">
        <v>0</v>
      </c>
      <c r="T1877" s="77">
        <v>0</v>
      </c>
      <c r="U1877" s="77">
        <v>0</v>
      </c>
      <c r="V1877" s="77">
        <v>17</v>
      </c>
      <c r="W1877" s="82" t="s">
        <v>5308</v>
      </c>
      <c r="X1877" s="77"/>
      <c r="Y1877" s="77"/>
      <c r="Z1877" s="77"/>
      <c r="AA1877" s="77"/>
      <c r="AB1877" s="77"/>
      <c r="AC1877" s="82" t="s">
        <v>7705</v>
      </c>
      <c r="AD1877" s="77" t="s">
        <v>7745</v>
      </c>
      <c r="AE1877" s="80" t="str">
        <f>HYPERLINK("https://twitter.com/economedicos/status/1688869450689269760")</f>
        <v>https://twitter.com/economedicos/status/1688869450689269760</v>
      </c>
      <c r="AF1877" s="79">
        <v>45146.46329861111</v>
      </c>
      <c r="AG1877" s="85">
        <v>45146</v>
      </c>
      <c r="AH1877" s="82" t="s">
        <v>9427</v>
      </c>
      <c r="AI1877" s="77"/>
      <c r="AJ1877" s="77"/>
      <c r="AK1877" s="77"/>
      <c r="AL1877" s="77"/>
      <c r="AM1877" s="77"/>
      <c r="AN1877" s="77"/>
      <c r="AO1877" s="77"/>
      <c r="AP1877" s="77"/>
      <c r="AQ1877" s="77"/>
      <c r="AR1877" s="77"/>
      <c r="AS1877" s="77"/>
      <c r="AT1877" s="77"/>
      <c r="AU1877" s="77"/>
      <c r="AV1877" s="80" t="str">
        <f>HYPERLINK("https://pbs.twimg.com/profile_images/1283576393662636034/EjgsMA_W_normal.jpg")</f>
        <v>https://pbs.twimg.com/profile_images/1283576393662636034/EjgsMA_W_normal.jpg</v>
      </c>
      <c r="AW1877" s="82" t="s">
        <v>14042</v>
      </c>
      <c r="AX1877" s="82" t="s">
        <v>15449</v>
      </c>
      <c r="AY1877" s="82" t="s">
        <v>15767</v>
      </c>
      <c r="AZ1877" s="82" t="s">
        <v>15978</v>
      </c>
      <c r="BA1877" s="82" t="s">
        <v>15804</v>
      </c>
      <c r="BB1877" s="82" t="s">
        <v>15804</v>
      </c>
      <c r="BC1877" s="82" t="s">
        <v>15978</v>
      </c>
      <c r="BD1877" s="82" t="s">
        <v>15767</v>
      </c>
      <c r="BE1877" s="77"/>
      <c r="BF1877" s="77"/>
      <c r="BG1877" s="77"/>
      <c r="BH1877" s="77"/>
      <c r="BI1877" s="77"/>
    </row>
    <row r="1878" spans="1:61" x14ac:dyDescent="0.25">
      <c r="A1878" s="62" t="s">
        <v>819</v>
      </c>
      <c r="B1878" s="62" t="s">
        <v>819</v>
      </c>
      <c r="C1878" s="63"/>
      <c r="D1878" s="64"/>
      <c r="E1878" s="65"/>
      <c r="F1878" s="66"/>
      <c r="G1878" s="63"/>
      <c r="H1878" s="67"/>
      <c r="I1878" s="68"/>
      <c r="J1878" s="68"/>
      <c r="K1878" s="32"/>
      <c r="L1878" s="75">
        <v>1878</v>
      </c>
      <c r="M1878" s="75"/>
      <c r="N1878" s="70"/>
      <c r="O1878" s="77" t="s">
        <v>1132</v>
      </c>
      <c r="P1878" s="79">
        <v>45131.453460648147</v>
      </c>
      <c r="Q1878" s="77" t="s">
        <v>2935</v>
      </c>
      <c r="R1878" s="77">
        <v>0</v>
      </c>
      <c r="S1878" s="77">
        <v>0</v>
      </c>
      <c r="T1878" s="77">
        <v>0</v>
      </c>
      <c r="U1878" s="77">
        <v>0</v>
      </c>
      <c r="V1878" s="77">
        <v>18</v>
      </c>
      <c r="W1878" s="82" t="s">
        <v>5308</v>
      </c>
      <c r="X1878" s="77"/>
      <c r="Y1878" s="77"/>
      <c r="Z1878" s="77"/>
      <c r="AA1878" s="77"/>
      <c r="AB1878" s="77"/>
      <c r="AC1878" s="82" t="s">
        <v>7705</v>
      </c>
      <c r="AD1878" s="77" t="s">
        <v>7745</v>
      </c>
      <c r="AE1878" s="80" t="str">
        <f>HYPERLINK("https://twitter.com/economedicos/status/1683430067534274560")</f>
        <v>https://twitter.com/economedicos/status/1683430067534274560</v>
      </c>
      <c r="AF1878" s="79">
        <v>45131.453460648147</v>
      </c>
      <c r="AG1878" s="85">
        <v>45131</v>
      </c>
      <c r="AH1878" s="82" t="s">
        <v>9428</v>
      </c>
      <c r="AI1878" s="77"/>
      <c r="AJ1878" s="77"/>
      <c r="AK1878" s="77"/>
      <c r="AL1878" s="77"/>
      <c r="AM1878" s="77"/>
      <c r="AN1878" s="77"/>
      <c r="AO1878" s="77"/>
      <c r="AP1878" s="77"/>
      <c r="AQ1878" s="77"/>
      <c r="AR1878" s="77"/>
      <c r="AS1878" s="77"/>
      <c r="AT1878" s="77"/>
      <c r="AU1878" s="77"/>
      <c r="AV1878" s="80" t="str">
        <f>HYPERLINK("https://pbs.twimg.com/profile_images/1283576393662636034/EjgsMA_W_normal.jpg")</f>
        <v>https://pbs.twimg.com/profile_images/1283576393662636034/EjgsMA_W_normal.jpg</v>
      </c>
      <c r="AW1878" s="82" t="s">
        <v>14043</v>
      </c>
      <c r="AX1878" s="82" t="s">
        <v>15450</v>
      </c>
      <c r="AY1878" s="82" t="s">
        <v>15767</v>
      </c>
      <c r="AZ1878" s="82" t="s">
        <v>15979</v>
      </c>
      <c r="BA1878" s="82" t="s">
        <v>15804</v>
      </c>
      <c r="BB1878" s="82" t="s">
        <v>15804</v>
      </c>
      <c r="BC1878" s="82" t="s">
        <v>15979</v>
      </c>
      <c r="BD1878" s="82" t="s">
        <v>15767</v>
      </c>
      <c r="BE1878" s="77"/>
      <c r="BF1878" s="77"/>
      <c r="BG1878" s="77"/>
      <c r="BH1878" s="77"/>
      <c r="BI1878" s="77"/>
    </row>
    <row r="1879" spans="1:61" x14ac:dyDescent="0.25">
      <c r="A1879" s="62" t="s">
        <v>819</v>
      </c>
      <c r="B1879" s="62" t="s">
        <v>819</v>
      </c>
      <c r="C1879" s="63"/>
      <c r="D1879" s="64"/>
      <c r="E1879" s="65"/>
      <c r="F1879" s="66"/>
      <c r="G1879" s="63"/>
      <c r="H1879" s="67"/>
      <c r="I1879" s="68"/>
      <c r="J1879" s="68"/>
      <c r="K1879" s="32"/>
      <c r="L1879" s="75">
        <v>1879</v>
      </c>
      <c r="M1879" s="75"/>
      <c r="N1879" s="70"/>
      <c r="O1879" s="77" t="s">
        <v>1132</v>
      </c>
      <c r="P1879" s="79">
        <v>45121.494259259256</v>
      </c>
      <c r="Q1879" s="77" t="s">
        <v>2936</v>
      </c>
      <c r="R1879" s="77">
        <v>0</v>
      </c>
      <c r="S1879" s="77">
        <v>0</v>
      </c>
      <c r="T1879" s="77">
        <v>0</v>
      </c>
      <c r="U1879" s="77">
        <v>0</v>
      </c>
      <c r="V1879" s="77">
        <v>7</v>
      </c>
      <c r="W1879" s="82" t="s">
        <v>5308</v>
      </c>
      <c r="X1879" s="77"/>
      <c r="Y1879" s="77"/>
      <c r="Z1879" s="77"/>
      <c r="AA1879" s="77"/>
      <c r="AB1879" s="77"/>
      <c r="AC1879" s="82" t="s">
        <v>7705</v>
      </c>
      <c r="AD1879" s="77" t="s">
        <v>7745</v>
      </c>
      <c r="AE1879" s="80" t="str">
        <f>HYPERLINK("https://twitter.com/economedicos/status/1679820975246811136")</f>
        <v>https://twitter.com/economedicos/status/1679820975246811136</v>
      </c>
      <c r="AF1879" s="79">
        <v>45121.494259259256</v>
      </c>
      <c r="AG1879" s="85">
        <v>45121</v>
      </c>
      <c r="AH1879" s="82" t="s">
        <v>8729</v>
      </c>
      <c r="AI1879" s="77"/>
      <c r="AJ1879" s="77"/>
      <c r="AK1879" s="77"/>
      <c r="AL1879" s="77"/>
      <c r="AM1879" s="77"/>
      <c r="AN1879" s="77"/>
      <c r="AO1879" s="77"/>
      <c r="AP1879" s="77"/>
      <c r="AQ1879" s="77"/>
      <c r="AR1879" s="77"/>
      <c r="AS1879" s="77"/>
      <c r="AT1879" s="77"/>
      <c r="AU1879" s="77"/>
      <c r="AV1879" s="80" t="str">
        <f>HYPERLINK("https://pbs.twimg.com/profile_images/1283576393662636034/EjgsMA_W_normal.jpg")</f>
        <v>https://pbs.twimg.com/profile_images/1283576393662636034/EjgsMA_W_normal.jpg</v>
      </c>
      <c r="AW1879" s="82" t="s">
        <v>14044</v>
      </c>
      <c r="AX1879" s="82" t="s">
        <v>15451</v>
      </c>
      <c r="AY1879" s="82" t="s">
        <v>15767</v>
      </c>
      <c r="AZ1879" s="82" t="s">
        <v>15980</v>
      </c>
      <c r="BA1879" s="82" t="s">
        <v>15804</v>
      </c>
      <c r="BB1879" s="82" t="s">
        <v>15804</v>
      </c>
      <c r="BC1879" s="82" t="s">
        <v>15980</v>
      </c>
      <c r="BD1879" s="82" t="s">
        <v>15767</v>
      </c>
      <c r="BE1879" s="77"/>
      <c r="BF1879" s="77"/>
      <c r="BG1879" s="77"/>
      <c r="BH1879" s="77"/>
      <c r="BI1879" s="77"/>
    </row>
    <row r="1880" spans="1:61" x14ac:dyDescent="0.25">
      <c r="A1880" s="62" t="s">
        <v>819</v>
      </c>
      <c r="B1880" s="62" t="s">
        <v>819</v>
      </c>
      <c r="C1880" s="63"/>
      <c r="D1880" s="64"/>
      <c r="E1880" s="65"/>
      <c r="F1880" s="66"/>
      <c r="G1880" s="63"/>
      <c r="H1880" s="67"/>
      <c r="I1880" s="68"/>
      <c r="J1880" s="68"/>
      <c r="K1880" s="32"/>
      <c r="L1880" s="75">
        <v>1880</v>
      </c>
      <c r="M1880" s="75"/>
      <c r="N1880" s="70"/>
      <c r="O1880" s="77" t="s">
        <v>1132</v>
      </c>
      <c r="P1880" s="79">
        <v>45120.475092592591</v>
      </c>
      <c r="Q1880" s="77" t="s">
        <v>2937</v>
      </c>
      <c r="R1880" s="77">
        <v>0</v>
      </c>
      <c r="S1880" s="77">
        <v>0</v>
      </c>
      <c r="T1880" s="77">
        <v>0</v>
      </c>
      <c r="U1880" s="77">
        <v>0</v>
      </c>
      <c r="V1880" s="77">
        <v>5</v>
      </c>
      <c r="W1880" s="82" t="s">
        <v>5308</v>
      </c>
      <c r="X1880" s="77"/>
      <c r="Y1880" s="77"/>
      <c r="Z1880" s="77"/>
      <c r="AA1880" s="77"/>
      <c r="AB1880" s="77"/>
      <c r="AC1880" s="82" t="s">
        <v>7705</v>
      </c>
      <c r="AD1880" s="77" t="s">
        <v>7745</v>
      </c>
      <c r="AE1880" s="80" t="str">
        <f>HYPERLINK("https://twitter.com/economedicos/status/1679451641110511618")</f>
        <v>https://twitter.com/economedicos/status/1679451641110511618</v>
      </c>
      <c r="AF1880" s="79">
        <v>45120.475092592591</v>
      </c>
      <c r="AG1880" s="85">
        <v>45120</v>
      </c>
      <c r="AH1880" s="82" t="s">
        <v>9429</v>
      </c>
      <c r="AI1880" s="77"/>
      <c r="AJ1880" s="77"/>
      <c r="AK1880" s="77"/>
      <c r="AL1880" s="77"/>
      <c r="AM1880" s="77"/>
      <c r="AN1880" s="77"/>
      <c r="AO1880" s="77"/>
      <c r="AP1880" s="77"/>
      <c r="AQ1880" s="77"/>
      <c r="AR1880" s="77"/>
      <c r="AS1880" s="77"/>
      <c r="AT1880" s="77"/>
      <c r="AU1880" s="77"/>
      <c r="AV1880" s="80" t="str">
        <f>HYPERLINK("https://pbs.twimg.com/profile_images/1283576393662636034/EjgsMA_W_normal.jpg")</f>
        <v>https://pbs.twimg.com/profile_images/1283576393662636034/EjgsMA_W_normal.jpg</v>
      </c>
      <c r="AW1880" s="82" t="s">
        <v>14045</v>
      </c>
      <c r="AX1880" s="82" t="s">
        <v>15452</v>
      </c>
      <c r="AY1880" s="82" t="s">
        <v>15767</v>
      </c>
      <c r="AZ1880" s="82" t="s">
        <v>15981</v>
      </c>
      <c r="BA1880" s="82" t="s">
        <v>15804</v>
      </c>
      <c r="BB1880" s="82" t="s">
        <v>15804</v>
      </c>
      <c r="BC1880" s="82" t="s">
        <v>15981</v>
      </c>
      <c r="BD1880" s="82" t="s">
        <v>15767</v>
      </c>
      <c r="BE1880" s="77"/>
      <c r="BF1880" s="77"/>
      <c r="BG1880" s="77"/>
      <c r="BH1880" s="77"/>
      <c r="BI1880" s="77"/>
    </row>
    <row r="1881" spans="1:61" x14ac:dyDescent="0.25">
      <c r="A1881" s="62" t="s">
        <v>819</v>
      </c>
      <c r="B1881" s="62" t="s">
        <v>819</v>
      </c>
      <c r="C1881" s="63"/>
      <c r="D1881" s="64"/>
      <c r="E1881" s="65"/>
      <c r="F1881" s="66"/>
      <c r="G1881" s="63"/>
      <c r="H1881" s="67"/>
      <c r="I1881" s="68"/>
      <c r="J1881" s="68"/>
      <c r="K1881" s="32"/>
      <c r="L1881" s="75">
        <v>1881</v>
      </c>
      <c r="M1881" s="75"/>
      <c r="N1881" s="70"/>
      <c r="O1881" s="77" t="s">
        <v>1132</v>
      </c>
      <c r="P1881" s="79">
        <v>45105.443541666667</v>
      </c>
      <c r="Q1881" s="77" t="s">
        <v>2938</v>
      </c>
      <c r="R1881" s="77">
        <v>0</v>
      </c>
      <c r="S1881" s="77">
        <v>0</v>
      </c>
      <c r="T1881" s="77">
        <v>0</v>
      </c>
      <c r="U1881" s="77">
        <v>0</v>
      </c>
      <c r="V1881" s="77">
        <v>10</v>
      </c>
      <c r="W1881" s="82" t="s">
        <v>5308</v>
      </c>
      <c r="X1881" s="77"/>
      <c r="Y1881" s="77"/>
      <c r="Z1881" s="77"/>
      <c r="AA1881" s="77"/>
      <c r="AB1881" s="77"/>
      <c r="AC1881" s="82" t="s">
        <v>7705</v>
      </c>
      <c r="AD1881" s="77" t="s">
        <v>7745</v>
      </c>
      <c r="AE1881" s="80" t="str">
        <f>HYPERLINK("https://twitter.com/economedicos/status/1674004389739077632")</f>
        <v>https://twitter.com/economedicos/status/1674004389739077632</v>
      </c>
      <c r="AF1881" s="79">
        <v>45105.443541666667</v>
      </c>
      <c r="AG1881" s="85">
        <v>45105</v>
      </c>
      <c r="AH1881" s="82" t="s">
        <v>9430</v>
      </c>
      <c r="AI1881" s="77"/>
      <c r="AJ1881" s="77"/>
      <c r="AK1881" s="77"/>
      <c r="AL1881" s="77"/>
      <c r="AM1881" s="77"/>
      <c r="AN1881" s="77"/>
      <c r="AO1881" s="77"/>
      <c r="AP1881" s="77"/>
      <c r="AQ1881" s="77"/>
      <c r="AR1881" s="77"/>
      <c r="AS1881" s="77"/>
      <c r="AT1881" s="77"/>
      <c r="AU1881" s="77"/>
      <c r="AV1881" s="80" t="str">
        <f>HYPERLINK("https://pbs.twimg.com/profile_images/1283576393662636034/EjgsMA_W_normal.jpg")</f>
        <v>https://pbs.twimg.com/profile_images/1283576393662636034/EjgsMA_W_normal.jpg</v>
      </c>
      <c r="AW1881" s="82" t="s">
        <v>14046</v>
      </c>
      <c r="AX1881" s="82" t="s">
        <v>15453</v>
      </c>
      <c r="AY1881" s="82" t="s">
        <v>15767</v>
      </c>
      <c r="AZ1881" s="82" t="s">
        <v>15982</v>
      </c>
      <c r="BA1881" s="82" t="s">
        <v>15804</v>
      </c>
      <c r="BB1881" s="82" t="s">
        <v>15804</v>
      </c>
      <c r="BC1881" s="82" t="s">
        <v>15982</v>
      </c>
      <c r="BD1881" s="82" t="s">
        <v>15767</v>
      </c>
      <c r="BE1881" s="77"/>
      <c r="BF1881" s="77"/>
      <c r="BG1881" s="77"/>
      <c r="BH1881" s="77"/>
      <c r="BI1881" s="77"/>
    </row>
    <row r="1882" spans="1:61" x14ac:dyDescent="0.25">
      <c r="A1882" s="62" t="s">
        <v>819</v>
      </c>
      <c r="B1882" s="62" t="s">
        <v>819</v>
      </c>
      <c r="C1882" s="63"/>
      <c r="D1882" s="64"/>
      <c r="E1882" s="65"/>
      <c r="F1882" s="66"/>
      <c r="G1882" s="63"/>
      <c r="H1882" s="67"/>
      <c r="I1882" s="68"/>
      <c r="J1882" s="68"/>
      <c r="K1882" s="32"/>
      <c r="L1882" s="75">
        <v>1882</v>
      </c>
      <c r="M1882" s="75"/>
      <c r="N1882" s="70"/>
      <c r="O1882" s="77" t="s">
        <v>1132</v>
      </c>
      <c r="P1882" s="79">
        <v>45104.364374999997</v>
      </c>
      <c r="Q1882" s="77" t="s">
        <v>2939</v>
      </c>
      <c r="R1882" s="77">
        <v>0</v>
      </c>
      <c r="S1882" s="77">
        <v>0</v>
      </c>
      <c r="T1882" s="77">
        <v>0</v>
      </c>
      <c r="U1882" s="77">
        <v>0</v>
      </c>
      <c r="V1882" s="77">
        <v>10</v>
      </c>
      <c r="W1882" s="82" t="s">
        <v>5308</v>
      </c>
      <c r="X1882" s="77"/>
      <c r="Y1882" s="77"/>
      <c r="Z1882" s="77"/>
      <c r="AA1882" s="77"/>
      <c r="AB1882" s="77"/>
      <c r="AC1882" s="82" t="s">
        <v>7705</v>
      </c>
      <c r="AD1882" s="77" t="s">
        <v>7745</v>
      </c>
      <c r="AE1882" s="80" t="str">
        <f>HYPERLINK("https://twitter.com/economedicos/status/1673613313438109696")</f>
        <v>https://twitter.com/economedicos/status/1673613313438109696</v>
      </c>
      <c r="AF1882" s="79">
        <v>45104.364374999997</v>
      </c>
      <c r="AG1882" s="85">
        <v>45104</v>
      </c>
      <c r="AH1882" s="82" t="s">
        <v>9431</v>
      </c>
      <c r="AI1882" s="77"/>
      <c r="AJ1882" s="77"/>
      <c r="AK1882" s="77"/>
      <c r="AL1882" s="77"/>
      <c r="AM1882" s="77"/>
      <c r="AN1882" s="77"/>
      <c r="AO1882" s="77"/>
      <c r="AP1882" s="77"/>
      <c r="AQ1882" s="77"/>
      <c r="AR1882" s="77"/>
      <c r="AS1882" s="77"/>
      <c r="AT1882" s="77"/>
      <c r="AU1882" s="77"/>
      <c r="AV1882" s="80" t="str">
        <f>HYPERLINK("https://pbs.twimg.com/profile_images/1283576393662636034/EjgsMA_W_normal.jpg")</f>
        <v>https://pbs.twimg.com/profile_images/1283576393662636034/EjgsMA_W_normal.jpg</v>
      </c>
      <c r="AW1882" s="82" t="s">
        <v>14047</v>
      </c>
      <c r="AX1882" s="82" t="s">
        <v>15454</v>
      </c>
      <c r="AY1882" s="82" t="s">
        <v>15767</v>
      </c>
      <c r="AZ1882" s="82" t="s">
        <v>15983</v>
      </c>
      <c r="BA1882" s="82" t="s">
        <v>15804</v>
      </c>
      <c r="BB1882" s="82" t="s">
        <v>15804</v>
      </c>
      <c r="BC1882" s="82" t="s">
        <v>15983</v>
      </c>
      <c r="BD1882" s="82" t="s">
        <v>15767</v>
      </c>
      <c r="BE1882" s="77"/>
      <c r="BF1882" s="77"/>
      <c r="BG1882" s="77"/>
      <c r="BH1882" s="77"/>
      <c r="BI1882" s="77"/>
    </row>
    <row r="1883" spans="1:61" x14ac:dyDescent="0.25">
      <c r="A1883" s="62" t="s">
        <v>819</v>
      </c>
      <c r="B1883" s="62" t="s">
        <v>819</v>
      </c>
      <c r="C1883" s="63"/>
      <c r="D1883" s="64"/>
      <c r="E1883" s="65"/>
      <c r="F1883" s="66"/>
      <c r="G1883" s="63"/>
      <c r="H1883" s="67"/>
      <c r="I1883" s="68"/>
      <c r="J1883" s="68"/>
      <c r="K1883" s="32"/>
      <c r="L1883" s="75">
        <v>1883</v>
      </c>
      <c r="M1883" s="75"/>
      <c r="N1883" s="70"/>
      <c r="O1883" s="77" t="s">
        <v>1132</v>
      </c>
      <c r="P1883" s="79">
        <v>45084.469965277778</v>
      </c>
      <c r="Q1883" s="77" t="s">
        <v>2940</v>
      </c>
      <c r="R1883" s="77">
        <v>0</v>
      </c>
      <c r="S1883" s="77">
        <v>0</v>
      </c>
      <c r="T1883" s="77">
        <v>0</v>
      </c>
      <c r="U1883" s="77">
        <v>0</v>
      </c>
      <c r="V1883" s="77">
        <v>4</v>
      </c>
      <c r="W1883" s="82" t="s">
        <v>5308</v>
      </c>
      <c r="X1883" s="77"/>
      <c r="Y1883" s="77"/>
      <c r="Z1883" s="77"/>
      <c r="AA1883" s="77"/>
      <c r="AB1883" s="77"/>
      <c r="AC1883" s="82" t="s">
        <v>7705</v>
      </c>
      <c r="AD1883" s="77" t="s">
        <v>7745</v>
      </c>
      <c r="AE1883" s="80" t="str">
        <f>HYPERLINK("https://twitter.com/economedicos/status/1666403818693697539")</f>
        <v>https://twitter.com/economedicos/status/1666403818693697539</v>
      </c>
      <c r="AF1883" s="79">
        <v>45084.469965277778</v>
      </c>
      <c r="AG1883" s="85">
        <v>45084</v>
      </c>
      <c r="AH1883" s="82" t="s">
        <v>9432</v>
      </c>
      <c r="AI1883" s="77"/>
      <c r="AJ1883" s="77"/>
      <c r="AK1883" s="77"/>
      <c r="AL1883" s="77"/>
      <c r="AM1883" s="77"/>
      <c r="AN1883" s="77"/>
      <c r="AO1883" s="77"/>
      <c r="AP1883" s="77"/>
      <c r="AQ1883" s="77"/>
      <c r="AR1883" s="77"/>
      <c r="AS1883" s="77"/>
      <c r="AT1883" s="77"/>
      <c r="AU1883" s="77"/>
      <c r="AV1883" s="80" t="str">
        <f>HYPERLINK("https://pbs.twimg.com/profile_images/1283576393662636034/EjgsMA_W_normal.jpg")</f>
        <v>https://pbs.twimg.com/profile_images/1283576393662636034/EjgsMA_W_normal.jpg</v>
      </c>
      <c r="AW1883" s="82" t="s">
        <v>14048</v>
      </c>
      <c r="AX1883" s="82" t="s">
        <v>15455</v>
      </c>
      <c r="AY1883" s="82" t="s">
        <v>15767</v>
      </c>
      <c r="AZ1883" s="82" t="s">
        <v>15984</v>
      </c>
      <c r="BA1883" s="82" t="s">
        <v>15804</v>
      </c>
      <c r="BB1883" s="82" t="s">
        <v>15804</v>
      </c>
      <c r="BC1883" s="82" t="s">
        <v>15984</v>
      </c>
      <c r="BD1883" s="82" t="s">
        <v>15767</v>
      </c>
      <c r="BE1883" s="77"/>
      <c r="BF1883" s="77"/>
      <c r="BG1883" s="77"/>
      <c r="BH1883" s="77"/>
      <c r="BI1883" s="77"/>
    </row>
    <row r="1884" spans="1:61" x14ac:dyDescent="0.25">
      <c r="A1884" s="62" t="s">
        <v>819</v>
      </c>
      <c r="B1884" s="62" t="s">
        <v>819</v>
      </c>
      <c r="C1884" s="63"/>
      <c r="D1884" s="64"/>
      <c r="E1884" s="65"/>
      <c r="F1884" s="66"/>
      <c r="G1884" s="63"/>
      <c r="H1884" s="67"/>
      <c r="I1884" s="68"/>
      <c r="J1884" s="68"/>
      <c r="K1884" s="32"/>
      <c r="L1884" s="75">
        <v>1884</v>
      </c>
      <c r="M1884" s="75"/>
      <c r="N1884" s="70"/>
      <c r="O1884" s="77" t="s">
        <v>1132</v>
      </c>
      <c r="P1884" s="79">
        <v>45069.439189814817</v>
      </c>
      <c r="Q1884" s="77" t="s">
        <v>2941</v>
      </c>
      <c r="R1884" s="77">
        <v>0</v>
      </c>
      <c r="S1884" s="77">
        <v>0</v>
      </c>
      <c r="T1884" s="77">
        <v>0</v>
      </c>
      <c r="U1884" s="77">
        <v>0</v>
      </c>
      <c r="V1884" s="77">
        <v>13</v>
      </c>
      <c r="W1884" s="82" t="s">
        <v>5308</v>
      </c>
      <c r="X1884" s="77"/>
      <c r="Y1884" s="77"/>
      <c r="Z1884" s="77"/>
      <c r="AA1884" s="77"/>
      <c r="AB1884" s="77"/>
      <c r="AC1884" s="82" t="s">
        <v>7705</v>
      </c>
      <c r="AD1884" s="77" t="s">
        <v>7745</v>
      </c>
      <c r="AE1884" s="80" t="str">
        <f>HYPERLINK("https://twitter.com/economedicos/status/1660956849737285639")</f>
        <v>https://twitter.com/economedicos/status/1660956849737285639</v>
      </c>
      <c r="AF1884" s="79">
        <v>45069.439189814817</v>
      </c>
      <c r="AG1884" s="85">
        <v>45069</v>
      </c>
      <c r="AH1884" s="82" t="s">
        <v>9433</v>
      </c>
      <c r="AI1884" s="77"/>
      <c r="AJ1884" s="77"/>
      <c r="AK1884" s="77"/>
      <c r="AL1884" s="77"/>
      <c r="AM1884" s="77"/>
      <c r="AN1884" s="77"/>
      <c r="AO1884" s="77"/>
      <c r="AP1884" s="77"/>
      <c r="AQ1884" s="77"/>
      <c r="AR1884" s="77"/>
      <c r="AS1884" s="77"/>
      <c r="AT1884" s="77"/>
      <c r="AU1884" s="77"/>
      <c r="AV1884" s="80" t="str">
        <f>HYPERLINK("https://pbs.twimg.com/profile_images/1283576393662636034/EjgsMA_W_normal.jpg")</f>
        <v>https://pbs.twimg.com/profile_images/1283576393662636034/EjgsMA_W_normal.jpg</v>
      </c>
      <c r="AW1884" s="82" t="s">
        <v>14049</v>
      </c>
      <c r="AX1884" s="82" t="s">
        <v>15456</v>
      </c>
      <c r="AY1884" s="82" t="s">
        <v>15767</v>
      </c>
      <c r="AZ1884" s="82" t="s">
        <v>15985</v>
      </c>
      <c r="BA1884" s="82" t="s">
        <v>15804</v>
      </c>
      <c r="BB1884" s="82" t="s">
        <v>15804</v>
      </c>
      <c r="BC1884" s="82" t="s">
        <v>15985</v>
      </c>
      <c r="BD1884" s="82" t="s">
        <v>15767</v>
      </c>
      <c r="BE1884" s="77"/>
      <c r="BF1884" s="77"/>
      <c r="BG1884" s="77"/>
      <c r="BH1884" s="77"/>
      <c r="BI1884" s="77"/>
    </row>
    <row r="1885" spans="1:61" x14ac:dyDescent="0.25">
      <c r="A1885" s="62" t="s">
        <v>819</v>
      </c>
      <c r="B1885" s="62" t="s">
        <v>819</v>
      </c>
      <c r="C1885" s="63"/>
      <c r="D1885" s="64"/>
      <c r="E1885" s="65"/>
      <c r="F1885" s="66"/>
      <c r="G1885" s="63"/>
      <c r="H1885" s="67"/>
      <c r="I1885" s="68"/>
      <c r="J1885" s="68"/>
      <c r="K1885" s="32"/>
      <c r="L1885" s="75">
        <v>1885</v>
      </c>
      <c r="M1885" s="75"/>
      <c r="N1885" s="70"/>
      <c r="O1885" s="77" t="s">
        <v>1132</v>
      </c>
      <c r="P1885" s="79">
        <v>45068.447893518518</v>
      </c>
      <c r="Q1885" s="77" t="s">
        <v>2942</v>
      </c>
      <c r="R1885" s="77">
        <v>0</v>
      </c>
      <c r="S1885" s="77">
        <v>0</v>
      </c>
      <c r="T1885" s="77">
        <v>0</v>
      </c>
      <c r="U1885" s="77">
        <v>0</v>
      </c>
      <c r="V1885" s="77">
        <v>9</v>
      </c>
      <c r="W1885" s="82" t="s">
        <v>5308</v>
      </c>
      <c r="X1885" s="77"/>
      <c r="Y1885" s="77"/>
      <c r="Z1885" s="77"/>
      <c r="AA1885" s="77"/>
      <c r="AB1885" s="77"/>
      <c r="AC1885" s="82" t="s">
        <v>7705</v>
      </c>
      <c r="AD1885" s="77" t="s">
        <v>7745</v>
      </c>
      <c r="AE1885" s="80" t="str">
        <f>HYPERLINK("https://twitter.com/economedicos/status/1660597615635963904")</f>
        <v>https://twitter.com/economedicos/status/1660597615635963904</v>
      </c>
      <c r="AF1885" s="79">
        <v>45068.447893518518</v>
      </c>
      <c r="AG1885" s="85">
        <v>45068</v>
      </c>
      <c r="AH1885" s="82" t="s">
        <v>9434</v>
      </c>
      <c r="AI1885" s="77"/>
      <c r="AJ1885" s="77"/>
      <c r="AK1885" s="77"/>
      <c r="AL1885" s="77"/>
      <c r="AM1885" s="77"/>
      <c r="AN1885" s="77"/>
      <c r="AO1885" s="77"/>
      <c r="AP1885" s="77"/>
      <c r="AQ1885" s="77"/>
      <c r="AR1885" s="77"/>
      <c r="AS1885" s="77"/>
      <c r="AT1885" s="77"/>
      <c r="AU1885" s="77"/>
      <c r="AV1885" s="80" t="str">
        <f>HYPERLINK("https://pbs.twimg.com/profile_images/1283576393662636034/EjgsMA_W_normal.jpg")</f>
        <v>https://pbs.twimg.com/profile_images/1283576393662636034/EjgsMA_W_normal.jpg</v>
      </c>
      <c r="AW1885" s="82" t="s">
        <v>14050</v>
      </c>
      <c r="AX1885" s="82" t="s">
        <v>15457</v>
      </c>
      <c r="AY1885" s="82" t="s">
        <v>15767</v>
      </c>
      <c r="AZ1885" s="82" t="s">
        <v>15986</v>
      </c>
      <c r="BA1885" s="82" t="s">
        <v>15804</v>
      </c>
      <c r="BB1885" s="82" t="s">
        <v>15804</v>
      </c>
      <c r="BC1885" s="82" t="s">
        <v>15986</v>
      </c>
      <c r="BD1885" s="82" t="s">
        <v>15767</v>
      </c>
      <c r="BE1885" s="77"/>
      <c r="BF1885" s="77"/>
      <c r="BG1885" s="77"/>
      <c r="BH1885" s="77"/>
      <c r="BI1885" s="77"/>
    </row>
    <row r="1886" spans="1:61" x14ac:dyDescent="0.25">
      <c r="A1886" s="62" t="s">
        <v>819</v>
      </c>
      <c r="B1886" s="62" t="s">
        <v>819</v>
      </c>
      <c r="C1886" s="63"/>
      <c r="D1886" s="64"/>
      <c r="E1886" s="65"/>
      <c r="F1886" s="66"/>
      <c r="G1886" s="63"/>
      <c r="H1886" s="67"/>
      <c r="I1886" s="68"/>
      <c r="J1886" s="68"/>
      <c r="K1886" s="32"/>
      <c r="L1886" s="75">
        <v>1886</v>
      </c>
      <c r="M1886" s="75"/>
      <c r="N1886" s="70"/>
      <c r="O1886" s="77" t="s">
        <v>1132</v>
      </c>
      <c r="P1886" s="79">
        <v>45026.445162037038</v>
      </c>
      <c r="Q1886" s="77" t="s">
        <v>2943</v>
      </c>
      <c r="R1886" s="77">
        <v>0</v>
      </c>
      <c r="S1886" s="77">
        <v>0</v>
      </c>
      <c r="T1886" s="77">
        <v>0</v>
      </c>
      <c r="U1886" s="77">
        <v>0</v>
      </c>
      <c r="V1886" s="77">
        <v>56</v>
      </c>
      <c r="W1886" s="82" t="s">
        <v>5308</v>
      </c>
      <c r="X1886" s="77"/>
      <c r="Y1886" s="77"/>
      <c r="Z1886" s="77"/>
      <c r="AA1886" s="77"/>
      <c r="AB1886" s="77"/>
      <c r="AC1886" s="82" t="s">
        <v>7705</v>
      </c>
      <c r="AD1886" s="77" t="s">
        <v>7745</v>
      </c>
      <c r="AE1886" s="80" t="str">
        <f>HYPERLINK("https://twitter.com/economedicos/status/1645376336058277888")</f>
        <v>https://twitter.com/economedicos/status/1645376336058277888</v>
      </c>
      <c r="AF1886" s="79">
        <v>45026.445162037038</v>
      </c>
      <c r="AG1886" s="85">
        <v>45026</v>
      </c>
      <c r="AH1886" s="82" t="s">
        <v>9435</v>
      </c>
      <c r="AI1886" s="77"/>
      <c r="AJ1886" s="77"/>
      <c r="AK1886" s="77"/>
      <c r="AL1886" s="77"/>
      <c r="AM1886" s="77"/>
      <c r="AN1886" s="77"/>
      <c r="AO1886" s="77"/>
      <c r="AP1886" s="77"/>
      <c r="AQ1886" s="77"/>
      <c r="AR1886" s="77"/>
      <c r="AS1886" s="77"/>
      <c r="AT1886" s="77"/>
      <c r="AU1886" s="77"/>
      <c r="AV1886" s="80" t="str">
        <f>HYPERLINK("https://pbs.twimg.com/profile_images/1283576393662636034/EjgsMA_W_normal.jpg")</f>
        <v>https://pbs.twimg.com/profile_images/1283576393662636034/EjgsMA_W_normal.jpg</v>
      </c>
      <c r="AW1886" s="82" t="s">
        <v>14051</v>
      </c>
      <c r="AX1886" s="82" t="s">
        <v>15458</v>
      </c>
      <c r="AY1886" s="82" t="s">
        <v>15767</v>
      </c>
      <c r="AZ1886" s="82" t="s">
        <v>15987</v>
      </c>
      <c r="BA1886" s="82" t="s">
        <v>15804</v>
      </c>
      <c r="BB1886" s="82" t="s">
        <v>15804</v>
      </c>
      <c r="BC1886" s="82" t="s">
        <v>15987</v>
      </c>
      <c r="BD1886" s="82" t="s">
        <v>15767</v>
      </c>
      <c r="BE1886" s="77"/>
      <c r="BF1886" s="77"/>
      <c r="BG1886" s="77"/>
      <c r="BH1886" s="77"/>
      <c r="BI1886" s="77"/>
    </row>
    <row r="1887" spans="1:61" x14ac:dyDescent="0.25">
      <c r="A1887" s="62" t="s">
        <v>819</v>
      </c>
      <c r="B1887" s="62" t="s">
        <v>819</v>
      </c>
      <c r="C1887" s="63"/>
      <c r="D1887" s="64"/>
      <c r="E1887" s="65"/>
      <c r="F1887" s="66"/>
      <c r="G1887" s="63"/>
      <c r="H1887" s="67"/>
      <c r="I1887" s="68"/>
      <c r="J1887" s="68"/>
      <c r="K1887" s="32"/>
      <c r="L1887" s="75">
        <v>1887</v>
      </c>
      <c r="M1887" s="75"/>
      <c r="N1887" s="70"/>
      <c r="O1887" s="77" t="s">
        <v>1132</v>
      </c>
      <c r="P1887" s="79">
        <v>45022.438530092593</v>
      </c>
      <c r="Q1887" s="77" t="s">
        <v>2944</v>
      </c>
      <c r="R1887" s="77">
        <v>0</v>
      </c>
      <c r="S1887" s="77">
        <v>0</v>
      </c>
      <c r="T1887" s="77">
        <v>0</v>
      </c>
      <c r="U1887" s="77">
        <v>0</v>
      </c>
      <c r="V1887" s="77">
        <v>8</v>
      </c>
      <c r="W1887" s="82" t="s">
        <v>5308</v>
      </c>
      <c r="X1887" s="77"/>
      <c r="Y1887" s="77"/>
      <c r="Z1887" s="77"/>
      <c r="AA1887" s="77"/>
      <c r="AB1887" s="77"/>
      <c r="AC1887" s="82" t="s">
        <v>7705</v>
      </c>
      <c r="AD1887" s="77" t="s">
        <v>7745</v>
      </c>
      <c r="AE1887" s="80" t="str">
        <f>HYPERLINK("https://twitter.com/economedicos/status/1643924382056677376")</f>
        <v>https://twitter.com/economedicos/status/1643924382056677376</v>
      </c>
      <c r="AF1887" s="79">
        <v>45022.438530092593</v>
      </c>
      <c r="AG1887" s="85">
        <v>45022</v>
      </c>
      <c r="AH1887" s="82" t="s">
        <v>9436</v>
      </c>
      <c r="AI1887" s="77"/>
      <c r="AJ1887" s="77"/>
      <c r="AK1887" s="77"/>
      <c r="AL1887" s="77"/>
      <c r="AM1887" s="77"/>
      <c r="AN1887" s="77"/>
      <c r="AO1887" s="77"/>
      <c r="AP1887" s="77"/>
      <c r="AQ1887" s="77"/>
      <c r="AR1887" s="77"/>
      <c r="AS1887" s="77"/>
      <c r="AT1887" s="77"/>
      <c r="AU1887" s="77"/>
      <c r="AV1887" s="80" t="str">
        <f>HYPERLINK("https://pbs.twimg.com/profile_images/1283576393662636034/EjgsMA_W_normal.jpg")</f>
        <v>https://pbs.twimg.com/profile_images/1283576393662636034/EjgsMA_W_normal.jpg</v>
      </c>
      <c r="AW1887" s="82" t="s">
        <v>14052</v>
      </c>
      <c r="AX1887" s="82" t="s">
        <v>15459</v>
      </c>
      <c r="AY1887" s="82" t="s">
        <v>15767</v>
      </c>
      <c r="AZ1887" s="82" t="s">
        <v>15988</v>
      </c>
      <c r="BA1887" s="82" t="s">
        <v>15804</v>
      </c>
      <c r="BB1887" s="82" t="s">
        <v>15804</v>
      </c>
      <c r="BC1887" s="82" t="s">
        <v>15988</v>
      </c>
      <c r="BD1887" s="82" t="s">
        <v>15767</v>
      </c>
      <c r="BE1887" s="77"/>
      <c r="BF1887" s="77"/>
      <c r="BG1887" s="77"/>
      <c r="BH1887" s="77"/>
      <c r="BI1887" s="77"/>
    </row>
    <row r="1888" spans="1:61" x14ac:dyDescent="0.25">
      <c r="A1888" s="62" t="s">
        <v>819</v>
      </c>
      <c r="B1888" s="62" t="s">
        <v>819</v>
      </c>
      <c r="C1888" s="63"/>
      <c r="D1888" s="64"/>
      <c r="E1888" s="65"/>
      <c r="F1888" s="66"/>
      <c r="G1888" s="63"/>
      <c r="H1888" s="67"/>
      <c r="I1888" s="68"/>
      <c r="J1888" s="68"/>
      <c r="K1888" s="32"/>
      <c r="L1888" s="75">
        <v>1888</v>
      </c>
      <c r="M1888" s="75"/>
      <c r="N1888" s="70"/>
      <c r="O1888" s="77" t="s">
        <v>1132</v>
      </c>
      <c r="P1888" s="79">
        <v>45021.458460648151</v>
      </c>
      <c r="Q1888" s="77" t="s">
        <v>2945</v>
      </c>
      <c r="R1888" s="77">
        <v>0</v>
      </c>
      <c r="S1888" s="77">
        <v>0</v>
      </c>
      <c r="T1888" s="77">
        <v>0</v>
      </c>
      <c r="U1888" s="77">
        <v>0</v>
      </c>
      <c r="V1888" s="77">
        <v>9</v>
      </c>
      <c r="W1888" s="82" t="s">
        <v>5308</v>
      </c>
      <c r="X1888" s="77"/>
      <c r="Y1888" s="77"/>
      <c r="Z1888" s="77"/>
      <c r="AA1888" s="77"/>
      <c r="AB1888" s="77"/>
      <c r="AC1888" s="82" t="s">
        <v>7705</v>
      </c>
      <c r="AD1888" s="77" t="s">
        <v>7745</v>
      </c>
      <c r="AE1888" s="80" t="str">
        <f>HYPERLINK("https://twitter.com/economedicos/status/1643569215582920710")</f>
        <v>https://twitter.com/economedicos/status/1643569215582920710</v>
      </c>
      <c r="AF1888" s="79">
        <v>45021.458460648151</v>
      </c>
      <c r="AG1888" s="85">
        <v>45021</v>
      </c>
      <c r="AH1888" s="82" t="s">
        <v>8884</v>
      </c>
      <c r="AI1888" s="77"/>
      <c r="AJ1888" s="77"/>
      <c r="AK1888" s="77"/>
      <c r="AL1888" s="77"/>
      <c r="AM1888" s="77"/>
      <c r="AN1888" s="77"/>
      <c r="AO1888" s="77"/>
      <c r="AP1888" s="77"/>
      <c r="AQ1888" s="77"/>
      <c r="AR1888" s="77"/>
      <c r="AS1888" s="77"/>
      <c r="AT1888" s="77"/>
      <c r="AU1888" s="77"/>
      <c r="AV1888" s="80" t="str">
        <f>HYPERLINK("https://pbs.twimg.com/profile_images/1283576393662636034/EjgsMA_W_normal.jpg")</f>
        <v>https://pbs.twimg.com/profile_images/1283576393662636034/EjgsMA_W_normal.jpg</v>
      </c>
      <c r="AW1888" s="82" t="s">
        <v>14053</v>
      </c>
      <c r="AX1888" s="82" t="s">
        <v>15460</v>
      </c>
      <c r="AY1888" s="82" t="s">
        <v>15767</v>
      </c>
      <c r="AZ1888" s="82" t="s">
        <v>15989</v>
      </c>
      <c r="BA1888" s="82" t="s">
        <v>15804</v>
      </c>
      <c r="BB1888" s="82" t="s">
        <v>15804</v>
      </c>
      <c r="BC1888" s="82" t="s">
        <v>15989</v>
      </c>
      <c r="BD1888" s="82" t="s">
        <v>15767</v>
      </c>
      <c r="BE1888" s="77"/>
      <c r="BF1888" s="77"/>
      <c r="BG1888" s="77"/>
      <c r="BH1888" s="77"/>
      <c r="BI1888" s="77"/>
    </row>
    <row r="1889" spans="1:61" x14ac:dyDescent="0.25">
      <c r="A1889" s="62" t="s">
        <v>819</v>
      </c>
      <c r="B1889" s="62" t="s">
        <v>819</v>
      </c>
      <c r="C1889" s="63"/>
      <c r="D1889" s="64"/>
      <c r="E1889" s="65"/>
      <c r="F1889" s="66"/>
      <c r="G1889" s="63"/>
      <c r="H1889" s="67"/>
      <c r="I1889" s="68"/>
      <c r="J1889" s="68"/>
      <c r="K1889" s="32"/>
      <c r="L1889" s="75">
        <v>1889</v>
      </c>
      <c r="M1889" s="75"/>
      <c r="N1889" s="70"/>
      <c r="O1889" s="77" t="s">
        <v>1132</v>
      </c>
      <c r="P1889" s="79">
        <v>44971.438391203701</v>
      </c>
      <c r="Q1889" s="77" t="s">
        <v>2946</v>
      </c>
      <c r="R1889" s="77">
        <v>0</v>
      </c>
      <c r="S1889" s="77">
        <v>0</v>
      </c>
      <c r="T1889" s="77">
        <v>0</v>
      </c>
      <c r="U1889" s="77">
        <v>0</v>
      </c>
      <c r="V1889" s="77">
        <v>13</v>
      </c>
      <c r="W1889" s="82" t="s">
        <v>5308</v>
      </c>
      <c r="X1889" s="77"/>
      <c r="Y1889" s="77"/>
      <c r="Z1889" s="77"/>
      <c r="AA1889" s="77"/>
      <c r="AB1889" s="77"/>
      <c r="AC1889" s="82" t="s">
        <v>7705</v>
      </c>
      <c r="AD1889" s="77" t="s">
        <v>7745</v>
      </c>
      <c r="AE1889" s="80" t="str">
        <f>HYPERLINK("https://twitter.com/economedicos/status/1625442547043540993")</f>
        <v>https://twitter.com/economedicos/status/1625442547043540993</v>
      </c>
      <c r="AF1889" s="79">
        <v>44971.438391203701</v>
      </c>
      <c r="AG1889" s="85">
        <v>44971</v>
      </c>
      <c r="AH1889" s="82" t="s">
        <v>9437</v>
      </c>
      <c r="AI1889" s="77"/>
      <c r="AJ1889" s="77"/>
      <c r="AK1889" s="77"/>
      <c r="AL1889" s="77"/>
      <c r="AM1889" s="77"/>
      <c r="AN1889" s="77"/>
      <c r="AO1889" s="77"/>
      <c r="AP1889" s="77"/>
      <c r="AQ1889" s="77"/>
      <c r="AR1889" s="77"/>
      <c r="AS1889" s="77"/>
      <c r="AT1889" s="77"/>
      <c r="AU1889" s="77"/>
      <c r="AV1889" s="80" t="str">
        <f>HYPERLINK("https://pbs.twimg.com/profile_images/1283576393662636034/EjgsMA_W_normal.jpg")</f>
        <v>https://pbs.twimg.com/profile_images/1283576393662636034/EjgsMA_W_normal.jpg</v>
      </c>
      <c r="AW1889" s="82" t="s">
        <v>14054</v>
      </c>
      <c r="AX1889" s="82" t="s">
        <v>15461</v>
      </c>
      <c r="AY1889" s="82" t="s">
        <v>15767</v>
      </c>
      <c r="AZ1889" s="82" t="s">
        <v>15990</v>
      </c>
      <c r="BA1889" s="82" t="s">
        <v>15804</v>
      </c>
      <c r="BB1889" s="82" t="s">
        <v>15804</v>
      </c>
      <c r="BC1889" s="82" t="s">
        <v>15990</v>
      </c>
      <c r="BD1889" s="82" t="s">
        <v>15767</v>
      </c>
      <c r="BE1889" s="77"/>
      <c r="BF1889" s="77"/>
      <c r="BG1889" s="77"/>
      <c r="BH1889" s="77"/>
      <c r="BI1889" s="77"/>
    </row>
    <row r="1890" spans="1:61" x14ac:dyDescent="0.25">
      <c r="A1890" s="62" t="s">
        <v>819</v>
      </c>
      <c r="B1890" s="62" t="s">
        <v>819</v>
      </c>
      <c r="C1890" s="63"/>
      <c r="D1890" s="64"/>
      <c r="E1890" s="65"/>
      <c r="F1890" s="66"/>
      <c r="G1890" s="63"/>
      <c r="H1890" s="67"/>
      <c r="I1890" s="68"/>
      <c r="J1890" s="68"/>
      <c r="K1890" s="32"/>
      <c r="L1890" s="75">
        <v>1890</v>
      </c>
      <c r="M1890" s="75"/>
      <c r="N1890" s="70"/>
      <c r="O1890" s="77" t="s">
        <v>1132</v>
      </c>
      <c r="P1890" s="79">
        <v>44967.431851851848</v>
      </c>
      <c r="Q1890" s="77" t="s">
        <v>2947</v>
      </c>
      <c r="R1890" s="77">
        <v>0</v>
      </c>
      <c r="S1890" s="77">
        <v>0</v>
      </c>
      <c r="T1890" s="77">
        <v>0</v>
      </c>
      <c r="U1890" s="77">
        <v>0</v>
      </c>
      <c r="V1890" s="77">
        <v>8</v>
      </c>
      <c r="W1890" s="82" t="s">
        <v>5308</v>
      </c>
      <c r="X1890" s="77"/>
      <c r="Y1890" s="77"/>
      <c r="Z1890" s="77"/>
      <c r="AA1890" s="77"/>
      <c r="AB1890" s="77"/>
      <c r="AC1890" s="82" t="s">
        <v>7705</v>
      </c>
      <c r="AD1890" s="77" t="s">
        <v>7745</v>
      </c>
      <c r="AE1890" s="80" t="str">
        <f>HYPERLINK("https://twitter.com/economedicos/status/1623990628135714816")</f>
        <v>https://twitter.com/economedicos/status/1623990628135714816</v>
      </c>
      <c r="AF1890" s="79">
        <v>44967.431851851848</v>
      </c>
      <c r="AG1890" s="85">
        <v>44967</v>
      </c>
      <c r="AH1890" s="82" t="s">
        <v>9438</v>
      </c>
      <c r="AI1890" s="77"/>
      <c r="AJ1890" s="77"/>
      <c r="AK1890" s="77"/>
      <c r="AL1890" s="77"/>
      <c r="AM1890" s="77"/>
      <c r="AN1890" s="77"/>
      <c r="AO1890" s="77"/>
      <c r="AP1890" s="77"/>
      <c r="AQ1890" s="77"/>
      <c r="AR1890" s="77"/>
      <c r="AS1890" s="77"/>
      <c r="AT1890" s="77"/>
      <c r="AU1890" s="77"/>
      <c r="AV1890" s="80" t="str">
        <f>HYPERLINK("https://pbs.twimg.com/profile_images/1283576393662636034/EjgsMA_W_normal.jpg")</f>
        <v>https://pbs.twimg.com/profile_images/1283576393662636034/EjgsMA_W_normal.jpg</v>
      </c>
      <c r="AW1890" s="82" t="s">
        <v>14055</v>
      </c>
      <c r="AX1890" s="82" t="s">
        <v>15462</v>
      </c>
      <c r="AY1890" s="82" t="s">
        <v>15767</v>
      </c>
      <c r="AZ1890" s="82" t="s">
        <v>15991</v>
      </c>
      <c r="BA1890" s="82" t="s">
        <v>15804</v>
      </c>
      <c r="BB1890" s="82" t="s">
        <v>15804</v>
      </c>
      <c r="BC1890" s="82" t="s">
        <v>15991</v>
      </c>
      <c r="BD1890" s="82" t="s">
        <v>15767</v>
      </c>
      <c r="BE1890" s="77"/>
      <c r="BF1890" s="77"/>
      <c r="BG1890" s="77"/>
      <c r="BH1890" s="77"/>
      <c r="BI1890" s="77"/>
    </row>
    <row r="1891" spans="1:61" x14ac:dyDescent="0.25">
      <c r="A1891" s="62" t="s">
        <v>819</v>
      </c>
      <c r="B1891" s="62" t="s">
        <v>819</v>
      </c>
      <c r="C1891" s="63"/>
      <c r="D1891" s="64"/>
      <c r="E1891" s="65"/>
      <c r="F1891" s="66"/>
      <c r="G1891" s="63"/>
      <c r="H1891" s="67"/>
      <c r="I1891" s="68"/>
      <c r="J1891" s="68"/>
      <c r="K1891" s="32"/>
      <c r="L1891" s="75">
        <v>1891</v>
      </c>
      <c r="M1891" s="75"/>
      <c r="N1891" s="70"/>
      <c r="O1891" s="77" t="s">
        <v>1132</v>
      </c>
      <c r="P1891" s="79">
        <v>45180.479907407411</v>
      </c>
      <c r="Q1891" s="77" t="s">
        <v>2948</v>
      </c>
      <c r="R1891" s="77">
        <v>0</v>
      </c>
      <c r="S1891" s="77">
        <v>0</v>
      </c>
      <c r="T1891" s="77">
        <v>0</v>
      </c>
      <c r="U1891" s="77">
        <v>0</v>
      </c>
      <c r="V1891" s="77">
        <v>12</v>
      </c>
      <c r="W1891" s="82" t="s">
        <v>5308</v>
      </c>
      <c r="X1891" s="77"/>
      <c r="Y1891" s="77"/>
      <c r="Z1891" s="77"/>
      <c r="AA1891" s="77"/>
      <c r="AB1891" s="77"/>
      <c r="AC1891" s="82" t="s">
        <v>7705</v>
      </c>
      <c r="AD1891" s="77" t="s">
        <v>7745</v>
      </c>
      <c r="AE1891" s="80" t="str">
        <f>HYPERLINK("https://twitter.com/economedicos/status/1701196657059131475")</f>
        <v>https://twitter.com/economedicos/status/1701196657059131475</v>
      </c>
      <c r="AF1891" s="79">
        <v>45180.479907407411</v>
      </c>
      <c r="AG1891" s="85">
        <v>45180</v>
      </c>
      <c r="AH1891" s="82" t="s">
        <v>9439</v>
      </c>
      <c r="AI1891" s="77"/>
      <c r="AJ1891" s="77"/>
      <c r="AK1891" s="77"/>
      <c r="AL1891" s="77"/>
      <c r="AM1891" s="77"/>
      <c r="AN1891" s="77"/>
      <c r="AO1891" s="77"/>
      <c r="AP1891" s="77"/>
      <c r="AQ1891" s="77"/>
      <c r="AR1891" s="77"/>
      <c r="AS1891" s="77"/>
      <c r="AT1891" s="77"/>
      <c r="AU1891" s="77"/>
      <c r="AV1891" s="80" t="str">
        <f>HYPERLINK("https://pbs.twimg.com/profile_images/1283576393662636034/EjgsMA_W_normal.jpg")</f>
        <v>https://pbs.twimg.com/profile_images/1283576393662636034/EjgsMA_W_normal.jpg</v>
      </c>
      <c r="AW1891" s="82" t="s">
        <v>14056</v>
      </c>
      <c r="AX1891" s="82" t="s">
        <v>15463</v>
      </c>
      <c r="AY1891" s="82" t="s">
        <v>15767</v>
      </c>
      <c r="AZ1891" s="82" t="s">
        <v>15992</v>
      </c>
      <c r="BA1891" s="82" t="s">
        <v>15804</v>
      </c>
      <c r="BB1891" s="82" t="s">
        <v>15804</v>
      </c>
      <c r="BC1891" s="82" t="s">
        <v>15992</v>
      </c>
      <c r="BD1891" s="82" t="s">
        <v>15767</v>
      </c>
      <c r="BE1891" s="77"/>
      <c r="BF1891" s="77"/>
      <c r="BG1891" s="77"/>
      <c r="BH1891" s="77"/>
      <c r="BI1891" s="77"/>
    </row>
    <row r="1892" spans="1:61" x14ac:dyDescent="0.25">
      <c r="A1892" s="62" t="s">
        <v>819</v>
      </c>
      <c r="B1892" s="62" t="s">
        <v>819</v>
      </c>
      <c r="C1892" s="63"/>
      <c r="D1892" s="64"/>
      <c r="E1892" s="65"/>
      <c r="F1892" s="66"/>
      <c r="G1892" s="63"/>
      <c r="H1892" s="67"/>
      <c r="I1892" s="68"/>
      <c r="J1892" s="68"/>
      <c r="K1892" s="32"/>
      <c r="L1892" s="75">
        <v>1892</v>
      </c>
      <c r="M1892" s="75"/>
      <c r="N1892" s="70"/>
      <c r="O1892" s="77" t="s">
        <v>1132</v>
      </c>
      <c r="P1892" s="79">
        <v>45170.435520833336</v>
      </c>
      <c r="Q1892" s="77" t="s">
        <v>2949</v>
      </c>
      <c r="R1892" s="77">
        <v>0</v>
      </c>
      <c r="S1892" s="77">
        <v>0</v>
      </c>
      <c r="T1892" s="77">
        <v>0</v>
      </c>
      <c r="U1892" s="77">
        <v>0</v>
      </c>
      <c r="V1892" s="77">
        <v>22</v>
      </c>
      <c r="W1892" s="82" t="s">
        <v>5308</v>
      </c>
      <c r="X1892" s="77"/>
      <c r="Y1892" s="77"/>
      <c r="Z1892" s="77"/>
      <c r="AA1892" s="77"/>
      <c r="AB1892" s="77"/>
      <c r="AC1892" s="82" t="s">
        <v>7705</v>
      </c>
      <c r="AD1892" s="77" t="s">
        <v>7745</v>
      </c>
      <c r="AE1892" s="80" t="str">
        <f>HYPERLINK("https://twitter.com/economedicos/status/1697556693373046959")</f>
        <v>https://twitter.com/economedicos/status/1697556693373046959</v>
      </c>
      <c r="AF1892" s="79">
        <v>45170.435520833336</v>
      </c>
      <c r="AG1892" s="85">
        <v>45170</v>
      </c>
      <c r="AH1892" s="82" t="s">
        <v>9440</v>
      </c>
      <c r="AI1892" s="77"/>
      <c r="AJ1892" s="77"/>
      <c r="AK1892" s="77"/>
      <c r="AL1892" s="77"/>
      <c r="AM1892" s="77"/>
      <c r="AN1892" s="77"/>
      <c r="AO1892" s="77"/>
      <c r="AP1892" s="77"/>
      <c r="AQ1892" s="77"/>
      <c r="AR1892" s="77"/>
      <c r="AS1892" s="77"/>
      <c r="AT1892" s="77"/>
      <c r="AU1892" s="77"/>
      <c r="AV1892" s="80" t="str">
        <f>HYPERLINK("https://pbs.twimg.com/profile_images/1283576393662636034/EjgsMA_W_normal.jpg")</f>
        <v>https://pbs.twimg.com/profile_images/1283576393662636034/EjgsMA_W_normal.jpg</v>
      </c>
      <c r="AW1892" s="82" t="s">
        <v>14057</v>
      </c>
      <c r="AX1892" s="82" t="s">
        <v>15464</v>
      </c>
      <c r="AY1892" s="82" t="s">
        <v>15767</v>
      </c>
      <c r="AZ1892" s="82" t="s">
        <v>15993</v>
      </c>
      <c r="BA1892" s="82" t="s">
        <v>15804</v>
      </c>
      <c r="BB1892" s="82" t="s">
        <v>15804</v>
      </c>
      <c r="BC1892" s="82" t="s">
        <v>15993</v>
      </c>
      <c r="BD1892" s="82" t="s">
        <v>15767</v>
      </c>
      <c r="BE1892" s="77"/>
      <c r="BF1892" s="77"/>
      <c r="BG1892" s="77"/>
      <c r="BH1892" s="77"/>
      <c r="BI1892" s="77"/>
    </row>
    <row r="1893" spans="1:61" x14ac:dyDescent="0.25">
      <c r="A1893" s="62" t="s">
        <v>819</v>
      </c>
      <c r="B1893" s="62" t="s">
        <v>819</v>
      </c>
      <c r="C1893" s="63"/>
      <c r="D1893" s="64"/>
      <c r="E1893" s="65"/>
      <c r="F1893" s="66"/>
      <c r="G1893" s="63"/>
      <c r="H1893" s="67"/>
      <c r="I1893" s="68"/>
      <c r="J1893" s="68"/>
      <c r="K1893" s="32"/>
      <c r="L1893" s="75">
        <v>1893</v>
      </c>
      <c r="M1893" s="75"/>
      <c r="N1893" s="70"/>
      <c r="O1893" s="77" t="s">
        <v>1132</v>
      </c>
      <c r="P1893" s="79">
        <v>45168.452245370368</v>
      </c>
      <c r="Q1893" s="77" t="s">
        <v>2950</v>
      </c>
      <c r="R1893" s="77">
        <v>0</v>
      </c>
      <c r="S1893" s="77">
        <v>0</v>
      </c>
      <c r="T1893" s="77">
        <v>0</v>
      </c>
      <c r="U1893" s="77">
        <v>0</v>
      </c>
      <c r="V1893" s="77">
        <v>8</v>
      </c>
      <c r="W1893" s="82" t="s">
        <v>5308</v>
      </c>
      <c r="X1893" s="77"/>
      <c r="Y1893" s="77"/>
      <c r="Z1893" s="77"/>
      <c r="AA1893" s="77"/>
      <c r="AB1893" s="77"/>
      <c r="AC1893" s="82" t="s">
        <v>7705</v>
      </c>
      <c r="AD1893" s="77" t="s">
        <v>7745</v>
      </c>
      <c r="AE1893" s="80" t="str">
        <f>HYPERLINK("https://twitter.com/economedicos/status/1696837978239168748")</f>
        <v>https://twitter.com/economedicos/status/1696837978239168748</v>
      </c>
      <c r="AF1893" s="79">
        <v>45168.452245370368</v>
      </c>
      <c r="AG1893" s="85">
        <v>45168</v>
      </c>
      <c r="AH1893" s="82" t="s">
        <v>9441</v>
      </c>
      <c r="AI1893" s="77"/>
      <c r="AJ1893" s="77"/>
      <c r="AK1893" s="77"/>
      <c r="AL1893" s="77"/>
      <c r="AM1893" s="77"/>
      <c r="AN1893" s="77"/>
      <c r="AO1893" s="77"/>
      <c r="AP1893" s="77"/>
      <c r="AQ1893" s="77"/>
      <c r="AR1893" s="77"/>
      <c r="AS1893" s="77"/>
      <c r="AT1893" s="77"/>
      <c r="AU1893" s="77"/>
      <c r="AV1893" s="80" t="str">
        <f>HYPERLINK("https://pbs.twimg.com/profile_images/1283576393662636034/EjgsMA_W_normal.jpg")</f>
        <v>https://pbs.twimg.com/profile_images/1283576393662636034/EjgsMA_W_normal.jpg</v>
      </c>
      <c r="AW1893" s="82" t="s">
        <v>14058</v>
      </c>
      <c r="AX1893" s="82" t="s">
        <v>15465</v>
      </c>
      <c r="AY1893" s="82" t="s">
        <v>15767</v>
      </c>
      <c r="AZ1893" s="82" t="s">
        <v>15994</v>
      </c>
      <c r="BA1893" s="82" t="s">
        <v>15804</v>
      </c>
      <c r="BB1893" s="82" t="s">
        <v>15804</v>
      </c>
      <c r="BC1893" s="82" t="s">
        <v>15994</v>
      </c>
      <c r="BD1893" s="82" t="s">
        <v>15767</v>
      </c>
      <c r="BE1893" s="77"/>
      <c r="BF1893" s="77"/>
      <c r="BG1893" s="77"/>
      <c r="BH1893" s="77"/>
      <c r="BI1893" s="77"/>
    </row>
    <row r="1894" spans="1:61" x14ac:dyDescent="0.25">
      <c r="A1894" s="62" t="s">
        <v>819</v>
      </c>
      <c r="B1894" s="62" t="s">
        <v>819</v>
      </c>
      <c r="C1894" s="63"/>
      <c r="D1894" s="64"/>
      <c r="E1894" s="65"/>
      <c r="F1894" s="66"/>
      <c r="G1894" s="63"/>
      <c r="H1894" s="67"/>
      <c r="I1894" s="68"/>
      <c r="J1894" s="68"/>
      <c r="K1894" s="32"/>
      <c r="L1894" s="75">
        <v>1894</v>
      </c>
      <c r="M1894" s="75"/>
      <c r="N1894" s="70"/>
      <c r="O1894" s="77" t="s">
        <v>1132</v>
      </c>
      <c r="P1894" s="79">
        <v>45155.459814814814</v>
      </c>
      <c r="Q1894" s="77" t="s">
        <v>2951</v>
      </c>
      <c r="R1894" s="77">
        <v>0</v>
      </c>
      <c r="S1894" s="77">
        <v>0</v>
      </c>
      <c r="T1894" s="77">
        <v>0</v>
      </c>
      <c r="U1894" s="77">
        <v>0</v>
      </c>
      <c r="V1894" s="77">
        <v>6</v>
      </c>
      <c r="W1894" s="82" t="s">
        <v>5308</v>
      </c>
      <c r="X1894" s="77"/>
      <c r="Y1894" s="77"/>
      <c r="Z1894" s="77"/>
      <c r="AA1894" s="77"/>
      <c r="AB1894" s="77"/>
      <c r="AC1894" s="82" t="s">
        <v>7705</v>
      </c>
      <c r="AD1894" s="77" t="s">
        <v>7745</v>
      </c>
      <c r="AE1894" s="80" t="str">
        <f>HYPERLINK("https://twitter.com/economedicos/status/1692129679220605127")</f>
        <v>https://twitter.com/economedicos/status/1692129679220605127</v>
      </c>
      <c r="AF1894" s="79">
        <v>45155.459814814814</v>
      </c>
      <c r="AG1894" s="85">
        <v>45155</v>
      </c>
      <c r="AH1894" s="82" t="s">
        <v>9442</v>
      </c>
      <c r="AI1894" s="77"/>
      <c r="AJ1894" s="77"/>
      <c r="AK1894" s="77"/>
      <c r="AL1894" s="77"/>
      <c r="AM1894" s="77"/>
      <c r="AN1894" s="77"/>
      <c r="AO1894" s="77"/>
      <c r="AP1894" s="77"/>
      <c r="AQ1894" s="77"/>
      <c r="AR1894" s="77"/>
      <c r="AS1894" s="77"/>
      <c r="AT1894" s="77"/>
      <c r="AU1894" s="77"/>
      <c r="AV1894" s="80" t="str">
        <f>HYPERLINK("https://pbs.twimg.com/profile_images/1283576393662636034/EjgsMA_W_normal.jpg")</f>
        <v>https://pbs.twimg.com/profile_images/1283576393662636034/EjgsMA_W_normal.jpg</v>
      </c>
      <c r="AW1894" s="82" t="s">
        <v>14059</v>
      </c>
      <c r="AX1894" s="82" t="s">
        <v>15466</v>
      </c>
      <c r="AY1894" s="82" t="s">
        <v>15767</v>
      </c>
      <c r="AZ1894" s="82" t="s">
        <v>15995</v>
      </c>
      <c r="BA1894" s="82" t="s">
        <v>15804</v>
      </c>
      <c r="BB1894" s="82" t="s">
        <v>15804</v>
      </c>
      <c r="BC1894" s="82" t="s">
        <v>15995</v>
      </c>
      <c r="BD1894" s="82" t="s">
        <v>15767</v>
      </c>
      <c r="BE1894" s="77"/>
      <c r="BF1894" s="77"/>
      <c r="BG1894" s="77"/>
      <c r="BH1894" s="77"/>
      <c r="BI1894" s="77"/>
    </row>
    <row r="1895" spans="1:61" x14ac:dyDescent="0.25">
      <c r="A1895" s="62" t="s">
        <v>819</v>
      </c>
      <c r="B1895" s="62" t="s">
        <v>819</v>
      </c>
      <c r="C1895" s="63"/>
      <c r="D1895" s="64"/>
      <c r="E1895" s="65"/>
      <c r="F1895" s="66"/>
      <c r="G1895" s="63"/>
      <c r="H1895" s="67"/>
      <c r="I1895" s="68"/>
      <c r="J1895" s="68"/>
      <c r="K1895" s="32"/>
      <c r="L1895" s="75">
        <v>1895</v>
      </c>
      <c r="M1895" s="75"/>
      <c r="N1895" s="70"/>
      <c r="O1895" s="77" t="s">
        <v>1132</v>
      </c>
      <c r="P1895" s="79">
        <v>45154.476481481484</v>
      </c>
      <c r="Q1895" s="77" t="s">
        <v>2952</v>
      </c>
      <c r="R1895" s="77">
        <v>0</v>
      </c>
      <c r="S1895" s="77">
        <v>0</v>
      </c>
      <c r="T1895" s="77">
        <v>0</v>
      </c>
      <c r="U1895" s="77">
        <v>0</v>
      </c>
      <c r="V1895" s="77">
        <v>12</v>
      </c>
      <c r="W1895" s="82" t="s">
        <v>5308</v>
      </c>
      <c r="X1895" s="77"/>
      <c r="Y1895" s="77"/>
      <c r="Z1895" s="77"/>
      <c r="AA1895" s="77"/>
      <c r="AB1895" s="77"/>
      <c r="AC1895" s="82" t="s">
        <v>7705</v>
      </c>
      <c r="AD1895" s="77" t="s">
        <v>7745</v>
      </c>
      <c r="AE1895" s="80" t="str">
        <f>HYPERLINK("https://twitter.com/economedicos/status/1691773329403679102")</f>
        <v>https://twitter.com/economedicos/status/1691773329403679102</v>
      </c>
      <c r="AF1895" s="79">
        <v>45154.476481481484</v>
      </c>
      <c r="AG1895" s="85">
        <v>45154</v>
      </c>
      <c r="AH1895" s="82" t="s">
        <v>9443</v>
      </c>
      <c r="AI1895" s="77"/>
      <c r="AJ1895" s="77"/>
      <c r="AK1895" s="77"/>
      <c r="AL1895" s="77"/>
      <c r="AM1895" s="77"/>
      <c r="AN1895" s="77"/>
      <c r="AO1895" s="77"/>
      <c r="AP1895" s="77"/>
      <c r="AQ1895" s="77"/>
      <c r="AR1895" s="77"/>
      <c r="AS1895" s="77"/>
      <c r="AT1895" s="77"/>
      <c r="AU1895" s="77"/>
      <c r="AV1895" s="80" t="str">
        <f>HYPERLINK("https://pbs.twimg.com/profile_images/1283576393662636034/EjgsMA_W_normal.jpg")</f>
        <v>https://pbs.twimg.com/profile_images/1283576393662636034/EjgsMA_W_normal.jpg</v>
      </c>
      <c r="AW1895" s="82" t="s">
        <v>14060</v>
      </c>
      <c r="AX1895" s="82" t="s">
        <v>15467</v>
      </c>
      <c r="AY1895" s="82" t="s">
        <v>15767</v>
      </c>
      <c r="AZ1895" s="82" t="s">
        <v>15996</v>
      </c>
      <c r="BA1895" s="82" t="s">
        <v>15804</v>
      </c>
      <c r="BB1895" s="82" t="s">
        <v>15804</v>
      </c>
      <c r="BC1895" s="82" t="s">
        <v>15996</v>
      </c>
      <c r="BD1895" s="82" t="s">
        <v>15767</v>
      </c>
      <c r="BE1895" s="77"/>
      <c r="BF1895" s="77"/>
      <c r="BG1895" s="77"/>
      <c r="BH1895" s="77"/>
      <c r="BI1895" s="77"/>
    </row>
    <row r="1896" spans="1:61" x14ac:dyDescent="0.25">
      <c r="A1896" s="62" t="s">
        <v>819</v>
      </c>
      <c r="B1896" s="62" t="s">
        <v>819</v>
      </c>
      <c r="C1896" s="63"/>
      <c r="D1896" s="64"/>
      <c r="E1896" s="65"/>
      <c r="F1896" s="66"/>
      <c r="G1896" s="63"/>
      <c r="H1896" s="67"/>
      <c r="I1896" s="68"/>
      <c r="J1896" s="68"/>
      <c r="K1896" s="32"/>
      <c r="L1896" s="75">
        <v>1896</v>
      </c>
      <c r="M1896" s="75"/>
      <c r="N1896" s="70"/>
      <c r="O1896" s="77" t="s">
        <v>1132</v>
      </c>
      <c r="P1896" s="79">
        <v>45142.546157407407</v>
      </c>
      <c r="Q1896" s="77" t="s">
        <v>2953</v>
      </c>
      <c r="R1896" s="77">
        <v>0</v>
      </c>
      <c r="S1896" s="77">
        <v>0</v>
      </c>
      <c r="T1896" s="77">
        <v>0</v>
      </c>
      <c r="U1896" s="77">
        <v>0</v>
      </c>
      <c r="V1896" s="77">
        <v>18</v>
      </c>
      <c r="W1896" s="82" t="s">
        <v>5308</v>
      </c>
      <c r="X1896" s="77"/>
      <c r="Y1896" s="77"/>
      <c r="Z1896" s="77"/>
      <c r="AA1896" s="77"/>
      <c r="AB1896" s="77"/>
      <c r="AC1896" s="82" t="s">
        <v>7705</v>
      </c>
      <c r="AD1896" s="77" t="s">
        <v>7745</v>
      </c>
      <c r="AE1896" s="80" t="str">
        <f>HYPERLINK("https://twitter.com/economedicos/status/1687449926559576064")</f>
        <v>https://twitter.com/economedicos/status/1687449926559576064</v>
      </c>
      <c r="AF1896" s="79">
        <v>45142.546157407407</v>
      </c>
      <c r="AG1896" s="85">
        <v>45142</v>
      </c>
      <c r="AH1896" s="82" t="s">
        <v>9444</v>
      </c>
      <c r="AI1896" s="77"/>
      <c r="AJ1896" s="77"/>
      <c r="AK1896" s="77"/>
      <c r="AL1896" s="77"/>
      <c r="AM1896" s="77"/>
      <c r="AN1896" s="77"/>
      <c r="AO1896" s="77"/>
      <c r="AP1896" s="77"/>
      <c r="AQ1896" s="77"/>
      <c r="AR1896" s="77"/>
      <c r="AS1896" s="77"/>
      <c r="AT1896" s="77"/>
      <c r="AU1896" s="77"/>
      <c r="AV1896" s="80" t="str">
        <f>HYPERLINK("https://pbs.twimg.com/profile_images/1283576393662636034/EjgsMA_W_normal.jpg")</f>
        <v>https://pbs.twimg.com/profile_images/1283576393662636034/EjgsMA_W_normal.jpg</v>
      </c>
      <c r="AW1896" s="82" t="s">
        <v>14061</v>
      </c>
      <c r="AX1896" s="82" t="s">
        <v>15468</v>
      </c>
      <c r="AY1896" s="82" t="s">
        <v>15767</v>
      </c>
      <c r="AZ1896" s="82" t="s">
        <v>15997</v>
      </c>
      <c r="BA1896" s="82" t="s">
        <v>15804</v>
      </c>
      <c r="BB1896" s="82" t="s">
        <v>15804</v>
      </c>
      <c r="BC1896" s="82" t="s">
        <v>15997</v>
      </c>
      <c r="BD1896" s="82" t="s">
        <v>15767</v>
      </c>
      <c r="BE1896" s="77"/>
      <c r="BF1896" s="77"/>
      <c r="BG1896" s="77"/>
      <c r="BH1896" s="77"/>
      <c r="BI1896" s="77"/>
    </row>
    <row r="1897" spans="1:61" x14ac:dyDescent="0.25">
      <c r="A1897" s="62" t="s">
        <v>819</v>
      </c>
      <c r="B1897" s="62" t="s">
        <v>819</v>
      </c>
      <c r="C1897" s="63"/>
      <c r="D1897" s="64"/>
      <c r="E1897" s="65"/>
      <c r="F1897" s="66"/>
      <c r="G1897" s="63"/>
      <c r="H1897" s="67"/>
      <c r="I1897" s="68"/>
      <c r="J1897" s="68"/>
      <c r="K1897" s="32"/>
      <c r="L1897" s="75">
        <v>1897</v>
      </c>
      <c r="M1897" s="75"/>
      <c r="N1897" s="70"/>
      <c r="O1897" s="77" t="s">
        <v>1132</v>
      </c>
      <c r="P1897" s="79">
        <v>45141.447384259256</v>
      </c>
      <c r="Q1897" s="77" t="s">
        <v>2954</v>
      </c>
      <c r="R1897" s="77">
        <v>0</v>
      </c>
      <c r="S1897" s="77">
        <v>0</v>
      </c>
      <c r="T1897" s="77">
        <v>0</v>
      </c>
      <c r="U1897" s="77">
        <v>0</v>
      </c>
      <c r="V1897" s="77">
        <v>14</v>
      </c>
      <c r="W1897" s="82" t="s">
        <v>5308</v>
      </c>
      <c r="X1897" s="77"/>
      <c r="Y1897" s="77"/>
      <c r="Z1897" s="77"/>
      <c r="AA1897" s="77"/>
      <c r="AB1897" s="77"/>
      <c r="AC1897" s="82" t="s">
        <v>7705</v>
      </c>
      <c r="AD1897" s="77" t="s">
        <v>7745</v>
      </c>
      <c r="AE1897" s="80" t="str">
        <f>HYPERLINK("https://twitter.com/economedicos/status/1687051743165657088")</f>
        <v>https://twitter.com/economedicos/status/1687051743165657088</v>
      </c>
      <c r="AF1897" s="79">
        <v>45141.447384259256</v>
      </c>
      <c r="AG1897" s="85">
        <v>45141</v>
      </c>
      <c r="AH1897" s="82" t="s">
        <v>8070</v>
      </c>
      <c r="AI1897" s="77"/>
      <c r="AJ1897" s="77"/>
      <c r="AK1897" s="77"/>
      <c r="AL1897" s="77"/>
      <c r="AM1897" s="77"/>
      <c r="AN1897" s="77"/>
      <c r="AO1897" s="77"/>
      <c r="AP1897" s="77"/>
      <c r="AQ1897" s="77"/>
      <c r="AR1897" s="77"/>
      <c r="AS1897" s="77"/>
      <c r="AT1897" s="77"/>
      <c r="AU1897" s="77"/>
      <c r="AV1897" s="80" t="str">
        <f>HYPERLINK("https://pbs.twimg.com/profile_images/1283576393662636034/EjgsMA_W_normal.jpg")</f>
        <v>https://pbs.twimg.com/profile_images/1283576393662636034/EjgsMA_W_normal.jpg</v>
      </c>
      <c r="AW1897" s="82" t="s">
        <v>14062</v>
      </c>
      <c r="AX1897" s="82" t="s">
        <v>15469</v>
      </c>
      <c r="AY1897" s="82" t="s">
        <v>15767</v>
      </c>
      <c r="AZ1897" s="82" t="s">
        <v>15998</v>
      </c>
      <c r="BA1897" s="82" t="s">
        <v>15804</v>
      </c>
      <c r="BB1897" s="82" t="s">
        <v>15804</v>
      </c>
      <c r="BC1897" s="82" t="s">
        <v>15998</v>
      </c>
      <c r="BD1897" s="82" t="s">
        <v>15767</v>
      </c>
      <c r="BE1897" s="77"/>
      <c r="BF1897" s="77"/>
      <c r="BG1897" s="77"/>
      <c r="BH1897" s="77"/>
      <c r="BI1897" s="77"/>
    </row>
    <row r="1898" spans="1:61" x14ac:dyDescent="0.25">
      <c r="A1898" s="62" t="s">
        <v>819</v>
      </c>
      <c r="B1898" s="62" t="s">
        <v>819</v>
      </c>
      <c r="C1898" s="63"/>
      <c r="D1898" s="64"/>
      <c r="E1898" s="65"/>
      <c r="F1898" s="66"/>
      <c r="G1898" s="63"/>
      <c r="H1898" s="67"/>
      <c r="I1898" s="68"/>
      <c r="J1898" s="68"/>
      <c r="K1898" s="32"/>
      <c r="L1898" s="75">
        <v>1898</v>
      </c>
      <c r="M1898" s="75"/>
      <c r="N1898" s="70"/>
      <c r="O1898" s="77" t="s">
        <v>1132</v>
      </c>
      <c r="P1898" s="79">
        <v>45119.423217592594</v>
      </c>
      <c r="Q1898" s="77" t="s">
        <v>2955</v>
      </c>
      <c r="R1898" s="77">
        <v>0</v>
      </c>
      <c r="S1898" s="77">
        <v>1</v>
      </c>
      <c r="T1898" s="77">
        <v>0</v>
      </c>
      <c r="U1898" s="77">
        <v>0</v>
      </c>
      <c r="V1898" s="77">
        <v>11</v>
      </c>
      <c r="W1898" s="82" t="s">
        <v>5308</v>
      </c>
      <c r="X1898" s="77"/>
      <c r="Y1898" s="77"/>
      <c r="Z1898" s="77"/>
      <c r="AA1898" s="77"/>
      <c r="AB1898" s="77"/>
      <c r="AC1898" s="82" t="s">
        <v>7705</v>
      </c>
      <c r="AD1898" s="77" t="s">
        <v>7745</v>
      </c>
      <c r="AE1898" s="80" t="str">
        <f>HYPERLINK("https://twitter.com/economedicos/status/1679070454605131776")</f>
        <v>https://twitter.com/economedicos/status/1679070454605131776</v>
      </c>
      <c r="AF1898" s="79">
        <v>45119.423217592594</v>
      </c>
      <c r="AG1898" s="85">
        <v>45119</v>
      </c>
      <c r="AH1898" s="82" t="s">
        <v>9445</v>
      </c>
      <c r="AI1898" s="77"/>
      <c r="AJ1898" s="77"/>
      <c r="AK1898" s="77"/>
      <c r="AL1898" s="77"/>
      <c r="AM1898" s="77"/>
      <c r="AN1898" s="77"/>
      <c r="AO1898" s="77"/>
      <c r="AP1898" s="77"/>
      <c r="AQ1898" s="77"/>
      <c r="AR1898" s="77"/>
      <c r="AS1898" s="77"/>
      <c r="AT1898" s="77"/>
      <c r="AU1898" s="77"/>
      <c r="AV1898" s="80" t="str">
        <f>HYPERLINK("https://pbs.twimg.com/profile_images/1283576393662636034/EjgsMA_W_normal.jpg")</f>
        <v>https://pbs.twimg.com/profile_images/1283576393662636034/EjgsMA_W_normal.jpg</v>
      </c>
      <c r="AW1898" s="82" t="s">
        <v>14063</v>
      </c>
      <c r="AX1898" s="82" t="s">
        <v>15470</v>
      </c>
      <c r="AY1898" s="82" t="s">
        <v>15767</v>
      </c>
      <c r="AZ1898" s="82" t="s">
        <v>15999</v>
      </c>
      <c r="BA1898" s="82" t="s">
        <v>15804</v>
      </c>
      <c r="BB1898" s="82" t="s">
        <v>15804</v>
      </c>
      <c r="BC1898" s="82" t="s">
        <v>15999</v>
      </c>
      <c r="BD1898" s="82" t="s">
        <v>15767</v>
      </c>
      <c r="BE1898" s="77"/>
      <c r="BF1898" s="77"/>
      <c r="BG1898" s="77"/>
      <c r="BH1898" s="77"/>
      <c r="BI1898" s="77"/>
    </row>
    <row r="1899" spans="1:61" x14ac:dyDescent="0.25">
      <c r="A1899" s="62" t="s">
        <v>819</v>
      </c>
      <c r="B1899" s="62" t="s">
        <v>819</v>
      </c>
      <c r="C1899" s="63"/>
      <c r="D1899" s="64"/>
      <c r="E1899" s="65"/>
      <c r="F1899" s="66"/>
      <c r="G1899" s="63"/>
      <c r="H1899" s="67"/>
      <c r="I1899" s="68"/>
      <c r="J1899" s="68"/>
      <c r="K1899" s="32"/>
      <c r="L1899" s="75">
        <v>1899</v>
      </c>
      <c r="M1899" s="75"/>
      <c r="N1899" s="70"/>
      <c r="O1899" s="77" t="s">
        <v>1132</v>
      </c>
      <c r="P1899" s="79">
        <v>45118.461817129632</v>
      </c>
      <c r="Q1899" s="77" t="s">
        <v>2956</v>
      </c>
      <c r="R1899" s="77">
        <v>0</v>
      </c>
      <c r="S1899" s="77">
        <v>0</v>
      </c>
      <c r="T1899" s="77">
        <v>0</v>
      </c>
      <c r="U1899" s="77">
        <v>0</v>
      </c>
      <c r="V1899" s="77">
        <v>7</v>
      </c>
      <c r="W1899" s="82" t="s">
        <v>5308</v>
      </c>
      <c r="X1899" s="77"/>
      <c r="Y1899" s="77"/>
      <c r="Z1899" s="77"/>
      <c r="AA1899" s="77"/>
      <c r="AB1899" s="77"/>
      <c r="AC1899" s="82" t="s">
        <v>7705</v>
      </c>
      <c r="AD1899" s="77" t="s">
        <v>7745</v>
      </c>
      <c r="AE1899" s="80" t="str">
        <f>HYPERLINK("https://twitter.com/economedicos/status/1678722053732552706")</f>
        <v>https://twitter.com/economedicos/status/1678722053732552706</v>
      </c>
      <c r="AF1899" s="79">
        <v>45118.461817129632</v>
      </c>
      <c r="AG1899" s="85">
        <v>45118</v>
      </c>
      <c r="AH1899" s="82" t="s">
        <v>9446</v>
      </c>
      <c r="AI1899" s="77"/>
      <c r="AJ1899" s="77"/>
      <c r="AK1899" s="77"/>
      <c r="AL1899" s="77"/>
      <c r="AM1899" s="77"/>
      <c r="AN1899" s="77"/>
      <c r="AO1899" s="77"/>
      <c r="AP1899" s="77"/>
      <c r="AQ1899" s="77"/>
      <c r="AR1899" s="77"/>
      <c r="AS1899" s="77"/>
      <c r="AT1899" s="77"/>
      <c r="AU1899" s="77"/>
      <c r="AV1899" s="80" t="str">
        <f>HYPERLINK("https://pbs.twimg.com/profile_images/1283576393662636034/EjgsMA_W_normal.jpg")</f>
        <v>https://pbs.twimg.com/profile_images/1283576393662636034/EjgsMA_W_normal.jpg</v>
      </c>
      <c r="AW1899" s="82" t="s">
        <v>14064</v>
      </c>
      <c r="AX1899" s="82" t="s">
        <v>15471</v>
      </c>
      <c r="AY1899" s="82" t="s">
        <v>15767</v>
      </c>
      <c r="AZ1899" s="82" t="s">
        <v>16000</v>
      </c>
      <c r="BA1899" s="82" t="s">
        <v>15804</v>
      </c>
      <c r="BB1899" s="82" t="s">
        <v>15804</v>
      </c>
      <c r="BC1899" s="82" t="s">
        <v>16000</v>
      </c>
      <c r="BD1899" s="82" t="s">
        <v>15767</v>
      </c>
      <c r="BE1899" s="77"/>
      <c r="BF1899" s="77"/>
      <c r="BG1899" s="77"/>
      <c r="BH1899" s="77"/>
      <c r="BI1899" s="77"/>
    </row>
    <row r="1900" spans="1:61" x14ac:dyDescent="0.25">
      <c r="A1900" s="62" t="s">
        <v>819</v>
      </c>
      <c r="B1900" s="62" t="s">
        <v>819</v>
      </c>
      <c r="C1900" s="63"/>
      <c r="D1900" s="64"/>
      <c r="E1900" s="65"/>
      <c r="F1900" s="66"/>
      <c r="G1900" s="63"/>
      <c r="H1900" s="67"/>
      <c r="I1900" s="68"/>
      <c r="J1900" s="68"/>
      <c r="K1900" s="32"/>
      <c r="L1900" s="75">
        <v>1900</v>
      </c>
      <c r="M1900" s="75"/>
      <c r="N1900" s="70"/>
      <c r="O1900" s="77" t="s">
        <v>1132</v>
      </c>
      <c r="P1900" s="79">
        <v>45103.395983796298</v>
      </c>
      <c r="Q1900" s="77" t="s">
        <v>2957</v>
      </c>
      <c r="R1900" s="77">
        <v>0</v>
      </c>
      <c r="S1900" s="77">
        <v>0</v>
      </c>
      <c r="T1900" s="77">
        <v>0</v>
      </c>
      <c r="U1900" s="77">
        <v>0</v>
      </c>
      <c r="V1900" s="77">
        <v>17</v>
      </c>
      <c r="W1900" s="82" t="s">
        <v>5308</v>
      </c>
      <c r="X1900" s="77"/>
      <c r="Y1900" s="77"/>
      <c r="Z1900" s="77"/>
      <c r="AA1900" s="77"/>
      <c r="AB1900" s="77"/>
      <c r="AC1900" s="82" t="s">
        <v>7705</v>
      </c>
      <c r="AD1900" s="77" t="s">
        <v>7745</v>
      </c>
      <c r="AE1900" s="80" t="str">
        <f>HYPERLINK("https://twitter.com/economedicos/status/1673262377498812417")</f>
        <v>https://twitter.com/economedicos/status/1673262377498812417</v>
      </c>
      <c r="AF1900" s="79">
        <v>45103.395983796298</v>
      </c>
      <c r="AG1900" s="85">
        <v>45103</v>
      </c>
      <c r="AH1900" s="82" t="s">
        <v>9447</v>
      </c>
      <c r="AI1900" s="77"/>
      <c r="AJ1900" s="77"/>
      <c r="AK1900" s="77"/>
      <c r="AL1900" s="77"/>
      <c r="AM1900" s="77"/>
      <c r="AN1900" s="77"/>
      <c r="AO1900" s="77"/>
      <c r="AP1900" s="77"/>
      <c r="AQ1900" s="77"/>
      <c r="AR1900" s="77"/>
      <c r="AS1900" s="77"/>
      <c r="AT1900" s="77"/>
      <c r="AU1900" s="77"/>
      <c r="AV1900" s="80" t="str">
        <f>HYPERLINK("https://pbs.twimg.com/profile_images/1283576393662636034/EjgsMA_W_normal.jpg")</f>
        <v>https://pbs.twimg.com/profile_images/1283576393662636034/EjgsMA_W_normal.jpg</v>
      </c>
      <c r="AW1900" s="82" t="s">
        <v>14065</v>
      </c>
      <c r="AX1900" s="82" t="s">
        <v>15472</v>
      </c>
      <c r="AY1900" s="82" t="s">
        <v>15767</v>
      </c>
      <c r="AZ1900" s="82" t="s">
        <v>16001</v>
      </c>
      <c r="BA1900" s="82" t="s">
        <v>15804</v>
      </c>
      <c r="BB1900" s="82" t="s">
        <v>15804</v>
      </c>
      <c r="BC1900" s="82" t="s">
        <v>16001</v>
      </c>
      <c r="BD1900" s="82" t="s">
        <v>15767</v>
      </c>
      <c r="BE1900" s="77"/>
      <c r="BF1900" s="77"/>
      <c r="BG1900" s="77"/>
      <c r="BH1900" s="77"/>
      <c r="BI1900" s="77"/>
    </row>
    <row r="1901" spans="1:61" x14ac:dyDescent="0.25">
      <c r="A1901" s="62" t="s">
        <v>819</v>
      </c>
      <c r="B1901" s="62" t="s">
        <v>819</v>
      </c>
      <c r="C1901" s="63"/>
      <c r="D1901" s="64"/>
      <c r="E1901" s="65"/>
      <c r="F1901" s="66"/>
      <c r="G1901" s="63"/>
      <c r="H1901" s="67"/>
      <c r="I1901" s="68"/>
      <c r="J1901" s="68"/>
      <c r="K1901" s="32"/>
      <c r="L1901" s="75">
        <v>1901</v>
      </c>
      <c r="M1901" s="75"/>
      <c r="N1901" s="70"/>
      <c r="O1901" s="77" t="s">
        <v>1132</v>
      </c>
      <c r="P1901" s="79">
        <v>45100.475983796299</v>
      </c>
      <c r="Q1901" s="77" t="s">
        <v>2958</v>
      </c>
      <c r="R1901" s="77">
        <v>0</v>
      </c>
      <c r="S1901" s="77">
        <v>0</v>
      </c>
      <c r="T1901" s="77">
        <v>0</v>
      </c>
      <c r="U1901" s="77">
        <v>0</v>
      </c>
      <c r="V1901" s="77">
        <v>12</v>
      </c>
      <c r="W1901" s="82" t="s">
        <v>5308</v>
      </c>
      <c r="X1901" s="77"/>
      <c r="Y1901" s="77"/>
      <c r="Z1901" s="77"/>
      <c r="AA1901" s="77"/>
      <c r="AB1901" s="77"/>
      <c r="AC1901" s="82" t="s">
        <v>7705</v>
      </c>
      <c r="AD1901" s="77" t="s">
        <v>7745</v>
      </c>
      <c r="AE1901" s="80" t="str">
        <f>HYPERLINK("https://twitter.com/economedicos/status/1672204207560990723")</f>
        <v>https://twitter.com/economedicos/status/1672204207560990723</v>
      </c>
      <c r="AF1901" s="79">
        <v>45100.475983796299</v>
      </c>
      <c r="AG1901" s="85">
        <v>45100</v>
      </c>
      <c r="AH1901" s="82" t="s">
        <v>9448</v>
      </c>
      <c r="AI1901" s="77"/>
      <c r="AJ1901" s="77"/>
      <c r="AK1901" s="77"/>
      <c r="AL1901" s="77"/>
      <c r="AM1901" s="77"/>
      <c r="AN1901" s="77"/>
      <c r="AO1901" s="77"/>
      <c r="AP1901" s="77"/>
      <c r="AQ1901" s="77"/>
      <c r="AR1901" s="77"/>
      <c r="AS1901" s="77"/>
      <c r="AT1901" s="77"/>
      <c r="AU1901" s="77"/>
      <c r="AV1901" s="80" t="str">
        <f>HYPERLINK("https://pbs.twimg.com/profile_images/1283576393662636034/EjgsMA_W_normal.jpg")</f>
        <v>https://pbs.twimg.com/profile_images/1283576393662636034/EjgsMA_W_normal.jpg</v>
      </c>
      <c r="AW1901" s="82" t="s">
        <v>14066</v>
      </c>
      <c r="AX1901" s="82" t="s">
        <v>15473</v>
      </c>
      <c r="AY1901" s="82" t="s">
        <v>15767</v>
      </c>
      <c r="AZ1901" s="82" t="s">
        <v>16002</v>
      </c>
      <c r="BA1901" s="82" t="s">
        <v>15804</v>
      </c>
      <c r="BB1901" s="82" t="s">
        <v>15804</v>
      </c>
      <c r="BC1901" s="82" t="s">
        <v>16002</v>
      </c>
      <c r="BD1901" s="82" t="s">
        <v>15767</v>
      </c>
      <c r="BE1901" s="77"/>
      <c r="BF1901" s="77"/>
      <c r="BG1901" s="77"/>
      <c r="BH1901" s="77"/>
      <c r="BI1901" s="77"/>
    </row>
    <row r="1902" spans="1:61" x14ac:dyDescent="0.25">
      <c r="A1902" s="62" t="s">
        <v>819</v>
      </c>
      <c r="B1902" s="62" t="s">
        <v>819</v>
      </c>
      <c r="C1902" s="63"/>
      <c r="D1902" s="64"/>
      <c r="E1902" s="65"/>
      <c r="F1902" s="66"/>
      <c r="G1902" s="63"/>
      <c r="H1902" s="67"/>
      <c r="I1902" s="68"/>
      <c r="J1902" s="68"/>
      <c r="K1902" s="32"/>
      <c r="L1902" s="75">
        <v>1902</v>
      </c>
      <c r="M1902" s="75"/>
      <c r="N1902" s="70"/>
      <c r="O1902" s="77" t="s">
        <v>1132</v>
      </c>
      <c r="P1902" s="79">
        <v>45099.413217592592</v>
      </c>
      <c r="Q1902" s="77" t="s">
        <v>2959</v>
      </c>
      <c r="R1902" s="77">
        <v>0</v>
      </c>
      <c r="S1902" s="77">
        <v>0</v>
      </c>
      <c r="T1902" s="77">
        <v>0</v>
      </c>
      <c r="U1902" s="77">
        <v>0</v>
      </c>
      <c r="V1902" s="77">
        <v>7</v>
      </c>
      <c r="W1902" s="82" t="s">
        <v>5308</v>
      </c>
      <c r="X1902" s="77"/>
      <c r="Y1902" s="77"/>
      <c r="Z1902" s="77"/>
      <c r="AA1902" s="77"/>
      <c r="AB1902" s="77"/>
      <c r="AC1902" s="82" t="s">
        <v>7705</v>
      </c>
      <c r="AD1902" s="77" t="s">
        <v>7745</v>
      </c>
      <c r="AE1902" s="80" t="str">
        <f>HYPERLINK("https://twitter.com/economedicos/status/1671819074588868615")</f>
        <v>https://twitter.com/economedicos/status/1671819074588868615</v>
      </c>
      <c r="AF1902" s="79">
        <v>45099.413217592592</v>
      </c>
      <c r="AG1902" s="85">
        <v>45099</v>
      </c>
      <c r="AH1902" s="82" t="s">
        <v>9449</v>
      </c>
      <c r="AI1902" s="77"/>
      <c r="AJ1902" s="77"/>
      <c r="AK1902" s="77"/>
      <c r="AL1902" s="77"/>
      <c r="AM1902" s="77"/>
      <c r="AN1902" s="77"/>
      <c r="AO1902" s="77"/>
      <c r="AP1902" s="77"/>
      <c r="AQ1902" s="77"/>
      <c r="AR1902" s="77"/>
      <c r="AS1902" s="77"/>
      <c r="AT1902" s="77"/>
      <c r="AU1902" s="77"/>
      <c r="AV1902" s="80" t="str">
        <f>HYPERLINK("https://pbs.twimg.com/profile_images/1283576393662636034/EjgsMA_W_normal.jpg")</f>
        <v>https://pbs.twimg.com/profile_images/1283576393662636034/EjgsMA_W_normal.jpg</v>
      </c>
      <c r="AW1902" s="82" t="s">
        <v>14067</v>
      </c>
      <c r="AX1902" s="82" t="s">
        <v>15474</v>
      </c>
      <c r="AY1902" s="82" t="s">
        <v>15767</v>
      </c>
      <c r="AZ1902" s="82" t="s">
        <v>16003</v>
      </c>
      <c r="BA1902" s="82" t="s">
        <v>15804</v>
      </c>
      <c r="BB1902" s="82" t="s">
        <v>15804</v>
      </c>
      <c r="BC1902" s="82" t="s">
        <v>16003</v>
      </c>
      <c r="BD1902" s="82" t="s">
        <v>15767</v>
      </c>
      <c r="BE1902" s="77"/>
      <c r="BF1902" s="77"/>
      <c r="BG1902" s="77"/>
      <c r="BH1902" s="77"/>
      <c r="BI1902" s="77"/>
    </row>
    <row r="1903" spans="1:61" x14ac:dyDescent="0.25">
      <c r="A1903" s="62" t="s">
        <v>819</v>
      </c>
      <c r="B1903" s="62" t="s">
        <v>819</v>
      </c>
      <c r="C1903" s="63"/>
      <c r="D1903" s="64"/>
      <c r="E1903" s="65"/>
      <c r="F1903" s="66"/>
      <c r="G1903" s="63"/>
      <c r="H1903" s="67"/>
      <c r="I1903" s="68"/>
      <c r="J1903" s="68"/>
      <c r="K1903" s="32"/>
      <c r="L1903" s="75">
        <v>1903</v>
      </c>
      <c r="M1903" s="75"/>
      <c r="N1903" s="70"/>
      <c r="O1903" s="77" t="s">
        <v>1132</v>
      </c>
      <c r="P1903" s="79">
        <v>45098.465057870373</v>
      </c>
      <c r="Q1903" s="77" t="s">
        <v>2960</v>
      </c>
      <c r="R1903" s="77">
        <v>0</v>
      </c>
      <c r="S1903" s="77">
        <v>0</v>
      </c>
      <c r="T1903" s="77">
        <v>0</v>
      </c>
      <c r="U1903" s="77">
        <v>0</v>
      </c>
      <c r="V1903" s="77">
        <v>9</v>
      </c>
      <c r="W1903" s="82" t="s">
        <v>5308</v>
      </c>
      <c r="X1903" s="77"/>
      <c r="Y1903" s="77"/>
      <c r="Z1903" s="77"/>
      <c r="AA1903" s="77"/>
      <c r="AB1903" s="77"/>
      <c r="AC1903" s="82" t="s">
        <v>7705</v>
      </c>
      <c r="AD1903" s="77" t="s">
        <v>7745</v>
      </c>
      <c r="AE1903" s="80" t="str">
        <f>HYPERLINK("https://twitter.com/economedicos/status/1671475470544543744")</f>
        <v>https://twitter.com/economedicos/status/1671475470544543744</v>
      </c>
      <c r="AF1903" s="79">
        <v>45098.465057870373</v>
      </c>
      <c r="AG1903" s="85">
        <v>45098</v>
      </c>
      <c r="AH1903" s="82" t="s">
        <v>9450</v>
      </c>
      <c r="AI1903" s="77"/>
      <c r="AJ1903" s="77"/>
      <c r="AK1903" s="77"/>
      <c r="AL1903" s="77"/>
      <c r="AM1903" s="77"/>
      <c r="AN1903" s="77"/>
      <c r="AO1903" s="77"/>
      <c r="AP1903" s="77"/>
      <c r="AQ1903" s="77"/>
      <c r="AR1903" s="77"/>
      <c r="AS1903" s="77"/>
      <c r="AT1903" s="77"/>
      <c r="AU1903" s="77"/>
      <c r="AV1903" s="80" t="str">
        <f>HYPERLINK("https://pbs.twimg.com/profile_images/1283576393662636034/EjgsMA_W_normal.jpg")</f>
        <v>https://pbs.twimg.com/profile_images/1283576393662636034/EjgsMA_W_normal.jpg</v>
      </c>
      <c r="AW1903" s="82" t="s">
        <v>14068</v>
      </c>
      <c r="AX1903" s="82" t="s">
        <v>15475</v>
      </c>
      <c r="AY1903" s="82" t="s">
        <v>15767</v>
      </c>
      <c r="AZ1903" s="82" t="s">
        <v>16004</v>
      </c>
      <c r="BA1903" s="82" t="s">
        <v>15804</v>
      </c>
      <c r="BB1903" s="82" t="s">
        <v>15804</v>
      </c>
      <c r="BC1903" s="82" t="s">
        <v>16004</v>
      </c>
      <c r="BD1903" s="82" t="s">
        <v>15767</v>
      </c>
      <c r="BE1903" s="77"/>
      <c r="BF1903" s="77"/>
      <c r="BG1903" s="77"/>
      <c r="BH1903" s="77"/>
      <c r="BI1903" s="77"/>
    </row>
    <row r="1904" spans="1:61" x14ac:dyDescent="0.25">
      <c r="A1904" s="62" t="s">
        <v>819</v>
      </c>
      <c r="B1904" s="62" t="s">
        <v>819</v>
      </c>
      <c r="C1904" s="63"/>
      <c r="D1904" s="64"/>
      <c r="E1904" s="65"/>
      <c r="F1904" s="66"/>
      <c r="G1904" s="63"/>
      <c r="H1904" s="67"/>
      <c r="I1904" s="68"/>
      <c r="J1904" s="68"/>
      <c r="K1904" s="32"/>
      <c r="L1904" s="75">
        <v>1904</v>
      </c>
      <c r="M1904" s="75"/>
      <c r="N1904" s="70"/>
      <c r="O1904" s="77" t="s">
        <v>1132</v>
      </c>
      <c r="P1904" s="79">
        <v>45056.46298611111</v>
      </c>
      <c r="Q1904" s="77" t="s">
        <v>2961</v>
      </c>
      <c r="R1904" s="77">
        <v>0</v>
      </c>
      <c r="S1904" s="77">
        <v>0</v>
      </c>
      <c r="T1904" s="77">
        <v>0</v>
      </c>
      <c r="U1904" s="77">
        <v>0</v>
      </c>
      <c r="V1904" s="77">
        <v>10</v>
      </c>
      <c r="W1904" s="82" t="s">
        <v>5308</v>
      </c>
      <c r="X1904" s="77"/>
      <c r="Y1904" s="77"/>
      <c r="Z1904" s="77"/>
      <c r="AA1904" s="77"/>
      <c r="AB1904" s="77"/>
      <c r="AC1904" s="82" t="s">
        <v>7705</v>
      </c>
      <c r="AD1904" s="77" t="s">
        <v>7745</v>
      </c>
      <c r="AE1904" s="80" t="str">
        <f>HYPERLINK("https://twitter.com/economedicos/status/1656254429606076417")</f>
        <v>https://twitter.com/economedicos/status/1656254429606076417</v>
      </c>
      <c r="AF1904" s="79">
        <v>45056.46298611111</v>
      </c>
      <c r="AG1904" s="85">
        <v>45056</v>
      </c>
      <c r="AH1904" s="82" t="s">
        <v>9451</v>
      </c>
      <c r="AI1904" s="77"/>
      <c r="AJ1904" s="77"/>
      <c r="AK1904" s="77"/>
      <c r="AL1904" s="77"/>
      <c r="AM1904" s="77"/>
      <c r="AN1904" s="77"/>
      <c r="AO1904" s="77"/>
      <c r="AP1904" s="77"/>
      <c r="AQ1904" s="77"/>
      <c r="AR1904" s="77"/>
      <c r="AS1904" s="77"/>
      <c r="AT1904" s="77"/>
      <c r="AU1904" s="77"/>
      <c r="AV1904" s="80" t="str">
        <f>HYPERLINK("https://pbs.twimg.com/profile_images/1283576393662636034/EjgsMA_W_normal.jpg")</f>
        <v>https://pbs.twimg.com/profile_images/1283576393662636034/EjgsMA_W_normal.jpg</v>
      </c>
      <c r="AW1904" s="82" t="s">
        <v>14069</v>
      </c>
      <c r="AX1904" s="82" t="s">
        <v>15476</v>
      </c>
      <c r="AY1904" s="82" t="s">
        <v>15767</v>
      </c>
      <c r="AZ1904" s="82" t="s">
        <v>16005</v>
      </c>
      <c r="BA1904" s="82" t="s">
        <v>15804</v>
      </c>
      <c r="BB1904" s="82" t="s">
        <v>15804</v>
      </c>
      <c r="BC1904" s="82" t="s">
        <v>16005</v>
      </c>
      <c r="BD1904" s="82" t="s">
        <v>15767</v>
      </c>
      <c r="BE1904" s="77"/>
      <c r="BF1904" s="77"/>
      <c r="BG1904" s="77"/>
      <c r="BH1904" s="77"/>
      <c r="BI1904" s="77"/>
    </row>
    <row r="1905" spans="1:61" x14ac:dyDescent="0.25">
      <c r="A1905" s="62" t="s">
        <v>819</v>
      </c>
      <c r="B1905" s="62" t="s">
        <v>819</v>
      </c>
      <c r="C1905" s="63"/>
      <c r="D1905" s="64"/>
      <c r="E1905" s="65"/>
      <c r="F1905" s="66"/>
      <c r="G1905" s="63"/>
      <c r="H1905" s="67"/>
      <c r="I1905" s="68"/>
      <c r="J1905" s="68"/>
      <c r="K1905" s="32"/>
      <c r="L1905" s="75">
        <v>1905</v>
      </c>
      <c r="M1905" s="75"/>
      <c r="N1905" s="70"/>
      <c r="O1905" s="77" t="s">
        <v>1132</v>
      </c>
      <c r="P1905" s="79">
        <v>45055.458749999998</v>
      </c>
      <c r="Q1905" s="77" t="s">
        <v>2962</v>
      </c>
      <c r="R1905" s="77">
        <v>0</v>
      </c>
      <c r="S1905" s="77">
        <v>0</v>
      </c>
      <c r="T1905" s="77">
        <v>0</v>
      </c>
      <c r="U1905" s="77">
        <v>0</v>
      </c>
      <c r="V1905" s="77">
        <v>5</v>
      </c>
      <c r="W1905" s="82" t="s">
        <v>5308</v>
      </c>
      <c r="X1905" s="77"/>
      <c r="Y1905" s="77"/>
      <c r="Z1905" s="77"/>
      <c r="AA1905" s="77"/>
      <c r="AB1905" s="77"/>
      <c r="AC1905" s="82" t="s">
        <v>7705</v>
      </c>
      <c r="AD1905" s="77" t="s">
        <v>7745</v>
      </c>
      <c r="AE1905" s="80" t="str">
        <f>HYPERLINK("https://twitter.com/economedicos/status/1655890508114194434")</f>
        <v>https://twitter.com/economedicos/status/1655890508114194434</v>
      </c>
      <c r="AF1905" s="79">
        <v>45055.458749999998</v>
      </c>
      <c r="AG1905" s="85">
        <v>45055</v>
      </c>
      <c r="AH1905" s="82" t="s">
        <v>9452</v>
      </c>
      <c r="AI1905" s="77"/>
      <c r="AJ1905" s="77"/>
      <c r="AK1905" s="77"/>
      <c r="AL1905" s="77"/>
      <c r="AM1905" s="77"/>
      <c r="AN1905" s="77"/>
      <c r="AO1905" s="77"/>
      <c r="AP1905" s="77"/>
      <c r="AQ1905" s="77"/>
      <c r="AR1905" s="77"/>
      <c r="AS1905" s="77"/>
      <c r="AT1905" s="77"/>
      <c r="AU1905" s="77"/>
      <c r="AV1905" s="80" t="str">
        <f>HYPERLINK("https://pbs.twimg.com/profile_images/1283576393662636034/EjgsMA_W_normal.jpg")</f>
        <v>https://pbs.twimg.com/profile_images/1283576393662636034/EjgsMA_W_normal.jpg</v>
      </c>
      <c r="AW1905" s="82" t="s">
        <v>14070</v>
      </c>
      <c r="AX1905" s="82" t="s">
        <v>15477</v>
      </c>
      <c r="AY1905" s="82" t="s">
        <v>15767</v>
      </c>
      <c r="AZ1905" s="82" t="s">
        <v>16006</v>
      </c>
      <c r="BA1905" s="82" t="s">
        <v>15804</v>
      </c>
      <c r="BB1905" s="82" t="s">
        <v>15804</v>
      </c>
      <c r="BC1905" s="82" t="s">
        <v>16006</v>
      </c>
      <c r="BD1905" s="82" t="s">
        <v>15767</v>
      </c>
      <c r="BE1905" s="77"/>
      <c r="BF1905" s="77"/>
      <c r="BG1905" s="77"/>
      <c r="BH1905" s="77"/>
      <c r="BI1905" s="77"/>
    </row>
    <row r="1906" spans="1:61" x14ac:dyDescent="0.25">
      <c r="A1906" s="62" t="s">
        <v>819</v>
      </c>
      <c r="B1906" s="62" t="s">
        <v>819</v>
      </c>
      <c r="C1906" s="63"/>
      <c r="D1906" s="64"/>
      <c r="E1906" s="65"/>
      <c r="F1906" s="66"/>
      <c r="G1906" s="63"/>
      <c r="H1906" s="67"/>
      <c r="I1906" s="68"/>
      <c r="J1906" s="68"/>
      <c r="K1906" s="32"/>
      <c r="L1906" s="75">
        <v>1906</v>
      </c>
      <c r="M1906" s="75"/>
      <c r="N1906" s="70"/>
      <c r="O1906" s="77" t="s">
        <v>1132</v>
      </c>
      <c r="P1906" s="79">
        <v>45054.461643518516</v>
      </c>
      <c r="Q1906" s="77" t="s">
        <v>2963</v>
      </c>
      <c r="R1906" s="77">
        <v>0</v>
      </c>
      <c r="S1906" s="77">
        <v>0</v>
      </c>
      <c r="T1906" s="77">
        <v>0</v>
      </c>
      <c r="U1906" s="77">
        <v>0</v>
      </c>
      <c r="V1906" s="77">
        <v>4</v>
      </c>
      <c r="W1906" s="82" t="s">
        <v>5308</v>
      </c>
      <c r="X1906" s="77"/>
      <c r="Y1906" s="77"/>
      <c r="Z1906" s="77"/>
      <c r="AA1906" s="77"/>
      <c r="AB1906" s="77"/>
      <c r="AC1906" s="82" t="s">
        <v>7705</v>
      </c>
      <c r="AD1906" s="77" t="s">
        <v>7745</v>
      </c>
      <c r="AE1906" s="80" t="str">
        <f>HYPERLINK("https://twitter.com/economedicos/status/1655529166530387969")</f>
        <v>https://twitter.com/economedicos/status/1655529166530387969</v>
      </c>
      <c r="AF1906" s="79">
        <v>45054.461643518516</v>
      </c>
      <c r="AG1906" s="85">
        <v>45054</v>
      </c>
      <c r="AH1906" s="82" t="s">
        <v>9453</v>
      </c>
      <c r="AI1906" s="77"/>
      <c r="AJ1906" s="77"/>
      <c r="AK1906" s="77"/>
      <c r="AL1906" s="77"/>
      <c r="AM1906" s="77"/>
      <c r="AN1906" s="77"/>
      <c r="AO1906" s="77"/>
      <c r="AP1906" s="77"/>
      <c r="AQ1906" s="77"/>
      <c r="AR1906" s="77"/>
      <c r="AS1906" s="77"/>
      <c r="AT1906" s="77"/>
      <c r="AU1906" s="77"/>
      <c r="AV1906" s="80" t="str">
        <f>HYPERLINK("https://pbs.twimg.com/profile_images/1283576393662636034/EjgsMA_W_normal.jpg")</f>
        <v>https://pbs.twimg.com/profile_images/1283576393662636034/EjgsMA_W_normal.jpg</v>
      </c>
      <c r="AW1906" s="82" t="s">
        <v>14071</v>
      </c>
      <c r="AX1906" s="82" t="s">
        <v>15478</v>
      </c>
      <c r="AY1906" s="82" t="s">
        <v>15767</v>
      </c>
      <c r="AZ1906" s="82" t="s">
        <v>16007</v>
      </c>
      <c r="BA1906" s="82" t="s">
        <v>15804</v>
      </c>
      <c r="BB1906" s="82" t="s">
        <v>15804</v>
      </c>
      <c r="BC1906" s="82" t="s">
        <v>16007</v>
      </c>
      <c r="BD1906" s="82" t="s">
        <v>15767</v>
      </c>
      <c r="BE1906" s="77"/>
      <c r="BF1906" s="77"/>
      <c r="BG1906" s="77"/>
      <c r="BH1906" s="77"/>
      <c r="BI1906" s="77"/>
    </row>
    <row r="1907" spans="1:61" x14ac:dyDescent="0.25">
      <c r="A1907" s="62" t="s">
        <v>819</v>
      </c>
      <c r="B1907" s="62" t="s">
        <v>819</v>
      </c>
      <c r="C1907" s="63"/>
      <c r="D1907" s="64"/>
      <c r="E1907" s="65"/>
      <c r="F1907" s="66"/>
      <c r="G1907" s="63"/>
      <c r="H1907" s="67"/>
      <c r="I1907" s="68"/>
      <c r="J1907" s="68"/>
      <c r="K1907" s="32"/>
      <c r="L1907" s="75">
        <v>1907</v>
      </c>
      <c r="M1907" s="75"/>
      <c r="N1907" s="70"/>
      <c r="O1907" s="77" t="s">
        <v>1132</v>
      </c>
      <c r="P1907" s="79">
        <v>45051.597280092596</v>
      </c>
      <c r="Q1907" s="77" t="s">
        <v>2964</v>
      </c>
      <c r="R1907" s="77">
        <v>0</v>
      </c>
      <c r="S1907" s="77">
        <v>0</v>
      </c>
      <c r="T1907" s="77">
        <v>0</v>
      </c>
      <c r="U1907" s="77">
        <v>0</v>
      </c>
      <c r="V1907" s="77">
        <v>6</v>
      </c>
      <c r="W1907" s="82" t="s">
        <v>5308</v>
      </c>
      <c r="X1907" s="77"/>
      <c r="Y1907" s="77"/>
      <c r="Z1907" s="77"/>
      <c r="AA1907" s="77"/>
      <c r="AB1907" s="77"/>
      <c r="AC1907" s="82" t="s">
        <v>7705</v>
      </c>
      <c r="AD1907" s="77" t="s">
        <v>7745</v>
      </c>
      <c r="AE1907" s="80" t="str">
        <f>HYPERLINK("https://twitter.com/economedicos/status/1654491156556783619")</f>
        <v>https://twitter.com/economedicos/status/1654491156556783619</v>
      </c>
      <c r="AF1907" s="79">
        <v>45051.597280092596</v>
      </c>
      <c r="AG1907" s="85">
        <v>45051</v>
      </c>
      <c r="AH1907" s="82" t="s">
        <v>9454</v>
      </c>
      <c r="AI1907" s="77"/>
      <c r="AJ1907" s="77"/>
      <c r="AK1907" s="77"/>
      <c r="AL1907" s="77"/>
      <c r="AM1907" s="77"/>
      <c r="AN1907" s="77"/>
      <c r="AO1907" s="77"/>
      <c r="AP1907" s="77"/>
      <c r="AQ1907" s="77"/>
      <c r="AR1907" s="77"/>
      <c r="AS1907" s="77"/>
      <c r="AT1907" s="77"/>
      <c r="AU1907" s="77"/>
      <c r="AV1907" s="80" t="str">
        <f>HYPERLINK("https://pbs.twimg.com/profile_images/1283576393662636034/EjgsMA_W_normal.jpg")</f>
        <v>https://pbs.twimg.com/profile_images/1283576393662636034/EjgsMA_W_normal.jpg</v>
      </c>
      <c r="AW1907" s="82" t="s">
        <v>14072</v>
      </c>
      <c r="AX1907" s="82" t="s">
        <v>15479</v>
      </c>
      <c r="AY1907" s="82" t="s">
        <v>15767</v>
      </c>
      <c r="AZ1907" s="82" t="s">
        <v>16008</v>
      </c>
      <c r="BA1907" s="82" t="s">
        <v>15804</v>
      </c>
      <c r="BB1907" s="82" t="s">
        <v>15804</v>
      </c>
      <c r="BC1907" s="82" t="s">
        <v>16008</v>
      </c>
      <c r="BD1907" s="82" t="s">
        <v>15767</v>
      </c>
      <c r="BE1907" s="77"/>
      <c r="BF1907" s="77"/>
      <c r="BG1907" s="77"/>
      <c r="BH1907" s="77"/>
      <c r="BI1907" s="77"/>
    </row>
    <row r="1908" spans="1:61" x14ac:dyDescent="0.25">
      <c r="A1908" s="62" t="s">
        <v>819</v>
      </c>
      <c r="B1908" s="62" t="s">
        <v>819</v>
      </c>
      <c r="C1908" s="63"/>
      <c r="D1908" s="64"/>
      <c r="E1908" s="65"/>
      <c r="F1908" s="66"/>
      <c r="G1908" s="63"/>
      <c r="H1908" s="67"/>
      <c r="I1908" s="68"/>
      <c r="J1908" s="68"/>
      <c r="K1908" s="32"/>
      <c r="L1908" s="75">
        <v>1908</v>
      </c>
      <c r="M1908" s="75"/>
      <c r="N1908" s="70"/>
      <c r="O1908" s="77" t="s">
        <v>1132</v>
      </c>
      <c r="P1908" s="79">
        <v>45008.429131944446</v>
      </c>
      <c r="Q1908" s="77" t="s">
        <v>2965</v>
      </c>
      <c r="R1908" s="77">
        <v>0</v>
      </c>
      <c r="S1908" s="77">
        <v>0</v>
      </c>
      <c r="T1908" s="77">
        <v>0</v>
      </c>
      <c r="U1908" s="77">
        <v>0</v>
      </c>
      <c r="V1908" s="77">
        <v>2</v>
      </c>
      <c r="W1908" s="82" t="s">
        <v>5308</v>
      </c>
      <c r="X1908" s="77"/>
      <c r="Y1908" s="77"/>
      <c r="Z1908" s="77"/>
      <c r="AA1908" s="77"/>
      <c r="AB1908" s="77"/>
      <c r="AC1908" s="82" t="s">
        <v>7705</v>
      </c>
      <c r="AD1908" s="77" t="s">
        <v>7745</v>
      </c>
      <c r="AE1908" s="80" t="str">
        <f>HYPERLINK("https://twitter.com/economedicos/status/1638847544192126976")</f>
        <v>https://twitter.com/economedicos/status/1638847544192126976</v>
      </c>
      <c r="AF1908" s="79">
        <v>45008.429131944446</v>
      </c>
      <c r="AG1908" s="85">
        <v>45008</v>
      </c>
      <c r="AH1908" s="82" t="s">
        <v>9455</v>
      </c>
      <c r="AI1908" s="77"/>
      <c r="AJ1908" s="77"/>
      <c r="AK1908" s="77"/>
      <c r="AL1908" s="77"/>
      <c r="AM1908" s="77"/>
      <c r="AN1908" s="77"/>
      <c r="AO1908" s="77"/>
      <c r="AP1908" s="77"/>
      <c r="AQ1908" s="77"/>
      <c r="AR1908" s="77"/>
      <c r="AS1908" s="77"/>
      <c r="AT1908" s="77"/>
      <c r="AU1908" s="77"/>
      <c r="AV1908" s="80" t="str">
        <f>HYPERLINK("https://pbs.twimg.com/profile_images/1283576393662636034/EjgsMA_W_normal.jpg")</f>
        <v>https://pbs.twimg.com/profile_images/1283576393662636034/EjgsMA_W_normal.jpg</v>
      </c>
      <c r="AW1908" s="82" t="s">
        <v>14073</v>
      </c>
      <c r="AX1908" s="82" t="s">
        <v>15480</v>
      </c>
      <c r="AY1908" s="82" t="s">
        <v>15767</v>
      </c>
      <c r="AZ1908" s="82" t="s">
        <v>16009</v>
      </c>
      <c r="BA1908" s="82" t="s">
        <v>15804</v>
      </c>
      <c r="BB1908" s="82" t="s">
        <v>15804</v>
      </c>
      <c r="BC1908" s="82" t="s">
        <v>16009</v>
      </c>
      <c r="BD1908" s="82" t="s">
        <v>15767</v>
      </c>
      <c r="BE1908" s="77"/>
      <c r="BF1908" s="77"/>
      <c r="BG1908" s="77"/>
      <c r="BH1908" s="77"/>
      <c r="BI1908" s="77"/>
    </row>
    <row r="1909" spans="1:61" x14ac:dyDescent="0.25">
      <c r="A1909" s="62" t="s">
        <v>819</v>
      </c>
      <c r="B1909" s="62" t="s">
        <v>819</v>
      </c>
      <c r="C1909" s="63"/>
      <c r="D1909" s="64"/>
      <c r="E1909" s="65"/>
      <c r="F1909" s="66"/>
      <c r="G1909" s="63"/>
      <c r="H1909" s="67"/>
      <c r="I1909" s="68"/>
      <c r="J1909" s="68"/>
      <c r="K1909" s="32"/>
      <c r="L1909" s="75">
        <v>1909</v>
      </c>
      <c r="M1909" s="75"/>
      <c r="N1909" s="70"/>
      <c r="O1909" s="77" t="s">
        <v>1132</v>
      </c>
      <c r="P1909" s="79">
        <v>45007.459872685184</v>
      </c>
      <c r="Q1909" s="77" t="s">
        <v>2966</v>
      </c>
      <c r="R1909" s="77">
        <v>0</v>
      </c>
      <c r="S1909" s="77">
        <v>0</v>
      </c>
      <c r="T1909" s="77">
        <v>0</v>
      </c>
      <c r="U1909" s="77">
        <v>0</v>
      </c>
      <c r="V1909" s="77">
        <v>3</v>
      </c>
      <c r="W1909" s="82" t="s">
        <v>5308</v>
      </c>
      <c r="X1909" s="77"/>
      <c r="Y1909" s="77"/>
      <c r="Z1909" s="77"/>
      <c r="AA1909" s="77"/>
      <c r="AB1909" s="77"/>
      <c r="AC1909" s="82" t="s">
        <v>7705</v>
      </c>
      <c r="AD1909" s="77" t="s">
        <v>7745</v>
      </c>
      <c r="AE1909" s="80" t="str">
        <f>HYPERLINK("https://twitter.com/economedicos/status/1638496295022219264")</f>
        <v>https://twitter.com/economedicos/status/1638496295022219264</v>
      </c>
      <c r="AF1909" s="79">
        <v>45007.459872685184</v>
      </c>
      <c r="AG1909" s="85">
        <v>45007</v>
      </c>
      <c r="AH1909" s="82" t="s">
        <v>8037</v>
      </c>
      <c r="AI1909" s="77"/>
      <c r="AJ1909" s="77"/>
      <c r="AK1909" s="77"/>
      <c r="AL1909" s="77"/>
      <c r="AM1909" s="77"/>
      <c r="AN1909" s="77"/>
      <c r="AO1909" s="77"/>
      <c r="AP1909" s="77"/>
      <c r="AQ1909" s="77"/>
      <c r="AR1909" s="77"/>
      <c r="AS1909" s="77"/>
      <c r="AT1909" s="77"/>
      <c r="AU1909" s="77"/>
      <c r="AV1909" s="80" t="str">
        <f>HYPERLINK("https://pbs.twimg.com/profile_images/1283576393662636034/EjgsMA_W_normal.jpg")</f>
        <v>https://pbs.twimg.com/profile_images/1283576393662636034/EjgsMA_W_normal.jpg</v>
      </c>
      <c r="AW1909" s="82" t="s">
        <v>14074</v>
      </c>
      <c r="AX1909" s="82" t="s">
        <v>15481</v>
      </c>
      <c r="AY1909" s="82" t="s">
        <v>15767</v>
      </c>
      <c r="AZ1909" s="82" t="s">
        <v>16010</v>
      </c>
      <c r="BA1909" s="82" t="s">
        <v>15804</v>
      </c>
      <c r="BB1909" s="82" t="s">
        <v>15804</v>
      </c>
      <c r="BC1909" s="82" t="s">
        <v>16010</v>
      </c>
      <c r="BD1909" s="82" t="s">
        <v>15767</v>
      </c>
      <c r="BE1909" s="77"/>
      <c r="BF1909" s="77"/>
      <c r="BG1909" s="77"/>
      <c r="BH1909" s="77"/>
      <c r="BI1909" s="77"/>
    </row>
    <row r="1910" spans="1:61" x14ac:dyDescent="0.25">
      <c r="A1910" s="62" t="s">
        <v>819</v>
      </c>
      <c r="B1910" s="62" t="s">
        <v>819</v>
      </c>
      <c r="C1910" s="63"/>
      <c r="D1910" s="64"/>
      <c r="E1910" s="65"/>
      <c r="F1910" s="66"/>
      <c r="G1910" s="63"/>
      <c r="H1910" s="67"/>
      <c r="I1910" s="68"/>
      <c r="J1910" s="68"/>
      <c r="K1910" s="32"/>
      <c r="L1910" s="75">
        <v>1910</v>
      </c>
      <c r="M1910" s="75"/>
      <c r="N1910" s="70"/>
      <c r="O1910" s="77" t="s">
        <v>1132</v>
      </c>
      <c r="P1910" s="79">
        <v>45005.434895833336</v>
      </c>
      <c r="Q1910" s="77" t="s">
        <v>2967</v>
      </c>
      <c r="R1910" s="77">
        <v>0</v>
      </c>
      <c r="S1910" s="77">
        <v>0</v>
      </c>
      <c r="T1910" s="77">
        <v>0</v>
      </c>
      <c r="U1910" s="77">
        <v>0</v>
      </c>
      <c r="V1910" s="77">
        <v>8</v>
      </c>
      <c r="W1910" s="82" t="s">
        <v>5308</v>
      </c>
      <c r="X1910" s="77"/>
      <c r="Y1910" s="77"/>
      <c r="Z1910" s="77"/>
      <c r="AA1910" s="77"/>
      <c r="AB1910" s="77"/>
      <c r="AC1910" s="82" t="s">
        <v>7705</v>
      </c>
      <c r="AD1910" s="77" t="s">
        <v>7745</v>
      </c>
      <c r="AE1910" s="80" t="str">
        <f>HYPERLINK("https://twitter.com/economedicos/status/1637762470579171328")</f>
        <v>https://twitter.com/economedicos/status/1637762470579171328</v>
      </c>
      <c r="AF1910" s="79">
        <v>45005.434895833336</v>
      </c>
      <c r="AG1910" s="85">
        <v>45005</v>
      </c>
      <c r="AH1910" s="82" t="s">
        <v>9456</v>
      </c>
      <c r="AI1910" s="77"/>
      <c r="AJ1910" s="77"/>
      <c r="AK1910" s="77"/>
      <c r="AL1910" s="77"/>
      <c r="AM1910" s="77"/>
      <c r="AN1910" s="77"/>
      <c r="AO1910" s="77"/>
      <c r="AP1910" s="77"/>
      <c r="AQ1910" s="77"/>
      <c r="AR1910" s="77"/>
      <c r="AS1910" s="77"/>
      <c r="AT1910" s="77"/>
      <c r="AU1910" s="77"/>
      <c r="AV1910" s="80" t="str">
        <f>HYPERLINK("https://pbs.twimg.com/profile_images/1283576393662636034/EjgsMA_W_normal.jpg")</f>
        <v>https://pbs.twimg.com/profile_images/1283576393662636034/EjgsMA_W_normal.jpg</v>
      </c>
      <c r="AW1910" s="82" t="s">
        <v>14075</v>
      </c>
      <c r="AX1910" s="82" t="s">
        <v>15482</v>
      </c>
      <c r="AY1910" s="82" t="s">
        <v>15767</v>
      </c>
      <c r="AZ1910" s="82" t="s">
        <v>16011</v>
      </c>
      <c r="BA1910" s="82" t="s">
        <v>15804</v>
      </c>
      <c r="BB1910" s="82" t="s">
        <v>15804</v>
      </c>
      <c r="BC1910" s="82" t="s">
        <v>16011</v>
      </c>
      <c r="BD1910" s="82" t="s">
        <v>15767</v>
      </c>
      <c r="BE1910" s="77"/>
      <c r="BF1910" s="77"/>
      <c r="BG1910" s="77"/>
      <c r="BH1910" s="77"/>
      <c r="BI1910" s="77"/>
    </row>
    <row r="1911" spans="1:61" x14ac:dyDescent="0.25">
      <c r="A1911" s="62" t="s">
        <v>819</v>
      </c>
      <c r="B1911" s="62" t="s">
        <v>819</v>
      </c>
      <c r="C1911" s="63"/>
      <c r="D1911" s="64"/>
      <c r="E1911" s="65"/>
      <c r="F1911" s="66"/>
      <c r="G1911" s="63"/>
      <c r="H1911" s="67"/>
      <c r="I1911" s="68"/>
      <c r="J1911" s="68"/>
      <c r="K1911" s="32"/>
      <c r="L1911" s="75">
        <v>1911</v>
      </c>
      <c r="M1911" s="75"/>
      <c r="N1911" s="70"/>
      <c r="O1911" s="77" t="s">
        <v>1132</v>
      </c>
      <c r="P1911" s="79">
        <v>45005.430868055555</v>
      </c>
      <c r="Q1911" s="77" t="s">
        <v>2967</v>
      </c>
      <c r="R1911" s="77">
        <v>0</v>
      </c>
      <c r="S1911" s="77">
        <v>0</v>
      </c>
      <c r="T1911" s="77">
        <v>0</v>
      </c>
      <c r="U1911" s="77">
        <v>0</v>
      </c>
      <c r="V1911" s="77">
        <v>7</v>
      </c>
      <c r="W1911" s="82" t="s">
        <v>5308</v>
      </c>
      <c r="X1911" s="77"/>
      <c r="Y1911" s="77"/>
      <c r="Z1911" s="77"/>
      <c r="AA1911" s="77"/>
      <c r="AB1911" s="77"/>
      <c r="AC1911" s="82" t="s">
        <v>7705</v>
      </c>
      <c r="AD1911" s="77" t="s">
        <v>7745</v>
      </c>
      <c r="AE1911" s="80" t="str">
        <f>HYPERLINK("https://twitter.com/economedicos/status/1637761008511877125")</f>
        <v>https://twitter.com/economedicos/status/1637761008511877125</v>
      </c>
      <c r="AF1911" s="79">
        <v>45005.430868055555</v>
      </c>
      <c r="AG1911" s="85">
        <v>45005</v>
      </c>
      <c r="AH1911" s="82" t="s">
        <v>9457</v>
      </c>
      <c r="AI1911" s="77"/>
      <c r="AJ1911" s="77"/>
      <c r="AK1911" s="77"/>
      <c r="AL1911" s="77"/>
      <c r="AM1911" s="77"/>
      <c r="AN1911" s="77"/>
      <c r="AO1911" s="77"/>
      <c r="AP1911" s="77"/>
      <c r="AQ1911" s="77"/>
      <c r="AR1911" s="77"/>
      <c r="AS1911" s="77"/>
      <c r="AT1911" s="77"/>
      <c r="AU1911" s="77"/>
      <c r="AV1911" s="80" t="str">
        <f>HYPERLINK("https://pbs.twimg.com/profile_images/1283576393662636034/EjgsMA_W_normal.jpg")</f>
        <v>https://pbs.twimg.com/profile_images/1283576393662636034/EjgsMA_W_normal.jpg</v>
      </c>
      <c r="AW1911" s="82" t="s">
        <v>14076</v>
      </c>
      <c r="AX1911" s="82" t="s">
        <v>15483</v>
      </c>
      <c r="AY1911" s="82" t="s">
        <v>15767</v>
      </c>
      <c r="AZ1911" s="82" t="s">
        <v>16012</v>
      </c>
      <c r="BA1911" s="82" t="s">
        <v>15804</v>
      </c>
      <c r="BB1911" s="82" t="s">
        <v>15804</v>
      </c>
      <c r="BC1911" s="82" t="s">
        <v>16012</v>
      </c>
      <c r="BD1911" s="82" t="s">
        <v>15767</v>
      </c>
      <c r="BE1911" s="77"/>
      <c r="BF1911" s="77"/>
      <c r="BG1911" s="77"/>
      <c r="BH1911" s="77"/>
      <c r="BI1911" s="77"/>
    </row>
    <row r="1912" spans="1:61" x14ac:dyDescent="0.25">
      <c r="A1912" s="62" t="s">
        <v>819</v>
      </c>
      <c r="B1912" s="62" t="s">
        <v>819</v>
      </c>
      <c r="C1912" s="63"/>
      <c r="D1912" s="64"/>
      <c r="E1912" s="65"/>
      <c r="F1912" s="66"/>
      <c r="G1912" s="63"/>
      <c r="H1912" s="67"/>
      <c r="I1912" s="68"/>
      <c r="J1912" s="68"/>
      <c r="K1912" s="32"/>
      <c r="L1912" s="75">
        <v>1912</v>
      </c>
      <c r="M1912" s="75"/>
      <c r="N1912" s="70"/>
      <c r="O1912" s="77" t="s">
        <v>1132</v>
      </c>
      <c r="P1912" s="79">
        <v>44960.468576388892</v>
      </c>
      <c r="Q1912" s="77" t="s">
        <v>2968</v>
      </c>
      <c r="R1912" s="77">
        <v>0</v>
      </c>
      <c r="S1912" s="77">
        <v>0</v>
      </c>
      <c r="T1912" s="77">
        <v>0</v>
      </c>
      <c r="U1912" s="77">
        <v>0</v>
      </c>
      <c r="V1912" s="77">
        <v>6</v>
      </c>
      <c r="W1912" s="82" t="s">
        <v>5308</v>
      </c>
      <c r="X1912" s="77"/>
      <c r="Y1912" s="77"/>
      <c r="Z1912" s="77"/>
      <c r="AA1912" s="77"/>
      <c r="AB1912" s="77"/>
      <c r="AC1912" s="82" t="s">
        <v>7705</v>
      </c>
      <c r="AD1912" s="77" t="s">
        <v>7745</v>
      </c>
      <c r="AE1912" s="80" t="str">
        <f>HYPERLINK("https://twitter.com/economedicos/status/1621467219828916226")</f>
        <v>https://twitter.com/economedicos/status/1621467219828916226</v>
      </c>
      <c r="AF1912" s="79">
        <v>44960.468576388892</v>
      </c>
      <c r="AG1912" s="85">
        <v>44960</v>
      </c>
      <c r="AH1912" s="82" t="s">
        <v>9458</v>
      </c>
      <c r="AI1912" s="77"/>
      <c r="AJ1912" s="77"/>
      <c r="AK1912" s="77"/>
      <c r="AL1912" s="77"/>
      <c r="AM1912" s="77"/>
      <c r="AN1912" s="77"/>
      <c r="AO1912" s="77"/>
      <c r="AP1912" s="77"/>
      <c r="AQ1912" s="77"/>
      <c r="AR1912" s="77"/>
      <c r="AS1912" s="77"/>
      <c r="AT1912" s="77"/>
      <c r="AU1912" s="77"/>
      <c r="AV1912" s="80" t="str">
        <f>HYPERLINK("https://pbs.twimg.com/profile_images/1283576393662636034/EjgsMA_W_normal.jpg")</f>
        <v>https://pbs.twimg.com/profile_images/1283576393662636034/EjgsMA_W_normal.jpg</v>
      </c>
      <c r="AW1912" s="82" t="s">
        <v>14077</v>
      </c>
      <c r="AX1912" s="82" t="s">
        <v>15484</v>
      </c>
      <c r="AY1912" s="82" t="s">
        <v>15767</v>
      </c>
      <c r="AZ1912" s="82" t="s">
        <v>16013</v>
      </c>
      <c r="BA1912" s="82" t="s">
        <v>15804</v>
      </c>
      <c r="BB1912" s="82" t="s">
        <v>15804</v>
      </c>
      <c r="BC1912" s="82" t="s">
        <v>16013</v>
      </c>
      <c r="BD1912" s="82" t="s">
        <v>15767</v>
      </c>
      <c r="BE1912" s="77"/>
      <c r="BF1912" s="77"/>
      <c r="BG1912" s="77"/>
      <c r="BH1912" s="77"/>
      <c r="BI1912" s="77"/>
    </row>
    <row r="1913" spans="1:61" x14ac:dyDescent="0.25">
      <c r="A1913" s="62" t="s">
        <v>819</v>
      </c>
      <c r="B1913" s="62" t="s">
        <v>819</v>
      </c>
      <c r="C1913" s="63"/>
      <c r="D1913" s="64"/>
      <c r="E1913" s="65"/>
      <c r="F1913" s="66"/>
      <c r="G1913" s="63"/>
      <c r="H1913" s="67"/>
      <c r="I1913" s="68"/>
      <c r="J1913" s="68"/>
      <c r="K1913" s="32"/>
      <c r="L1913" s="75">
        <v>1913</v>
      </c>
      <c r="M1913" s="75"/>
      <c r="N1913" s="70"/>
      <c r="O1913" s="77" t="s">
        <v>1132</v>
      </c>
      <c r="P1913" s="79">
        <v>44958.476157407407</v>
      </c>
      <c r="Q1913" s="77" t="s">
        <v>2969</v>
      </c>
      <c r="R1913" s="77">
        <v>0</v>
      </c>
      <c r="S1913" s="77">
        <v>0</v>
      </c>
      <c r="T1913" s="77">
        <v>0</v>
      </c>
      <c r="U1913" s="77">
        <v>0</v>
      </c>
      <c r="V1913" s="77">
        <v>12</v>
      </c>
      <c r="W1913" s="82" t="s">
        <v>5309</v>
      </c>
      <c r="X1913" s="77"/>
      <c r="Y1913" s="77"/>
      <c r="Z1913" s="77"/>
      <c r="AA1913" s="77"/>
      <c r="AB1913" s="77"/>
      <c r="AC1913" s="82" t="s">
        <v>7705</v>
      </c>
      <c r="AD1913" s="77" t="s">
        <v>7745</v>
      </c>
      <c r="AE1913" s="80" t="str">
        <f>HYPERLINK("https://twitter.com/economedicos/status/1620745194152005634")</f>
        <v>https://twitter.com/economedicos/status/1620745194152005634</v>
      </c>
      <c r="AF1913" s="79">
        <v>44958.476157407407</v>
      </c>
      <c r="AG1913" s="85">
        <v>44958</v>
      </c>
      <c r="AH1913" s="82" t="s">
        <v>9459</v>
      </c>
      <c r="AI1913" s="77"/>
      <c r="AJ1913" s="77"/>
      <c r="AK1913" s="77"/>
      <c r="AL1913" s="77"/>
      <c r="AM1913" s="77"/>
      <c r="AN1913" s="77"/>
      <c r="AO1913" s="77"/>
      <c r="AP1913" s="77"/>
      <c r="AQ1913" s="77"/>
      <c r="AR1913" s="77"/>
      <c r="AS1913" s="77"/>
      <c r="AT1913" s="77"/>
      <c r="AU1913" s="77"/>
      <c r="AV1913" s="80" t="str">
        <f>HYPERLINK("https://pbs.twimg.com/profile_images/1283576393662636034/EjgsMA_W_normal.jpg")</f>
        <v>https://pbs.twimg.com/profile_images/1283576393662636034/EjgsMA_W_normal.jpg</v>
      </c>
      <c r="AW1913" s="82" t="s">
        <v>14078</v>
      </c>
      <c r="AX1913" s="82" t="s">
        <v>15485</v>
      </c>
      <c r="AY1913" s="82" t="s">
        <v>15767</v>
      </c>
      <c r="AZ1913" s="82" t="s">
        <v>16014</v>
      </c>
      <c r="BA1913" s="82" t="s">
        <v>15804</v>
      </c>
      <c r="BB1913" s="82" t="s">
        <v>15804</v>
      </c>
      <c r="BC1913" s="82" t="s">
        <v>16014</v>
      </c>
      <c r="BD1913" s="82" t="s">
        <v>15767</v>
      </c>
      <c r="BE1913" s="77"/>
      <c r="BF1913" s="77"/>
      <c r="BG1913" s="77"/>
      <c r="BH1913" s="77"/>
      <c r="BI1913" s="77"/>
    </row>
    <row r="1914" spans="1:61" x14ac:dyDescent="0.25">
      <c r="A1914" s="62" t="s">
        <v>819</v>
      </c>
      <c r="B1914" s="62" t="s">
        <v>819</v>
      </c>
      <c r="C1914" s="63"/>
      <c r="D1914" s="64"/>
      <c r="E1914" s="65"/>
      <c r="F1914" s="66"/>
      <c r="G1914" s="63"/>
      <c r="H1914" s="67"/>
      <c r="I1914" s="68"/>
      <c r="J1914" s="68"/>
      <c r="K1914" s="32"/>
      <c r="L1914" s="75">
        <v>1914</v>
      </c>
      <c r="M1914" s="75"/>
      <c r="N1914" s="70"/>
      <c r="O1914" s="77" t="s">
        <v>1132</v>
      </c>
      <c r="P1914" s="79">
        <v>44956.443530092591</v>
      </c>
      <c r="Q1914" s="77" t="s">
        <v>2970</v>
      </c>
      <c r="R1914" s="77">
        <v>0</v>
      </c>
      <c r="S1914" s="77">
        <v>0</v>
      </c>
      <c r="T1914" s="77">
        <v>0</v>
      </c>
      <c r="U1914" s="77">
        <v>0</v>
      </c>
      <c r="V1914" s="77">
        <v>2</v>
      </c>
      <c r="W1914" s="82" t="s">
        <v>5309</v>
      </c>
      <c r="X1914" s="77"/>
      <c r="Y1914" s="77"/>
      <c r="Z1914" s="77"/>
      <c r="AA1914" s="77"/>
      <c r="AB1914" s="77"/>
      <c r="AC1914" s="82" t="s">
        <v>7705</v>
      </c>
      <c r="AD1914" s="77" t="s">
        <v>7745</v>
      </c>
      <c r="AE1914" s="80" t="str">
        <f>HYPERLINK("https://twitter.com/economedicos/status/1620008591536320512")</f>
        <v>https://twitter.com/economedicos/status/1620008591536320512</v>
      </c>
      <c r="AF1914" s="79">
        <v>44956.443530092591</v>
      </c>
      <c r="AG1914" s="85">
        <v>44956</v>
      </c>
      <c r="AH1914" s="82" t="s">
        <v>9460</v>
      </c>
      <c r="AI1914" s="77"/>
      <c r="AJ1914" s="77"/>
      <c r="AK1914" s="77"/>
      <c r="AL1914" s="77"/>
      <c r="AM1914" s="77"/>
      <c r="AN1914" s="77"/>
      <c r="AO1914" s="77"/>
      <c r="AP1914" s="77"/>
      <c r="AQ1914" s="77"/>
      <c r="AR1914" s="77"/>
      <c r="AS1914" s="77"/>
      <c r="AT1914" s="77"/>
      <c r="AU1914" s="77"/>
      <c r="AV1914" s="80" t="str">
        <f>HYPERLINK("https://pbs.twimg.com/profile_images/1283576393662636034/EjgsMA_W_normal.jpg")</f>
        <v>https://pbs.twimg.com/profile_images/1283576393662636034/EjgsMA_W_normal.jpg</v>
      </c>
      <c r="AW1914" s="82" t="s">
        <v>14079</v>
      </c>
      <c r="AX1914" s="82" t="s">
        <v>15486</v>
      </c>
      <c r="AY1914" s="82" t="s">
        <v>15767</v>
      </c>
      <c r="AZ1914" s="82" t="s">
        <v>16015</v>
      </c>
      <c r="BA1914" s="82" t="s">
        <v>15804</v>
      </c>
      <c r="BB1914" s="82" t="s">
        <v>15804</v>
      </c>
      <c r="BC1914" s="82" t="s">
        <v>16015</v>
      </c>
      <c r="BD1914" s="82" t="s">
        <v>15767</v>
      </c>
      <c r="BE1914" s="77"/>
      <c r="BF1914" s="77"/>
      <c r="BG1914" s="77"/>
      <c r="BH1914" s="77"/>
      <c r="BI1914" s="77"/>
    </row>
    <row r="1915" spans="1:61" x14ac:dyDescent="0.25">
      <c r="A1915" s="62" t="s">
        <v>819</v>
      </c>
      <c r="B1915" s="62" t="s">
        <v>819</v>
      </c>
      <c r="C1915" s="63"/>
      <c r="D1915" s="64"/>
      <c r="E1915" s="65"/>
      <c r="F1915" s="66"/>
      <c r="G1915" s="63"/>
      <c r="H1915" s="67"/>
      <c r="I1915" s="68"/>
      <c r="J1915" s="68"/>
      <c r="K1915" s="32"/>
      <c r="L1915" s="75">
        <v>1915</v>
      </c>
      <c r="M1915" s="75"/>
      <c r="N1915" s="70"/>
      <c r="O1915" s="77" t="s">
        <v>1132</v>
      </c>
      <c r="P1915" s="79">
        <v>44953.460601851853</v>
      </c>
      <c r="Q1915" s="77" t="s">
        <v>2971</v>
      </c>
      <c r="R1915" s="77">
        <v>0</v>
      </c>
      <c r="S1915" s="77">
        <v>0</v>
      </c>
      <c r="T1915" s="77">
        <v>0</v>
      </c>
      <c r="U1915" s="77">
        <v>0</v>
      </c>
      <c r="V1915" s="77">
        <v>8</v>
      </c>
      <c r="W1915" s="82" t="s">
        <v>5308</v>
      </c>
      <c r="X1915" s="77"/>
      <c r="Y1915" s="77"/>
      <c r="Z1915" s="77"/>
      <c r="AA1915" s="77"/>
      <c r="AB1915" s="77"/>
      <c r="AC1915" s="82" t="s">
        <v>7705</v>
      </c>
      <c r="AD1915" s="77" t="s">
        <v>7745</v>
      </c>
      <c r="AE1915" s="80" t="str">
        <f>HYPERLINK("https://twitter.com/economedicos/status/1618927616123338753")</f>
        <v>https://twitter.com/economedicos/status/1618927616123338753</v>
      </c>
      <c r="AF1915" s="79">
        <v>44953.460601851853</v>
      </c>
      <c r="AG1915" s="85">
        <v>44953</v>
      </c>
      <c r="AH1915" s="82" t="s">
        <v>9461</v>
      </c>
      <c r="AI1915" s="77"/>
      <c r="AJ1915" s="77"/>
      <c r="AK1915" s="77"/>
      <c r="AL1915" s="77"/>
      <c r="AM1915" s="77"/>
      <c r="AN1915" s="77"/>
      <c r="AO1915" s="77"/>
      <c r="AP1915" s="77"/>
      <c r="AQ1915" s="77"/>
      <c r="AR1915" s="77"/>
      <c r="AS1915" s="77"/>
      <c r="AT1915" s="77"/>
      <c r="AU1915" s="77"/>
      <c r="AV1915" s="80" t="str">
        <f>HYPERLINK("https://pbs.twimg.com/profile_images/1283576393662636034/EjgsMA_W_normal.jpg")</f>
        <v>https://pbs.twimg.com/profile_images/1283576393662636034/EjgsMA_W_normal.jpg</v>
      </c>
      <c r="AW1915" s="82" t="s">
        <v>14080</v>
      </c>
      <c r="AX1915" s="82" t="s">
        <v>15487</v>
      </c>
      <c r="AY1915" s="82" t="s">
        <v>15767</v>
      </c>
      <c r="AZ1915" s="82" t="s">
        <v>16016</v>
      </c>
      <c r="BA1915" s="82" t="s">
        <v>15804</v>
      </c>
      <c r="BB1915" s="82" t="s">
        <v>15804</v>
      </c>
      <c r="BC1915" s="82" t="s">
        <v>16016</v>
      </c>
      <c r="BD1915" s="82" t="s">
        <v>15767</v>
      </c>
      <c r="BE1915" s="77"/>
      <c r="BF1915" s="77"/>
      <c r="BG1915" s="77"/>
      <c r="BH1915" s="77"/>
      <c r="BI1915" s="77"/>
    </row>
    <row r="1916" spans="1:61" x14ac:dyDescent="0.25">
      <c r="A1916" s="62" t="s">
        <v>819</v>
      </c>
      <c r="B1916" s="62" t="s">
        <v>819</v>
      </c>
      <c r="C1916" s="63"/>
      <c r="D1916" s="64"/>
      <c r="E1916" s="65"/>
      <c r="F1916" s="66"/>
      <c r="G1916" s="63"/>
      <c r="H1916" s="67"/>
      <c r="I1916" s="68"/>
      <c r="J1916" s="68"/>
      <c r="K1916" s="32"/>
      <c r="L1916" s="75">
        <v>1916</v>
      </c>
      <c r="M1916" s="75"/>
      <c r="N1916" s="70"/>
      <c r="O1916" s="77" t="s">
        <v>1132</v>
      </c>
      <c r="P1916" s="79">
        <v>44952.446863425925</v>
      </c>
      <c r="Q1916" s="77" t="s">
        <v>2972</v>
      </c>
      <c r="R1916" s="77">
        <v>0</v>
      </c>
      <c r="S1916" s="77">
        <v>0</v>
      </c>
      <c r="T1916" s="77">
        <v>0</v>
      </c>
      <c r="U1916" s="77">
        <v>0</v>
      </c>
      <c r="V1916" s="77">
        <v>11</v>
      </c>
      <c r="W1916" s="82" t="s">
        <v>5308</v>
      </c>
      <c r="X1916" s="77"/>
      <c r="Y1916" s="77"/>
      <c r="Z1916" s="77"/>
      <c r="AA1916" s="77"/>
      <c r="AB1916" s="77"/>
      <c r="AC1916" s="82" t="s">
        <v>7705</v>
      </c>
      <c r="AD1916" s="77" t="s">
        <v>7745</v>
      </c>
      <c r="AE1916" s="80" t="str">
        <f>HYPERLINK("https://twitter.com/economedicos/status/1618560248717152259")</f>
        <v>https://twitter.com/economedicos/status/1618560248717152259</v>
      </c>
      <c r="AF1916" s="79">
        <v>44952.446863425925</v>
      </c>
      <c r="AG1916" s="85">
        <v>44952</v>
      </c>
      <c r="AH1916" s="82" t="s">
        <v>9462</v>
      </c>
      <c r="AI1916" s="77"/>
      <c r="AJ1916" s="77"/>
      <c r="AK1916" s="77"/>
      <c r="AL1916" s="77"/>
      <c r="AM1916" s="77"/>
      <c r="AN1916" s="77"/>
      <c r="AO1916" s="77"/>
      <c r="AP1916" s="77"/>
      <c r="AQ1916" s="77"/>
      <c r="AR1916" s="77"/>
      <c r="AS1916" s="77"/>
      <c r="AT1916" s="77"/>
      <c r="AU1916" s="77"/>
      <c r="AV1916" s="80" t="str">
        <f>HYPERLINK("https://pbs.twimg.com/profile_images/1283576393662636034/EjgsMA_W_normal.jpg")</f>
        <v>https://pbs.twimg.com/profile_images/1283576393662636034/EjgsMA_W_normal.jpg</v>
      </c>
      <c r="AW1916" s="82" t="s">
        <v>14081</v>
      </c>
      <c r="AX1916" s="82" t="s">
        <v>15488</v>
      </c>
      <c r="AY1916" s="82" t="s">
        <v>15767</v>
      </c>
      <c r="AZ1916" s="82" t="s">
        <v>16017</v>
      </c>
      <c r="BA1916" s="82" t="s">
        <v>15804</v>
      </c>
      <c r="BB1916" s="82" t="s">
        <v>15804</v>
      </c>
      <c r="BC1916" s="82" t="s">
        <v>16017</v>
      </c>
      <c r="BD1916" s="82" t="s">
        <v>15767</v>
      </c>
      <c r="BE1916" s="77"/>
      <c r="BF1916" s="77"/>
      <c r="BG1916" s="77"/>
      <c r="BH1916" s="77"/>
      <c r="BI1916" s="77"/>
    </row>
    <row r="1917" spans="1:61" x14ac:dyDescent="0.25">
      <c r="A1917" s="62" t="s">
        <v>819</v>
      </c>
      <c r="B1917" s="62" t="s">
        <v>819</v>
      </c>
      <c r="C1917" s="63"/>
      <c r="D1917" s="64"/>
      <c r="E1917" s="65"/>
      <c r="F1917" s="66"/>
      <c r="G1917" s="63"/>
      <c r="H1917" s="67"/>
      <c r="I1917" s="68"/>
      <c r="J1917" s="68"/>
      <c r="K1917" s="32"/>
      <c r="L1917" s="75">
        <v>1917</v>
      </c>
      <c r="M1917" s="75"/>
      <c r="N1917" s="70"/>
      <c r="O1917" s="77" t="s">
        <v>1132</v>
      </c>
      <c r="P1917" s="79">
        <v>44951.430763888886</v>
      </c>
      <c r="Q1917" s="77" t="s">
        <v>2973</v>
      </c>
      <c r="R1917" s="77">
        <v>0</v>
      </c>
      <c r="S1917" s="77">
        <v>0</v>
      </c>
      <c r="T1917" s="77">
        <v>0</v>
      </c>
      <c r="U1917" s="77">
        <v>0</v>
      </c>
      <c r="V1917" s="77">
        <v>3</v>
      </c>
      <c r="W1917" s="82" t="s">
        <v>5308</v>
      </c>
      <c r="X1917" s="77"/>
      <c r="Y1917" s="77"/>
      <c r="Z1917" s="77"/>
      <c r="AA1917" s="77"/>
      <c r="AB1917" s="77"/>
      <c r="AC1917" s="82" t="s">
        <v>7705</v>
      </c>
      <c r="AD1917" s="77" t="s">
        <v>7745</v>
      </c>
      <c r="AE1917" s="80" t="str">
        <f>HYPERLINK("https://twitter.com/economedicos/status/1618192028361461760")</f>
        <v>https://twitter.com/economedicos/status/1618192028361461760</v>
      </c>
      <c r="AF1917" s="79">
        <v>44951.430763888886</v>
      </c>
      <c r="AG1917" s="85">
        <v>44951</v>
      </c>
      <c r="AH1917" s="82" t="s">
        <v>9463</v>
      </c>
      <c r="AI1917" s="77"/>
      <c r="AJ1917" s="77"/>
      <c r="AK1917" s="77"/>
      <c r="AL1917" s="77"/>
      <c r="AM1917" s="77"/>
      <c r="AN1917" s="77"/>
      <c r="AO1917" s="77"/>
      <c r="AP1917" s="77"/>
      <c r="AQ1917" s="77"/>
      <c r="AR1917" s="77"/>
      <c r="AS1917" s="77"/>
      <c r="AT1917" s="77"/>
      <c r="AU1917" s="77"/>
      <c r="AV1917" s="80" t="str">
        <f>HYPERLINK("https://pbs.twimg.com/profile_images/1283576393662636034/EjgsMA_W_normal.jpg")</f>
        <v>https://pbs.twimg.com/profile_images/1283576393662636034/EjgsMA_W_normal.jpg</v>
      </c>
      <c r="AW1917" s="82" t="s">
        <v>14082</v>
      </c>
      <c r="AX1917" s="82" t="s">
        <v>15489</v>
      </c>
      <c r="AY1917" s="82" t="s">
        <v>15767</v>
      </c>
      <c r="AZ1917" s="82" t="s">
        <v>16018</v>
      </c>
      <c r="BA1917" s="82" t="s">
        <v>15804</v>
      </c>
      <c r="BB1917" s="82" t="s">
        <v>15804</v>
      </c>
      <c r="BC1917" s="82" t="s">
        <v>16018</v>
      </c>
      <c r="BD1917" s="82" t="s">
        <v>15767</v>
      </c>
      <c r="BE1917" s="77"/>
      <c r="BF1917" s="77"/>
      <c r="BG1917" s="77"/>
      <c r="BH1917" s="77"/>
      <c r="BI1917" s="77"/>
    </row>
    <row r="1918" spans="1:61" x14ac:dyDescent="0.25">
      <c r="A1918" s="62" t="s">
        <v>819</v>
      </c>
      <c r="B1918" s="62" t="s">
        <v>819</v>
      </c>
      <c r="C1918" s="63"/>
      <c r="D1918" s="64"/>
      <c r="E1918" s="65"/>
      <c r="F1918" s="66"/>
      <c r="G1918" s="63"/>
      <c r="H1918" s="67"/>
      <c r="I1918" s="68"/>
      <c r="J1918" s="68"/>
      <c r="K1918" s="32"/>
      <c r="L1918" s="75">
        <v>1918</v>
      </c>
      <c r="M1918" s="75"/>
      <c r="N1918" s="70"/>
      <c r="O1918" s="77" t="s">
        <v>1132</v>
      </c>
      <c r="P1918" s="79">
        <v>44950.421493055554</v>
      </c>
      <c r="Q1918" s="77" t="s">
        <v>2974</v>
      </c>
      <c r="R1918" s="77">
        <v>0</v>
      </c>
      <c r="S1918" s="77">
        <v>0</v>
      </c>
      <c r="T1918" s="77">
        <v>0</v>
      </c>
      <c r="U1918" s="77">
        <v>0</v>
      </c>
      <c r="V1918" s="77">
        <v>7</v>
      </c>
      <c r="W1918" s="82" t="s">
        <v>5308</v>
      </c>
      <c r="X1918" s="77"/>
      <c r="Y1918" s="77"/>
      <c r="Z1918" s="77"/>
      <c r="AA1918" s="77"/>
      <c r="AB1918" s="77"/>
      <c r="AC1918" s="82" t="s">
        <v>7705</v>
      </c>
      <c r="AD1918" s="77" t="s">
        <v>7745</v>
      </c>
      <c r="AE1918" s="80" t="str">
        <f>HYPERLINK("https://twitter.com/economedicos/status/1617826279402897410")</f>
        <v>https://twitter.com/economedicos/status/1617826279402897410</v>
      </c>
      <c r="AF1918" s="79">
        <v>44950.421493055554</v>
      </c>
      <c r="AG1918" s="85">
        <v>44950</v>
      </c>
      <c r="AH1918" s="82" t="s">
        <v>9464</v>
      </c>
      <c r="AI1918" s="77"/>
      <c r="AJ1918" s="77"/>
      <c r="AK1918" s="77"/>
      <c r="AL1918" s="77"/>
      <c r="AM1918" s="77"/>
      <c r="AN1918" s="77"/>
      <c r="AO1918" s="77"/>
      <c r="AP1918" s="77"/>
      <c r="AQ1918" s="77"/>
      <c r="AR1918" s="77"/>
      <c r="AS1918" s="77"/>
      <c r="AT1918" s="77"/>
      <c r="AU1918" s="77"/>
      <c r="AV1918" s="80" t="str">
        <f>HYPERLINK("https://pbs.twimg.com/profile_images/1283576393662636034/EjgsMA_W_normal.jpg")</f>
        <v>https://pbs.twimg.com/profile_images/1283576393662636034/EjgsMA_W_normal.jpg</v>
      </c>
      <c r="AW1918" s="82" t="s">
        <v>14083</v>
      </c>
      <c r="AX1918" s="82" t="s">
        <v>15490</v>
      </c>
      <c r="AY1918" s="82" t="s">
        <v>15767</v>
      </c>
      <c r="AZ1918" s="82" t="s">
        <v>16019</v>
      </c>
      <c r="BA1918" s="82" t="s">
        <v>15804</v>
      </c>
      <c r="BB1918" s="82" t="s">
        <v>15804</v>
      </c>
      <c r="BC1918" s="82" t="s">
        <v>16019</v>
      </c>
      <c r="BD1918" s="82" t="s">
        <v>15767</v>
      </c>
      <c r="BE1918" s="77"/>
      <c r="BF1918" s="77"/>
      <c r="BG1918" s="77"/>
      <c r="BH1918" s="77"/>
      <c r="BI1918" s="77"/>
    </row>
    <row r="1919" spans="1:61" x14ac:dyDescent="0.25">
      <c r="A1919" s="62" t="s">
        <v>819</v>
      </c>
      <c r="B1919" s="62" t="s">
        <v>819</v>
      </c>
      <c r="C1919" s="63"/>
      <c r="D1919" s="64"/>
      <c r="E1919" s="65"/>
      <c r="F1919" s="66"/>
      <c r="G1919" s="63"/>
      <c r="H1919" s="67"/>
      <c r="I1919" s="68"/>
      <c r="J1919" s="68"/>
      <c r="K1919" s="32"/>
      <c r="L1919" s="75">
        <v>1919</v>
      </c>
      <c r="M1919" s="75"/>
      <c r="N1919" s="70"/>
      <c r="O1919" s="77" t="s">
        <v>1132</v>
      </c>
      <c r="P1919" s="79">
        <v>44949.465914351851</v>
      </c>
      <c r="Q1919" s="77" t="s">
        <v>2975</v>
      </c>
      <c r="R1919" s="77">
        <v>0</v>
      </c>
      <c r="S1919" s="77">
        <v>0</v>
      </c>
      <c r="T1919" s="77">
        <v>0</v>
      </c>
      <c r="U1919" s="77">
        <v>0</v>
      </c>
      <c r="V1919" s="77">
        <v>7</v>
      </c>
      <c r="W1919" s="82" t="s">
        <v>5308</v>
      </c>
      <c r="X1919" s="77"/>
      <c r="Y1919" s="77"/>
      <c r="Z1919" s="77"/>
      <c r="AA1919" s="77"/>
      <c r="AB1919" s="77"/>
      <c r="AC1919" s="82" t="s">
        <v>7705</v>
      </c>
      <c r="AD1919" s="77" t="s">
        <v>7745</v>
      </c>
      <c r="AE1919" s="80" t="str">
        <f>HYPERLINK("https://twitter.com/economedicos/status/1617479990869913601")</f>
        <v>https://twitter.com/economedicos/status/1617479990869913601</v>
      </c>
      <c r="AF1919" s="79">
        <v>44949.465914351851</v>
      </c>
      <c r="AG1919" s="85">
        <v>44949</v>
      </c>
      <c r="AH1919" s="82" t="s">
        <v>9465</v>
      </c>
      <c r="AI1919" s="77"/>
      <c r="AJ1919" s="77"/>
      <c r="AK1919" s="77"/>
      <c r="AL1919" s="77"/>
      <c r="AM1919" s="77"/>
      <c r="AN1919" s="77"/>
      <c r="AO1919" s="77"/>
      <c r="AP1919" s="77"/>
      <c r="AQ1919" s="77"/>
      <c r="AR1919" s="77"/>
      <c r="AS1919" s="77"/>
      <c r="AT1919" s="77"/>
      <c r="AU1919" s="77"/>
      <c r="AV1919" s="80" t="str">
        <f>HYPERLINK("https://pbs.twimg.com/profile_images/1283576393662636034/EjgsMA_W_normal.jpg")</f>
        <v>https://pbs.twimg.com/profile_images/1283576393662636034/EjgsMA_W_normal.jpg</v>
      </c>
      <c r="AW1919" s="82" t="s">
        <v>14084</v>
      </c>
      <c r="AX1919" s="82" t="s">
        <v>15491</v>
      </c>
      <c r="AY1919" s="82" t="s">
        <v>15767</v>
      </c>
      <c r="AZ1919" s="82" t="s">
        <v>16020</v>
      </c>
      <c r="BA1919" s="82" t="s">
        <v>15804</v>
      </c>
      <c r="BB1919" s="82" t="s">
        <v>15804</v>
      </c>
      <c r="BC1919" s="82" t="s">
        <v>16020</v>
      </c>
      <c r="BD1919" s="82" t="s">
        <v>15767</v>
      </c>
      <c r="BE1919" s="77"/>
      <c r="BF1919" s="77"/>
      <c r="BG1919" s="77"/>
      <c r="BH1919" s="77"/>
      <c r="BI1919" s="77"/>
    </row>
    <row r="1920" spans="1:61" x14ac:dyDescent="0.25">
      <c r="A1920" s="62" t="s">
        <v>819</v>
      </c>
      <c r="B1920" s="62" t="s">
        <v>819</v>
      </c>
      <c r="C1920" s="63"/>
      <c r="D1920" s="64"/>
      <c r="E1920" s="65"/>
      <c r="F1920" s="66"/>
      <c r="G1920" s="63"/>
      <c r="H1920" s="67"/>
      <c r="I1920" s="68"/>
      <c r="J1920" s="68"/>
      <c r="K1920" s="32"/>
      <c r="L1920" s="75">
        <v>1920</v>
      </c>
      <c r="M1920" s="75"/>
      <c r="N1920" s="70"/>
      <c r="O1920" s="77" t="s">
        <v>1132</v>
      </c>
      <c r="P1920" s="79">
        <v>45181.471134259256</v>
      </c>
      <c r="Q1920" s="77" t="s">
        <v>2976</v>
      </c>
      <c r="R1920" s="77">
        <v>0</v>
      </c>
      <c r="S1920" s="77">
        <v>0</v>
      </c>
      <c r="T1920" s="77">
        <v>0</v>
      </c>
      <c r="U1920" s="77">
        <v>0</v>
      </c>
      <c r="V1920" s="77">
        <v>7</v>
      </c>
      <c r="W1920" s="82" t="s">
        <v>5308</v>
      </c>
      <c r="X1920" s="77"/>
      <c r="Y1920" s="77"/>
      <c r="Z1920" s="77"/>
      <c r="AA1920" s="77"/>
      <c r="AB1920" s="77"/>
      <c r="AC1920" s="82" t="s">
        <v>7705</v>
      </c>
      <c r="AD1920" s="77" t="s">
        <v>7745</v>
      </c>
      <c r="AE1920" s="80" t="str">
        <f>HYPERLINK("https://twitter.com/economedicos/status/1701555865596150198")</f>
        <v>https://twitter.com/economedicos/status/1701555865596150198</v>
      </c>
      <c r="AF1920" s="79">
        <v>45181.471134259256</v>
      </c>
      <c r="AG1920" s="85">
        <v>45181</v>
      </c>
      <c r="AH1920" s="82" t="s">
        <v>9466</v>
      </c>
      <c r="AI1920" s="77"/>
      <c r="AJ1920" s="77"/>
      <c r="AK1920" s="77"/>
      <c r="AL1920" s="77"/>
      <c r="AM1920" s="77"/>
      <c r="AN1920" s="77"/>
      <c r="AO1920" s="77"/>
      <c r="AP1920" s="77"/>
      <c r="AQ1920" s="77"/>
      <c r="AR1920" s="77"/>
      <c r="AS1920" s="77"/>
      <c r="AT1920" s="77"/>
      <c r="AU1920" s="77"/>
      <c r="AV1920" s="80" t="str">
        <f>HYPERLINK("https://pbs.twimg.com/profile_images/1283576393662636034/EjgsMA_W_normal.jpg")</f>
        <v>https://pbs.twimg.com/profile_images/1283576393662636034/EjgsMA_W_normal.jpg</v>
      </c>
      <c r="AW1920" s="82" t="s">
        <v>14085</v>
      </c>
      <c r="AX1920" s="82" t="s">
        <v>15492</v>
      </c>
      <c r="AY1920" s="82" t="s">
        <v>15767</v>
      </c>
      <c r="AZ1920" s="82" t="s">
        <v>16021</v>
      </c>
      <c r="BA1920" s="82" t="s">
        <v>15804</v>
      </c>
      <c r="BB1920" s="82" t="s">
        <v>15804</v>
      </c>
      <c r="BC1920" s="82" t="s">
        <v>16021</v>
      </c>
      <c r="BD1920" s="82" t="s">
        <v>15767</v>
      </c>
      <c r="BE1920" s="77"/>
      <c r="BF1920" s="77"/>
      <c r="BG1920" s="77"/>
      <c r="BH1920" s="77"/>
      <c r="BI1920" s="77"/>
    </row>
    <row r="1921" spans="1:61" x14ac:dyDescent="0.25">
      <c r="A1921" s="62" t="s">
        <v>819</v>
      </c>
      <c r="B1921" s="62" t="s">
        <v>819</v>
      </c>
      <c r="C1921" s="63"/>
      <c r="D1921" s="64"/>
      <c r="E1921" s="65"/>
      <c r="F1921" s="66"/>
      <c r="G1921" s="63"/>
      <c r="H1921" s="67"/>
      <c r="I1921" s="68"/>
      <c r="J1921" s="68"/>
      <c r="K1921" s="32"/>
      <c r="L1921" s="75">
        <v>1921</v>
      </c>
      <c r="M1921" s="75"/>
      <c r="N1921" s="70"/>
      <c r="O1921" s="77" t="s">
        <v>1132</v>
      </c>
      <c r="P1921" s="79">
        <v>45174.429479166669</v>
      </c>
      <c r="Q1921" s="77" t="s">
        <v>2977</v>
      </c>
      <c r="R1921" s="77">
        <v>0</v>
      </c>
      <c r="S1921" s="77">
        <v>0</v>
      </c>
      <c r="T1921" s="77">
        <v>0</v>
      </c>
      <c r="U1921" s="77">
        <v>0</v>
      </c>
      <c r="V1921" s="77">
        <v>14</v>
      </c>
      <c r="W1921" s="82" t="s">
        <v>5308</v>
      </c>
      <c r="X1921" s="77"/>
      <c r="Y1921" s="77"/>
      <c r="Z1921" s="77"/>
      <c r="AA1921" s="77"/>
      <c r="AB1921" s="77"/>
      <c r="AC1921" s="82" t="s">
        <v>7705</v>
      </c>
      <c r="AD1921" s="77" t="s">
        <v>7745</v>
      </c>
      <c r="AE1921" s="80" t="str">
        <f>HYPERLINK("https://twitter.com/economedicos/status/1699004054465020379")</f>
        <v>https://twitter.com/economedicos/status/1699004054465020379</v>
      </c>
      <c r="AF1921" s="79">
        <v>45174.429479166669</v>
      </c>
      <c r="AG1921" s="85">
        <v>45174</v>
      </c>
      <c r="AH1921" s="82" t="s">
        <v>9467</v>
      </c>
      <c r="AI1921" s="77"/>
      <c r="AJ1921" s="77"/>
      <c r="AK1921" s="77"/>
      <c r="AL1921" s="77"/>
      <c r="AM1921" s="77"/>
      <c r="AN1921" s="77"/>
      <c r="AO1921" s="77"/>
      <c r="AP1921" s="77"/>
      <c r="AQ1921" s="77"/>
      <c r="AR1921" s="77"/>
      <c r="AS1921" s="77"/>
      <c r="AT1921" s="77"/>
      <c r="AU1921" s="77"/>
      <c r="AV1921" s="80" t="str">
        <f>HYPERLINK("https://pbs.twimg.com/profile_images/1283576393662636034/EjgsMA_W_normal.jpg")</f>
        <v>https://pbs.twimg.com/profile_images/1283576393662636034/EjgsMA_W_normal.jpg</v>
      </c>
      <c r="AW1921" s="82" t="s">
        <v>14086</v>
      </c>
      <c r="AX1921" s="82" t="s">
        <v>15493</v>
      </c>
      <c r="AY1921" s="82" t="s">
        <v>15767</v>
      </c>
      <c r="AZ1921" s="82" t="s">
        <v>16022</v>
      </c>
      <c r="BA1921" s="82" t="s">
        <v>15804</v>
      </c>
      <c r="BB1921" s="82" t="s">
        <v>15804</v>
      </c>
      <c r="BC1921" s="82" t="s">
        <v>16022</v>
      </c>
      <c r="BD1921" s="82" t="s">
        <v>15767</v>
      </c>
      <c r="BE1921" s="77"/>
      <c r="BF1921" s="77"/>
      <c r="BG1921" s="77"/>
      <c r="BH1921" s="77"/>
      <c r="BI1921" s="77"/>
    </row>
    <row r="1922" spans="1:61" x14ac:dyDescent="0.25">
      <c r="A1922" s="62" t="s">
        <v>819</v>
      </c>
      <c r="B1922" s="62" t="s">
        <v>819</v>
      </c>
      <c r="C1922" s="63"/>
      <c r="D1922" s="64"/>
      <c r="E1922" s="65"/>
      <c r="F1922" s="66"/>
      <c r="G1922" s="63"/>
      <c r="H1922" s="67"/>
      <c r="I1922" s="68"/>
      <c r="J1922" s="68"/>
      <c r="K1922" s="32"/>
      <c r="L1922" s="75">
        <v>1922</v>
      </c>
      <c r="M1922" s="75"/>
      <c r="N1922" s="70"/>
      <c r="O1922" s="77" t="s">
        <v>1132</v>
      </c>
      <c r="P1922" s="79">
        <v>45169.525347222225</v>
      </c>
      <c r="Q1922" s="77" t="s">
        <v>2978</v>
      </c>
      <c r="R1922" s="77">
        <v>0</v>
      </c>
      <c r="S1922" s="77">
        <v>0</v>
      </c>
      <c r="T1922" s="77">
        <v>0</v>
      </c>
      <c r="U1922" s="77">
        <v>0</v>
      </c>
      <c r="V1922" s="77">
        <v>15</v>
      </c>
      <c r="W1922" s="82" t="s">
        <v>5308</v>
      </c>
      <c r="X1922" s="77"/>
      <c r="Y1922" s="77"/>
      <c r="Z1922" s="77"/>
      <c r="AA1922" s="77"/>
      <c r="AB1922" s="77"/>
      <c r="AC1922" s="82" t="s">
        <v>7705</v>
      </c>
      <c r="AD1922" s="77" t="s">
        <v>7745</v>
      </c>
      <c r="AE1922" s="80" t="str">
        <f>HYPERLINK("https://twitter.com/economedicos/status/1697226858943729689")</f>
        <v>https://twitter.com/economedicos/status/1697226858943729689</v>
      </c>
      <c r="AF1922" s="79">
        <v>45169.525347222225</v>
      </c>
      <c r="AG1922" s="85">
        <v>45169</v>
      </c>
      <c r="AH1922" s="82" t="s">
        <v>9468</v>
      </c>
      <c r="AI1922" s="77"/>
      <c r="AJ1922" s="77"/>
      <c r="AK1922" s="77"/>
      <c r="AL1922" s="77"/>
      <c r="AM1922" s="77"/>
      <c r="AN1922" s="77"/>
      <c r="AO1922" s="77"/>
      <c r="AP1922" s="77"/>
      <c r="AQ1922" s="77"/>
      <c r="AR1922" s="77"/>
      <c r="AS1922" s="77"/>
      <c r="AT1922" s="77"/>
      <c r="AU1922" s="77"/>
      <c r="AV1922" s="80" t="str">
        <f>HYPERLINK("https://pbs.twimg.com/profile_images/1283576393662636034/EjgsMA_W_normal.jpg")</f>
        <v>https://pbs.twimg.com/profile_images/1283576393662636034/EjgsMA_W_normal.jpg</v>
      </c>
      <c r="AW1922" s="82" t="s">
        <v>14087</v>
      </c>
      <c r="AX1922" s="82" t="s">
        <v>15494</v>
      </c>
      <c r="AY1922" s="82" t="s">
        <v>15767</v>
      </c>
      <c r="AZ1922" s="82" t="s">
        <v>16023</v>
      </c>
      <c r="BA1922" s="82" t="s">
        <v>15804</v>
      </c>
      <c r="BB1922" s="82" t="s">
        <v>15804</v>
      </c>
      <c r="BC1922" s="82" t="s">
        <v>16023</v>
      </c>
      <c r="BD1922" s="82" t="s">
        <v>15767</v>
      </c>
      <c r="BE1922" s="77"/>
      <c r="BF1922" s="77"/>
      <c r="BG1922" s="77"/>
      <c r="BH1922" s="77"/>
      <c r="BI1922" s="77"/>
    </row>
    <row r="1923" spans="1:61" x14ac:dyDescent="0.25">
      <c r="A1923" s="62" t="s">
        <v>819</v>
      </c>
      <c r="B1923" s="62" t="s">
        <v>819</v>
      </c>
      <c r="C1923" s="63"/>
      <c r="D1923" s="64"/>
      <c r="E1923" s="65"/>
      <c r="F1923" s="66"/>
      <c r="G1923" s="63"/>
      <c r="H1923" s="67"/>
      <c r="I1923" s="68"/>
      <c r="J1923" s="68"/>
      <c r="K1923" s="32"/>
      <c r="L1923" s="75">
        <v>1923</v>
      </c>
      <c r="M1923" s="75"/>
      <c r="N1923" s="70"/>
      <c r="O1923" s="77" t="s">
        <v>1132</v>
      </c>
      <c r="P1923" s="79">
        <v>45163.421585648146</v>
      </c>
      <c r="Q1923" s="77" t="s">
        <v>2979</v>
      </c>
      <c r="R1923" s="77">
        <v>0</v>
      </c>
      <c r="S1923" s="77">
        <v>0</v>
      </c>
      <c r="T1923" s="77">
        <v>0</v>
      </c>
      <c r="U1923" s="77">
        <v>0</v>
      </c>
      <c r="V1923" s="77">
        <v>20</v>
      </c>
      <c r="W1923" s="82" t="s">
        <v>5308</v>
      </c>
      <c r="X1923" s="77"/>
      <c r="Y1923" s="77"/>
      <c r="Z1923" s="77"/>
      <c r="AA1923" s="77"/>
      <c r="AB1923" s="77"/>
      <c r="AC1923" s="82" t="s">
        <v>7705</v>
      </c>
      <c r="AD1923" s="77" t="s">
        <v>7745</v>
      </c>
      <c r="AE1923" s="80" t="str">
        <f>HYPERLINK("https://twitter.com/economedicos/status/1695014926836740383")</f>
        <v>https://twitter.com/economedicos/status/1695014926836740383</v>
      </c>
      <c r="AF1923" s="79">
        <v>45163.421585648146</v>
      </c>
      <c r="AG1923" s="85">
        <v>45163</v>
      </c>
      <c r="AH1923" s="82" t="s">
        <v>9469</v>
      </c>
      <c r="AI1923" s="77"/>
      <c r="AJ1923" s="77"/>
      <c r="AK1923" s="77"/>
      <c r="AL1923" s="77"/>
      <c r="AM1923" s="77"/>
      <c r="AN1923" s="77"/>
      <c r="AO1923" s="77"/>
      <c r="AP1923" s="77"/>
      <c r="AQ1923" s="77"/>
      <c r="AR1923" s="77"/>
      <c r="AS1923" s="77"/>
      <c r="AT1923" s="77"/>
      <c r="AU1923" s="77"/>
      <c r="AV1923" s="80" t="str">
        <f>HYPERLINK("https://pbs.twimg.com/profile_images/1283576393662636034/EjgsMA_W_normal.jpg")</f>
        <v>https://pbs.twimg.com/profile_images/1283576393662636034/EjgsMA_W_normal.jpg</v>
      </c>
      <c r="AW1923" s="82" t="s">
        <v>14088</v>
      </c>
      <c r="AX1923" s="82" t="s">
        <v>15495</v>
      </c>
      <c r="AY1923" s="82" t="s">
        <v>15767</v>
      </c>
      <c r="AZ1923" s="82" t="s">
        <v>16024</v>
      </c>
      <c r="BA1923" s="82" t="s">
        <v>15804</v>
      </c>
      <c r="BB1923" s="82" t="s">
        <v>15804</v>
      </c>
      <c r="BC1923" s="82" t="s">
        <v>16024</v>
      </c>
      <c r="BD1923" s="82" t="s">
        <v>15767</v>
      </c>
      <c r="BE1923" s="77"/>
      <c r="BF1923" s="77"/>
      <c r="BG1923" s="77"/>
      <c r="BH1923" s="77"/>
      <c r="BI1923" s="77"/>
    </row>
    <row r="1924" spans="1:61" x14ac:dyDescent="0.25">
      <c r="A1924" s="62" t="s">
        <v>819</v>
      </c>
      <c r="B1924" s="62" t="s">
        <v>819</v>
      </c>
      <c r="C1924" s="63"/>
      <c r="D1924" s="64"/>
      <c r="E1924" s="65"/>
      <c r="F1924" s="66"/>
      <c r="G1924" s="63"/>
      <c r="H1924" s="67"/>
      <c r="I1924" s="68"/>
      <c r="J1924" s="68"/>
      <c r="K1924" s="32"/>
      <c r="L1924" s="75">
        <v>1924</v>
      </c>
      <c r="M1924" s="75"/>
      <c r="N1924" s="70"/>
      <c r="O1924" s="77" t="s">
        <v>1132</v>
      </c>
      <c r="P1924" s="79">
        <v>45162.453229166669</v>
      </c>
      <c r="Q1924" s="77" t="s">
        <v>2980</v>
      </c>
      <c r="R1924" s="77">
        <v>0</v>
      </c>
      <c r="S1924" s="77">
        <v>0</v>
      </c>
      <c r="T1924" s="77">
        <v>0</v>
      </c>
      <c r="U1924" s="77">
        <v>0</v>
      </c>
      <c r="V1924" s="77">
        <v>17</v>
      </c>
      <c r="W1924" s="82" t="s">
        <v>5308</v>
      </c>
      <c r="X1924" s="77"/>
      <c r="Y1924" s="77"/>
      <c r="Z1924" s="77"/>
      <c r="AA1924" s="77"/>
      <c r="AB1924" s="77"/>
      <c r="AC1924" s="82" t="s">
        <v>7705</v>
      </c>
      <c r="AD1924" s="77" t="s">
        <v>7745</v>
      </c>
      <c r="AE1924" s="80" t="str">
        <f>HYPERLINK("https://twitter.com/economedicos/status/1694664006127013962")</f>
        <v>https://twitter.com/economedicos/status/1694664006127013962</v>
      </c>
      <c r="AF1924" s="79">
        <v>45162.453229166669</v>
      </c>
      <c r="AG1924" s="85">
        <v>45162</v>
      </c>
      <c r="AH1924" s="82" t="s">
        <v>9470</v>
      </c>
      <c r="AI1924" s="77"/>
      <c r="AJ1924" s="77"/>
      <c r="AK1924" s="77"/>
      <c r="AL1924" s="77"/>
      <c r="AM1924" s="77"/>
      <c r="AN1924" s="77"/>
      <c r="AO1924" s="77"/>
      <c r="AP1924" s="77"/>
      <c r="AQ1924" s="77"/>
      <c r="AR1924" s="77"/>
      <c r="AS1924" s="77"/>
      <c r="AT1924" s="77"/>
      <c r="AU1924" s="77"/>
      <c r="AV1924" s="80" t="str">
        <f>HYPERLINK("https://pbs.twimg.com/profile_images/1283576393662636034/EjgsMA_W_normal.jpg")</f>
        <v>https://pbs.twimg.com/profile_images/1283576393662636034/EjgsMA_W_normal.jpg</v>
      </c>
      <c r="AW1924" s="82" t="s">
        <v>14089</v>
      </c>
      <c r="AX1924" s="82" t="s">
        <v>15496</v>
      </c>
      <c r="AY1924" s="82" t="s">
        <v>15767</v>
      </c>
      <c r="AZ1924" s="82" t="s">
        <v>16025</v>
      </c>
      <c r="BA1924" s="82" t="s">
        <v>15804</v>
      </c>
      <c r="BB1924" s="82" t="s">
        <v>15804</v>
      </c>
      <c r="BC1924" s="82" t="s">
        <v>16025</v>
      </c>
      <c r="BD1924" s="82" t="s">
        <v>15767</v>
      </c>
      <c r="BE1924" s="77"/>
      <c r="BF1924" s="77"/>
      <c r="BG1924" s="77"/>
      <c r="BH1924" s="77"/>
      <c r="BI1924" s="77"/>
    </row>
    <row r="1925" spans="1:61" x14ac:dyDescent="0.25">
      <c r="A1925" s="62" t="s">
        <v>819</v>
      </c>
      <c r="B1925" s="62" t="s">
        <v>819</v>
      </c>
      <c r="C1925" s="63"/>
      <c r="D1925" s="64"/>
      <c r="E1925" s="65"/>
      <c r="F1925" s="66"/>
      <c r="G1925" s="63"/>
      <c r="H1925" s="67"/>
      <c r="I1925" s="68"/>
      <c r="J1925" s="68"/>
      <c r="K1925" s="32"/>
      <c r="L1925" s="75">
        <v>1925</v>
      </c>
      <c r="M1925" s="75"/>
      <c r="N1925" s="70"/>
      <c r="O1925" s="77" t="s">
        <v>1132</v>
      </c>
      <c r="P1925" s="79">
        <v>45149.451319444444</v>
      </c>
      <c r="Q1925" s="77" t="s">
        <v>2981</v>
      </c>
      <c r="R1925" s="77">
        <v>0</v>
      </c>
      <c r="S1925" s="77">
        <v>0</v>
      </c>
      <c r="T1925" s="77">
        <v>0</v>
      </c>
      <c r="U1925" s="77">
        <v>0</v>
      </c>
      <c r="V1925" s="77">
        <v>8</v>
      </c>
      <c r="W1925" s="82" t="s">
        <v>5308</v>
      </c>
      <c r="X1925" s="77"/>
      <c r="Y1925" s="77"/>
      <c r="Z1925" s="77"/>
      <c r="AA1925" s="77"/>
      <c r="AB1925" s="77"/>
      <c r="AC1925" s="82" t="s">
        <v>7705</v>
      </c>
      <c r="AD1925" s="77" t="s">
        <v>7745</v>
      </c>
      <c r="AE1925" s="80" t="str">
        <f>HYPERLINK("https://twitter.com/economedicos/status/1689952272036311041")</f>
        <v>https://twitter.com/economedicos/status/1689952272036311041</v>
      </c>
      <c r="AF1925" s="79">
        <v>45149.451319444444</v>
      </c>
      <c r="AG1925" s="85">
        <v>45149</v>
      </c>
      <c r="AH1925" s="82" t="s">
        <v>9471</v>
      </c>
      <c r="AI1925" s="77"/>
      <c r="AJ1925" s="77"/>
      <c r="AK1925" s="77"/>
      <c r="AL1925" s="77"/>
      <c r="AM1925" s="77"/>
      <c r="AN1925" s="77"/>
      <c r="AO1925" s="77"/>
      <c r="AP1925" s="77"/>
      <c r="AQ1925" s="77"/>
      <c r="AR1925" s="77"/>
      <c r="AS1925" s="77"/>
      <c r="AT1925" s="77"/>
      <c r="AU1925" s="77"/>
      <c r="AV1925" s="80" t="str">
        <f>HYPERLINK("https://pbs.twimg.com/profile_images/1283576393662636034/EjgsMA_W_normal.jpg")</f>
        <v>https://pbs.twimg.com/profile_images/1283576393662636034/EjgsMA_W_normal.jpg</v>
      </c>
      <c r="AW1925" s="82" t="s">
        <v>14090</v>
      </c>
      <c r="AX1925" s="82" t="s">
        <v>15497</v>
      </c>
      <c r="AY1925" s="82" t="s">
        <v>15767</v>
      </c>
      <c r="AZ1925" s="82" t="s">
        <v>16026</v>
      </c>
      <c r="BA1925" s="82" t="s">
        <v>15804</v>
      </c>
      <c r="BB1925" s="82" t="s">
        <v>15804</v>
      </c>
      <c r="BC1925" s="82" t="s">
        <v>16026</v>
      </c>
      <c r="BD1925" s="82" t="s">
        <v>15767</v>
      </c>
      <c r="BE1925" s="77"/>
      <c r="BF1925" s="77"/>
      <c r="BG1925" s="77"/>
      <c r="BH1925" s="77"/>
      <c r="BI1925" s="77"/>
    </row>
    <row r="1926" spans="1:61" x14ac:dyDescent="0.25">
      <c r="A1926" s="62" t="s">
        <v>819</v>
      </c>
      <c r="B1926" s="62" t="s">
        <v>819</v>
      </c>
      <c r="C1926" s="63"/>
      <c r="D1926" s="64"/>
      <c r="E1926" s="65"/>
      <c r="F1926" s="66"/>
      <c r="G1926" s="63"/>
      <c r="H1926" s="67"/>
      <c r="I1926" s="68"/>
      <c r="J1926" s="68"/>
      <c r="K1926" s="32"/>
      <c r="L1926" s="75">
        <v>1926</v>
      </c>
      <c r="M1926" s="75"/>
      <c r="N1926" s="70"/>
      <c r="O1926" s="77" t="s">
        <v>1132</v>
      </c>
      <c r="P1926" s="79">
        <v>45148.443530092591</v>
      </c>
      <c r="Q1926" s="77" t="s">
        <v>2982</v>
      </c>
      <c r="R1926" s="77">
        <v>0</v>
      </c>
      <c r="S1926" s="77">
        <v>0</v>
      </c>
      <c r="T1926" s="77">
        <v>0</v>
      </c>
      <c r="U1926" s="77">
        <v>0</v>
      </c>
      <c r="V1926" s="77">
        <v>7</v>
      </c>
      <c r="W1926" s="82" t="s">
        <v>5308</v>
      </c>
      <c r="X1926" s="77"/>
      <c r="Y1926" s="77"/>
      <c r="Z1926" s="77"/>
      <c r="AA1926" s="77"/>
      <c r="AB1926" s="77"/>
      <c r="AC1926" s="82" t="s">
        <v>7705</v>
      </c>
      <c r="AD1926" s="77" t="s">
        <v>7745</v>
      </c>
      <c r="AE1926" s="80" t="str">
        <f>HYPERLINK("https://twitter.com/economedicos/status/1689587062993793025")</f>
        <v>https://twitter.com/economedicos/status/1689587062993793025</v>
      </c>
      <c r="AF1926" s="79">
        <v>45148.443530092591</v>
      </c>
      <c r="AG1926" s="85">
        <v>45148</v>
      </c>
      <c r="AH1926" s="82" t="s">
        <v>9460</v>
      </c>
      <c r="AI1926" s="77"/>
      <c r="AJ1926" s="77"/>
      <c r="AK1926" s="77"/>
      <c r="AL1926" s="77"/>
      <c r="AM1926" s="77"/>
      <c r="AN1926" s="77"/>
      <c r="AO1926" s="77"/>
      <c r="AP1926" s="77"/>
      <c r="AQ1926" s="77"/>
      <c r="AR1926" s="77"/>
      <c r="AS1926" s="77"/>
      <c r="AT1926" s="77"/>
      <c r="AU1926" s="77"/>
      <c r="AV1926" s="80" t="str">
        <f>HYPERLINK("https://pbs.twimg.com/profile_images/1283576393662636034/EjgsMA_W_normal.jpg")</f>
        <v>https://pbs.twimg.com/profile_images/1283576393662636034/EjgsMA_W_normal.jpg</v>
      </c>
      <c r="AW1926" s="82" t="s">
        <v>14091</v>
      </c>
      <c r="AX1926" s="82" t="s">
        <v>15498</v>
      </c>
      <c r="AY1926" s="82" t="s">
        <v>15767</v>
      </c>
      <c r="AZ1926" s="82" t="s">
        <v>16027</v>
      </c>
      <c r="BA1926" s="82" t="s">
        <v>15804</v>
      </c>
      <c r="BB1926" s="82" t="s">
        <v>15804</v>
      </c>
      <c r="BC1926" s="82" t="s">
        <v>16027</v>
      </c>
      <c r="BD1926" s="82" t="s">
        <v>15767</v>
      </c>
      <c r="BE1926" s="77"/>
      <c r="BF1926" s="77"/>
      <c r="BG1926" s="77"/>
      <c r="BH1926" s="77"/>
      <c r="BI1926" s="77"/>
    </row>
    <row r="1927" spans="1:61" x14ac:dyDescent="0.25">
      <c r="A1927" s="62" t="s">
        <v>819</v>
      </c>
      <c r="B1927" s="62" t="s">
        <v>819</v>
      </c>
      <c r="C1927" s="63"/>
      <c r="D1927" s="64"/>
      <c r="E1927" s="65"/>
      <c r="F1927" s="66"/>
      <c r="G1927" s="63"/>
      <c r="H1927" s="67"/>
      <c r="I1927" s="68"/>
      <c r="J1927" s="68"/>
      <c r="K1927" s="32"/>
      <c r="L1927" s="75">
        <v>1927</v>
      </c>
      <c r="M1927" s="75"/>
      <c r="N1927" s="70"/>
      <c r="O1927" s="77" t="s">
        <v>1132</v>
      </c>
      <c r="P1927" s="79">
        <v>45135.511458333334</v>
      </c>
      <c r="Q1927" s="77" t="s">
        <v>2983</v>
      </c>
      <c r="R1927" s="77">
        <v>0</v>
      </c>
      <c r="S1927" s="77">
        <v>0</v>
      </c>
      <c r="T1927" s="77">
        <v>0</v>
      </c>
      <c r="U1927" s="77">
        <v>0</v>
      </c>
      <c r="V1927" s="77">
        <v>14</v>
      </c>
      <c r="W1927" s="82" t="s">
        <v>5311</v>
      </c>
      <c r="X1927" s="77"/>
      <c r="Y1927" s="77"/>
      <c r="Z1927" s="77"/>
      <c r="AA1927" s="77"/>
      <c r="AB1927" s="77"/>
      <c r="AC1927" s="82" t="s">
        <v>7705</v>
      </c>
      <c r="AD1927" s="77" t="s">
        <v>7745</v>
      </c>
      <c r="AE1927" s="80" t="str">
        <f>HYPERLINK("https://twitter.com/economedicos/status/1684900636633059328")</f>
        <v>https://twitter.com/economedicos/status/1684900636633059328</v>
      </c>
      <c r="AF1927" s="79">
        <v>45135.511458333334</v>
      </c>
      <c r="AG1927" s="85">
        <v>45135</v>
      </c>
      <c r="AH1927" s="82" t="s">
        <v>9472</v>
      </c>
      <c r="AI1927" s="77"/>
      <c r="AJ1927" s="77"/>
      <c r="AK1927" s="77"/>
      <c r="AL1927" s="77"/>
      <c r="AM1927" s="77"/>
      <c r="AN1927" s="77"/>
      <c r="AO1927" s="77"/>
      <c r="AP1927" s="77"/>
      <c r="AQ1927" s="77"/>
      <c r="AR1927" s="77"/>
      <c r="AS1927" s="77"/>
      <c r="AT1927" s="77"/>
      <c r="AU1927" s="77"/>
      <c r="AV1927" s="80" t="str">
        <f>HYPERLINK("https://pbs.twimg.com/profile_images/1283576393662636034/EjgsMA_W_normal.jpg")</f>
        <v>https://pbs.twimg.com/profile_images/1283576393662636034/EjgsMA_W_normal.jpg</v>
      </c>
      <c r="AW1927" s="82" t="s">
        <v>14092</v>
      </c>
      <c r="AX1927" s="82" t="s">
        <v>15499</v>
      </c>
      <c r="AY1927" s="82" t="s">
        <v>15767</v>
      </c>
      <c r="AZ1927" s="82" t="s">
        <v>16028</v>
      </c>
      <c r="BA1927" s="82" t="s">
        <v>15804</v>
      </c>
      <c r="BB1927" s="82" t="s">
        <v>15804</v>
      </c>
      <c r="BC1927" s="82" t="s">
        <v>16028</v>
      </c>
      <c r="BD1927" s="82" t="s">
        <v>15767</v>
      </c>
      <c r="BE1927" s="77"/>
      <c r="BF1927" s="77"/>
      <c r="BG1927" s="77"/>
      <c r="BH1927" s="77"/>
      <c r="BI1927" s="77"/>
    </row>
    <row r="1928" spans="1:61" x14ac:dyDescent="0.25">
      <c r="A1928" s="62" t="s">
        <v>819</v>
      </c>
      <c r="B1928" s="62" t="s">
        <v>819</v>
      </c>
      <c r="C1928" s="63"/>
      <c r="D1928" s="64"/>
      <c r="E1928" s="65"/>
      <c r="F1928" s="66"/>
      <c r="G1928" s="63"/>
      <c r="H1928" s="67"/>
      <c r="I1928" s="68"/>
      <c r="J1928" s="68"/>
      <c r="K1928" s="32"/>
      <c r="L1928" s="75">
        <v>1928</v>
      </c>
      <c r="M1928" s="75"/>
      <c r="N1928" s="70"/>
      <c r="O1928" s="77" t="s">
        <v>1132</v>
      </c>
      <c r="P1928" s="79">
        <v>45134.515104166669</v>
      </c>
      <c r="Q1928" s="77" t="s">
        <v>2984</v>
      </c>
      <c r="R1928" s="77">
        <v>0</v>
      </c>
      <c r="S1928" s="77">
        <v>0</v>
      </c>
      <c r="T1928" s="77">
        <v>0</v>
      </c>
      <c r="U1928" s="77">
        <v>0</v>
      </c>
      <c r="V1928" s="77">
        <v>11</v>
      </c>
      <c r="W1928" s="82" t="s">
        <v>5308</v>
      </c>
      <c r="X1928" s="77"/>
      <c r="Y1928" s="77"/>
      <c r="Z1928" s="77"/>
      <c r="AA1928" s="77"/>
      <c r="AB1928" s="77"/>
      <c r="AC1928" s="82" t="s">
        <v>7705</v>
      </c>
      <c r="AD1928" s="77" t="s">
        <v>7745</v>
      </c>
      <c r="AE1928" s="80" t="str">
        <f>HYPERLINK("https://twitter.com/economedicos/status/1684539572292550656")</f>
        <v>https://twitter.com/economedicos/status/1684539572292550656</v>
      </c>
      <c r="AF1928" s="79">
        <v>45134.515104166669</v>
      </c>
      <c r="AG1928" s="85">
        <v>45134</v>
      </c>
      <c r="AH1928" s="82" t="s">
        <v>9473</v>
      </c>
      <c r="AI1928" s="77"/>
      <c r="AJ1928" s="77"/>
      <c r="AK1928" s="77"/>
      <c r="AL1928" s="77"/>
      <c r="AM1928" s="77"/>
      <c r="AN1928" s="77"/>
      <c r="AO1928" s="77"/>
      <c r="AP1928" s="77"/>
      <c r="AQ1928" s="77"/>
      <c r="AR1928" s="77"/>
      <c r="AS1928" s="77"/>
      <c r="AT1928" s="77"/>
      <c r="AU1928" s="77"/>
      <c r="AV1928" s="80" t="str">
        <f>HYPERLINK("https://pbs.twimg.com/profile_images/1283576393662636034/EjgsMA_W_normal.jpg")</f>
        <v>https://pbs.twimg.com/profile_images/1283576393662636034/EjgsMA_W_normal.jpg</v>
      </c>
      <c r="AW1928" s="82" t="s">
        <v>14093</v>
      </c>
      <c r="AX1928" s="82" t="s">
        <v>15500</v>
      </c>
      <c r="AY1928" s="82" t="s">
        <v>15767</v>
      </c>
      <c r="AZ1928" s="82" t="s">
        <v>16029</v>
      </c>
      <c r="BA1928" s="82" t="s">
        <v>15804</v>
      </c>
      <c r="BB1928" s="82" t="s">
        <v>15804</v>
      </c>
      <c r="BC1928" s="82" t="s">
        <v>16029</v>
      </c>
      <c r="BD1928" s="82" t="s">
        <v>15767</v>
      </c>
      <c r="BE1928" s="77"/>
      <c r="BF1928" s="77"/>
      <c r="BG1928" s="77"/>
      <c r="BH1928" s="77"/>
      <c r="BI1928" s="77"/>
    </row>
    <row r="1929" spans="1:61" x14ac:dyDescent="0.25">
      <c r="A1929" s="62" t="s">
        <v>819</v>
      </c>
      <c r="B1929" s="62" t="s">
        <v>819</v>
      </c>
      <c r="C1929" s="63"/>
      <c r="D1929" s="64"/>
      <c r="E1929" s="65"/>
      <c r="F1929" s="66"/>
      <c r="G1929" s="63"/>
      <c r="H1929" s="67"/>
      <c r="I1929" s="68"/>
      <c r="J1929" s="68"/>
      <c r="K1929" s="32"/>
      <c r="L1929" s="75">
        <v>1929</v>
      </c>
      <c r="M1929" s="75"/>
      <c r="N1929" s="70"/>
      <c r="O1929" s="77" t="s">
        <v>1132</v>
      </c>
      <c r="P1929" s="79">
        <v>45133.437118055554</v>
      </c>
      <c r="Q1929" s="77" t="s">
        <v>2985</v>
      </c>
      <c r="R1929" s="77">
        <v>0</v>
      </c>
      <c r="S1929" s="77">
        <v>0</v>
      </c>
      <c r="T1929" s="77">
        <v>0</v>
      </c>
      <c r="U1929" s="77">
        <v>0</v>
      </c>
      <c r="V1929" s="77">
        <v>15</v>
      </c>
      <c r="W1929" s="82" t="s">
        <v>5308</v>
      </c>
      <c r="X1929" s="77"/>
      <c r="Y1929" s="77"/>
      <c r="Z1929" s="77"/>
      <c r="AA1929" s="77"/>
      <c r="AB1929" s="77"/>
      <c r="AC1929" s="82" t="s">
        <v>7705</v>
      </c>
      <c r="AD1929" s="77" t="s">
        <v>7745</v>
      </c>
      <c r="AE1929" s="80" t="str">
        <f>HYPERLINK("https://twitter.com/economedicos/status/1684148922602897409")</f>
        <v>https://twitter.com/economedicos/status/1684148922602897409</v>
      </c>
      <c r="AF1929" s="79">
        <v>45133.437118055554</v>
      </c>
      <c r="AG1929" s="85">
        <v>45133</v>
      </c>
      <c r="AH1929" s="82" t="s">
        <v>9474</v>
      </c>
      <c r="AI1929" s="77"/>
      <c r="AJ1929" s="77"/>
      <c r="AK1929" s="77"/>
      <c r="AL1929" s="77"/>
      <c r="AM1929" s="77"/>
      <c r="AN1929" s="77"/>
      <c r="AO1929" s="77"/>
      <c r="AP1929" s="77"/>
      <c r="AQ1929" s="77"/>
      <c r="AR1929" s="77"/>
      <c r="AS1929" s="77"/>
      <c r="AT1929" s="77"/>
      <c r="AU1929" s="77"/>
      <c r="AV1929" s="80" t="str">
        <f>HYPERLINK("https://pbs.twimg.com/profile_images/1283576393662636034/EjgsMA_W_normal.jpg")</f>
        <v>https://pbs.twimg.com/profile_images/1283576393662636034/EjgsMA_W_normal.jpg</v>
      </c>
      <c r="AW1929" s="82" t="s">
        <v>14094</v>
      </c>
      <c r="AX1929" s="82" t="s">
        <v>15501</v>
      </c>
      <c r="AY1929" s="82" t="s">
        <v>15767</v>
      </c>
      <c r="AZ1929" s="82" t="s">
        <v>16030</v>
      </c>
      <c r="BA1929" s="82" t="s">
        <v>15804</v>
      </c>
      <c r="BB1929" s="82" t="s">
        <v>15804</v>
      </c>
      <c r="BC1929" s="82" t="s">
        <v>16030</v>
      </c>
      <c r="BD1929" s="82" t="s">
        <v>15767</v>
      </c>
      <c r="BE1929" s="77"/>
      <c r="BF1929" s="77"/>
      <c r="BG1929" s="77"/>
      <c r="BH1929" s="77"/>
      <c r="BI1929" s="77"/>
    </row>
    <row r="1930" spans="1:61" x14ac:dyDescent="0.25">
      <c r="A1930" s="62" t="s">
        <v>819</v>
      </c>
      <c r="B1930" s="62" t="s">
        <v>819</v>
      </c>
      <c r="C1930" s="63"/>
      <c r="D1930" s="64"/>
      <c r="E1930" s="65"/>
      <c r="F1930" s="66"/>
      <c r="G1930" s="63"/>
      <c r="H1930" s="67"/>
      <c r="I1930" s="68"/>
      <c r="J1930" s="68"/>
      <c r="K1930" s="32"/>
      <c r="L1930" s="75">
        <v>1930</v>
      </c>
      <c r="M1930" s="75"/>
      <c r="N1930" s="70"/>
      <c r="O1930" s="77" t="s">
        <v>1132</v>
      </c>
      <c r="P1930" s="79">
        <v>45114.449131944442</v>
      </c>
      <c r="Q1930" s="77" t="s">
        <v>2986</v>
      </c>
      <c r="R1930" s="77">
        <v>0</v>
      </c>
      <c r="S1930" s="77">
        <v>0</v>
      </c>
      <c r="T1930" s="77">
        <v>0</v>
      </c>
      <c r="U1930" s="77">
        <v>0</v>
      </c>
      <c r="V1930" s="77">
        <v>4</v>
      </c>
      <c r="W1930" s="82" t="s">
        <v>5308</v>
      </c>
      <c r="X1930" s="77"/>
      <c r="Y1930" s="77"/>
      <c r="Z1930" s="77"/>
      <c r="AA1930" s="77"/>
      <c r="AB1930" s="77"/>
      <c r="AC1930" s="82" t="s">
        <v>7705</v>
      </c>
      <c r="AD1930" s="77" t="s">
        <v>7745</v>
      </c>
      <c r="AE1930" s="80" t="str">
        <f>HYPERLINK("https://twitter.com/economedicos/status/1677267905736585222")</f>
        <v>https://twitter.com/economedicos/status/1677267905736585222</v>
      </c>
      <c r="AF1930" s="79">
        <v>45114.449131944442</v>
      </c>
      <c r="AG1930" s="85">
        <v>45114</v>
      </c>
      <c r="AH1930" s="82" t="s">
        <v>9425</v>
      </c>
      <c r="AI1930" s="77"/>
      <c r="AJ1930" s="77"/>
      <c r="AK1930" s="77"/>
      <c r="AL1930" s="77"/>
      <c r="AM1930" s="77"/>
      <c r="AN1930" s="77"/>
      <c r="AO1930" s="77"/>
      <c r="AP1930" s="77"/>
      <c r="AQ1930" s="77"/>
      <c r="AR1930" s="77"/>
      <c r="AS1930" s="77"/>
      <c r="AT1930" s="77"/>
      <c r="AU1930" s="77"/>
      <c r="AV1930" s="80" t="str">
        <f>HYPERLINK("https://pbs.twimg.com/profile_images/1283576393662636034/EjgsMA_W_normal.jpg")</f>
        <v>https://pbs.twimg.com/profile_images/1283576393662636034/EjgsMA_W_normal.jpg</v>
      </c>
      <c r="AW1930" s="82" t="s">
        <v>14095</v>
      </c>
      <c r="AX1930" s="82" t="s">
        <v>15502</v>
      </c>
      <c r="AY1930" s="82" t="s">
        <v>15767</v>
      </c>
      <c r="AZ1930" s="82" t="s">
        <v>16031</v>
      </c>
      <c r="BA1930" s="82" t="s">
        <v>15804</v>
      </c>
      <c r="BB1930" s="82" t="s">
        <v>15804</v>
      </c>
      <c r="BC1930" s="82" t="s">
        <v>16031</v>
      </c>
      <c r="BD1930" s="82" t="s">
        <v>15767</v>
      </c>
      <c r="BE1930" s="77"/>
      <c r="BF1930" s="77"/>
      <c r="BG1930" s="77"/>
      <c r="BH1930" s="77"/>
      <c r="BI1930" s="77"/>
    </row>
    <row r="1931" spans="1:61" x14ac:dyDescent="0.25">
      <c r="A1931" s="62" t="s">
        <v>819</v>
      </c>
      <c r="B1931" s="62" t="s">
        <v>819</v>
      </c>
      <c r="C1931" s="63"/>
      <c r="D1931" s="64"/>
      <c r="E1931" s="65"/>
      <c r="F1931" s="66"/>
      <c r="G1931" s="63"/>
      <c r="H1931" s="67"/>
      <c r="I1931" s="68"/>
      <c r="J1931" s="68"/>
      <c r="K1931" s="32"/>
      <c r="L1931" s="75">
        <v>1931</v>
      </c>
      <c r="M1931" s="75"/>
      <c r="N1931" s="70"/>
      <c r="O1931" s="77" t="s">
        <v>1132</v>
      </c>
      <c r="P1931" s="79">
        <v>45112.429710648146</v>
      </c>
      <c r="Q1931" s="77" t="s">
        <v>2987</v>
      </c>
      <c r="R1931" s="77">
        <v>0</v>
      </c>
      <c r="S1931" s="77">
        <v>0</v>
      </c>
      <c r="T1931" s="77">
        <v>1</v>
      </c>
      <c r="U1931" s="77">
        <v>0</v>
      </c>
      <c r="V1931" s="77">
        <v>13</v>
      </c>
      <c r="W1931" s="82" t="s">
        <v>5308</v>
      </c>
      <c r="X1931" s="77"/>
      <c r="Y1931" s="77"/>
      <c r="Z1931" s="77"/>
      <c r="AA1931" s="77"/>
      <c r="AB1931" s="77"/>
      <c r="AC1931" s="82" t="s">
        <v>7705</v>
      </c>
      <c r="AD1931" s="77" t="s">
        <v>7745</v>
      </c>
      <c r="AE1931" s="80" t="str">
        <f>HYPERLINK("https://twitter.com/economedicos/status/1676536091266908161")</f>
        <v>https://twitter.com/economedicos/status/1676536091266908161</v>
      </c>
      <c r="AF1931" s="79">
        <v>45112.429710648146</v>
      </c>
      <c r="AG1931" s="85">
        <v>45112</v>
      </c>
      <c r="AH1931" s="82" t="s">
        <v>9475</v>
      </c>
      <c r="AI1931" s="77"/>
      <c r="AJ1931" s="77"/>
      <c r="AK1931" s="77"/>
      <c r="AL1931" s="77"/>
      <c r="AM1931" s="77"/>
      <c r="AN1931" s="77"/>
      <c r="AO1931" s="77"/>
      <c r="AP1931" s="77"/>
      <c r="AQ1931" s="77"/>
      <c r="AR1931" s="77"/>
      <c r="AS1931" s="77"/>
      <c r="AT1931" s="77"/>
      <c r="AU1931" s="77"/>
      <c r="AV1931" s="80" t="str">
        <f>HYPERLINK("https://pbs.twimg.com/profile_images/1283576393662636034/EjgsMA_W_normal.jpg")</f>
        <v>https://pbs.twimg.com/profile_images/1283576393662636034/EjgsMA_W_normal.jpg</v>
      </c>
      <c r="AW1931" s="82" t="s">
        <v>14096</v>
      </c>
      <c r="AX1931" s="82" t="s">
        <v>15503</v>
      </c>
      <c r="AY1931" s="82" t="s">
        <v>15767</v>
      </c>
      <c r="AZ1931" s="82" t="s">
        <v>16032</v>
      </c>
      <c r="BA1931" s="82" t="s">
        <v>15804</v>
      </c>
      <c r="BB1931" s="82" t="s">
        <v>15804</v>
      </c>
      <c r="BC1931" s="82" t="s">
        <v>16032</v>
      </c>
      <c r="BD1931" s="82" t="s">
        <v>15767</v>
      </c>
      <c r="BE1931" s="77"/>
      <c r="BF1931" s="77"/>
      <c r="BG1931" s="77"/>
      <c r="BH1931" s="77"/>
      <c r="BI1931" s="77"/>
    </row>
    <row r="1932" spans="1:61" x14ac:dyDescent="0.25">
      <c r="A1932" s="62" t="s">
        <v>819</v>
      </c>
      <c r="B1932" s="62" t="s">
        <v>819</v>
      </c>
      <c r="C1932" s="63"/>
      <c r="D1932" s="64"/>
      <c r="E1932" s="65"/>
      <c r="F1932" s="66"/>
      <c r="G1932" s="63"/>
      <c r="H1932" s="67"/>
      <c r="I1932" s="68"/>
      <c r="J1932" s="68"/>
      <c r="K1932" s="32"/>
      <c r="L1932" s="75">
        <v>1932</v>
      </c>
      <c r="M1932" s="75"/>
      <c r="N1932" s="70"/>
      <c r="O1932" s="77" t="s">
        <v>1132</v>
      </c>
      <c r="P1932" s="79">
        <v>45111.45113425926</v>
      </c>
      <c r="Q1932" s="77" t="s">
        <v>2988</v>
      </c>
      <c r="R1932" s="77">
        <v>0</v>
      </c>
      <c r="S1932" s="77">
        <v>0</v>
      </c>
      <c r="T1932" s="77">
        <v>0</v>
      </c>
      <c r="U1932" s="77">
        <v>0</v>
      </c>
      <c r="V1932" s="77">
        <v>6</v>
      </c>
      <c r="W1932" s="82" t="s">
        <v>5308</v>
      </c>
      <c r="X1932" s="77"/>
      <c r="Y1932" s="77"/>
      <c r="Z1932" s="77"/>
      <c r="AA1932" s="77"/>
      <c r="AB1932" s="77"/>
      <c r="AC1932" s="82" t="s">
        <v>7705</v>
      </c>
      <c r="AD1932" s="77" t="s">
        <v>7745</v>
      </c>
      <c r="AE1932" s="80" t="str">
        <f>HYPERLINK("https://twitter.com/economedicos/status/1676181466982539265")</f>
        <v>https://twitter.com/economedicos/status/1676181466982539265</v>
      </c>
      <c r="AF1932" s="79">
        <v>45111.45113425926</v>
      </c>
      <c r="AG1932" s="85">
        <v>45111</v>
      </c>
      <c r="AH1932" s="82" t="s">
        <v>9476</v>
      </c>
      <c r="AI1932" s="77"/>
      <c r="AJ1932" s="77"/>
      <c r="AK1932" s="77"/>
      <c r="AL1932" s="77"/>
      <c r="AM1932" s="77"/>
      <c r="AN1932" s="77"/>
      <c r="AO1932" s="77"/>
      <c r="AP1932" s="77"/>
      <c r="AQ1932" s="77"/>
      <c r="AR1932" s="77"/>
      <c r="AS1932" s="77"/>
      <c r="AT1932" s="77"/>
      <c r="AU1932" s="77"/>
      <c r="AV1932" s="80" t="str">
        <f>HYPERLINK("https://pbs.twimg.com/profile_images/1283576393662636034/EjgsMA_W_normal.jpg")</f>
        <v>https://pbs.twimg.com/profile_images/1283576393662636034/EjgsMA_W_normal.jpg</v>
      </c>
      <c r="AW1932" s="82" t="s">
        <v>14097</v>
      </c>
      <c r="AX1932" s="82" t="s">
        <v>15504</v>
      </c>
      <c r="AY1932" s="82" t="s">
        <v>15767</v>
      </c>
      <c r="AZ1932" s="82" t="s">
        <v>16033</v>
      </c>
      <c r="BA1932" s="82" t="s">
        <v>15804</v>
      </c>
      <c r="BB1932" s="82" t="s">
        <v>15804</v>
      </c>
      <c r="BC1932" s="82" t="s">
        <v>16033</v>
      </c>
      <c r="BD1932" s="82" t="s">
        <v>15767</v>
      </c>
      <c r="BE1932" s="77"/>
      <c r="BF1932" s="77"/>
      <c r="BG1932" s="77"/>
      <c r="BH1932" s="77"/>
      <c r="BI1932" s="77"/>
    </row>
    <row r="1933" spans="1:61" x14ac:dyDescent="0.25">
      <c r="A1933" s="62" t="s">
        <v>819</v>
      </c>
      <c r="B1933" s="62" t="s">
        <v>819</v>
      </c>
      <c r="C1933" s="63"/>
      <c r="D1933" s="64"/>
      <c r="E1933" s="65"/>
      <c r="F1933" s="66"/>
      <c r="G1933" s="63"/>
      <c r="H1933" s="67"/>
      <c r="I1933" s="68"/>
      <c r="J1933" s="68"/>
      <c r="K1933" s="32"/>
      <c r="L1933" s="75">
        <v>1933</v>
      </c>
      <c r="M1933" s="75"/>
      <c r="N1933" s="70"/>
      <c r="O1933" s="77" t="s">
        <v>1132</v>
      </c>
      <c r="P1933" s="79">
        <v>45076.445636574077</v>
      </c>
      <c r="Q1933" s="77" t="s">
        <v>2989</v>
      </c>
      <c r="R1933" s="77">
        <v>0</v>
      </c>
      <c r="S1933" s="77">
        <v>0</v>
      </c>
      <c r="T1933" s="77">
        <v>0</v>
      </c>
      <c r="U1933" s="77">
        <v>0</v>
      </c>
      <c r="V1933" s="77">
        <v>3</v>
      </c>
      <c r="W1933" s="82" t="s">
        <v>5308</v>
      </c>
      <c r="X1933" s="77"/>
      <c r="Y1933" s="77"/>
      <c r="Z1933" s="77"/>
      <c r="AA1933" s="77"/>
      <c r="AB1933" s="77"/>
      <c r="AC1933" s="82" t="s">
        <v>7705</v>
      </c>
      <c r="AD1933" s="77" t="s">
        <v>7745</v>
      </c>
      <c r="AE1933" s="80" t="str">
        <f>HYPERLINK("https://twitter.com/economedicos/status/1663495902076497923")</f>
        <v>https://twitter.com/economedicos/status/1663495902076497923</v>
      </c>
      <c r="AF1933" s="79">
        <v>45076.445636574077</v>
      </c>
      <c r="AG1933" s="85">
        <v>45076</v>
      </c>
      <c r="AH1933" s="82" t="s">
        <v>9477</v>
      </c>
      <c r="AI1933" s="77"/>
      <c r="AJ1933" s="77"/>
      <c r="AK1933" s="77"/>
      <c r="AL1933" s="77"/>
      <c r="AM1933" s="77"/>
      <c r="AN1933" s="77"/>
      <c r="AO1933" s="77"/>
      <c r="AP1933" s="77"/>
      <c r="AQ1933" s="77"/>
      <c r="AR1933" s="77"/>
      <c r="AS1933" s="77"/>
      <c r="AT1933" s="77"/>
      <c r="AU1933" s="77"/>
      <c r="AV1933" s="80" t="str">
        <f>HYPERLINK("https://pbs.twimg.com/profile_images/1283576393662636034/EjgsMA_W_normal.jpg")</f>
        <v>https://pbs.twimg.com/profile_images/1283576393662636034/EjgsMA_W_normal.jpg</v>
      </c>
      <c r="AW1933" s="82" t="s">
        <v>14098</v>
      </c>
      <c r="AX1933" s="82" t="s">
        <v>15505</v>
      </c>
      <c r="AY1933" s="82" t="s">
        <v>15767</v>
      </c>
      <c r="AZ1933" s="82" t="s">
        <v>16034</v>
      </c>
      <c r="BA1933" s="82" t="s">
        <v>15804</v>
      </c>
      <c r="BB1933" s="82" t="s">
        <v>15804</v>
      </c>
      <c r="BC1933" s="82" t="s">
        <v>16034</v>
      </c>
      <c r="BD1933" s="82" t="s">
        <v>15767</v>
      </c>
      <c r="BE1933" s="77"/>
      <c r="BF1933" s="77"/>
      <c r="BG1933" s="77"/>
      <c r="BH1933" s="77"/>
      <c r="BI1933" s="77"/>
    </row>
    <row r="1934" spans="1:61" x14ac:dyDescent="0.25">
      <c r="A1934" s="62" t="s">
        <v>819</v>
      </c>
      <c r="B1934" s="62" t="s">
        <v>819</v>
      </c>
      <c r="C1934" s="63"/>
      <c r="D1934" s="64"/>
      <c r="E1934" s="65"/>
      <c r="F1934" s="66"/>
      <c r="G1934" s="63"/>
      <c r="H1934" s="67"/>
      <c r="I1934" s="68"/>
      <c r="J1934" s="68"/>
      <c r="K1934" s="32"/>
      <c r="L1934" s="75">
        <v>1934</v>
      </c>
      <c r="M1934" s="75"/>
      <c r="N1934" s="70"/>
      <c r="O1934" s="77" t="s">
        <v>1132</v>
      </c>
      <c r="P1934" s="79">
        <v>45075.437337962961</v>
      </c>
      <c r="Q1934" s="77" t="s">
        <v>2990</v>
      </c>
      <c r="R1934" s="77">
        <v>0</v>
      </c>
      <c r="S1934" s="77">
        <v>0</v>
      </c>
      <c r="T1934" s="77">
        <v>0</v>
      </c>
      <c r="U1934" s="77">
        <v>0</v>
      </c>
      <c r="V1934" s="77">
        <v>12</v>
      </c>
      <c r="W1934" s="82" t="s">
        <v>5312</v>
      </c>
      <c r="X1934" s="77"/>
      <c r="Y1934" s="77"/>
      <c r="Z1934" s="77"/>
      <c r="AA1934" s="77"/>
      <c r="AB1934" s="77"/>
      <c r="AC1934" s="82" t="s">
        <v>7705</v>
      </c>
      <c r="AD1934" s="77" t="s">
        <v>7745</v>
      </c>
      <c r="AE1934" s="80" t="str">
        <f>HYPERLINK("https://twitter.com/economedicos/status/1663130505150119936")</f>
        <v>https://twitter.com/economedicos/status/1663130505150119936</v>
      </c>
      <c r="AF1934" s="79">
        <v>45075.437337962961</v>
      </c>
      <c r="AG1934" s="85">
        <v>45075</v>
      </c>
      <c r="AH1934" s="82" t="s">
        <v>9478</v>
      </c>
      <c r="AI1934" s="77"/>
      <c r="AJ1934" s="77"/>
      <c r="AK1934" s="77"/>
      <c r="AL1934" s="77"/>
      <c r="AM1934" s="77"/>
      <c r="AN1934" s="77"/>
      <c r="AO1934" s="77"/>
      <c r="AP1934" s="77"/>
      <c r="AQ1934" s="77"/>
      <c r="AR1934" s="77"/>
      <c r="AS1934" s="77"/>
      <c r="AT1934" s="77"/>
      <c r="AU1934" s="77"/>
      <c r="AV1934" s="80" t="str">
        <f>HYPERLINK("https://pbs.twimg.com/profile_images/1283576393662636034/EjgsMA_W_normal.jpg")</f>
        <v>https://pbs.twimg.com/profile_images/1283576393662636034/EjgsMA_W_normal.jpg</v>
      </c>
      <c r="AW1934" s="82" t="s">
        <v>14099</v>
      </c>
      <c r="AX1934" s="82" t="s">
        <v>15506</v>
      </c>
      <c r="AY1934" s="82" t="s">
        <v>15767</v>
      </c>
      <c r="AZ1934" s="82" t="s">
        <v>16035</v>
      </c>
      <c r="BA1934" s="82" t="s">
        <v>15804</v>
      </c>
      <c r="BB1934" s="82" t="s">
        <v>15804</v>
      </c>
      <c r="BC1934" s="82" t="s">
        <v>16035</v>
      </c>
      <c r="BD1934" s="82" t="s">
        <v>15767</v>
      </c>
      <c r="BE1934" s="77"/>
      <c r="BF1934" s="77"/>
      <c r="BG1934" s="77"/>
      <c r="BH1934" s="77"/>
      <c r="BI1934" s="77"/>
    </row>
    <row r="1935" spans="1:61" x14ac:dyDescent="0.25">
      <c r="A1935" s="62" t="s">
        <v>819</v>
      </c>
      <c r="B1935" s="62" t="s">
        <v>819</v>
      </c>
      <c r="C1935" s="63"/>
      <c r="D1935" s="64"/>
      <c r="E1935" s="65"/>
      <c r="F1935" s="66"/>
      <c r="G1935" s="63"/>
      <c r="H1935" s="67"/>
      <c r="I1935" s="68"/>
      <c r="J1935" s="68"/>
      <c r="K1935" s="32"/>
      <c r="L1935" s="75">
        <v>1935</v>
      </c>
      <c r="M1935" s="75"/>
      <c r="N1935" s="70"/>
      <c r="O1935" s="77" t="s">
        <v>1132</v>
      </c>
      <c r="P1935" s="79">
        <v>45072.465914351851</v>
      </c>
      <c r="Q1935" s="77" t="s">
        <v>2991</v>
      </c>
      <c r="R1935" s="77">
        <v>0</v>
      </c>
      <c r="S1935" s="77">
        <v>0</v>
      </c>
      <c r="T1935" s="77">
        <v>0</v>
      </c>
      <c r="U1935" s="77">
        <v>0</v>
      </c>
      <c r="V1935" s="77">
        <v>4</v>
      </c>
      <c r="W1935" s="82" t="s">
        <v>5308</v>
      </c>
      <c r="X1935" s="77"/>
      <c r="Y1935" s="77"/>
      <c r="Z1935" s="77"/>
      <c r="AA1935" s="77"/>
      <c r="AB1935" s="77"/>
      <c r="AC1935" s="82" t="s">
        <v>7705</v>
      </c>
      <c r="AD1935" s="77" t="s">
        <v>7745</v>
      </c>
      <c r="AE1935" s="80" t="str">
        <f>HYPERLINK("https://twitter.com/economedicos/status/1662053697549991939")</f>
        <v>https://twitter.com/economedicos/status/1662053697549991939</v>
      </c>
      <c r="AF1935" s="79">
        <v>45072.465914351851</v>
      </c>
      <c r="AG1935" s="85">
        <v>45072</v>
      </c>
      <c r="AH1935" s="82" t="s">
        <v>9465</v>
      </c>
      <c r="AI1935" s="77"/>
      <c r="AJ1935" s="77"/>
      <c r="AK1935" s="77"/>
      <c r="AL1935" s="77"/>
      <c r="AM1935" s="77"/>
      <c r="AN1935" s="77"/>
      <c r="AO1935" s="77"/>
      <c r="AP1935" s="77"/>
      <c r="AQ1935" s="77"/>
      <c r="AR1935" s="77"/>
      <c r="AS1935" s="77"/>
      <c r="AT1935" s="77"/>
      <c r="AU1935" s="77"/>
      <c r="AV1935" s="80" t="str">
        <f>HYPERLINK("https://pbs.twimg.com/profile_images/1283576393662636034/EjgsMA_W_normal.jpg")</f>
        <v>https://pbs.twimg.com/profile_images/1283576393662636034/EjgsMA_W_normal.jpg</v>
      </c>
      <c r="AW1935" s="82" t="s">
        <v>14100</v>
      </c>
      <c r="AX1935" s="82" t="s">
        <v>15507</v>
      </c>
      <c r="AY1935" s="82" t="s">
        <v>15767</v>
      </c>
      <c r="AZ1935" s="82" t="s">
        <v>16036</v>
      </c>
      <c r="BA1935" s="82" t="s">
        <v>15804</v>
      </c>
      <c r="BB1935" s="82" t="s">
        <v>15804</v>
      </c>
      <c r="BC1935" s="82" t="s">
        <v>16036</v>
      </c>
      <c r="BD1935" s="82" t="s">
        <v>15767</v>
      </c>
      <c r="BE1935" s="77"/>
      <c r="BF1935" s="77"/>
      <c r="BG1935" s="77"/>
      <c r="BH1935" s="77"/>
      <c r="BI1935" s="77"/>
    </row>
    <row r="1936" spans="1:61" x14ac:dyDescent="0.25">
      <c r="A1936" s="62" t="s">
        <v>819</v>
      </c>
      <c r="B1936" s="62" t="s">
        <v>819</v>
      </c>
      <c r="C1936" s="63"/>
      <c r="D1936" s="64"/>
      <c r="E1936" s="65"/>
      <c r="F1936" s="66"/>
      <c r="G1936" s="63"/>
      <c r="H1936" s="67"/>
      <c r="I1936" s="68"/>
      <c r="J1936" s="68"/>
      <c r="K1936" s="32"/>
      <c r="L1936" s="75">
        <v>1936</v>
      </c>
      <c r="M1936" s="75"/>
      <c r="N1936" s="70"/>
      <c r="O1936" s="77" t="s">
        <v>1132</v>
      </c>
      <c r="P1936" s="79">
        <v>45036.460312499999</v>
      </c>
      <c r="Q1936" s="77" t="s">
        <v>2992</v>
      </c>
      <c r="R1936" s="77">
        <v>0</v>
      </c>
      <c r="S1936" s="77">
        <v>0</v>
      </c>
      <c r="T1936" s="77">
        <v>0</v>
      </c>
      <c r="U1936" s="77">
        <v>0</v>
      </c>
      <c r="V1936" s="77">
        <v>5</v>
      </c>
      <c r="W1936" s="82" t="s">
        <v>5308</v>
      </c>
      <c r="X1936" s="77"/>
      <c r="Y1936" s="77"/>
      <c r="Z1936" s="77"/>
      <c r="AA1936" s="77"/>
      <c r="AB1936" s="77"/>
      <c r="AC1936" s="82" t="s">
        <v>7705</v>
      </c>
      <c r="AD1936" s="77" t="s">
        <v>7745</v>
      </c>
      <c r="AE1936" s="80" t="str">
        <f>HYPERLINK("https://twitter.com/economedicos/status/1649005705796501504")</f>
        <v>https://twitter.com/economedicos/status/1649005705796501504</v>
      </c>
      <c r="AF1936" s="79">
        <v>45036.460312499999</v>
      </c>
      <c r="AG1936" s="85">
        <v>45036</v>
      </c>
      <c r="AH1936" s="82" t="s">
        <v>9479</v>
      </c>
      <c r="AI1936" s="77"/>
      <c r="AJ1936" s="77"/>
      <c r="AK1936" s="77"/>
      <c r="AL1936" s="77"/>
      <c r="AM1936" s="77"/>
      <c r="AN1936" s="77"/>
      <c r="AO1936" s="77"/>
      <c r="AP1936" s="77"/>
      <c r="AQ1936" s="77"/>
      <c r="AR1936" s="77"/>
      <c r="AS1936" s="77"/>
      <c r="AT1936" s="77"/>
      <c r="AU1936" s="77"/>
      <c r="AV1936" s="80" t="str">
        <f>HYPERLINK("https://pbs.twimg.com/profile_images/1283576393662636034/EjgsMA_W_normal.jpg")</f>
        <v>https://pbs.twimg.com/profile_images/1283576393662636034/EjgsMA_W_normal.jpg</v>
      </c>
      <c r="AW1936" s="82" t="s">
        <v>14101</v>
      </c>
      <c r="AX1936" s="82" t="s">
        <v>15508</v>
      </c>
      <c r="AY1936" s="82" t="s">
        <v>15767</v>
      </c>
      <c r="AZ1936" s="82" t="s">
        <v>16037</v>
      </c>
      <c r="BA1936" s="82" t="s">
        <v>15804</v>
      </c>
      <c r="BB1936" s="82" t="s">
        <v>15804</v>
      </c>
      <c r="BC1936" s="82" t="s">
        <v>16037</v>
      </c>
      <c r="BD1936" s="82" t="s">
        <v>15767</v>
      </c>
      <c r="BE1936" s="77"/>
      <c r="BF1936" s="77"/>
      <c r="BG1936" s="77"/>
      <c r="BH1936" s="77"/>
      <c r="BI1936" s="77"/>
    </row>
    <row r="1937" spans="1:61" x14ac:dyDescent="0.25">
      <c r="A1937" s="62" t="s">
        <v>819</v>
      </c>
      <c r="B1937" s="62" t="s">
        <v>819</v>
      </c>
      <c r="C1937" s="63"/>
      <c r="D1937" s="64"/>
      <c r="E1937" s="65"/>
      <c r="F1937" s="66"/>
      <c r="G1937" s="63"/>
      <c r="H1937" s="67"/>
      <c r="I1937" s="68"/>
      <c r="J1937" s="68"/>
      <c r="K1937" s="32"/>
      <c r="L1937" s="75">
        <v>1937</v>
      </c>
      <c r="M1937" s="75"/>
      <c r="N1937" s="70"/>
      <c r="O1937" s="77" t="s">
        <v>1132</v>
      </c>
      <c r="P1937" s="79">
        <v>45034.456307870372</v>
      </c>
      <c r="Q1937" s="77" t="s">
        <v>2993</v>
      </c>
      <c r="R1937" s="77">
        <v>0</v>
      </c>
      <c r="S1937" s="77">
        <v>0</v>
      </c>
      <c r="T1937" s="77">
        <v>0</v>
      </c>
      <c r="U1937" s="77">
        <v>0</v>
      </c>
      <c r="V1937" s="77">
        <v>7</v>
      </c>
      <c r="W1937" s="82" t="s">
        <v>5308</v>
      </c>
      <c r="X1937" s="77"/>
      <c r="Y1937" s="77"/>
      <c r="Z1937" s="77"/>
      <c r="AA1937" s="77"/>
      <c r="AB1937" s="77"/>
      <c r="AC1937" s="82" t="s">
        <v>7705</v>
      </c>
      <c r="AD1937" s="77" t="s">
        <v>7745</v>
      </c>
      <c r="AE1937" s="80" t="str">
        <f>HYPERLINK("https://twitter.com/economedicos/status/1648279477502324737")</f>
        <v>https://twitter.com/economedicos/status/1648279477502324737</v>
      </c>
      <c r="AF1937" s="79">
        <v>45034.456307870372</v>
      </c>
      <c r="AG1937" s="85">
        <v>45034</v>
      </c>
      <c r="AH1937" s="82" t="s">
        <v>9480</v>
      </c>
      <c r="AI1937" s="77"/>
      <c r="AJ1937" s="77"/>
      <c r="AK1937" s="77"/>
      <c r="AL1937" s="77"/>
      <c r="AM1937" s="77"/>
      <c r="AN1937" s="77"/>
      <c r="AO1937" s="77"/>
      <c r="AP1937" s="77"/>
      <c r="AQ1937" s="77"/>
      <c r="AR1937" s="77"/>
      <c r="AS1937" s="77"/>
      <c r="AT1937" s="77"/>
      <c r="AU1937" s="77"/>
      <c r="AV1937" s="80" t="str">
        <f>HYPERLINK("https://pbs.twimg.com/profile_images/1283576393662636034/EjgsMA_W_normal.jpg")</f>
        <v>https://pbs.twimg.com/profile_images/1283576393662636034/EjgsMA_W_normal.jpg</v>
      </c>
      <c r="AW1937" s="82" t="s">
        <v>14102</v>
      </c>
      <c r="AX1937" s="82" t="s">
        <v>15509</v>
      </c>
      <c r="AY1937" s="82" t="s">
        <v>15767</v>
      </c>
      <c r="AZ1937" s="82" t="s">
        <v>16038</v>
      </c>
      <c r="BA1937" s="82" t="s">
        <v>15804</v>
      </c>
      <c r="BB1937" s="82" t="s">
        <v>15804</v>
      </c>
      <c r="BC1937" s="82" t="s">
        <v>16038</v>
      </c>
      <c r="BD1937" s="82" t="s">
        <v>15767</v>
      </c>
      <c r="BE1937" s="77"/>
      <c r="BF1937" s="77"/>
      <c r="BG1937" s="77"/>
      <c r="BH1937" s="77"/>
      <c r="BI1937" s="77"/>
    </row>
    <row r="1938" spans="1:61" x14ac:dyDescent="0.25">
      <c r="A1938" s="62" t="s">
        <v>819</v>
      </c>
      <c r="B1938" s="62" t="s">
        <v>819</v>
      </c>
      <c r="C1938" s="63"/>
      <c r="D1938" s="64"/>
      <c r="E1938" s="65"/>
      <c r="F1938" s="66"/>
      <c r="G1938" s="63"/>
      <c r="H1938" s="67"/>
      <c r="I1938" s="68"/>
      <c r="J1938" s="68"/>
      <c r="K1938" s="32"/>
      <c r="L1938" s="75">
        <v>1938</v>
      </c>
      <c r="M1938" s="75"/>
      <c r="N1938" s="70"/>
      <c r="O1938" s="77" t="s">
        <v>1132</v>
      </c>
      <c r="P1938" s="79">
        <v>44993.46125</v>
      </c>
      <c r="Q1938" s="77" t="s">
        <v>2994</v>
      </c>
      <c r="R1938" s="77">
        <v>0</v>
      </c>
      <c r="S1938" s="77">
        <v>0</v>
      </c>
      <c r="T1938" s="77">
        <v>0</v>
      </c>
      <c r="U1938" s="77">
        <v>0</v>
      </c>
      <c r="V1938" s="77">
        <v>9</v>
      </c>
      <c r="W1938" s="82" t="s">
        <v>5308</v>
      </c>
      <c r="X1938" s="77"/>
      <c r="Y1938" s="77"/>
      <c r="Z1938" s="77"/>
      <c r="AA1938" s="77"/>
      <c r="AB1938" s="77"/>
      <c r="AC1938" s="82" t="s">
        <v>7705</v>
      </c>
      <c r="AD1938" s="77" t="s">
        <v>7745</v>
      </c>
      <c r="AE1938" s="80" t="str">
        <f>HYPERLINK("https://twitter.com/economedicos/status/1633423365435260931")</f>
        <v>https://twitter.com/economedicos/status/1633423365435260931</v>
      </c>
      <c r="AF1938" s="79">
        <v>44993.46125</v>
      </c>
      <c r="AG1938" s="85">
        <v>44993</v>
      </c>
      <c r="AH1938" s="82" t="s">
        <v>9481</v>
      </c>
      <c r="AI1938" s="77"/>
      <c r="AJ1938" s="77"/>
      <c r="AK1938" s="77"/>
      <c r="AL1938" s="77"/>
      <c r="AM1938" s="77"/>
      <c r="AN1938" s="77"/>
      <c r="AO1938" s="77"/>
      <c r="AP1938" s="77"/>
      <c r="AQ1938" s="77"/>
      <c r="AR1938" s="77"/>
      <c r="AS1938" s="77"/>
      <c r="AT1938" s="77"/>
      <c r="AU1938" s="77"/>
      <c r="AV1938" s="80" t="str">
        <f>HYPERLINK("https://pbs.twimg.com/profile_images/1283576393662636034/EjgsMA_W_normal.jpg")</f>
        <v>https://pbs.twimg.com/profile_images/1283576393662636034/EjgsMA_W_normal.jpg</v>
      </c>
      <c r="AW1938" s="82" t="s">
        <v>14103</v>
      </c>
      <c r="AX1938" s="82" t="s">
        <v>15510</v>
      </c>
      <c r="AY1938" s="82" t="s">
        <v>15767</v>
      </c>
      <c r="AZ1938" s="82" t="s">
        <v>16039</v>
      </c>
      <c r="BA1938" s="82" t="s">
        <v>15804</v>
      </c>
      <c r="BB1938" s="82" t="s">
        <v>15804</v>
      </c>
      <c r="BC1938" s="82" t="s">
        <v>16039</v>
      </c>
      <c r="BD1938" s="82" t="s">
        <v>15767</v>
      </c>
      <c r="BE1938" s="77"/>
      <c r="BF1938" s="77"/>
      <c r="BG1938" s="77"/>
      <c r="BH1938" s="77"/>
      <c r="BI1938" s="77"/>
    </row>
    <row r="1939" spans="1:61" x14ac:dyDescent="0.25">
      <c r="A1939" s="62" t="s">
        <v>819</v>
      </c>
      <c r="B1939" s="62" t="s">
        <v>819</v>
      </c>
      <c r="C1939" s="63"/>
      <c r="D1939" s="64"/>
      <c r="E1939" s="65"/>
      <c r="F1939" s="66"/>
      <c r="G1939" s="63"/>
      <c r="H1939" s="67"/>
      <c r="I1939" s="68"/>
      <c r="J1939" s="68"/>
      <c r="K1939" s="32"/>
      <c r="L1939" s="75">
        <v>1939</v>
      </c>
      <c r="M1939" s="75"/>
      <c r="N1939" s="70"/>
      <c r="O1939" s="77" t="s">
        <v>1132</v>
      </c>
      <c r="P1939" s="79">
        <v>44992.435520833336</v>
      </c>
      <c r="Q1939" s="77" t="s">
        <v>2995</v>
      </c>
      <c r="R1939" s="77">
        <v>0</v>
      </c>
      <c r="S1939" s="77">
        <v>0</v>
      </c>
      <c r="T1939" s="77">
        <v>0</v>
      </c>
      <c r="U1939" s="77">
        <v>0</v>
      </c>
      <c r="V1939" s="77">
        <v>5</v>
      </c>
      <c r="W1939" s="82" t="s">
        <v>5308</v>
      </c>
      <c r="X1939" s="77"/>
      <c r="Y1939" s="77"/>
      <c r="Z1939" s="77"/>
      <c r="AA1939" s="77"/>
      <c r="AB1939" s="77"/>
      <c r="AC1939" s="82" t="s">
        <v>7705</v>
      </c>
      <c r="AD1939" s="77" t="s">
        <v>7745</v>
      </c>
      <c r="AE1939" s="80" t="str">
        <f>HYPERLINK("https://twitter.com/economedicos/status/1633051652415537153")</f>
        <v>https://twitter.com/economedicos/status/1633051652415537153</v>
      </c>
      <c r="AF1939" s="79">
        <v>44992.435520833336</v>
      </c>
      <c r="AG1939" s="85">
        <v>44992</v>
      </c>
      <c r="AH1939" s="82" t="s">
        <v>9440</v>
      </c>
      <c r="AI1939" s="77"/>
      <c r="AJ1939" s="77"/>
      <c r="AK1939" s="77"/>
      <c r="AL1939" s="77"/>
      <c r="AM1939" s="77"/>
      <c r="AN1939" s="77"/>
      <c r="AO1939" s="77"/>
      <c r="AP1939" s="77"/>
      <c r="AQ1939" s="77"/>
      <c r="AR1939" s="77"/>
      <c r="AS1939" s="77"/>
      <c r="AT1939" s="77"/>
      <c r="AU1939" s="77"/>
      <c r="AV1939" s="80" t="str">
        <f>HYPERLINK("https://pbs.twimg.com/profile_images/1283576393662636034/EjgsMA_W_normal.jpg")</f>
        <v>https://pbs.twimg.com/profile_images/1283576393662636034/EjgsMA_W_normal.jpg</v>
      </c>
      <c r="AW1939" s="82" t="s">
        <v>14104</v>
      </c>
      <c r="AX1939" s="82" t="s">
        <v>15511</v>
      </c>
      <c r="AY1939" s="82" t="s">
        <v>15767</v>
      </c>
      <c r="AZ1939" s="82" t="s">
        <v>16040</v>
      </c>
      <c r="BA1939" s="82" t="s">
        <v>15804</v>
      </c>
      <c r="BB1939" s="82" t="s">
        <v>15804</v>
      </c>
      <c r="BC1939" s="82" t="s">
        <v>16040</v>
      </c>
      <c r="BD1939" s="82" t="s">
        <v>15767</v>
      </c>
      <c r="BE1939" s="77"/>
      <c r="BF1939" s="77"/>
      <c r="BG1939" s="77"/>
      <c r="BH1939" s="77"/>
      <c r="BI1939" s="77"/>
    </row>
    <row r="1940" spans="1:61" x14ac:dyDescent="0.25">
      <c r="A1940" s="62" t="s">
        <v>819</v>
      </c>
      <c r="B1940" s="62" t="s">
        <v>819</v>
      </c>
      <c r="C1940" s="63"/>
      <c r="D1940" s="64"/>
      <c r="E1940" s="65"/>
      <c r="F1940" s="66"/>
      <c r="G1940" s="63"/>
      <c r="H1940" s="67"/>
      <c r="I1940" s="68"/>
      <c r="J1940" s="68"/>
      <c r="K1940" s="32"/>
      <c r="L1940" s="75">
        <v>1940</v>
      </c>
      <c r="M1940" s="75"/>
      <c r="N1940" s="70"/>
      <c r="O1940" s="77" t="s">
        <v>1132</v>
      </c>
      <c r="P1940" s="79">
        <v>44991.448796296296</v>
      </c>
      <c r="Q1940" s="77" t="s">
        <v>2996</v>
      </c>
      <c r="R1940" s="77">
        <v>0</v>
      </c>
      <c r="S1940" s="77">
        <v>0</v>
      </c>
      <c r="T1940" s="77">
        <v>0</v>
      </c>
      <c r="U1940" s="77">
        <v>0</v>
      </c>
      <c r="V1940" s="77">
        <v>21</v>
      </c>
      <c r="W1940" s="82" t="s">
        <v>5308</v>
      </c>
      <c r="X1940" s="77"/>
      <c r="Y1940" s="77"/>
      <c r="Z1940" s="77"/>
      <c r="AA1940" s="77"/>
      <c r="AB1940" s="77"/>
      <c r="AC1940" s="82" t="s">
        <v>7705</v>
      </c>
      <c r="AD1940" s="77" t="s">
        <v>7745</v>
      </c>
      <c r="AE1940" s="80" t="str">
        <f>HYPERLINK("https://twitter.com/economedicos/status/1632694077475913728")</f>
        <v>https://twitter.com/economedicos/status/1632694077475913728</v>
      </c>
      <c r="AF1940" s="79">
        <v>44991.448796296296</v>
      </c>
      <c r="AG1940" s="85">
        <v>44991</v>
      </c>
      <c r="AH1940" s="82" t="s">
        <v>9482</v>
      </c>
      <c r="AI1940" s="77"/>
      <c r="AJ1940" s="77"/>
      <c r="AK1940" s="77"/>
      <c r="AL1940" s="77"/>
      <c r="AM1940" s="77"/>
      <c r="AN1940" s="77"/>
      <c r="AO1940" s="77"/>
      <c r="AP1940" s="77"/>
      <c r="AQ1940" s="77"/>
      <c r="AR1940" s="77"/>
      <c r="AS1940" s="77"/>
      <c r="AT1940" s="77"/>
      <c r="AU1940" s="77"/>
      <c r="AV1940" s="80" t="str">
        <f>HYPERLINK("https://pbs.twimg.com/profile_images/1283576393662636034/EjgsMA_W_normal.jpg")</f>
        <v>https://pbs.twimg.com/profile_images/1283576393662636034/EjgsMA_W_normal.jpg</v>
      </c>
      <c r="AW1940" s="82" t="s">
        <v>14105</v>
      </c>
      <c r="AX1940" s="82" t="s">
        <v>15512</v>
      </c>
      <c r="AY1940" s="82" t="s">
        <v>15767</v>
      </c>
      <c r="AZ1940" s="82" t="s">
        <v>16041</v>
      </c>
      <c r="BA1940" s="82" t="s">
        <v>15804</v>
      </c>
      <c r="BB1940" s="82" t="s">
        <v>15804</v>
      </c>
      <c r="BC1940" s="82" t="s">
        <v>16041</v>
      </c>
      <c r="BD1940" s="82" t="s">
        <v>15767</v>
      </c>
      <c r="BE1940" s="77"/>
      <c r="BF1940" s="77"/>
      <c r="BG1940" s="77"/>
      <c r="BH1940" s="77"/>
      <c r="BI1940" s="77"/>
    </row>
    <row r="1941" spans="1:61" x14ac:dyDescent="0.25">
      <c r="A1941" s="62" t="s">
        <v>819</v>
      </c>
      <c r="B1941" s="62" t="s">
        <v>819</v>
      </c>
      <c r="C1941" s="63"/>
      <c r="D1941" s="64"/>
      <c r="E1941" s="65"/>
      <c r="F1941" s="66"/>
      <c r="G1941" s="63"/>
      <c r="H1941" s="67"/>
      <c r="I1941" s="68"/>
      <c r="J1941" s="68"/>
      <c r="K1941" s="32"/>
      <c r="L1941" s="75">
        <v>1941</v>
      </c>
      <c r="M1941" s="75"/>
      <c r="N1941" s="70"/>
      <c r="O1941" s="77" t="s">
        <v>1132</v>
      </c>
      <c r="P1941" s="79">
        <v>44988.464861111112</v>
      </c>
      <c r="Q1941" s="77" t="s">
        <v>2997</v>
      </c>
      <c r="R1941" s="77">
        <v>0</v>
      </c>
      <c r="S1941" s="77">
        <v>0</v>
      </c>
      <c r="T1941" s="77">
        <v>0</v>
      </c>
      <c r="U1941" s="77">
        <v>0</v>
      </c>
      <c r="V1941" s="77">
        <v>5</v>
      </c>
      <c r="W1941" s="82" t="s">
        <v>5308</v>
      </c>
      <c r="X1941" s="77"/>
      <c r="Y1941" s="77"/>
      <c r="Z1941" s="77"/>
      <c r="AA1941" s="77"/>
      <c r="AB1941" s="77"/>
      <c r="AC1941" s="82" t="s">
        <v>7705</v>
      </c>
      <c r="AD1941" s="77" t="s">
        <v>7745</v>
      </c>
      <c r="AE1941" s="80" t="str">
        <f>HYPERLINK("https://twitter.com/economedicos/status/1631612732997763072")</f>
        <v>https://twitter.com/economedicos/status/1631612732997763072</v>
      </c>
      <c r="AF1941" s="79">
        <v>44988.464861111112</v>
      </c>
      <c r="AG1941" s="85">
        <v>44988</v>
      </c>
      <c r="AH1941" s="82" t="s">
        <v>9483</v>
      </c>
      <c r="AI1941" s="77"/>
      <c r="AJ1941" s="77"/>
      <c r="AK1941" s="77"/>
      <c r="AL1941" s="77"/>
      <c r="AM1941" s="77"/>
      <c r="AN1941" s="77"/>
      <c r="AO1941" s="77"/>
      <c r="AP1941" s="77"/>
      <c r="AQ1941" s="77"/>
      <c r="AR1941" s="77"/>
      <c r="AS1941" s="77"/>
      <c r="AT1941" s="77"/>
      <c r="AU1941" s="77"/>
      <c r="AV1941" s="80" t="str">
        <f>HYPERLINK("https://pbs.twimg.com/profile_images/1283576393662636034/EjgsMA_W_normal.jpg")</f>
        <v>https://pbs.twimg.com/profile_images/1283576393662636034/EjgsMA_W_normal.jpg</v>
      </c>
      <c r="AW1941" s="82" t="s">
        <v>14106</v>
      </c>
      <c r="AX1941" s="82" t="s">
        <v>15513</v>
      </c>
      <c r="AY1941" s="82" t="s">
        <v>15767</v>
      </c>
      <c r="AZ1941" s="82" t="s">
        <v>16042</v>
      </c>
      <c r="BA1941" s="82" t="s">
        <v>15804</v>
      </c>
      <c r="BB1941" s="82" t="s">
        <v>15804</v>
      </c>
      <c r="BC1941" s="82" t="s">
        <v>16042</v>
      </c>
      <c r="BD1941" s="82" t="s">
        <v>15767</v>
      </c>
      <c r="BE1941" s="77"/>
      <c r="BF1941" s="77"/>
      <c r="BG1941" s="77"/>
      <c r="BH1941" s="77"/>
      <c r="BI1941" s="77"/>
    </row>
    <row r="1942" spans="1:61" x14ac:dyDescent="0.25">
      <c r="A1942" s="62" t="s">
        <v>819</v>
      </c>
      <c r="B1942" s="62" t="s">
        <v>819</v>
      </c>
      <c r="C1942" s="63"/>
      <c r="D1942" s="64"/>
      <c r="E1942" s="65"/>
      <c r="F1942" s="66"/>
      <c r="G1942" s="63"/>
      <c r="H1942" s="67"/>
      <c r="I1942" s="68"/>
      <c r="J1942" s="68"/>
      <c r="K1942" s="32"/>
      <c r="L1942" s="75">
        <v>1942</v>
      </c>
      <c r="M1942" s="75"/>
      <c r="N1942" s="70"/>
      <c r="O1942" s="77" t="s">
        <v>1132</v>
      </c>
      <c r="P1942" s="79">
        <v>44987.510335648149</v>
      </c>
      <c r="Q1942" s="77" t="s">
        <v>2998</v>
      </c>
      <c r="R1942" s="77">
        <v>0</v>
      </c>
      <c r="S1942" s="77">
        <v>0</v>
      </c>
      <c r="T1942" s="77">
        <v>0</v>
      </c>
      <c r="U1942" s="77">
        <v>0</v>
      </c>
      <c r="V1942" s="77">
        <v>2</v>
      </c>
      <c r="W1942" s="82" t="s">
        <v>5308</v>
      </c>
      <c r="X1942" s="77"/>
      <c r="Y1942" s="77"/>
      <c r="Z1942" s="77"/>
      <c r="AA1942" s="77"/>
      <c r="AB1942" s="77"/>
      <c r="AC1942" s="82" t="s">
        <v>7705</v>
      </c>
      <c r="AD1942" s="77" t="s">
        <v>7745</v>
      </c>
      <c r="AE1942" s="80" t="str">
        <f>HYPERLINK("https://twitter.com/economedicos/status/1631266827064991745")</f>
        <v>https://twitter.com/economedicos/status/1631266827064991745</v>
      </c>
      <c r="AF1942" s="79">
        <v>44987.510335648149</v>
      </c>
      <c r="AG1942" s="85">
        <v>44987</v>
      </c>
      <c r="AH1942" s="82" t="s">
        <v>9484</v>
      </c>
      <c r="AI1942" s="77"/>
      <c r="AJ1942" s="77"/>
      <c r="AK1942" s="77"/>
      <c r="AL1942" s="77"/>
      <c r="AM1942" s="77"/>
      <c r="AN1942" s="77"/>
      <c r="AO1942" s="77"/>
      <c r="AP1942" s="77"/>
      <c r="AQ1942" s="77"/>
      <c r="AR1942" s="77"/>
      <c r="AS1942" s="77"/>
      <c r="AT1942" s="77"/>
      <c r="AU1942" s="77"/>
      <c r="AV1942" s="80" t="str">
        <f>HYPERLINK("https://pbs.twimg.com/profile_images/1283576393662636034/EjgsMA_W_normal.jpg")</f>
        <v>https://pbs.twimg.com/profile_images/1283576393662636034/EjgsMA_W_normal.jpg</v>
      </c>
      <c r="AW1942" s="82" t="s">
        <v>14107</v>
      </c>
      <c r="AX1942" s="82" t="s">
        <v>15514</v>
      </c>
      <c r="AY1942" s="82" t="s">
        <v>15767</v>
      </c>
      <c r="AZ1942" s="82" t="s">
        <v>16043</v>
      </c>
      <c r="BA1942" s="82" t="s">
        <v>15804</v>
      </c>
      <c r="BB1942" s="82" t="s">
        <v>15804</v>
      </c>
      <c r="BC1942" s="82" t="s">
        <v>16043</v>
      </c>
      <c r="BD1942" s="82" t="s">
        <v>15767</v>
      </c>
      <c r="BE1942" s="77"/>
      <c r="BF1942" s="77"/>
      <c r="BG1942" s="77"/>
      <c r="BH1942" s="77"/>
      <c r="BI1942" s="77"/>
    </row>
    <row r="1943" spans="1:61" x14ac:dyDescent="0.25">
      <c r="A1943" s="62" t="s">
        <v>819</v>
      </c>
      <c r="B1943" s="62" t="s">
        <v>819</v>
      </c>
      <c r="C1943" s="63"/>
      <c r="D1943" s="64"/>
      <c r="E1943" s="65"/>
      <c r="F1943" s="66"/>
      <c r="G1943" s="63"/>
      <c r="H1943" s="67"/>
      <c r="I1943" s="68"/>
      <c r="J1943" s="68"/>
      <c r="K1943" s="32"/>
      <c r="L1943" s="75">
        <v>1943</v>
      </c>
      <c r="M1943" s="75"/>
      <c r="N1943" s="70"/>
      <c r="O1943" s="77" t="s">
        <v>1132</v>
      </c>
      <c r="P1943" s="79">
        <v>44986.448182870372</v>
      </c>
      <c r="Q1943" s="77" t="s">
        <v>2999</v>
      </c>
      <c r="R1943" s="77">
        <v>0</v>
      </c>
      <c r="S1943" s="77">
        <v>0</v>
      </c>
      <c r="T1943" s="77">
        <v>0</v>
      </c>
      <c r="U1943" s="77">
        <v>0</v>
      </c>
      <c r="V1943" s="77">
        <v>4</v>
      </c>
      <c r="W1943" s="82" t="s">
        <v>5308</v>
      </c>
      <c r="X1943" s="77"/>
      <c r="Y1943" s="77"/>
      <c r="Z1943" s="77"/>
      <c r="AA1943" s="77"/>
      <c r="AB1943" s="77"/>
      <c r="AC1943" s="82" t="s">
        <v>7705</v>
      </c>
      <c r="AD1943" s="77" t="s">
        <v>7745</v>
      </c>
      <c r="AE1943" s="80" t="str">
        <f>HYPERLINK("https://twitter.com/economedicos/status/1630881916516720641")</f>
        <v>https://twitter.com/economedicos/status/1630881916516720641</v>
      </c>
      <c r="AF1943" s="79">
        <v>44986.448182870372</v>
      </c>
      <c r="AG1943" s="85">
        <v>44986</v>
      </c>
      <c r="AH1943" s="82" t="s">
        <v>9485</v>
      </c>
      <c r="AI1943" s="77"/>
      <c r="AJ1943" s="77"/>
      <c r="AK1943" s="77"/>
      <c r="AL1943" s="77"/>
      <c r="AM1943" s="77"/>
      <c r="AN1943" s="77"/>
      <c r="AO1943" s="77"/>
      <c r="AP1943" s="77"/>
      <c r="AQ1943" s="77"/>
      <c r="AR1943" s="77"/>
      <c r="AS1943" s="77"/>
      <c r="AT1943" s="77"/>
      <c r="AU1943" s="77"/>
      <c r="AV1943" s="80" t="str">
        <f>HYPERLINK("https://pbs.twimg.com/profile_images/1283576393662636034/EjgsMA_W_normal.jpg")</f>
        <v>https://pbs.twimg.com/profile_images/1283576393662636034/EjgsMA_W_normal.jpg</v>
      </c>
      <c r="AW1943" s="82" t="s">
        <v>14108</v>
      </c>
      <c r="AX1943" s="82" t="s">
        <v>15515</v>
      </c>
      <c r="AY1943" s="82" t="s">
        <v>15767</v>
      </c>
      <c r="AZ1943" s="82" t="s">
        <v>16044</v>
      </c>
      <c r="BA1943" s="82" t="s">
        <v>15804</v>
      </c>
      <c r="BB1943" s="82" t="s">
        <v>15804</v>
      </c>
      <c r="BC1943" s="82" t="s">
        <v>16044</v>
      </c>
      <c r="BD1943" s="82" t="s">
        <v>15767</v>
      </c>
      <c r="BE1943" s="77"/>
      <c r="BF1943" s="77"/>
      <c r="BG1943" s="77"/>
      <c r="BH1943" s="77"/>
      <c r="BI1943" s="77"/>
    </row>
    <row r="1944" spans="1:61" x14ac:dyDescent="0.25">
      <c r="A1944" s="62" t="s">
        <v>819</v>
      </c>
      <c r="B1944" s="62" t="s">
        <v>819</v>
      </c>
      <c r="C1944" s="63"/>
      <c r="D1944" s="64"/>
      <c r="E1944" s="65"/>
      <c r="F1944" s="66"/>
      <c r="G1944" s="63"/>
      <c r="H1944" s="67"/>
      <c r="I1944" s="68"/>
      <c r="J1944" s="68"/>
      <c r="K1944" s="32"/>
      <c r="L1944" s="75">
        <v>1944</v>
      </c>
      <c r="M1944" s="75"/>
      <c r="N1944" s="70"/>
      <c r="O1944" s="77" t="s">
        <v>1132</v>
      </c>
      <c r="P1944" s="79">
        <v>44985.496296296296</v>
      </c>
      <c r="Q1944" s="77" t="s">
        <v>3000</v>
      </c>
      <c r="R1944" s="77">
        <v>0</v>
      </c>
      <c r="S1944" s="77">
        <v>0</v>
      </c>
      <c r="T1944" s="77">
        <v>0</v>
      </c>
      <c r="U1944" s="77">
        <v>0</v>
      </c>
      <c r="V1944" s="77">
        <v>4</v>
      </c>
      <c r="W1944" s="82" t="s">
        <v>5308</v>
      </c>
      <c r="X1944" s="77"/>
      <c r="Y1944" s="77"/>
      <c r="Z1944" s="77"/>
      <c r="AA1944" s="77"/>
      <c r="AB1944" s="77"/>
      <c r="AC1944" s="82" t="s">
        <v>7705</v>
      </c>
      <c r="AD1944" s="77" t="s">
        <v>7745</v>
      </c>
      <c r="AE1944" s="80" t="str">
        <f>HYPERLINK("https://twitter.com/economedicos/status/1630536961352933377")</f>
        <v>https://twitter.com/economedicos/status/1630536961352933377</v>
      </c>
      <c r="AF1944" s="79">
        <v>44985.496296296296</v>
      </c>
      <c r="AG1944" s="85">
        <v>44985</v>
      </c>
      <c r="AH1944" s="82" t="s">
        <v>9486</v>
      </c>
      <c r="AI1944" s="77"/>
      <c r="AJ1944" s="77"/>
      <c r="AK1944" s="77"/>
      <c r="AL1944" s="77"/>
      <c r="AM1944" s="77"/>
      <c r="AN1944" s="77"/>
      <c r="AO1944" s="77"/>
      <c r="AP1944" s="77"/>
      <c r="AQ1944" s="77"/>
      <c r="AR1944" s="77"/>
      <c r="AS1944" s="77"/>
      <c r="AT1944" s="77"/>
      <c r="AU1944" s="77"/>
      <c r="AV1944" s="80" t="str">
        <f>HYPERLINK("https://pbs.twimg.com/profile_images/1283576393662636034/EjgsMA_W_normal.jpg")</f>
        <v>https://pbs.twimg.com/profile_images/1283576393662636034/EjgsMA_W_normal.jpg</v>
      </c>
      <c r="AW1944" s="82" t="s">
        <v>14109</v>
      </c>
      <c r="AX1944" s="82" t="s">
        <v>15516</v>
      </c>
      <c r="AY1944" s="82" t="s">
        <v>15767</v>
      </c>
      <c r="AZ1944" s="82" t="s">
        <v>16045</v>
      </c>
      <c r="BA1944" s="82" t="s">
        <v>15804</v>
      </c>
      <c r="BB1944" s="82" t="s">
        <v>15804</v>
      </c>
      <c r="BC1944" s="82" t="s">
        <v>16045</v>
      </c>
      <c r="BD1944" s="82" t="s">
        <v>15767</v>
      </c>
      <c r="BE1944" s="77"/>
      <c r="BF1944" s="77"/>
      <c r="BG1944" s="77"/>
      <c r="BH1944" s="77"/>
      <c r="BI1944" s="77"/>
    </row>
    <row r="1945" spans="1:61" x14ac:dyDescent="0.25">
      <c r="A1945" s="62" t="s">
        <v>819</v>
      </c>
      <c r="B1945" s="62" t="s">
        <v>819</v>
      </c>
      <c r="C1945" s="63"/>
      <c r="D1945" s="64"/>
      <c r="E1945" s="65"/>
      <c r="F1945" s="66"/>
      <c r="G1945" s="63"/>
      <c r="H1945" s="67"/>
      <c r="I1945" s="68"/>
      <c r="J1945" s="68"/>
      <c r="K1945" s="32"/>
      <c r="L1945" s="75">
        <v>1945</v>
      </c>
      <c r="M1945" s="75"/>
      <c r="N1945" s="70"/>
      <c r="O1945" s="77" t="s">
        <v>1132</v>
      </c>
      <c r="P1945" s="79">
        <v>45182.467858796299</v>
      </c>
      <c r="Q1945" s="77" t="s">
        <v>3001</v>
      </c>
      <c r="R1945" s="77">
        <v>0</v>
      </c>
      <c r="S1945" s="77">
        <v>0</v>
      </c>
      <c r="T1945" s="77">
        <v>0</v>
      </c>
      <c r="U1945" s="77">
        <v>0</v>
      </c>
      <c r="V1945" s="77">
        <v>4</v>
      </c>
      <c r="W1945" s="82" t="s">
        <v>5308</v>
      </c>
      <c r="X1945" s="77"/>
      <c r="Y1945" s="77"/>
      <c r="Z1945" s="77"/>
      <c r="AA1945" s="77"/>
      <c r="AB1945" s="77"/>
      <c r="AC1945" s="82" t="s">
        <v>7705</v>
      </c>
      <c r="AD1945" s="77" t="s">
        <v>7745</v>
      </c>
      <c r="AE1945" s="80" t="str">
        <f>HYPERLINK("https://twitter.com/economedicos/status/1701917067698450628")</f>
        <v>https://twitter.com/economedicos/status/1701917067698450628</v>
      </c>
      <c r="AF1945" s="79">
        <v>45182.467858796299</v>
      </c>
      <c r="AG1945" s="85">
        <v>45182</v>
      </c>
      <c r="AH1945" s="82" t="s">
        <v>9487</v>
      </c>
      <c r="AI1945" s="77"/>
      <c r="AJ1945" s="77"/>
      <c r="AK1945" s="77"/>
      <c r="AL1945" s="77"/>
      <c r="AM1945" s="77"/>
      <c r="AN1945" s="77"/>
      <c r="AO1945" s="77"/>
      <c r="AP1945" s="77"/>
      <c r="AQ1945" s="77"/>
      <c r="AR1945" s="77"/>
      <c r="AS1945" s="77"/>
      <c r="AT1945" s="77"/>
      <c r="AU1945" s="77"/>
      <c r="AV1945" s="80" t="str">
        <f>HYPERLINK("https://pbs.twimg.com/profile_images/1283576393662636034/EjgsMA_W_normal.jpg")</f>
        <v>https://pbs.twimg.com/profile_images/1283576393662636034/EjgsMA_W_normal.jpg</v>
      </c>
      <c r="AW1945" s="82" t="s">
        <v>14110</v>
      </c>
      <c r="AX1945" s="82" t="s">
        <v>15517</v>
      </c>
      <c r="AY1945" s="82" t="s">
        <v>15767</v>
      </c>
      <c r="AZ1945" s="82" t="s">
        <v>16046</v>
      </c>
      <c r="BA1945" s="82" t="s">
        <v>15804</v>
      </c>
      <c r="BB1945" s="82" t="s">
        <v>15804</v>
      </c>
      <c r="BC1945" s="82" t="s">
        <v>16046</v>
      </c>
      <c r="BD1945" s="82" t="s">
        <v>15767</v>
      </c>
      <c r="BE1945" s="77"/>
      <c r="BF1945" s="77"/>
      <c r="BG1945" s="77"/>
      <c r="BH1945" s="77"/>
      <c r="BI1945" s="77"/>
    </row>
    <row r="1946" spans="1:61" x14ac:dyDescent="0.25">
      <c r="A1946" s="62" t="s">
        <v>819</v>
      </c>
      <c r="B1946" s="62" t="s">
        <v>819</v>
      </c>
      <c r="C1946" s="63"/>
      <c r="D1946" s="64"/>
      <c r="E1946" s="65"/>
      <c r="F1946" s="66"/>
      <c r="G1946" s="63"/>
      <c r="H1946" s="67"/>
      <c r="I1946" s="68"/>
      <c r="J1946" s="68"/>
      <c r="K1946" s="32"/>
      <c r="L1946" s="75">
        <v>1946</v>
      </c>
      <c r="M1946" s="75"/>
      <c r="N1946" s="70"/>
      <c r="O1946" s="77" t="s">
        <v>1132</v>
      </c>
      <c r="P1946" s="79">
        <v>45097.453750000001</v>
      </c>
      <c r="Q1946" s="77" t="s">
        <v>3002</v>
      </c>
      <c r="R1946" s="77">
        <v>0</v>
      </c>
      <c r="S1946" s="77">
        <v>0</v>
      </c>
      <c r="T1946" s="77">
        <v>0</v>
      </c>
      <c r="U1946" s="77">
        <v>0</v>
      </c>
      <c r="V1946" s="77">
        <v>4</v>
      </c>
      <c r="W1946" s="82" t="s">
        <v>5308</v>
      </c>
      <c r="X1946" s="77"/>
      <c r="Y1946" s="77"/>
      <c r="Z1946" s="77"/>
      <c r="AA1946" s="77"/>
      <c r="AB1946" s="77"/>
      <c r="AC1946" s="82" t="s">
        <v>7705</v>
      </c>
      <c r="AD1946" s="77" t="s">
        <v>7745</v>
      </c>
      <c r="AE1946" s="80" t="str">
        <f>HYPERLINK("https://twitter.com/economedicos/status/1671108984349028353")</f>
        <v>https://twitter.com/economedicos/status/1671108984349028353</v>
      </c>
      <c r="AF1946" s="79">
        <v>45097.453750000001</v>
      </c>
      <c r="AG1946" s="85">
        <v>45097</v>
      </c>
      <c r="AH1946" s="82" t="s">
        <v>9488</v>
      </c>
      <c r="AI1946" s="77"/>
      <c r="AJ1946" s="77"/>
      <c r="AK1946" s="77"/>
      <c r="AL1946" s="77"/>
      <c r="AM1946" s="77"/>
      <c r="AN1946" s="77"/>
      <c r="AO1946" s="77"/>
      <c r="AP1946" s="77"/>
      <c r="AQ1946" s="77"/>
      <c r="AR1946" s="77"/>
      <c r="AS1946" s="77"/>
      <c r="AT1946" s="77"/>
      <c r="AU1946" s="77"/>
      <c r="AV1946" s="80" t="str">
        <f>HYPERLINK("https://pbs.twimg.com/profile_images/1283576393662636034/EjgsMA_W_normal.jpg")</f>
        <v>https://pbs.twimg.com/profile_images/1283576393662636034/EjgsMA_W_normal.jpg</v>
      </c>
      <c r="AW1946" s="82" t="s">
        <v>14111</v>
      </c>
      <c r="AX1946" s="82" t="s">
        <v>15518</v>
      </c>
      <c r="AY1946" s="82" t="s">
        <v>15767</v>
      </c>
      <c r="AZ1946" s="82" t="s">
        <v>16047</v>
      </c>
      <c r="BA1946" s="82" t="s">
        <v>15804</v>
      </c>
      <c r="BB1946" s="82" t="s">
        <v>15804</v>
      </c>
      <c r="BC1946" s="82" t="s">
        <v>16047</v>
      </c>
      <c r="BD1946" s="82" t="s">
        <v>15767</v>
      </c>
      <c r="BE1946" s="77"/>
      <c r="BF1946" s="77"/>
      <c r="BG1946" s="77"/>
      <c r="BH1946" s="77"/>
      <c r="BI1946" s="77"/>
    </row>
    <row r="1947" spans="1:61" x14ac:dyDescent="0.25">
      <c r="A1947" s="62" t="s">
        <v>819</v>
      </c>
      <c r="B1947" s="62" t="s">
        <v>819</v>
      </c>
      <c r="C1947" s="63"/>
      <c r="D1947" s="64"/>
      <c r="E1947" s="65"/>
      <c r="F1947" s="66"/>
      <c r="G1947" s="63"/>
      <c r="H1947" s="67"/>
      <c r="I1947" s="68"/>
      <c r="J1947" s="68"/>
      <c r="K1947" s="32"/>
      <c r="L1947" s="75">
        <v>1947</v>
      </c>
      <c r="M1947" s="75"/>
      <c r="N1947" s="70"/>
      <c r="O1947" s="77" t="s">
        <v>1132</v>
      </c>
      <c r="P1947" s="79">
        <v>45092.508009259262</v>
      </c>
      <c r="Q1947" s="77" t="s">
        <v>3003</v>
      </c>
      <c r="R1947" s="77">
        <v>0</v>
      </c>
      <c r="S1947" s="77">
        <v>0</v>
      </c>
      <c r="T1947" s="77">
        <v>0</v>
      </c>
      <c r="U1947" s="77">
        <v>0</v>
      </c>
      <c r="V1947" s="77">
        <v>19</v>
      </c>
      <c r="W1947" s="82" t="s">
        <v>5308</v>
      </c>
      <c r="X1947" s="77"/>
      <c r="Y1947" s="77"/>
      <c r="Z1947" s="77"/>
      <c r="AA1947" s="77"/>
      <c r="AB1947" s="77"/>
      <c r="AC1947" s="82" t="s">
        <v>7705</v>
      </c>
      <c r="AD1947" s="77" t="s">
        <v>7745</v>
      </c>
      <c r="AE1947" s="80" t="str">
        <f>HYPERLINK("https://twitter.com/economedicos/status/1669316707108659200")</f>
        <v>https://twitter.com/economedicos/status/1669316707108659200</v>
      </c>
      <c r="AF1947" s="79">
        <v>45092.508009259262</v>
      </c>
      <c r="AG1947" s="85">
        <v>45092</v>
      </c>
      <c r="AH1947" s="82" t="s">
        <v>9489</v>
      </c>
      <c r="AI1947" s="77"/>
      <c r="AJ1947" s="77"/>
      <c r="AK1947" s="77"/>
      <c r="AL1947" s="77"/>
      <c r="AM1947" s="77"/>
      <c r="AN1947" s="77"/>
      <c r="AO1947" s="77"/>
      <c r="AP1947" s="77"/>
      <c r="AQ1947" s="77"/>
      <c r="AR1947" s="77"/>
      <c r="AS1947" s="77"/>
      <c r="AT1947" s="77"/>
      <c r="AU1947" s="77"/>
      <c r="AV1947" s="80" t="str">
        <f>HYPERLINK("https://pbs.twimg.com/profile_images/1283576393662636034/EjgsMA_W_normal.jpg")</f>
        <v>https://pbs.twimg.com/profile_images/1283576393662636034/EjgsMA_W_normal.jpg</v>
      </c>
      <c r="AW1947" s="82" t="s">
        <v>14112</v>
      </c>
      <c r="AX1947" s="82" t="s">
        <v>15519</v>
      </c>
      <c r="AY1947" s="82" t="s">
        <v>15767</v>
      </c>
      <c r="AZ1947" s="82" t="s">
        <v>16048</v>
      </c>
      <c r="BA1947" s="82" t="s">
        <v>15804</v>
      </c>
      <c r="BB1947" s="82" t="s">
        <v>15804</v>
      </c>
      <c r="BC1947" s="82" t="s">
        <v>16048</v>
      </c>
      <c r="BD1947" s="82" t="s">
        <v>15767</v>
      </c>
      <c r="BE1947" s="77"/>
      <c r="BF1947" s="77"/>
      <c r="BG1947" s="77"/>
      <c r="BH1947" s="77"/>
      <c r="BI1947" s="77"/>
    </row>
    <row r="1948" spans="1:61" x14ac:dyDescent="0.25">
      <c r="A1948" s="62" t="s">
        <v>819</v>
      </c>
      <c r="B1948" s="62" t="s">
        <v>819</v>
      </c>
      <c r="C1948" s="63"/>
      <c r="D1948" s="64"/>
      <c r="E1948" s="65"/>
      <c r="F1948" s="66"/>
      <c r="G1948" s="63"/>
      <c r="H1948" s="67"/>
      <c r="I1948" s="68"/>
      <c r="J1948" s="68"/>
      <c r="K1948" s="32"/>
      <c r="L1948" s="75">
        <v>1948</v>
      </c>
      <c r="M1948" s="75"/>
      <c r="N1948" s="70"/>
      <c r="O1948" s="77" t="s">
        <v>1132</v>
      </c>
      <c r="P1948" s="79">
        <v>45077.45045138889</v>
      </c>
      <c r="Q1948" s="77" t="s">
        <v>3004</v>
      </c>
      <c r="R1948" s="77">
        <v>0</v>
      </c>
      <c r="S1948" s="77">
        <v>0</v>
      </c>
      <c r="T1948" s="77">
        <v>0</v>
      </c>
      <c r="U1948" s="77">
        <v>0</v>
      </c>
      <c r="V1948" s="77">
        <v>16</v>
      </c>
      <c r="W1948" s="82" t="s">
        <v>5308</v>
      </c>
      <c r="X1948" s="77"/>
      <c r="Y1948" s="77"/>
      <c r="Z1948" s="77"/>
      <c r="AA1948" s="77"/>
      <c r="AB1948" s="77"/>
      <c r="AC1948" s="82" t="s">
        <v>7705</v>
      </c>
      <c r="AD1948" s="77" t="s">
        <v>7745</v>
      </c>
      <c r="AE1948" s="80" t="str">
        <f>HYPERLINK("https://twitter.com/economedicos/status/1663860032574726147")</f>
        <v>https://twitter.com/economedicos/status/1663860032574726147</v>
      </c>
      <c r="AF1948" s="79">
        <v>45077.45045138889</v>
      </c>
      <c r="AG1948" s="85">
        <v>45077</v>
      </c>
      <c r="AH1948" s="82" t="s">
        <v>9490</v>
      </c>
      <c r="AI1948" s="77"/>
      <c r="AJ1948" s="77"/>
      <c r="AK1948" s="77"/>
      <c r="AL1948" s="77"/>
      <c r="AM1948" s="77"/>
      <c r="AN1948" s="77"/>
      <c r="AO1948" s="77"/>
      <c r="AP1948" s="77"/>
      <c r="AQ1948" s="77"/>
      <c r="AR1948" s="77"/>
      <c r="AS1948" s="77"/>
      <c r="AT1948" s="77"/>
      <c r="AU1948" s="77"/>
      <c r="AV1948" s="80" t="str">
        <f>HYPERLINK("https://pbs.twimg.com/profile_images/1283576393662636034/EjgsMA_W_normal.jpg")</f>
        <v>https://pbs.twimg.com/profile_images/1283576393662636034/EjgsMA_W_normal.jpg</v>
      </c>
      <c r="AW1948" s="82" t="s">
        <v>14113</v>
      </c>
      <c r="AX1948" s="82" t="s">
        <v>15520</v>
      </c>
      <c r="AY1948" s="82" t="s">
        <v>15767</v>
      </c>
      <c r="AZ1948" s="82" t="s">
        <v>16049</v>
      </c>
      <c r="BA1948" s="82" t="s">
        <v>15804</v>
      </c>
      <c r="BB1948" s="82" t="s">
        <v>15804</v>
      </c>
      <c r="BC1948" s="82" t="s">
        <v>16049</v>
      </c>
      <c r="BD1948" s="82" t="s">
        <v>15767</v>
      </c>
      <c r="BE1948" s="77"/>
      <c r="BF1948" s="77"/>
      <c r="BG1948" s="77"/>
      <c r="BH1948" s="77"/>
      <c r="BI1948" s="77"/>
    </row>
    <row r="1949" spans="1:61" x14ac:dyDescent="0.25">
      <c r="A1949" s="62" t="s">
        <v>819</v>
      </c>
      <c r="B1949" s="62" t="s">
        <v>819</v>
      </c>
      <c r="C1949" s="63"/>
      <c r="D1949" s="64"/>
      <c r="E1949" s="65"/>
      <c r="F1949" s="66"/>
      <c r="G1949" s="63"/>
      <c r="H1949" s="67"/>
      <c r="I1949" s="68"/>
      <c r="J1949" s="68"/>
      <c r="K1949" s="32"/>
      <c r="L1949" s="75">
        <v>1949</v>
      </c>
      <c r="M1949" s="75"/>
      <c r="N1949" s="70"/>
      <c r="O1949" s="77" t="s">
        <v>1132</v>
      </c>
      <c r="P1949" s="79">
        <v>45070.44871527778</v>
      </c>
      <c r="Q1949" s="77" t="s">
        <v>3005</v>
      </c>
      <c r="R1949" s="77">
        <v>0</v>
      </c>
      <c r="S1949" s="77">
        <v>0</v>
      </c>
      <c r="T1949" s="77">
        <v>0</v>
      </c>
      <c r="U1949" s="77">
        <v>0</v>
      </c>
      <c r="V1949" s="77">
        <v>24</v>
      </c>
      <c r="W1949" s="82" t="s">
        <v>5308</v>
      </c>
      <c r="X1949" s="77"/>
      <c r="Y1949" s="77"/>
      <c r="Z1949" s="77"/>
      <c r="AA1949" s="77"/>
      <c r="AB1949" s="77"/>
      <c r="AC1949" s="82" t="s">
        <v>7705</v>
      </c>
      <c r="AD1949" s="77" t="s">
        <v>7745</v>
      </c>
      <c r="AE1949" s="80" t="str">
        <f>HYPERLINK("https://twitter.com/economedicos/status/1661322687388459008")</f>
        <v>https://twitter.com/economedicos/status/1661322687388459008</v>
      </c>
      <c r="AF1949" s="79">
        <v>45070.44871527778</v>
      </c>
      <c r="AG1949" s="85">
        <v>45070</v>
      </c>
      <c r="AH1949" s="82" t="s">
        <v>9491</v>
      </c>
      <c r="AI1949" s="77"/>
      <c r="AJ1949" s="77"/>
      <c r="AK1949" s="77"/>
      <c r="AL1949" s="77"/>
      <c r="AM1949" s="77"/>
      <c r="AN1949" s="77"/>
      <c r="AO1949" s="77"/>
      <c r="AP1949" s="77"/>
      <c r="AQ1949" s="77"/>
      <c r="AR1949" s="77"/>
      <c r="AS1949" s="77"/>
      <c r="AT1949" s="77"/>
      <c r="AU1949" s="77"/>
      <c r="AV1949" s="80" t="str">
        <f>HYPERLINK("https://pbs.twimg.com/profile_images/1283576393662636034/EjgsMA_W_normal.jpg")</f>
        <v>https://pbs.twimg.com/profile_images/1283576393662636034/EjgsMA_W_normal.jpg</v>
      </c>
      <c r="AW1949" s="82" t="s">
        <v>14114</v>
      </c>
      <c r="AX1949" s="82" t="s">
        <v>15521</v>
      </c>
      <c r="AY1949" s="82" t="s">
        <v>15767</v>
      </c>
      <c r="AZ1949" s="82" t="s">
        <v>16050</v>
      </c>
      <c r="BA1949" s="82" t="s">
        <v>15804</v>
      </c>
      <c r="BB1949" s="82" t="s">
        <v>15804</v>
      </c>
      <c r="BC1949" s="82" t="s">
        <v>16050</v>
      </c>
      <c r="BD1949" s="82" t="s">
        <v>15767</v>
      </c>
      <c r="BE1949" s="77"/>
      <c r="BF1949" s="77"/>
      <c r="BG1949" s="77"/>
      <c r="BH1949" s="77"/>
      <c r="BI1949" s="77"/>
    </row>
    <row r="1950" spans="1:61" x14ac:dyDescent="0.25">
      <c r="A1950" s="62" t="s">
        <v>819</v>
      </c>
      <c r="B1950" s="62" t="s">
        <v>819</v>
      </c>
      <c r="C1950" s="63"/>
      <c r="D1950" s="64"/>
      <c r="E1950" s="65"/>
      <c r="F1950" s="66"/>
      <c r="G1950" s="63"/>
      <c r="H1950" s="67"/>
      <c r="I1950" s="68"/>
      <c r="J1950" s="68"/>
      <c r="K1950" s="32"/>
      <c r="L1950" s="75">
        <v>1950</v>
      </c>
      <c r="M1950" s="75"/>
      <c r="N1950" s="70"/>
      <c r="O1950" s="77" t="s">
        <v>1132</v>
      </c>
      <c r="P1950" s="79">
        <v>45050.455891203703</v>
      </c>
      <c r="Q1950" s="77" t="s">
        <v>3006</v>
      </c>
      <c r="R1950" s="77">
        <v>0</v>
      </c>
      <c r="S1950" s="77">
        <v>0</v>
      </c>
      <c r="T1950" s="77">
        <v>0</v>
      </c>
      <c r="U1950" s="77">
        <v>0</v>
      </c>
      <c r="V1950" s="77">
        <v>4</v>
      </c>
      <c r="W1950" s="82" t="s">
        <v>5308</v>
      </c>
      <c r="X1950" s="77"/>
      <c r="Y1950" s="77"/>
      <c r="Z1950" s="77"/>
      <c r="AA1950" s="77"/>
      <c r="AB1950" s="77"/>
      <c r="AC1950" s="82" t="s">
        <v>7705</v>
      </c>
      <c r="AD1950" s="77" t="s">
        <v>7745</v>
      </c>
      <c r="AE1950" s="80" t="str">
        <f>HYPERLINK("https://twitter.com/economedicos/status/1654077532742856705")</f>
        <v>https://twitter.com/economedicos/status/1654077532742856705</v>
      </c>
      <c r="AF1950" s="79">
        <v>45050.455891203703</v>
      </c>
      <c r="AG1950" s="85">
        <v>45050</v>
      </c>
      <c r="AH1950" s="82" t="s">
        <v>9492</v>
      </c>
      <c r="AI1950" s="77"/>
      <c r="AJ1950" s="77"/>
      <c r="AK1950" s="77"/>
      <c r="AL1950" s="77"/>
      <c r="AM1950" s="77"/>
      <c r="AN1950" s="77"/>
      <c r="AO1950" s="77"/>
      <c r="AP1950" s="77"/>
      <c r="AQ1950" s="77"/>
      <c r="AR1950" s="77"/>
      <c r="AS1950" s="77"/>
      <c r="AT1950" s="77"/>
      <c r="AU1950" s="77"/>
      <c r="AV1950" s="80" t="str">
        <f>HYPERLINK("https://pbs.twimg.com/profile_images/1283576393662636034/EjgsMA_W_normal.jpg")</f>
        <v>https://pbs.twimg.com/profile_images/1283576393662636034/EjgsMA_W_normal.jpg</v>
      </c>
      <c r="AW1950" s="82" t="s">
        <v>14115</v>
      </c>
      <c r="AX1950" s="82" t="s">
        <v>15522</v>
      </c>
      <c r="AY1950" s="82" t="s">
        <v>15767</v>
      </c>
      <c r="AZ1950" s="82" t="s">
        <v>16051</v>
      </c>
      <c r="BA1950" s="82" t="s">
        <v>15804</v>
      </c>
      <c r="BB1950" s="82" t="s">
        <v>15804</v>
      </c>
      <c r="BC1950" s="82" t="s">
        <v>16051</v>
      </c>
      <c r="BD1950" s="82" t="s">
        <v>15767</v>
      </c>
      <c r="BE1950" s="77"/>
      <c r="BF1950" s="77"/>
      <c r="BG1950" s="77"/>
      <c r="BH1950" s="77"/>
      <c r="BI1950" s="77"/>
    </row>
    <row r="1951" spans="1:61" x14ac:dyDescent="0.25">
      <c r="A1951" s="62" t="s">
        <v>819</v>
      </c>
      <c r="B1951" s="62" t="s">
        <v>819</v>
      </c>
      <c r="C1951" s="63"/>
      <c r="D1951" s="64"/>
      <c r="E1951" s="65"/>
      <c r="F1951" s="66"/>
      <c r="G1951" s="63"/>
      <c r="H1951" s="67"/>
      <c r="I1951" s="68"/>
      <c r="J1951" s="68"/>
      <c r="K1951" s="32"/>
      <c r="L1951" s="75">
        <v>1951</v>
      </c>
      <c r="M1951" s="75"/>
      <c r="N1951" s="70"/>
      <c r="O1951" s="77" t="s">
        <v>1132</v>
      </c>
      <c r="P1951" s="79">
        <v>45044.430266203701</v>
      </c>
      <c r="Q1951" s="77" t="s">
        <v>3007</v>
      </c>
      <c r="R1951" s="77">
        <v>0</v>
      </c>
      <c r="S1951" s="77">
        <v>0</v>
      </c>
      <c r="T1951" s="77">
        <v>0</v>
      </c>
      <c r="U1951" s="77">
        <v>0</v>
      </c>
      <c r="V1951" s="77">
        <v>8</v>
      </c>
      <c r="W1951" s="82" t="s">
        <v>5308</v>
      </c>
      <c r="X1951" s="77"/>
      <c r="Y1951" s="77"/>
      <c r="Z1951" s="77"/>
      <c r="AA1951" s="77"/>
      <c r="AB1951" s="77"/>
      <c r="AC1951" s="82" t="s">
        <v>7705</v>
      </c>
      <c r="AD1951" s="77" t="s">
        <v>7745</v>
      </c>
      <c r="AE1951" s="80" t="str">
        <f>HYPERLINK("https://twitter.com/economedicos/status/1651893917657231360")</f>
        <v>https://twitter.com/economedicos/status/1651893917657231360</v>
      </c>
      <c r="AF1951" s="79">
        <v>45044.430266203701</v>
      </c>
      <c r="AG1951" s="85">
        <v>45044</v>
      </c>
      <c r="AH1951" s="82" t="s">
        <v>9493</v>
      </c>
      <c r="AI1951" s="77"/>
      <c r="AJ1951" s="77"/>
      <c r="AK1951" s="77"/>
      <c r="AL1951" s="77"/>
      <c r="AM1951" s="77"/>
      <c r="AN1951" s="77"/>
      <c r="AO1951" s="77"/>
      <c r="AP1951" s="77"/>
      <c r="AQ1951" s="77"/>
      <c r="AR1951" s="77"/>
      <c r="AS1951" s="77"/>
      <c r="AT1951" s="77"/>
      <c r="AU1951" s="77"/>
      <c r="AV1951" s="80" t="str">
        <f>HYPERLINK("https://pbs.twimg.com/profile_images/1283576393662636034/EjgsMA_W_normal.jpg")</f>
        <v>https://pbs.twimg.com/profile_images/1283576393662636034/EjgsMA_W_normal.jpg</v>
      </c>
      <c r="AW1951" s="82" t="s">
        <v>14116</v>
      </c>
      <c r="AX1951" s="82" t="s">
        <v>15523</v>
      </c>
      <c r="AY1951" s="82" t="s">
        <v>15767</v>
      </c>
      <c r="AZ1951" s="82" t="s">
        <v>16052</v>
      </c>
      <c r="BA1951" s="82" t="s">
        <v>15804</v>
      </c>
      <c r="BB1951" s="82" t="s">
        <v>15804</v>
      </c>
      <c r="BC1951" s="82" t="s">
        <v>16052</v>
      </c>
      <c r="BD1951" s="82" t="s">
        <v>15767</v>
      </c>
      <c r="BE1951" s="77"/>
      <c r="BF1951" s="77"/>
      <c r="BG1951" s="77"/>
      <c r="BH1951" s="77"/>
      <c r="BI1951" s="77"/>
    </row>
    <row r="1952" spans="1:61" x14ac:dyDescent="0.25">
      <c r="A1952" s="62" t="s">
        <v>819</v>
      </c>
      <c r="B1952" s="62" t="s">
        <v>819</v>
      </c>
      <c r="C1952" s="63"/>
      <c r="D1952" s="64"/>
      <c r="E1952" s="65"/>
      <c r="F1952" s="66"/>
      <c r="G1952" s="63"/>
      <c r="H1952" s="67"/>
      <c r="I1952" s="68"/>
      <c r="J1952" s="68"/>
      <c r="K1952" s="32"/>
      <c r="L1952" s="75">
        <v>1952</v>
      </c>
      <c r="M1952" s="75"/>
      <c r="N1952" s="70"/>
      <c r="O1952" s="77" t="s">
        <v>1132</v>
      </c>
      <c r="P1952" s="79">
        <v>45043.483668981484</v>
      </c>
      <c r="Q1952" s="77" t="s">
        <v>3008</v>
      </c>
      <c r="R1952" s="77">
        <v>0</v>
      </c>
      <c r="S1952" s="77">
        <v>0</v>
      </c>
      <c r="T1952" s="77">
        <v>0</v>
      </c>
      <c r="U1952" s="77">
        <v>0</v>
      </c>
      <c r="V1952" s="77">
        <v>6</v>
      </c>
      <c r="W1952" s="82" t="s">
        <v>5308</v>
      </c>
      <c r="X1952" s="77"/>
      <c r="Y1952" s="77"/>
      <c r="Z1952" s="77"/>
      <c r="AA1952" s="77"/>
      <c r="AB1952" s="77"/>
      <c r="AC1952" s="82" t="s">
        <v>7705</v>
      </c>
      <c r="AD1952" s="77" t="s">
        <v>7745</v>
      </c>
      <c r="AE1952" s="80" t="str">
        <f>HYPERLINK("https://twitter.com/economedicos/status/1651550884973748227")</f>
        <v>https://twitter.com/economedicos/status/1651550884973748227</v>
      </c>
      <c r="AF1952" s="79">
        <v>45043.483668981484</v>
      </c>
      <c r="AG1952" s="85">
        <v>45043</v>
      </c>
      <c r="AH1952" s="82" t="s">
        <v>9494</v>
      </c>
      <c r="AI1952" s="77"/>
      <c r="AJ1952" s="77"/>
      <c r="AK1952" s="77"/>
      <c r="AL1952" s="77"/>
      <c r="AM1952" s="77"/>
      <c r="AN1952" s="77"/>
      <c r="AO1952" s="77"/>
      <c r="AP1952" s="77"/>
      <c r="AQ1952" s="77"/>
      <c r="AR1952" s="77"/>
      <c r="AS1952" s="77"/>
      <c r="AT1952" s="77"/>
      <c r="AU1952" s="77"/>
      <c r="AV1952" s="80" t="str">
        <f>HYPERLINK("https://pbs.twimg.com/profile_images/1283576393662636034/EjgsMA_W_normal.jpg")</f>
        <v>https://pbs.twimg.com/profile_images/1283576393662636034/EjgsMA_W_normal.jpg</v>
      </c>
      <c r="AW1952" s="82" t="s">
        <v>14117</v>
      </c>
      <c r="AX1952" s="82" t="s">
        <v>15524</v>
      </c>
      <c r="AY1952" s="82" t="s">
        <v>15767</v>
      </c>
      <c r="AZ1952" s="82" t="s">
        <v>16053</v>
      </c>
      <c r="BA1952" s="82" t="s">
        <v>15804</v>
      </c>
      <c r="BB1952" s="82" t="s">
        <v>15804</v>
      </c>
      <c r="BC1952" s="82" t="s">
        <v>16053</v>
      </c>
      <c r="BD1952" s="82" t="s">
        <v>15767</v>
      </c>
      <c r="BE1952" s="77"/>
      <c r="BF1952" s="77"/>
      <c r="BG1952" s="77"/>
      <c r="BH1952" s="77"/>
      <c r="BI1952" s="77"/>
    </row>
    <row r="1953" spans="1:61" x14ac:dyDescent="0.25">
      <c r="A1953" s="62" t="s">
        <v>819</v>
      </c>
      <c r="B1953" s="62" t="s">
        <v>819</v>
      </c>
      <c r="C1953" s="63"/>
      <c r="D1953" s="64"/>
      <c r="E1953" s="65"/>
      <c r="F1953" s="66"/>
      <c r="G1953" s="63"/>
      <c r="H1953" s="67"/>
      <c r="I1953" s="68"/>
      <c r="J1953" s="68"/>
      <c r="K1953" s="32"/>
      <c r="L1953" s="75">
        <v>1953</v>
      </c>
      <c r="M1953" s="75"/>
      <c r="N1953" s="70"/>
      <c r="O1953" s="77" t="s">
        <v>1132</v>
      </c>
      <c r="P1953" s="79">
        <v>45030.442974537036</v>
      </c>
      <c r="Q1953" s="77" t="s">
        <v>3009</v>
      </c>
      <c r="R1953" s="77">
        <v>0</v>
      </c>
      <c r="S1953" s="77">
        <v>0</v>
      </c>
      <c r="T1953" s="77">
        <v>0</v>
      </c>
      <c r="U1953" s="77">
        <v>0</v>
      </c>
      <c r="V1953" s="77">
        <v>11</v>
      </c>
      <c r="W1953" s="82" t="s">
        <v>5308</v>
      </c>
      <c r="X1953" s="77"/>
      <c r="Y1953" s="77"/>
      <c r="Z1953" s="77"/>
      <c r="AA1953" s="77"/>
      <c r="AB1953" s="77"/>
      <c r="AC1953" s="82" t="s">
        <v>7705</v>
      </c>
      <c r="AD1953" s="77" t="s">
        <v>7745</v>
      </c>
      <c r="AE1953" s="80" t="str">
        <f>HYPERLINK("https://twitter.com/economedicos/status/1646825094801416193")</f>
        <v>https://twitter.com/economedicos/status/1646825094801416193</v>
      </c>
      <c r="AF1953" s="79">
        <v>45030.442974537036</v>
      </c>
      <c r="AG1953" s="85">
        <v>45030</v>
      </c>
      <c r="AH1953" s="82" t="s">
        <v>9495</v>
      </c>
      <c r="AI1953" s="77"/>
      <c r="AJ1953" s="77"/>
      <c r="AK1953" s="77"/>
      <c r="AL1953" s="77"/>
      <c r="AM1953" s="77"/>
      <c r="AN1953" s="77"/>
      <c r="AO1953" s="77"/>
      <c r="AP1953" s="77"/>
      <c r="AQ1953" s="77"/>
      <c r="AR1953" s="77"/>
      <c r="AS1953" s="77"/>
      <c r="AT1953" s="77"/>
      <c r="AU1953" s="77"/>
      <c r="AV1953" s="80" t="str">
        <f>HYPERLINK("https://pbs.twimg.com/profile_images/1283576393662636034/EjgsMA_W_normal.jpg")</f>
        <v>https://pbs.twimg.com/profile_images/1283576393662636034/EjgsMA_W_normal.jpg</v>
      </c>
      <c r="AW1953" s="82" t="s">
        <v>14118</v>
      </c>
      <c r="AX1953" s="82" t="s">
        <v>15525</v>
      </c>
      <c r="AY1953" s="82" t="s">
        <v>15767</v>
      </c>
      <c r="AZ1953" s="82" t="s">
        <v>16054</v>
      </c>
      <c r="BA1953" s="82" t="s">
        <v>15804</v>
      </c>
      <c r="BB1953" s="82" t="s">
        <v>15804</v>
      </c>
      <c r="BC1953" s="82" t="s">
        <v>16054</v>
      </c>
      <c r="BD1953" s="82" t="s">
        <v>15767</v>
      </c>
      <c r="BE1953" s="77"/>
      <c r="BF1953" s="77"/>
      <c r="BG1953" s="77"/>
      <c r="BH1953" s="77"/>
      <c r="BI1953" s="77"/>
    </row>
    <row r="1954" spans="1:61" x14ac:dyDescent="0.25">
      <c r="A1954" s="62" t="s">
        <v>819</v>
      </c>
      <c r="B1954" s="62" t="s">
        <v>819</v>
      </c>
      <c r="C1954" s="63"/>
      <c r="D1954" s="64"/>
      <c r="E1954" s="65"/>
      <c r="F1954" s="66"/>
      <c r="G1954" s="63"/>
      <c r="H1954" s="67"/>
      <c r="I1954" s="68"/>
      <c r="J1954" s="68"/>
      <c r="K1954" s="32"/>
      <c r="L1954" s="75">
        <v>1954</v>
      </c>
      <c r="M1954" s="75"/>
      <c r="N1954" s="70"/>
      <c r="O1954" s="77" t="s">
        <v>1132</v>
      </c>
      <c r="P1954" s="79">
        <v>45029.431921296295</v>
      </c>
      <c r="Q1954" s="77" t="s">
        <v>3010</v>
      </c>
      <c r="R1954" s="77">
        <v>0</v>
      </c>
      <c r="S1954" s="77">
        <v>0</v>
      </c>
      <c r="T1954" s="77">
        <v>0</v>
      </c>
      <c r="U1954" s="77">
        <v>0</v>
      </c>
      <c r="V1954" s="77">
        <v>14</v>
      </c>
      <c r="W1954" s="82" t="s">
        <v>5308</v>
      </c>
      <c r="X1954" s="77"/>
      <c r="Y1954" s="77"/>
      <c r="Z1954" s="77"/>
      <c r="AA1954" s="77"/>
      <c r="AB1954" s="77"/>
      <c r="AC1954" s="82" t="s">
        <v>7705</v>
      </c>
      <c r="AD1954" s="77" t="s">
        <v>7745</v>
      </c>
      <c r="AE1954" s="80" t="str">
        <f>HYPERLINK("https://twitter.com/economedicos/status/1646458698796023808")</f>
        <v>https://twitter.com/economedicos/status/1646458698796023808</v>
      </c>
      <c r="AF1954" s="79">
        <v>45029.431921296295</v>
      </c>
      <c r="AG1954" s="85">
        <v>45029</v>
      </c>
      <c r="AH1954" s="82" t="s">
        <v>9496</v>
      </c>
      <c r="AI1954" s="77"/>
      <c r="AJ1954" s="77"/>
      <c r="AK1954" s="77"/>
      <c r="AL1954" s="77"/>
      <c r="AM1954" s="77"/>
      <c r="AN1954" s="77"/>
      <c r="AO1954" s="77"/>
      <c r="AP1954" s="77"/>
      <c r="AQ1954" s="77"/>
      <c r="AR1954" s="77"/>
      <c r="AS1954" s="77"/>
      <c r="AT1954" s="77"/>
      <c r="AU1954" s="77"/>
      <c r="AV1954" s="80" t="str">
        <f>HYPERLINK("https://pbs.twimg.com/profile_images/1283576393662636034/EjgsMA_W_normal.jpg")</f>
        <v>https://pbs.twimg.com/profile_images/1283576393662636034/EjgsMA_W_normal.jpg</v>
      </c>
      <c r="AW1954" s="82" t="s">
        <v>14119</v>
      </c>
      <c r="AX1954" s="82" t="s">
        <v>15526</v>
      </c>
      <c r="AY1954" s="82" t="s">
        <v>15767</v>
      </c>
      <c r="AZ1954" s="82" t="s">
        <v>16055</v>
      </c>
      <c r="BA1954" s="82" t="s">
        <v>15804</v>
      </c>
      <c r="BB1954" s="82" t="s">
        <v>15804</v>
      </c>
      <c r="BC1954" s="82" t="s">
        <v>16055</v>
      </c>
      <c r="BD1954" s="82" t="s">
        <v>15767</v>
      </c>
      <c r="BE1954" s="77"/>
      <c r="BF1954" s="77"/>
      <c r="BG1954" s="77"/>
      <c r="BH1954" s="77"/>
      <c r="BI1954" s="77"/>
    </row>
    <row r="1955" spans="1:61" x14ac:dyDescent="0.25">
      <c r="A1955" s="62" t="s">
        <v>819</v>
      </c>
      <c r="B1955" s="62" t="s">
        <v>819</v>
      </c>
      <c r="C1955" s="63"/>
      <c r="D1955" s="64"/>
      <c r="E1955" s="65"/>
      <c r="F1955" s="66"/>
      <c r="G1955" s="63"/>
      <c r="H1955" s="67"/>
      <c r="I1955" s="68"/>
      <c r="J1955" s="68"/>
      <c r="K1955" s="32"/>
      <c r="L1955" s="75">
        <v>1955</v>
      </c>
      <c r="M1955" s="75"/>
      <c r="N1955" s="70"/>
      <c r="O1955" s="77" t="s">
        <v>1132</v>
      </c>
      <c r="P1955" s="79">
        <v>45028.455601851849</v>
      </c>
      <c r="Q1955" s="77" t="s">
        <v>3011</v>
      </c>
      <c r="R1955" s="77">
        <v>0</v>
      </c>
      <c r="S1955" s="77">
        <v>0</v>
      </c>
      <c r="T1955" s="77">
        <v>0</v>
      </c>
      <c r="U1955" s="77">
        <v>0</v>
      </c>
      <c r="V1955" s="77">
        <v>3</v>
      </c>
      <c r="W1955" s="82" t="s">
        <v>5308</v>
      </c>
      <c r="X1955" s="77"/>
      <c r="Y1955" s="77"/>
      <c r="Z1955" s="77"/>
      <c r="AA1955" s="77"/>
      <c r="AB1955" s="77"/>
      <c r="AC1955" s="82" t="s">
        <v>7705</v>
      </c>
      <c r="AD1955" s="77" t="s">
        <v>7745</v>
      </c>
      <c r="AE1955" s="80" t="str">
        <f>HYPERLINK("https://twitter.com/economedicos/status/1646104895148240898")</f>
        <v>https://twitter.com/economedicos/status/1646104895148240898</v>
      </c>
      <c r="AF1955" s="79">
        <v>45028.455601851849</v>
      </c>
      <c r="AG1955" s="85">
        <v>45028</v>
      </c>
      <c r="AH1955" s="82" t="s">
        <v>9497</v>
      </c>
      <c r="AI1955" s="77"/>
      <c r="AJ1955" s="77"/>
      <c r="AK1955" s="77"/>
      <c r="AL1955" s="77"/>
      <c r="AM1955" s="77"/>
      <c r="AN1955" s="77"/>
      <c r="AO1955" s="77"/>
      <c r="AP1955" s="77"/>
      <c r="AQ1955" s="77"/>
      <c r="AR1955" s="77"/>
      <c r="AS1955" s="77"/>
      <c r="AT1955" s="77"/>
      <c r="AU1955" s="77"/>
      <c r="AV1955" s="80" t="str">
        <f>HYPERLINK("https://pbs.twimg.com/profile_images/1283576393662636034/EjgsMA_W_normal.jpg")</f>
        <v>https://pbs.twimg.com/profile_images/1283576393662636034/EjgsMA_W_normal.jpg</v>
      </c>
      <c r="AW1955" s="82" t="s">
        <v>14120</v>
      </c>
      <c r="AX1955" s="82" t="s">
        <v>15527</v>
      </c>
      <c r="AY1955" s="82" t="s">
        <v>15767</v>
      </c>
      <c r="AZ1955" s="82" t="s">
        <v>16056</v>
      </c>
      <c r="BA1955" s="82" t="s">
        <v>15804</v>
      </c>
      <c r="BB1955" s="82" t="s">
        <v>15804</v>
      </c>
      <c r="BC1955" s="82" t="s">
        <v>16056</v>
      </c>
      <c r="BD1955" s="82" t="s">
        <v>15767</v>
      </c>
      <c r="BE1955" s="77"/>
      <c r="BF1955" s="77"/>
      <c r="BG1955" s="77"/>
      <c r="BH1955" s="77"/>
      <c r="BI1955" s="77"/>
    </row>
    <row r="1956" spans="1:61" x14ac:dyDescent="0.25">
      <c r="A1956" s="62" t="s">
        <v>819</v>
      </c>
      <c r="B1956" s="62" t="s">
        <v>819</v>
      </c>
      <c r="C1956" s="63"/>
      <c r="D1956" s="64"/>
      <c r="E1956" s="65"/>
      <c r="F1956" s="66"/>
      <c r="G1956" s="63"/>
      <c r="H1956" s="67"/>
      <c r="I1956" s="68"/>
      <c r="J1956" s="68"/>
      <c r="K1956" s="32"/>
      <c r="L1956" s="75">
        <v>1956</v>
      </c>
      <c r="M1956" s="75"/>
      <c r="N1956" s="70"/>
      <c r="O1956" s="77" t="s">
        <v>1132</v>
      </c>
      <c r="P1956" s="79">
        <v>44984.470879629633</v>
      </c>
      <c r="Q1956" s="77" t="s">
        <v>3012</v>
      </c>
      <c r="R1956" s="77">
        <v>0</v>
      </c>
      <c r="S1956" s="77">
        <v>0</v>
      </c>
      <c r="T1956" s="77">
        <v>0</v>
      </c>
      <c r="U1956" s="77">
        <v>0</v>
      </c>
      <c r="V1956" s="77">
        <v>17</v>
      </c>
      <c r="W1956" s="82" t="s">
        <v>5308</v>
      </c>
      <c r="X1956" s="77"/>
      <c r="Y1956" s="77"/>
      <c r="Z1956" s="77"/>
      <c r="AA1956" s="77"/>
      <c r="AB1956" s="77"/>
      <c r="AC1956" s="82" t="s">
        <v>7705</v>
      </c>
      <c r="AD1956" s="77" t="s">
        <v>7745</v>
      </c>
      <c r="AE1956" s="80" t="str">
        <f>HYPERLINK("https://twitter.com/economedicos/status/1630165366293815296")</f>
        <v>https://twitter.com/economedicos/status/1630165366293815296</v>
      </c>
      <c r="AF1956" s="79">
        <v>44984.470879629633</v>
      </c>
      <c r="AG1956" s="85">
        <v>44984</v>
      </c>
      <c r="AH1956" s="82" t="s">
        <v>9498</v>
      </c>
      <c r="AI1956" s="77"/>
      <c r="AJ1956" s="77"/>
      <c r="AK1956" s="77"/>
      <c r="AL1956" s="77"/>
      <c r="AM1956" s="77"/>
      <c r="AN1956" s="77"/>
      <c r="AO1956" s="77"/>
      <c r="AP1956" s="77"/>
      <c r="AQ1956" s="77"/>
      <c r="AR1956" s="77"/>
      <c r="AS1956" s="77"/>
      <c r="AT1956" s="77"/>
      <c r="AU1956" s="77"/>
      <c r="AV1956" s="80" t="str">
        <f>HYPERLINK("https://pbs.twimg.com/profile_images/1283576393662636034/EjgsMA_W_normal.jpg")</f>
        <v>https://pbs.twimg.com/profile_images/1283576393662636034/EjgsMA_W_normal.jpg</v>
      </c>
      <c r="AW1956" s="82" t="s">
        <v>14121</v>
      </c>
      <c r="AX1956" s="82" t="s">
        <v>15528</v>
      </c>
      <c r="AY1956" s="82" t="s">
        <v>15767</v>
      </c>
      <c r="AZ1956" s="82" t="s">
        <v>16057</v>
      </c>
      <c r="BA1956" s="82" t="s">
        <v>15804</v>
      </c>
      <c r="BB1956" s="82" t="s">
        <v>15804</v>
      </c>
      <c r="BC1956" s="82" t="s">
        <v>16057</v>
      </c>
      <c r="BD1956" s="82" t="s">
        <v>15767</v>
      </c>
      <c r="BE1956" s="77"/>
      <c r="BF1956" s="77"/>
      <c r="BG1956" s="77"/>
      <c r="BH1956" s="77"/>
      <c r="BI1956" s="77"/>
    </row>
    <row r="1957" spans="1:61" x14ac:dyDescent="0.25">
      <c r="A1957" s="62" t="s">
        <v>819</v>
      </c>
      <c r="B1957" s="62" t="s">
        <v>819</v>
      </c>
      <c r="C1957" s="63"/>
      <c r="D1957" s="64"/>
      <c r="E1957" s="65"/>
      <c r="F1957" s="66"/>
      <c r="G1957" s="63"/>
      <c r="H1957" s="67"/>
      <c r="I1957" s="68"/>
      <c r="J1957" s="68"/>
      <c r="K1957" s="32"/>
      <c r="L1957" s="75">
        <v>1957</v>
      </c>
      <c r="M1957" s="75"/>
      <c r="N1957" s="70"/>
      <c r="O1957" s="77" t="s">
        <v>1132</v>
      </c>
      <c r="P1957" s="79">
        <v>44981.475277777776</v>
      </c>
      <c r="Q1957" s="77" t="s">
        <v>3013</v>
      </c>
      <c r="R1957" s="77">
        <v>0</v>
      </c>
      <c r="S1957" s="77">
        <v>0</v>
      </c>
      <c r="T1957" s="77">
        <v>0</v>
      </c>
      <c r="U1957" s="77">
        <v>0</v>
      </c>
      <c r="V1957" s="77">
        <v>12</v>
      </c>
      <c r="W1957" s="82" t="s">
        <v>5308</v>
      </c>
      <c r="X1957" s="77"/>
      <c r="Y1957" s="77"/>
      <c r="Z1957" s="77"/>
      <c r="AA1957" s="77"/>
      <c r="AB1957" s="77"/>
      <c r="AC1957" s="82" t="s">
        <v>7705</v>
      </c>
      <c r="AD1957" s="77" t="s">
        <v>7745</v>
      </c>
      <c r="AE1957" s="80" t="str">
        <f>HYPERLINK("https://twitter.com/economedicos/status/1629079796150939649")</f>
        <v>https://twitter.com/economedicos/status/1629079796150939649</v>
      </c>
      <c r="AF1957" s="79">
        <v>44981.475277777776</v>
      </c>
      <c r="AG1957" s="85">
        <v>44981</v>
      </c>
      <c r="AH1957" s="82" t="s">
        <v>9499</v>
      </c>
      <c r="AI1957" s="77"/>
      <c r="AJ1957" s="77"/>
      <c r="AK1957" s="77"/>
      <c r="AL1957" s="77"/>
      <c r="AM1957" s="77"/>
      <c r="AN1957" s="77"/>
      <c r="AO1957" s="77"/>
      <c r="AP1957" s="77"/>
      <c r="AQ1957" s="77"/>
      <c r="AR1957" s="77"/>
      <c r="AS1957" s="77"/>
      <c r="AT1957" s="77"/>
      <c r="AU1957" s="77"/>
      <c r="AV1957" s="80" t="str">
        <f>HYPERLINK("https://pbs.twimg.com/profile_images/1283576393662636034/EjgsMA_W_normal.jpg")</f>
        <v>https://pbs.twimg.com/profile_images/1283576393662636034/EjgsMA_W_normal.jpg</v>
      </c>
      <c r="AW1957" s="82" t="s">
        <v>14122</v>
      </c>
      <c r="AX1957" s="82" t="s">
        <v>15529</v>
      </c>
      <c r="AY1957" s="82" t="s">
        <v>15767</v>
      </c>
      <c r="AZ1957" s="82" t="s">
        <v>16058</v>
      </c>
      <c r="BA1957" s="82" t="s">
        <v>15804</v>
      </c>
      <c r="BB1957" s="82" t="s">
        <v>15804</v>
      </c>
      <c r="BC1957" s="82" t="s">
        <v>16058</v>
      </c>
      <c r="BD1957" s="82" t="s">
        <v>15767</v>
      </c>
      <c r="BE1957" s="77"/>
      <c r="BF1957" s="77"/>
      <c r="BG1957" s="77"/>
      <c r="BH1957" s="77"/>
      <c r="BI1957" s="77"/>
    </row>
    <row r="1958" spans="1:61" x14ac:dyDescent="0.25">
      <c r="A1958" s="62" t="s">
        <v>819</v>
      </c>
      <c r="B1958" s="62" t="s">
        <v>819</v>
      </c>
      <c r="C1958" s="63"/>
      <c r="D1958" s="64"/>
      <c r="E1958" s="65"/>
      <c r="F1958" s="66"/>
      <c r="G1958" s="63"/>
      <c r="H1958" s="67"/>
      <c r="I1958" s="68"/>
      <c r="J1958" s="68"/>
      <c r="K1958" s="32"/>
      <c r="L1958" s="75">
        <v>1958</v>
      </c>
      <c r="M1958" s="75"/>
      <c r="N1958" s="70"/>
      <c r="O1958" s="77" t="s">
        <v>1132</v>
      </c>
      <c r="P1958" s="79">
        <v>44980.476307870369</v>
      </c>
      <c r="Q1958" s="77" t="s">
        <v>3014</v>
      </c>
      <c r="R1958" s="77">
        <v>0</v>
      </c>
      <c r="S1958" s="77">
        <v>0</v>
      </c>
      <c r="T1958" s="77">
        <v>0</v>
      </c>
      <c r="U1958" s="77">
        <v>0</v>
      </c>
      <c r="V1958" s="77">
        <v>20</v>
      </c>
      <c r="W1958" s="82" t="s">
        <v>5308</v>
      </c>
      <c r="X1958" s="77"/>
      <c r="Y1958" s="77"/>
      <c r="Z1958" s="77"/>
      <c r="AA1958" s="77"/>
      <c r="AB1958" s="77"/>
      <c r="AC1958" s="82" t="s">
        <v>7705</v>
      </c>
      <c r="AD1958" s="77" t="s">
        <v>7745</v>
      </c>
      <c r="AE1958" s="80" t="str">
        <f>HYPERLINK("https://twitter.com/economedicos/status/1628717781808979973")</f>
        <v>https://twitter.com/economedicos/status/1628717781808979973</v>
      </c>
      <c r="AF1958" s="79">
        <v>44980.476307870369</v>
      </c>
      <c r="AG1958" s="85">
        <v>44980</v>
      </c>
      <c r="AH1958" s="82" t="s">
        <v>9500</v>
      </c>
      <c r="AI1958" s="77"/>
      <c r="AJ1958" s="77"/>
      <c r="AK1958" s="77"/>
      <c r="AL1958" s="77"/>
      <c r="AM1958" s="77"/>
      <c r="AN1958" s="77"/>
      <c r="AO1958" s="77"/>
      <c r="AP1958" s="77"/>
      <c r="AQ1958" s="77"/>
      <c r="AR1958" s="77"/>
      <c r="AS1958" s="77"/>
      <c r="AT1958" s="77"/>
      <c r="AU1958" s="77"/>
      <c r="AV1958" s="80" t="str">
        <f>HYPERLINK("https://pbs.twimg.com/profile_images/1283576393662636034/EjgsMA_W_normal.jpg")</f>
        <v>https://pbs.twimg.com/profile_images/1283576393662636034/EjgsMA_W_normal.jpg</v>
      </c>
      <c r="AW1958" s="82" t="s">
        <v>14123</v>
      </c>
      <c r="AX1958" s="82" t="s">
        <v>15530</v>
      </c>
      <c r="AY1958" s="82" t="s">
        <v>15767</v>
      </c>
      <c r="AZ1958" s="82" t="s">
        <v>16059</v>
      </c>
      <c r="BA1958" s="82" t="s">
        <v>15804</v>
      </c>
      <c r="BB1958" s="82" t="s">
        <v>15804</v>
      </c>
      <c r="BC1958" s="82" t="s">
        <v>16059</v>
      </c>
      <c r="BD1958" s="82" t="s">
        <v>15767</v>
      </c>
      <c r="BE1958" s="77"/>
      <c r="BF1958" s="77"/>
      <c r="BG1958" s="77"/>
      <c r="BH1958" s="77"/>
      <c r="BI1958" s="77"/>
    </row>
    <row r="1959" spans="1:61" x14ac:dyDescent="0.25">
      <c r="A1959" s="62" t="s">
        <v>819</v>
      </c>
      <c r="B1959" s="62" t="s">
        <v>819</v>
      </c>
      <c r="C1959" s="63"/>
      <c r="D1959" s="64"/>
      <c r="E1959" s="65"/>
      <c r="F1959" s="66"/>
      <c r="G1959" s="63"/>
      <c r="H1959" s="67"/>
      <c r="I1959" s="68"/>
      <c r="J1959" s="68"/>
      <c r="K1959" s="32"/>
      <c r="L1959" s="75">
        <v>1959</v>
      </c>
      <c r="M1959" s="75"/>
      <c r="N1959" s="70"/>
      <c r="O1959" s="77" t="s">
        <v>1132</v>
      </c>
      <c r="P1959" s="79">
        <v>44930.443692129629</v>
      </c>
      <c r="Q1959" s="77" t="s">
        <v>3015</v>
      </c>
      <c r="R1959" s="77">
        <v>0</v>
      </c>
      <c r="S1959" s="77">
        <v>0</v>
      </c>
      <c r="T1959" s="77">
        <v>0</v>
      </c>
      <c r="U1959" s="77">
        <v>0</v>
      </c>
      <c r="V1959" s="77">
        <v>8</v>
      </c>
      <c r="W1959" s="82" t="s">
        <v>5311</v>
      </c>
      <c r="X1959" s="77"/>
      <c r="Y1959" s="77"/>
      <c r="Z1959" s="77"/>
      <c r="AA1959" s="77"/>
      <c r="AB1959" s="77"/>
      <c r="AC1959" s="82" t="s">
        <v>7705</v>
      </c>
      <c r="AD1959" s="77" t="s">
        <v>7745</v>
      </c>
      <c r="AE1959" s="80" t="str">
        <f>HYPERLINK("https://twitter.com/economedicos/status/1610586568615464960")</f>
        <v>https://twitter.com/economedicos/status/1610586568615464960</v>
      </c>
      <c r="AF1959" s="79">
        <v>44930.443692129629</v>
      </c>
      <c r="AG1959" s="85">
        <v>44930</v>
      </c>
      <c r="AH1959" s="82" t="s">
        <v>9501</v>
      </c>
      <c r="AI1959" s="77"/>
      <c r="AJ1959" s="77"/>
      <c r="AK1959" s="77"/>
      <c r="AL1959" s="77"/>
      <c r="AM1959" s="77"/>
      <c r="AN1959" s="77"/>
      <c r="AO1959" s="77"/>
      <c r="AP1959" s="77"/>
      <c r="AQ1959" s="77"/>
      <c r="AR1959" s="77"/>
      <c r="AS1959" s="77"/>
      <c r="AT1959" s="77"/>
      <c r="AU1959" s="77"/>
      <c r="AV1959" s="80" t="str">
        <f>HYPERLINK("https://pbs.twimg.com/profile_images/1283576393662636034/EjgsMA_W_normal.jpg")</f>
        <v>https://pbs.twimg.com/profile_images/1283576393662636034/EjgsMA_W_normal.jpg</v>
      </c>
      <c r="AW1959" s="82" t="s">
        <v>14124</v>
      </c>
      <c r="AX1959" s="82" t="s">
        <v>15531</v>
      </c>
      <c r="AY1959" s="82" t="s">
        <v>15767</v>
      </c>
      <c r="AZ1959" s="82" t="s">
        <v>16060</v>
      </c>
      <c r="BA1959" s="82" t="s">
        <v>15804</v>
      </c>
      <c r="BB1959" s="82" t="s">
        <v>15804</v>
      </c>
      <c r="BC1959" s="82" t="s">
        <v>16060</v>
      </c>
      <c r="BD1959" s="82" t="s">
        <v>15767</v>
      </c>
      <c r="BE1959" s="77"/>
      <c r="BF1959" s="77"/>
      <c r="BG1959" s="77"/>
      <c r="BH1959" s="77"/>
      <c r="BI1959" s="77"/>
    </row>
    <row r="1960" spans="1:61" x14ac:dyDescent="0.25">
      <c r="A1960" s="62" t="s">
        <v>819</v>
      </c>
      <c r="B1960" s="62" t="s">
        <v>819</v>
      </c>
      <c r="C1960" s="63"/>
      <c r="D1960" s="64"/>
      <c r="E1960" s="65"/>
      <c r="F1960" s="66"/>
      <c r="G1960" s="63"/>
      <c r="H1960" s="67"/>
      <c r="I1960" s="68"/>
      <c r="J1960" s="68"/>
      <c r="K1960" s="32"/>
      <c r="L1960" s="75">
        <v>1960</v>
      </c>
      <c r="M1960" s="75"/>
      <c r="N1960" s="70"/>
      <c r="O1960" s="77" t="s">
        <v>1132</v>
      </c>
      <c r="P1960" s="79">
        <v>44929.519560185188</v>
      </c>
      <c r="Q1960" s="77" t="s">
        <v>3016</v>
      </c>
      <c r="R1960" s="77">
        <v>0</v>
      </c>
      <c r="S1960" s="77">
        <v>0</v>
      </c>
      <c r="T1960" s="77">
        <v>0</v>
      </c>
      <c r="U1960" s="77">
        <v>0</v>
      </c>
      <c r="V1960" s="77">
        <v>7</v>
      </c>
      <c r="W1960" s="82" t="s">
        <v>5308</v>
      </c>
      <c r="X1960" s="77"/>
      <c r="Y1960" s="77"/>
      <c r="Z1960" s="77"/>
      <c r="AA1960" s="77"/>
      <c r="AB1960" s="77"/>
      <c r="AC1960" s="82" t="s">
        <v>7705</v>
      </c>
      <c r="AD1960" s="77" t="s">
        <v>7745</v>
      </c>
      <c r="AE1960" s="80" t="str">
        <f>HYPERLINK("https://twitter.com/economedicos/status/1610251671480815617")</f>
        <v>https://twitter.com/economedicos/status/1610251671480815617</v>
      </c>
      <c r="AF1960" s="79">
        <v>44929.519560185188</v>
      </c>
      <c r="AG1960" s="85">
        <v>44929</v>
      </c>
      <c r="AH1960" s="82" t="s">
        <v>9502</v>
      </c>
      <c r="AI1960" s="77"/>
      <c r="AJ1960" s="77"/>
      <c r="AK1960" s="77"/>
      <c r="AL1960" s="77"/>
      <c r="AM1960" s="77"/>
      <c r="AN1960" s="77"/>
      <c r="AO1960" s="77"/>
      <c r="AP1960" s="77"/>
      <c r="AQ1960" s="77"/>
      <c r="AR1960" s="77"/>
      <c r="AS1960" s="77"/>
      <c r="AT1960" s="77"/>
      <c r="AU1960" s="77"/>
      <c r="AV1960" s="80" t="str">
        <f>HYPERLINK("https://pbs.twimg.com/profile_images/1283576393662636034/EjgsMA_W_normal.jpg")</f>
        <v>https://pbs.twimg.com/profile_images/1283576393662636034/EjgsMA_W_normal.jpg</v>
      </c>
      <c r="AW1960" s="82" t="s">
        <v>14125</v>
      </c>
      <c r="AX1960" s="82" t="s">
        <v>15532</v>
      </c>
      <c r="AY1960" s="82" t="s">
        <v>15767</v>
      </c>
      <c r="AZ1960" s="82" t="s">
        <v>16061</v>
      </c>
      <c r="BA1960" s="82" t="s">
        <v>15804</v>
      </c>
      <c r="BB1960" s="82" t="s">
        <v>15804</v>
      </c>
      <c r="BC1960" s="82" t="s">
        <v>16061</v>
      </c>
      <c r="BD1960" s="82" t="s">
        <v>15767</v>
      </c>
      <c r="BE1960" s="77"/>
      <c r="BF1960" s="77"/>
      <c r="BG1960" s="77"/>
      <c r="BH1960" s="77"/>
      <c r="BI1960" s="77"/>
    </row>
    <row r="1961" spans="1:61" x14ac:dyDescent="0.25">
      <c r="A1961" s="62" t="s">
        <v>820</v>
      </c>
      <c r="B1961" s="62" t="s">
        <v>820</v>
      </c>
      <c r="C1961" s="63"/>
      <c r="D1961" s="64"/>
      <c r="E1961" s="65"/>
      <c r="F1961" s="66"/>
      <c r="G1961" s="63"/>
      <c r="H1961" s="67"/>
      <c r="I1961" s="68"/>
      <c r="J1961" s="68"/>
      <c r="K1961" s="32"/>
      <c r="L1961" s="75">
        <v>1961</v>
      </c>
      <c r="M1961" s="75"/>
      <c r="N1961" s="70"/>
      <c r="O1961" s="77" t="s">
        <v>179</v>
      </c>
      <c r="P1961" s="79">
        <v>44947.833472222221</v>
      </c>
      <c r="Q1961" s="77" t="s">
        <v>3017</v>
      </c>
      <c r="R1961" s="77">
        <v>0</v>
      </c>
      <c r="S1961" s="77">
        <v>0</v>
      </c>
      <c r="T1961" s="77">
        <v>0</v>
      </c>
      <c r="U1961" s="77">
        <v>0</v>
      </c>
      <c r="V1961" s="77">
        <v>2</v>
      </c>
      <c r="W1961" s="82" t="s">
        <v>5313</v>
      </c>
      <c r="X1961" s="80" t="str">
        <f>HYPERLINK("https://ntnc.com.br/noticias/1f961fa7-b913-438c-8e59-c3559a9f02ab/5fab266f-7511-419e-8464-3b163dd6bebe")</f>
        <v>https://ntnc.com.br/noticias/1f961fa7-b913-438c-8e59-c3559a9f02ab/5fab266f-7511-419e-8464-3b163dd6bebe</v>
      </c>
      <c r="Y1961" s="77" t="s">
        <v>6002</v>
      </c>
      <c r="Z1961" s="77"/>
      <c r="AA1961" s="77"/>
      <c r="AB1961" s="77"/>
      <c r="AC1961" s="82" t="s">
        <v>7741</v>
      </c>
      <c r="AD1961" s="77" t="s">
        <v>7745</v>
      </c>
      <c r="AE1961" s="80" t="str">
        <f>HYPERLINK("https://twitter.com/tidomundo/status/1616888414384656385")</f>
        <v>https://twitter.com/tidomundo/status/1616888414384656385</v>
      </c>
      <c r="AF1961" s="79">
        <v>44947.833472222221</v>
      </c>
      <c r="AG1961" s="85">
        <v>44947</v>
      </c>
      <c r="AH1961" s="82" t="s">
        <v>9503</v>
      </c>
      <c r="AI1961" s="77" t="b">
        <v>0</v>
      </c>
      <c r="AJ1961" s="77"/>
      <c r="AK1961" s="77"/>
      <c r="AL1961" s="77"/>
      <c r="AM1961" s="77"/>
      <c r="AN1961" s="77"/>
      <c r="AO1961" s="77"/>
      <c r="AP1961" s="77"/>
      <c r="AQ1961" s="77"/>
      <c r="AR1961" s="77"/>
      <c r="AS1961" s="77"/>
      <c r="AT1961" s="77"/>
      <c r="AU1961" s="77"/>
      <c r="AV1961" s="80" t="str">
        <f>HYPERLINK("https://pbs.twimg.com/profile_images/1505606345537511424/6RGCSn95_normal.jpg")</f>
        <v>https://pbs.twimg.com/profile_images/1505606345537511424/6RGCSn95_normal.jpg</v>
      </c>
      <c r="AW1961" s="82" t="s">
        <v>14126</v>
      </c>
      <c r="AX1961" s="82" t="s">
        <v>14126</v>
      </c>
      <c r="AY1961" s="77"/>
      <c r="AZ1961" s="82" t="s">
        <v>15804</v>
      </c>
      <c r="BA1961" s="82" t="s">
        <v>15804</v>
      </c>
      <c r="BB1961" s="82" t="s">
        <v>15804</v>
      </c>
      <c r="BC1961" s="82" t="s">
        <v>14126</v>
      </c>
      <c r="BD1961" s="82" t="s">
        <v>16476</v>
      </c>
      <c r="BE1961" s="77"/>
      <c r="BF1961" s="77"/>
      <c r="BG1961" s="77"/>
      <c r="BH1961" s="77"/>
      <c r="BI1961" s="77"/>
    </row>
    <row r="1962" spans="1:61" x14ac:dyDescent="0.25">
      <c r="A1962" s="62" t="s">
        <v>821</v>
      </c>
      <c r="B1962" s="62" t="s">
        <v>821</v>
      </c>
      <c r="C1962" s="63"/>
      <c r="D1962" s="64"/>
      <c r="E1962" s="65"/>
      <c r="F1962" s="66"/>
      <c r="G1962" s="63"/>
      <c r="H1962" s="67"/>
      <c r="I1962" s="68"/>
      <c r="J1962" s="68"/>
      <c r="K1962" s="32"/>
      <c r="L1962" s="75">
        <v>1962</v>
      </c>
      <c r="M1962" s="75"/>
      <c r="N1962" s="70"/>
      <c r="O1962" s="77" t="s">
        <v>1132</v>
      </c>
      <c r="P1962" s="79">
        <v>45171.708680555559</v>
      </c>
      <c r="Q1962" s="77" t="s">
        <v>3018</v>
      </c>
      <c r="R1962" s="77">
        <v>0</v>
      </c>
      <c r="S1962" s="77">
        <v>0</v>
      </c>
      <c r="T1962" s="77">
        <v>1</v>
      </c>
      <c r="U1962" s="77">
        <v>0</v>
      </c>
      <c r="V1962" s="77">
        <v>2</v>
      </c>
      <c r="W1962" s="82" t="s">
        <v>4097</v>
      </c>
      <c r="X1962" s="77"/>
      <c r="Y1962" s="77"/>
      <c r="Z1962" s="77"/>
      <c r="AA1962" s="77"/>
      <c r="AB1962" s="77"/>
      <c r="AC1962" s="82" t="s">
        <v>7703</v>
      </c>
      <c r="AD1962" s="77" t="s">
        <v>7745</v>
      </c>
      <c r="AE1962" s="80" t="str">
        <f>HYPERLINK("https://twitter.com/resultadossus/status/1698018069371588954")</f>
        <v>https://twitter.com/resultadossus/status/1698018069371588954</v>
      </c>
      <c r="AF1962" s="79">
        <v>45171.708680555559</v>
      </c>
      <c r="AG1962" s="85">
        <v>45171</v>
      </c>
      <c r="AH1962" s="82" t="s">
        <v>9504</v>
      </c>
      <c r="AI1962" s="77"/>
      <c r="AJ1962" s="77"/>
      <c r="AK1962" s="77"/>
      <c r="AL1962" s="77"/>
      <c r="AM1962" s="77"/>
      <c r="AN1962" s="77"/>
      <c r="AO1962" s="77"/>
      <c r="AP1962" s="77"/>
      <c r="AQ1962" s="77"/>
      <c r="AR1962" s="77"/>
      <c r="AS1962" s="77"/>
      <c r="AT1962" s="77"/>
      <c r="AU1962" s="77"/>
      <c r="AV1962" s="80" t="str">
        <f>HYPERLINK("https://pbs.twimg.com/profile_images/1675945207710269440/8fVI5Gn5_normal.jpg")</f>
        <v>https://pbs.twimg.com/profile_images/1675945207710269440/8fVI5Gn5_normal.jpg</v>
      </c>
      <c r="AW1962" s="82" t="s">
        <v>14127</v>
      </c>
      <c r="AX1962" s="82" t="s">
        <v>15533</v>
      </c>
      <c r="AY1962" s="82" t="s">
        <v>15768</v>
      </c>
      <c r="AZ1962" s="82" t="s">
        <v>15533</v>
      </c>
      <c r="BA1962" s="82" t="s">
        <v>15804</v>
      </c>
      <c r="BB1962" s="82" t="s">
        <v>15804</v>
      </c>
      <c r="BC1962" s="82" t="s">
        <v>15533</v>
      </c>
      <c r="BD1962" s="82" t="s">
        <v>15768</v>
      </c>
      <c r="BE1962" s="77"/>
      <c r="BF1962" s="77"/>
      <c r="BG1962" s="77"/>
      <c r="BH1962" s="77"/>
      <c r="BI1962" s="77"/>
    </row>
    <row r="1963" spans="1:61" x14ac:dyDescent="0.25">
      <c r="A1963" s="62" t="s">
        <v>821</v>
      </c>
      <c r="B1963" s="62" t="s">
        <v>821</v>
      </c>
      <c r="C1963" s="63"/>
      <c r="D1963" s="64"/>
      <c r="E1963" s="65"/>
      <c r="F1963" s="66"/>
      <c r="G1963" s="63"/>
      <c r="H1963" s="67"/>
      <c r="I1963" s="68"/>
      <c r="J1963" s="68"/>
      <c r="K1963" s="32"/>
      <c r="L1963" s="75">
        <v>1963</v>
      </c>
      <c r="M1963" s="75"/>
      <c r="N1963" s="70"/>
      <c r="O1963" s="77" t="s">
        <v>1132</v>
      </c>
      <c r="P1963" s="79">
        <v>45174.917002314818</v>
      </c>
      <c r="Q1963" s="77" t="s">
        <v>3019</v>
      </c>
      <c r="R1963" s="77">
        <v>0</v>
      </c>
      <c r="S1963" s="77">
        <v>0</v>
      </c>
      <c r="T1963" s="77">
        <v>1</v>
      </c>
      <c r="U1963" s="77">
        <v>0</v>
      </c>
      <c r="V1963" s="77">
        <v>8</v>
      </c>
      <c r="W1963" s="82" t="s">
        <v>4097</v>
      </c>
      <c r="X1963" s="77"/>
      <c r="Y1963" s="77"/>
      <c r="Z1963" s="77"/>
      <c r="AA1963" s="77"/>
      <c r="AB1963" s="77"/>
      <c r="AC1963" s="82" t="s">
        <v>7703</v>
      </c>
      <c r="AD1963" s="77" t="s">
        <v>7745</v>
      </c>
      <c r="AE1963" s="80" t="str">
        <f>HYPERLINK("https://twitter.com/resultadossus/status/1699180728905293828")</f>
        <v>https://twitter.com/resultadossus/status/1699180728905293828</v>
      </c>
      <c r="AF1963" s="79">
        <v>45174.917002314818</v>
      </c>
      <c r="AG1963" s="85">
        <v>45174</v>
      </c>
      <c r="AH1963" s="82" t="s">
        <v>9199</v>
      </c>
      <c r="AI1963" s="77"/>
      <c r="AJ1963" s="77"/>
      <c r="AK1963" s="77"/>
      <c r="AL1963" s="77"/>
      <c r="AM1963" s="77"/>
      <c r="AN1963" s="77"/>
      <c r="AO1963" s="77"/>
      <c r="AP1963" s="77"/>
      <c r="AQ1963" s="77"/>
      <c r="AR1963" s="77"/>
      <c r="AS1963" s="77"/>
      <c r="AT1963" s="77"/>
      <c r="AU1963" s="77"/>
      <c r="AV1963" s="80" t="str">
        <f>HYPERLINK("https://pbs.twimg.com/profile_images/1675945207710269440/8fVI5Gn5_normal.jpg")</f>
        <v>https://pbs.twimg.com/profile_images/1675945207710269440/8fVI5Gn5_normal.jpg</v>
      </c>
      <c r="AW1963" s="82" t="s">
        <v>14128</v>
      </c>
      <c r="AX1963" s="82" t="s">
        <v>15534</v>
      </c>
      <c r="AY1963" s="82" t="s">
        <v>15768</v>
      </c>
      <c r="AZ1963" s="82" t="s">
        <v>15534</v>
      </c>
      <c r="BA1963" s="82" t="s">
        <v>15804</v>
      </c>
      <c r="BB1963" s="82" t="s">
        <v>15804</v>
      </c>
      <c r="BC1963" s="82" t="s">
        <v>15534</v>
      </c>
      <c r="BD1963" s="82" t="s">
        <v>15768</v>
      </c>
      <c r="BE1963" s="77"/>
      <c r="BF1963" s="77"/>
      <c r="BG1963" s="77"/>
      <c r="BH1963" s="77"/>
      <c r="BI1963" s="77"/>
    </row>
    <row r="1964" spans="1:61" x14ac:dyDescent="0.25">
      <c r="A1964" s="62" t="s">
        <v>822</v>
      </c>
      <c r="B1964" s="62" t="s">
        <v>822</v>
      </c>
      <c r="C1964" s="63"/>
      <c r="D1964" s="64"/>
      <c r="E1964" s="65"/>
      <c r="F1964" s="66"/>
      <c r="G1964" s="63"/>
      <c r="H1964" s="67"/>
      <c r="I1964" s="68"/>
      <c r="J1964" s="68"/>
      <c r="K1964" s="32"/>
      <c r="L1964" s="75">
        <v>1964</v>
      </c>
      <c r="M1964" s="75"/>
      <c r="N1964" s="70"/>
      <c r="O1964" s="77" t="s">
        <v>179</v>
      </c>
      <c r="P1964" s="79">
        <v>44939.932719907411</v>
      </c>
      <c r="Q1964" s="77" t="s">
        <v>3020</v>
      </c>
      <c r="R1964" s="77">
        <v>1</v>
      </c>
      <c r="S1964" s="77">
        <v>1</v>
      </c>
      <c r="T1964" s="77">
        <v>0</v>
      </c>
      <c r="U1964" s="77">
        <v>0</v>
      </c>
      <c r="V1964" s="77">
        <v>118</v>
      </c>
      <c r="W1964" s="82" t="s">
        <v>5314</v>
      </c>
      <c r="X1964" s="80" t="str">
        <f>HYPERLINK("https://lnkd.in/dH9G4fPy")</f>
        <v>https://lnkd.in/dH9G4fPy</v>
      </c>
      <c r="Y1964" s="77" t="s">
        <v>6014</v>
      </c>
      <c r="Z1964" s="77"/>
      <c r="AA1964" s="77" t="s">
        <v>7203</v>
      </c>
      <c r="AB1964" s="77" t="s">
        <v>7696</v>
      </c>
      <c r="AC1964" s="82" t="s">
        <v>7707</v>
      </c>
      <c r="AD1964" s="77" t="s">
        <v>7745</v>
      </c>
      <c r="AE1964" s="80" t="str">
        <f>HYPERLINK("https://twitter.com/byebnk/status/1614025274810662914")</f>
        <v>https://twitter.com/byebnk/status/1614025274810662914</v>
      </c>
      <c r="AF1964" s="79">
        <v>44939.932719907411</v>
      </c>
      <c r="AG1964" s="85">
        <v>44939</v>
      </c>
      <c r="AH1964" s="82" t="s">
        <v>9505</v>
      </c>
      <c r="AI1964" s="77" t="b">
        <v>0</v>
      </c>
      <c r="AJ1964" s="77"/>
      <c r="AK1964" s="77"/>
      <c r="AL1964" s="77"/>
      <c r="AM1964" s="77"/>
      <c r="AN1964" s="77"/>
      <c r="AO1964" s="77"/>
      <c r="AP1964" s="77"/>
      <c r="AQ1964" s="77" t="s">
        <v>11710</v>
      </c>
      <c r="AR1964" s="77"/>
      <c r="AS1964" s="77"/>
      <c r="AT1964" s="77"/>
      <c r="AU1964" s="77"/>
      <c r="AV1964" s="80" t="str">
        <f>HYPERLINK("https://pbs.twimg.com/media/FmYrbvFXEAQUYct.jpg")</f>
        <v>https://pbs.twimg.com/media/FmYrbvFXEAQUYct.jpg</v>
      </c>
      <c r="AW1964" s="82" t="s">
        <v>14129</v>
      </c>
      <c r="AX1964" s="82" t="s">
        <v>14129</v>
      </c>
      <c r="AY1964" s="77"/>
      <c r="AZ1964" s="82" t="s">
        <v>15804</v>
      </c>
      <c r="BA1964" s="82" t="s">
        <v>15804</v>
      </c>
      <c r="BB1964" s="82" t="s">
        <v>15804</v>
      </c>
      <c r="BC1964" s="82" t="s">
        <v>14129</v>
      </c>
      <c r="BD1964" s="82" t="s">
        <v>16477</v>
      </c>
      <c r="BE1964" s="77"/>
      <c r="BF1964" s="77"/>
      <c r="BG1964" s="77"/>
      <c r="BH1964" s="77"/>
      <c r="BI1964" s="77"/>
    </row>
    <row r="1965" spans="1:61" x14ac:dyDescent="0.25">
      <c r="A1965" s="62" t="s">
        <v>823</v>
      </c>
      <c r="B1965" s="62" t="s">
        <v>823</v>
      </c>
      <c r="C1965" s="63"/>
      <c r="D1965" s="64"/>
      <c r="E1965" s="65"/>
      <c r="F1965" s="66"/>
      <c r="G1965" s="63"/>
      <c r="H1965" s="67"/>
      <c r="I1965" s="68"/>
      <c r="J1965" s="68"/>
      <c r="K1965" s="32"/>
      <c r="L1965" s="75">
        <v>1965</v>
      </c>
      <c r="M1965" s="75"/>
      <c r="N1965" s="70"/>
      <c r="O1965" s="77" t="s">
        <v>179</v>
      </c>
      <c r="P1965" s="79">
        <v>45054.486828703702</v>
      </c>
      <c r="Q1965" s="77" t="s">
        <v>3021</v>
      </c>
      <c r="R1965" s="77">
        <v>0</v>
      </c>
      <c r="S1965" s="77">
        <v>1</v>
      </c>
      <c r="T1965" s="77">
        <v>0</v>
      </c>
      <c r="U1965" s="77">
        <v>0</v>
      </c>
      <c r="V1965" s="77">
        <v>175</v>
      </c>
      <c r="W1965" s="82" t="s">
        <v>5315</v>
      </c>
      <c r="X1965" s="77"/>
      <c r="Y1965" s="77"/>
      <c r="Z1965" s="77"/>
      <c r="AA1965" s="77" t="s">
        <v>7204</v>
      </c>
      <c r="AB1965" s="77" t="s">
        <v>7697</v>
      </c>
      <c r="AC1965" s="82" t="s">
        <v>7705</v>
      </c>
      <c r="AD1965" s="77" t="s">
        <v>7745</v>
      </c>
      <c r="AE1965" s="80" t="str">
        <f>HYPERLINK("https://twitter.com/romerofinancas/status/1655538296095645696")</f>
        <v>https://twitter.com/romerofinancas/status/1655538296095645696</v>
      </c>
      <c r="AF1965" s="79">
        <v>45054.486828703702</v>
      </c>
      <c r="AG1965" s="85">
        <v>45054</v>
      </c>
      <c r="AH1965" s="82" t="s">
        <v>9506</v>
      </c>
      <c r="AI1965" s="77" t="b">
        <v>0</v>
      </c>
      <c r="AJ1965" s="77"/>
      <c r="AK1965" s="77"/>
      <c r="AL1965" s="77"/>
      <c r="AM1965" s="77"/>
      <c r="AN1965" s="77"/>
      <c r="AO1965" s="77"/>
      <c r="AP1965" s="77"/>
      <c r="AQ1965" s="77" t="s">
        <v>11711</v>
      </c>
      <c r="AR1965" s="77">
        <v>20033</v>
      </c>
      <c r="AS1965" s="77"/>
      <c r="AT1965" s="77"/>
      <c r="AU1965" s="77">
        <v>57</v>
      </c>
      <c r="AV1965" s="80" t="str">
        <f>HYPERLINK("https://pbs.twimg.com/ext_tw_video_thumb/1655538258669981697/pu/img/tO38AR0946YhoUbw.jpg")</f>
        <v>https://pbs.twimg.com/ext_tw_video_thumb/1655538258669981697/pu/img/tO38AR0946YhoUbw.jpg</v>
      </c>
      <c r="AW1965" s="82" t="s">
        <v>14130</v>
      </c>
      <c r="AX1965" s="82" t="s">
        <v>14130</v>
      </c>
      <c r="AY1965" s="77"/>
      <c r="AZ1965" s="82" t="s">
        <v>15804</v>
      </c>
      <c r="BA1965" s="82" t="s">
        <v>15804</v>
      </c>
      <c r="BB1965" s="82" t="s">
        <v>15804</v>
      </c>
      <c r="BC1965" s="82" t="s">
        <v>14130</v>
      </c>
      <c r="BD1965" s="77">
        <v>3341974577</v>
      </c>
      <c r="BE1965" s="77"/>
      <c r="BF1965" s="77"/>
      <c r="BG1965" s="77"/>
      <c r="BH1965" s="77"/>
      <c r="BI1965" s="77"/>
    </row>
    <row r="1966" spans="1:61" x14ac:dyDescent="0.25">
      <c r="A1966" s="62" t="s">
        <v>823</v>
      </c>
      <c r="B1966" s="62" t="s">
        <v>823</v>
      </c>
      <c r="C1966" s="63"/>
      <c r="D1966" s="64"/>
      <c r="E1966" s="65"/>
      <c r="F1966" s="66"/>
      <c r="G1966" s="63"/>
      <c r="H1966" s="67"/>
      <c r="I1966" s="68"/>
      <c r="J1966" s="68"/>
      <c r="K1966" s="32"/>
      <c r="L1966" s="75">
        <v>1966</v>
      </c>
      <c r="M1966" s="75"/>
      <c r="N1966" s="70"/>
      <c r="O1966" s="77" t="s">
        <v>179</v>
      </c>
      <c r="P1966" s="79">
        <v>45053.777141203704</v>
      </c>
      <c r="Q1966" s="77" t="s">
        <v>3022</v>
      </c>
      <c r="R1966" s="77">
        <v>0</v>
      </c>
      <c r="S1966" s="77">
        <v>0</v>
      </c>
      <c r="T1966" s="77">
        <v>0</v>
      </c>
      <c r="U1966" s="77">
        <v>0</v>
      </c>
      <c r="V1966" s="77">
        <v>91</v>
      </c>
      <c r="W1966" s="82" t="s">
        <v>5316</v>
      </c>
      <c r="X1966" s="77"/>
      <c r="Y1966" s="77"/>
      <c r="Z1966" s="77"/>
      <c r="AA1966" s="77" t="s">
        <v>7205</v>
      </c>
      <c r="AB1966" s="77" t="s">
        <v>7697</v>
      </c>
      <c r="AC1966" s="82" t="s">
        <v>7705</v>
      </c>
      <c r="AD1966" s="77" t="s">
        <v>7745</v>
      </c>
      <c r="AE1966" s="80" t="str">
        <f>HYPERLINK("https://twitter.com/romerofinancas/status/1655281112040583168")</f>
        <v>https://twitter.com/romerofinancas/status/1655281112040583168</v>
      </c>
      <c r="AF1966" s="79">
        <v>45053.777141203704</v>
      </c>
      <c r="AG1966" s="85">
        <v>45053</v>
      </c>
      <c r="AH1966" s="82" t="s">
        <v>9507</v>
      </c>
      <c r="AI1966" s="77" t="b">
        <v>0</v>
      </c>
      <c r="AJ1966" s="77"/>
      <c r="AK1966" s="77"/>
      <c r="AL1966" s="77"/>
      <c r="AM1966" s="77"/>
      <c r="AN1966" s="77"/>
      <c r="AO1966" s="77"/>
      <c r="AP1966" s="77"/>
      <c r="AQ1966" s="77" t="s">
        <v>11712</v>
      </c>
      <c r="AR1966" s="77">
        <v>15333</v>
      </c>
      <c r="AS1966" s="77"/>
      <c r="AT1966" s="77"/>
      <c r="AU1966" s="77">
        <v>30</v>
      </c>
      <c r="AV1966" s="80" t="str">
        <f>HYPERLINK("https://pbs.twimg.com/ext_tw_video_thumb/1655281073226383360/pu/img/jS7cfKXgDb0_QqSa.jpg")</f>
        <v>https://pbs.twimg.com/ext_tw_video_thumb/1655281073226383360/pu/img/jS7cfKXgDb0_QqSa.jpg</v>
      </c>
      <c r="AW1966" s="82" t="s">
        <v>14131</v>
      </c>
      <c r="AX1966" s="82" t="s">
        <v>14131</v>
      </c>
      <c r="AY1966" s="77"/>
      <c r="AZ1966" s="82" t="s">
        <v>15804</v>
      </c>
      <c r="BA1966" s="82" t="s">
        <v>15804</v>
      </c>
      <c r="BB1966" s="82" t="s">
        <v>15804</v>
      </c>
      <c r="BC1966" s="82" t="s">
        <v>14131</v>
      </c>
      <c r="BD1966" s="77">
        <v>3341974577</v>
      </c>
      <c r="BE1966" s="77"/>
      <c r="BF1966" s="77"/>
      <c r="BG1966" s="77"/>
      <c r="BH1966" s="77"/>
      <c r="BI1966" s="77"/>
    </row>
    <row r="1967" spans="1:61" x14ac:dyDescent="0.25">
      <c r="A1967" s="62" t="s">
        <v>824</v>
      </c>
      <c r="B1967" s="62" t="s">
        <v>824</v>
      </c>
      <c r="C1967" s="63"/>
      <c r="D1967" s="64"/>
      <c r="E1967" s="65"/>
      <c r="F1967" s="66"/>
      <c r="G1967" s="63"/>
      <c r="H1967" s="67"/>
      <c r="I1967" s="68"/>
      <c r="J1967" s="68"/>
      <c r="K1967" s="32"/>
      <c r="L1967" s="75">
        <v>1967</v>
      </c>
      <c r="M1967" s="75"/>
      <c r="N1967" s="70"/>
      <c r="O1967" s="77" t="s">
        <v>179</v>
      </c>
      <c r="P1967" s="79">
        <v>44952.448379629626</v>
      </c>
      <c r="Q1967" s="77" t="s">
        <v>3023</v>
      </c>
      <c r="R1967" s="77">
        <v>0</v>
      </c>
      <c r="S1967" s="77">
        <v>0</v>
      </c>
      <c r="T1967" s="77">
        <v>0</v>
      </c>
      <c r="U1967" s="77">
        <v>0</v>
      </c>
      <c r="V1967" s="77">
        <v>14</v>
      </c>
      <c r="W1967" s="82" t="s">
        <v>5317</v>
      </c>
      <c r="X1967" s="80" t="str">
        <f>HYPERLINK("https://www.jornaljogoserio.com.br/noticia/seguranca_publica/13418/muzambinhense-e--alertado--sobre-compra-de-r--4-mil--mas-escapa-a-tempo-de-golpe-virtual")</f>
        <v>https://www.jornaljogoserio.com.br/noticia/seguranca_publica/13418/muzambinhense-e--alertado--sobre-compra-de-r--4-mil--mas-escapa-a-tempo-de-golpe-virtual</v>
      </c>
      <c r="Y1967" s="77" t="s">
        <v>6002</v>
      </c>
      <c r="Z1967" s="77"/>
      <c r="AA1967" s="77" t="s">
        <v>7206</v>
      </c>
      <c r="AB1967" s="77" t="s">
        <v>7696</v>
      </c>
      <c r="AC1967" s="82" t="s">
        <v>7706</v>
      </c>
      <c r="AD1967" s="77" t="s">
        <v>7745</v>
      </c>
      <c r="AE1967" s="80" t="str">
        <f>HYPERLINK("https://twitter.com/jornaljogoserio/status/1618560797915107329")</f>
        <v>https://twitter.com/jornaljogoserio/status/1618560797915107329</v>
      </c>
      <c r="AF1967" s="79">
        <v>44952.448379629626</v>
      </c>
      <c r="AG1967" s="85">
        <v>44952</v>
      </c>
      <c r="AH1967" s="82" t="s">
        <v>9508</v>
      </c>
      <c r="AI1967" s="77" t="b">
        <v>1</v>
      </c>
      <c r="AJ1967" s="77"/>
      <c r="AK1967" s="77"/>
      <c r="AL1967" s="77"/>
      <c r="AM1967" s="77"/>
      <c r="AN1967" s="77"/>
      <c r="AO1967" s="77"/>
      <c r="AP1967" s="77"/>
      <c r="AQ1967" s="77" t="s">
        <v>11713</v>
      </c>
      <c r="AR1967" s="77"/>
      <c r="AS1967" s="77"/>
      <c r="AT1967" s="77"/>
      <c r="AU1967" s="77"/>
      <c r="AV1967" s="80" t="str">
        <f>HYPERLINK("https://pbs.twimg.com/media/FnZIdi5WAAAOReQ.jpg")</f>
        <v>https://pbs.twimg.com/media/FnZIdi5WAAAOReQ.jpg</v>
      </c>
      <c r="AW1967" s="82" t="s">
        <v>14132</v>
      </c>
      <c r="AX1967" s="82" t="s">
        <v>14132</v>
      </c>
      <c r="AY1967" s="77"/>
      <c r="AZ1967" s="82" t="s">
        <v>15804</v>
      </c>
      <c r="BA1967" s="82" t="s">
        <v>15804</v>
      </c>
      <c r="BB1967" s="82" t="s">
        <v>15804</v>
      </c>
      <c r="BC1967" s="82" t="s">
        <v>14132</v>
      </c>
      <c r="BD1967" s="77">
        <v>236550324</v>
      </c>
      <c r="BE1967" s="77"/>
      <c r="BF1967" s="77"/>
      <c r="BG1967" s="77"/>
      <c r="BH1967" s="77"/>
      <c r="BI1967" s="77"/>
    </row>
    <row r="1968" spans="1:61" x14ac:dyDescent="0.25">
      <c r="A1968" s="62" t="s">
        <v>824</v>
      </c>
      <c r="B1968" s="62" t="s">
        <v>824</v>
      </c>
      <c r="C1968" s="63"/>
      <c r="D1968" s="64"/>
      <c r="E1968" s="65"/>
      <c r="F1968" s="66"/>
      <c r="G1968" s="63"/>
      <c r="H1968" s="67"/>
      <c r="I1968" s="68"/>
      <c r="J1968" s="68"/>
      <c r="K1968" s="32"/>
      <c r="L1968" s="75">
        <v>1968</v>
      </c>
      <c r="M1968" s="75"/>
      <c r="N1968" s="70"/>
      <c r="O1968" s="77" t="s">
        <v>179</v>
      </c>
      <c r="P1968" s="79">
        <v>44936.864953703705</v>
      </c>
      <c r="Q1968" s="77" t="s">
        <v>3024</v>
      </c>
      <c r="R1968" s="77">
        <v>0</v>
      </c>
      <c r="S1968" s="77">
        <v>0</v>
      </c>
      <c r="T1968" s="77">
        <v>0</v>
      </c>
      <c r="U1968" s="77">
        <v>0</v>
      </c>
      <c r="V1968" s="77">
        <v>34</v>
      </c>
      <c r="W1968" s="82" t="s">
        <v>5318</v>
      </c>
      <c r="X1968" s="80" t="str">
        <f>HYPERLINK("https://www.jornaljogoserio.com.br/noticia/seguranca_publica/13327/guaxupeano-e-vitima-de-estelionato-em-transacao-feita-com-conta-rackeada")</f>
        <v>https://www.jornaljogoserio.com.br/noticia/seguranca_publica/13327/guaxupeano-e-vitima-de-estelionato-em-transacao-feita-com-conta-rackeada</v>
      </c>
      <c r="Y1968" s="77" t="s">
        <v>6002</v>
      </c>
      <c r="Z1968" s="77"/>
      <c r="AA1968" s="77" t="s">
        <v>7207</v>
      </c>
      <c r="AB1968" s="77" t="s">
        <v>7696</v>
      </c>
      <c r="AC1968" s="82" t="s">
        <v>7706</v>
      </c>
      <c r="AD1968" s="77" t="s">
        <v>7745</v>
      </c>
      <c r="AE1968" s="80" t="str">
        <f>HYPERLINK("https://twitter.com/jornaljogoserio/status/1612913555770056729")</f>
        <v>https://twitter.com/jornaljogoserio/status/1612913555770056729</v>
      </c>
      <c r="AF1968" s="79">
        <v>44936.864953703705</v>
      </c>
      <c r="AG1968" s="85">
        <v>44936</v>
      </c>
      <c r="AH1968" s="82" t="s">
        <v>9509</v>
      </c>
      <c r="AI1968" s="77" t="b">
        <v>1</v>
      </c>
      <c r="AJ1968" s="77"/>
      <c r="AK1968" s="77"/>
      <c r="AL1968" s="77"/>
      <c r="AM1968" s="77"/>
      <c r="AN1968" s="77"/>
      <c r="AO1968" s="77"/>
      <c r="AP1968" s="77"/>
      <c r="AQ1968" s="77" t="s">
        <v>11714</v>
      </c>
      <c r="AR1968" s="77"/>
      <c r="AS1968" s="77"/>
      <c r="AT1968" s="77"/>
      <c r="AU1968" s="77"/>
      <c r="AV1968" s="80" t="str">
        <f>HYPERLINK("https://pbs.twimg.com/media/FmI3mPrWIBYrLAP.jpg")</f>
        <v>https://pbs.twimg.com/media/FmI3mPrWIBYrLAP.jpg</v>
      </c>
      <c r="AW1968" s="82" t="s">
        <v>14133</v>
      </c>
      <c r="AX1968" s="82" t="s">
        <v>14133</v>
      </c>
      <c r="AY1968" s="77"/>
      <c r="AZ1968" s="82" t="s">
        <v>15804</v>
      </c>
      <c r="BA1968" s="82" t="s">
        <v>15804</v>
      </c>
      <c r="BB1968" s="82" t="s">
        <v>15804</v>
      </c>
      <c r="BC1968" s="82" t="s">
        <v>14133</v>
      </c>
      <c r="BD1968" s="77">
        <v>236550324</v>
      </c>
      <c r="BE1968" s="77"/>
      <c r="BF1968" s="77"/>
      <c r="BG1968" s="77"/>
      <c r="BH1968" s="77"/>
      <c r="BI1968" s="77"/>
    </row>
    <row r="1969" spans="1:61" x14ac:dyDescent="0.25">
      <c r="A1969" s="62" t="s">
        <v>825</v>
      </c>
      <c r="B1969" s="62" t="s">
        <v>825</v>
      </c>
      <c r="C1969" s="63"/>
      <c r="D1969" s="64"/>
      <c r="E1969" s="65"/>
      <c r="F1969" s="66"/>
      <c r="G1969" s="63"/>
      <c r="H1969" s="67"/>
      <c r="I1969" s="68"/>
      <c r="J1969" s="68"/>
      <c r="K1969" s="32"/>
      <c r="L1969" s="75">
        <v>1969</v>
      </c>
      <c r="M1969" s="75"/>
      <c r="N1969" s="70"/>
      <c r="O1969" s="77" t="s">
        <v>179</v>
      </c>
      <c r="P1969" s="79">
        <v>45089.596319444441</v>
      </c>
      <c r="Q1969" s="77" t="s">
        <v>3025</v>
      </c>
      <c r="R1969" s="77">
        <v>3</v>
      </c>
      <c r="S1969" s="77">
        <v>106</v>
      </c>
      <c r="T1969" s="77">
        <v>23</v>
      </c>
      <c r="U1969" s="77">
        <v>35</v>
      </c>
      <c r="V1969" s="77">
        <v>74951</v>
      </c>
      <c r="W1969" s="77"/>
      <c r="X1969" s="80" t="str">
        <f>HYPERLINK("https://bit.ly/3J8vaBO")</f>
        <v>https://bit.ly/3J8vaBO</v>
      </c>
      <c r="Y1969" s="77" t="s">
        <v>6004</v>
      </c>
      <c r="Z1969" s="77"/>
      <c r="AA1969" s="77" t="s">
        <v>7208</v>
      </c>
      <c r="AB1969" s="77" t="s">
        <v>7696</v>
      </c>
      <c r="AC1969" s="82" t="s">
        <v>7731</v>
      </c>
      <c r="AD1969" s="77" t="s">
        <v>7745</v>
      </c>
      <c r="AE1969" s="80" t="str">
        <f>HYPERLINK("https://twitter.com/sicnoticias/status/1668261547943002120")</f>
        <v>https://twitter.com/sicnoticias/status/1668261547943002120</v>
      </c>
      <c r="AF1969" s="79">
        <v>45089.596319444441</v>
      </c>
      <c r="AG1969" s="85">
        <v>45089</v>
      </c>
      <c r="AH1969" s="82" t="s">
        <v>9510</v>
      </c>
      <c r="AI1969" s="77" t="b">
        <v>0</v>
      </c>
      <c r="AJ1969" s="77"/>
      <c r="AK1969" s="77"/>
      <c r="AL1969" s="77"/>
      <c r="AM1969" s="77"/>
      <c r="AN1969" s="77"/>
      <c r="AO1969" s="77"/>
      <c r="AP1969" s="77"/>
      <c r="AQ1969" s="77" t="s">
        <v>11715</v>
      </c>
      <c r="AR1969" s="77"/>
      <c r="AS1969" s="77"/>
      <c r="AT1969" s="77"/>
      <c r="AU1969" s="77"/>
      <c r="AV1969" s="80" t="str">
        <f>HYPERLINK("https://pbs.twimg.com/media/FybbB5MXgAIop4y.jpg")</f>
        <v>https://pbs.twimg.com/media/FybbB5MXgAIop4y.jpg</v>
      </c>
      <c r="AW1969" s="82" t="s">
        <v>14134</v>
      </c>
      <c r="AX1969" s="82" t="s">
        <v>14134</v>
      </c>
      <c r="AY1969" s="77"/>
      <c r="AZ1969" s="82" t="s">
        <v>15804</v>
      </c>
      <c r="BA1969" s="82" t="s">
        <v>15804</v>
      </c>
      <c r="BB1969" s="82" t="s">
        <v>15804</v>
      </c>
      <c r="BC1969" s="82" t="s">
        <v>14134</v>
      </c>
      <c r="BD1969" s="77">
        <v>17163446</v>
      </c>
      <c r="BE1969" s="77"/>
      <c r="BF1969" s="77"/>
      <c r="BG1969" s="77"/>
      <c r="BH1969" s="77"/>
      <c r="BI1969" s="77"/>
    </row>
    <row r="1970" spans="1:61" x14ac:dyDescent="0.25">
      <c r="A1970" s="62" t="s">
        <v>826</v>
      </c>
      <c r="B1970" s="62" t="s">
        <v>826</v>
      </c>
      <c r="C1970" s="63"/>
      <c r="D1970" s="64"/>
      <c r="E1970" s="65"/>
      <c r="F1970" s="66"/>
      <c r="G1970" s="63"/>
      <c r="H1970" s="67"/>
      <c r="I1970" s="68"/>
      <c r="J1970" s="68"/>
      <c r="K1970" s="32"/>
      <c r="L1970" s="75">
        <v>1970</v>
      </c>
      <c r="M1970" s="75"/>
      <c r="N1970" s="70"/>
      <c r="O1970" s="77" t="s">
        <v>179</v>
      </c>
      <c r="P1970" s="79">
        <v>45162.095972222225</v>
      </c>
      <c r="Q1970" s="77" t="s">
        <v>3026</v>
      </c>
      <c r="R1970" s="77">
        <v>0</v>
      </c>
      <c r="S1970" s="77">
        <v>0</v>
      </c>
      <c r="T1970" s="77">
        <v>0</v>
      </c>
      <c r="U1970" s="77">
        <v>0</v>
      </c>
      <c r="V1970" s="77">
        <v>32</v>
      </c>
      <c r="W1970" s="82" t="s">
        <v>5319</v>
      </c>
      <c r="X1970" s="77"/>
      <c r="Y1970" s="77"/>
      <c r="Z1970" s="77"/>
      <c r="AA1970" s="77" t="s">
        <v>7209</v>
      </c>
      <c r="AB1970" s="77" t="s">
        <v>7696</v>
      </c>
      <c r="AC1970" s="82" t="s">
        <v>7706</v>
      </c>
      <c r="AD1970" s="77" t="s">
        <v>7745</v>
      </c>
      <c r="AE1970" s="80" t="str">
        <f>HYPERLINK("https://twitter.com/josealv42755397/status/1694534544462848470")</f>
        <v>https://twitter.com/josealv42755397/status/1694534544462848470</v>
      </c>
      <c r="AF1970" s="79">
        <v>45162.095972222225</v>
      </c>
      <c r="AG1970" s="85">
        <v>45162</v>
      </c>
      <c r="AH1970" s="82" t="s">
        <v>9511</v>
      </c>
      <c r="AI1970" s="77" t="b">
        <v>0</v>
      </c>
      <c r="AJ1970" s="77"/>
      <c r="AK1970" s="77"/>
      <c r="AL1970" s="77"/>
      <c r="AM1970" s="77"/>
      <c r="AN1970" s="77"/>
      <c r="AO1970" s="77"/>
      <c r="AP1970" s="77"/>
      <c r="AQ1970" s="77" t="s">
        <v>11716</v>
      </c>
      <c r="AR1970" s="77"/>
      <c r="AS1970" s="77"/>
      <c r="AT1970" s="77"/>
      <c r="AU1970" s="77"/>
      <c r="AV1970" s="80" t="str">
        <f>HYPERLINK("https://pbs.twimg.com/media/F4Qx0UOXkAABW9u.jpg")</f>
        <v>https://pbs.twimg.com/media/F4Qx0UOXkAABW9u.jpg</v>
      </c>
      <c r="AW1970" s="82" t="s">
        <v>14135</v>
      </c>
      <c r="AX1970" s="82" t="s">
        <v>14135</v>
      </c>
      <c r="AY1970" s="77"/>
      <c r="AZ1970" s="82" t="s">
        <v>15804</v>
      </c>
      <c r="BA1970" s="82" t="s">
        <v>15804</v>
      </c>
      <c r="BB1970" s="82" t="s">
        <v>15804</v>
      </c>
      <c r="BC1970" s="82" t="s">
        <v>14135</v>
      </c>
      <c r="BD1970" s="82" t="s">
        <v>16478</v>
      </c>
      <c r="BE1970" s="77"/>
      <c r="BF1970" s="77"/>
      <c r="BG1970" s="77"/>
      <c r="BH1970" s="77"/>
      <c r="BI1970" s="77"/>
    </row>
    <row r="1971" spans="1:61" x14ac:dyDescent="0.25">
      <c r="A1971" s="62" t="s">
        <v>827</v>
      </c>
      <c r="B1971" s="62" t="s">
        <v>734</v>
      </c>
      <c r="C1971" s="63"/>
      <c r="D1971" s="64"/>
      <c r="E1971" s="65"/>
      <c r="F1971" s="66"/>
      <c r="G1971" s="63"/>
      <c r="H1971" s="67"/>
      <c r="I1971" s="68"/>
      <c r="J1971" s="68"/>
      <c r="K1971" s="32"/>
      <c r="L1971" s="75">
        <v>1971</v>
      </c>
      <c r="M1971" s="75"/>
      <c r="N1971" s="70"/>
      <c r="O1971" s="77" t="s">
        <v>1133</v>
      </c>
      <c r="P1971" s="79">
        <v>45169.532152777778</v>
      </c>
      <c r="Q1971" s="77" t="s">
        <v>3027</v>
      </c>
      <c r="R1971" s="77">
        <v>1</v>
      </c>
      <c r="S1971" s="77">
        <v>0</v>
      </c>
      <c r="T1971" s="77">
        <v>0</v>
      </c>
      <c r="U1971" s="77">
        <v>0</v>
      </c>
      <c r="V1971" s="77">
        <v>82</v>
      </c>
      <c r="W1971" s="82" t="s">
        <v>5320</v>
      </c>
      <c r="X1971" s="80" t="str">
        <f>HYPERLINK("https://edu.b3.com.br/")</f>
        <v>https://edu.b3.com.br/</v>
      </c>
      <c r="Y1971" s="77" t="s">
        <v>6002</v>
      </c>
      <c r="Z1971" s="77" t="s">
        <v>734</v>
      </c>
      <c r="AA1971" s="77"/>
      <c r="AB1971" s="77"/>
      <c r="AC1971" s="82" t="s">
        <v>7706</v>
      </c>
      <c r="AD1971" s="77" t="s">
        <v>7745</v>
      </c>
      <c r="AE1971" s="80" t="str">
        <f>HYPERLINK("https://twitter.com/midimashup/status/1697229325940973728")</f>
        <v>https://twitter.com/midimashup/status/1697229325940973728</v>
      </c>
      <c r="AF1971" s="79">
        <v>45169.532152777778</v>
      </c>
      <c r="AG1971" s="85">
        <v>45169</v>
      </c>
      <c r="AH1971" s="82" t="s">
        <v>9512</v>
      </c>
      <c r="AI1971" s="77" t="b">
        <v>0</v>
      </c>
      <c r="AJ1971" s="77"/>
      <c r="AK1971" s="77"/>
      <c r="AL1971" s="77"/>
      <c r="AM1971" s="77"/>
      <c r="AN1971" s="77"/>
      <c r="AO1971" s="77"/>
      <c r="AP1971" s="77"/>
      <c r="AQ1971" s="77"/>
      <c r="AR1971" s="77"/>
      <c r="AS1971" s="77"/>
      <c r="AT1971" s="77"/>
      <c r="AU1971" s="77"/>
      <c r="AV1971" s="80" t="str">
        <f>HYPERLINK("https://pbs.twimg.com/profile_images/1582377001373106176/Ivu-Hmj3_normal.jpg")</f>
        <v>https://pbs.twimg.com/profile_images/1582377001373106176/Ivu-Hmj3_normal.jpg</v>
      </c>
      <c r="AW1971" s="82" t="s">
        <v>14136</v>
      </c>
      <c r="AX1971" s="82" t="s">
        <v>14136</v>
      </c>
      <c r="AY1971" s="77"/>
      <c r="AZ1971" s="82" t="s">
        <v>15804</v>
      </c>
      <c r="BA1971" s="82" t="s">
        <v>15804</v>
      </c>
      <c r="BB1971" s="82" t="s">
        <v>15804</v>
      </c>
      <c r="BC1971" s="82" t="s">
        <v>14136</v>
      </c>
      <c r="BD1971" s="77">
        <v>3234532213</v>
      </c>
      <c r="BE1971" s="77"/>
      <c r="BF1971" s="77"/>
      <c r="BG1971" s="77"/>
      <c r="BH1971" s="77"/>
      <c r="BI1971" s="77"/>
    </row>
    <row r="1972" spans="1:61" x14ac:dyDescent="0.25">
      <c r="A1972" s="62" t="s">
        <v>828</v>
      </c>
      <c r="B1972" s="62" t="s">
        <v>828</v>
      </c>
      <c r="C1972" s="63"/>
      <c r="D1972" s="64"/>
      <c r="E1972" s="65"/>
      <c r="F1972" s="66"/>
      <c r="G1972" s="63"/>
      <c r="H1972" s="67"/>
      <c r="I1972" s="68"/>
      <c r="J1972" s="68"/>
      <c r="K1972" s="32"/>
      <c r="L1972" s="75">
        <v>1972</v>
      </c>
      <c r="M1972" s="75"/>
      <c r="N1972" s="70"/>
      <c r="O1972" s="77" t="s">
        <v>179</v>
      </c>
      <c r="P1972" s="79">
        <v>45070.417951388888</v>
      </c>
      <c r="Q1972" s="77" t="s">
        <v>3028</v>
      </c>
      <c r="R1972" s="77">
        <v>0</v>
      </c>
      <c r="S1972" s="77">
        <v>1</v>
      </c>
      <c r="T1972" s="77">
        <v>0</v>
      </c>
      <c r="U1972" s="77">
        <v>0</v>
      </c>
      <c r="V1972" s="77">
        <v>24</v>
      </c>
      <c r="W1972" s="82" t="s">
        <v>5321</v>
      </c>
      <c r="X1972" s="77"/>
      <c r="Y1972" s="77"/>
      <c r="Z1972" s="77"/>
      <c r="AA1972" s="77" t="s">
        <v>7210</v>
      </c>
      <c r="AB1972" s="77" t="s">
        <v>7697</v>
      </c>
      <c r="AC1972" s="82" t="s">
        <v>7707</v>
      </c>
      <c r="AD1972" s="77" t="s">
        <v>7751</v>
      </c>
      <c r="AE1972" s="80" t="str">
        <f>HYPERLINK("https://twitter.com/brindamospips/status/1661311539859652610")</f>
        <v>https://twitter.com/brindamospips/status/1661311539859652610</v>
      </c>
      <c r="AF1972" s="79">
        <v>45070.417951388888</v>
      </c>
      <c r="AG1972" s="85">
        <v>45070</v>
      </c>
      <c r="AH1972" s="82" t="s">
        <v>9513</v>
      </c>
      <c r="AI1972" s="77" t="b">
        <v>0</v>
      </c>
      <c r="AJ1972" s="77"/>
      <c r="AK1972" s="77"/>
      <c r="AL1972" s="77"/>
      <c r="AM1972" s="77"/>
      <c r="AN1972" s="77"/>
      <c r="AO1972" s="77"/>
      <c r="AP1972" s="77"/>
      <c r="AQ1972" s="77" t="s">
        <v>11717</v>
      </c>
      <c r="AR1972" s="77">
        <v>43930</v>
      </c>
      <c r="AS1972" s="77"/>
      <c r="AT1972" s="77"/>
      <c r="AU1972" s="77">
        <v>5</v>
      </c>
      <c r="AV1972" s="80" t="str">
        <f>HYPERLINK("https://pbs.twimg.com/ext_tw_video_thumb/1661311477003833347/pu/img/5PZqa_IWJSX9kamX.jpg")</f>
        <v>https://pbs.twimg.com/ext_tw_video_thumb/1661311477003833347/pu/img/5PZqa_IWJSX9kamX.jpg</v>
      </c>
      <c r="AW1972" s="82" t="s">
        <v>14137</v>
      </c>
      <c r="AX1972" s="82" t="s">
        <v>14137</v>
      </c>
      <c r="AY1972" s="77"/>
      <c r="AZ1972" s="82" t="s">
        <v>15804</v>
      </c>
      <c r="BA1972" s="82" t="s">
        <v>15804</v>
      </c>
      <c r="BB1972" s="82" t="s">
        <v>15804</v>
      </c>
      <c r="BC1972" s="82" t="s">
        <v>14137</v>
      </c>
      <c r="BD1972" s="82" t="s">
        <v>16479</v>
      </c>
      <c r="BE1972" s="77"/>
      <c r="BF1972" s="77"/>
      <c r="BG1972" s="77"/>
      <c r="BH1972" s="77"/>
      <c r="BI1972" s="77"/>
    </row>
    <row r="1973" spans="1:61" x14ac:dyDescent="0.25">
      <c r="A1973" s="62" t="s">
        <v>828</v>
      </c>
      <c r="B1973" s="62" t="s">
        <v>828</v>
      </c>
      <c r="C1973" s="63"/>
      <c r="D1973" s="64"/>
      <c r="E1973" s="65"/>
      <c r="F1973" s="66"/>
      <c r="G1973" s="63"/>
      <c r="H1973" s="67"/>
      <c r="I1973" s="68"/>
      <c r="J1973" s="68"/>
      <c r="K1973" s="32"/>
      <c r="L1973" s="75">
        <v>1973</v>
      </c>
      <c r="M1973" s="75"/>
      <c r="N1973" s="70"/>
      <c r="O1973" s="77" t="s">
        <v>179</v>
      </c>
      <c r="P1973" s="79">
        <v>45120.408275462964</v>
      </c>
      <c r="Q1973" s="77" t="s">
        <v>3029</v>
      </c>
      <c r="R1973" s="77">
        <v>0</v>
      </c>
      <c r="S1973" s="77">
        <v>0</v>
      </c>
      <c r="T1973" s="77">
        <v>0</v>
      </c>
      <c r="U1973" s="77">
        <v>0</v>
      </c>
      <c r="V1973" s="77">
        <v>8</v>
      </c>
      <c r="W1973" s="82" t="s">
        <v>5322</v>
      </c>
      <c r="X1973" s="77"/>
      <c r="Y1973" s="77"/>
      <c r="Z1973" s="77"/>
      <c r="AA1973" s="77" t="s">
        <v>7211</v>
      </c>
      <c r="AB1973" s="77" t="s">
        <v>7697</v>
      </c>
      <c r="AC1973" s="82" t="s">
        <v>7707</v>
      </c>
      <c r="AD1973" s="77" t="s">
        <v>7751</v>
      </c>
      <c r="AE1973" s="80" t="str">
        <f>HYPERLINK("https://twitter.com/brindamospips/status/1679427429058727936")</f>
        <v>https://twitter.com/brindamospips/status/1679427429058727936</v>
      </c>
      <c r="AF1973" s="79">
        <v>45120.408275462964</v>
      </c>
      <c r="AG1973" s="85">
        <v>45120</v>
      </c>
      <c r="AH1973" s="82" t="s">
        <v>9514</v>
      </c>
      <c r="AI1973" s="77" t="b">
        <v>0</v>
      </c>
      <c r="AJ1973" s="77"/>
      <c r="AK1973" s="77"/>
      <c r="AL1973" s="77"/>
      <c r="AM1973" s="77"/>
      <c r="AN1973" s="77"/>
      <c r="AO1973" s="77"/>
      <c r="AP1973" s="77"/>
      <c r="AQ1973" s="77" t="s">
        <v>11718</v>
      </c>
      <c r="AR1973" s="77">
        <v>32645</v>
      </c>
      <c r="AS1973" s="77"/>
      <c r="AT1973" s="77"/>
      <c r="AU1973" s="77">
        <v>4</v>
      </c>
      <c r="AV1973" s="80" t="str">
        <f>HYPERLINK("https://pbs.twimg.com/ext_tw_video_thumb/1679427360976777218/pu/img/TrA8mANbLhZb6sus.jpg")</f>
        <v>https://pbs.twimg.com/ext_tw_video_thumb/1679427360976777218/pu/img/TrA8mANbLhZb6sus.jpg</v>
      </c>
      <c r="AW1973" s="82" t="s">
        <v>14138</v>
      </c>
      <c r="AX1973" s="82" t="s">
        <v>14138</v>
      </c>
      <c r="AY1973" s="77"/>
      <c r="AZ1973" s="82" t="s">
        <v>15804</v>
      </c>
      <c r="BA1973" s="82" t="s">
        <v>15804</v>
      </c>
      <c r="BB1973" s="82" t="s">
        <v>15804</v>
      </c>
      <c r="BC1973" s="82" t="s">
        <v>14138</v>
      </c>
      <c r="BD1973" s="82" t="s">
        <v>16479</v>
      </c>
      <c r="BE1973" s="77"/>
      <c r="BF1973" s="77"/>
      <c r="BG1973" s="77"/>
      <c r="BH1973" s="77"/>
      <c r="BI1973" s="77"/>
    </row>
    <row r="1974" spans="1:61" x14ac:dyDescent="0.25">
      <c r="A1974" s="62" t="s">
        <v>828</v>
      </c>
      <c r="B1974" s="62" t="s">
        <v>828</v>
      </c>
      <c r="C1974" s="63"/>
      <c r="D1974" s="64"/>
      <c r="E1974" s="65"/>
      <c r="F1974" s="66"/>
      <c r="G1974" s="63"/>
      <c r="H1974" s="67"/>
      <c r="I1974" s="68"/>
      <c r="J1974" s="68"/>
      <c r="K1974" s="32"/>
      <c r="L1974" s="75">
        <v>1974</v>
      </c>
      <c r="M1974" s="75"/>
      <c r="N1974" s="70"/>
      <c r="O1974" s="77" t="s">
        <v>179</v>
      </c>
      <c r="P1974" s="79">
        <v>45065.56486111111</v>
      </c>
      <c r="Q1974" s="77" t="s">
        <v>3030</v>
      </c>
      <c r="R1974" s="77">
        <v>0</v>
      </c>
      <c r="S1974" s="77">
        <v>0</v>
      </c>
      <c r="T1974" s="77">
        <v>0</v>
      </c>
      <c r="U1974" s="77">
        <v>0</v>
      </c>
      <c r="V1974" s="77">
        <v>19</v>
      </c>
      <c r="W1974" s="82" t="s">
        <v>5323</v>
      </c>
      <c r="X1974" s="77"/>
      <c r="Y1974" s="77"/>
      <c r="Z1974" s="77"/>
      <c r="AA1974" s="77" t="s">
        <v>7212</v>
      </c>
      <c r="AB1974" s="77" t="s">
        <v>7697</v>
      </c>
      <c r="AC1974" s="82" t="s">
        <v>7707</v>
      </c>
      <c r="AD1974" s="77" t="s">
        <v>7751</v>
      </c>
      <c r="AE1974" s="80" t="str">
        <f>HYPERLINK("https://twitter.com/brindamospips/status/1659552840098934785")</f>
        <v>https://twitter.com/brindamospips/status/1659552840098934785</v>
      </c>
      <c r="AF1974" s="79">
        <v>45065.56486111111</v>
      </c>
      <c r="AG1974" s="85">
        <v>45065</v>
      </c>
      <c r="AH1974" s="82" t="s">
        <v>9515</v>
      </c>
      <c r="AI1974" s="77" t="b">
        <v>0</v>
      </c>
      <c r="AJ1974" s="77"/>
      <c r="AK1974" s="77"/>
      <c r="AL1974" s="77"/>
      <c r="AM1974" s="77"/>
      <c r="AN1974" s="77"/>
      <c r="AO1974" s="77"/>
      <c r="AP1974" s="77"/>
      <c r="AQ1974" s="77" t="s">
        <v>11719</v>
      </c>
      <c r="AR1974" s="77">
        <v>44975</v>
      </c>
      <c r="AS1974" s="77"/>
      <c r="AT1974" s="77"/>
      <c r="AU1974" s="77">
        <v>2</v>
      </c>
      <c r="AV1974" s="80" t="str">
        <f>HYPERLINK("https://pbs.twimg.com/ext_tw_video_thumb/1659552773556297728/pu/img/isbWogtIh6oDbIUJ.jpg")</f>
        <v>https://pbs.twimg.com/ext_tw_video_thumb/1659552773556297728/pu/img/isbWogtIh6oDbIUJ.jpg</v>
      </c>
      <c r="AW1974" s="82" t="s">
        <v>14139</v>
      </c>
      <c r="AX1974" s="82" t="s">
        <v>14139</v>
      </c>
      <c r="AY1974" s="77"/>
      <c r="AZ1974" s="82" t="s">
        <v>15804</v>
      </c>
      <c r="BA1974" s="82" t="s">
        <v>15804</v>
      </c>
      <c r="BB1974" s="82" t="s">
        <v>15804</v>
      </c>
      <c r="BC1974" s="82" t="s">
        <v>14139</v>
      </c>
      <c r="BD1974" s="82" t="s">
        <v>16479</v>
      </c>
      <c r="BE1974" s="77"/>
      <c r="BF1974" s="77"/>
      <c r="BG1974" s="77"/>
      <c r="BH1974" s="77"/>
      <c r="BI1974" s="77"/>
    </row>
    <row r="1975" spans="1:61" x14ac:dyDescent="0.25">
      <c r="A1975" s="62" t="s">
        <v>828</v>
      </c>
      <c r="B1975" s="62" t="s">
        <v>828</v>
      </c>
      <c r="C1975" s="63"/>
      <c r="D1975" s="64"/>
      <c r="E1975" s="65"/>
      <c r="F1975" s="66"/>
      <c r="G1975" s="63"/>
      <c r="H1975" s="67"/>
      <c r="I1975" s="68"/>
      <c r="J1975" s="68"/>
      <c r="K1975" s="32"/>
      <c r="L1975" s="75">
        <v>1975</v>
      </c>
      <c r="M1975" s="75"/>
      <c r="N1975" s="70"/>
      <c r="O1975" s="77" t="s">
        <v>179</v>
      </c>
      <c r="P1975" s="79">
        <v>45065.564803240741</v>
      </c>
      <c r="Q1975" s="77" t="s">
        <v>3031</v>
      </c>
      <c r="R1975" s="77">
        <v>0</v>
      </c>
      <c r="S1975" s="77">
        <v>0</v>
      </c>
      <c r="T1975" s="77">
        <v>0</v>
      </c>
      <c r="U1975" s="77">
        <v>0</v>
      </c>
      <c r="V1975" s="77">
        <v>20</v>
      </c>
      <c r="W1975" s="82" t="s">
        <v>5321</v>
      </c>
      <c r="X1975" s="77"/>
      <c r="Y1975" s="77"/>
      <c r="Z1975" s="77"/>
      <c r="AA1975" s="77" t="s">
        <v>7213</v>
      </c>
      <c r="AB1975" s="77" t="s">
        <v>7697</v>
      </c>
      <c r="AC1975" s="82" t="s">
        <v>7707</v>
      </c>
      <c r="AD1975" s="77" t="s">
        <v>7751</v>
      </c>
      <c r="AE1975" s="80" t="str">
        <f>HYPERLINK("https://twitter.com/brindamospips/status/1659552819886563329")</f>
        <v>https://twitter.com/brindamospips/status/1659552819886563329</v>
      </c>
      <c r="AF1975" s="79">
        <v>45065.564803240741</v>
      </c>
      <c r="AG1975" s="85">
        <v>45065</v>
      </c>
      <c r="AH1975" s="82" t="s">
        <v>9516</v>
      </c>
      <c r="AI1975" s="77" t="b">
        <v>0</v>
      </c>
      <c r="AJ1975" s="77"/>
      <c r="AK1975" s="77"/>
      <c r="AL1975" s="77"/>
      <c r="AM1975" s="77"/>
      <c r="AN1975" s="77"/>
      <c r="AO1975" s="77"/>
      <c r="AP1975" s="77"/>
      <c r="AQ1975" s="77" t="s">
        <v>11720</v>
      </c>
      <c r="AR1975" s="77">
        <v>64827</v>
      </c>
      <c r="AS1975" s="77"/>
      <c r="AT1975" s="77"/>
      <c r="AU1975" s="77">
        <v>3</v>
      </c>
      <c r="AV1975" s="80" t="str">
        <f>HYPERLINK("https://pbs.twimg.com/ext_tw_video_thumb/1659552728874377216/pu/img/LgOKLH8Wy1ns5lAS.jpg")</f>
        <v>https://pbs.twimg.com/ext_tw_video_thumb/1659552728874377216/pu/img/LgOKLH8Wy1ns5lAS.jpg</v>
      </c>
      <c r="AW1975" s="82" t="s">
        <v>14140</v>
      </c>
      <c r="AX1975" s="82" t="s">
        <v>14140</v>
      </c>
      <c r="AY1975" s="77"/>
      <c r="AZ1975" s="82" t="s">
        <v>15804</v>
      </c>
      <c r="BA1975" s="82" t="s">
        <v>15804</v>
      </c>
      <c r="BB1975" s="82" t="s">
        <v>15804</v>
      </c>
      <c r="BC1975" s="82" t="s">
        <v>14140</v>
      </c>
      <c r="BD1975" s="82" t="s">
        <v>16479</v>
      </c>
      <c r="BE1975" s="77"/>
      <c r="BF1975" s="77"/>
      <c r="BG1975" s="77"/>
      <c r="BH1975" s="77"/>
      <c r="BI1975" s="77"/>
    </row>
    <row r="1976" spans="1:61" x14ac:dyDescent="0.25">
      <c r="A1976" s="62" t="s">
        <v>828</v>
      </c>
      <c r="B1976" s="62" t="s">
        <v>828</v>
      </c>
      <c r="C1976" s="63"/>
      <c r="D1976" s="64"/>
      <c r="E1976" s="65"/>
      <c r="F1976" s="66"/>
      <c r="G1976" s="63"/>
      <c r="H1976" s="67"/>
      <c r="I1976" s="68"/>
      <c r="J1976" s="68"/>
      <c r="K1976" s="32"/>
      <c r="L1976" s="75">
        <v>1976</v>
      </c>
      <c r="M1976" s="75"/>
      <c r="N1976" s="70"/>
      <c r="O1976" s="77" t="s">
        <v>179</v>
      </c>
      <c r="P1976" s="79">
        <v>45161.581076388888</v>
      </c>
      <c r="Q1976" s="77" t="s">
        <v>3032</v>
      </c>
      <c r="R1976" s="77">
        <v>0</v>
      </c>
      <c r="S1976" s="77">
        <v>0</v>
      </c>
      <c r="T1976" s="77">
        <v>0</v>
      </c>
      <c r="U1976" s="77">
        <v>0</v>
      </c>
      <c r="V1976" s="77">
        <v>39</v>
      </c>
      <c r="W1976" s="82" t="s">
        <v>5324</v>
      </c>
      <c r="X1976" s="77"/>
      <c r="Y1976" s="77"/>
      <c r="Z1976" s="77"/>
      <c r="AA1976" s="77" t="s">
        <v>7214</v>
      </c>
      <c r="AB1976" s="77" t="s">
        <v>7697</v>
      </c>
      <c r="AC1976" s="82" t="s">
        <v>7707</v>
      </c>
      <c r="AD1976" s="77" t="s">
        <v>7751</v>
      </c>
      <c r="AE1976" s="80" t="str">
        <f>HYPERLINK("https://twitter.com/brindamospips/status/1694347949751308372")</f>
        <v>https://twitter.com/brindamospips/status/1694347949751308372</v>
      </c>
      <c r="AF1976" s="79">
        <v>45161.581076388888</v>
      </c>
      <c r="AG1976" s="85">
        <v>45161</v>
      </c>
      <c r="AH1976" s="82" t="s">
        <v>9517</v>
      </c>
      <c r="AI1976" s="77" t="b">
        <v>0</v>
      </c>
      <c r="AJ1976" s="77"/>
      <c r="AK1976" s="77"/>
      <c r="AL1976" s="77"/>
      <c r="AM1976" s="77"/>
      <c r="AN1976" s="77"/>
      <c r="AO1976" s="77"/>
      <c r="AP1976" s="77"/>
      <c r="AQ1976" s="77" t="s">
        <v>11721</v>
      </c>
      <c r="AR1976" s="77">
        <v>33296</v>
      </c>
      <c r="AS1976" s="77"/>
      <c r="AT1976" s="77"/>
      <c r="AU1976" s="77">
        <v>16</v>
      </c>
      <c r="AV1976" s="80" t="str">
        <f>HYPERLINK("https://pbs.twimg.com/ext_tw_video_thumb/1694347873322745856/pu/img/q6rhzElQe6NA_meS.jpg")</f>
        <v>https://pbs.twimg.com/ext_tw_video_thumb/1694347873322745856/pu/img/q6rhzElQe6NA_meS.jpg</v>
      </c>
      <c r="AW1976" s="82" t="s">
        <v>14141</v>
      </c>
      <c r="AX1976" s="82" t="s">
        <v>14141</v>
      </c>
      <c r="AY1976" s="77"/>
      <c r="AZ1976" s="82" t="s">
        <v>15804</v>
      </c>
      <c r="BA1976" s="82" t="s">
        <v>15804</v>
      </c>
      <c r="BB1976" s="82" t="s">
        <v>15804</v>
      </c>
      <c r="BC1976" s="82" t="s">
        <v>14141</v>
      </c>
      <c r="BD1976" s="82" t="s">
        <v>16479</v>
      </c>
      <c r="BE1976" s="77"/>
      <c r="BF1976" s="77"/>
      <c r="BG1976" s="77"/>
      <c r="BH1976" s="77"/>
      <c r="BI1976" s="77"/>
    </row>
    <row r="1977" spans="1:61" x14ac:dyDescent="0.25">
      <c r="A1977" s="62" t="s">
        <v>829</v>
      </c>
      <c r="B1977" s="62" t="s">
        <v>829</v>
      </c>
      <c r="C1977" s="63"/>
      <c r="D1977" s="64"/>
      <c r="E1977" s="65"/>
      <c r="F1977" s="66"/>
      <c r="G1977" s="63"/>
      <c r="H1977" s="67"/>
      <c r="I1977" s="68"/>
      <c r="J1977" s="68"/>
      <c r="K1977" s="32"/>
      <c r="L1977" s="75">
        <v>1977</v>
      </c>
      <c r="M1977" s="75"/>
      <c r="N1977" s="70"/>
      <c r="O1977" s="77" t="s">
        <v>1132</v>
      </c>
      <c r="P1977" s="79">
        <v>44969.049953703703</v>
      </c>
      <c r="Q1977" s="77" t="s">
        <v>3033</v>
      </c>
      <c r="R1977" s="77">
        <v>0</v>
      </c>
      <c r="S1977" s="77">
        <v>1</v>
      </c>
      <c r="T1977" s="77">
        <v>0</v>
      </c>
      <c r="U1977" s="77">
        <v>0</v>
      </c>
      <c r="V1977" s="77">
        <v>44</v>
      </c>
      <c r="W1977" s="82" t="s">
        <v>5325</v>
      </c>
      <c r="X1977" s="77"/>
      <c r="Y1977" s="77"/>
      <c r="Z1977" s="77"/>
      <c r="AA1977" s="77"/>
      <c r="AB1977" s="77"/>
      <c r="AC1977" s="82" t="s">
        <v>7707</v>
      </c>
      <c r="AD1977" s="77" t="s">
        <v>7745</v>
      </c>
      <c r="AE1977" s="80" t="str">
        <f>HYPERLINK("https://twitter.com/islenoaraujo/status/1624577007345446912")</f>
        <v>https://twitter.com/islenoaraujo/status/1624577007345446912</v>
      </c>
      <c r="AF1977" s="79">
        <v>44969.049953703703</v>
      </c>
      <c r="AG1977" s="85">
        <v>44969</v>
      </c>
      <c r="AH1977" s="82" t="s">
        <v>9518</v>
      </c>
      <c r="AI1977" s="77"/>
      <c r="AJ1977" s="77"/>
      <c r="AK1977" s="77"/>
      <c r="AL1977" s="77"/>
      <c r="AM1977" s="77"/>
      <c r="AN1977" s="77"/>
      <c r="AO1977" s="77"/>
      <c r="AP1977" s="77"/>
      <c r="AQ1977" s="77"/>
      <c r="AR1977" s="77"/>
      <c r="AS1977" s="77"/>
      <c r="AT1977" s="77"/>
      <c r="AU1977" s="77"/>
      <c r="AV1977" s="80" t="str">
        <f>HYPERLINK("https://pbs.twimg.com/profile_images/1428534845819572228/qG_8zMGg_normal.jpg")</f>
        <v>https://pbs.twimg.com/profile_images/1428534845819572228/qG_8zMGg_normal.jpg</v>
      </c>
      <c r="AW1977" s="82" t="s">
        <v>14142</v>
      </c>
      <c r="AX1977" s="82" t="s">
        <v>15535</v>
      </c>
      <c r="AY1977" s="82" t="s">
        <v>15769</v>
      </c>
      <c r="AZ1977" s="82" t="s">
        <v>15535</v>
      </c>
      <c r="BA1977" s="82" t="s">
        <v>15804</v>
      </c>
      <c r="BB1977" s="82" t="s">
        <v>15804</v>
      </c>
      <c r="BC1977" s="82" t="s">
        <v>15535</v>
      </c>
      <c r="BD1977" s="77">
        <v>213528305</v>
      </c>
      <c r="BE1977" s="77"/>
      <c r="BF1977" s="77"/>
      <c r="BG1977" s="77"/>
      <c r="BH1977" s="77"/>
      <c r="BI1977" s="77"/>
    </row>
    <row r="1978" spans="1:61" x14ac:dyDescent="0.25">
      <c r="A1978" s="62" t="s">
        <v>830</v>
      </c>
      <c r="B1978" s="62" t="s">
        <v>830</v>
      </c>
      <c r="C1978" s="63"/>
      <c r="D1978" s="64"/>
      <c r="E1978" s="65"/>
      <c r="F1978" s="66"/>
      <c r="G1978" s="63"/>
      <c r="H1978" s="67"/>
      <c r="I1978" s="68"/>
      <c r="J1978" s="68"/>
      <c r="K1978" s="32"/>
      <c r="L1978" s="75">
        <v>1978</v>
      </c>
      <c r="M1978" s="75"/>
      <c r="N1978" s="70"/>
      <c r="O1978" s="77" t="s">
        <v>1132</v>
      </c>
      <c r="P1978" s="79">
        <v>44988.471331018518</v>
      </c>
      <c r="Q1978" s="77" t="s">
        <v>3034</v>
      </c>
      <c r="R1978" s="77">
        <v>0</v>
      </c>
      <c r="S1978" s="77">
        <v>0</v>
      </c>
      <c r="T1978" s="77">
        <v>0</v>
      </c>
      <c r="U1978" s="77">
        <v>0</v>
      </c>
      <c r="V1978" s="77">
        <v>15</v>
      </c>
      <c r="W1978" s="77"/>
      <c r="X1978" s="77"/>
      <c r="Y1978" s="77"/>
      <c r="Z1978" s="77"/>
      <c r="AA1978" s="77"/>
      <c r="AB1978" s="77"/>
      <c r="AC1978" s="82" t="s">
        <v>7705</v>
      </c>
      <c r="AD1978" s="77" t="s">
        <v>7745</v>
      </c>
      <c r="AE1978" s="80" t="str">
        <f>HYPERLINK("https://twitter.com/danielsouzafp/status/1631615077366284290")</f>
        <v>https://twitter.com/danielsouzafp/status/1631615077366284290</v>
      </c>
      <c r="AF1978" s="79">
        <v>44988.471331018518</v>
      </c>
      <c r="AG1978" s="85">
        <v>44988</v>
      </c>
      <c r="AH1978" s="82" t="s">
        <v>9519</v>
      </c>
      <c r="AI1978" s="77"/>
      <c r="AJ1978" s="77"/>
      <c r="AK1978" s="77"/>
      <c r="AL1978" s="77"/>
      <c r="AM1978" s="77"/>
      <c r="AN1978" s="77"/>
      <c r="AO1978" s="77"/>
      <c r="AP1978" s="77"/>
      <c r="AQ1978" s="77"/>
      <c r="AR1978" s="77"/>
      <c r="AS1978" s="77"/>
      <c r="AT1978" s="77"/>
      <c r="AU1978" s="77"/>
      <c r="AV1978" s="80" t="str">
        <f>HYPERLINK("https://pbs.twimg.com/profile_images/1268914268256325634/4MFIrLBy_normal.jpg")</f>
        <v>https://pbs.twimg.com/profile_images/1268914268256325634/4MFIrLBy_normal.jpg</v>
      </c>
      <c r="AW1978" s="82" t="s">
        <v>14143</v>
      </c>
      <c r="AX1978" s="82" t="s">
        <v>15536</v>
      </c>
      <c r="AY1978" s="82" t="s">
        <v>15770</v>
      </c>
      <c r="AZ1978" s="82" t="s">
        <v>16062</v>
      </c>
      <c r="BA1978" s="82" t="s">
        <v>15804</v>
      </c>
      <c r="BB1978" s="82" t="s">
        <v>15804</v>
      </c>
      <c r="BC1978" s="82" t="s">
        <v>16062</v>
      </c>
      <c r="BD1978" s="82" t="s">
        <v>15770</v>
      </c>
      <c r="BE1978" s="77"/>
      <c r="BF1978" s="77"/>
      <c r="BG1978" s="77"/>
      <c r="BH1978" s="77"/>
      <c r="BI1978" s="77"/>
    </row>
    <row r="1979" spans="1:61" x14ac:dyDescent="0.25">
      <c r="A1979" s="62" t="s">
        <v>831</v>
      </c>
      <c r="B1979" s="62" t="s">
        <v>1108</v>
      </c>
      <c r="C1979" s="63"/>
      <c r="D1979" s="64"/>
      <c r="E1979" s="65"/>
      <c r="F1979" s="66"/>
      <c r="G1979" s="63"/>
      <c r="H1979" s="67"/>
      <c r="I1979" s="68"/>
      <c r="J1979" s="68"/>
      <c r="K1979" s="32"/>
      <c r="L1979" s="75">
        <v>1979</v>
      </c>
      <c r="M1979" s="75"/>
      <c r="N1979" s="70"/>
      <c r="O1979" s="77" t="s">
        <v>1133</v>
      </c>
      <c r="P1979" s="79">
        <v>45111.585752314815</v>
      </c>
      <c r="Q1979" s="77" t="s">
        <v>3035</v>
      </c>
      <c r="R1979" s="77">
        <v>0</v>
      </c>
      <c r="S1979" s="77">
        <v>0</v>
      </c>
      <c r="T1979" s="77">
        <v>0</v>
      </c>
      <c r="U1979" s="77">
        <v>0</v>
      </c>
      <c r="V1979" s="77">
        <v>20</v>
      </c>
      <c r="W1979" s="82" t="s">
        <v>4080</v>
      </c>
      <c r="X1979" s="80" t="str">
        <f>HYPERLINK("https://www.instagram.com/p/CuPrCHquNi0/?utm_source=ig_web_button_share_sheet&amp;igshid=Y2Q0NmNiMjc3NQ==")</f>
        <v>https://www.instagram.com/p/CuPrCHquNi0/?utm_source=ig_web_button_share_sheet&amp;igshid=Y2Q0NmNiMjc3NQ==</v>
      </c>
      <c r="Y1979" s="77" t="s">
        <v>6000</v>
      </c>
      <c r="Z1979" s="77" t="s">
        <v>1108</v>
      </c>
      <c r="AA1979" s="77"/>
      <c r="AB1979" s="77"/>
      <c r="AC1979" s="82" t="s">
        <v>7706</v>
      </c>
      <c r="AD1979" s="77" t="s">
        <v>7745</v>
      </c>
      <c r="AE1979" s="80" t="str">
        <f>HYPERLINK("https://twitter.com/cidadaniapoa/status/1676230253700698114")</f>
        <v>https://twitter.com/cidadaniapoa/status/1676230253700698114</v>
      </c>
      <c r="AF1979" s="79">
        <v>45111.585752314815</v>
      </c>
      <c r="AG1979" s="85">
        <v>45111</v>
      </c>
      <c r="AH1979" s="82" t="s">
        <v>9520</v>
      </c>
      <c r="AI1979" s="77" t="b">
        <v>0</v>
      </c>
      <c r="AJ1979" s="77"/>
      <c r="AK1979" s="77"/>
      <c r="AL1979" s="77"/>
      <c r="AM1979" s="77"/>
      <c r="AN1979" s="77"/>
      <c r="AO1979" s="77"/>
      <c r="AP1979" s="77"/>
      <c r="AQ1979" s="77"/>
      <c r="AR1979" s="77"/>
      <c r="AS1979" s="77"/>
      <c r="AT1979" s="77"/>
      <c r="AU1979" s="77"/>
      <c r="AV1979" s="80" t="str">
        <f>HYPERLINK("https://pbs.twimg.com/profile_images/1161396190472232960/h_rgsF4W_normal.png")</f>
        <v>https://pbs.twimg.com/profile_images/1161396190472232960/h_rgsF4W_normal.png</v>
      </c>
      <c r="AW1979" s="82" t="s">
        <v>14144</v>
      </c>
      <c r="AX1979" s="82" t="s">
        <v>14144</v>
      </c>
      <c r="AY1979" s="77"/>
      <c r="AZ1979" s="82" t="s">
        <v>15804</v>
      </c>
      <c r="BA1979" s="82" t="s">
        <v>15804</v>
      </c>
      <c r="BB1979" s="82" t="s">
        <v>15804</v>
      </c>
      <c r="BC1979" s="82" t="s">
        <v>14144</v>
      </c>
      <c r="BD1979" s="77">
        <v>55373557</v>
      </c>
      <c r="BE1979" s="77"/>
      <c r="BF1979" s="77"/>
      <c r="BG1979" s="77"/>
      <c r="BH1979" s="77"/>
      <c r="BI1979" s="77"/>
    </row>
    <row r="1980" spans="1:61" x14ac:dyDescent="0.25">
      <c r="A1980" s="62" t="s">
        <v>832</v>
      </c>
      <c r="B1980" s="62" t="s">
        <v>832</v>
      </c>
      <c r="C1980" s="63"/>
      <c r="D1980" s="64"/>
      <c r="E1980" s="65"/>
      <c r="F1980" s="66"/>
      <c r="G1980" s="63"/>
      <c r="H1980" s="67"/>
      <c r="I1980" s="68"/>
      <c r="J1980" s="68"/>
      <c r="K1980" s="32"/>
      <c r="L1980" s="75">
        <v>1980</v>
      </c>
      <c r="M1980" s="75"/>
      <c r="N1980" s="70"/>
      <c r="O1980" s="77" t="s">
        <v>179</v>
      </c>
      <c r="P1980" s="79">
        <v>45076.502210648148</v>
      </c>
      <c r="Q1980" s="77" t="s">
        <v>3036</v>
      </c>
      <c r="R1980" s="77">
        <v>0</v>
      </c>
      <c r="S1980" s="77">
        <v>0</v>
      </c>
      <c r="T1980" s="77">
        <v>0</v>
      </c>
      <c r="U1980" s="77">
        <v>0</v>
      </c>
      <c r="V1980" s="77">
        <v>2</v>
      </c>
      <c r="W1980" s="82" t="s">
        <v>5326</v>
      </c>
      <c r="X1980" s="80" t="str">
        <f>HYPERLINK("http://dlvr.it/SpsCsw")</f>
        <v>http://dlvr.it/SpsCsw</v>
      </c>
      <c r="Y1980" s="77" t="s">
        <v>6089</v>
      </c>
      <c r="Z1980" s="77"/>
      <c r="AA1980" s="77"/>
      <c r="AB1980" s="77"/>
      <c r="AC1980" s="82" t="s">
        <v>6089</v>
      </c>
      <c r="AD1980" s="77" t="s">
        <v>7745</v>
      </c>
      <c r="AE1980" s="80" t="str">
        <f>HYPERLINK("https://twitter.com/t2id_/status/1663516400600875008")</f>
        <v>https://twitter.com/t2id_/status/1663516400600875008</v>
      </c>
      <c r="AF1980" s="79">
        <v>45076.502210648148</v>
      </c>
      <c r="AG1980" s="85">
        <v>45076</v>
      </c>
      <c r="AH1980" s="82" t="s">
        <v>9521</v>
      </c>
      <c r="AI1980" s="77" t="b">
        <v>0</v>
      </c>
      <c r="AJ1980" s="77"/>
      <c r="AK1980" s="77"/>
      <c r="AL1980" s="77"/>
      <c r="AM1980" s="77"/>
      <c r="AN1980" s="77"/>
      <c r="AO1980" s="77"/>
      <c r="AP1980" s="77"/>
      <c r="AQ1980" s="77"/>
      <c r="AR1980" s="77"/>
      <c r="AS1980" s="77"/>
      <c r="AT1980" s="77"/>
      <c r="AU1980" s="77"/>
      <c r="AV1980" s="80" t="str">
        <f>HYPERLINK("https://pbs.twimg.com/profile_images/1518465479953862657/QfzoQANd_normal.jpg")</f>
        <v>https://pbs.twimg.com/profile_images/1518465479953862657/QfzoQANd_normal.jpg</v>
      </c>
      <c r="AW1980" s="82" t="s">
        <v>14145</v>
      </c>
      <c r="AX1980" s="82" t="s">
        <v>14145</v>
      </c>
      <c r="AY1980" s="77"/>
      <c r="AZ1980" s="82" t="s">
        <v>15804</v>
      </c>
      <c r="BA1980" s="82" t="s">
        <v>15804</v>
      </c>
      <c r="BB1980" s="82" t="s">
        <v>15804</v>
      </c>
      <c r="BC1980" s="82" t="s">
        <v>14145</v>
      </c>
      <c r="BD1980" s="82" t="s">
        <v>16480</v>
      </c>
      <c r="BE1980" s="77"/>
      <c r="BF1980" s="77"/>
      <c r="BG1980" s="77"/>
      <c r="BH1980" s="77"/>
      <c r="BI1980" s="77"/>
    </row>
    <row r="1981" spans="1:61" x14ac:dyDescent="0.25">
      <c r="A1981" s="62" t="s">
        <v>833</v>
      </c>
      <c r="B1981" s="62" t="s">
        <v>833</v>
      </c>
      <c r="C1981" s="63"/>
      <c r="D1981" s="64"/>
      <c r="E1981" s="65"/>
      <c r="F1981" s="66"/>
      <c r="G1981" s="63"/>
      <c r="H1981" s="67"/>
      <c r="I1981" s="68"/>
      <c r="J1981" s="68"/>
      <c r="K1981" s="32"/>
      <c r="L1981" s="75">
        <v>1981</v>
      </c>
      <c r="M1981" s="75"/>
      <c r="N1981" s="70"/>
      <c r="O1981" s="77" t="s">
        <v>1132</v>
      </c>
      <c r="P1981" s="79">
        <v>45019.84337962963</v>
      </c>
      <c r="Q1981" s="77" t="s">
        <v>3037</v>
      </c>
      <c r="R1981" s="77">
        <v>0</v>
      </c>
      <c r="S1981" s="77">
        <v>0</v>
      </c>
      <c r="T1981" s="77">
        <v>0</v>
      </c>
      <c r="U1981" s="77">
        <v>0</v>
      </c>
      <c r="V1981" s="77">
        <v>30</v>
      </c>
      <c r="W1981" s="82" t="s">
        <v>5327</v>
      </c>
      <c r="X1981" s="77"/>
      <c r="Y1981" s="77"/>
      <c r="Z1981" s="77"/>
      <c r="AA1981" s="77"/>
      <c r="AB1981" s="77"/>
      <c r="AC1981" s="82" t="s">
        <v>7706</v>
      </c>
      <c r="AD1981" s="77" t="s">
        <v>7745</v>
      </c>
      <c r="AE1981" s="80" t="str">
        <f>HYPERLINK("https://twitter.com/investoetf/status/1642983930100842496")</f>
        <v>https://twitter.com/investoetf/status/1642983930100842496</v>
      </c>
      <c r="AF1981" s="79">
        <v>45019.84337962963</v>
      </c>
      <c r="AG1981" s="85">
        <v>45019</v>
      </c>
      <c r="AH1981" s="82" t="s">
        <v>9522</v>
      </c>
      <c r="AI1981" s="77"/>
      <c r="AJ1981" s="77"/>
      <c r="AK1981" s="77"/>
      <c r="AL1981" s="77"/>
      <c r="AM1981" s="77"/>
      <c r="AN1981" s="77"/>
      <c r="AO1981" s="77"/>
      <c r="AP1981" s="77"/>
      <c r="AQ1981" s="77"/>
      <c r="AR1981" s="77"/>
      <c r="AS1981" s="77"/>
      <c r="AT1981" s="77"/>
      <c r="AU1981" s="77"/>
      <c r="AV1981" s="80" t="str">
        <f>HYPERLINK("https://pbs.twimg.com/profile_images/1320802018836074500/SdDDk3nD_normal.jpg")</f>
        <v>https://pbs.twimg.com/profile_images/1320802018836074500/SdDDk3nD_normal.jpg</v>
      </c>
      <c r="AW1981" s="82" t="s">
        <v>14146</v>
      </c>
      <c r="AX1981" s="82" t="s">
        <v>15537</v>
      </c>
      <c r="AY1981" s="82" t="s">
        <v>15771</v>
      </c>
      <c r="AZ1981" s="82" t="s">
        <v>16063</v>
      </c>
      <c r="BA1981" s="82" t="s">
        <v>15804</v>
      </c>
      <c r="BB1981" s="82" t="s">
        <v>15804</v>
      </c>
      <c r="BC1981" s="82" t="s">
        <v>16063</v>
      </c>
      <c r="BD1981" s="82" t="s">
        <v>15771</v>
      </c>
      <c r="BE1981" s="77"/>
      <c r="BF1981" s="77"/>
      <c r="BG1981" s="77"/>
      <c r="BH1981" s="77"/>
      <c r="BI1981" s="77"/>
    </row>
    <row r="1982" spans="1:61" x14ac:dyDescent="0.25">
      <c r="A1982" s="62" t="s">
        <v>834</v>
      </c>
      <c r="B1982" s="62" t="s">
        <v>834</v>
      </c>
      <c r="C1982" s="63"/>
      <c r="D1982" s="64"/>
      <c r="E1982" s="65"/>
      <c r="F1982" s="66"/>
      <c r="G1982" s="63"/>
      <c r="H1982" s="67"/>
      <c r="I1982" s="68"/>
      <c r="J1982" s="68"/>
      <c r="K1982" s="32"/>
      <c r="L1982" s="75">
        <v>1982</v>
      </c>
      <c r="M1982" s="75"/>
      <c r="N1982" s="70"/>
      <c r="O1982" s="77" t="s">
        <v>179</v>
      </c>
      <c r="P1982" s="79">
        <v>45140.898148148146</v>
      </c>
      <c r="Q1982" s="77" t="s">
        <v>3038</v>
      </c>
      <c r="R1982" s="77">
        <v>0</v>
      </c>
      <c r="S1982" s="77">
        <v>0</v>
      </c>
      <c r="T1982" s="77">
        <v>0</v>
      </c>
      <c r="U1982" s="77">
        <v>0</v>
      </c>
      <c r="V1982" s="77">
        <v>37</v>
      </c>
      <c r="W1982" s="82" t="s">
        <v>5328</v>
      </c>
      <c r="X1982" s="80" t="str">
        <f>HYPERLINK("https://encurtador.com.br/gsuwK")</f>
        <v>https://encurtador.com.br/gsuwK</v>
      </c>
      <c r="Y1982" s="77" t="s">
        <v>6002</v>
      </c>
      <c r="Z1982" s="77"/>
      <c r="AA1982" s="77" t="s">
        <v>7215</v>
      </c>
      <c r="AB1982" s="77" t="s">
        <v>7696</v>
      </c>
      <c r="AC1982" s="82" t="s">
        <v>7706</v>
      </c>
      <c r="AD1982" s="77" t="s">
        <v>7745</v>
      </c>
      <c r="AE1982" s="80" t="str">
        <f>HYPERLINK("https://twitter.com/vempragruppi/status/1686852709620580352")</f>
        <v>https://twitter.com/vempragruppi/status/1686852709620580352</v>
      </c>
      <c r="AF1982" s="79">
        <v>45140.898148148146</v>
      </c>
      <c r="AG1982" s="85">
        <v>45140</v>
      </c>
      <c r="AH1982" s="82" t="s">
        <v>9523</v>
      </c>
      <c r="AI1982" s="77" t="b">
        <v>0</v>
      </c>
      <c r="AJ1982" s="77"/>
      <c r="AK1982" s="77"/>
      <c r="AL1982" s="77"/>
      <c r="AM1982" s="77"/>
      <c r="AN1982" s="77"/>
      <c r="AO1982" s="77"/>
      <c r="AP1982" s="77"/>
      <c r="AQ1982" s="77" t="s">
        <v>11722</v>
      </c>
      <c r="AR1982" s="77"/>
      <c r="AS1982" s="77"/>
      <c r="AT1982" s="77"/>
      <c r="AU1982" s="77"/>
      <c r="AV1982" s="80" t="str">
        <f>HYPERLINK("https://pbs.twimg.com/media/F2jnbIHXAAMwf1E.jpg")</f>
        <v>https://pbs.twimg.com/media/F2jnbIHXAAMwf1E.jpg</v>
      </c>
      <c r="AW1982" s="82" t="s">
        <v>14147</v>
      </c>
      <c r="AX1982" s="82" t="s">
        <v>14147</v>
      </c>
      <c r="AY1982" s="77"/>
      <c r="AZ1982" s="82" t="s">
        <v>15804</v>
      </c>
      <c r="BA1982" s="82" t="s">
        <v>15804</v>
      </c>
      <c r="BB1982" s="82" t="s">
        <v>15804</v>
      </c>
      <c r="BC1982" s="82" t="s">
        <v>14147</v>
      </c>
      <c r="BD1982" s="82" t="s">
        <v>16481</v>
      </c>
      <c r="BE1982" s="77"/>
      <c r="BF1982" s="77"/>
      <c r="BG1982" s="77"/>
      <c r="BH1982" s="77"/>
      <c r="BI1982" s="77"/>
    </row>
    <row r="1983" spans="1:61" x14ac:dyDescent="0.25">
      <c r="A1983" s="62" t="s">
        <v>835</v>
      </c>
      <c r="B1983" s="62" t="s">
        <v>891</v>
      </c>
      <c r="C1983" s="63"/>
      <c r="D1983" s="64"/>
      <c r="E1983" s="65"/>
      <c r="F1983" s="66"/>
      <c r="G1983" s="63"/>
      <c r="H1983" s="67"/>
      <c r="I1983" s="68"/>
      <c r="J1983" s="68"/>
      <c r="K1983" s="32"/>
      <c r="L1983" s="75">
        <v>1983</v>
      </c>
      <c r="M1983" s="75"/>
      <c r="N1983" s="70"/>
      <c r="O1983" s="77" t="s">
        <v>1134</v>
      </c>
      <c r="P1983" s="79">
        <v>45173.794629629629</v>
      </c>
      <c r="Q1983" s="77" t="s">
        <v>2478</v>
      </c>
      <c r="R1983" s="77">
        <v>7</v>
      </c>
      <c r="S1983" s="77">
        <v>0</v>
      </c>
      <c r="T1983" s="77">
        <v>0</v>
      </c>
      <c r="U1983" s="77">
        <v>0</v>
      </c>
      <c r="V1983" s="77"/>
      <c r="W1983" s="82" t="s">
        <v>5043</v>
      </c>
      <c r="X1983" s="77"/>
      <c r="Y1983" s="77"/>
      <c r="Z1983" s="77" t="s">
        <v>891</v>
      </c>
      <c r="AA1983" s="77"/>
      <c r="AB1983" s="77"/>
      <c r="AC1983" s="82" t="s">
        <v>7707</v>
      </c>
      <c r="AD1983" s="77" t="s">
        <v>7745</v>
      </c>
      <c r="AE1983" s="80" t="str">
        <f>HYPERLINK("https://twitter.com/trogloditaao/status/1698773994709623219")</f>
        <v>https://twitter.com/trogloditaao/status/1698773994709623219</v>
      </c>
      <c r="AF1983" s="79">
        <v>45173.794629629629</v>
      </c>
      <c r="AG1983" s="85">
        <v>45173</v>
      </c>
      <c r="AH1983" s="82" t="s">
        <v>9524</v>
      </c>
      <c r="AI1983" s="77"/>
      <c r="AJ1983" s="77"/>
      <c r="AK1983" s="77"/>
      <c r="AL1983" s="77"/>
      <c r="AM1983" s="77"/>
      <c r="AN1983" s="77"/>
      <c r="AO1983" s="77"/>
      <c r="AP1983" s="77"/>
      <c r="AQ1983" s="77"/>
      <c r="AR1983" s="77"/>
      <c r="AS1983" s="77"/>
      <c r="AT1983" s="77"/>
      <c r="AU1983" s="77"/>
      <c r="AV1983" s="80" t="str">
        <f>HYPERLINK("https://pbs.twimg.com/profile_images/1698599849925427200/kP2kwiQr_normal.jpg")</f>
        <v>https://pbs.twimg.com/profile_images/1698599849925427200/kP2kwiQr_normal.jpg</v>
      </c>
      <c r="AW1983" s="82" t="s">
        <v>14148</v>
      </c>
      <c r="AX1983" s="82" t="s">
        <v>14148</v>
      </c>
      <c r="AY1983" s="77"/>
      <c r="AZ1983" s="82" t="s">
        <v>15804</v>
      </c>
      <c r="BA1983" s="82" t="s">
        <v>15804</v>
      </c>
      <c r="BB1983" s="82" t="s">
        <v>14425</v>
      </c>
      <c r="BC1983" s="82" t="s">
        <v>14425</v>
      </c>
      <c r="BD1983" s="82" t="s">
        <v>16482</v>
      </c>
      <c r="BE1983" s="77"/>
      <c r="BF1983" s="77"/>
      <c r="BG1983" s="77"/>
      <c r="BH1983" s="77"/>
      <c r="BI1983" s="77"/>
    </row>
    <row r="1984" spans="1:61" x14ac:dyDescent="0.25">
      <c r="A1984" s="62" t="s">
        <v>836</v>
      </c>
      <c r="B1984" s="62" t="s">
        <v>836</v>
      </c>
      <c r="C1984" s="63"/>
      <c r="D1984" s="64"/>
      <c r="E1984" s="65"/>
      <c r="F1984" s="66"/>
      <c r="G1984" s="63"/>
      <c r="H1984" s="67"/>
      <c r="I1984" s="68"/>
      <c r="J1984" s="68"/>
      <c r="K1984" s="32"/>
      <c r="L1984" s="75">
        <v>1984</v>
      </c>
      <c r="M1984" s="75"/>
      <c r="N1984" s="70"/>
      <c r="O1984" s="77" t="s">
        <v>179</v>
      </c>
      <c r="P1984" s="79">
        <v>45064.791608796295</v>
      </c>
      <c r="Q1984" s="77" t="s">
        <v>3039</v>
      </c>
      <c r="R1984" s="77">
        <v>0</v>
      </c>
      <c r="S1984" s="77">
        <v>0</v>
      </c>
      <c r="T1984" s="77">
        <v>0</v>
      </c>
      <c r="U1984" s="77">
        <v>0</v>
      </c>
      <c r="V1984" s="77">
        <v>23</v>
      </c>
      <c r="W1984" s="82" t="s">
        <v>4097</v>
      </c>
      <c r="X1984" s="80" t="str">
        <f>HYPERLINK("https://youtu.be/g7Luo51zLew")</f>
        <v>https://youtu.be/g7Luo51zLew</v>
      </c>
      <c r="Y1984" s="77" t="s">
        <v>6003</v>
      </c>
      <c r="Z1984" s="77"/>
      <c r="AA1984" s="77"/>
      <c r="AB1984" s="77"/>
      <c r="AC1984" s="82" t="s">
        <v>7706</v>
      </c>
      <c r="AD1984" s="77" t="s">
        <v>7745</v>
      </c>
      <c r="AE1984" s="80" t="str">
        <f>HYPERLINK("https://twitter.com/capemisa/status/1659272622620778520")</f>
        <v>https://twitter.com/capemisa/status/1659272622620778520</v>
      </c>
      <c r="AF1984" s="79">
        <v>45064.791608796295</v>
      </c>
      <c r="AG1984" s="85">
        <v>45064</v>
      </c>
      <c r="AH1984" s="82" t="s">
        <v>9525</v>
      </c>
      <c r="AI1984" s="77" t="b">
        <v>0</v>
      </c>
      <c r="AJ1984" s="77"/>
      <c r="AK1984" s="77"/>
      <c r="AL1984" s="77"/>
      <c r="AM1984" s="77"/>
      <c r="AN1984" s="77"/>
      <c r="AO1984" s="77"/>
      <c r="AP1984" s="77"/>
      <c r="AQ1984" s="77"/>
      <c r="AR1984" s="77"/>
      <c r="AS1984" s="77"/>
      <c r="AT1984" s="77"/>
      <c r="AU1984" s="77"/>
      <c r="AV1984" s="80" t="str">
        <f>HYPERLINK("https://pbs.twimg.com/profile_images/1496941852909522949/Q_54fos5_normal.png")</f>
        <v>https://pbs.twimg.com/profile_images/1496941852909522949/Q_54fos5_normal.png</v>
      </c>
      <c r="AW1984" s="82" t="s">
        <v>14149</v>
      </c>
      <c r="AX1984" s="82" t="s">
        <v>14149</v>
      </c>
      <c r="AY1984" s="77"/>
      <c r="AZ1984" s="82" t="s">
        <v>15804</v>
      </c>
      <c r="BA1984" s="82" t="s">
        <v>15804</v>
      </c>
      <c r="BB1984" s="82" t="s">
        <v>15804</v>
      </c>
      <c r="BC1984" s="82" t="s">
        <v>14149</v>
      </c>
      <c r="BD1984" s="82" t="s">
        <v>16483</v>
      </c>
      <c r="BE1984" s="77"/>
      <c r="BF1984" s="77"/>
      <c r="BG1984" s="77"/>
      <c r="BH1984" s="77"/>
      <c r="BI1984" s="77"/>
    </row>
    <row r="1985" spans="1:61" x14ac:dyDescent="0.25">
      <c r="A1985" s="62" t="s">
        <v>837</v>
      </c>
      <c r="B1985" s="62" t="s">
        <v>837</v>
      </c>
      <c r="C1985" s="63"/>
      <c r="D1985" s="64"/>
      <c r="E1985" s="65"/>
      <c r="F1985" s="66"/>
      <c r="G1985" s="63"/>
      <c r="H1985" s="67"/>
      <c r="I1985" s="68"/>
      <c r="J1985" s="68"/>
      <c r="K1985" s="32"/>
      <c r="L1985" s="75">
        <v>1985</v>
      </c>
      <c r="M1985" s="75"/>
      <c r="N1985" s="70"/>
      <c r="O1985" s="77" t="s">
        <v>179</v>
      </c>
      <c r="P1985" s="79">
        <v>44981.629386574074</v>
      </c>
      <c r="Q1985" s="77" t="s">
        <v>3040</v>
      </c>
      <c r="R1985" s="77">
        <v>0</v>
      </c>
      <c r="S1985" s="77">
        <v>0</v>
      </c>
      <c r="T1985" s="77">
        <v>0</v>
      </c>
      <c r="U1985" s="77">
        <v>0</v>
      </c>
      <c r="V1985" s="77">
        <v>9</v>
      </c>
      <c r="W1985" s="82" t="s">
        <v>4105</v>
      </c>
      <c r="X1985" s="77"/>
      <c r="Y1985" s="77"/>
      <c r="Z1985" s="77"/>
      <c r="AA1985" s="77"/>
      <c r="AB1985" s="77"/>
      <c r="AC1985" s="82" t="s">
        <v>7707</v>
      </c>
      <c r="AD1985" s="77" t="s">
        <v>7745</v>
      </c>
      <c r="AE1985" s="80" t="str">
        <f>HYPERLINK("https://twitter.com/euluisconsultor/status/1629135641802833922")</f>
        <v>https://twitter.com/euluisconsultor/status/1629135641802833922</v>
      </c>
      <c r="AF1985" s="79">
        <v>44981.629386574074</v>
      </c>
      <c r="AG1985" s="85">
        <v>44981</v>
      </c>
      <c r="AH1985" s="82" t="s">
        <v>9526</v>
      </c>
      <c r="AI1985" s="77"/>
      <c r="AJ1985" s="77"/>
      <c r="AK1985" s="77"/>
      <c r="AL1985" s="77"/>
      <c r="AM1985" s="77"/>
      <c r="AN1985" s="77"/>
      <c r="AO1985" s="77"/>
      <c r="AP1985" s="77"/>
      <c r="AQ1985" s="77"/>
      <c r="AR1985" s="77"/>
      <c r="AS1985" s="77"/>
      <c r="AT1985" s="77"/>
      <c r="AU1985" s="77"/>
      <c r="AV1985" s="80" t="str">
        <f>HYPERLINK("https://pbs.twimg.com/profile_images/1594035193081364484/kMgIPxhL_normal.jpg")</f>
        <v>https://pbs.twimg.com/profile_images/1594035193081364484/kMgIPxhL_normal.jpg</v>
      </c>
      <c r="AW1985" s="82" t="s">
        <v>14150</v>
      </c>
      <c r="AX1985" s="82" t="s">
        <v>14150</v>
      </c>
      <c r="AY1985" s="77"/>
      <c r="AZ1985" s="82" t="s">
        <v>15804</v>
      </c>
      <c r="BA1985" s="82" t="s">
        <v>15804</v>
      </c>
      <c r="BB1985" s="82" t="s">
        <v>15804</v>
      </c>
      <c r="BC1985" s="82" t="s">
        <v>14150</v>
      </c>
      <c r="BD1985" s="82" t="s">
        <v>16484</v>
      </c>
      <c r="BE1985" s="77"/>
      <c r="BF1985" s="77"/>
      <c r="BG1985" s="77"/>
      <c r="BH1985" s="77"/>
      <c r="BI1985" s="77"/>
    </row>
    <row r="1986" spans="1:61" x14ac:dyDescent="0.25">
      <c r="A1986" s="62" t="s">
        <v>837</v>
      </c>
      <c r="B1986" s="62" t="s">
        <v>837</v>
      </c>
      <c r="C1986" s="63"/>
      <c r="D1986" s="64"/>
      <c r="E1986" s="65"/>
      <c r="F1986" s="66"/>
      <c r="G1986" s="63"/>
      <c r="H1986" s="67"/>
      <c r="I1986" s="68"/>
      <c r="J1986" s="68"/>
      <c r="K1986" s="32"/>
      <c r="L1986" s="75">
        <v>1986</v>
      </c>
      <c r="M1986" s="75"/>
      <c r="N1986" s="70"/>
      <c r="O1986" s="77" t="s">
        <v>179</v>
      </c>
      <c r="P1986" s="79">
        <v>44990.888194444444</v>
      </c>
      <c r="Q1986" s="77" t="s">
        <v>3041</v>
      </c>
      <c r="R1986" s="77">
        <v>0</v>
      </c>
      <c r="S1986" s="77">
        <v>0</v>
      </c>
      <c r="T1986" s="77">
        <v>0</v>
      </c>
      <c r="U1986" s="77">
        <v>0</v>
      </c>
      <c r="V1986" s="77">
        <v>2</v>
      </c>
      <c r="W1986" s="82" t="s">
        <v>4219</v>
      </c>
      <c r="X1986" s="77"/>
      <c r="Y1986" s="77"/>
      <c r="Z1986" s="77"/>
      <c r="AA1986" s="77"/>
      <c r="AB1986" s="77"/>
      <c r="AC1986" s="82" t="s">
        <v>7706</v>
      </c>
      <c r="AD1986" s="77" t="s">
        <v>7745</v>
      </c>
      <c r="AE1986" s="80" t="str">
        <f>HYPERLINK("https://twitter.com/euluisconsultor/status/1632490919994834944")</f>
        <v>https://twitter.com/euluisconsultor/status/1632490919994834944</v>
      </c>
      <c r="AF1986" s="79">
        <v>44990.888194444444</v>
      </c>
      <c r="AG1986" s="85">
        <v>44990</v>
      </c>
      <c r="AH1986" s="82" t="s">
        <v>9527</v>
      </c>
      <c r="AI1986" s="77"/>
      <c r="AJ1986" s="77"/>
      <c r="AK1986" s="77"/>
      <c r="AL1986" s="77"/>
      <c r="AM1986" s="77"/>
      <c r="AN1986" s="77"/>
      <c r="AO1986" s="77"/>
      <c r="AP1986" s="77"/>
      <c r="AQ1986" s="77"/>
      <c r="AR1986" s="77"/>
      <c r="AS1986" s="77"/>
      <c r="AT1986" s="77"/>
      <c r="AU1986" s="77"/>
      <c r="AV1986" s="80" t="str">
        <f>HYPERLINK("https://pbs.twimg.com/profile_images/1594035193081364484/kMgIPxhL_normal.jpg")</f>
        <v>https://pbs.twimg.com/profile_images/1594035193081364484/kMgIPxhL_normal.jpg</v>
      </c>
      <c r="AW1986" s="82" t="s">
        <v>14151</v>
      </c>
      <c r="AX1986" s="82" t="s">
        <v>14151</v>
      </c>
      <c r="AY1986" s="77"/>
      <c r="AZ1986" s="82" t="s">
        <v>15804</v>
      </c>
      <c r="BA1986" s="82" t="s">
        <v>15804</v>
      </c>
      <c r="BB1986" s="82" t="s">
        <v>15804</v>
      </c>
      <c r="BC1986" s="82" t="s">
        <v>14151</v>
      </c>
      <c r="BD1986" s="82" t="s">
        <v>16484</v>
      </c>
      <c r="BE1986" s="77"/>
      <c r="BF1986" s="77"/>
      <c r="BG1986" s="77"/>
      <c r="BH1986" s="77"/>
      <c r="BI1986" s="77"/>
    </row>
    <row r="1987" spans="1:61" x14ac:dyDescent="0.25">
      <c r="A1987" s="62" t="s">
        <v>837</v>
      </c>
      <c r="B1987" s="62" t="s">
        <v>837</v>
      </c>
      <c r="C1987" s="63"/>
      <c r="D1987" s="64"/>
      <c r="E1987" s="65"/>
      <c r="F1987" s="66"/>
      <c r="G1987" s="63"/>
      <c r="H1987" s="67"/>
      <c r="I1987" s="68"/>
      <c r="J1987" s="68"/>
      <c r="K1987" s="32"/>
      <c r="L1987" s="75">
        <v>1987</v>
      </c>
      <c r="M1987" s="75"/>
      <c r="N1987" s="70"/>
      <c r="O1987" s="77" t="s">
        <v>179</v>
      </c>
      <c r="P1987" s="79">
        <v>44989.888194444444</v>
      </c>
      <c r="Q1987" s="77" t="s">
        <v>3040</v>
      </c>
      <c r="R1987" s="77">
        <v>0</v>
      </c>
      <c r="S1987" s="77">
        <v>0</v>
      </c>
      <c r="T1987" s="77">
        <v>0</v>
      </c>
      <c r="U1987" s="77">
        <v>0</v>
      </c>
      <c r="V1987" s="77">
        <v>7</v>
      </c>
      <c r="W1987" s="82" t="s">
        <v>4105</v>
      </c>
      <c r="X1987" s="77"/>
      <c r="Y1987" s="77"/>
      <c r="Z1987" s="77"/>
      <c r="AA1987" s="77"/>
      <c r="AB1987" s="77"/>
      <c r="AC1987" s="82" t="s">
        <v>7706</v>
      </c>
      <c r="AD1987" s="77" t="s">
        <v>7745</v>
      </c>
      <c r="AE1987" s="80" t="str">
        <f>HYPERLINK("https://twitter.com/euluisconsultor/status/1632128532384980992")</f>
        <v>https://twitter.com/euluisconsultor/status/1632128532384980992</v>
      </c>
      <c r="AF1987" s="79">
        <v>44989.888194444444</v>
      </c>
      <c r="AG1987" s="85">
        <v>44989</v>
      </c>
      <c r="AH1987" s="82" t="s">
        <v>9527</v>
      </c>
      <c r="AI1987" s="77"/>
      <c r="AJ1987" s="77"/>
      <c r="AK1987" s="77"/>
      <c r="AL1987" s="77"/>
      <c r="AM1987" s="77"/>
      <c r="AN1987" s="77"/>
      <c r="AO1987" s="77"/>
      <c r="AP1987" s="77"/>
      <c r="AQ1987" s="77"/>
      <c r="AR1987" s="77"/>
      <c r="AS1987" s="77"/>
      <c r="AT1987" s="77"/>
      <c r="AU1987" s="77"/>
      <c r="AV1987" s="80" t="str">
        <f>HYPERLINK("https://pbs.twimg.com/profile_images/1594035193081364484/kMgIPxhL_normal.jpg")</f>
        <v>https://pbs.twimg.com/profile_images/1594035193081364484/kMgIPxhL_normal.jpg</v>
      </c>
      <c r="AW1987" s="82" t="s">
        <v>14152</v>
      </c>
      <c r="AX1987" s="82" t="s">
        <v>14152</v>
      </c>
      <c r="AY1987" s="77"/>
      <c r="AZ1987" s="82" t="s">
        <v>15804</v>
      </c>
      <c r="BA1987" s="82" t="s">
        <v>15804</v>
      </c>
      <c r="BB1987" s="82" t="s">
        <v>15804</v>
      </c>
      <c r="BC1987" s="82" t="s">
        <v>14152</v>
      </c>
      <c r="BD1987" s="82" t="s">
        <v>16484</v>
      </c>
      <c r="BE1987" s="77"/>
      <c r="BF1987" s="77"/>
      <c r="BG1987" s="77"/>
      <c r="BH1987" s="77"/>
      <c r="BI1987" s="77"/>
    </row>
    <row r="1988" spans="1:61" x14ac:dyDescent="0.25">
      <c r="A1988" s="62" t="s">
        <v>837</v>
      </c>
      <c r="B1988" s="62" t="s">
        <v>837</v>
      </c>
      <c r="C1988" s="63"/>
      <c r="D1988" s="64"/>
      <c r="E1988" s="65"/>
      <c r="F1988" s="66"/>
      <c r="G1988" s="63"/>
      <c r="H1988" s="67"/>
      <c r="I1988" s="68"/>
      <c r="J1988" s="68"/>
      <c r="K1988" s="32"/>
      <c r="L1988" s="75">
        <v>1988</v>
      </c>
      <c r="M1988" s="75"/>
      <c r="N1988" s="70"/>
      <c r="O1988" s="77" t="s">
        <v>179</v>
      </c>
      <c r="P1988" s="79">
        <v>44987.887499999997</v>
      </c>
      <c r="Q1988" s="77" t="s">
        <v>3042</v>
      </c>
      <c r="R1988" s="77">
        <v>0</v>
      </c>
      <c r="S1988" s="77">
        <v>0</v>
      </c>
      <c r="T1988" s="77">
        <v>0</v>
      </c>
      <c r="U1988" s="77">
        <v>0</v>
      </c>
      <c r="V1988" s="77"/>
      <c r="W1988" s="82" t="s">
        <v>4219</v>
      </c>
      <c r="X1988" s="77"/>
      <c r="Y1988" s="77"/>
      <c r="Z1988" s="77"/>
      <c r="AA1988" s="77"/>
      <c r="AB1988" s="77"/>
      <c r="AC1988" s="82" t="s">
        <v>7706</v>
      </c>
      <c r="AD1988" s="77" t="s">
        <v>7745</v>
      </c>
      <c r="AE1988" s="80" t="str">
        <f>HYPERLINK("https://twitter.com/euluisconsultor/status/1631403504903356416")</f>
        <v>https://twitter.com/euluisconsultor/status/1631403504903356416</v>
      </c>
      <c r="AF1988" s="79">
        <v>44987.887499999997</v>
      </c>
      <c r="AG1988" s="85">
        <v>44987</v>
      </c>
      <c r="AH1988" s="82" t="s">
        <v>9528</v>
      </c>
      <c r="AI1988" s="77"/>
      <c r="AJ1988" s="77"/>
      <c r="AK1988" s="77"/>
      <c r="AL1988" s="77"/>
      <c r="AM1988" s="77"/>
      <c r="AN1988" s="77"/>
      <c r="AO1988" s="77"/>
      <c r="AP1988" s="77"/>
      <c r="AQ1988" s="77"/>
      <c r="AR1988" s="77"/>
      <c r="AS1988" s="77"/>
      <c r="AT1988" s="77"/>
      <c r="AU1988" s="77"/>
      <c r="AV1988" s="80" t="str">
        <f>HYPERLINK("https://pbs.twimg.com/profile_images/1594035193081364484/kMgIPxhL_normal.jpg")</f>
        <v>https://pbs.twimg.com/profile_images/1594035193081364484/kMgIPxhL_normal.jpg</v>
      </c>
      <c r="AW1988" s="82" t="s">
        <v>14153</v>
      </c>
      <c r="AX1988" s="82" t="s">
        <v>14153</v>
      </c>
      <c r="AY1988" s="77"/>
      <c r="AZ1988" s="82" t="s">
        <v>15804</v>
      </c>
      <c r="BA1988" s="82" t="s">
        <v>15804</v>
      </c>
      <c r="BB1988" s="82" t="s">
        <v>15804</v>
      </c>
      <c r="BC1988" s="82" t="s">
        <v>14153</v>
      </c>
      <c r="BD1988" s="82" t="s">
        <v>16484</v>
      </c>
      <c r="BE1988" s="77"/>
      <c r="BF1988" s="77"/>
      <c r="BG1988" s="77"/>
      <c r="BH1988" s="77"/>
      <c r="BI1988" s="77"/>
    </row>
    <row r="1989" spans="1:61" x14ac:dyDescent="0.25">
      <c r="A1989" s="62" t="s">
        <v>837</v>
      </c>
      <c r="B1989" s="62" t="s">
        <v>837</v>
      </c>
      <c r="C1989" s="63"/>
      <c r="D1989" s="64"/>
      <c r="E1989" s="65"/>
      <c r="F1989" s="66"/>
      <c r="G1989" s="63"/>
      <c r="H1989" s="67"/>
      <c r="I1989" s="68"/>
      <c r="J1989" s="68"/>
      <c r="K1989" s="32"/>
      <c r="L1989" s="75">
        <v>1989</v>
      </c>
      <c r="M1989" s="75"/>
      <c r="N1989" s="70"/>
      <c r="O1989" s="77" t="s">
        <v>179</v>
      </c>
      <c r="P1989" s="79">
        <v>44977.030960648146</v>
      </c>
      <c r="Q1989" s="77" t="s">
        <v>3042</v>
      </c>
      <c r="R1989" s="77">
        <v>0</v>
      </c>
      <c r="S1989" s="77">
        <v>0</v>
      </c>
      <c r="T1989" s="77">
        <v>0</v>
      </c>
      <c r="U1989" s="77">
        <v>0</v>
      </c>
      <c r="V1989" s="77">
        <v>8</v>
      </c>
      <c r="W1989" s="82" t="s">
        <v>4219</v>
      </c>
      <c r="X1989" s="77"/>
      <c r="Y1989" s="77"/>
      <c r="Z1989" s="77"/>
      <c r="AA1989" s="77"/>
      <c r="AB1989" s="77"/>
      <c r="AC1989" s="82" t="s">
        <v>7707</v>
      </c>
      <c r="AD1989" s="77" t="s">
        <v>7745</v>
      </c>
      <c r="AE1989" s="80" t="str">
        <f>HYPERLINK("https://twitter.com/euluisconsultor/status/1627469225911627776")</f>
        <v>https://twitter.com/euluisconsultor/status/1627469225911627776</v>
      </c>
      <c r="AF1989" s="79">
        <v>44977.030960648146</v>
      </c>
      <c r="AG1989" s="85">
        <v>44977</v>
      </c>
      <c r="AH1989" s="82" t="s">
        <v>9529</v>
      </c>
      <c r="AI1989" s="77"/>
      <c r="AJ1989" s="77"/>
      <c r="AK1989" s="77"/>
      <c r="AL1989" s="77"/>
      <c r="AM1989" s="77"/>
      <c r="AN1989" s="77"/>
      <c r="AO1989" s="77"/>
      <c r="AP1989" s="77"/>
      <c r="AQ1989" s="77"/>
      <c r="AR1989" s="77"/>
      <c r="AS1989" s="77"/>
      <c r="AT1989" s="77"/>
      <c r="AU1989" s="77"/>
      <c r="AV1989" s="80" t="str">
        <f>HYPERLINK("https://pbs.twimg.com/profile_images/1594035193081364484/kMgIPxhL_normal.jpg")</f>
        <v>https://pbs.twimg.com/profile_images/1594035193081364484/kMgIPxhL_normal.jpg</v>
      </c>
      <c r="AW1989" s="82" t="s">
        <v>14154</v>
      </c>
      <c r="AX1989" s="82" t="s">
        <v>14154</v>
      </c>
      <c r="AY1989" s="77"/>
      <c r="AZ1989" s="82" t="s">
        <v>15804</v>
      </c>
      <c r="BA1989" s="82" t="s">
        <v>15804</v>
      </c>
      <c r="BB1989" s="82" t="s">
        <v>15804</v>
      </c>
      <c r="BC1989" s="82" t="s">
        <v>14154</v>
      </c>
      <c r="BD1989" s="82" t="s">
        <v>16484</v>
      </c>
      <c r="BE1989" s="77"/>
      <c r="BF1989" s="77"/>
      <c r="BG1989" s="77"/>
      <c r="BH1989" s="77"/>
      <c r="BI1989" s="77"/>
    </row>
    <row r="1990" spans="1:61" x14ac:dyDescent="0.25">
      <c r="A1990" s="62" t="s">
        <v>837</v>
      </c>
      <c r="B1990" s="62" t="s">
        <v>837</v>
      </c>
      <c r="C1990" s="63"/>
      <c r="D1990" s="64"/>
      <c r="E1990" s="65"/>
      <c r="F1990" s="66"/>
      <c r="G1990" s="63"/>
      <c r="H1990" s="67"/>
      <c r="I1990" s="68"/>
      <c r="J1990" s="68"/>
      <c r="K1990" s="32"/>
      <c r="L1990" s="75">
        <v>1990</v>
      </c>
      <c r="M1990" s="75"/>
      <c r="N1990" s="70"/>
      <c r="O1990" s="77" t="s">
        <v>179</v>
      </c>
      <c r="P1990" s="79">
        <v>44976.098460648151</v>
      </c>
      <c r="Q1990" s="77" t="s">
        <v>3043</v>
      </c>
      <c r="R1990" s="77">
        <v>0</v>
      </c>
      <c r="S1990" s="77">
        <v>0</v>
      </c>
      <c r="T1990" s="77">
        <v>0</v>
      </c>
      <c r="U1990" s="77">
        <v>0</v>
      </c>
      <c r="V1990" s="77">
        <v>11</v>
      </c>
      <c r="W1990" s="82" t="s">
        <v>4418</v>
      </c>
      <c r="X1990" s="77"/>
      <c r="Y1990" s="77"/>
      <c r="Z1990" s="77"/>
      <c r="AA1990" s="77"/>
      <c r="AB1990" s="77"/>
      <c r="AC1990" s="82" t="s">
        <v>7707</v>
      </c>
      <c r="AD1990" s="77" t="s">
        <v>7745</v>
      </c>
      <c r="AE1990" s="80" t="str">
        <f>HYPERLINK("https://twitter.com/euluisconsultor/status/1627131302443945986")</f>
        <v>https://twitter.com/euluisconsultor/status/1627131302443945986</v>
      </c>
      <c r="AF1990" s="79">
        <v>44976.098460648151</v>
      </c>
      <c r="AG1990" s="85">
        <v>44976</v>
      </c>
      <c r="AH1990" s="82" t="s">
        <v>9530</v>
      </c>
      <c r="AI1990" s="77"/>
      <c r="AJ1990" s="77"/>
      <c r="AK1990" s="77"/>
      <c r="AL1990" s="77"/>
      <c r="AM1990" s="77"/>
      <c r="AN1990" s="77"/>
      <c r="AO1990" s="77"/>
      <c r="AP1990" s="77"/>
      <c r="AQ1990" s="77"/>
      <c r="AR1990" s="77"/>
      <c r="AS1990" s="77"/>
      <c r="AT1990" s="77"/>
      <c r="AU1990" s="77"/>
      <c r="AV1990" s="80" t="str">
        <f>HYPERLINK("https://pbs.twimg.com/profile_images/1594035193081364484/kMgIPxhL_normal.jpg")</f>
        <v>https://pbs.twimg.com/profile_images/1594035193081364484/kMgIPxhL_normal.jpg</v>
      </c>
      <c r="AW1990" s="82" t="s">
        <v>14155</v>
      </c>
      <c r="AX1990" s="82" t="s">
        <v>14155</v>
      </c>
      <c r="AY1990" s="77"/>
      <c r="AZ1990" s="82" t="s">
        <v>15804</v>
      </c>
      <c r="BA1990" s="82" t="s">
        <v>15804</v>
      </c>
      <c r="BB1990" s="82" t="s">
        <v>15804</v>
      </c>
      <c r="BC1990" s="82" t="s">
        <v>14155</v>
      </c>
      <c r="BD1990" s="82" t="s">
        <v>16484</v>
      </c>
      <c r="BE1990" s="77"/>
      <c r="BF1990" s="77"/>
      <c r="BG1990" s="77"/>
      <c r="BH1990" s="77"/>
      <c r="BI1990" s="77"/>
    </row>
    <row r="1991" spans="1:61" x14ac:dyDescent="0.25">
      <c r="A1991" s="62" t="s">
        <v>837</v>
      </c>
      <c r="B1991" s="62" t="s">
        <v>837</v>
      </c>
      <c r="C1991" s="63"/>
      <c r="D1991" s="64"/>
      <c r="E1991" s="65"/>
      <c r="F1991" s="66"/>
      <c r="G1991" s="63"/>
      <c r="H1991" s="67"/>
      <c r="I1991" s="68"/>
      <c r="J1991" s="68"/>
      <c r="K1991" s="32"/>
      <c r="L1991" s="75">
        <v>1991</v>
      </c>
      <c r="M1991" s="75"/>
      <c r="N1991" s="70"/>
      <c r="O1991" s="77" t="s">
        <v>179</v>
      </c>
      <c r="P1991" s="79">
        <v>44975.703194444446</v>
      </c>
      <c r="Q1991" s="77" t="s">
        <v>3044</v>
      </c>
      <c r="R1991" s="77">
        <v>0</v>
      </c>
      <c r="S1991" s="77">
        <v>0</v>
      </c>
      <c r="T1991" s="77">
        <v>0</v>
      </c>
      <c r="U1991" s="77">
        <v>0</v>
      </c>
      <c r="V1991" s="77">
        <v>3</v>
      </c>
      <c r="W1991" s="82" t="s">
        <v>4219</v>
      </c>
      <c r="X1991" s="77"/>
      <c r="Y1991" s="77"/>
      <c r="Z1991" s="77"/>
      <c r="AA1991" s="77"/>
      <c r="AB1991" s="77"/>
      <c r="AC1991" s="82" t="s">
        <v>7707</v>
      </c>
      <c r="AD1991" s="77" t="s">
        <v>7745</v>
      </c>
      <c r="AE1991" s="80" t="str">
        <f>HYPERLINK("https://twitter.com/euluisconsultor/status/1626988059957886979")</f>
        <v>https://twitter.com/euluisconsultor/status/1626988059957886979</v>
      </c>
      <c r="AF1991" s="79">
        <v>44975.703194444446</v>
      </c>
      <c r="AG1991" s="85">
        <v>44975</v>
      </c>
      <c r="AH1991" s="82" t="s">
        <v>9531</v>
      </c>
      <c r="AI1991" s="77"/>
      <c r="AJ1991" s="77"/>
      <c r="AK1991" s="77"/>
      <c r="AL1991" s="77"/>
      <c r="AM1991" s="77"/>
      <c r="AN1991" s="77"/>
      <c r="AO1991" s="77"/>
      <c r="AP1991" s="77"/>
      <c r="AQ1991" s="77"/>
      <c r="AR1991" s="77"/>
      <c r="AS1991" s="77"/>
      <c r="AT1991" s="77"/>
      <c r="AU1991" s="77"/>
      <c r="AV1991" s="80" t="str">
        <f>HYPERLINK("https://pbs.twimg.com/profile_images/1594035193081364484/kMgIPxhL_normal.jpg")</f>
        <v>https://pbs.twimg.com/profile_images/1594035193081364484/kMgIPxhL_normal.jpg</v>
      </c>
      <c r="AW1991" s="82" t="s">
        <v>14156</v>
      </c>
      <c r="AX1991" s="82" t="s">
        <v>14156</v>
      </c>
      <c r="AY1991" s="77"/>
      <c r="AZ1991" s="82" t="s">
        <v>15804</v>
      </c>
      <c r="BA1991" s="82" t="s">
        <v>15804</v>
      </c>
      <c r="BB1991" s="82" t="s">
        <v>15804</v>
      </c>
      <c r="BC1991" s="82" t="s">
        <v>14156</v>
      </c>
      <c r="BD1991" s="82" t="s">
        <v>16484</v>
      </c>
      <c r="BE1991" s="77"/>
      <c r="BF1991" s="77"/>
      <c r="BG1991" s="77"/>
      <c r="BH1991" s="77"/>
      <c r="BI1991" s="77"/>
    </row>
    <row r="1992" spans="1:61" x14ac:dyDescent="0.25">
      <c r="A1992" s="62" t="s">
        <v>837</v>
      </c>
      <c r="B1992" s="62" t="s">
        <v>837</v>
      </c>
      <c r="C1992" s="63"/>
      <c r="D1992" s="64"/>
      <c r="E1992" s="65"/>
      <c r="F1992" s="66"/>
      <c r="G1992" s="63"/>
      <c r="H1992" s="67"/>
      <c r="I1992" s="68"/>
      <c r="J1992" s="68"/>
      <c r="K1992" s="32"/>
      <c r="L1992" s="75">
        <v>1992</v>
      </c>
      <c r="M1992" s="75"/>
      <c r="N1992" s="70"/>
      <c r="O1992" s="77" t="s">
        <v>179</v>
      </c>
      <c r="P1992" s="79">
        <v>45009.00277777778</v>
      </c>
      <c r="Q1992" s="77" t="s">
        <v>3045</v>
      </c>
      <c r="R1992" s="77">
        <v>0</v>
      </c>
      <c r="S1992" s="77">
        <v>0</v>
      </c>
      <c r="T1992" s="77">
        <v>0</v>
      </c>
      <c r="U1992" s="77">
        <v>0</v>
      </c>
      <c r="V1992" s="77">
        <v>7</v>
      </c>
      <c r="W1992" s="82" t="s">
        <v>5329</v>
      </c>
      <c r="X1992" s="77"/>
      <c r="Y1992" s="77"/>
      <c r="Z1992" s="77"/>
      <c r="AA1992" s="77"/>
      <c r="AB1992" s="77"/>
      <c r="AC1992" s="82" t="s">
        <v>7706</v>
      </c>
      <c r="AD1992" s="77" t="s">
        <v>7745</v>
      </c>
      <c r="AE1992" s="80" t="str">
        <f>HYPERLINK("https://twitter.com/euluisconsultor/status/1639055425558687745")</f>
        <v>https://twitter.com/euluisconsultor/status/1639055425558687745</v>
      </c>
      <c r="AF1992" s="79">
        <v>45009.00277777778</v>
      </c>
      <c r="AG1992" s="85">
        <v>45009</v>
      </c>
      <c r="AH1992" s="82" t="s">
        <v>9532</v>
      </c>
      <c r="AI1992" s="77"/>
      <c r="AJ1992" s="77"/>
      <c r="AK1992" s="77"/>
      <c r="AL1992" s="77"/>
      <c r="AM1992" s="77"/>
      <c r="AN1992" s="77"/>
      <c r="AO1992" s="77"/>
      <c r="AP1992" s="77"/>
      <c r="AQ1992" s="77"/>
      <c r="AR1992" s="77"/>
      <c r="AS1992" s="77"/>
      <c r="AT1992" s="77"/>
      <c r="AU1992" s="77"/>
      <c r="AV1992" s="80" t="str">
        <f>HYPERLINK("https://pbs.twimg.com/profile_images/1594035193081364484/kMgIPxhL_normal.jpg")</f>
        <v>https://pbs.twimg.com/profile_images/1594035193081364484/kMgIPxhL_normal.jpg</v>
      </c>
      <c r="AW1992" s="82" t="s">
        <v>14157</v>
      </c>
      <c r="AX1992" s="82" t="s">
        <v>14157</v>
      </c>
      <c r="AY1992" s="77"/>
      <c r="AZ1992" s="82" t="s">
        <v>15804</v>
      </c>
      <c r="BA1992" s="82" t="s">
        <v>15804</v>
      </c>
      <c r="BB1992" s="82" t="s">
        <v>15804</v>
      </c>
      <c r="BC1992" s="82" t="s">
        <v>14157</v>
      </c>
      <c r="BD1992" s="82" t="s">
        <v>16484</v>
      </c>
      <c r="BE1992" s="77"/>
      <c r="BF1992" s="77"/>
      <c r="BG1992" s="77"/>
      <c r="BH1992" s="77"/>
      <c r="BI1992" s="77"/>
    </row>
    <row r="1993" spans="1:61" x14ac:dyDescent="0.25">
      <c r="A1993" s="62" t="s">
        <v>837</v>
      </c>
      <c r="B1993" s="62" t="s">
        <v>837</v>
      </c>
      <c r="C1993" s="63"/>
      <c r="D1993" s="64"/>
      <c r="E1993" s="65"/>
      <c r="F1993" s="66"/>
      <c r="G1993" s="63"/>
      <c r="H1993" s="67"/>
      <c r="I1993" s="68"/>
      <c r="J1993" s="68"/>
      <c r="K1993" s="32"/>
      <c r="L1993" s="75">
        <v>1993</v>
      </c>
      <c r="M1993" s="75"/>
      <c r="N1993" s="70"/>
      <c r="O1993" s="77" t="s">
        <v>1133</v>
      </c>
      <c r="P1993" s="79">
        <v>45000.875694444447</v>
      </c>
      <c r="Q1993" s="77" t="s">
        <v>3046</v>
      </c>
      <c r="R1993" s="77">
        <v>0</v>
      </c>
      <c r="S1993" s="77">
        <v>0</v>
      </c>
      <c r="T1993" s="77">
        <v>0</v>
      </c>
      <c r="U1993" s="77">
        <v>0</v>
      </c>
      <c r="V1993" s="77">
        <v>7</v>
      </c>
      <c r="W1993" s="82" t="s">
        <v>5254</v>
      </c>
      <c r="X1993" s="77"/>
      <c r="Y1993" s="77"/>
      <c r="Z1993" s="77" t="s">
        <v>837</v>
      </c>
      <c r="AA1993" s="77"/>
      <c r="AB1993" s="77"/>
      <c r="AC1993" s="82" t="s">
        <v>7706</v>
      </c>
      <c r="AD1993" s="77" t="s">
        <v>7745</v>
      </c>
      <c r="AE1993" s="80" t="str">
        <f>HYPERLINK("https://twitter.com/euluisconsultor/status/1636110268873965568")</f>
        <v>https://twitter.com/euluisconsultor/status/1636110268873965568</v>
      </c>
      <c r="AF1993" s="79">
        <v>45000.875694444447</v>
      </c>
      <c r="AG1993" s="85">
        <v>45000</v>
      </c>
      <c r="AH1993" s="82" t="s">
        <v>9533</v>
      </c>
      <c r="AI1993" s="77"/>
      <c r="AJ1993" s="77"/>
      <c r="AK1993" s="77"/>
      <c r="AL1993" s="77"/>
      <c r="AM1993" s="77"/>
      <c r="AN1993" s="77"/>
      <c r="AO1993" s="77"/>
      <c r="AP1993" s="77"/>
      <c r="AQ1993" s="77"/>
      <c r="AR1993" s="77"/>
      <c r="AS1993" s="77"/>
      <c r="AT1993" s="77"/>
      <c r="AU1993" s="77"/>
      <c r="AV1993" s="80" t="str">
        <f>HYPERLINK("https://pbs.twimg.com/profile_images/1594035193081364484/kMgIPxhL_normal.jpg")</f>
        <v>https://pbs.twimg.com/profile_images/1594035193081364484/kMgIPxhL_normal.jpg</v>
      </c>
      <c r="AW1993" s="82" t="s">
        <v>14158</v>
      </c>
      <c r="AX1993" s="82" t="s">
        <v>14158</v>
      </c>
      <c r="AY1993" s="77"/>
      <c r="AZ1993" s="82" t="s">
        <v>15804</v>
      </c>
      <c r="BA1993" s="82" t="s">
        <v>15804</v>
      </c>
      <c r="BB1993" s="82" t="s">
        <v>15804</v>
      </c>
      <c r="BC1993" s="82" t="s">
        <v>14158</v>
      </c>
      <c r="BD1993" s="82" t="s">
        <v>16484</v>
      </c>
      <c r="BE1993" s="77"/>
      <c r="BF1993" s="77"/>
      <c r="BG1993" s="77"/>
      <c r="BH1993" s="77"/>
      <c r="BI1993" s="77"/>
    </row>
    <row r="1994" spans="1:61" x14ac:dyDescent="0.25">
      <c r="A1994" s="62" t="s">
        <v>838</v>
      </c>
      <c r="B1994" s="62" t="s">
        <v>838</v>
      </c>
      <c r="C1994" s="63"/>
      <c r="D1994" s="64"/>
      <c r="E1994" s="65"/>
      <c r="F1994" s="66"/>
      <c r="G1994" s="63"/>
      <c r="H1994" s="67"/>
      <c r="I1994" s="68"/>
      <c r="J1994" s="68"/>
      <c r="K1994" s="32"/>
      <c r="L1994" s="75">
        <v>1994</v>
      </c>
      <c r="M1994" s="75"/>
      <c r="N1994" s="70"/>
      <c r="O1994" s="77" t="s">
        <v>179</v>
      </c>
      <c r="P1994" s="79">
        <v>44999.812881944446</v>
      </c>
      <c r="Q1994" s="77" t="s">
        <v>3047</v>
      </c>
      <c r="R1994" s="77">
        <v>0</v>
      </c>
      <c r="S1994" s="77">
        <v>0</v>
      </c>
      <c r="T1994" s="77">
        <v>0</v>
      </c>
      <c r="U1994" s="77">
        <v>0</v>
      </c>
      <c r="V1994" s="77">
        <v>91</v>
      </c>
      <c r="W1994" s="82" t="s">
        <v>5330</v>
      </c>
      <c r="X1994" s="80" t="str">
        <f>HYPERLINK("https://richpoorapp.com")</f>
        <v>https://richpoorapp.com</v>
      </c>
      <c r="Y1994" s="77" t="s">
        <v>6090</v>
      </c>
      <c r="Z1994" s="77"/>
      <c r="AA1994" s="77"/>
      <c r="AB1994" s="77"/>
      <c r="AC1994" s="82" t="s">
        <v>7706</v>
      </c>
      <c r="AD1994" s="77" t="s">
        <v>7745</v>
      </c>
      <c r="AE1994" s="80" t="str">
        <f>HYPERLINK("https://twitter.com/richpoorapp/status/1635725119300534274")</f>
        <v>https://twitter.com/richpoorapp/status/1635725119300534274</v>
      </c>
      <c r="AF1994" s="79">
        <v>44999.812881944446</v>
      </c>
      <c r="AG1994" s="85">
        <v>44999</v>
      </c>
      <c r="AH1994" s="82" t="s">
        <v>8214</v>
      </c>
      <c r="AI1994" s="77" t="b">
        <v>0</v>
      </c>
      <c r="AJ1994" s="77"/>
      <c r="AK1994" s="77"/>
      <c r="AL1994" s="77"/>
      <c r="AM1994" s="77"/>
      <c r="AN1994" s="77"/>
      <c r="AO1994" s="77"/>
      <c r="AP1994" s="77"/>
      <c r="AQ1994" s="77"/>
      <c r="AR1994" s="77"/>
      <c r="AS1994" s="77"/>
      <c r="AT1994" s="77"/>
      <c r="AU1994" s="77"/>
      <c r="AV1994" s="80" t="str">
        <f>HYPERLINK("https://pbs.twimg.com/profile_images/1628115855903973379/eBChmoL2_normal.jpg")</f>
        <v>https://pbs.twimg.com/profile_images/1628115855903973379/eBChmoL2_normal.jpg</v>
      </c>
      <c r="AW1994" s="82" t="s">
        <v>14159</v>
      </c>
      <c r="AX1994" s="82" t="s">
        <v>14159</v>
      </c>
      <c r="AY1994" s="77"/>
      <c r="AZ1994" s="82" t="s">
        <v>15804</v>
      </c>
      <c r="BA1994" s="82" t="s">
        <v>15804</v>
      </c>
      <c r="BB1994" s="82" t="s">
        <v>15804</v>
      </c>
      <c r="BC1994" s="82" t="s">
        <v>14159</v>
      </c>
      <c r="BD1994" s="82" t="s">
        <v>16485</v>
      </c>
      <c r="BE1994" s="77"/>
      <c r="BF1994" s="77"/>
      <c r="BG1994" s="77"/>
      <c r="BH1994" s="77"/>
      <c r="BI1994" s="77"/>
    </row>
    <row r="1995" spans="1:61" x14ac:dyDescent="0.25">
      <c r="A1995" s="62" t="s">
        <v>839</v>
      </c>
      <c r="B1995" s="62" t="s">
        <v>1109</v>
      </c>
      <c r="C1995" s="63"/>
      <c r="D1995" s="64"/>
      <c r="E1995" s="65"/>
      <c r="F1995" s="66"/>
      <c r="G1995" s="63"/>
      <c r="H1995" s="67"/>
      <c r="I1995" s="68"/>
      <c r="J1995" s="68"/>
      <c r="K1995" s="32"/>
      <c r="L1995" s="75">
        <v>1995</v>
      </c>
      <c r="M1995" s="75"/>
      <c r="N1995" s="70"/>
      <c r="O1995" s="77" t="s">
        <v>1133</v>
      </c>
      <c r="P1995" s="79">
        <v>45057.812662037039</v>
      </c>
      <c r="Q1995" s="77" t="s">
        <v>3048</v>
      </c>
      <c r="R1995" s="77">
        <v>17</v>
      </c>
      <c r="S1995" s="77">
        <v>96</v>
      </c>
      <c r="T1995" s="77">
        <v>2</v>
      </c>
      <c r="U1995" s="77">
        <v>2</v>
      </c>
      <c r="V1995" s="77">
        <v>7444</v>
      </c>
      <c r="W1995" s="77"/>
      <c r="X1995" s="77"/>
      <c r="Y1995" s="77"/>
      <c r="Z1995" s="77" t="s">
        <v>6139</v>
      </c>
      <c r="AA1995" s="77" t="s">
        <v>7216</v>
      </c>
      <c r="AB1995" s="77" t="s">
        <v>7696</v>
      </c>
      <c r="AC1995" s="82" t="s">
        <v>7706</v>
      </c>
      <c r="AD1995" s="77" t="s">
        <v>7745</v>
      </c>
      <c r="AE1995" s="80" t="str">
        <f>HYPERLINK("https://twitter.com/caiovilella/status/1656743534534311936")</f>
        <v>https://twitter.com/caiovilella/status/1656743534534311936</v>
      </c>
      <c r="AF1995" s="79">
        <v>45057.812662037039</v>
      </c>
      <c r="AG1995" s="85">
        <v>45057</v>
      </c>
      <c r="AH1995" s="82" t="s">
        <v>9534</v>
      </c>
      <c r="AI1995" s="77" t="b">
        <v>0</v>
      </c>
      <c r="AJ1995" s="77"/>
      <c r="AK1995" s="77"/>
      <c r="AL1995" s="77"/>
      <c r="AM1995" s="77"/>
      <c r="AN1995" s="77"/>
      <c r="AO1995" s="77"/>
      <c r="AP1995" s="77"/>
      <c r="AQ1995" s="77" t="s">
        <v>11723</v>
      </c>
      <c r="AR1995" s="77"/>
      <c r="AS1995" s="77"/>
      <c r="AT1995" s="77"/>
      <c r="AU1995" s="77"/>
      <c r="AV1995" s="80" t="str">
        <f>HYPERLINK("https://pbs.twimg.com/media/Fv3dpXZWAAMcfNf.png")</f>
        <v>https://pbs.twimg.com/media/Fv3dpXZWAAMcfNf.png</v>
      </c>
      <c r="AW1995" s="82" t="s">
        <v>14160</v>
      </c>
      <c r="AX1995" s="82" t="s">
        <v>14160</v>
      </c>
      <c r="AY1995" s="77"/>
      <c r="AZ1995" s="82" t="s">
        <v>15804</v>
      </c>
      <c r="BA1995" s="82" t="s">
        <v>15804</v>
      </c>
      <c r="BB1995" s="82" t="s">
        <v>15804</v>
      </c>
      <c r="BC1995" s="82" t="s">
        <v>14160</v>
      </c>
      <c r="BD1995" s="77">
        <v>55650566</v>
      </c>
      <c r="BE1995" s="77"/>
      <c r="BF1995" s="77"/>
      <c r="BG1995" s="77"/>
      <c r="BH1995" s="77"/>
      <c r="BI1995" s="77"/>
    </row>
    <row r="1996" spans="1:61" x14ac:dyDescent="0.25">
      <c r="A1996" s="62" t="s">
        <v>839</v>
      </c>
      <c r="B1996" s="62" t="s">
        <v>1110</v>
      </c>
      <c r="C1996" s="63"/>
      <c r="D1996" s="64"/>
      <c r="E1996" s="65"/>
      <c r="F1996" s="66"/>
      <c r="G1996" s="63"/>
      <c r="H1996" s="67"/>
      <c r="I1996" s="68"/>
      <c r="J1996" s="68"/>
      <c r="K1996" s="32"/>
      <c r="L1996" s="75">
        <v>1996</v>
      </c>
      <c r="M1996" s="75"/>
      <c r="N1996" s="70"/>
      <c r="O1996" s="77" t="s">
        <v>1133</v>
      </c>
      <c r="P1996" s="79">
        <v>45057.812662037039</v>
      </c>
      <c r="Q1996" s="77" t="s">
        <v>3048</v>
      </c>
      <c r="R1996" s="77">
        <v>17</v>
      </c>
      <c r="S1996" s="77">
        <v>96</v>
      </c>
      <c r="T1996" s="77">
        <v>2</v>
      </c>
      <c r="U1996" s="77">
        <v>2</v>
      </c>
      <c r="V1996" s="77">
        <v>7444</v>
      </c>
      <c r="W1996" s="77"/>
      <c r="X1996" s="77"/>
      <c r="Y1996" s="77"/>
      <c r="Z1996" s="77" t="s">
        <v>6139</v>
      </c>
      <c r="AA1996" s="77" t="s">
        <v>7216</v>
      </c>
      <c r="AB1996" s="77" t="s">
        <v>7696</v>
      </c>
      <c r="AC1996" s="82" t="s">
        <v>7706</v>
      </c>
      <c r="AD1996" s="77" t="s">
        <v>7745</v>
      </c>
      <c r="AE1996" s="80" t="str">
        <f>HYPERLINK("https://twitter.com/caiovilella/status/1656743534534311936")</f>
        <v>https://twitter.com/caiovilella/status/1656743534534311936</v>
      </c>
      <c r="AF1996" s="79">
        <v>45057.812662037039</v>
      </c>
      <c r="AG1996" s="85">
        <v>45057</v>
      </c>
      <c r="AH1996" s="82" t="s">
        <v>9534</v>
      </c>
      <c r="AI1996" s="77" t="b">
        <v>0</v>
      </c>
      <c r="AJ1996" s="77"/>
      <c r="AK1996" s="77"/>
      <c r="AL1996" s="77"/>
      <c r="AM1996" s="77"/>
      <c r="AN1996" s="77"/>
      <c r="AO1996" s="77"/>
      <c r="AP1996" s="77"/>
      <c r="AQ1996" s="77" t="s">
        <v>11723</v>
      </c>
      <c r="AR1996" s="77"/>
      <c r="AS1996" s="77"/>
      <c r="AT1996" s="77"/>
      <c r="AU1996" s="77"/>
      <c r="AV1996" s="80" t="str">
        <f>HYPERLINK("https://pbs.twimg.com/media/Fv3dpXZWAAMcfNf.png")</f>
        <v>https://pbs.twimg.com/media/Fv3dpXZWAAMcfNf.png</v>
      </c>
      <c r="AW1996" s="82" t="s">
        <v>14160</v>
      </c>
      <c r="AX1996" s="82" t="s">
        <v>14160</v>
      </c>
      <c r="AY1996" s="77"/>
      <c r="AZ1996" s="82" t="s">
        <v>15804</v>
      </c>
      <c r="BA1996" s="82" t="s">
        <v>15804</v>
      </c>
      <c r="BB1996" s="82" t="s">
        <v>15804</v>
      </c>
      <c r="BC1996" s="82" t="s">
        <v>14160</v>
      </c>
      <c r="BD1996" s="77">
        <v>55650566</v>
      </c>
      <c r="BE1996" s="77"/>
      <c r="BF1996" s="77"/>
      <c r="BG1996" s="77"/>
      <c r="BH1996" s="77"/>
      <c r="BI1996" s="77"/>
    </row>
    <row r="1997" spans="1:61" x14ac:dyDescent="0.25">
      <c r="A1997" s="62" t="s">
        <v>839</v>
      </c>
      <c r="B1997" s="62" t="s">
        <v>1111</v>
      </c>
      <c r="C1997" s="63"/>
      <c r="D1997" s="64"/>
      <c r="E1997" s="65"/>
      <c r="F1997" s="66"/>
      <c r="G1997" s="63"/>
      <c r="H1997" s="67"/>
      <c r="I1997" s="68"/>
      <c r="J1997" s="68"/>
      <c r="K1997" s="32"/>
      <c r="L1997" s="75">
        <v>1997</v>
      </c>
      <c r="M1997" s="75"/>
      <c r="N1997" s="70"/>
      <c r="O1997" s="77" t="s">
        <v>1133</v>
      </c>
      <c r="P1997" s="79">
        <v>45057.812662037039</v>
      </c>
      <c r="Q1997" s="77" t="s">
        <v>3048</v>
      </c>
      <c r="R1997" s="77">
        <v>17</v>
      </c>
      <c r="S1997" s="77">
        <v>96</v>
      </c>
      <c r="T1997" s="77">
        <v>2</v>
      </c>
      <c r="U1997" s="77">
        <v>2</v>
      </c>
      <c r="V1997" s="77">
        <v>7444</v>
      </c>
      <c r="W1997" s="77"/>
      <c r="X1997" s="77"/>
      <c r="Y1997" s="77"/>
      <c r="Z1997" s="77" t="s">
        <v>6139</v>
      </c>
      <c r="AA1997" s="77" t="s">
        <v>7216</v>
      </c>
      <c r="AB1997" s="77" t="s">
        <v>7696</v>
      </c>
      <c r="AC1997" s="82" t="s">
        <v>7706</v>
      </c>
      <c r="AD1997" s="77" t="s">
        <v>7745</v>
      </c>
      <c r="AE1997" s="80" t="str">
        <f>HYPERLINK("https://twitter.com/caiovilella/status/1656743534534311936")</f>
        <v>https://twitter.com/caiovilella/status/1656743534534311936</v>
      </c>
      <c r="AF1997" s="79">
        <v>45057.812662037039</v>
      </c>
      <c r="AG1997" s="85">
        <v>45057</v>
      </c>
      <c r="AH1997" s="82" t="s">
        <v>9534</v>
      </c>
      <c r="AI1997" s="77" t="b">
        <v>0</v>
      </c>
      <c r="AJ1997" s="77"/>
      <c r="AK1997" s="77"/>
      <c r="AL1997" s="77"/>
      <c r="AM1997" s="77"/>
      <c r="AN1997" s="77"/>
      <c r="AO1997" s="77"/>
      <c r="AP1997" s="77"/>
      <c r="AQ1997" s="77" t="s">
        <v>11723</v>
      </c>
      <c r="AR1997" s="77"/>
      <c r="AS1997" s="77"/>
      <c r="AT1997" s="77"/>
      <c r="AU1997" s="77"/>
      <c r="AV1997" s="80" t="str">
        <f>HYPERLINK("https://pbs.twimg.com/media/Fv3dpXZWAAMcfNf.png")</f>
        <v>https://pbs.twimg.com/media/Fv3dpXZWAAMcfNf.png</v>
      </c>
      <c r="AW1997" s="82" t="s">
        <v>14160</v>
      </c>
      <c r="AX1997" s="82" t="s">
        <v>14160</v>
      </c>
      <c r="AY1997" s="77"/>
      <c r="AZ1997" s="82" t="s">
        <v>15804</v>
      </c>
      <c r="BA1997" s="82" t="s">
        <v>15804</v>
      </c>
      <c r="BB1997" s="82" t="s">
        <v>15804</v>
      </c>
      <c r="BC1997" s="82" t="s">
        <v>14160</v>
      </c>
      <c r="BD1997" s="77">
        <v>55650566</v>
      </c>
      <c r="BE1997" s="77"/>
      <c r="BF1997" s="77"/>
      <c r="BG1997" s="77"/>
      <c r="BH1997" s="77"/>
      <c r="BI1997" s="77"/>
    </row>
    <row r="1998" spans="1:61" x14ac:dyDescent="0.25">
      <c r="A1998" s="62" t="s">
        <v>839</v>
      </c>
      <c r="B1998" s="62" t="s">
        <v>1112</v>
      </c>
      <c r="C1998" s="63"/>
      <c r="D1998" s="64"/>
      <c r="E1998" s="65"/>
      <c r="F1998" s="66"/>
      <c r="G1998" s="63"/>
      <c r="H1998" s="67"/>
      <c r="I1998" s="68"/>
      <c r="J1998" s="68"/>
      <c r="K1998" s="32"/>
      <c r="L1998" s="75">
        <v>1998</v>
      </c>
      <c r="M1998" s="75"/>
      <c r="N1998" s="70"/>
      <c r="O1998" s="77" t="s">
        <v>1133</v>
      </c>
      <c r="P1998" s="79">
        <v>45057.812662037039</v>
      </c>
      <c r="Q1998" s="77" t="s">
        <v>3048</v>
      </c>
      <c r="R1998" s="77">
        <v>17</v>
      </c>
      <c r="S1998" s="77">
        <v>96</v>
      </c>
      <c r="T1998" s="77">
        <v>2</v>
      </c>
      <c r="U1998" s="77">
        <v>2</v>
      </c>
      <c r="V1998" s="77">
        <v>7444</v>
      </c>
      <c r="W1998" s="77"/>
      <c r="X1998" s="77"/>
      <c r="Y1998" s="77"/>
      <c r="Z1998" s="77" t="s">
        <v>6139</v>
      </c>
      <c r="AA1998" s="77" t="s">
        <v>7216</v>
      </c>
      <c r="AB1998" s="77" t="s">
        <v>7696</v>
      </c>
      <c r="AC1998" s="82" t="s">
        <v>7706</v>
      </c>
      <c r="AD1998" s="77" t="s">
        <v>7745</v>
      </c>
      <c r="AE1998" s="80" t="str">
        <f>HYPERLINK("https://twitter.com/caiovilella/status/1656743534534311936")</f>
        <v>https://twitter.com/caiovilella/status/1656743534534311936</v>
      </c>
      <c r="AF1998" s="79">
        <v>45057.812662037039</v>
      </c>
      <c r="AG1998" s="85">
        <v>45057</v>
      </c>
      <c r="AH1998" s="82" t="s">
        <v>9534</v>
      </c>
      <c r="AI1998" s="77" t="b">
        <v>0</v>
      </c>
      <c r="AJ1998" s="77"/>
      <c r="AK1998" s="77"/>
      <c r="AL1998" s="77"/>
      <c r="AM1998" s="77"/>
      <c r="AN1998" s="77"/>
      <c r="AO1998" s="77"/>
      <c r="AP1998" s="77"/>
      <c r="AQ1998" s="77" t="s">
        <v>11723</v>
      </c>
      <c r="AR1998" s="77"/>
      <c r="AS1998" s="77"/>
      <c r="AT1998" s="77"/>
      <c r="AU1998" s="77"/>
      <c r="AV1998" s="80" t="str">
        <f>HYPERLINK("https://pbs.twimg.com/media/Fv3dpXZWAAMcfNf.png")</f>
        <v>https://pbs.twimg.com/media/Fv3dpXZWAAMcfNf.png</v>
      </c>
      <c r="AW1998" s="82" t="s">
        <v>14160</v>
      </c>
      <c r="AX1998" s="82" t="s">
        <v>14160</v>
      </c>
      <c r="AY1998" s="77"/>
      <c r="AZ1998" s="82" t="s">
        <v>15804</v>
      </c>
      <c r="BA1998" s="82" t="s">
        <v>15804</v>
      </c>
      <c r="BB1998" s="82" t="s">
        <v>15804</v>
      </c>
      <c r="BC1998" s="82" t="s">
        <v>14160</v>
      </c>
      <c r="BD1998" s="77">
        <v>55650566</v>
      </c>
      <c r="BE1998" s="77"/>
      <c r="BF1998" s="77"/>
      <c r="BG1998" s="77"/>
      <c r="BH1998" s="77"/>
      <c r="BI1998" s="77"/>
    </row>
    <row r="1999" spans="1:61" x14ac:dyDescent="0.25">
      <c r="A1999" s="62" t="s">
        <v>840</v>
      </c>
      <c r="B1999" s="62" t="s">
        <v>840</v>
      </c>
      <c r="C1999" s="63"/>
      <c r="D1999" s="64"/>
      <c r="E1999" s="65"/>
      <c r="F1999" s="66"/>
      <c r="G1999" s="63"/>
      <c r="H1999" s="67"/>
      <c r="I1999" s="68"/>
      <c r="J1999" s="68"/>
      <c r="K1999" s="32"/>
      <c r="L1999" s="75">
        <v>1999</v>
      </c>
      <c r="M1999" s="75"/>
      <c r="N1999" s="70"/>
      <c r="O1999" s="77" t="s">
        <v>179</v>
      </c>
      <c r="P1999" s="79">
        <v>44980.1721875</v>
      </c>
      <c r="Q1999" s="77" t="s">
        <v>3049</v>
      </c>
      <c r="R1999" s="77">
        <v>0</v>
      </c>
      <c r="S1999" s="77">
        <v>1</v>
      </c>
      <c r="T1999" s="77">
        <v>0</v>
      </c>
      <c r="U1999" s="77">
        <v>0</v>
      </c>
      <c r="V1999" s="77">
        <v>9</v>
      </c>
      <c r="W1999" s="82" t="s">
        <v>5331</v>
      </c>
      <c r="X1999" s="77"/>
      <c r="Y1999" s="77"/>
      <c r="Z1999" s="77"/>
      <c r="AA1999" s="77"/>
      <c r="AB1999" s="77"/>
      <c r="AC1999" s="82" t="s">
        <v>7707</v>
      </c>
      <c r="AD1999" s="77" t="s">
        <v>7745</v>
      </c>
      <c r="AE1999" s="80" t="str">
        <f>HYPERLINK("https://twitter.com/lordtraderb3/status/1628607569806622721")</f>
        <v>https://twitter.com/lordtraderb3/status/1628607569806622721</v>
      </c>
      <c r="AF1999" s="79">
        <v>44980.1721875</v>
      </c>
      <c r="AG1999" s="85">
        <v>44980</v>
      </c>
      <c r="AH1999" s="82" t="s">
        <v>9535</v>
      </c>
      <c r="AI1999" s="77"/>
      <c r="AJ1999" s="77"/>
      <c r="AK1999" s="77"/>
      <c r="AL1999" s="77"/>
      <c r="AM1999" s="77"/>
      <c r="AN1999" s="77"/>
      <c r="AO1999" s="77"/>
      <c r="AP1999" s="77"/>
      <c r="AQ1999" s="77"/>
      <c r="AR1999" s="77"/>
      <c r="AS1999" s="77"/>
      <c r="AT1999" s="77"/>
      <c r="AU1999" s="77"/>
      <c r="AV1999" s="80" t="str">
        <f>HYPERLINK("https://pbs.twimg.com/profile_images/1611536714371055616/ZHywhwi__normal.jpg")</f>
        <v>https://pbs.twimg.com/profile_images/1611536714371055616/ZHywhwi__normal.jpg</v>
      </c>
      <c r="AW1999" s="82" t="s">
        <v>14161</v>
      </c>
      <c r="AX1999" s="82" t="s">
        <v>14161</v>
      </c>
      <c r="AY1999" s="77"/>
      <c r="AZ1999" s="82" t="s">
        <v>15804</v>
      </c>
      <c r="BA1999" s="82" t="s">
        <v>15804</v>
      </c>
      <c r="BB1999" s="82" t="s">
        <v>15804</v>
      </c>
      <c r="BC1999" s="82" t="s">
        <v>14161</v>
      </c>
      <c r="BD1999" s="82" t="s">
        <v>16486</v>
      </c>
      <c r="BE1999" s="77"/>
      <c r="BF1999" s="77"/>
      <c r="BG1999" s="77"/>
      <c r="BH1999" s="77"/>
      <c r="BI1999" s="77"/>
    </row>
    <row r="2000" spans="1:61" x14ac:dyDescent="0.25">
      <c r="A2000" s="62" t="s">
        <v>841</v>
      </c>
      <c r="B2000" s="62" t="s">
        <v>841</v>
      </c>
      <c r="C2000" s="63"/>
      <c r="D2000" s="64"/>
      <c r="E2000" s="65"/>
      <c r="F2000" s="66"/>
      <c r="G2000" s="63"/>
      <c r="H2000" s="67"/>
      <c r="I2000" s="68"/>
      <c r="J2000" s="68"/>
      <c r="K2000" s="32"/>
      <c r="L2000" s="75">
        <v>2000</v>
      </c>
      <c r="M2000" s="75"/>
      <c r="N2000" s="70"/>
      <c r="O2000" s="77" t="s">
        <v>179</v>
      </c>
      <c r="P2000" s="79">
        <v>45116.025636574072</v>
      </c>
      <c r="Q2000" s="77" t="s">
        <v>3050</v>
      </c>
      <c r="R2000" s="77">
        <v>0</v>
      </c>
      <c r="S2000" s="77">
        <v>0</v>
      </c>
      <c r="T2000" s="77">
        <v>0</v>
      </c>
      <c r="U2000" s="77">
        <v>0</v>
      </c>
      <c r="V2000" s="77">
        <v>17</v>
      </c>
      <c r="W2000" s="82" t="s">
        <v>5332</v>
      </c>
      <c r="X2000" s="77"/>
      <c r="Y2000" s="77"/>
      <c r="Z2000" s="77"/>
      <c r="AA2000" s="77" t="s">
        <v>7217</v>
      </c>
      <c r="AB2000" s="77" t="s">
        <v>7696</v>
      </c>
      <c r="AC2000" s="82" t="s">
        <v>7706</v>
      </c>
      <c r="AD2000" s="77" t="s">
        <v>7745</v>
      </c>
      <c r="AE2000" s="80" t="str">
        <f>HYPERLINK("https://twitter.com/alereiscontador/status/1677839210038845441")</f>
        <v>https://twitter.com/alereiscontador/status/1677839210038845441</v>
      </c>
      <c r="AF2000" s="79">
        <v>45116.025636574072</v>
      </c>
      <c r="AG2000" s="85">
        <v>45116</v>
      </c>
      <c r="AH2000" s="82" t="s">
        <v>9536</v>
      </c>
      <c r="AI2000" s="77" t="b">
        <v>0</v>
      </c>
      <c r="AJ2000" s="77"/>
      <c r="AK2000" s="77"/>
      <c r="AL2000" s="77"/>
      <c r="AM2000" s="77"/>
      <c r="AN2000" s="77"/>
      <c r="AO2000" s="77"/>
      <c r="AP2000" s="77"/>
      <c r="AQ2000" s="77" t="s">
        <v>11724</v>
      </c>
      <c r="AR2000" s="77"/>
      <c r="AS2000" s="77"/>
      <c r="AT2000" s="77"/>
      <c r="AU2000" s="77"/>
      <c r="AV2000" s="80" t="str">
        <f>HYPERLINK("https://pbs.twimg.com/media/F0jh3FkWIAEYh2x.jpg")</f>
        <v>https://pbs.twimg.com/media/F0jh3FkWIAEYh2x.jpg</v>
      </c>
      <c r="AW2000" s="82" t="s">
        <v>14162</v>
      </c>
      <c r="AX2000" s="82" t="s">
        <v>14162</v>
      </c>
      <c r="AY2000" s="77"/>
      <c r="AZ2000" s="82" t="s">
        <v>15804</v>
      </c>
      <c r="BA2000" s="82" t="s">
        <v>15804</v>
      </c>
      <c r="BB2000" s="82" t="s">
        <v>15804</v>
      </c>
      <c r="BC2000" s="82" t="s">
        <v>14162</v>
      </c>
      <c r="BD2000" s="82" t="s">
        <v>16487</v>
      </c>
      <c r="BE2000" s="77"/>
      <c r="BF2000" s="77"/>
      <c r="BG2000" s="77"/>
      <c r="BH2000" s="77"/>
      <c r="BI2000" s="77"/>
    </row>
    <row r="2001" spans="1:61" x14ac:dyDescent="0.25">
      <c r="A2001" s="62" t="s">
        <v>842</v>
      </c>
      <c r="B2001" s="62" t="s">
        <v>842</v>
      </c>
      <c r="C2001" s="63"/>
      <c r="D2001" s="64"/>
      <c r="E2001" s="65"/>
      <c r="F2001" s="66"/>
      <c r="G2001" s="63"/>
      <c r="H2001" s="67"/>
      <c r="I2001" s="68"/>
      <c r="J2001" s="68"/>
      <c r="K2001" s="32"/>
      <c r="L2001" s="75">
        <v>2001</v>
      </c>
      <c r="M2001" s="75"/>
      <c r="N2001" s="70"/>
      <c r="O2001" s="77" t="s">
        <v>179</v>
      </c>
      <c r="P2001" s="79">
        <v>45041.569421296299</v>
      </c>
      <c r="Q2001" s="77" t="s">
        <v>3051</v>
      </c>
      <c r="R2001" s="77">
        <v>0</v>
      </c>
      <c r="S2001" s="77">
        <v>0</v>
      </c>
      <c r="T2001" s="77">
        <v>0</v>
      </c>
      <c r="U2001" s="77">
        <v>0</v>
      </c>
      <c r="V2001" s="77">
        <v>136</v>
      </c>
      <c r="W2001" s="82" t="s">
        <v>5333</v>
      </c>
      <c r="X2001" s="77"/>
      <c r="Y2001" s="77"/>
      <c r="Z2001" s="77"/>
      <c r="AA2001" s="77" t="s">
        <v>7218</v>
      </c>
      <c r="AB2001" s="77" t="s">
        <v>7697</v>
      </c>
      <c r="AC2001" s="82" t="s">
        <v>7705</v>
      </c>
      <c r="AD2001" s="77" t="s">
        <v>7745</v>
      </c>
      <c r="AE2001" s="80" t="str">
        <f>HYPERLINK("https://twitter.com/kontabio/status/1650857184878555136")</f>
        <v>https://twitter.com/kontabio/status/1650857184878555136</v>
      </c>
      <c r="AF2001" s="79">
        <v>45041.569421296299</v>
      </c>
      <c r="AG2001" s="85">
        <v>45041</v>
      </c>
      <c r="AH2001" s="82" t="s">
        <v>9537</v>
      </c>
      <c r="AI2001" s="77" t="b">
        <v>0</v>
      </c>
      <c r="AJ2001" s="77" t="s">
        <v>10532</v>
      </c>
      <c r="AK2001" s="77" t="s">
        <v>10552</v>
      </c>
      <c r="AL2001" s="77" t="s">
        <v>10555</v>
      </c>
      <c r="AM2001" s="77" t="s">
        <v>10569</v>
      </c>
      <c r="AN2001" s="77" t="s">
        <v>10599</v>
      </c>
      <c r="AO2001" s="77" t="s">
        <v>10630</v>
      </c>
      <c r="AP2001" s="77" t="s">
        <v>10649</v>
      </c>
      <c r="AQ2001" s="77" t="s">
        <v>11725</v>
      </c>
      <c r="AR2001" s="77">
        <v>31166</v>
      </c>
      <c r="AS2001" s="77"/>
      <c r="AT2001" s="77"/>
      <c r="AU2001" s="77">
        <v>40</v>
      </c>
      <c r="AV2001" s="80" t="str">
        <f>HYPERLINK("https://pbs.twimg.com/ext_tw_video_thumb/1650857131543875584/pu/img/5OnHjrpPSNj0iSh4.jpg")</f>
        <v>https://pbs.twimg.com/ext_tw_video_thumb/1650857131543875584/pu/img/5OnHjrpPSNj0iSh4.jpg</v>
      </c>
      <c r="AW2001" s="82" t="s">
        <v>14163</v>
      </c>
      <c r="AX2001" s="82" t="s">
        <v>14163</v>
      </c>
      <c r="AY2001" s="77"/>
      <c r="AZ2001" s="82" t="s">
        <v>15804</v>
      </c>
      <c r="BA2001" s="82" t="s">
        <v>15804</v>
      </c>
      <c r="BB2001" s="82" t="s">
        <v>15804</v>
      </c>
      <c r="BC2001" s="82" t="s">
        <v>14163</v>
      </c>
      <c r="BD2001" s="82" t="s">
        <v>16488</v>
      </c>
      <c r="BE2001" s="77"/>
      <c r="BF2001" s="77"/>
      <c r="BG2001" s="77"/>
      <c r="BH2001" s="77"/>
      <c r="BI2001" s="77"/>
    </row>
    <row r="2002" spans="1:61" x14ac:dyDescent="0.25">
      <c r="A2002" s="62" t="s">
        <v>843</v>
      </c>
      <c r="B2002" s="62" t="s">
        <v>843</v>
      </c>
      <c r="C2002" s="63"/>
      <c r="D2002" s="64"/>
      <c r="E2002" s="65"/>
      <c r="F2002" s="66"/>
      <c r="G2002" s="63"/>
      <c r="H2002" s="67"/>
      <c r="I2002" s="68"/>
      <c r="J2002" s="68"/>
      <c r="K2002" s="32"/>
      <c r="L2002" s="75">
        <v>2002</v>
      </c>
      <c r="M2002" s="75"/>
      <c r="N2002" s="70"/>
      <c r="O2002" s="77" t="s">
        <v>179</v>
      </c>
      <c r="P2002" s="79">
        <v>45148.151284722226</v>
      </c>
      <c r="Q2002" s="77" t="s">
        <v>3052</v>
      </c>
      <c r="R2002" s="77">
        <v>0</v>
      </c>
      <c r="S2002" s="77">
        <v>0</v>
      </c>
      <c r="T2002" s="77">
        <v>2</v>
      </c>
      <c r="U2002" s="77">
        <v>0</v>
      </c>
      <c r="V2002" s="77">
        <v>60</v>
      </c>
      <c r="W2002" s="82" t="s">
        <v>5334</v>
      </c>
      <c r="X2002" s="77"/>
      <c r="Y2002" s="77"/>
      <c r="Z2002" s="77"/>
      <c r="AA2002" s="77" t="s">
        <v>7219</v>
      </c>
      <c r="AB2002" s="77" t="s">
        <v>7696</v>
      </c>
      <c r="AC2002" s="82" t="s">
        <v>7706</v>
      </c>
      <c r="AD2002" s="77" t="s">
        <v>7746</v>
      </c>
      <c r="AE2002" s="80" t="str">
        <f>HYPERLINK("https://twitter.com/powerhashia/status/1689481158969470976")</f>
        <v>https://twitter.com/powerhashia/status/1689481158969470976</v>
      </c>
      <c r="AF2002" s="79">
        <v>45148.151284722226</v>
      </c>
      <c r="AG2002" s="85">
        <v>45148</v>
      </c>
      <c r="AH2002" s="82" t="s">
        <v>9538</v>
      </c>
      <c r="AI2002" s="77" t="b">
        <v>0</v>
      </c>
      <c r="AJ2002" s="77"/>
      <c r="AK2002" s="77"/>
      <c r="AL2002" s="77"/>
      <c r="AM2002" s="77"/>
      <c r="AN2002" s="77"/>
      <c r="AO2002" s="77"/>
      <c r="AP2002" s="77"/>
      <c r="AQ2002" s="77" t="s">
        <v>11726</v>
      </c>
      <c r="AR2002" s="77"/>
      <c r="AS2002" s="77"/>
      <c r="AT2002" s="77"/>
      <c r="AU2002" s="77"/>
      <c r="AV2002" s="80" t="str">
        <f>HYPERLINK("https://pbs.twimg.com/media/F3I-HdaXEAEmkMM.jpg")</f>
        <v>https://pbs.twimg.com/media/F3I-HdaXEAEmkMM.jpg</v>
      </c>
      <c r="AW2002" s="82" t="s">
        <v>14164</v>
      </c>
      <c r="AX2002" s="82" t="s">
        <v>14164</v>
      </c>
      <c r="AY2002" s="77"/>
      <c r="AZ2002" s="82" t="s">
        <v>15804</v>
      </c>
      <c r="BA2002" s="82" t="s">
        <v>15804</v>
      </c>
      <c r="BB2002" s="82" t="s">
        <v>15804</v>
      </c>
      <c r="BC2002" s="82" t="s">
        <v>14164</v>
      </c>
      <c r="BD2002" s="82" t="s">
        <v>16489</v>
      </c>
      <c r="BE2002" s="77"/>
      <c r="BF2002" s="77"/>
      <c r="BG2002" s="77"/>
      <c r="BH2002" s="77"/>
      <c r="BI2002" s="77"/>
    </row>
    <row r="2003" spans="1:61" x14ac:dyDescent="0.25">
      <c r="A2003" s="62" t="s">
        <v>844</v>
      </c>
      <c r="B2003" s="62" t="s">
        <v>844</v>
      </c>
      <c r="C2003" s="63"/>
      <c r="D2003" s="64"/>
      <c r="E2003" s="65"/>
      <c r="F2003" s="66"/>
      <c r="G2003" s="63"/>
      <c r="H2003" s="67"/>
      <c r="I2003" s="68"/>
      <c r="J2003" s="68"/>
      <c r="K2003" s="32"/>
      <c r="L2003" s="75">
        <v>2003</v>
      </c>
      <c r="M2003" s="75"/>
      <c r="N2003" s="70"/>
      <c r="O2003" s="77" t="s">
        <v>179</v>
      </c>
      <c r="P2003" s="79">
        <v>45155.795648148145</v>
      </c>
      <c r="Q2003" s="77" t="s">
        <v>3053</v>
      </c>
      <c r="R2003" s="77">
        <v>0</v>
      </c>
      <c r="S2003" s="77">
        <v>2</v>
      </c>
      <c r="T2003" s="77">
        <v>1</v>
      </c>
      <c r="U2003" s="77">
        <v>0</v>
      </c>
      <c r="V2003" s="77">
        <v>39</v>
      </c>
      <c r="W2003" s="82" t="s">
        <v>5335</v>
      </c>
      <c r="X2003" s="77"/>
      <c r="Y2003" s="77"/>
      <c r="Z2003" s="77"/>
      <c r="AA2003" s="77"/>
      <c r="AB2003" s="77"/>
      <c r="AC2003" s="82" t="s">
        <v>7706</v>
      </c>
      <c r="AD2003" s="77" t="s">
        <v>7745</v>
      </c>
      <c r="AE2003" s="80" t="str">
        <f>HYPERLINK("https://twitter.com/lanistarbrasil/status/1692251382634385550")</f>
        <v>https://twitter.com/lanistarbrasil/status/1692251382634385550</v>
      </c>
      <c r="AF2003" s="79">
        <v>45155.795648148145</v>
      </c>
      <c r="AG2003" s="85">
        <v>45155</v>
      </c>
      <c r="AH2003" s="82" t="s">
        <v>9539</v>
      </c>
      <c r="AI2003" s="77"/>
      <c r="AJ2003" s="77"/>
      <c r="AK2003" s="77"/>
      <c r="AL2003" s="77"/>
      <c r="AM2003" s="77"/>
      <c r="AN2003" s="77"/>
      <c r="AO2003" s="77"/>
      <c r="AP2003" s="77"/>
      <c r="AQ2003" s="77"/>
      <c r="AR2003" s="77"/>
      <c r="AS2003" s="77"/>
      <c r="AT2003" s="77"/>
      <c r="AU2003" s="77"/>
      <c r="AV2003" s="80" t="str">
        <f>HYPERLINK("https://pbs.twimg.com/profile_images/1677372284133167106/bV1rKh62_normal.jpg")</f>
        <v>https://pbs.twimg.com/profile_images/1677372284133167106/bV1rKh62_normal.jpg</v>
      </c>
      <c r="AW2003" s="82" t="s">
        <v>14165</v>
      </c>
      <c r="AX2003" s="82" t="s">
        <v>14165</v>
      </c>
      <c r="AY2003" s="77"/>
      <c r="AZ2003" s="82" t="s">
        <v>15804</v>
      </c>
      <c r="BA2003" s="82" t="s">
        <v>15804</v>
      </c>
      <c r="BB2003" s="82" t="s">
        <v>15804</v>
      </c>
      <c r="BC2003" s="82" t="s">
        <v>14165</v>
      </c>
      <c r="BD2003" s="82" t="s">
        <v>16490</v>
      </c>
      <c r="BE2003" s="77"/>
      <c r="BF2003" s="77"/>
      <c r="BG2003" s="77"/>
      <c r="BH2003" s="77"/>
      <c r="BI2003" s="77"/>
    </row>
    <row r="2004" spans="1:61" x14ac:dyDescent="0.25">
      <c r="A2004" s="62" t="s">
        <v>845</v>
      </c>
      <c r="B2004" s="62" t="s">
        <v>845</v>
      </c>
      <c r="C2004" s="63"/>
      <c r="D2004" s="64"/>
      <c r="E2004" s="65"/>
      <c r="F2004" s="66"/>
      <c r="G2004" s="63"/>
      <c r="H2004" s="67"/>
      <c r="I2004" s="68"/>
      <c r="J2004" s="68"/>
      <c r="K2004" s="32"/>
      <c r="L2004" s="75">
        <v>2004</v>
      </c>
      <c r="M2004" s="75"/>
      <c r="N2004" s="70"/>
      <c r="O2004" s="77" t="s">
        <v>179</v>
      </c>
      <c r="P2004" s="79">
        <v>45033.866446759261</v>
      </c>
      <c r="Q2004" s="77" t="s">
        <v>3054</v>
      </c>
      <c r="R2004" s="77">
        <v>0</v>
      </c>
      <c r="S2004" s="77">
        <v>1</v>
      </c>
      <c r="T2004" s="77">
        <v>0</v>
      </c>
      <c r="U2004" s="77">
        <v>0</v>
      </c>
      <c r="V2004" s="77">
        <v>224</v>
      </c>
      <c r="W2004" s="82" t="s">
        <v>5336</v>
      </c>
      <c r="X2004" s="77"/>
      <c r="Y2004" s="77"/>
      <c r="Z2004" s="77"/>
      <c r="AA2004" s="77" t="s">
        <v>7220</v>
      </c>
      <c r="AB2004" s="77" t="s">
        <v>7697</v>
      </c>
      <c r="AC2004" s="82" t="s">
        <v>7707</v>
      </c>
      <c r="AD2004" s="77" t="s">
        <v>7745</v>
      </c>
      <c r="AE2004" s="80" t="str">
        <f>HYPERLINK("https://twitter.com/hablandogrego/status/1648065719656153089")</f>
        <v>https://twitter.com/hablandogrego/status/1648065719656153089</v>
      </c>
      <c r="AF2004" s="79">
        <v>45033.866446759261</v>
      </c>
      <c r="AG2004" s="85">
        <v>45033</v>
      </c>
      <c r="AH2004" s="82" t="s">
        <v>9540</v>
      </c>
      <c r="AI2004" s="77" t="b">
        <v>0</v>
      </c>
      <c r="AJ2004" s="77"/>
      <c r="AK2004" s="77"/>
      <c r="AL2004" s="77"/>
      <c r="AM2004" s="77"/>
      <c r="AN2004" s="77"/>
      <c r="AO2004" s="77"/>
      <c r="AP2004" s="77"/>
      <c r="AQ2004" s="77" t="s">
        <v>11727</v>
      </c>
      <c r="AR2004" s="77">
        <v>61066</v>
      </c>
      <c r="AS2004" s="77"/>
      <c r="AT2004" s="77"/>
      <c r="AU2004" s="77">
        <v>66</v>
      </c>
      <c r="AV2004" s="80" t="str">
        <f>HYPERLINK("https://pbs.twimg.com/ext_tw_video_thumb/1648065573593534494/pu/img/hVHrYIuzP-z0cvEq.jpg")</f>
        <v>https://pbs.twimg.com/ext_tw_video_thumb/1648065573593534494/pu/img/hVHrYIuzP-z0cvEq.jpg</v>
      </c>
      <c r="AW2004" s="82" t="s">
        <v>14166</v>
      </c>
      <c r="AX2004" s="82" t="s">
        <v>14166</v>
      </c>
      <c r="AY2004" s="77"/>
      <c r="AZ2004" s="82" t="s">
        <v>15804</v>
      </c>
      <c r="BA2004" s="82" t="s">
        <v>15804</v>
      </c>
      <c r="BB2004" s="82" t="s">
        <v>15804</v>
      </c>
      <c r="BC2004" s="82" t="s">
        <v>14166</v>
      </c>
      <c r="BD2004" s="82" t="s">
        <v>16491</v>
      </c>
      <c r="BE2004" s="77"/>
      <c r="BF2004" s="77"/>
      <c r="BG2004" s="77"/>
      <c r="BH2004" s="77"/>
      <c r="BI2004" s="77"/>
    </row>
    <row r="2005" spans="1:61" x14ac:dyDescent="0.25">
      <c r="A2005" s="62" t="s">
        <v>846</v>
      </c>
      <c r="B2005" s="62" t="s">
        <v>846</v>
      </c>
      <c r="C2005" s="63"/>
      <c r="D2005" s="64"/>
      <c r="E2005" s="65"/>
      <c r="F2005" s="66"/>
      <c r="G2005" s="63"/>
      <c r="H2005" s="67"/>
      <c r="I2005" s="68"/>
      <c r="J2005" s="68"/>
      <c r="K2005" s="32"/>
      <c r="L2005" s="75">
        <v>2005</v>
      </c>
      <c r="M2005" s="75"/>
      <c r="N2005" s="70"/>
      <c r="O2005" s="77" t="s">
        <v>179</v>
      </c>
      <c r="P2005" s="79">
        <v>44971.099872685183</v>
      </c>
      <c r="Q2005" s="77" t="s">
        <v>3055</v>
      </c>
      <c r="R2005" s="77">
        <v>0</v>
      </c>
      <c r="S2005" s="77">
        <v>0</v>
      </c>
      <c r="T2005" s="77">
        <v>0</v>
      </c>
      <c r="U2005" s="77">
        <v>0</v>
      </c>
      <c r="V2005" s="77"/>
      <c r="W2005" s="82" t="s">
        <v>5337</v>
      </c>
      <c r="X2005" s="80" t="str">
        <f>HYPERLINK("https://lnkd.in/dMSrtkdz")</f>
        <v>https://lnkd.in/dMSrtkdz</v>
      </c>
      <c r="Y2005" s="77" t="s">
        <v>6014</v>
      </c>
      <c r="Z2005" s="77"/>
      <c r="AA2005" s="77"/>
      <c r="AB2005" s="77"/>
      <c r="AC2005" s="82" t="s">
        <v>7720</v>
      </c>
      <c r="AD2005" s="77" t="s">
        <v>7745</v>
      </c>
      <c r="AE2005" s="80" t="str">
        <f>HYPERLINK("https://twitter.com/sei_services/status/1625319873411796993")</f>
        <v>https://twitter.com/sei_services/status/1625319873411796993</v>
      </c>
      <c r="AF2005" s="79">
        <v>44971.099872685183</v>
      </c>
      <c r="AG2005" s="85">
        <v>44971</v>
      </c>
      <c r="AH2005" s="82" t="s">
        <v>9541</v>
      </c>
      <c r="AI2005" s="77" t="b">
        <v>0</v>
      </c>
      <c r="AJ2005" s="77"/>
      <c r="AK2005" s="77"/>
      <c r="AL2005" s="77"/>
      <c r="AM2005" s="77"/>
      <c r="AN2005" s="77"/>
      <c r="AO2005" s="77"/>
      <c r="AP2005" s="77"/>
      <c r="AQ2005" s="77"/>
      <c r="AR2005" s="77"/>
      <c r="AS2005" s="77"/>
      <c r="AT2005" s="77"/>
      <c r="AU2005" s="77"/>
      <c r="AV2005" s="80" t="str">
        <f>HYPERLINK("https://pbs.twimg.com/profile_images/1534899432549924868/J6qgfjm5_normal.jpg")</f>
        <v>https://pbs.twimg.com/profile_images/1534899432549924868/J6qgfjm5_normal.jpg</v>
      </c>
      <c r="AW2005" s="82" t="s">
        <v>14167</v>
      </c>
      <c r="AX2005" s="82" t="s">
        <v>14167</v>
      </c>
      <c r="AY2005" s="77"/>
      <c r="AZ2005" s="82" t="s">
        <v>15804</v>
      </c>
      <c r="BA2005" s="82" t="s">
        <v>15804</v>
      </c>
      <c r="BB2005" s="82" t="s">
        <v>15804</v>
      </c>
      <c r="BC2005" s="82" t="s">
        <v>14167</v>
      </c>
      <c r="BD2005" s="82" t="s">
        <v>16492</v>
      </c>
      <c r="BE2005" s="77"/>
      <c r="BF2005" s="77"/>
      <c r="BG2005" s="77"/>
      <c r="BH2005" s="77"/>
      <c r="BI2005" s="77"/>
    </row>
    <row r="2006" spans="1:61" x14ac:dyDescent="0.25">
      <c r="A2006" s="62" t="s">
        <v>847</v>
      </c>
      <c r="B2006" s="62" t="s">
        <v>847</v>
      </c>
      <c r="C2006" s="63"/>
      <c r="D2006" s="64"/>
      <c r="E2006" s="65"/>
      <c r="F2006" s="66"/>
      <c r="G2006" s="63"/>
      <c r="H2006" s="67"/>
      <c r="I2006" s="68"/>
      <c r="J2006" s="68"/>
      <c r="K2006" s="32"/>
      <c r="L2006" s="75">
        <v>2006</v>
      </c>
      <c r="M2006" s="75"/>
      <c r="N2006" s="70"/>
      <c r="O2006" s="77" t="s">
        <v>1132</v>
      </c>
      <c r="P2006" s="79">
        <v>45015.820555555554</v>
      </c>
      <c r="Q2006" s="77" t="s">
        <v>3056</v>
      </c>
      <c r="R2006" s="77">
        <v>0</v>
      </c>
      <c r="S2006" s="77">
        <v>0</v>
      </c>
      <c r="T2006" s="77">
        <v>0</v>
      </c>
      <c r="U2006" s="77">
        <v>0</v>
      </c>
      <c r="V2006" s="77">
        <v>27</v>
      </c>
      <c r="W2006" s="82" t="s">
        <v>5338</v>
      </c>
      <c r="X2006" s="77"/>
      <c r="Y2006" s="77"/>
      <c r="Z2006" s="77"/>
      <c r="AA2006" s="77"/>
      <c r="AB2006" s="77"/>
      <c r="AC2006" s="82" t="s">
        <v>7707</v>
      </c>
      <c r="AD2006" s="77" t="s">
        <v>7748</v>
      </c>
      <c r="AE2006" s="80" t="str">
        <f>HYPERLINK("https://twitter.com/ojoaoulisses/status/1641526108095913985")</f>
        <v>https://twitter.com/ojoaoulisses/status/1641526108095913985</v>
      </c>
      <c r="AF2006" s="79">
        <v>45015.820555555554</v>
      </c>
      <c r="AG2006" s="85">
        <v>45015</v>
      </c>
      <c r="AH2006" s="82" t="s">
        <v>9542</v>
      </c>
      <c r="AI2006" s="77"/>
      <c r="AJ2006" s="77"/>
      <c r="AK2006" s="77"/>
      <c r="AL2006" s="77"/>
      <c r="AM2006" s="77"/>
      <c r="AN2006" s="77"/>
      <c r="AO2006" s="77"/>
      <c r="AP2006" s="77"/>
      <c r="AQ2006" s="77"/>
      <c r="AR2006" s="77"/>
      <c r="AS2006" s="77"/>
      <c r="AT2006" s="77"/>
      <c r="AU2006" s="77"/>
      <c r="AV2006" s="80" t="str">
        <f>HYPERLINK("https://pbs.twimg.com/profile_images/1588710794384052225/YvUzPHFJ_normal.jpg")</f>
        <v>https://pbs.twimg.com/profile_images/1588710794384052225/YvUzPHFJ_normal.jpg</v>
      </c>
      <c r="AW2006" s="82" t="s">
        <v>14168</v>
      </c>
      <c r="AX2006" s="82" t="s">
        <v>15538</v>
      </c>
      <c r="AY2006" s="82" t="s">
        <v>15772</v>
      </c>
      <c r="AZ2006" s="82" t="s">
        <v>16064</v>
      </c>
      <c r="BA2006" s="82" t="s">
        <v>15804</v>
      </c>
      <c r="BB2006" s="82" t="s">
        <v>15804</v>
      </c>
      <c r="BC2006" s="82" t="s">
        <v>16064</v>
      </c>
      <c r="BD2006" s="82" t="s">
        <v>15772</v>
      </c>
      <c r="BE2006" s="77"/>
      <c r="BF2006" s="77"/>
      <c r="BG2006" s="77"/>
      <c r="BH2006" s="77"/>
      <c r="BI2006" s="77"/>
    </row>
    <row r="2007" spans="1:61" x14ac:dyDescent="0.25">
      <c r="A2007" s="62" t="s">
        <v>848</v>
      </c>
      <c r="B2007" s="62" t="s">
        <v>1113</v>
      </c>
      <c r="C2007" s="63"/>
      <c r="D2007" s="64"/>
      <c r="E2007" s="65"/>
      <c r="F2007" s="66"/>
      <c r="G2007" s="63"/>
      <c r="H2007" s="67"/>
      <c r="I2007" s="68"/>
      <c r="J2007" s="68"/>
      <c r="K2007" s="32"/>
      <c r="L2007" s="75">
        <v>2007</v>
      </c>
      <c r="M2007" s="75"/>
      <c r="N2007" s="70"/>
      <c r="O2007" s="77" t="s">
        <v>1132</v>
      </c>
      <c r="P2007" s="79">
        <v>45094.584236111114</v>
      </c>
      <c r="Q2007" s="77" t="s">
        <v>3057</v>
      </c>
      <c r="R2007" s="77">
        <v>0</v>
      </c>
      <c r="S2007" s="77">
        <v>0</v>
      </c>
      <c r="T2007" s="77">
        <v>1</v>
      </c>
      <c r="U2007" s="77">
        <v>0</v>
      </c>
      <c r="V2007" s="77">
        <v>25</v>
      </c>
      <c r="W2007" s="82" t="s">
        <v>4097</v>
      </c>
      <c r="X2007" s="77"/>
      <c r="Y2007" s="77"/>
      <c r="Z2007" s="77" t="s">
        <v>1113</v>
      </c>
      <c r="AA2007" s="77"/>
      <c r="AB2007" s="77"/>
      <c r="AC2007" s="82" t="s">
        <v>7707</v>
      </c>
      <c r="AD2007" s="77" t="s">
        <v>7745</v>
      </c>
      <c r="AE2007" s="80" t="str">
        <f>HYPERLINK("https://twitter.com/arrascaweta/status/1670069108702957571")</f>
        <v>https://twitter.com/arrascaweta/status/1670069108702957571</v>
      </c>
      <c r="AF2007" s="79">
        <v>45094.584236111114</v>
      </c>
      <c r="AG2007" s="85">
        <v>45094</v>
      </c>
      <c r="AH2007" s="82" t="s">
        <v>9543</v>
      </c>
      <c r="AI2007" s="77"/>
      <c r="AJ2007" s="77"/>
      <c r="AK2007" s="77"/>
      <c r="AL2007" s="77"/>
      <c r="AM2007" s="77"/>
      <c r="AN2007" s="77"/>
      <c r="AO2007" s="77"/>
      <c r="AP2007" s="77"/>
      <c r="AQ2007" s="77"/>
      <c r="AR2007" s="77"/>
      <c r="AS2007" s="77"/>
      <c r="AT2007" s="77"/>
      <c r="AU2007" s="77"/>
      <c r="AV2007" s="80" t="str">
        <f>HYPERLINK("https://pbs.twimg.com/profile_images/1669906202187165697/aFARahiJ_normal.jpg")</f>
        <v>https://pbs.twimg.com/profile_images/1669906202187165697/aFARahiJ_normal.jpg</v>
      </c>
      <c r="AW2007" s="82" t="s">
        <v>14169</v>
      </c>
      <c r="AX2007" s="82" t="s">
        <v>15539</v>
      </c>
      <c r="AY2007" s="82" t="s">
        <v>15773</v>
      </c>
      <c r="AZ2007" s="82" t="s">
        <v>16065</v>
      </c>
      <c r="BA2007" s="82" t="s">
        <v>15804</v>
      </c>
      <c r="BB2007" s="82" t="s">
        <v>15804</v>
      </c>
      <c r="BC2007" s="82" t="s">
        <v>16065</v>
      </c>
      <c r="BD2007" s="82" t="s">
        <v>16493</v>
      </c>
      <c r="BE2007" s="77"/>
      <c r="BF2007" s="77"/>
      <c r="BG2007" s="77"/>
      <c r="BH2007" s="77"/>
      <c r="BI2007" s="77"/>
    </row>
    <row r="2008" spans="1:61" x14ac:dyDescent="0.25">
      <c r="A2008" s="62" t="s">
        <v>849</v>
      </c>
      <c r="B2008" s="62" t="s">
        <v>849</v>
      </c>
      <c r="C2008" s="63"/>
      <c r="D2008" s="64"/>
      <c r="E2008" s="65"/>
      <c r="F2008" s="66"/>
      <c r="G2008" s="63"/>
      <c r="H2008" s="67"/>
      <c r="I2008" s="68"/>
      <c r="J2008" s="68"/>
      <c r="K2008" s="32"/>
      <c r="L2008" s="75">
        <v>2008</v>
      </c>
      <c r="M2008" s="75"/>
      <c r="N2008" s="70"/>
      <c r="O2008" s="77" t="s">
        <v>179</v>
      </c>
      <c r="P2008" s="79">
        <v>45065.42083333333</v>
      </c>
      <c r="Q2008" s="77" t="s">
        <v>3058</v>
      </c>
      <c r="R2008" s="77">
        <v>0</v>
      </c>
      <c r="S2008" s="77">
        <v>0</v>
      </c>
      <c r="T2008" s="77">
        <v>0</v>
      </c>
      <c r="U2008" s="77">
        <v>0</v>
      </c>
      <c r="V2008" s="77">
        <v>14</v>
      </c>
      <c r="W2008" s="82" t="s">
        <v>5339</v>
      </c>
      <c r="X2008" s="77"/>
      <c r="Y2008" s="77"/>
      <c r="Z2008" s="77"/>
      <c r="AA2008" s="77"/>
      <c r="AB2008" s="77"/>
      <c r="AC2008" s="82" t="s">
        <v>7706</v>
      </c>
      <c r="AD2008" s="77" t="s">
        <v>7745</v>
      </c>
      <c r="AE2008" s="80" t="str">
        <f>HYPERLINK("https://twitter.com/dividazero/status/1659500644208635905")</f>
        <v>https://twitter.com/dividazero/status/1659500644208635905</v>
      </c>
      <c r="AF2008" s="79">
        <v>45065.42083333333</v>
      </c>
      <c r="AG2008" s="85">
        <v>45065</v>
      </c>
      <c r="AH2008" s="82" t="s">
        <v>9544</v>
      </c>
      <c r="AI2008" s="77"/>
      <c r="AJ2008" s="77"/>
      <c r="AK2008" s="77"/>
      <c r="AL2008" s="77"/>
      <c r="AM2008" s="77"/>
      <c r="AN2008" s="77"/>
      <c r="AO2008" s="77"/>
      <c r="AP2008" s="77"/>
      <c r="AQ2008" s="77"/>
      <c r="AR2008" s="77"/>
      <c r="AS2008" s="77"/>
      <c r="AT2008" s="77"/>
      <c r="AU2008" s="77"/>
      <c r="AV2008" s="80" t="str">
        <f>HYPERLINK("https://pbs.twimg.com/profile_images/1414576179131072512/vS1i_s2K_normal.jpg")</f>
        <v>https://pbs.twimg.com/profile_images/1414576179131072512/vS1i_s2K_normal.jpg</v>
      </c>
      <c r="AW2008" s="82" t="s">
        <v>14170</v>
      </c>
      <c r="AX2008" s="82" t="s">
        <v>14170</v>
      </c>
      <c r="AY2008" s="77"/>
      <c r="AZ2008" s="82" t="s">
        <v>15804</v>
      </c>
      <c r="BA2008" s="82" t="s">
        <v>15804</v>
      </c>
      <c r="BB2008" s="82" t="s">
        <v>15804</v>
      </c>
      <c r="BC2008" s="82" t="s">
        <v>14170</v>
      </c>
      <c r="BD2008" s="77">
        <v>112222090</v>
      </c>
      <c r="BE2008" s="77"/>
      <c r="BF2008" s="77"/>
      <c r="BG2008" s="77"/>
      <c r="BH2008" s="77"/>
      <c r="BI2008" s="77"/>
    </row>
    <row r="2009" spans="1:61" x14ac:dyDescent="0.25">
      <c r="A2009" s="62" t="s">
        <v>849</v>
      </c>
      <c r="B2009" s="62" t="s">
        <v>849</v>
      </c>
      <c r="C2009" s="63"/>
      <c r="D2009" s="64"/>
      <c r="E2009" s="65"/>
      <c r="F2009" s="66"/>
      <c r="G2009" s="63"/>
      <c r="H2009" s="67"/>
      <c r="I2009" s="68"/>
      <c r="J2009" s="68"/>
      <c r="K2009" s="32"/>
      <c r="L2009" s="75">
        <v>2009</v>
      </c>
      <c r="M2009" s="75"/>
      <c r="N2009" s="70"/>
      <c r="O2009" s="77" t="s">
        <v>179</v>
      </c>
      <c r="P2009" s="79">
        <v>45062.420138888891</v>
      </c>
      <c r="Q2009" s="77" t="s">
        <v>3059</v>
      </c>
      <c r="R2009" s="77">
        <v>0</v>
      </c>
      <c r="S2009" s="77">
        <v>0</v>
      </c>
      <c r="T2009" s="77">
        <v>0</v>
      </c>
      <c r="U2009" s="77">
        <v>0</v>
      </c>
      <c r="V2009" s="77">
        <v>15</v>
      </c>
      <c r="W2009" s="82" t="s">
        <v>5340</v>
      </c>
      <c r="X2009" s="77"/>
      <c r="Y2009" s="77"/>
      <c r="Z2009" s="77"/>
      <c r="AA2009" s="77"/>
      <c r="AB2009" s="77"/>
      <c r="AC2009" s="82" t="s">
        <v>7706</v>
      </c>
      <c r="AD2009" s="77" t="s">
        <v>7745</v>
      </c>
      <c r="AE2009" s="80" t="str">
        <f>HYPERLINK("https://twitter.com/dividazero/status/1658413229008121856")</f>
        <v>https://twitter.com/dividazero/status/1658413229008121856</v>
      </c>
      <c r="AF2009" s="79">
        <v>45062.420138888891</v>
      </c>
      <c r="AG2009" s="85">
        <v>45062</v>
      </c>
      <c r="AH2009" s="82" t="s">
        <v>9545</v>
      </c>
      <c r="AI2009" s="77"/>
      <c r="AJ2009" s="77"/>
      <c r="AK2009" s="77"/>
      <c r="AL2009" s="77"/>
      <c r="AM2009" s="77"/>
      <c r="AN2009" s="77"/>
      <c r="AO2009" s="77"/>
      <c r="AP2009" s="77"/>
      <c r="AQ2009" s="77"/>
      <c r="AR2009" s="77"/>
      <c r="AS2009" s="77"/>
      <c r="AT2009" s="77"/>
      <c r="AU2009" s="77"/>
      <c r="AV2009" s="80" t="str">
        <f>HYPERLINK("https://pbs.twimg.com/profile_images/1414576179131072512/vS1i_s2K_normal.jpg")</f>
        <v>https://pbs.twimg.com/profile_images/1414576179131072512/vS1i_s2K_normal.jpg</v>
      </c>
      <c r="AW2009" s="82" t="s">
        <v>14171</v>
      </c>
      <c r="AX2009" s="82" t="s">
        <v>14171</v>
      </c>
      <c r="AY2009" s="77"/>
      <c r="AZ2009" s="82" t="s">
        <v>15804</v>
      </c>
      <c r="BA2009" s="82" t="s">
        <v>15804</v>
      </c>
      <c r="BB2009" s="82" t="s">
        <v>15804</v>
      </c>
      <c r="BC2009" s="82" t="s">
        <v>14171</v>
      </c>
      <c r="BD2009" s="77">
        <v>112222090</v>
      </c>
      <c r="BE2009" s="77"/>
      <c r="BF2009" s="77"/>
      <c r="BG2009" s="77"/>
      <c r="BH2009" s="77"/>
      <c r="BI2009" s="77"/>
    </row>
    <row r="2010" spans="1:61" x14ac:dyDescent="0.25">
      <c r="A2010" s="62" t="s">
        <v>849</v>
      </c>
      <c r="B2010" s="62" t="s">
        <v>849</v>
      </c>
      <c r="C2010" s="63"/>
      <c r="D2010" s="64"/>
      <c r="E2010" s="65"/>
      <c r="F2010" s="66"/>
      <c r="G2010" s="63"/>
      <c r="H2010" s="67"/>
      <c r="I2010" s="68"/>
      <c r="J2010" s="68"/>
      <c r="K2010" s="32"/>
      <c r="L2010" s="75">
        <v>2010</v>
      </c>
      <c r="M2010" s="75"/>
      <c r="N2010" s="70"/>
      <c r="O2010" s="77" t="s">
        <v>179</v>
      </c>
      <c r="P2010" s="79">
        <v>45046.734629629631</v>
      </c>
      <c r="Q2010" s="77" t="s">
        <v>3060</v>
      </c>
      <c r="R2010" s="77">
        <v>0</v>
      </c>
      <c r="S2010" s="77">
        <v>2</v>
      </c>
      <c r="T2010" s="77">
        <v>0</v>
      </c>
      <c r="U2010" s="77">
        <v>0</v>
      </c>
      <c r="V2010" s="77">
        <v>38</v>
      </c>
      <c r="W2010" s="82" t="s">
        <v>4097</v>
      </c>
      <c r="X2010" s="77"/>
      <c r="Y2010" s="77"/>
      <c r="Z2010" s="77"/>
      <c r="AA2010" s="77"/>
      <c r="AB2010" s="77"/>
      <c r="AC2010" s="82" t="s">
        <v>7707</v>
      </c>
      <c r="AD2010" s="77" t="s">
        <v>7745</v>
      </c>
      <c r="AE2010" s="80" t="str">
        <f>HYPERLINK("https://twitter.com/dividazero/status/1652728991604781056")</f>
        <v>https://twitter.com/dividazero/status/1652728991604781056</v>
      </c>
      <c r="AF2010" s="79">
        <v>45046.734629629631</v>
      </c>
      <c r="AG2010" s="85">
        <v>45046</v>
      </c>
      <c r="AH2010" s="82" t="s">
        <v>9546</v>
      </c>
      <c r="AI2010" s="77"/>
      <c r="AJ2010" s="77"/>
      <c r="AK2010" s="77"/>
      <c r="AL2010" s="77"/>
      <c r="AM2010" s="77"/>
      <c r="AN2010" s="77"/>
      <c r="AO2010" s="77"/>
      <c r="AP2010" s="77"/>
      <c r="AQ2010" s="77"/>
      <c r="AR2010" s="77"/>
      <c r="AS2010" s="77"/>
      <c r="AT2010" s="77"/>
      <c r="AU2010" s="77"/>
      <c r="AV2010" s="80" t="str">
        <f>HYPERLINK("https://pbs.twimg.com/profile_images/1414576179131072512/vS1i_s2K_normal.jpg")</f>
        <v>https://pbs.twimg.com/profile_images/1414576179131072512/vS1i_s2K_normal.jpg</v>
      </c>
      <c r="AW2010" s="82" t="s">
        <v>14172</v>
      </c>
      <c r="AX2010" s="82" t="s">
        <v>14172</v>
      </c>
      <c r="AY2010" s="77"/>
      <c r="AZ2010" s="82" t="s">
        <v>15804</v>
      </c>
      <c r="BA2010" s="82" t="s">
        <v>15804</v>
      </c>
      <c r="BB2010" s="82" t="s">
        <v>15804</v>
      </c>
      <c r="BC2010" s="82" t="s">
        <v>14172</v>
      </c>
      <c r="BD2010" s="77">
        <v>112222090</v>
      </c>
      <c r="BE2010" s="77"/>
      <c r="BF2010" s="77"/>
      <c r="BG2010" s="77"/>
      <c r="BH2010" s="77"/>
      <c r="BI2010" s="77"/>
    </row>
    <row r="2011" spans="1:61" x14ac:dyDescent="0.25">
      <c r="A2011" s="62" t="s">
        <v>849</v>
      </c>
      <c r="B2011" s="62" t="s">
        <v>849</v>
      </c>
      <c r="C2011" s="63"/>
      <c r="D2011" s="64"/>
      <c r="E2011" s="65"/>
      <c r="F2011" s="66"/>
      <c r="G2011" s="63"/>
      <c r="H2011" s="67"/>
      <c r="I2011" s="68"/>
      <c r="J2011" s="68"/>
      <c r="K2011" s="32"/>
      <c r="L2011" s="75">
        <v>2011</v>
      </c>
      <c r="M2011" s="75"/>
      <c r="N2011" s="70"/>
      <c r="O2011" s="77" t="s">
        <v>179</v>
      </c>
      <c r="P2011" s="79">
        <v>45055.413194444445</v>
      </c>
      <c r="Q2011" s="77" t="s">
        <v>3061</v>
      </c>
      <c r="R2011" s="77">
        <v>0</v>
      </c>
      <c r="S2011" s="77">
        <v>1</v>
      </c>
      <c r="T2011" s="77">
        <v>0</v>
      </c>
      <c r="U2011" s="77">
        <v>0</v>
      </c>
      <c r="V2011" s="77">
        <v>21</v>
      </c>
      <c r="W2011" s="82" t="s">
        <v>5341</v>
      </c>
      <c r="X2011" s="77"/>
      <c r="Y2011" s="77"/>
      <c r="Z2011" s="77"/>
      <c r="AA2011" s="77"/>
      <c r="AB2011" s="77"/>
      <c r="AC2011" s="82" t="s">
        <v>7706</v>
      </c>
      <c r="AD2011" s="77" t="s">
        <v>7745</v>
      </c>
      <c r="AE2011" s="80" t="str">
        <f>HYPERLINK("https://twitter.com/dividazero/status/1655873997140267008")</f>
        <v>https://twitter.com/dividazero/status/1655873997140267008</v>
      </c>
      <c r="AF2011" s="79">
        <v>45055.413194444445</v>
      </c>
      <c r="AG2011" s="85">
        <v>45055</v>
      </c>
      <c r="AH2011" s="82" t="s">
        <v>9547</v>
      </c>
      <c r="AI2011" s="77"/>
      <c r="AJ2011" s="77"/>
      <c r="AK2011" s="77"/>
      <c r="AL2011" s="77"/>
      <c r="AM2011" s="77"/>
      <c r="AN2011" s="77"/>
      <c r="AO2011" s="77"/>
      <c r="AP2011" s="77"/>
      <c r="AQ2011" s="77"/>
      <c r="AR2011" s="77"/>
      <c r="AS2011" s="77"/>
      <c r="AT2011" s="77"/>
      <c r="AU2011" s="77"/>
      <c r="AV2011" s="80" t="str">
        <f>HYPERLINK("https://pbs.twimg.com/profile_images/1414576179131072512/vS1i_s2K_normal.jpg")</f>
        <v>https://pbs.twimg.com/profile_images/1414576179131072512/vS1i_s2K_normal.jpg</v>
      </c>
      <c r="AW2011" s="82" t="s">
        <v>14173</v>
      </c>
      <c r="AX2011" s="82" t="s">
        <v>14173</v>
      </c>
      <c r="AY2011" s="77"/>
      <c r="AZ2011" s="82" t="s">
        <v>15804</v>
      </c>
      <c r="BA2011" s="82" t="s">
        <v>15804</v>
      </c>
      <c r="BB2011" s="82" t="s">
        <v>15804</v>
      </c>
      <c r="BC2011" s="82" t="s">
        <v>14173</v>
      </c>
      <c r="BD2011" s="77">
        <v>112222090</v>
      </c>
      <c r="BE2011" s="77"/>
      <c r="BF2011" s="77"/>
      <c r="BG2011" s="77"/>
      <c r="BH2011" s="77"/>
      <c r="BI2011" s="77"/>
    </row>
    <row r="2012" spans="1:61" x14ac:dyDescent="0.25">
      <c r="A2012" s="62" t="s">
        <v>849</v>
      </c>
      <c r="B2012" s="62" t="s">
        <v>849</v>
      </c>
      <c r="C2012" s="63"/>
      <c r="D2012" s="64"/>
      <c r="E2012" s="65"/>
      <c r="F2012" s="66"/>
      <c r="G2012" s="63"/>
      <c r="H2012" s="67"/>
      <c r="I2012" s="68"/>
      <c r="J2012" s="68"/>
      <c r="K2012" s="32"/>
      <c r="L2012" s="75">
        <v>2012</v>
      </c>
      <c r="M2012" s="75"/>
      <c r="N2012" s="70"/>
      <c r="O2012" s="77" t="s">
        <v>179</v>
      </c>
      <c r="P2012" s="79">
        <v>45054.453472222223</v>
      </c>
      <c r="Q2012" s="77" t="s">
        <v>3062</v>
      </c>
      <c r="R2012" s="77">
        <v>0</v>
      </c>
      <c r="S2012" s="77">
        <v>2</v>
      </c>
      <c r="T2012" s="77">
        <v>0</v>
      </c>
      <c r="U2012" s="77">
        <v>0</v>
      </c>
      <c r="V2012" s="77">
        <v>15</v>
      </c>
      <c r="W2012" s="82" t="s">
        <v>5342</v>
      </c>
      <c r="X2012" s="77"/>
      <c r="Y2012" s="77"/>
      <c r="Z2012" s="77"/>
      <c r="AA2012" s="77"/>
      <c r="AB2012" s="77"/>
      <c r="AC2012" s="82" t="s">
        <v>7706</v>
      </c>
      <c r="AD2012" s="77" t="s">
        <v>7745</v>
      </c>
      <c r="AE2012" s="80" t="str">
        <f>HYPERLINK("https://twitter.com/dividazero/status/1655526205565849601")</f>
        <v>https://twitter.com/dividazero/status/1655526205565849601</v>
      </c>
      <c r="AF2012" s="79">
        <v>45054.453472222223</v>
      </c>
      <c r="AG2012" s="85">
        <v>45054</v>
      </c>
      <c r="AH2012" s="82" t="s">
        <v>9548</v>
      </c>
      <c r="AI2012" s="77"/>
      <c r="AJ2012" s="77"/>
      <c r="AK2012" s="77"/>
      <c r="AL2012" s="77"/>
      <c r="AM2012" s="77"/>
      <c r="AN2012" s="77"/>
      <c r="AO2012" s="77"/>
      <c r="AP2012" s="77"/>
      <c r="AQ2012" s="77"/>
      <c r="AR2012" s="77"/>
      <c r="AS2012" s="77"/>
      <c r="AT2012" s="77"/>
      <c r="AU2012" s="77"/>
      <c r="AV2012" s="80" t="str">
        <f>HYPERLINK("https://pbs.twimg.com/profile_images/1414576179131072512/vS1i_s2K_normal.jpg")</f>
        <v>https://pbs.twimg.com/profile_images/1414576179131072512/vS1i_s2K_normal.jpg</v>
      </c>
      <c r="AW2012" s="82" t="s">
        <v>14174</v>
      </c>
      <c r="AX2012" s="82" t="s">
        <v>14174</v>
      </c>
      <c r="AY2012" s="77"/>
      <c r="AZ2012" s="82" t="s">
        <v>15804</v>
      </c>
      <c r="BA2012" s="82" t="s">
        <v>15804</v>
      </c>
      <c r="BB2012" s="82" t="s">
        <v>15804</v>
      </c>
      <c r="BC2012" s="82" t="s">
        <v>14174</v>
      </c>
      <c r="BD2012" s="77">
        <v>112222090</v>
      </c>
      <c r="BE2012" s="77"/>
      <c r="BF2012" s="77"/>
      <c r="BG2012" s="77"/>
      <c r="BH2012" s="77"/>
      <c r="BI2012" s="77"/>
    </row>
    <row r="2013" spans="1:61" x14ac:dyDescent="0.25">
      <c r="A2013" s="62" t="s">
        <v>849</v>
      </c>
      <c r="B2013" s="62" t="s">
        <v>935</v>
      </c>
      <c r="C2013" s="63"/>
      <c r="D2013" s="64"/>
      <c r="E2013" s="65"/>
      <c r="F2013" s="66"/>
      <c r="G2013" s="63"/>
      <c r="H2013" s="67"/>
      <c r="I2013" s="68"/>
      <c r="J2013" s="68"/>
      <c r="K2013" s="32"/>
      <c r="L2013" s="75">
        <v>2013</v>
      </c>
      <c r="M2013" s="75"/>
      <c r="N2013" s="70"/>
      <c r="O2013" s="77" t="s">
        <v>1135</v>
      </c>
      <c r="P2013" s="79">
        <v>45059.707418981481</v>
      </c>
      <c r="Q2013" s="77" t="s">
        <v>3063</v>
      </c>
      <c r="R2013" s="77">
        <v>0</v>
      </c>
      <c r="S2013" s="77">
        <v>0</v>
      </c>
      <c r="T2013" s="77">
        <v>0</v>
      </c>
      <c r="U2013" s="77">
        <v>0</v>
      </c>
      <c r="V2013" s="77">
        <v>11</v>
      </c>
      <c r="W2013" s="82" t="s">
        <v>4097</v>
      </c>
      <c r="X2013" s="77"/>
      <c r="Y2013" s="77"/>
      <c r="Z2013" s="77"/>
      <c r="AA2013" s="77"/>
      <c r="AB2013" s="77"/>
      <c r="AC2013" s="82" t="s">
        <v>7707</v>
      </c>
      <c r="AD2013" s="77" t="s">
        <v>7745</v>
      </c>
      <c r="AE2013" s="80" t="str">
        <f>HYPERLINK("https://twitter.com/dividazero/status/1657430171886972929")</f>
        <v>https://twitter.com/dividazero/status/1657430171886972929</v>
      </c>
      <c r="AF2013" s="79">
        <v>45059.707418981481</v>
      </c>
      <c r="AG2013" s="85">
        <v>45059</v>
      </c>
      <c r="AH2013" s="82" t="s">
        <v>9549</v>
      </c>
      <c r="AI2013" s="77"/>
      <c r="AJ2013" s="77" t="s">
        <v>10542</v>
      </c>
      <c r="AK2013" s="77" t="s">
        <v>10552</v>
      </c>
      <c r="AL2013" s="77" t="s">
        <v>10555</v>
      </c>
      <c r="AM2013" s="77" t="s">
        <v>10579</v>
      </c>
      <c r="AN2013" s="86" t="s">
        <v>10609</v>
      </c>
      <c r="AO2013" s="77" t="s">
        <v>10640</v>
      </c>
      <c r="AP2013" s="77" t="s">
        <v>10649</v>
      </c>
      <c r="AQ2013" s="77"/>
      <c r="AR2013" s="77"/>
      <c r="AS2013" s="77"/>
      <c r="AT2013" s="77"/>
      <c r="AU2013" s="77"/>
      <c r="AV2013" s="80" t="str">
        <f>HYPERLINK("https://pbs.twimg.com/profile_images/1414576179131072512/vS1i_s2K_normal.jpg")</f>
        <v>https://pbs.twimg.com/profile_images/1414576179131072512/vS1i_s2K_normal.jpg</v>
      </c>
      <c r="AW2013" s="82" t="s">
        <v>14175</v>
      </c>
      <c r="AX2013" s="82" t="s">
        <v>14175</v>
      </c>
      <c r="AY2013" s="77"/>
      <c r="AZ2013" s="82" t="s">
        <v>15804</v>
      </c>
      <c r="BA2013" s="82" t="s">
        <v>14577</v>
      </c>
      <c r="BB2013" s="82" t="s">
        <v>15804</v>
      </c>
      <c r="BC2013" s="82" t="s">
        <v>14577</v>
      </c>
      <c r="BD2013" s="77">
        <v>112222090</v>
      </c>
      <c r="BE2013" s="77"/>
      <c r="BF2013" s="77"/>
      <c r="BG2013" s="77"/>
      <c r="BH2013" s="77"/>
      <c r="BI2013" s="77"/>
    </row>
    <row r="2014" spans="1:61" x14ac:dyDescent="0.25">
      <c r="A2014" s="62" t="s">
        <v>849</v>
      </c>
      <c r="B2014" s="62" t="s">
        <v>849</v>
      </c>
      <c r="C2014" s="63"/>
      <c r="D2014" s="64"/>
      <c r="E2014" s="65"/>
      <c r="F2014" s="66"/>
      <c r="G2014" s="63"/>
      <c r="H2014" s="67"/>
      <c r="I2014" s="68"/>
      <c r="J2014" s="68"/>
      <c r="K2014" s="32"/>
      <c r="L2014" s="75">
        <v>2014</v>
      </c>
      <c r="M2014" s="75"/>
      <c r="N2014" s="70"/>
      <c r="O2014" s="77" t="s">
        <v>179</v>
      </c>
      <c r="P2014" s="79">
        <v>45057.415277777778</v>
      </c>
      <c r="Q2014" s="77" t="s">
        <v>3064</v>
      </c>
      <c r="R2014" s="77">
        <v>0</v>
      </c>
      <c r="S2014" s="77">
        <v>1</v>
      </c>
      <c r="T2014" s="77">
        <v>0</v>
      </c>
      <c r="U2014" s="77">
        <v>0</v>
      </c>
      <c r="V2014" s="77">
        <v>14</v>
      </c>
      <c r="W2014" s="82" t="s">
        <v>5343</v>
      </c>
      <c r="X2014" s="77"/>
      <c r="Y2014" s="77"/>
      <c r="Z2014" s="77"/>
      <c r="AA2014" s="77"/>
      <c r="AB2014" s="77"/>
      <c r="AC2014" s="82" t="s">
        <v>7706</v>
      </c>
      <c r="AD2014" s="77" t="s">
        <v>7745</v>
      </c>
      <c r="AE2014" s="80" t="str">
        <f>HYPERLINK("https://twitter.com/dividazero/status/1656599527921516545")</f>
        <v>https://twitter.com/dividazero/status/1656599527921516545</v>
      </c>
      <c r="AF2014" s="79">
        <v>45057.415277777778</v>
      </c>
      <c r="AG2014" s="85">
        <v>45057</v>
      </c>
      <c r="AH2014" s="82" t="s">
        <v>9550</v>
      </c>
      <c r="AI2014" s="77"/>
      <c r="AJ2014" s="77"/>
      <c r="AK2014" s="77"/>
      <c r="AL2014" s="77"/>
      <c r="AM2014" s="77"/>
      <c r="AN2014" s="77"/>
      <c r="AO2014" s="77"/>
      <c r="AP2014" s="77"/>
      <c r="AQ2014" s="77"/>
      <c r="AR2014" s="77"/>
      <c r="AS2014" s="77"/>
      <c r="AT2014" s="77"/>
      <c r="AU2014" s="77"/>
      <c r="AV2014" s="80" t="str">
        <f>HYPERLINK("https://pbs.twimg.com/profile_images/1414576179131072512/vS1i_s2K_normal.jpg")</f>
        <v>https://pbs.twimg.com/profile_images/1414576179131072512/vS1i_s2K_normal.jpg</v>
      </c>
      <c r="AW2014" s="82" t="s">
        <v>14176</v>
      </c>
      <c r="AX2014" s="82" t="s">
        <v>14176</v>
      </c>
      <c r="AY2014" s="77"/>
      <c r="AZ2014" s="82" t="s">
        <v>15804</v>
      </c>
      <c r="BA2014" s="82" t="s">
        <v>15804</v>
      </c>
      <c r="BB2014" s="82" t="s">
        <v>15804</v>
      </c>
      <c r="BC2014" s="82" t="s">
        <v>14176</v>
      </c>
      <c r="BD2014" s="77">
        <v>112222090</v>
      </c>
      <c r="BE2014" s="77"/>
      <c r="BF2014" s="77"/>
      <c r="BG2014" s="77"/>
      <c r="BH2014" s="77"/>
      <c r="BI2014" s="77"/>
    </row>
    <row r="2015" spans="1:61" x14ac:dyDescent="0.25">
      <c r="A2015" s="62" t="s">
        <v>850</v>
      </c>
      <c r="B2015" s="62" t="s">
        <v>850</v>
      </c>
      <c r="C2015" s="63"/>
      <c r="D2015" s="64"/>
      <c r="E2015" s="65"/>
      <c r="F2015" s="66"/>
      <c r="G2015" s="63"/>
      <c r="H2015" s="67"/>
      <c r="I2015" s="68"/>
      <c r="J2015" s="68"/>
      <c r="K2015" s="32"/>
      <c r="L2015" s="75">
        <v>2015</v>
      </c>
      <c r="M2015" s="75"/>
      <c r="N2015" s="70"/>
      <c r="O2015" s="77" t="s">
        <v>179</v>
      </c>
      <c r="P2015" s="79">
        <v>44938.77306712963</v>
      </c>
      <c r="Q2015" s="77" t="s">
        <v>3065</v>
      </c>
      <c r="R2015" s="77">
        <v>1</v>
      </c>
      <c r="S2015" s="77">
        <v>5</v>
      </c>
      <c r="T2015" s="77">
        <v>0</v>
      </c>
      <c r="U2015" s="77">
        <v>0</v>
      </c>
      <c r="V2015" s="77">
        <v>580</v>
      </c>
      <c r="W2015" s="82" t="s">
        <v>5344</v>
      </c>
      <c r="X2015" s="77"/>
      <c r="Y2015" s="77"/>
      <c r="Z2015" s="77"/>
      <c r="AA2015" s="77" t="s">
        <v>7221</v>
      </c>
      <c r="AB2015" s="77" t="s">
        <v>7696</v>
      </c>
      <c r="AC2015" s="82" t="s">
        <v>7716</v>
      </c>
      <c r="AD2015" s="77" t="s">
        <v>7745</v>
      </c>
      <c r="AE2015" s="80" t="str">
        <f>HYPERLINK("https://twitter.com/redevida/status/1613605031340564480")</f>
        <v>https://twitter.com/redevida/status/1613605031340564480</v>
      </c>
      <c r="AF2015" s="79">
        <v>44938.77306712963</v>
      </c>
      <c r="AG2015" s="85">
        <v>44938</v>
      </c>
      <c r="AH2015" s="82" t="s">
        <v>9551</v>
      </c>
      <c r="AI2015" s="77" t="b">
        <v>0</v>
      </c>
      <c r="AJ2015" s="77"/>
      <c r="AK2015" s="77"/>
      <c r="AL2015" s="77"/>
      <c r="AM2015" s="77"/>
      <c r="AN2015" s="77"/>
      <c r="AO2015" s="77"/>
      <c r="AP2015" s="77"/>
      <c r="AQ2015" s="77" t="s">
        <v>11728</v>
      </c>
      <c r="AR2015" s="77"/>
      <c r="AS2015" s="77"/>
      <c r="AT2015" s="77"/>
      <c r="AU2015" s="77"/>
      <c r="AV2015" s="80" t="str">
        <f>HYPERLINK("https://pbs.twimg.com/media/FmStOZGWAAYBS6Z.jpg")</f>
        <v>https://pbs.twimg.com/media/FmStOZGWAAYBS6Z.jpg</v>
      </c>
      <c r="AW2015" s="82" t="s">
        <v>14177</v>
      </c>
      <c r="AX2015" s="82" t="s">
        <v>14177</v>
      </c>
      <c r="AY2015" s="77"/>
      <c r="AZ2015" s="82" t="s">
        <v>15804</v>
      </c>
      <c r="BA2015" s="82" t="s">
        <v>15804</v>
      </c>
      <c r="BB2015" s="82" t="s">
        <v>15804</v>
      </c>
      <c r="BC2015" s="82" t="s">
        <v>14177</v>
      </c>
      <c r="BD2015" s="77">
        <v>26273418</v>
      </c>
      <c r="BE2015" s="77"/>
      <c r="BF2015" s="77"/>
      <c r="BG2015" s="77"/>
      <c r="BH2015" s="77"/>
      <c r="BI2015" s="77"/>
    </row>
    <row r="2016" spans="1:61" x14ac:dyDescent="0.25">
      <c r="A2016" s="62" t="s">
        <v>851</v>
      </c>
      <c r="B2016" s="62" t="s">
        <v>1058</v>
      </c>
      <c r="C2016" s="63"/>
      <c r="D2016" s="64"/>
      <c r="E2016" s="65"/>
      <c r="F2016" s="66"/>
      <c r="G2016" s="63"/>
      <c r="H2016" s="67"/>
      <c r="I2016" s="68"/>
      <c r="J2016" s="68"/>
      <c r="K2016" s="32"/>
      <c r="L2016" s="75">
        <v>2016</v>
      </c>
      <c r="M2016" s="75"/>
      <c r="N2016" s="70"/>
      <c r="O2016" s="77" t="s">
        <v>1133</v>
      </c>
      <c r="P2016" s="79">
        <v>44988.960798611108</v>
      </c>
      <c r="Q2016" s="77" t="s">
        <v>3066</v>
      </c>
      <c r="R2016" s="77">
        <v>0</v>
      </c>
      <c r="S2016" s="77">
        <v>1</v>
      </c>
      <c r="T2016" s="77">
        <v>0</v>
      </c>
      <c r="U2016" s="77">
        <v>0</v>
      </c>
      <c r="V2016" s="77">
        <v>6</v>
      </c>
      <c r="W2016" s="82" t="s">
        <v>4458</v>
      </c>
      <c r="X2016" s="80" t="str">
        <f>HYPERLINK("https://youtu.be/zmBfpYBKdR8")</f>
        <v>https://youtu.be/zmBfpYBKdR8</v>
      </c>
      <c r="Y2016" s="77" t="s">
        <v>6003</v>
      </c>
      <c r="Z2016" s="77" t="s">
        <v>1058</v>
      </c>
      <c r="AA2016" s="77"/>
      <c r="AB2016" s="77"/>
      <c r="AC2016" s="82" t="s">
        <v>7706</v>
      </c>
      <c r="AD2016" s="77" t="s">
        <v>7750</v>
      </c>
      <c r="AE2016" s="80" t="str">
        <f>HYPERLINK("https://twitter.com/proatitudeeduca/status/1631792457250750464")</f>
        <v>https://twitter.com/proatitudeeduca/status/1631792457250750464</v>
      </c>
      <c r="AF2016" s="79">
        <v>44988.960798611108</v>
      </c>
      <c r="AG2016" s="85">
        <v>44988</v>
      </c>
      <c r="AH2016" s="82" t="s">
        <v>9552</v>
      </c>
      <c r="AI2016" s="77" t="b">
        <v>0</v>
      </c>
      <c r="AJ2016" s="77" t="s">
        <v>10543</v>
      </c>
      <c r="AK2016" s="77" t="s">
        <v>10552</v>
      </c>
      <c r="AL2016" s="77" t="s">
        <v>10555</v>
      </c>
      <c r="AM2016" s="77" t="s">
        <v>10580</v>
      </c>
      <c r="AN2016" s="77" t="s">
        <v>10610</v>
      </c>
      <c r="AO2016" s="77" t="s">
        <v>10641</v>
      </c>
      <c r="AP2016" s="77" t="s">
        <v>10649</v>
      </c>
      <c r="AQ2016" s="77"/>
      <c r="AR2016" s="77"/>
      <c r="AS2016" s="77"/>
      <c r="AT2016" s="77"/>
      <c r="AU2016" s="77"/>
      <c r="AV2016" s="80" t="str">
        <f>HYPERLINK("https://pbs.twimg.com/profile_images/1419804325585489927/p6LVfN3y_normal.png")</f>
        <v>https://pbs.twimg.com/profile_images/1419804325585489927/p6LVfN3y_normal.png</v>
      </c>
      <c r="AW2016" s="82" t="s">
        <v>14178</v>
      </c>
      <c r="AX2016" s="82" t="s">
        <v>14178</v>
      </c>
      <c r="AY2016" s="77"/>
      <c r="AZ2016" s="82" t="s">
        <v>15804</v>
      </c>
      <c r="BA2016" s="82" t="s">
        <v>15804</v>
      </c>
      <c r="BB2016" s="82" t="s">
        <v>15804</v>
      </c>
      <c r="BC2016" s="82" t="s">
        <v>14178</v>
      </c>
      <c r="BD2016" s="82" t="s">
        <v>16494</v>
      </c>
      <c r="BE2016" s="77"/>
      <c r="BF2016" s="77"/>
      <c r="BG2016" s="77"/>
      <c r="BH2016" s="77"/>
      <c r="BI2016" s="77"/>
    </row>
    <row r="2017" spans="1:61" x14ac:dyDescent="0.25">
      <c r="A2017" s="62" t="s">
        <v>852</v>
      </c>
      <c r="B2017" s="62" t="s">
        <v>852</v>
      </c>
      <c r="C2017" s="63"/>
      <c r="D2017" s="64"/>
      <c r="E2017" s="65"/>
      <c r="F2017" s="66"/>
      <c r="G2017" s="63"/>
      <c r="H2017" s="67"/>
      <c r="I2017" s="68"/>
      <c r="J2017" s="68"/>
      <c r="K2017" s="32"/>
      <c r="L2017" s="75">
        <v>2017</v>
      </c>
      <c r="M2017" s="75"/>
      <c r="N2017" s="70"/>
      <c r="O2017" s="77" t="s">
        <v>179</v>
      </c>
      <c r="P2017" s="79">
        <v>45153.612500000003</v>
      </c>
      <c r="Q2017" s="77" t="s">
        <v>3067</v>
      </c>
      <c r="R2017" s="77">
        <v>0</v>
      </c>
      <c r="S2017" s="77">
        <v>0</v>
      </c>
      <c r="T2017" s="77">
        <v>0</v>
      </c>
      <c r="U2017" s="77">
        <v>0</v>
      </c>
      <c r="V2017" s="77">
        <v>17</v>
      </c>
      <c r="W2017" s="82" t="s">
        <v>5345</v>
      </c>
      <c r="X2017" s="77"/>
      <c r="Y2017" s="77"/>
      <c r="Z2017" s="77"/>
      <c r="AA2017" s="77" t="s">
        <v>7222</v>
      </c>
      <c r="AB2017" s="77" t="s">
        <v>7696</v>
      </c>
      <c r="AC2017" s="82" t="s">
        <v>7706</v>
      </c>
      <c r="AD2017" s="77" t="s">
        <v>7745</v>
      </c>
      <c r="AE2017" s="80" t="str">
        <f>HYPERLINK("https://twitter.com/fnsfinancas/status/1691460233921802242")</f>
        <v>https://twitter.com/fnsfinancas/status/1691460233921802242</v>
      </c>
      <c r="AF2017" s="79">
        <v>45153.612500000003</v>
      </c>
      <c r="AG2017" s="85">
        <v>45153</v>
      </c>
      <c r="AH2017" s="82" t="s">
        <v>9553</v>
      </c>
      <c r="AI2017" s="77" t="b">
        <v>0</v>
      </c>
      <c r="AJ2017" s="77"/>
      <c r="AK2017" s="77"/>
      <c r="AL2017" s="77"/>
      <c r="AM2017" s="77"/>
      <c r="AN2017" s="77"/>
      <c r="AO2017" s="77"/>
      <c r="AP2017" s="77"/>
      <c r="AQ2017" s="77" t="s">
        <v>11729</v>
      </c>
      <c r="AR2017" s="77"/>
      <c r="AS2017" s="77"/>
      <c r="AT2017" s="77"/>
      <c r="AU2017" s="77"/>
      <c r="AV2017" s="80" t="str">
        <f>HYPERLINK("https://pbs.twimg.com/media/F3ay9wTWIAAk5WO.jpg")</f>
        <v>https://pbs.twimg.com/media/F3ay9wTWIAAk5WO.jpg</v>
      </c>
      <c r="AW2017" s="82" t="s">
        <v>14179</v>
      </c>
      <c r="AX2017" s="82" t="s">
        <v>14179</v>
      </c>
      <c r="AY2017" s="77"/>
      <c r="AZ2017" s="82" t="s">
        <v>15804</v>
      </c>
      <c r="BA2017" s="82" t="s">
        <v>15804</v>
      </c>
      <c r="BB2017" s="82" t="s">
        <v>15804</v>
      </c>
      <c r="BC2017" s="82" t="s">
        <v>14179</v>
      </c>
      <c r="BD2017" s="77">
        <v>369919170</v>
      </c>
      <c r="BE2017" s="77"/>
      <c r="BF2017" s="77"/>
      <c r="BG2017" s="77"/>
      <c r="BH2017" s="77"/>
      <c r="BI2017" s="77"/>
    </row>
    <row r="2018" spans="1:61" x14ac:dyDescent="0.25">
      <c r="A2018" s="62" t="s">
        <v>853</v>
      </c>
      <c r="B2018" s="62" t="s">
        <v>853</v>
      </c>
      <c r="C2018" s="63"/>
      <c r="D2018" s="64"/>
      <c r="E2018" s="65"/>
      <c r="F2018" s="66"/>
      <c r="G2018" s="63"/>
      <c r="H2018" s="67"/>
      <c r="I2018" s="68"/>
      <c r="J2018" s="68"/>
      <c r="K2018" s="32"/>
      <c r="L2018" s="75">
        <v>2018</v>
      </c>
      <c r="M2018" s="75"/>
      <c r="N2018" s="70"/>
      <c r="O2018" s="77" t="s">
        <v>179</v>
      </c>
      <c r="P2018" s="79">
        <v>45087.629525462966</v>
      </c>
      <c r="Q2018" s="77" t="s">
        <v>3068</v>
      </c>
      <c r="R2018" s="77">
        <v>0</v>
      </c>
      <c r="S2018" s="77">
        <v>0</v>
      </c>
      <c r="T2018" s="77">
        <v>0</v>
      </c>
      <c r="U2018" s="77">
        <v>0</v>
      </c>
      <c r="V2018" s="77">
        <v>6</v>
      </c>
      <c r="W2018" s="82" t="s">
        <v>4105</v>
      </c>
      <c r="X2018" s="80" t="str">
        <f>HYPERLINK("https://www.arkaonline.com.br/blog/o-poder-dos-juros-compostos-como-utiliza-los-a-seu-favor-nos-investimentos/")</f>
        <v>https://www.arkaonline.com.br/blog/o-poder-dos-juros-compostos-como-utiliza-los-a-seu-favor-nos-investimentos/</v>
      </c>
      <c r="Y2018" s="77" t="s">
        <v>6002</v>
      </c>
      <c r="Z2018" s="77"/>
      <c r="AA2018" s="77" t="s">
        <v>7223</v>
      </c>
      <c r="AB2018" s="77" t="s">
        <v>7696</v>
      </c>
      <c r="AC2018" s="82" t="s">
        <v>7710</v>
      </c>
      <c r="AD2018" s="77" t="s">
        <v>7745</v>
      </c>
      <c r="AE2018" s="80" t="str">
        <f>HYPERLINK("https://twitter.com/arkaonline_/status/1667548804143362049")</f>
        <v>https://twitter.com/arkaonline_/status/1667548804143362049</v>
      </c>
      <c r="AF2018" s="79">
        <v>45087.629525462966</v>
      </c>
      <c r="AG2018" s="85">
        <v>45087</v>
      </c>
      <c r="AH2018" s="82" t="s">
        <v>9554</v>
      </c>
      <c r="AI2018" s="77" t="b">
        <v>0</v>
      </c>
      <c r="AJ2018" s="77"/>
      <c r="AK2018" s="77"/>
      <c r="AL2018" s="77"/>
      <c r="AM2018" s="77"/>
      <c r="AN2018" s="77"/>
      <c r="AO2018" s="77"/>
      <c r="AP2018" s="77"/>
      <c r="AQ2018" s="77" t="s">
        <v>11730</v>
      </c>
      <c r="AR2018" s="77"/>
      <c r="AS2018" s="77"/>
      <c r="AT2018" s="77"/>
      <c r="AU2018" s="77"/>
      <c r="AV2018" s="80" t="str">
        <f>HYPERLINK("https://pbs.twimg.com/media/FyRSzP_XsAYUHWC.jpg")</f>
        <v>https://pbs.twimg.com/media/FyRSzP_XsAYUHWC.jpg</v>
      </c>
      <c r="AW2018" s="82" t="s">
        <v>14180</v>
      </c>
      <c r="AX2018" s="82" t="s">
        <v>14180</v>
      </c>
      <c r="AY2018" s="77"/>
      <c r="AZ2018" s="82" t="s">
        <v>15804</v>
      </c>
      <c r="BA2018" s="82" t="s">
        <v>15804</v>
      </c>
      <c r="BB2018" s="82" t="s">
        <v>15804</v>
      </c>
      <c r="BC2018" s="82" t="s">
        <v>14180</v>
      </c>
      <c r="BD2018" s="82" t="s">
        <v>16495</v>
      </c>
      <c r="BE2018" s="77"/>
      <c r="BF2018" s="77"/>
      <c r="BG2018" s="77"/>
      <c r="BH2018" s="77"/>
      <c r="BI2018" s="77"/>
    </row>
    <row r="2019" spans="1:61" x14ac:dyDescent="0.25">
      <c r="A2019" s="62" t="s">
        <v>853</v>
      </c>
      <c r="B2019" s="62" t="s">
        <v>853</v>
      </c>
      <c r="C2019" s="63"/>
      <c r="D2019" s="64"/>
      <c r="E2019" s="65"/>
      <c r="F2019" s="66"/>
      <c r="G2019" s="63"/>
      <c r="H2019" s="67"/>
      <c r="I2019" s="68"/>
      <c r="J2019" s="68"/>
      <c r="K2019" s="32"/>
      <c r="L2019" s="75">
        <v>2019</v>
      </c>
      <c r="M2019" s="75"/>
      <c r="N2019" s="70"/>
      <c r="O2019" s="77" t="s">
        <v>179</v>
      </c>
      <c r="P2019" s="79">
        <v>45087.125289351854</v>
      </c>
      <c r="Q2019" s="77" t="s">
        <v>3069</v>
      </c>
      <c r="R2019" s="77">
        <v>1</v>
      </c>
      <c r="S2019" s="77">
        <v>0</v>
      </c>
      <c r="T2019" s="77">
        <v>0</v>
      </c>
      <c r="U2019" s="77">
        <v>0</v>
      </c>
      <c r="V2019" s="77">
        <v>4</v>
      </c>
      <c r="W2019" s="82" t="s">
        <v>4105</v>
      </c>
      <c r="X2019" s="80" t="str">
        <f>HYPERLINK("https://www.arkaonline.com.br/blog/?p=7580")</f>
        <v>https://www.arkaonline.com.br/blog/?p=7580</v>
      </c>
      <c r="Y2019" s="77" t="s">
        <v>6002</v>
      </c>
      <c r="Z2019" s="77"/>
      <c r="AA2019" s="77" t="s">
        <v>7224</v>
      </c>
      <c r="AB2019" s="77" t="s">
        <v>7696</v>
      </c>
      <c r="AC2019" s="82" t="s">
        <v>7710</v>
      </c>
      <c r="AD2019" s="77" t="s">
        <v>7745</v>
      </c>
      <c r="AE2019" s="80" t="str">
        <f>HYPERLINK("https://twitter.com/arkaonline_/status/1667366077733519360")</f>
        <v>https://twitter.com/arkaonline_/status/1667366077733519360</v>
      </c>
      <c r="AF2019" s="79">
        <v>45087.125289351854</v>
      </c>
      <c r="AG2019" s="85">
        <v>45087</v>
      </c>
      <c r="AH2019" s="82" t="s">
        <v>9555</v>
      </c>
      <c r="AI2019" s="77" t="b">
        <v>0</v>
      </c>
      <c r="AJ2019" s="77"/>
      <c r="AK2019" s="77"/>
      <c r="AL2019" s="77"/>
      <c r="AM2019" s="77"/>
      <c r="AN2019" s="77"/>
      <c r="AO2019" s="77"/>
      <c r="AP2019" s="77"/>
      <c r="AQ2019" s="77" t="s">
        <v>11731</v>
      </c>
      <c r="AR2019" s="77"/>
      <c r="AS2019" s="77"/>
      <c r="AT2019" s="77"/>
      <c r="AU2019" s="77"/>
      <c r="AV2019" s="80" t="str">
        <f>HYPERLINK("https://pbs.twimg.com/media/FyOsnKpXwAE8rzy.jpg")</f>
        <v>https://pbs.twimg.com/media/FyOsnKpXwAE8rzy.jpg</v>
      </c>
      <c r="AW2019" s="82" t="s">
        <v>14181</v>
      </c>
      <c r="AX2019" s="82" t="s">
        <v>14181</v>
      </c>
      <c r="AY2019" s="77"/>
      <c r="AZ2019" s="82" t="s">
        <v>15804</v>
      </c>
      <c r="BA2019" s="82" t="s">
        <v>15804</v>
      </c>
      <c r="BB2019" s="82" t="s">
        <v>15804</v>
      </c>
      <c r="BC2019" s="82" t="s">
        <v>14181</v>
      </c>
      <c r="BD2019" s="82" t="s">
        <v>16495</v>
      </c>
      <c r="BE2019" s="77"/>
      <c r="BF2019" s="77"/>
      <c r="BG2019" s="77"/>
      <c r="BH2019" s="77"/>
      <c r="BI2019" s="77"/>
    </row>
    <row r="2020" spans="1:61" x14ac:dyDescent="0.25">
      <c r="A2020" s="62" t="s">
        <v>854</v>
      </c>
      <c r="B2020" s="62" t="s">
        <v>1114</v>
      </c>
      <c r="C2020" s="63"/>
      <c r="D2020" s="64"/>
      <c r="E2020" s="65"/>
      <c r="F2020" s="66"/>
      <c r="G2020" s="63"/>
      <c r="H2020" s="67"/>
      <c r="I2020" s="68"/>
      <c r="J2020" s="68"/>
      <c r="K2020" s="32"/>
      <c r="L2020" s="75">
        <v>2020</v>
      </c>
      <c r="M2020" s="75"/>
      <c r="N2020" s="70"/>
      <c r="O2020" s="77" t="s">
        <v>1133</v>
      </c>
      <c r="P2020" s="79">
        <v>45023.976736111108</v>
      </c>
      <c r="Q2020" s="77" t="s">
        <v>3070</v>
      </c>
      <c r="R2020" s="77">
        <v>0</v>
      </c>
      <c r="S2020" s="77">
        <v>0</v>
      </c>
      <c r="T2020" s="77">
        <v>0</v>
      </c>
      <c r="U2020" s="77">
        <v>0</v>
      </c>
      <c r="V2020" s="77">
        <v>55</v>
      </c>
      <c r="W2020" s="82" t="s">
        <v>5346</v>
      </c>
      <c r="X2020" s="77"/>
      <c r="Y2020" s="77"/>
      <c r="Z2020" s="77" t="s">
        <v>6140</v>
      </c>
      <c r="AA2020" s="77" t="s">
        <v>7225</v>
      </c>
      <c r="AB2020" s="77" t="s">
        <v>7696</v>
      </c>
      <c r="AC2020" s="82" t="s">
        <v>7707</v>
      </c>
      <c r="AD2020" s="77" t="s">
        <v>7745</v>
      </c>
      <c r="AE2020" s="80" t="str">
        <f>HYPERLINK("https://twitter.com/beatrizdiascc/status/1644481808111738881")</f>
        <v>https://twitter.com/beatrizdiascc/status/1644481808111738881</v>
      </c>
      <c r="AF2020" s="79">
        <v>45023.976736111108</v>
      </c>
      <c r="AG2020" s="85">
        <v>45023</v>
      </c>
      <c r="AH2020" s="82" t="s">
        <v>9556</v>
      </c>
      <c r="AI2020" s="77" t="b">
        <v>0</v>
      </c>
      <c r="AJ2020" s="77"/>
      <c r="AK2020" s="77"/>
      <c r="AL2020" s="77"/>
      <c r="AM2020" s="77"/>
      <c r="AN2020" s="77"/>
      <c r="AO2020" s="77"/>
      <c r="AP2020" s="77"/>
      <c r="AQ2020" s="77" t="s">
        <v>11732</v>
      </c>
      <c r="AR2020" s="77"/>
      <c r="AS2020" s="77"/>
      <c r="AT2020" s="77"/>
      <c r="AU2020" s="77"/>
      <c r="AV2020" s="80" t="str">
        <f>HYPERLINK("https://pbs.twimg.com/media/FtJffVWWwAIpDBc.jpg")</f>
        <v>https://pbs.twimg.com/media/FtJffVWWwAIpDBc.jpg</v>
      </c>
      <c r="AW2020" s="82" t="s">
        <v>14182</v>
      </c>
      <c r="AX2020" s="82" t="s">
        <v>14182</v>
      </c>
      <c r="AY2020" s="77"/>
      <c r="AZ2020" s="82" t="s">
        <v>15804</v>
      </c>
      <c r="BA2020" s="82" t="s">
        <v>15804</v>
      </c>
      <c r="BB2020" s="82" t="s">
        <v>15804</v>
      </c>
      <c r="BC2020" s="82" t="s">
        <v>14182</v>
      </c>
      <c r="BD2020" s="82" t="s">
        <v>16496</v>
      </c>
      <c r="BE2020" s="77"/>
      <c r="BF2020" s="77"/>
      <c r="BG2020" s="77"/>
      <c r="BH2020" s="77"/>
      <c r="BI2020" s="77"/>
    </row>
    <row r="2021" spans="1:61" x14ac:dyDescent="0.25">
      <c r="A2021" s="62" t="s">
        <v>854</v>
      </c>
      <c r="B2021" s="62" t="s">
        <v>1115</v>
      </c>
      <c r="C2021" s="63"/>
      <c r="D2021" s="64"/>
      <c r="E2021" s="65"/>
      <c r="F2021" s="66"/>
      <c r="G2021" s="63"/>
      <c r="H2021" s="67"/>
      <c r="I2021" s="68"/>
      <c r="J2021" s="68"/>
      <c r="K2021" s="32"/>
      <c r="L2021" s="75">
        <v>2021</v>
      </c>
      <c r="M2021" s="75"/>
      <c r="N2021" s="70"/>
      <c r="O2021" s="77" t="s">
        <v>1133</v>
      </c>
      <c r="P2021" s="79">
        <v>45023.976736111108</v>
      </c>
      <c r="Q2021" s="77" t="s">
        <v>3070</v>
      </c>
      <c r="R2021" s="77">
        <v>0</v>
      </c>
      <c r="S2021" s="77">
        <v>0</v>
      </c>
      <c r="T2021" s="77">
        <v>0</v>
      </c>
      <c r="U2021" s="77">
        <v>0</v>
      </c>
      <c r="V2021" s="77">
        <v>55</v>
      </c>
      <c r="W2021" s="82" t="s">
        <v>5346</v>
      </c>
      <c r="X2021" s="77"/>
      <c r="Y2021" s="77"/>
      <c r="Z2021" s="77" t="s">
        <v>6140</v>
      </c>
      <c r="AA2021" s="77" t="s">
        <v>7225</v>
      </c>
      <c r="AB2021" s="77" t="s">
        <v>7696</v>
      </c>
      <c r="AC2021" s="82" t="s">
        <v>7707</v>
      </c>
      <c r="AD2021" s="77" t="s">
        <v>7745</v>
      </c>
      <c r="AE2021" s="80" t="str">
        <f>HYPERLINK("https://twitter.com/beatrizdiascc/status/1644481808111738881")</f>
        <v>https://twitter.com/beatrizdiascc/status/1644481808111738881</v>
      </c>
      <c r="AF2021" s="79">
        <v>45023.976736111108</v>
      </c>
      <c r="AG2021" s="85">
        <v>45023</v>
      </c>
      <c r="AH2021" s="82" t="s">
        <v>9556</v>
      </c>
      <c r="AI2021" s="77" t="b">
        <v>0</v>
      </c>
      <c r="AJ2021" s="77"/>
      <c r="AK2021" s="77"/>
      <c r="AL2021" s="77"/>
      <c r="AM2021" s="77"/>
      <c r="AN2021" s="77"/>
      <c r="AO2021" s="77"/>
      <c r="AP2021" s="77"/>
      <c r="AQ2021" s="77" t="s">
        <v>11732</v>
      </c>
      <c r="AR2021" s="77"/>
      <c r="AS2021" s="77"/>
      <c r="AT2021" s="77"/>
      <c r="AU2021" s="77"/>
      <c r="AV2021" s="80" t="str">
        <f>HYPERLINK("https://pbs.twimg.com/media/FtJffVWWwAIpDBc.jpg")</f>
        <v>https://pbs.twimg.com/media/FtJffVWWwAIpDBc.jpg</v>
      </c>
      <c r="AW2021" s="82" t="s">
        <v>14182</v>
      </c>
      <c r="AX2021" s="82" t="s">
        <v>14182</v>
      </c>
      <c r="AY2021" s="77"/>
      <c r="AZ2021" s="82" t="s">
        <v>15804</v>
      </c>
      <c r="BA2021" s="82" t="s">
        <v>15804</v>
      </c>
      <c r="BB2021" s="82" t="s">
        <v>15804</v>
      </c>
      <c r="BC2021" s="82" t="s">
        <v>14182</v>
      </c>
      <c r="BD2021" s="82" t="s">
        <v>16496</v>
      </c>
      <c r="BE2021" s="77"/>
      <c r="BF2021" s="77"/>
      <c r="BG2021" s="77"/>
      <c r="BH2021" s="77"/>
      <c r="BI2021" s="77"/>
    </row>
    <row r="2022" spans="1:61" x14ac:dyDescent="0.25">
      <c r="A2022" s="62" t="s">
        <v>854</v>
      </c>
      <c r="B2022" s="62" t="s">
        <v>854</v>
      </c>
      <c r="C2022" s="63"/>
      <c r="D2022" s="64"/>
      <c r="E2022" s="65"/>
      <c r="F2022" s="66"/>
      <c r="G2022" s="63"/>
      <c r="H2022" s="67"/>
      <c r="I2022" s="68"/>
      <c r="J2022" s="68"/>
      <c r="K2022" s="32"/>
      <c r="L2022" s="75">
        <v>2022</v>
      </c>
      <c r="M2022" s="75"/>
      <c r="N2022" s="70"/>
      <c r="O2022" s="77" t="s">
        <v>179</v>
      </c>
      <c r="P2022" s="79">
        <v>45029.06790509259</v>
      </c>
      <c r="Q2022" s="77" t="s">
        <v>3071</v>
      </c>
      <c r="R2022" s="77">
        <v>0</v>
      </c>
      <c r="S2022" s="77">
        <v>0</v>
      </c>
      <c r="T2022" s="77">
        <v>0</v>
      </c>
      <c r="U2022" s="77">
        <v>0</v>
      </c>
      <c r="V2022" s="77">
        <v>26</v>
      </c>
      <c r="W2022" s="82" t="s">
        <v>5347</v>
      </c>
      <c r="X2022" s="77"/>
      <c r="Y2022" s="77"/>
      <c r="Z2022" s="77"/>
      <c r="AA2022" s="77" t="s">
        <v>7226</v>
      </c>
      <c r="AB2022" s="77" t="s">
        <v>7696</v>
      </c>
      <c r="AC2022" s="82" t="s">
        <v>7707</v>
      </c>
      <c r="AD2022" s="77" t="s">
        <v>7745</v>
      </c>
      <c r="AE2022" s="80" t="str">
        <f>HYPERLINK("https://twitter.com/beatrizdiascc/status/1646326786110771202")</f>
        <v>https://twitter.com/beatrizdiascc/status/1646326786110771202</v>
      </c>
      <c r="AF2022" s="79">
        <v>45029.06790509259</v>
      </c>
      <c r="AG2022" s="85">
        <v>45029</v>
      </c>
      <c r="AH2022" s="82" t="s">
        <v>9557</v>
      </c>
      <c r="AI2022" s="77" t="b">
        <v>0</v>
      </c>
      <c r="AJ2022" s="77"/>
      <c r="AK2022" s="77"/>
      <c r="AL2022" s="77"/>
      <c r="AM2022" s="77"/>
      <c r="AN2022" s="77"/>
      <c r="AO2022" s="77"/>
      <c r="AP2022" s="77"/>
      <c r="AQ2022" s="77" t="s">
        <v>11733</v>
      </c>
      <c r="AR2022" s="77"/>
      <c r="AS2022" s="77"/>
      <c r="AT2022" s="77"/>
      <c r="AU2022" s="77"/>
      <c r="AV2022" s="80" t="str">
        <f>HYPERLINK("https://pbs.twimg.com/media/FtjtfMFXgAAmv3s.jpg")</f>
        <v>https://pbs.twimg.com/media/FtjtfMFXgAAmv3s.jpg</v>
      </c>
      <c r="AW2022" s="82" t="s">
        <v>14183</v>
      </c>
      <c r="AX2022" s="82" t="s">
        <v>14183</v>
      </c>
      <c r="AY2022" s="77"/>
      <c r="AZ2022" s="82" t="s">
        <v>15804</v>
      </c>
      <c r="BA2022" s="82" t="s">
        <v>15804</v>
      </c>
      <c r="BB2022" s="82" t="s">
        <v>15804</v>
      </c>
      <c r="BC2022" s="82" t="s">
        <v>14183</v>
      </c>
      <c r="BD2022" s="82" t="s">
        <v>16496</v>
      </c>
      <c r="BE2022" s="77"/>
      <c r="BF2022" s="77"/>
      <c r="BG2022" s="77"/>
      <c r="BH2022" s="77"/>
      <c r="BI2022" s="77"/>
    </row>
    <row r="2023" spans="1:61" x14ac:dyDescent="0.25">
      <c r="A2023" s="62" t="s">
        <v>854</v>
      </c>
      <c r="B2023" s="62" t="s">
        <v>854</v>
      </c>
      <c r="C2023" s="63"/>
      <c r="D2023" s="64"/>
      <c r="E2023" s="65"/>
      <c r="F2023" s="66"/>
      <c r="G2023" s="63"/>
      <c r="H2023" s="67"/>
      <c r="I2023" s="68"/>
      <c r="J2023" s="68"/>
      <c r="K2023" s="32"/>
      <c r="L2023" s="75">
        <v>2023</v>
      </c>
      <c r="M2023" s="75"/>
      <c r="N2023" s="70"/>
      <c r="O2023" s="77" t="s">
        <v>179</v>
      </c>
      <c r="P2023" s="79">
        <v>45036.508668981478</v>
      </c>
      <c r="Q2023" s="77" t="s">
        <v>3072</v>
      </c>
      <c r="R2023" s="77">
        <v>0</v>
      </c>
      <c r="S2023" s="77">
        <v>0</v>
      </c>
      <c r="T2023" s="77">
        <v>0</v>
      </c>
      <c r="U2023" s="77">
        <v>0</v>
      </c>
      <c r="V2023" s="77">
        <v>24</v>
      </c>
      <c r="W2023" s="82" t="s">
        <v>5348</v>
      </c>
      <c r="X2023" s="77"/>
      <c r="Y2023" s="77"/>
      <c r="Z2023" s="77"/>
      <c r="AA2023" s="77" t="s">
        <v>7227</v>
      </c>
      <c r="AB2023" s="77" t="s">
        <v>7697</v>
      </c>
      <c r="AC2023" s="82" t="s">
        <v>7707</v>
      </c>
      <c r="AD2023" s="77" t="s">
        <v>7745</v>
      </c>
      <c r="AE2023" s="80" t="str">
        <f>HYPERLINK("https://twitter.com/beatrizdiascc/status/1649023228059217924")</f>
        <v>https://twitter.com/beatrizdiascc/status/1649023228059217924</v>
      </c>
      <c r="AF2023" s="79">
        <v>45036.508668981478</v>
      </c>
      <c r="AG2023" s="85">
        <v>45036</v>
      </c>
      <c r="AH2023" s="82" t="s">
        <v>9558</v>
      </c>
      <c r="AI2023" s="77" t="b">
        <v>0</v>
      </c>
      <c r="AJ2023" s="77"/>
      <c r="AK2023" s="77"/>
      <c r="AL2023" s="77"/>
      <c r="AM2023" s="77"/>
      <c r="AN2023" s="77"/>
      <c r="AO2023" s="77"/>
      <c r="AP2023" s="77"/>
      <c r="AQ2023" s="77" t="s">
        <v>11734</v>
      </c>
      <c r="AR2023" s="77">
        <v>33066</v>
      </c>
      <c r="AS2023" s="77"/>
      <c r="AT2023" s="77"/>
      <c r="AU2023" s="77">
        <v>7</v>
      </c>
      <c r="AV2023" s="80" t="str">
        <f>HYPERLINK("https://pbs.twimg.com/ext_tw_video_thumb/1649023001080340481/pu/img/6N63QBLNGJBLe7A-.jpg")</f>
        <v>https://pbs.twimg.com/ext_tw_video_thumb/1649023001080340481/pu/img/6N63QBLNGJBLe7A-.jpg</v>
      </c>
      <c r="AW2023" s="82" t="s">
        <v>14184</v>
      </c>
      <c r="AX2023" s="82" t="s">
        <v>14184</v>
      </c>
      <c r="AY2023" s="77"/>
      <c r="AZ2023" s="82" t="s">
        <v>15804</v>
      </c>
      <c r="BA2023" s="82" t="s">
        <v>15804</v>
      </c>
      <c r="BB2023" s="82" t="s">
        <v>15804</v>
      </c>
      <c r="BC2023" s="82" t="s">
        <v>14184</v>
      </c>
      <c r="BD2023" s="82" t="s">
        <v>16496</v>
      </c>
      <c r="BE2023" s="77"/>
      <c r="BF2023" s="77"/>
      <c r="BG2023" s="77"/>
      <c r="BH2023" s="77"/>
      <c r="BI2023" s="77"/>
    </row>
    <row r="2024" spans="1:61" x14ac:dyDescent="0.25">
      <c r="A2024" s="62" t="s">
        <v>855</v>
      </c>
      <c r="B2024" s="62" t="s">
        <v>855</v>
      </c>
      <c r="C2024" s="63"/>
      <c r="D2024" s="64"/>
      <c r="E2024" s="65"/>
      <c r="F2024" s="66"/>
      <c r="G2024" s="63"/>
      <c r="H2024" s="67"/>
      <c r="I2024" s="68"/>
      <c r="J2024" s="68"/>
      <c r="K2024" s="32"/>
      <c r="L2024" s="75">
        <v>2024</v>
      </c>
      <c r="M2024" s="75"/>
      <c r="N2024" s="70"/>
      <c r="O2024" s="77" t="s">
        <v>179</v>
      </c>
      <c r="P2024" s="79">
        <v>45083.623124999998</v>
      </c>
      <c r="Q2024" s="77" t="s">
        <v>3073</v>
      </c>
      <c r="R2024" s="77">
        <v>0</v>
      </c>
      <c r="S2024" s="77">
        <v>0</v>
      </c>
      <c r="T2024" s="77">
        <v>0</v>
      </c>
      <c r="U2024" s="77">
        <v>0</v>
      </c>
      <c r="V2024" s="77">
        <v>12</v>
      </c>
      <c r="W2024" s="82" t="s">
        <v>5349</v>
      </c>
      <c r="X2024" s="77"/>
      <c r="Y2024" s="77"/>
      <c r="Z2024" s="77"/>
      <c r="AA2024" s="77"/>
      <c r="AB2024" s="77"/>
      <c r="AC2024" s="82" t="s">
        <v>7706</v>
      </c>
      <c r="AD2024" s="77" t="s">
        <v>7745</v>
      </c>
      <c r="AE2024" s="80" t="str">
        <f>HYPERLINK("https://twitter.com/arthurbahia_/status/1666096936120897538")</f>
        <v>https://twitter.com/arthurbahia_/status/1666096936120897538</v>
      </c>
      <c r="AF2024" s="79">
        <v>45083.623124999998</v>
      </c>
      <c r="AG2024" s="85">
        <v>45083</v>
      </c>
      <c r="AH2024" s="82" t="s">
        <v>9559</v>
      </c>
      <c r="AI2024" s="77"/>
      <c r="AJ2024" s="77"/>
      <c r="AK2024" s="77"/>
      <c r="AL2024" s="77"/>
      <c r="AM2024" s="77"/>
      <c r="AN2024" s="77"/>
      <c r="AO2024" s="77"/>
      <c r="AP2024" s="77"/>
      <c r="AQ2024" s="77"/>
      <c r="AR2024" s="77"/>
      <c r="AS2024" s="77"/>
      <c r="AT2024" s="77"/>
      <c r="AU2024" s="77"/>
      <c r="AV2024" s="80" t="str">
        <f>HYPERLINK("https://pbs.twimg.com/profile_images/1646169701943320585/nbqO-sGM_normal.jpg")</f>
        <v>https://pbs.twimg.com/profile_images/1646169701943320585/nbqO-sGM_normal.jpg</v>
      </c>
      <c r="AW2024" s="82" t="s">
        <v>14185</v>
      </c>
      <c r="AX2024" s="82" t="s">
        <v>14185</v>
      </c>
      <c r="AY2024" s="77"/>
      <c r="AZ2024" s="82" t="s">
        <v>15804</v>
      </c>
      <c r="BA2024" s="82" t="s">
        <v>15804</v>
      </c>
      <c r="BB2024" s="82" t="s">
        <v>15804</v>
      </c>
      <c r="BC2024" s="82" t="s">
        <v>14185</v>
      </c>
      <c r="BD2024" s="82" t="s">
        <v>16497</v>
      </c>
      <c r="BE2024" s="77"/>
      <c r="BF2024" s="77"/>
      <c r="BG2024" s="77"/>
      <c r="BH2024" s="77"/>
      <c r="BI2024" s="77"/>
    </row>
    <row r="2025" spans="1:61" x14ac:dyDescent="0.25">
      <c r="A2025" s="62" t="s">
        <v>856</v>
      </c>
      <c r="B2025" s="62" t="s">
        <v>856</v>
      </c>
      <c r="C2025" s="63"/>
      <c r="D2025" s="64"/>
      <c r="E2025" s="65"/>
      <c r="F2025" s="66"/>
      <c r="G2025" s="63"/>
      <c r="H2025" s="67"/>
      <c r="I2025" s="68"/>
      <c r="J2025" s="68"/>
      <c r="K2025" s="32"/>
      <c r="L2025" s="75">
        <v>2025</v>
      </c>
      <c r="M2025" s="75"/>
      <c r="N2025" s="70"/>
      <c r="O2025" s="77" t="s">
        <v>179</v>
      </c>
      <c r="P2025" s="79">
        <v>45022.567824074074</v>
      </c>
      <c r="Q2025" s="77" t="s">
        <v>3074</v>
      </c>
      <c r="R2025" s="77">
        <v>0</v>
      </c>
      <c r="S2025" s="77">
        <v>0</v>
      </c>
      <c r="T2025" s="77">
        <v>0</v>
      </c>
      <c r="U2025" s="77">
        <v>0</v>
      </c>
      <c r="V2025" s="77">
        <v>9</v>
      </c>
      <c r="W2025" s="82" t="s">
        <v>5350</v>
      </c>
      <c r="X2025" s="80" t="str">
        <f>HYPERLINK("https://www.penedagerestv.com/post/alunos-cerveirenses-entre-os-vencedores-das-olimp%C3%ADadas-de-educa%C3%A7%C3%A3o-financeira")</f>
        <v>https://www.penedagerestv.com/post/alunos-cerveirenses-entre-os-vencedores-das-olimp%C3%ADadas-de-educa%C3%A7%C3%A3o-financeira</v>
      </c>
      <c r="Y2025" s="77" t="s">
        <v>6091</v>
      </c>
      <c r="Z2025" s="77"/>
      <c r="AA2025" s="77"/>
      <c r="AB2025" s="77"/>
      <c r="AC2025" s="82" t="s">
        <v>7706</v>
      </c>
      <c r="AD2025" s="77" t="s">
        <v>7745</v>
      </c>
      <c r="AE2025" s="80" t="str">
        <f>HYPERLINK("https://twitter.com/penedagerestv/status/1643971235943170049")</f>
        <v>https://twitter.com/penedagerestv/status/1643971235943170049</v>
      </c>
      <c r="AF2025" s="79">
        <v>45022.567824074074</v>
      </c>
      <c r="AG2025" s="85">
        <v>45022</v>
      </c>
      <c r="AH2025" s="82" t="s">
        <v>9560</v>
      </c>
      <c r="AI2025" s="77" t="b">
        <v>0</v>
      </c>
      <c r="AJ2025" s="77"/>
      <c r="AK2025" s="77"/>
      <c r="AL2025" s="77"/>
      <c r="AM2025" s="77"/>
      <c r="AN2025" s="77"/>
      <c r="AO2025" s="77"/>
      <c r="AP2025" s="77"/>
      <c r="AQ2025" s="77"/>
      <c r="AR2025" s="77"/>
      <c r="AS2025" s="77"/>
      <c r="AT2025" s="77"/>
      <c r="AU2025" s="77"/>
      <c r="AV2025" s="80" t="str">
        <f>HYPERLINK("https://pbs.twimg.com/profile_images/1027514443801022464/lg3iD2M-_normal.jpg")</f>
        <v>https://pbs.twimg.com/profile_images/1027514443801022464/lg3iD2M-_normal.jpg</v>
      </c>
      <c r="AW2025" s="82" t="s">
        <v>14186</v>
      </c>
      <c r="AX2025" s="82" t="s">
        <v>14186</v>
      </c>
      <c r="AY2025" s="77"/>
      <c r="AZ2025" s="82" t="s">
        <v>15804</v>
      </c>
      <c r="BA2025" s="82" t="s">
        <v>15804</v>
      </c>
      <c r="BB2025" s="82" t="s">
        <v>15804</v>
      </c>
      <c r="BC2025" s="82" t="s">
        <v>14186</v>
      </c>
      <c r="BD2025" s="82" t="s">
        <v>16498</v>
      </c>
      <c r="BE2025" s="77"/>
      <c r="BF2025" s="77"/>
      <c r="BG2025" s="77"/>
      <c r="BH2025" s="77"/>
      <c r="BI2025" s="77"/>
    </row>
    <row r="2026" spans="1:61" x14ac:dyDescent="0.25">
      <c r="A2026" s="62" t="s">
        <v>856</v>
      </c>
      <c r="B2026" s="62" t="s">
        <v>856</v>
      </c>
      <c r="C2026" s="63"/>
      <c r="D2026" s="64"/>
      <c r="E2026" s="65"/>
      <c r="F2026" s="66"/>
      <c r="G2026" s="63"/>
      <c r="H2026" s="67"/>
      <c r="I2026" s="68"/>
      <c r="J2026" s="68"/>
      <c r="K2026" s="32"/>
      <c r="L2026" s="75">
        <v>2026</v>
      </c>
      <c r="M2026" s="75"/>
      <c r="N2026" s="70"/>
      <c r="O2026" s="77" t="s">
        <v>179</v>
      </c>
      <c r="P2026" s="79">
        <v>45020.564583333333</v>
      </c>
      <c r="Q2026" s="77" t="s">
        <v>3075</v>
      </c>
      <c r="R2026" s="77">
        <v>0</v>
      </c>
      <c r="S2026" s="77">
        <v>0</v>
      </c>
      <c r="T2026" s="77">
        <v>0</v>
      </c>
      <c r="U2026" s="77">
        <v>0</v>
      </c>
      <c r="V2026" s="77">
        <v>5</v>
      </c>
      <c r="W2026" s="82" t="s">
        <v>5351</v>
      </c>
      <c r="X2026" s="80" t="str">
        <f>HYPERLINK("https://www.penedagerestv.com/post/turmas-da-cim-alto-minho-entre-os-vencedores-das-olimp%C3%ADadas-de-educa%C3%A7%C3%A3o-financeira")</f>
        <v>https://www.penedagerestv.com/post/turmas-da-cim-alto-minho-entre-os-vencedores-das-olimp%C3%ADadas-de-educa%C3%A7%C3%A3o-financeira</v>
      </c>
      <c r="Y2026" s="77" t="s">
        <v>6091</v>
      </c>
      <c r="Z2026" s="77"/>
      <c r="AA2026" s="77"/>
      <c r="AB2026" s="77"/>
      <c r="AC2026" s="82" t="s">
        <v>7706</v>
      </c>
      <c r="AD2026" s="77" t="s">
        <v>7745</v>
      </c>
      <c r="AE2026" s="80" t="str">
        <f>HYPERLINK("https://twitter.com/penedagerestv/status/1643245284321787907")</f>
        <v>https://twitter.com/penedagerestv/status/1643245284321787907</v>
      </c>
      <c r="AF2026" s="79">
        <v>45020.564583333333</v>
      </c>
      <c r="AG2026" s="85">
        <v>45020</v>
      </c>
      <c r="AH2026" s="82" t="s">
        <v>9561</v>
      </c>
      <c r="AI2026" s="77" t="b">
        <v>0</v>
      </c>
      <c r="AJ2026" s="77"/>
      <c r="AK2026" s="77"/>
      <c r="AL2026" s="77"/>
      <c r="AM2026" s="77"/>
      <c r="AN2026" s="77"/>
      <c r="AO2026" s="77"/>
      <c r="AP2026" s="77"/>
      <c r="AQ2026" s="77"/>
      <c r="AR2026" s="77"/>
      <c r="AS2026" s="77"/>
      <c r="AT2026" s="77"/>
      <c r="AU2026" s="77"/>
      <c r="AV2026" s="80" t="str">
        <f>HYPERLINK("https://pbs.twimg.com/profile_images/1027514443801022464/lg3iD2M-_normal.jpg")</f>
        <v>https://pbs.twimg.com/profile_images/1027514443801022464/lg3iD2M-_normal.jpg</v>
      </c>
      <c r="AW2026" s="82" t="s">
        <v>14187</v>
      </c>
      <c r="AX2026" s="82" t="s">
        <v>14187</v>
      </c>
      <c r="AY2026" s="77"/>
      <c r="AZ2026" s="82" t="s">
        <v>15804</v>
      </c>
      <c r="BA2026" s="82" t="s">
        <v>15804</v>
      </c>
      <c r="BB2026" s="82" t="s">
        <v>15804</v>
      </c>
      <c r="BC2026" s="82" t="s">
        <v>14187</v>
      </c>
      <c r="BD2026" s="82" t="s">
        <v>16498</v>
      </c>
      <c r="BE2026" s="77"/>
      <c r="BF2026" s="77"/>
      <c r="BG2026" s="77"/>
      <c r="BH2026" s="77"/>
      <c r="BI2026" s="77"/>
    </row>
    <row r="2027" spans="1:61" x14ac:dyDescent="0.25">
      <c r="A2027" s="62" t="s">
        <v>857</v>
      </c>
      <c r="B2027" s="62" t="s">
        <v>857</v>
      </c>
      <c r="C2027" s="63"/>
      <c r="D2027" s="64"/>
      <c r="E2027" s="65"/>
      <c r="F2027" s="66"/>
      <c r="G2027" s="63"/>
      <c r="H2027" s="67"/>
      <c r="I2027" s="68"/>
      <c r="J2027" s="68"/>
      <c r="K2027" s="32"/>
      <c r="L2027" s="75">
        <v>2027</v>
      </c>
      <c r="M2027" s="75"/>
      <c r="N2027" s="70"/>
      <c r="O2027" s="77" t="s">
        <v>179</v>
      </c>
      <c r="P2027" s="79">
        <v>45085.132581018515</v>
      </c>
      <c r="Q2027" s="77" t="s">
        <v>3076</v>
      </c>
      <c r="R2027" s="77">
        <v>0</v>
      </c>
      <c r="S2027" s="77">
        <v>0</v>
      </c>
      <c r="T2027" s="77">
        <v>0</v>
      </c>
      <c r="U2027" s="77">
        <v>0</v>
      </c>
      <c r="V2027" s="77">
        <v>67</v>
      </c>
      <c r="W2027" s="82" t="s">
        <v>5352</v>
      </c>
      <c r="X2027" s="80" t="str">
        <f>HYPERLINK("https://www.instagram.com/p/CqgJ47xupd3/?igshid=MTc4MmM1YmI2Ng==")</f>
        <v>https://www.instagram.com/p/CqgJ47xupd3/?igshid=MTc4MmM1YmI2Ng==</v>
      </c>
      <c r="Y2027" s="77" t="s">
        <v>6000</v>
      </c>
      <c r="Z2027" s="77"/>
      <c r="AA2027" s="77"/>
      <c r="AB2027" s="77"/>
      <c r="AC2027" s="82" t="s">
        <v>7707</v>
      </c>
      <c r="AD2027" s="77" t="s">
        <v>7745</v>
      </c>
      <c r="AE2027" s="80" t="str">
        <f>HYPERLINK("https://twitter.com/certificacaobr/status/1666643944137011203")</f>
        <v>https://twitter.com/certificacaobr/status/1666643944137011203</v>
      </c>
      <c r="AF2027" s="79">
        <v>45085.132581018515</v>
      </c>
      <c r="AG2027" s="85">
        <v>45085</v>
      </c>
      <c r="AH2027" s="82" t="s">
        <v>9562</v>
      </c>
      <c r="AI2027" s="77" t="b">
        <v>0</v>
      </c>
      <c r="AJ2027" s="77"/>
      <c r="AK2027" s="77"/>
      <c r="AL2027" s="77"/>
      <c r="AM2027" s="77"/>
      <c r="AN2027" s="77"/>
      <c r="AO2027" s="77"/>
      <c r="AP2027" s="77"/>
      <c r="AQ2027" s="77"/>
      <c r="AR2027" s="77"/>
      <c r="AS2027" s="77"/>
      <c r="AT2027" s="77"/>
      <c r="AU2027" s="77"/>
      <c r="AV2027" s="80" t="str">
        <f>HYPERLINK("https://pbs.twimg.com/profile_images/1584985390276116484/3pkxCj4x_normal.jpg")</f>
        <v>https://pbs.twimg.com/profile_images/1584985390276116484/3pkxCj4x_normal.jpg</v>
      </c>
      <c r="AW2027" s="82" t="s">
        <v>14188</v>
      </c>
      <c r="AX2027" s="82" t="s">
        <v>14188</v>
      </c>
      <c r="AY2027" s="77"/>
      <c r="AZ2027" s="82" t="s">
        <v>15804</v>
      </c>
      <c r="BA2027" s="82" t="s">
        <v>15804</v>
      </c>
      <c r="BB2027" s="82" t="s">
        <v>15804</v>
      </c>
      <c r="BC2027" s="82" t="s">
        <v>14188</v>
      </c>
      <c r="BD2027" s="77">
        <v>174852229</v>
      </c>
      <c r="BE2027" s="77"/>
      <c r="BF2027" s="77"/>
      <c r="BG2027" s="77"/>
      <c r="BH2027" s="77"/>
      <c r="BI2027" s="77"/>
    </row>
    <row r="2028" spans="1:61" x14ac:dyDescent="0.25">
      <c r="A2028" s="62" t="s">
        <v>858</v>
      </c>
      <c r="B2028" s="62" t="s">
        <v>858</v>
      </c>
      <c r="C2028" s="63"/>
      <c r="D2028" s="64"/>
      <c r="E2028" s="65"/>
      <c r="F2028" s="66"/>
      <c r="G2028" s="63"/>
      <c r="H2028" s="67"/>
      <c r="I2028" s="68"/>
      <c r="J2028" s="68"/>
      <c r="K2028" s="32"/>
      <c r="L2028" s="75">
        <v>2028</v>
      </c>
      <c r="M2028" s="75"/>
      <c r="N2028" s="70"/>
      <c r="O2028" s="77" t="s">
        <v>179</v>
      </c>
      <c r="P2028" s="79">
        <v>44993.441516203704</v>
      </c>
      <c r="Q2028" s="77" t="s">
        <v>3077</v>
      </c>
      <c r="R2028" s="77">
        <v>0</v>
      </c>
      <c r="S2028" s="77">
        <v>0</v>
      </c>
      <c r="T2028" s="77">
        <v>0</v>
      </c>
      <c r="U2028" s="77">
        <v>0</v>
      </c>
      <c r="V2028" s="77">
        <v>47</v>
      </c>
      <c r="W2028" s="82" t="s">
        <v>5353</v>
      </c>
      <c r="X2028" s="80" t="str">
        <f>HYPERLINK("https://www.moneytimes.com.br/como-funciona-a-tributacao-na-holding-rural/")</f>
        <v>https://www.moneytimes.com.br/como-funciona-a-tributacao-na-holding-rural/</v>
      </c>
      <c r="Y2028" s="77" t="s">
        <v>6002</v>
      </c>
      <c r="Z2028" s="77"/>
      <c r="AA2028" s="77"/>
      <c r="AB2028" s="77"/>
      <c r="AC2028" s="82" t="s">
        <v>7718</v>
      </c>
      <c r="AD2028" s="77" t="s">
        <v>7745</v>
      </c>
      <c r="AE2028" s="80" t="str">
        <f>HYPERLINK("https://twitter.com/leiaagrotimes/status/1633416213916180481")</f>
        <v>https://twitter.com/leiaagrotimes/status/1633416213916180481</v>
      </c>
      <c r="AF2028" s="79">
        <v>44993.441516203704</v>
      </c>
      <c r="AG2028" s="85">
        <v>44993</v>
      </c>
      <c r="AH2028" s="82" t="s">
        <v>9563</v>
      </c>
      <c r="AI2028" s="77" t="b">
        <v>0</v>
      </c>
      <c r="AJ2028" s="77"/>
      <c r="AK2028" s="77"/>
      <c r="AL2028" s="77"/>
      <c r="AM2028" s="77"/>
      <c r="AN2028" s="77"/>
      <c r="AO2028" s="77"/>
      <c r="AP2028" s="77"/>
      <c r="AQ2028" s="77"/>
      <c r="AR2028" s="77"/>
      <c r="AS2028" s="77"/>
      <c r="AT2028" s="77"/>
      <c r="AU2028" s="77"/>
      <c r="AV2028" s="80" t="str">
        <f>HYPERLINK("https://pbs.twimg.com/profile_images/1365395023072817162/ZI8fAPrO_normal.jpg")</f>
        <v>https://pbs.twimg.com/profile_images/1365395023072817162/ZI8fAPrO_normal.jpg</v>
      </c>
      <c r="AW2028" s="82" t="s">
        <v>14189</v>
      </c>
      <c r="AX2028" s="82" t="s">
        <v>14189</v>
      </c>
      <c r="AY2028" s="77"/>
      <c r="AZ2028" s="82" t="s">
        <v>15804</v>
      </c>
      <c r="BA2028" s="82" t="s">
        <v>15804</v>
      </c>
      <c r="BB2028" s="82" t="s">
        <v>15804</v>
      </c>
      <c r="BC2028" s="82" t="s">
        <v>14189</v>
      </c>
      <c r="BD2028" s="82" t="s">
        <v>16499</v>
      </c>
      <c r="BE2028" s="77"/>
      <c r="BF2028" s="77"/>
      <c r="BG2028" s="77"/>
      <c r="BH2028" s="77"/>
      <c r="BI2028" s="77"/>
    </row>
    <row r="2029" spans="1:61" x14ac:dyDescent="0.25">
      <c r="A2029" s="62" t="s">
        <v>859</v>
      </c>
      <c r="B2029" s="62" t="s">
        <v>859</v>
      </c>
      <c r="C2029" s="63"/>
      <c r="D2029" s="64"/>
      <c r="E2029" s="65"/>
      <c r="F2029" s="66"/>
      <c r="G2029" s="63"/>
      <c r="H2029" s="67"/>
      <c r="I2029" s="68"/>
      <c r="J2029" s="68"/>
      <c r="K2029" s="32"/>
      <c r="L2029" s="75">
        <v>2029</v>
      </c>
      <c r="M2029" s="75"/>
      <c r="N2029" s="70"/>
      <c r="O2029" s="77" t="s">
        <v>1132</v>
      </c>
      <c r="P2029" s="79">
        <v>45092.024884259263</v>
      </c>
      <c r="Q2029" s="77" t="s">
        <v>3078</v>
      </c>
      <c r="R2029" s="77">
        <v>0</v>
      </c>
      <c r="S2029" s="77">
        <v>0</v>
      </c>
      <c r="T2029" s="77">
        <v>0</v>
      </c>
      <c r="U2029" s="77">
        <v>0</v>
      </c>
      <c r="V2029" s="77">
        <v>9</v>
      </c>
      <c r="W2029" s="82" t="s">
        <v>4097</v>
      </c>
      <c r="X2029" s="77"/>
      <c r="Y2029" s="77"/>
      <c r="Z2029" s="77"/>
      <c r="AA2029" s="77"/>
      <c r="AB2029" s="77"/>
      <c r="AC2029" s="82" t="s">
        <v>7706</v>
      </c>
      <c r="AD2029" s="77" t="s">
        <v>7745</v>
      </c>
      <c r="AE2029" s="80" t="str">
        <f>HYPERLINK("https://twitter.com/andrewerneck_/status/1669141629754548232")</f>
        <v>https://twitter.com/andrewerneck_/status/1669141629754548232</v>
      </c>
      <c r="AF2029" s="79">
        <v>45092.024884259263</v>
      </c>
      <c r="AG2029" s="85">
        <v>45092</v>
      </c>
      <c r="AH2029" s="82" t="s">
        <v>9564</v>
      </c>
      <c r="AI2029" s="77"/>
      <c r="AJ2029" s="77"/>
      <c r="AK2029" s="77"/>
      <c r="AL2029" s="77"/>
      <c r="AM2029" s="77"/>
      <c r="AN2029" s="77"/>
      <c r="AO2029" s="77"/>
      <c r="AP2029" s="77"/>
      <c r="AQ2029" s="77"/>
      <c r="AR2029" s="77"/>
      <c r="AS2029" s="77"/>
      <c r="AT2029" s="77"/>
      <c r="AU2029" s="77"/>
      <c r="AV2029" s="80" t="str">
        <f>HYPERLINK("https://pbs.twimg.com/profile_images/1633264209675931648/8TquTmoQ_normal.jpg")</f>
        <v>https://pbs.twimg.com/profile_images/1633264209675931648/8TquTmoQ_normal.jpg</v>
      </c>
      <c r="AW2029" s="82" t="s">
        <v>14190</v>
      </c>
      <c r="AX2029" s="82" t="s">
        <v>15540</v>
      </c>
      <c r="AY2029" s="82" t="s">
        <v>15774</v>
      </c>
      <c r="AZ2029" s="82" t="s">
        <v>16066</v>
      </c>
      <c r="BA2029" s="82" t="s">
        <v>15804</v>
      </c>
      <c r="BB2029" s="82" t="s">
        <v>15804</v>
      </c>
      <c r="BC2029" s="82" t="s">
        <v>16066</v>
      </c>
      <c r="BD2029" s="82" t="s">
        <v>15774</v>
      </c>
      <c r="BE2029" s="77"/>
      <c r="BF2029" s="77"/>
      <c r="BG2029" s="77"/>
      <c r="BH2029" s="77"/>
      <c r="BI2029" s="77"/>
    </row>
    <row r="2030" spans="1:61" x14ac:dyDescent="0.25">
      <c r="A2030" s="62" t="s">
        <v>860</v>
      </c>
      <c r="B2030" s="62" t="s">
        <v>1116</v>
      </c>
      <c r="C2030" s="63"/>
      <c r="D2030" s="64"/>
      <c r="E2030" s="65"/>
      <c r="F2030" s="66"/>
      <c r="G2030" s="63"/>
      <c r="H2030" s="67"/>
      <c r="I2030" s="68"/>
      <c r="J2030" s="68"/>
      <c r="K2030" s="32"/>
      <c r="L2030" s="75">
        <v>2030</v>
      </c>
      <c r="M2030" s="75"/>
      <c r="N2030" s="70"/>
      <c r="O2030" s="77" t="s">
        <v>1133</v>
      </c>
      <c r="P2030" s="79">
        <v>45135.456828703704</v>
      </c>
      <c r="Q2030" s="77" t="s">
        <v>3079</v>
      </c>
      <c r="R2030" s="77">
        <v>0</v>
      </c>
      <c r="S2030" s="77">
        <v>0</v>
      </c>
      <c r="T2030" s="77">
        <v>0</v>
      </c>
      <c r="U2030" s="77">
        <v>0</v>
      </c>
      <c r="V2030" s="77">
        <v>52</v>
      </c>
      <c r="W2030" s="82" t="s">
        <v>5354</v>
      </c>
      <c r="X2030" s="77"/>
      <c r="Y2030" s="77"/>
      <c r="Z2030" s="77" t="s">
        <v>6141</v>
      </c>
      <c r="AA2030" s="77" t="s">
        <v>7228</v>
      </c>
      <c r="AB2030" s="77" t="s">
        <v>7696</v>
      </c>
      <c r="AC2030" s="82" t="s">
        <v>7707</v>
      </c>
      <c r="AD2030" s="77" t="s">
        <v>7745</v>
      </c>
      <c r="AE2030" s="80" t="str">
        <f>HYPERLINK("https://twitter.com/workshopdantas/status/1684880840432721920")</f>
        <v>https://twitter.com/workshopdantas/status/1684880840432721920</v>
      </c>
      <c r="AF2030" s="79">
        <v>45135.456828703704</v>
      </c>
      <c r="AG2030" s="85">
        <v>45135</v>
      </c>
      <c r="AH2030" s="82" t="s">
        <v>9565</v>
      </c>
      <c r="AI2030" s="77" t="b">
        <v>0</v>
      </c>
      <c r="AJ2030" s="77"/>
      <c r="AK2030" s="77"/>
      <c r="AL2030" s="77"/>
      <c r="AM2030" s="77"/>
      <c r="AN2030" s="77"/>
      <c r="AO2030" s="77"/>
      <c r="AP2030" s="77"/>
      <c r="AQ2030" s="77" t="s">
        <v>11735</v>
      </c>
      <c r="AR2030" s="77"/>
      <c r="AS2030" s="77"/>
      <c r="AT2030" s="77"/>
      <c r="AU2030" s="77"/>
      <c r="AV2030" s="80" t="str">
        <f>HYPERLINK("https://pbs.twimg.com/media/F2HmMekbcAAuTpe.jpg")</f>
        <v>https://pbs.twimg.com/media/F2HmMekbcAAuTpe.jpg</v>
      </c>
      <c r="AW2030" s="82" t="s">
        <v>14191</v>
      </c>
      <c r="AX2030" s="82" t="s">
        <v>14191</v>
      </c>
      <c r="AY2030" s="77"/>
      <c r="AZ2030" s="82" t="s">
        <v>15804</v>
      </c>
      <c r="BA2030" s="82" t="s">
        <v>15804</v>
      </c>
      <c r="BB2030" s="82" t="s">
        <v>15804</v>
      </c>
      <c r="BC2030" s="82" t="s">
        <v>14191</v>
      </c>
      <c r="BD2030" s="82" t="s">
        <v>16500</v>
      </c>
      <c r="BE2030" s="77"/>
      <c r="BF2030" s="77"/>
      <c r="BG2030" s="77"/>
      <c r="BH2030" s="77"/>
      <c r="BI2030" s="77"/>
    </row>
    <row r="2031" spans="1:61" x14ac:dyDescent="0.25">
      <c r="A2031" s="62" t="s">
        <v>860</v>
      </c>
      <c r="B2031" s="62" t="s">
        <v>1086</v>
      </c>
      <c r="C2031" s="63"/>
      <c r="D2031" s="64"/>
      <c r="E2031" s="65"/>
      <c r="F2031" s="66"/>
      <c r="G2031" s="63"/>
      <c r="H2031" s="67"/>
      <c r="I2031" s="68"/>
      <c r="J2031" s="68"/>
      <c r="K2031" s="32"/>
      <c r="L2031" s="75">
        <v>2031</v>
      </c>
      <c r="M2031" s="75"/>
      <c r="N2031" s="70"/>
      <c r="O2031" s="77" t="s">
        <v>1133</v>
      </c>
      <c r="P2031" s="79">
        <v>45130.933113425926</v>
      </c>
      <c r="Q2031" s="77" t="s">
        <v>3080</v>
      </c>
      <c r="R2031" s="77">
        <v>0</v>
      </c>
      <c r="S2031" s="77">
        <v>0</v>
      </c>
      <c r="T2031" s="77">
        <v>2</v>
      </c>
      <c r="U2031" s="77">
        <v>0</v>
      </c>
      <c r="V2031" s="77">
        <v>181</v>
      </c>
      <c r="W2031" s="82" t="s">
        <v>5355</v>
      </c>
      <c r="X2031" s="77"/>
      <c r="Y2031" s="77"/>
      <c r="Z2031" s="77" t="s">
        <v>6142</v>
      </c>
      <c r="AA2031" s="77" t="s">
        <v>7229</v>
      </c>
      <c r="AB2031" s="77" t="s">
        <v>7696</v>
      </c>
      <c r="AC2031" s="82" t="s">
        <v>7707</v>
      </c>
      <c r="AD2031" s="77" t="s">
        <v>7745</v>
      </c>
      <c r="AE2031" s="80" t="str">
        <f>HYPERLINK("https://twitter.com/workshopdantas/status/1683241500468019200")</f>
        <v>https://twitter.com/workshopdantas/status/1683241500468019200</v>
      </c>
      <c r="AF2031" s="79">
        <v>45130.933113425926</v>
      </c>
      <c r="AG2031" s="85">
        <v>45130</v>
      </c>
      <c r="AH2031" s="82" t="s">
        <v>9566</v>
      </c>
      <c r="AI2031" s="77" t="b">
        <v>0</v>
      </c>
      <c r="AJ2031" s="77"/>
      <c r="AK2031" s="77"/>
      <c r="AL2031" s="77"/>
      <c r="AM2031" s="77"/>
      <c r="AN2031" s="77"/>
      <c r="AO2031" s="77"/>
      <c r="AP2031" s="77"/>
      <c r="AQ2031" s="77" t="s">
        <v>11736</v>
      </c>
      <c r="AR2031" s="77"/>
      <c r="AS2031" s="77"/>
      <c r="AT2031" s="77"/>
      <c r="AU2031" s="77"/>
      <c r="AV2031" s="80" t="str">
        <f>HYPERLINK("https://pbs.twimg.com/media/F1wTODlXgAMFYga.jpg")</f>
        <v>https://pbs.twimg.com/media/F1wTODlXgAMFYga.jpg</v>
      </c>
      <c r="AW2031" s="82" t="s">
        <v>14192</v>
      </c>
      <c r="AX2031" s="82" t="s">
        <v>14192</v>
      </c>
      <c r="AY2031" s="77"/>
      <c r="AZ2031" s="82" t="s">
        <v>15804</v>
      </c>
      <c r="BA2031" s="82" t="s">
        <v>15804</v>
      </c>
      <c r="BB2031" s="82" t="s">
        <v>15804</v>
      </c>
      <c r="BC2031" s="82" t="s">
        <v>14192</v>
      </c>
      <c r="BD2031" s="82" t="s">
        <v>16500</v>
      </c>
      <c r="BE2031" s="77"/>
      <c r="BF2031" s="77"/>
      <c r="BG2031" s="77"/>
      <c r="BH2031" s="77"/>
      <c r="BI2031" s="77"/>
    </row>
    <row r="2032" spans="1:61" x14ac:dyDescent="0.25">
      <c r="A2032" s="62" t="s">
        <v>860</v>
      </c>
      <c r="B2032" s="62" t="s">
        <v>1117</v>
      </c>
      <c r="C2032" s="63"/>
      <c r="D2032" s="64"/>
      <c r="E2032" s="65"/>
      <c r="F2032" s="66"/>
      <c r="G2032" s="63"/>
      <c r="H2032" s="67"/>
      <c r="I2032" s="68"/>
      <c r="J2032" s="68"/>
      <c r="K2032" s="32"/>
      <c r="L2032" s="75">
        <v>2032</v>
      </c>
      <c r="M2032" s="75"/>
      <c r="N2032" s="70"/>
      <c r="O2032" s="77" t="s">
        <v>1133</v>
      </c>
      <c r="P2032" s="79">
        <v>45119.478668981479</v>
      </c>
      <c r="Q2032" s="77" t="s">
        <v>3081</v>
      </c>
      <c r="R2032" s="77">
        <v>0</v>
      </c>
      <c r="S2032" s="77">
        <v>2</v>
      </c>
      <c r="T2032" s="77">
        <v>1</v>
      </c>
      <c r="U2032" s="77">
        <v>0</v>
      </c>
      <c r="V2032" s="77">
        <v>47</v>
      </c>
      <c r="W2032" s="82" t="s">
        <v>5354</v>
      </c>
      <c r="X2032" s="77"/>
      <c r="Y2032" s="77"/>
      <c r="Z2032" s="77" t="s">
        <v>6143</v>
      </c>
      <c r="AA2032" s="77" t="s">
        <v>7230</v>
      </c>
      <c r="AB2032" s="77" t="s">
        <v>7696</v>
      </c>
      <c r="AC2032" s="82" t="s">
        <v>7707</v>
      </c>
      <c r="AD2032" s="77" t="s">
        <v>7745</v>
      </c>
      <c r="AE2032" s="80" t="str">
        <f>HYPERLINK("https://twitter.com/workshopdantas/status/1679090549804900352")</f>
        <v>https://twitter.com/workshopdantas/status/1679090549804900352</v>
      </c>
      <c r="AF2032" s="79">
        <v>45119.478668981479</v>
      </c>
      <c r="AG2032" s="85">
        <v>45119</v>
      </c>
      <c r="AH2032" s="82" t="s">
        <v>9567</v>
      </c>
      <c r="AI2032" s="77" t="b">
        <v>0</v>
      </c>
      <c r="AJ2032" s="77"/>
      <c r="AK2032" s="77"/>
      <c r="AL2032" s="77"/>
      <c r="AM2032" s="77"/>
      <c r="AN2032" s="77"/>
      <c r="AO2032" s="77"/>
      <c r="AP2032" s="77"/>
      <c r="AQ2032" s="77" t="s">
        <v>11737</v>
      </c>
      <c r="AR2032" s="77"/>
      <c r="AS2032" s="77"/>
      <c r="AT2032" s="77"/>
      <c r="AU2032" s="77"/>
      <c r="AV2032" s="80" t="str">
        <f>HYPERLINK("https://pbs.twimg.com/media/F01T9MnWYAAqxnf.jpg")</f>
        <v>https://pbs.twimg.com/media/F01T9MnWYAAqxnf.jpg</v>
      </c>
      <c r="AW2032" s="82" t="s">
        <v>14193</v>
      </c>
      <c r="AX2032" s="82" t="s">
        <v>14193</v>
      </c>
      <c r="AY2032" s="77"/>
      <c r="AZ2032" s="82" t="s">
        <v>15804</v>
      </c>
      <c r="BA2032" s="82" t="s">
        <v>15804</v>
      </c>
      <c r="BB2032" s="82" t="s">
        <v>15804</v>
      </c>
      <c r="BC2032" s="82" t="s">
        <v>14193</v>
      </c>
      <c r="BD2032" s="82" t="s">
        <v>16500</v>
      </c>
      <c r="BE2032" s="77"/>
      <c r="BF2032" s="77"/>
      <c r="BG2032" s="77"/>
      <c r="BH2032" s="77"/>
      <c r="BI2032" s="77"/>
    </row>
    <row r="2033" spans="1:61" x14ac:dyDescent="0.25">
      <c r="A2033" s="62" t="s">
        <v>860</v>
      </c>
      <c r="B2033" s="62" t="s">
        <v>860</v>
      </c>
      <c r="C2033" s="63"/>
      <c r="D2033" s="64"/>
      <c r="E2033" s="65"/>
      <c r="F2033" s="66"/>
      <c r="G2033" s="63"/>
      <c r="H2033" s="67"/>
      <c r="I2033" s="68"/>
      <c r="J2033" s="68"/>
      <c r="K2033" s="32"/>
      <c r="L2033" s="75">
        <v>2033</v>
      </c>
      <c r="M2033" s="75"/>
      <c r="N2033" s="70"/>
      <c r="O2033" s="77" t="s">
        <v>1133</v>
      </c>
      <c r="P2033" s="79">
        <v>45097.46806712963</v>
      </c>
      <c r="Q2033" s="77" t="s">
        <v>3082</v>
      </c>
      <c r="R2033" s="77">
        <v>0</v>
      </c>
      <c r="S2033" s="77">
        <v>0</v>
      </c>
      <c r="T2033" s="77">
        <v>0</v>
      </c>
      <c r="U2033" s="77">
        <v>0</v>
      </c>
      <c r="V2033" s="77">
        <v>34</v>
      </c>
      <c r="W2033" s="82" t="s">
        <v>5356</v>
      </c>
      <c r="X2033" s="77"/>
      <c r="Y2033" s="77"/>
      <c r="Z2033" s="77" t="s">
        <v>860</v>
      </c>
      <c r="AA2033" s="77" t="s">
        <v>7231</v>
      </c>
      <c r="AB2033" s="77" t="s">
        <v>7696</v>
      </c>
      <c r="AC2033" s="82" t="s">
        <v>7707</v>
      </c>
      <c r="AD2033" s="77" t="s">
        <v>7745</v>
      </c>
      <c r="AE2033" s="80" t="str">
        <f>HYPERLINK("https://twitter.com/workshopdantas/status/1671114175689400320")</f>
        <v>https://twitter.com/workshopdantas/status/1671114175689400320</v>
      </c>
      <c r="AF2033" s="79">
        <v>45097.46806712963</v>
      </c>
      <c r="AG2033" s="85">
        <v>45097</v>
      </c>
      <c r="AH2033" s="82" t="s">
        <v>9568</v>
      </c>
      <c r="AI2033" s="77" t="b">
        <v>0</v>
      </c>
      <c r="AJ2033" s="77"/>
      <c r="AK2033" s="77"/>
      <c r="AL2033" s="77"/>
      <c r="AM2033" s="77"/>
      <c r="AN2033" s="77"/>
      <c r="AO2033" s="77"/>
      <c r="AP2033" s="77"/>
      <c r="AQ2033" s="77" t="s">
        <v>11738</v>
      </c>
      <c r="AR2033" s="77"/>
      <c r="AS2033" s="77"/>
      <c r="AT2033" s="77"/>
      <c r="AU2033" s="77"/>
      <c r="AV2033" s="80" t="str">
        <f>HYPERLINK("https://pbs.twimg.com/media/FzD9fIBXsAAwroE.jpg")</f>
        <v>https://pbs.twimg.com/media/FzD9fIBXsAAwroE.jpg</v>
      </c>
      <c r="AW2033" s="82" t="s">
        <v>14194</v>
      </c>
      <c r="AX2033" s="82" t="s">
        <v>14194</v>
      </c>
      <c r="AY2033" s="77"/>
      <c r="AZ2033" s="82" t="s">
        <v>15804</v>
      </c>
      <c r="BA2033" s="82" t="s">
        <v>15804</v>
      </c>
      <c r="BB2033" s="82" t="s">
        <v>15804</v>
      </c>
      <c r="BC2033" s="82" t="s">
        <v>14194</v>
      </c>
      <c r="BD2033" s="82" t="s">
        <v>16500</v>
      </c>
      <c r="BE2033" s="77"/>
      <c r="BF2033" s="77"/>
      <c r="BG2033" s="77"/>
      <c r="BH2033" s="77"/>
      <c r="BI2033" s="77"/>
    </row>
    <row r="2034" spans="1:61" x14ac:dyDescent="0.25">
      <c r="A2034" s="62" t="s">
        <v>860</v>
      </c>
      <c r="B2034" s="62" t="s">
        <v>860</v>
      </c>
      <c r="C2034" s="63"/>
      <c r="D2034" s="64"/>
      <c r="E2034" s="65"/>
      <c r="F2034" s="66"/>
      <c r="G2034" s="63"/>
      <c r="H2034" s="67"/>
      <c r="I2034" s="68"/>
      <c r="J2034" s="68"/>
      <c r="K2034" s="32"/>
      <c r="L2034" s="75">
        <v>2034</v>
      </c>
      <c r="M2034" s="75"/>
      <c r="N2034" s="70"/>
      <c r="O2034" s="77" t="s">
        <v>1133</v>
      </c>
      <c r="P2034" s="79">
        <v>45137.432233796295</v>
      </c>
      <c r="Q2034" s="77" t="s">
        <v>3083</v>
      </c>
      <c r="R2034" s="77">
        <v>0</v>
      </c>
      <c r="S2034" s="77">
        <v>0</v>
      </c>
      <c r="T2034" s="77">
        <v>0</v>
      </c>
      <c r="U2034" s="77">
        <v>0</v>
      </c>
      <c r="V2034" s="77">
        <v>50</v>
      </c>
      <c r="W2034" s="82" t="s">
        <v>5357</v>
      </c>
      <c r="X2034" s="77"/>
      <c r="Y2034" s="77"/>
      <c r="Z2034" s="77" t="s">
        <v>860</v>
      </c>
      <c r="AA2034" s="77" t="s">
        <v>7232</v>
      </c>
      <c r="AB2034" s="77" t="s">
        <v>7696</v>
      </c>
      <c r="AC2034" s="82" t="s">
        <v>7707</v>
      </c>
      <c r="AD2034" s="77" t="s">
        <v>7745</v>
      </c>
      <c r="AE2034" s="80" t="str">
        <f>HYPERLINK("https://twitter.com/workshopdantas/status/1685596701896105985")</f>
        <v>https://twitter.com/workshopdantas/status/1685596701896105985</v>
      </c>
      <c r="AF2034" s="79">
        <v>45137.432233796295</v>
      </c>
      <c r="AG2034" s="85">
        <v>45137</v>
      </c>
      <c r="AH2034" s="82" t="s">
        <v>9569</v>
      </c>
      <c r="AI2034" s="77" t="b">
        <v>0</v>
      </c>
      <c r="AJ2034" s="77"/>
      <c r="AK2034" s="77"/>
      <c r="AL2034" s="77"/>
      <c r="AM2034" s="77"/>
      <c r="AN2034" s="77"/>
      <c r="AO2034" s="77"/>
      <c r="AP2034" s="77"/>
      <c r="AQ2034" s="77" t="s">
        <v>11739</v>
      </c>
      <c r="AR2034" s="77"/>
      <c r="AS2034" s="77"/>
      <c r="AT2034" s="77"/>
      <c r="AU2034" s="77"/>
      <c r="AV2034" s="80" t="str">
        <f>HYPERLINK("https://pbs.twimg.com/media/F2RxRFJXEAAV5Yx.jpg")</f>
        <v>https://pbs.twimg.com/media/F2RxRFJXEAAV5Yx.jpg</v>
      </c>
      <c r="AW2034" s="82" t="s">
        <v>14195</v>
      </c>
      <c r="AX2034" s="82" t="s">
        <v>14195</v>
      </c>
      <c r="AY2034" s="77"/>
      <c r="AZ2034" s="82" t="s">
        <v>15804</v>
      </c>
      <c r="BA2034" s="82" t="s">
        <v>15804</v>
      </c>
      <c r="BB2034" s="82" t="s">
        <v>15804</v>
      </c>
      <c r="BC2034" s="82" t="s">
        <v>14195</v>
      </c>
      <c r="BD2034" s="82" t="s">
        <v>16500</v>
      </c>
      <c r="BE2034" s="77"/>
      <c r="BF2034" s="77"/>
      <c r="BG2034" s="77"/>
      <c r="BH2034" s="77"/>
      <c r="BI2034" s="77"/>
    </row>
    <row r="2035" spans="1:61" x14ac:dyDescent="0.25">
      <c r="A2035" s="62" t="s">
        <v>860</v>
      </c>
      <c r="B2035" s="62" t="s">
        <v>860</v>
      </c>
      <c r="C2035" s="63"/>
      <c r="D2035" s="64"/>
      <c r="E2035" s="65"/>
      <c r="F2035" s="66"/>
      <c r="G2035" s="63"/>
      <c r="H2035" s="67"/>
      <c r="I2035" s="68"/>
      <c r="J2035" s="68"/>
      <c r="K2035" s="32"/>
      <c r="L2035" s="75">
        <v>2035</v>
      </c>
      <c r="M2035" s="75"/>
      <c r="N2035" s="70"/>
      <c r="O2035" s="77" t="s">
        <v>1133</v>
      </c>
      <c r="P2035" s="79">
        <v>45136.471944444442</v>
      </c>
      <c r="Q2035" s="77" t="s">
        <v>3084</v>
      </c>
      <c r="R2035" s="77">
        <v>0</v>
      </c>
      <c r="S2035" s="77">
        <v>0</v>
      </c>
      <c r="T2035" s="77">
        <v>1</v>
      </c>
      <c r="U2035" s="77">
        <v>0</v>
      </c>
      <c r="V2035" s="77">
        <v>81</v>
      </c>
      <c r="W2035" s="82" t="s">
        <v>5358</v>
      </c>
      <c r="X2035" s="77"/>
      <c r="Y2035" s="77"/>
      <c r="Z2035" s="77" t="s">
        <v>860</v>
      </c>
      <c r="AA2035" s="77" t="s">
        <v>7233</v>
      </c>
      <c r="AB2035" s="77" t="s">
        <v>7696</v>
      </c>
      <c r="AC2035" s="82" t="s">
        <v>7707</v>
      </c>
      <c r="AD2035" s="77" t="s">
        <v>7745</v>
      </c>
      <c r="AE2035" s="80" t="str">
        <f>HYPERLINK("https://twitter.com/workshopdantas/status/1685248705039904769")</f>
        <v>https://twitter.com/workshopdantas/status/1685248705039904769</v>
      </c>
      <c r="AF2035" s="79">
        <v>45136.471944444442</v>
      </c>
      <c r="AG2035" s="85">
        <v>45136</v>
      </c>
      <c r="AH2035" s="82" t="s">
        <v>9570</v>
      </c>
      <c r="AI2035" s="77" t="b">
        <v>0</v>
      </c>
      <c r="AJ2035" s="77"/>
      <c r="AK2035" s="77"/>
      <c r="AL2035" s="77"/>
      <c r="AM2035" s="77"/>
      <c r="AN2035" s="77"/>
      <c r="AO2035" s="77"/>
      <c r="AP2035" s="77"/>
      <c r="AQ2035" s="77" t="s">
        <v>11740</v>
      </c>
      <c r="AR2035" s="77"/>
      <c r="AS2035" s="77"/>
      <c r="AT2035" s="77"/>
      <c r="AU2035" s="77"/>
      <c r="AV2035" s="80" t="str">
        <f>HYPERLINK("https://pbs.twimg.com/media/F2M0xBNW4AAMNrh.jpg")</f>
        <v>https://pbs.twimg.com/media/F2M0xBNW4AAMNrh.jpg</v>
      </c>
      <c r="AW2035" s="82" t="s">
        <v>14196</v>
      </c>
      <c r="AX2035" s="82" t="s">
        <v>14196</v>
      </c>
      <c r="AY2035" s="77"/>
      <c r="AZ2035" s="82" t="s">
        <v>15804</v>
      </c>
      <c r="BA2035" s="82" t="s">
        <v>15804</v>
      </c>
      <c r="BB2035" s="82" t="s">
        <v>15804</v>
      </c>
      <c r="BC2035" s="82" t="s">
        <v>14196</v>
      </c>
      <c r="BD2035" s="82" t="s">
        <v>16500</v>
      </c>
      <c r="BE2035" s="77"/>
      <c r="BF2035" s="77"/>
      <c r="BG2035" s="77"/>
      <c r="BH2035" s="77"/>
      <c r="BI2035" s="77"/>
    </row>
    <row r="2036" spans="1:61" x14ac:dyDescent="0.25">
      <c r="A2036" s="62" t="s">
        <v>860</v>
      </c>
      <c r="B2036" s="62" t="s">
        <v>860</v>
      </c>
      <c r="C2036" s="63"/>
      <c r="D2036" s="64"/>
      <c r="E2036" s="65"/>
      <c r="F2036" s="66"/>
      <c r="G2036" s="63"/>
      <c r="H2036" s="67"/>
      <c r="I2036" s="68"/>
      <c r="J2036" s="68"/>
      <c r="K2036" s="32"/>
      <c r="L2036" s="75">
        <v>2036</v>
      </c>
      <c r="M2036" s="75"/>
      <c r="N2036" s="70"/>
      <c r="O2036" s="77" t="s">
        <v>1133</v>
      </c>
      <c r="P2036" s="79">
        <v>45136.110717592594</v>
      </c>
      <c r="Q2036" s="77" t="s">
        <v>3085</v>
      </c>
      <c r="R2036" s="77">
        <v>0</v>
      </c>
      <c r="S2036" s="77">
        <v>0</v>
      </c>
      <c r="T2036" s="77">
        <v>0</v>
      </c>
      <c r="U2036" s="77">
        <v>0</v>
      </c>
      <c r="V2036" s="77">
        <v>60</v>
      </c>
      <c r="W2036" s="82" t="s">
        <v>5359</v>
      </c>
      <c r="X2036" s="77"/>
      <c r="Y2036" s="77"/>
      <c r="Z2036" s="77" t="s">
        <v>860</v>
      </c>
      <c r="AA2036" s="77" t="s">
        <v>7234</v>
      </c>
      <c r="AB2036" s="77" t="s">
        <v>7697</v>
      </c>
      <c r="AC2036" s="82" t="s">
        <v>7707</v>
      </c>
      <c r="AD2036" s="77" t="s">
        <v>7745</v>
      </c>
      <c r="AE2036" s="80" t="str">
        <f>HYPERLINK("https://twitter.com/workshopdantas/status/1685117801311162369")</f>
        <v>https://twitter.com/workshopdantas/status/1685117801311162369</v>
      </c>
      <c r="AF2036" s="79">
        <v>45136.110717592594</v>
      </c>
      <c r="AG2036" s="85">
        <v>45136</v>
      </c>
      <c r="AH2036" s="82" t="s">
        <v>9571</v>
      </c>
      <c r="AI2036" s="77" t="b">
        <v>0</v>
      </c>
      <c r="AJ2036" s="77"/>
      <c r="AK2036" s="77"/>
      <c r="AL2036" s="77"/>
      <c r="AM2036" s="77"/>
      <c r="AN2036" s="77"/>
      <c r="AO2036" s="77"/>
      <c r="AP2036" s="77"/>
      <c r="AQ2036" s="77" t="s">
        <v>11741</v>
      </c>
      <c r="AR2036" s="77">
        <v>25912</v>
      </c>
      <c r="AS2036" s="77"/>
      <c r="AT2036" s="77"/>
      <c r="AU2036" s="77">
        <v>18</v>
      </c>
      <c r="AV2036" s="80" t="str">
        <f>HYPERLINK("https://pbs.twimg.com/ext_tw_video_thumb/1685117722953179136/pu/img/XBpb-CvjoiirR5pg.jpg")</f>
        <v>https://pbs.twimg.com/ext_tw_video_thumb/1685117722953179136/pu/img/XBpb-CvjoiirR5pg.jpg</v>
      </c>
      <c r="AW2036" s="82" t="s">
        <v>14197</v>
      </c>
      <c r="AX2036" s="82" t="s">
        <v>14197</v>
      </c>
      <c r="AY2036" s="77"/>
      <c r="AZ2036" s="82" t="s">
        <v>15804</v>
      </c>
      <c r="BA2036" s="82" t="s">
        <v>15804</v>
      </c>
      <c r="BB2036" s="82" t="s">
        <v>15804</v>
      </c>
      <c r="BC2036" s="82" t="s">
        <v>14197</v>
      </c>
      <c r="BD2036" s="82" t="s">
        <v>16500</v>
      </c>
      <c r="BE2036" s="77"/>
      <c r="BF2036" s="77"/>
      <c r="BG2036" s="77"/>
      <c r="BH2036" s="77"/>
      <c r="BI2036" s="77"/>
    </row>
    <row r="2037" spans="1:61" x14ac:dyDescent="0.25">
      <c r="A2037" s="62" t="s">
        <v>860</v>
      </c>
      <c r="B2037" s="62" t="s">
        <v>860</v>
      </c>
      <c r="C2037" s="63"/>
      <c r="D2037" s="64"/>
      <c r="E2037" s="65"/>
      <c r="F2037" s="66"/>
      <c r="G2037" s="63"/>
      <c r="H2037" s="67"/>
      <c r="I2037" s="68"/>
      <c r="J2037" s="68"/>
      <c r="K2037" s="32"/>
      <c r="L2037" s="75">
        <v>2037</v>
      </c>
      <c r="M2037" s="75"/>
      <c r="N2037" s="70"/>
      <c r="O2037" s="77" t="s">
        <v>1133</v>
      </c>
      <c r="P2037" s="79">
        <v>45132.958472222221</v>
      </c>
      <c r="Q2037" s="77" t="s">
        <v>3086</v>
      </c>
      <c r="R2037" s="77">
        <v>0</v>
      </c>
      <c r="S2037" s="77">
        <v>1</v>
      </c>
      <c r="T2037" s="77">
        <v>0</v>
      </c>
      <c r="U2037" s="77">
        <v>0</v>
      </c>
      <c r="V2037" s="77">
        <v>106</v>
      </c>
      <c r="W2037" s="82" t="s">
        <v>5360</v>
      </c>
      <c r="X2037" s="77"/>
      <c r="Y2037" s="77"/>
      <c r="Z2037" s="77" t="s">
        <v>860</v>
      </c>
      <c r="AA2037" s="77" t="s">
        <v>7235</v>
      </c>
      <c r="AB2037" s="77" t="s">
        <v>7696</v>
      </c>
      <c r="AC2037" s="82" t="s">
        <v>7707</v>
      </c>
      <c r="AD2037" s="77" t="s">
        <v>7745</v>
      </c>
      <c r="AE2037" s="80" t="str">
        <f>HYPERLINK("https://twitter.com/workshopdantas/status/1683975467299217410")</f>
        <v>https://twitter.com/workshopdantas/status/1683975467299217410</v>
      </c>
      <c r="AF2037" s="79">
        <v>45132.958472222221</v>
      </c>
      <c r="AG2037" s="85">
        <v>45132</v>
      </c>
      <c r="AH2037" s="82" t="s">
        <v>9572</v>
      </c>
      <c r="AI2037" s="77" t="b">
        <v>0</v>
      </c>
      <c r="AJ2037" s="77"/>
      <c r="AK2037" s="77"/>
      <c r="AL2037" s="77"/>
      <c r="AM2037" s="77"/>
      <c r="AN2037" s="77"/>
      <c r="AO2037" s="77"/>
      <c r="AP2037" s="77"/>
      <c r="AQ2037" s="77" t="s">
        <v>11742</v>
      </c>
      <c r="AR2037" s="77"/>
      <c r="AS2037" s="77"/>
      <c r="AT2037" s="77"/>
      <c r="AU2037" s="77"/>
      <c r="AV2037" s="80" t="str">
        <f>HYPERLINK("https://pbs.twimg.com/media/F16uwbPWAAA4hfA.jpg")</f>
        <v>https://pbs.twimg.com/media/F16uwbPWAAA4hfA.jpg</v>
      </c>
      <c r="AW2037" s="82" t="s">
        <v>14198</v>
      </c>
      <c r="AX2037" s="82" t="s">
        <v>14198</v>
      </c>
      <c r="AY2037" s="77"/>
      <c r="AZ2037" s="82" t="s">
        <v>15804</v>
      </c>
      <c r="BA2037" s="82" t="s">
        <v>15804</v>
      </c>
      <c r="BB2037" s="82" t="s">
        <v>15804</v>
      </c>
      <c r="BC2037" s="82" t="s">
        <v>14198</v>
      </c>
      <c r="BD2037" s="82" t="s">
        <v>16500</v>
      </c>
      <c r="BE2037" s="77"/>
      <c r="BF2037" s="77"/>
      <c r="BG2037" s="77"/>
      <c r="BH2037" s="77"/>
      <c r="BI2037" s="77"/>
    </row>
    <row r="2038" spans="1:61" x14ac:dyDescent="0.25">
      <c r="A2038" s="62" t="s">
        <v>860</v>
      </c>
      <c r="B2038" s="62" t="s">
        <v>860</v>
      </c>
      <c r="C2038" s="63"/>
      <c r="D2038" s="64"/>
      <c r="E2038" s="65"/>
      <c r="F2038" s="66"/>
      <c r="G2038" s="63"/>
      <c r="H2038" s="67"/>
      <c r="I2038" s="68"/>
      <c r="J2038" s="68"/>
      <c r="K2038" s="32"/>
      <c r="L2038" s="75">
        <v>2038</v>
      </c>
      <c r="M2038" s="75"/>
      <c r="N2038" s="70"/>
      <c r="O2038" s="77" t="s">
        <v>1133</v>
      </c>
      <c r="P2038" s="79">
        <v>45127.475925925923</v>
      </c>
      <c r="Q2038" s="77" t="s">
        <v>3087</v>
      </c>
      <c r="R2038" s="77">
        <v>0</v>
      </c>
      <c r="S2038" s="77">
        <v>1</v>
      </c>
      <c r="T2038" s="77">
        <v>0</v>
      </c>
      <c r="U2038" s="77">
        <v>0</v>
      </c>
      <c r="V2038" s="77">
        <v>63</v>
      </c>
      <c r="W2038" s="82" t="s">
        <v>5361</v>
      </c>
      <c r="X2038" s="77"/>
      <c r="Y2038" s="77"/>
      <c r="Z2038" s="77" t="s">
        <v>860</v>
      </c>
      <c r="AA2038" s="77" t="s">
        <v>7236</v>
      </c>
      <c r="AB2038" s="77" t="s">
        <v>7696</v>
      </c>
      <c r="AC2038" s="82" t="s">
        <v>7707</v>
      </c>
      <c r="AD2038" s="77" t="s">
        <v>7745</v>
      </c>
      <c r="AE2038" s="80" t="str">
        <f>HYPERLINK("https://twitter.com/workshopdantas/status/1681988659334004736")</f>
        <v>https://twitter.com/workshopdantas/status/1681988659334004736</v>
      </c>
      <c r="AF2038" s="79">
        <v>45127.475925925923</v>
      </c>
      <c r="AG2038" s="85">
        <v>45127</v>
      </c>
      <c r="AH2038" s="82" t="s">
        <v>9573</v>
      </c>
      <c r="AI2038" s="77" t="b">
        <v>0</v>
      </c>
      <c r="AJ2038" s="77"/>
      <c r="AK2038" s="77"/>
      <c r="AL2038" s="77"/>
      <c r="AM2038" s="77"/>
      <c r="AN2038" s="77"/>
      <c r="AO2038" s="77"/>
      <c r="AP2038" s="77"/>
      <c r="AQ2038" s="77" t="s">
        <v>11743</v>
      </c>
      <c r="AR2038" s="77"/>
      <c r="AS2038" s="77"/>
      <c r="AT2038" s="77"/>
      <c r="AU2038" s="77"/>
      <c r="AV2038" s="80" t="str">
        <f>HYPERLINK("https://pbs.twimg.com/media/F1efxZDXoAErfdA.jpg")</f>
        <v>https://pbs.twimg.com/media/F1efxZDXoAErfdA.jpg</v>
      </c>
      <c r="AW2038" s="82" t="s">
        <v>14199</v>
      </c>
      <c r="AX2038" s="82" t="s">
        <v>14199</v>
      </c>
      <c r="AY2038" s="77"/>
      <c r="AZ2038" s="82" t="s">
        <v>15804</v>
      </c>
      <c r="BA2038" s="82" t="s">
        <v>15804</v>
      </c>
      <c r="BB2038" s="82" t="s">
        <v>15804</v>
      </c>
      <c r="BC2038" s="82" t="s">
        <v>14199</v>
      </c>
      <c r="BD2038" s="82" t="s">
        <v>16500</v>
      </c>
      <c r="BE2038" s="77"/>
      <c r="BF2038" s="77"/>
      <c r="BG2038" s="77"/>
      <c r="BH2038" s="77"/>
      <c r="BI2038" s="77"/>
    </row>
    <row r="2039" spans="1:61" x14ac:dyDescent="0.25">
      <c r="A2039" s="62" t="s">
        <v>860</v>
      </c>
      <c r="B2039" s="62" t="s">
        <v>860</v>
      </c>
      <c r="C2039" s="63"/>
      <c r="D2039" s="64"/>
      <c r="E2039" s="65"/>
      <c r="F2039" s="66"/>
      <c r="G2039" s="63"/>
      <c r="H2039" s="67"/>
      <c r="I2039" s="68"/>
      <c r="J2039" s="68"/>
      <c r="K2039" s="32"/>
      <c r="L2039" s="75">
        <v>2039</v>
      </c>
      <c r="M2039" s="75"/>
      <c r="N2039" s="70"/>
      <c r="O2039" s="77" t="s">
        <v>1133</v>
      </c>
      <c r="P2039" s="79">
        <v>45127.426018518519</v>
      </c>
      <c r="Q2039" s="77" t="s">
        <v>3088</v>
      </c>
      <c r="R2039" s="77">
        <v>0</v>
      </c>
      <c r="S2039" s="77">
        <v>2</v>
      </c>
      <c r="T2039" s="77">
        <v>1</v>
      </c>
      <c r="U2039" s="77">
        <v>0</v>
      </c>
      <c r="V2039" s="77">
        <v>75</v>
      </c>
      <c r="W2039" s="82" t="s">
        <v>5362</v>
      </c>
      <c r="X2039" s="77"/>
      <c r="Y2039" s="77"/>
      <c r="Z2039" s="77" t="s">
        <v>860</v>
      </c>
      <c r="AA2039" s="77" t="s">
        <v>7237</v>
      </c>
      <c r="AB2039" s="77" t="s">
        <v>7696</v>
      </c>
      <c r="AC2039" s="82" t="s">
        <v>7707</v>
      </c>
      <c r="AD2039" s="77" t="s">
        <v>7745</v>
      </c>
      <c r="AE2039" s="80" t="str">
        <f>HYPERLINK("https://twitter.com/workshopdantas/status/1681970572429803520")</f>
        <v>https://twitter.com/workshopdantas/status/1681970572429803520</v>
      </c>
      <c r="AF2039" s="79">
        <v>45127.426018518519</v>
      </c>
      <c r="AG2039" s="85">
        <v>45127</v>
      </c>
      <c r="AH2039" s="82" t="s">
        <v>9574</v>
      </c>
      <c r="AI2039" s="77" t="b">
        <v>0</v>
      </c>
      <c r="AJ2039" s="77"/>
      <c r="AK2039" s="77"/>
      <c r="AL2039" s="77"/>
      <c r="AM2039" s="77"/>
      <c r="AN2039" s="77"/>
      <c r="AO2039" s="77"/>
      <c r="AP2039" s="77"/>
      <c r="AQ2039" s="77" t="s">
        <v>11744</v>
      </c>
      <c r="AR2039" s="77"/>
      <c r="AS2039" s="77"/>
      <c r="AT2039" s="77"/>
      <c r="AU2039" s="77"/>
      <c r="AV2039" s="80" t="str">
        <f>HYPERLINK("https://pbs.twimg.com/media/F1ePUiIXgAANAOY.jpg")</f>
        <v>https://pbs.twimg.com/media/F1ePUiIXgAANAOY.jpg</v>
      </c>
      <c r="AW2039" s="82" t="s">
        <v>14200</v>
      </c>
      <c r="AX2039" s="82" t="s">
        <v>14200</v>
      </c>
      <c r="AY2039" s="77"/>
      <c r="AZ2039" s="82" t="s">
        <v>15804</v>
      </c>
      <c r="BA2039" s="82" t="s">
        <v>15804</v>
      </c>
      <c r="BB2039" s="82" t="s">
        <v>15804</v>
      </c>
      <c r="BC2039" s="82" t="s">
        <v>14200</v>
      </c>
      <c r="BD2039" s="82" t="s">
        <v>16500</v>
      </c>
      <c r="BE2039" s="77"/>
      <c r="BF2039" s="77"/>
      <c r="BG2039" s="77"/>
      <c r="BH2039" s="77"/>
      <c r="BI2039" s="77"/>
    </row>
    <row r="2040" spans="1:61" x14ac:dyDescent="0.25">
      <c r="A2040" s="62" t="s">
        <v>860</v>
      </c>
      <c r="B2040" s="62" t="s">
        <v>860</v>
      </c>
      <c r="C2040" s="63"/>
      <c r="D2040" s="64"/>
      <c r="E2040" s="65"/>
      <c r="F2040" s="66"/>
      <c r="G2040" s="63"/>
      <c r="H2040" s="67"/>
      <c r="I2040" s="68"/>
      <c r="J2040" s="68"/>
      <c r="K2040" s="32"/>
      <c r="L2040" s="75">
        <v>2040</v>
      </c>
      <c r="M2040" s="75"/>
      <c r="N2040" s="70"/>
      <c r="O2040" s="77" t="s">
        <v>1133</v>
      </c>
      <c r="P2040" s="79">
        <v>45126.485706018517</v>
      </c>
      <c r="Q2040" s="77" t="s">
        <v>3089</v>
      </c>
      <c r="R2040" s="77">
        <v>0</v>
      </c>
      <c r="S2040" s="77">
        <v>1</v>
      </c>
      <c r="T2040" s="77">
        <v>0</v>
      </c>
      <c r="U2040" s="77">
        <v>0</v>
      </c>
      <c r="V2040" s="77">
        <v>58</v>
      </c>
      <c r="W2040" s="82" t="s">
        <v>5363</v>
      </c>
      <c r="X2040" s="77"/>
      <c r="Y2040" s="77"/>
      <c r="Z2040" s="77" t="s">
        <v>860</v>
      </c>
      <c r="AA2040" s="77" t="s">
        <v>7238</v>
      </c>
      <c r="AB2040" s="77" t="s">
        <v>7696</v>
      </c>
      <c r="AC2040" s="82" t="s">
        <v>7707</v>
      </c>
      <c r="AD2040" s="77" t="s">
        <v>7745</v>
      </c>
      <c r="AE2040" s="80" t="str">
        <f>HYPERLINK("https://twitter.com/workshopdantas/status/1681629814459883520")</f>
        <v>https://twitter.com/workshopdantas/status/1681629814459883520</v>
      </c>
      <c r="AF2040" s="79">
        <v>45126.485706018517</v>
      </c>
      <c r="AG2040" s="85">
        <v>45126</v>
      </c>
      <c r="AH2040" s="82" t="s">
        <v>9575</v>
      </c>
      <c r="AI2040" s="77" t="b">
        <v>0</v>
      </c>
      <c r="AJ2040" s="77"/>
      <c r="AK2040" s="77"/>
      <c r="AL2040" s="77"/>
      <c r="AM2040" s="77"/>
      <c r="AN2040" s="77"/>
      <c r="AO2040" s="77"/>
      <c r="AP2040" s="77"/>
      <c r="AQ2040" s="77" t="s">
        <v>11745</v>
      </c>
      <c r="AR2040" s="77"/>
      <c r="AS2040" s="77"/>
      <c r="AT2040" s="77"/>
      <c r="AU2040" s="77"/>
      <c r="AV2040" s="80" t="str">
        <f>HYPERLINK("https://pbs.twimg.com/media/F1ZZZ27WAAA_Nxe.jpg")</f>
        <v>https://pbs.twimg.com/media/F1ZZZ27WAAA_Nxe.jpg</v>
      </c>
      <c r="AW2040" s="82" t="s">
        <v>14201</v>
      </c>
      <c r="AX2040" s="82" t="s">
        <v>14201</v>
      </c>
      <c r="AY2040" s="77"/>
      <c r="AZ2040" s="82" t="s">
        <v>15804</v>
      </c>
      <c r="BA2040" s="82" t="s">
        <v>15804</v>
      </c>
      <c r="BB2040" s="82" t="s">
        <v>15804</v>
      </c>
      <c r="BC2040" s="82" t="s">
        <v>14201</v>
      </c>
      <c r="BD2040" s="82" t="s">
        <v>16500</v>
      </c>
      <c r="BE2040" s="77"/>
      <c r="BF2040" s="77"/>
      <c r="BG2040" s="77"/>
      <c r="BH2040" s="77"/>
      <c r="BI2040" s="77"/>
    </row>
    <row r="2041" spans="1:61" x14ac:dyDescent="0.25">
      <c r="A2041" s="62" t="s">
        <v>860</v>
      </c>
      <c r="B2041" s="62" t="s">
        <v>860</v>
      </c>
      <c r="C2041" s="63"/>
      <c r="D2041" s="64"/>
      <c r="E2041" s="65"/>
      <c r="F2041" s="66"/>
      <c r="G2041" s="63"/>
      <c r="H2041" s="67"/>
      <c r="I2041" s="68"/>
      <c r="J2041" s="68"/>
      <c r="K2041" s="32"/>
      <c r="L2041" s="75">
        <v>2041</v>
      </c>
      <c r="M2041" s="75"/>
      <c r="N2041" s="70"/>
      <c r="O2041" s="77" t="s">
        <v>1133</v>
      </c>
      <c r="P2041" s="79">
        <v>45110.439976851849</v>
      </c>
      <c r="Q2041" s="77" t="s">
        <v>3090</v>
      </c>
      <c r="R2041" s="77">
        <v>0</v>
      </c>
      <c r="S2041" s="77">
        <v>1</v>
      </c>
      <c r="T2041" s="77">
        <v>0</v>
      </c>
      <c r="U2041" s="77">
        <v>0</v>
      </c>
      <c r="V2041" s="77">
        <v>63</v>
      </c>
      <c r="W2041" s="82" t="s">
        <v>5364</v>
      </c>
      <c r="X2041" s="77"/>
      <c r="Y2041" s="77"/>
      <c r="Z2041" s="77" t="s">
        <v>860</v>
      </c>
      <c r="AA2041" s="77" t="s">
        <v>7239</v>
      </c>
      <c r="AB2041" s="77" t="s">
        <v>7696</v>
      </c>
      <c r="AC2041" s="82" t="s">
        <v>7707</v>
      </c>
      <c r="AD2041" s="77" t="s">
        <v>7745</v>
      </c>
      <c r="AE2041" s="80" t="str">
        <f>HYPERLINK("https://twitter.com/workshopdantas/status/1675815035933786113")</f>
        <v>https://twitter.com/workshopdantas/status/1675815035933786113</v>
      </c>
      <c r="AF2041" s="79">
        <v>45110.439976851849</v>
      </c>
      <c r="AG2041" s="85">
        <v>45110</v>
      </c>
      <c r="AH2041" s="82" t="s">
        <v>9576</v>
      </c>
      <c r="AI2041" s="77" t="b">
        <v>0</v>
      </c>
      <c r="AJ2041" s="77"/>
      <c r="AK2041" s="77"/>
      <c r="AL2041" s="77"/>
      <c r="AM2041" s="77"/>
      <c r="AN2041" s="77"/>
      <c r="AO2041" s="77"/>
      <c r="AP2041" s="77"/>
      <c r="AQ2041" s="77" t="s">
        <v>11746</v>
      </c>
      <c r="AR2041" s="77"/>
      <c r="AS2041" s="77"/>
      <c r="AT2041" s="77"/>
      <c r="AU2041" s="77"/>
      <c r="AV2041" s="80" t="str">
        <f>HYPERLINK("https://pbs.twimg.com/media/F0Gw5NjX0AAk8vG.jpg")</f>
        <v>https://pbs.twimg.com/media/F0Gw5NjX0AAk8vG.jpg</v>
      </c>
      <c r="AW2041" s="82" t="s">
        <v>14202</v>
      </c>
      <c r="AX2041" s="82" t="s">
        <v>14202</v>
      </c>
      <c r="AY2041" s="77"/>
      <c r="AZ2041" s="82" t="s">
        <v>15804</v>
      </c>
      <c r="BA2041" s="82" t="s">
        <v>15804</v>
      </c>
      <c r="BB2041" s="82" t="s">
        <v>15804</v>
      </c>
      <c r="BC2041" s="82" t="s">
        <v>14202</v>
      </c>
      <c r="BD2041" s="82" t="s">
        <v>16500</v>
      </c>
      <c r="BE2041" s="77"/>
      <c r="BF2041" s="77"/>
      <c r="BG2041" s="77"/>
      <c r="BH2041" s="77"/>
      <c r="BI2041" s="77"/>
    </row>
    <row r="2042" spans="1:61" x14ac:dyDescent="0.25">
      <c r="A2042" s="62" t="s">
        <v>860</v>
      </c>
      <c r="B2042" s="62" t="s">
        <v>860</v>
      </c>
      <c r="C2042" s="63"/>
      <c r="D2042" s="64"/>
      <c r="E2042" s="65"/>
      <c r="F2042" s="66"/>
      <c r="G2042" s="63"/>
      <c r="H2042" s="67"/>
      <c r="I2042" s="68"/>
      <c r="J2042" s="68"/>
      <c r="K2042" s="32"/>
      <c r="L2042" s="75">
        <v>2042</v>
      </c>
      <c r="M2042" s="75"/>
      <c r="N2042" s="70"/>
      <c r="O2042" s="77" t="s">
        <v>1133</v>
      </c>
      <c r="P2042" s="79">
        <v>45105.856134259258</v>
      </c>
      <c r="Q2042" s="77" t="s">
        <v>3091</v>
      </c>
      <c r="R2042" s="77">
        <v>0</v>
      </c>
      <c r="S2042" s="77">
        <v>0</v>
      </c>
      <c r="T2042" s="77">
        <v>0</v>
      </c>
      <c r="U2042" s="77">
        <v>0</v>
      </c>
      <c r="V2042" s="77">
        <v>56</v>
      </c>
      <c r="W2042" s="82" t="s">
        <v>5365</v>
      </c>
      <c r="X2042" s="77"/>
      <c r="Y2042" s="77"/>
      <c r="Z2042" s="77" t="s">
        <v>860</v>
      </c>
      <c r="AA2042" s="77" t="s">
        <v>7240</v>
      </c>
      <c r="AB2042" s="77" t="s">
        <v>7697</v>
      </c>
      <c r="AC2042" s="82" t="s">
        <v>7707</v>
      </c>
      <c r="AD2042" s="77" t="s">
        <v>7745</v>
      </c>
      <c r="AE2042" s="80" t="str">
        <f>HYPERLINK("https://twitter.com/workshopdantas/status/1674153907747008512")</f>
        <v>https://twitter.com/workshopdantas/status/1674153907747008512</v>
      </c>
      <c r="AF2042" s="79">
        <v>45105.856134259258</v>
      </c>
      <c r="AG2042" s="85">
        <v>45105</v>
      </c>
      <c r="AH2042" s="82" t="s">
        <v>9577</v>
      </c>
      <c r="AI2042" s="77" t="b">
        <v>0</v>
      </c>
      <c r="AJ2042" s="77"/>
      <c r="AK2042" s="77"/>
      <c r="AL2042" s="77"/>
      <c r="AM2042" s="77"/>
      <c r="AN2042" s="77"/>
      <c r="AO2042" s="77"/>
      <c r="AP2042" s="77"/>
      <c r="AQ2042" s="77" t="s">
        <v>11747</v>
      </c>
      <c r="AR2042" s="77">
        <v>9833</v>
      </c>
      <c r="AS2042" s="77"/>
      <c r="AT2042" s="77"/>
      <c r="AU2042" s="77">
        <v>23</v>
      </c>
      <c r="AV2042" s="80" t="str">
        <f>HYPERLINK("https://pbs.twimg.com/ext_tw_video_thumb/1674153873194229760/pu/img/JblQkNM2jhDEjpFw.jpg")</f>
        <v>https://pbs.twimg.com/ext_tw_video_thumb/1674153873194229760/pu/img/JblQkNM2jhDEjpFw.jpg</v>
      </c>
      <c r="AW2042" s="82" t="s">
        <v>14203</v>
      </c>
      <c r="AX2042" s="82" t="s">
        <v>14203</v>
      </c>
      <c r="AY2042" s="77"/>
      <c r="AZ2042" s="82" t="s">
        <v>15804</v>
      </c>
      <c r="BA2042" s="82" t="s">
        <v>15804</v>
      </c>
      <c r="BB2042" s="82" t="s">
        <v>15804</v>
      </c>
      <c r="BC2042" s="82" t="s">
        <v>14203</v>
      </c>
      <c r="BD2042" s="82" t="s">
        <v>16500</v>
      </c>
      <c r="BE2042" s="77"/>
      <c r="BF2042" s="77"/>
      <c r="BG2042" s="77"/>
      <c r="BH2042" s="77"/>
      <c r="BI2042" s="77"/>
    </row>
    <row r="2043" spans="1:61" x14ac:dyDescent="0.25">
      <c r="A2043" s="62" t="s">
        <v>860</v>
      </c>
      <c r="B2043" s="62" t="s">
        <v>860</v>
      </c>
      <c r="C2043" s="63"/>
      <c r="D2043" s="64"/>
      <c r="E2043" s="65"/>
      <c r="F2043" s="66"/>
      <c r="G2043" s="63"/>
      <c r="H2043" s="67"/>
      <c r="I2043" s="68"/>
      <c r="J2043" s="68"/>
      <c r="K2043" s="32"/>
      <c r="L2043" s="75">
        <v>2043</v>
      </c>
      <c r="M2043" s="75"/>
      <c r="N2043" s="70"/>
      <c r="O2043" s="77" t="s">
        <v>1133</v>
      </c>
      <c r="P2043" s="79">
        <v>45105.473946759259</v>
      </c>
      <c r="Q2043" s="77" t="s">
        <v>3092</v>
      </c>
      <c r="R2043" s="77">
        <v>0</v>
      </c>
      <c r="S2043" s="77">
        <v>0</v>
      </c>
      <c r="T2043" s="77">
        <v>0</v>
      </c>
      <c r="U2043" s="77">
        <v>0</v>
      </c>
      <c r="V2043" s="77">
        <v>71</v>
      </c>
      <c r="W2043" s="82" t="s">
        <v>5366</v>
      </c>
      <c r="X2043" s="77"/>
      <c r="Y2043" s="77"/>
      <c r="Z2043" s="77" t="s">
        <v>860</v>
      </c>
      <c r="AA2043" s="77" t="s">
        <v>7241</v>
      </c>
      <c r="AB2043" s="77" t="s">
        <v>7696</v>
      </c>
      <c r="AC2043" s="82" t="s">
        <v>7707</v>
      </c>
      <c r="AD2043" s="77" t="s">
        <v>7745</v>
      </c>
      <c r="AE2043" s="80" t="str">
        <f>HYPERLINK("https://twitter.com/workshopdantas/status/1674015405969473537")</f>
        <v>https://twitter.com/workshopdantas/status/1674015405969473537</v>
      </c>
      <c r="AF2043" s="79">
        <v>45105.473946759259</v>
      </c>
      <c r="AG2043" s="85">
        <v>45105</v>
      </c>
      <c r="AH2043" s="82" t="s">
        <v>9578</v>
      </c>
      <c r="AI2043" s="77" t="b">
        <v>0</v>
      </c>
      <c r="AJ2043" s="77"/>
      <c r="AK2043" s="77"/>
      <c r="AL2043" s="77"/>
      <c r="AM2043" s="77"/>
      <c r="AN2043" s="77"/>
      <c r="AO2043" s="77"/>
      <c r="AP2043" s="77"/>
      <c r="AQ2043" s="77" t="s">
        <v>11748</v>
      </c>
      <c r="AR2043" s="77"/>
      <c r="AS2043" s="77"/>
      <c r="AT2043" s="77"/>
      <c r="AU2043" s="77"/>
      <c r="AV2043" s="80" t="str">
        <f>HYPERLINK("https://pbs.twimg.com/media/FztMI9aXoAU9pde.jpg")</f>
        <v>https://pbs.twimg.com/media/FztMI9aXoAU9pde.jpg</v>
      </c>
      <c r="AW2043" s="82" t="s">
        <v>14204</v>
      </c>
      <c r="AX2043" s="82" t="s">
        <v>14204</v>
      </c>
      <c r="AY2043" s="77"/>
      <c r="AZ2043" s="82" t="s">
        <v>15804</v>
      </c>
      <c r="BA2043" s="82" t="s">
        <v>15804</v>
      </c>
      <c r="BB2043" s="82" t="s">
        <v>15804</v>
      </c>
      <c r="BC2043" s="82" t="s">
        <v>14204</v>
      </c>
      <c r="BD2043" s="82" t="s">
        <v>16500</v>
      </c>
      <c r="BE2043" s="77"/>
      <c r="BF2043" s="77"/>
      <c r="BG2043" s="77"/>
      <c r="BH2043" s="77"/>
      <c r="BI2043" s="77"/>
    </row>
    <row r="2044" spans="1:61" x14ac:dyDescent="0.25">
      <c r="A2044" s="62" t="s">
        <v>860</v>
      </c>
      <c r="B2044" s="62" t="s">
        <v>860</v>
      </c>
      <c r="C2044" s="63"/>
      <c r="D2044" s="64"/>
      <c r="E2044" s="65"/>
      <c r="F2044" s="66"/>
      <c r="G2044" s="63"/>
      <c r="H2044" s="67"/>
      <c r="I2044" s="68"/>
      <c r="J2044" s="68"/>
      <c r="K2044" s="32"/>
      <c r="L2044" s="75">
        <v>2044</v>
      </c>
      <c r="M2044" s="75"/>
      <c r="N2044" s="70"/>
      <c r="O2044" s="77" t="s">
        <v>1133</v>
      </c>
      <c r="P2044" s="79">
        <v>45147.673136574071</v>
      </c>
      <c r="Q2044" s="77" t="s">
        <v>3093</v>
      </c>
      <c r="R2044" s="77">
        <v>0</v>
      </c>
      <c r="S2044" s="77">
        <v>0</v>
      </c>
      <c r="T2044" s="77">
        <v>0</v>
      </c>
      <c r="U2044" s="77">
        <v>0</v>
      </c>
      <c r="V2044" s="77">
        <v>37</v>
      </c>
      <c r="W2044" s="82" t="s">
        <v>5354</v>
      </c>
      <c r="X2044" s="77"/>
      <c r="Y2044" s="77"/>
      <c r="Z2044" s="77" t="s">
        <v>860</v>
      </c>
      <c r="AA2044" s="77" t="s">
        <v>7242</v>
      </c>
      <c r="AB2044" s="77" t="s">
        <v>7696</v>
      </c>
      <c r="AC2044" s="82" t="s">
        <v>7707</v>
      </c>
      <c r="AD2044" s="77" t="s">
        <v>7745</v>
      </c>
      <c r="AE2044" s="80" t="str">
        <f>HYPERLINK("https://twitter.com/workshopdantas/status/1689307883454820353")</f>
        <v>https://twitter.com/workshopdantas/status/1689307883454820353</v>
      </c>
      <c r="AF2044" s="79">
        <v>45147.673136574071</v>
      </c>
      <c r="AG2044" s="85">
        <v>45147</v>
      </c>
      <c r="AH2044" s="82" t="s">
        <v>9579</v>
      </c>
      <c r="AI2044" s="77" t="b">
        <v>0</v>
      </c>
      <c r="AJ2044" s="77"/>
      <c r="AK2044" s="77"/>
      <c r="AL2044" s="77"/>
      <c r="AM2044" s="77"/>
      <c r="AN2044" s="77"/>
      <c r="AO2044" s="77"/>
      <c r="AP2044" s="77"/>
      <c r="AQ2044" s="77" t="s">
        <v>11749</v>
      </c>
      <c r="AR2044" s="77"/>
      <c r="AS2044" s="77"/>
      <c r="AT2044" s="77"/>
      <c r="AU2044" s="77"/>
      <c r="AV2044" s="80" t="str">
        <f>HYPERLINK("https://pbs.twimg.com/media/F3GgkWGXQAAI-1T.jpg")</f>
        <v>https://pbs.twimg.com/media/F3GgkWGXQAAI-1T.jpg</v>
      </c>
      <c r="AW2044" s="82" t="s">
        <v>14205</v>
      </c>
      <c r="AX2044" s="82" t="s">
        <v>14205</v>
      </c>
      <c r="AY2044" s="77"/>
      <c r="AZ2044" s="82" t="s">
        <v>15804</v>
      </c>
      <c r="BA2044" s="82" t="s">
        <v>15804</v>
      </c>
      <c r="BB2044" s="82" t="s">
        <v>15804</v>
      </c>
      <c r="BC2044" s="82" t="s">
        <v>14205</v>
      </c>
      <c r="BD2044" s="82" t="s">
        <v>16500</v>
      </c>
      <c r="BE2044" s="77"/>
      <c r="BF2044" s="77"/>
      <c r="BG2044" s="77"/>
      <c r="BH2044" s="77"/>
      <c r="BI2044" s="77"/>
    </row>
    <row r="2045" spans="1:61" x14ac:dyDescent="0.25">
      <c r="A2045" s="62" t="s">
        <v>860</v>
      </c>
      <c r="B2045" s="62" t="s">
        <v>860</v>
      </c>
      <c r="C2045" s="63"/>
      <c r="D2045" s="64"/>
      <c r="E2045" s="65"/>
      <c r="F2045" s="66"/>
      <c r="G2045" s="63"/>
      <c r="H2045" s="67"/>
      <c r="I2045" s="68"/>
      <c r="J2045" s="68"/>
      <c r="K2045" s="32"/>
      <c r="L2045" s="75">
        <v>2045</v>
      </c>
      <c r="M2045" s="75"/>
      <c r="N2045" s="70"/>
      <c r="O2045" s="77" t="s">
        <v>1133</v>
      </c>
      <c r="P2045" s="79">
        <v>45140.621574074074</v>
      </c>
      <c r="Q2045" s="77" t="s">
        <v>3094</v>
      </c>
      <c r="R2045" s="77">
        <v>0</v>
      </c>
      <c r="S2045" s="77">
        <v>0</v>
      </c>
      <c r="T2045" s="77">
        <v>0</v>
      </c>
      <c r="U2045" s="77">
        <v>0</v>
      </c>
      <c r="V2045" s="77">
        <v>55</v>
      </c>
      <c r="W2045" s="82" t="s">
        <v>5367</v>
      </c>
      <c r="X2045" s="77"/>
      <c r="Y2045" s="77"/>
      <c r="Z2045" s="77" t="s">
        <v>860</v>
      </c>
      <c r="AA2045" s="77" t="s">
        <v>7243</v>
      </c>
      <c r="AB2045" s="77" t="s">
        <v>7696</v>
      </c>
      <c r="AC2045" s="82" t="s">
        <v>7707</v>
      </c>
      <c r="AD2045" s="77" t="s">
        <v>7745</v>
      </c>
      <c r="AE2045" s="80" t="str">
        <f>HYPERLINK("https://twitter.com/workshopdantas/status/1686752481793994752")</f>
        <v>https://twitter.com/workshopdantas/status/1686752481793994752</v>
      </c>
      <c r="AF2045" s="79">
        <v>45140.621574074074</v>
      </c>
      <c r="AG2045" s="85">
        <v>45140</v>
      </c>
      <c r="AH2045" s="82" t="s">
        <v>9580</v>
      </c>
      <c r="AI2045" s="77" t="b">
        <v>0</v>
      </c>
      <c r="AJ2045" s="77"/>
      <c r="AK2045" s="77"/>
      <c r="AL2045" s="77"/>
      <c r="AM2045" s="77"/>
      <c r="AN2045" s="77"/>
      <c r="AO2045" s="77"/>
      <c r="AP2045" s="77"/>
      <c r="AQ2045" s="77" t="s">
        <v>11750</v>
      </c>
      <c r="AR2045" s="77"/>
      <c r="AS2045" s="77"/>
      <c r="AT2045" s="77"/>
      <c r="AU2045" s="77"/>
      <c r="AV2045" s="80" t="str">
        <f>HYPERLINK("https://pbs.twimg.com/media/F2iMcENW4AE12lX.jpg")</f>
        <v>https://pbs.twimg.com/media/F2iMcENW4AE12lX.jpg</v>
      </c>
      <c r="AW2045" s="82" t="s">
        <v>14206</v>
      </c>
      <c r="AX2045" s="82" t="s">
        <v>14206</v>
      </c>
      <c r="AY2045" s="77"/>
      <c r="AZ2045" s="82" t="s">
        <v>15804</v>
      </c>
      <c r="BA2045" s="82" t="s">
        <v>15804</v>
      </c>
      <c r="BB2045" s="82" t="s">
        <v>15804</v>
      </c>
      <c r="BC2045" s="82" t="s">
        <v>14206</v>
      </c>
      <c r="BD2045" s="82" t="s">
        <v>16500</v>
      </c>
      <c r="BE2045" s="77"/>
      <c r="BF2045" s="77"/>
      <c r="BG2045" s="77"/>
      <c r="BH2045" s="77"/>
      <c r="BI2045" s="77"/>
    </row>
    <row r="2046" spans="1:61" x14ac:dyDescent="0.25">
      <c r="A2046" s="62" t="s">
        <v>860</v>
      </c>
      <c r="B2046" s="62" t="s">
        <v>860</v>
      </c>
      <c r="C2046" s="63"/>
      <c r="D2046" s="64"/>
      <c r="E2046" s="65"/>
      <c r="F2046" s="66"/>
      <c r="G2046" s="63"/>
      <c r="H2046" s="67"/>
      <c r="I2046" s="68"/>
      <c r="J2046" s="68"/>
      <c r="K2046" s="32"/>
      <c r="L2046" s="75">
        <v>2046</v>
      </c>
      <c r="M2046" s="75"/>
      <c r="N2046" s="70"/>
      <c r="O2046" s="77" t="s">
        <v>1133</v>
      </c>
      <c r="P2046" s="79">
        <v>45140.39130787037</v>
      </c>
      <c r="Q2046" s="77" t="s">
        <v>3095</v>
      </c>
      <c r="R2046" s="77">
        <v>0</v>
      </c>
      <c r="S2046" s="77">
        <v>0</v>
      </c>
      <c r="T2046" s="77">
        <v>0</v>
      </c>
      <c r="U2046" s="77">
        <v>0</v>
      </c>
      <c r="V2046" s="77">
        <v>43</v>
      </c>
      <c r="W2046" s="82" t="s">
        <v>5368</v>
      </c>
      <c r="X2046" s="77"/>
      <c r="Y2046" s="77"/>
      <c r="Z2046" s="77" t="s">
        <v>860</v>
      </c>
      <c r="AA2046" s="77" t="s">
        <v>7244</v>
      </c>
      <c r="AB2046" s="77" t="s">
        <v>7696</v>
      </c>
      <c r="AC2046" s="82" t="s">
        <v>7707</v>
      </c>
      <c r="AD2046" s="77" t="s">
        <v>7745</v>
      </c>
      <c r="AE2046" s="80" t="str">
        <f>HYPERLINK("https://twitter.com/workshopdantas/status/1686669033364418560")</f>
        <v>https://twitter.com/workshopdantas/status/1686669033364418560</v>
      </c>
      <c r="AF2046" s="79">
        <v>45140.39130787037</v>
      </c>
      <c r="AG2046" s="85">
        <v>45140</v>
      </c>
      <c r="AH2046" s="82" t="s">
        <v>9581</v>
      </c>
      <c r="AI2046" s="77" t="b">
        <v>0</v>
      </c>
      <c r="AJ2046" s="77"/>
      <c r="AK2046" s="77"/>
      <c r="AL2046" s="77"/>
      <c r="AM2046" s="77"/>
      <c r="AN2046" s="77"/>
      <c r="AO2046" s="77"/>
      <c r="AP2046" s="77"/>
      <c r="AQ2046" s="77" t="s">
        <v>11751</v>
      </c>
      <c r="AR2046" s="77"/>
      <c r="AS2046" s="77"/>
      <c r="AT2046" s="77"/>
      <c r="AU2046" s="77"/>
      <c r="AV2046" s="80" t="str">
        <f>HYPERLINK("https://pbs.twimg.com/media/F2hAjCnXwAAM6pR.jpg")</f>
        <v>https://pbs.twimg.com/media/F2hAjCnXwAAM6pR.jpg</v>
      </c>
      <c r="AW2046" s="82" t="s">
        <v>14207</v>
      </c>
      <c r="AX2046" s="82" t="s">
        <v>14207</v>
      </c>
      <c r="AY2046" s="77"/>
      <c r="AZ2046" s="82" t="s">
        <v>15804</v>
      </c>
      <c r="BA2046" s="82" t="s">
        <v>15804</v>
      </c>
      <c r="BB2046" s="82" t="s">
        <v>15804</v>
      </c>
      <c r="BC2046" s="82" t="s">
        <v>14207</v>
      </c>
      <c r="BD2046" s="82" t="s">
        <v>16500</v>
      </c>
      <c r="BE2046" s="77"/>
      <c r="BF2046" s="77"/>
      <c r="BG2046" s="77"/>
      <c r="BH2046" s="77"/>
      <c r="BI2046" s="77"/>
    </row>
    <row r="2047" spans="1:61" x14ac:dyDescent="0.25">
      <c r="A2047" s="62" t="s">
        <v>860</v>
      </c>
      <c r="B2047" s="62" t="s">
        <v>860</v>
      </c>
      <c r="C2047" s="63"/>
      <c r="D2047" s="64"/>
      <c r="E2047" s="65"/>
      <c r="F2047" s="66"/>
      <c r="G2047" s="63"/>
      <c r="H2047" s="67"/>
      <c r="I2047" s="68"/>
      <c r="J2047" s="68"/>
      <c r="K2047" s="32"/>
      <c r="L2047" s="75">
        <v>2047</v>
      </c>
      <c r="M2047" s="75"/>
      <c r="N2047" s="70"/>
      <c r="O2047" s="77" t="s">
        <v>1133</v>
      </c>
      <c r="P2047" s="79">
        <v>45132.576354166667</v>
      </c>
      <c r="Q2047" s="77" t="s">
        <v>3096</v>
      </c>
      <c r="R2047" s="77">
        <v>0</v>
      </c>
      <c r="S2047" s="77">
        <v>1</v>
      </c>
      <c r="T2047" s="77">
        <v>0</v>
      </c>
      <c r="U2047" s="77">
        <v>0</v>
      </c>
      <c r="V2047" s="77">
        <v>54</v>
      </c>
      <c r="W2047" s="82" t="s">
        <v>5369</v>
      </c>
      <c r="X2047" s="77"/>
      <c r="Y2047" s="77"/>
      <c r="Z2047" s="77" t="s">
        <v>860</v>
      </c>
      <c r="AA2047" s="77" t="s">
        <v>7245</v>
      </c>
      <c r="AB2047" s="77" t="s">
        <v>7696</v>
      </c>
      <c r="AC2047" s="82" t="s">
        <v>7707</v>
      </c>
      <c r="AD2047" s="77" t="s">
        <v>7745</v>
      </c>
      <c r="AE2047" s="80" t="str">
        <f>HYPERLINK("https://twitter.com/workshopdantas/status/1683836991111307266")</f>
        <v>https://twitter.com/workshopdantas/status/1683836991111307266</v>
      </c>
      <c r="AF2047" s="79">
        <v>45132.576354166667</v>
      </c>
      <c r="AG2047" s="85">
        <v>45132</v>
      </c>
      <c r="AH2047" s="82" t="s">
        <v>9582</v>
      </c>
      <c r="AI2047" s="77" t="b">
        <v>0</v>
      </c>
      <c r="AJ2047" s="77"/>
      <c r="AK2047" s="77"/>
      <c r="AL2047" s="77"/>
      <c r="AM2047" s="77"/>
      <c r="AN2047" s="77"/>
      <c r="AO2047" s="77"/>
      <c r="AP2047" s="77"/>
      <c r="AQ2047" s="77" t="s">
        <v>11752</v>
      </c>
      <c r="AR2047" s="77"/>
      <c r="AS2047" s="77"/>
      <c r="AT2047" s="77"/>
      <c r="AU2047" s="77"/>
      <c r="AV2047" s="80" t="str">
        <f>HYPERLINK("https://pbs.twimg.com/media/F14w0dgaMAANj2-.jpg")</f>
        <v>https://pbs.twimg.com/media/F14w0dgaMAANj2-.jpg</v>
      </c>
      <c r="AW2047" s="82" t="s">
        <v>14208</v>
      </c>
      <c r="AX2047" s="82" t="s">
        <v>14208</v>
      </c>
      <c r="AY2047" s="77"/>
      <c r="AZ2047" s="82" t="s">
        <v>15804</v>
      </c>
      <c r="BA2047" s="82" t="s">
        <v>15804</v>
      </c>
      <c r="BB2047" s="82" t="s">
        <v>15804</v>
      </c>
      <c r="BC2047" s="82" t="s">
        <v>14208</v>
      </c>
      <c r="BD2047" s="82" t="s">
        <v>16500</v>
      </c>
      <c r="BE2047" s="77"/>
      <c r="BF2047" s="77"/>
      <c r="BG2047" s="77"/>
      <c r="BH2047" s="77"/>
      <c r="BI2047" s="77"/>
    </row>
    <row r="2048" spans="1:61" x14ac:dyDescent="0.25">
      <c r="A2048" s="62" t="s">
        <v>860</v>
      </c>
      <c r="B2048" s="62" t="s">
        <v>860</v>
      </c>
      <c r="C2048" s="63"/>
      <c r="D2048" s="64"/>
      <c r="E2048" s="65"/>
      <c r="F2048" s="66"/>
      <c r="G2048" s="63"/>
      <c r="H2048" s="67"/>
      <c r="I2048" s="68"/>
      <c r="J2048" s="68"/>
      <c r="K2048" s="32"/>
      <c r="L2048" s="75">
        <v>2048</v>
      </c>
      <c r="M2048" s="75"/>
      <c r="N2048" s="70"/>
      <c r="O2048" s="77" t="s">
        <v>1133</v>
      </c>
      <c r="P2048" s="79">
        <v>45132.024594907409</v>
      </c>
      <c r="Q2048" s="77" t="s">
        <v>3097</v>
      </c>
      <c r="R2048" s="77">
        <v>0</v>
      </c>
      <c r="S2048" s="77">
        <v>0</v>
      </c>
      <c r="T2048" s="77">
        <v>0</v>
      </c>
      <c r="U2048" s="77">
        <v>0</v>
      </c>
      <c r="V2048" s="77">
        <v>48</v>
      </c>
      <c r="W2048" s="82" t="s">
        <v>5370</v>
      </c>
      <c r="X2048" s="77"/>
      <c r="Y2048" s="77"/>
      <c r="Z2048" s="77" t="s">
        <v>860</v>
      </c>
      <c r="AA2048" s="77" t="s">
        <v>7246</v>
      </c>
      <c r="AB2048" s="77" t="s">
        <v>7696</v>
      </c>
      <c r="AC2048" s="82" t="s">
        <v>7707</v>
      </c>
      <c r="AD2048" s="77" t="s">
        <v>7745</v>
      </c>
      <c r="AE2048" s="80" t="str">
        <f>HYPERLINK("https://twitter.com/workshopdantas/status/1683637039810457603")</f>
        <v>https://twitter.com/workshopdantas/status/1683637039810457603</v>
      </c>
      <c r="AF2048" s="79">
        <v>45132.024594907409</v>
      </c>
      <c r="AG2048" s="85">
        <v>45132</v>
      </c>
      <c r="AH2048" s="82" t="s">
        <v>9583</v>
      </c>
      <c r="AI2048" s="77" t="b">
        <v>0</v>
      </c>
      <c r="AJ2048" s="77"/>
      <c r="AK2048" s="77"/>
      <c r="AL2048" s="77"/>
      <c r="AM2048" s="77"/>
      <c r="AN2048" s="77"/>
      <c r="AO2048" s="77"/>
      <c r="AP2048" s="77"/>
      <c r="AQ2048" s="77" t="s">
        <v>11753</v>
      </c>
      <c r="AR2048" s="77"/>
      <c r="AS2048" s="77"/>
      <c r="AT2048" s="77"/>
      <c r="AU2048" s="77"/>
      <c r="AV2048" s="80" t="str">
        <f>HYPERLINK("https://pbs.twimg.com/media/F1169YDXgAAyuwc.jpg")</f>
        <v>https://pbs.twimg.com/media/F1169YDXgAAyuwc.jpg</v>
      </c>
      <c r="AW2048" s="82" t="s">
        <v>14209</v>
      </c>
      <c r="AX2048" s="82" t="s">
        <v>14209</v>
      </c>
      <c r="AY2048" s="77"/>
      <c r="AZ2048" s="82" t="s">
        <v>15804</v>
      </c>
      <c r="BA2048" s="82" t="s">
        <v>15804</v>
      </c>
      <c r="BB2048" s="82" t="s">
        <v>15804</v>
      </c>
      <c r="BC2048" s="82" t="s">
        <v>14209</v>
      </c>
      <c r="BD2048" s="82" t="s">
        <v>16500</v>
      </c>
      <c r="BE2048" s="77"/>
      <c r="BF2048" s="77"/>
      <c r="BG2048" s="77"/>
      <c r="BH2048" s="77"/>
      <c r="BI2048" s="77"/>
    </row>
    <row r="2049" spans="1:61" x14ac:dyDescent="0.25">
      <c r="A2049" s="62" t="s">
        <v>860</v>
      </c>
      <c r="B2049" s="62" t="s">
        <v>860</v>
      </c>
      <c r="C2049" s="63"/>
      <c r="D2049" s="64"/>
      <c r="E2049" s="65"/>
      <c r="F2049" s="66"/>
      <c r="G2049" s="63"/>
      <c r="H2049" s="67"/>
      <c r="I2049" s="68"/>
      <c r="J2049" s="68"/>
      <c r="K2049" s="32"/>
      <c r="L2049" s="75">
        <v>2049</v>
      </c>
      <c r="M2049" s="75"/>
      <c r="N2049" s="70"/>
      <c r="O2049" s="77" t="s">
        <v>1133</v>
      </c>
      <c r="P2049" s="79">
        <v>45125.447685185187</v>
      </c>
      <c r="Q2049" s="77" t="s">
        <v>3098</v>
      </c>
      <c r="R2049" s="77">
        <v>0</v>
      </c>
      <c r="S2049" s="77">
        <v>0</v>
      </c>
      <c r="T2049" s="77">
        <v>1</v>
      </c>
      <c r="U2049" s="77">
        <v>0</v>
      </c>
      <c r="V2049" s="77">
        <v>42</v>
      </c>
      <c r="W2049" s="82" t="s">
        <v>5371</v>
      </c>
      <c r="X2049" s="77"/>
      <c r="Y2049" s="77"/>
      <c r="Z2049" s="77" t="s">
        <v>860</v>
      </c>
      <c r="AA2049" s="77" t="s">
        <v>7247</v>
      </c>
      <c r="AB2049" s="77" t="s">
        <v>7696</v>
      </c>
      <c r="AC2049" s="82" t="s">
        <v>7707</v>
      </c>
      <c r="AD2049" s="77" t="s">
        <v>7745</v>
      </c>
      <c r="AE2049" s="80" t="str">
        <f>HYPERLINK("https://twitter.com/workshopdantas/status/1681253645877145600")</f>
        <v>https://twitter.com/workshopdantas/status/1681253645877145600</v>
      </c>
      <c r="AF2049" s="79">
        <v>45125.447685185187</v>
      </c>
      <c r="AG2049" s="85">
        <v>45125</v>
      </c>
      <c r="AH2049" s="82" t="s">
        <v>9584</v>
      </c>
      <c r="AI2049" s="77" t="b">
        <v>0</v>
      </c>
      <c r="AJ2049" s="77"/>
      <c r="AK2049" s="77"/>
      <c r="AL2049" s="77"/>
      <c r="AM2049" s="77"/>
      <c r="AN2049" s="77"/>
      <c r="AO2049" s="77"/>
      <c r="AP2049" s="77"/>
      <c r="AQ2049" s="77" t="s">
        <v>11754</v>
      </c>
      <c r="AR2049" s="77"/>
      <c r="AS2049" s="77"/>
      <c r="AT2049" s="77"/>
      <c r="AU2049" s="77"/>
      <c r="AV2049" s="80" t="str">
        <f>HYPERLINK("https://pbs.twimg.com/media/F1UDR-MXsAA3UbA.jpg")</f>
        <v>https://pbs.twimg.com/media/F1UDR-MXsAA3UbA.jpg</v>
      </c>
      <c r="AW2049" s="82" t="s">
        <v>14210</v>
      </c>
      <c r="AX2049" s="82" t="s">
        <v>14210</v>
      </c>
      <c r="AY2049" s="77"/>
      <c r="AZ2049" s="82" t="s">
        <v>15804</v>
      </c>
      <c r="BA2049" s="82" t="s">
        <v>15804</v>
      </c>
      <c r="BB2049" s="82" t="s">
        <v>15804</v>
      </c>
      <c r="BC2049" s="82" t="s">
        <v>14210</v>
      </c>
      <c r="BD2049" s="82" t="s">
        <v>16500</v>
      </c>
      <c r="BE2049" s="77"/>
      <c r="BF2049" s="77"/>
      <c r="BG2049" s="77"/>
      <c r="BH2049" s="77"/>
      <c r="BI2049" s="77"/>
    </row>
    <row r="2050" spans="1:61" x14ac:dyDescent="0.25">
      <c r="A2050" s="62" t="s">
        <v>860</v>
      </c>
      <c r="B2050" s="62" t="s">
        <v>860</v>
      </c>
      <c r="C2050" s="63"/>
      <c r="D2050" s="64"/>
      <c r="E2050" s="65"/>
      <c r="F2050" s="66"/>
      <c r="G2050" s="63"/>
      <c r="H2050" s="67"/>
      <c r="I2050" s="68"/>
      <c r="J2050" s="68"/>
      <c r="K2050" s="32"/>
      <c r="L2050" s="75">
        <v>2050</v>
      </c>
      <c r="M2050" s="75"/>
      <c r="N2050" s="70"/>
      <c r="O2050" s="77" t="s">
        <v>1133</v>
      </c>
      <c r="P2050" s="79">
        <v>45125.134826388887</v>
      </c>
      <c r="Q2050" s="77" t="s">
        <v>3099</v>
      </c>
      <c r="R2050" s="77">
        <v>0</v>
      </c>
      <c r="S2050" s="77">
        <v>0</v>
      </c>
      <c r="T2050" s="77">
        <v>0</v>
      </c>
      <c r="U2050" s="77">
        <v>0</v>
      </c>
      <c r="V2050" s="77">
        <v>32</v>
      </c>
      <c r="W2050" s="82" t="s">
        <v>5372</v>
      </c>
      <c r="X2050" s="77"/>
      <c r="Y2050" s="77"/>
      <c r="Z2050" s="77" t="s">
        <v>860</v>
      </c>
      <c r="AA2050" s="77" t="s">
        <v>7248</v>
      </c>
      <c r="AB2050" s="77" t="s">
        <v>7696</v>
      </c>
      <c r="AC2050" s="82" t="s">
        <v>7707</v>
      </c>
      <c r="AD2050" s="77" t="s">
        <v>7745</v>
      </c>
      <c r="AE2050" s="80" t="str">
        <f>HYPERLINK("https://twitter.com/workshopdantas/status/1681140271373754370")</f>
        <v>https://twitter.com/workshopdantas/status/1681140271373754370</v>
      </c>
      <c r="AF2050" s="79">
        <v>45125.134826388887</v>
      </c>
      <c r="AG2050" s="85">
        <v>45125</v>
      </c>
      <c r="AH2050" s="82" t="s">
        <v>9585</v>
      </c>
      <c r="AI2050" s="77" t="b">
        <v>0</v>
      </c>
      <c r="AJ2050" s="77"/>
      <c r="AK2050" s="77"/>
      <c r="AL2050" s="77"/>
      <c r="AM2050" s="77"/>
      <c r="AN2050" s="77"/>
      <c r="AO2050" s="77"/>
      <c r="AP2050" s="77"/>
      <c r="AQ2050" s="77" t="s">
        <v>11755</v>
      </c>
      <c r="AR2050" s="77"/>
      <c r="AS2050" s="77"/>
      <c r="AT2050" s="77"/>
      <c r="AU2050" s="77"/>
      <c r="AV2050" s="80" t="str">
        <f>HYPERLINK("https://pbs.twimg.com/media/F1ScKvvWAAArolX.jpg")</f>
        <v>https://pbs.twimg.com/media/F1ScKvvWAAArolX.jpg</v>
      </c>
      <c r="AW2050" s="82" t="s">
        <v>14211</v>
      </c>
      <c r="AX2050" s="82" t="s">
        <v>14211</v>
      </c>
      <c r="AY2050" s="77"/>
      <c r="AZ2050" s="82" t="s">
        <v>15804</v>
      </c>
      <c r="BA2050" s="82" t="s">
        <v>15804</v>
      </c>
      <c r="BB2050" s="82" t="s">
        <v>15804</v>
      </c>
      <c r="BC2050" s="82" t="s">
        <v>14211</v>
      </c>
      <c r="BD2050" s="82" t="s">
        <v>16500</v>
      </c>
      <c r="BE2050" s="77"/>
      <c r="BF2050" s="77"/>
      <c r="BG2050" s="77"/>
      <c r="BH2050" s="77"/>
      <c r="BI2050" s="77"/>
    </row>
    <row r="2051" spans="1:61" x14ac:dyDescent="0.25">
      <c r="A2051" s="62" t="s">
        <v>860</v>
      </c>
      <c r="B2051" s="62" t="s">
        <v>860</v>
      </c>
      <c r="C2051" s="63"/>
      <c r="D2051" s="64"/>
      <c r="E2051" s="65"/>
      <c r="F2051" s="66"/>
      <c r="G2051" s="63"/>
      <c r="H2051" s="67"/>
      <c r="I2051" s="68"/>
      <c r="J2051" s="68"/>
      <c r="K2051" s="32"/>
      <c r="L2051" s="75">
        <v>2051</v>
      </c>
      <c r="M2051" s="75"/>
      <c r="N2051" s="70"/>
      <c r="O2051" s="77" t="s">
        <v>1133</v>
      </c>
      <c r="P2051" s="79">
        <v>45124.491261574076</v>
      </c>
      <c r="Q2051" s="77" t="s">
        <v>3100</v>
      </c>
      <c r="R2051" s="77">
        <v>0</v>
      </c>
      <c r="S2051" s="77">
        <v>1</v>
      </c>
      <c r="T2051" s="77">
        <v>0</v>
      </c>
      <c r="U2051" s="77">
        <v>0</v>
      </c>
      <c r="V2051" s="77">
        <v>51</v>
      </c>
      <c r="W2051" s="82" t="s">
        <v>5373</v>
      </c>
      <c r="X2051" s="77"/>
      <c r="Y2051" s="77"/>
      <c r="Z2051" s="77" t="s">
        <v>860</v>
      </c>
      <c r="AA2051" s="77" t="s">
        <v>7249</v>
      </c>
      <c r="AB2051" s="77" t="s">
        <v>7696</v>
      </c>
      <c r="AC2051" s="82" t="s">
        <v>7707</v>
      </c>
      <c r="AD2051" s="77" t="s">
        <v>7745</v>
      </c>
      <c r="AE2051" s="80" t="str">
        <f>HYPERLINK("https://twitter.com/workshopdantas/status/1680907050107252739")</f>
        <v>https://twitter.com/workshopdantas/status/1680907050107252739</v>
      </c>
      <c r="AF2051" s="79">
        <v>45124.491261574076</v>
      </c>
      <c r="AG2051" s="85">
        <v>45124</v>
      </c>
      <c r="AH2051" s="82" t="s">
        <v>9586</v>
      </c>
      <c r="AI2051" s="77" t="b">
        <v>0</v>
      </c>
      <c r="AJ2051" s="77"/>
      <c r="AK2051" s="77"/>
      <c r="AL2051" s="77"/>
      <c r="AM2051" s="77"/>
      <c r="AN2051" s="77"/>
      <c r="AO2051" s="77"/>
      <c r="AP2051" s="77"/>
      <c r="AQ2051" s="77" t="s">
        <v>11756</v>
      </c>
      <c r="AR2051" s="77"/>
      <c r="AS2051" s="77"/>
      <c r="AT2051" s="77"/>
      <c r="AU2051" s="77"/>
      <c r="AV2051" s="80" t="str">
        <f>HYPERLINK("https://pbs.twimg.com/media/F1PIDcPXwAAgzmT.jpg")</f>
        <v>https://pbs.twimg.com/media/F1PIDcPXwAAgzmT.jpg</v>
      </c>
      <c r="AW2051" s="82" t="s">
        <v>14212</v>
      </c>
      <c r="AX2051" s="82" t="s">
        <v>14212</v>
      </c>
      <c r="AY2051" s="77"/>
      <c r="AZ2051" s="82" t="s">
        <v>15804</v>
      </c>
      <c r="BA2051" s="82" t="s">
        <v>15804</v>
      </c>
      <c r="BB2051" s="82" t="s">
        <v>15804</v>
      </c>
      <c r="BC2051" s="82" t="s">
        <v>14212</v>
      </c>
      <c r="BD2051" s="82" t="s">
        <v>16500</v>
      </c>
      <c r="BE2051" s="77"/>
      <c r="BF2051" s="77"/>
      <c r="BG2051" s="77"/>
      <c r="BH2051" s="77"/>
      <c r="BI2051" s="77"/>
    </row>
    <row r="2052" spans="1:61" x14ac:dyDescent="0.25">
      <c r="A2052" s="62" t="s">
        <v>860</v>
      </c>
      <c r="B2052" s="62" t="s">
        <v>860</v>
      </c>
      <c r="C2052" s="63"/>
      <c r="D2052" s="64"/>
      <c r="E2052" s="65"/>
      <c r="F2052" s="66"/>
      <c r="G2052" s="63"/>
      <c r="H2052" s="67"/>
      <c r="I2052" s="68"/>
      <c r="J2052" s="68"/>
      <c r="K2052" s="32"/>
      <c r="L2052" s="75">
        <v>2052</v>
      </c>
      <c r="M2052" s="75"/>
      <c r="N2052" s="70"/>
      <c r="O2052" s="77" t="s">
        <v>1133</v>
      </c>
      <c r="P2052" s="79">
        <v>45123.955347222225</v>
      </c>
      <c r="Q2052" s="77" t="s">
        <v>3101</v>
      </c>
      <c r="R2052" s="77">
        <v>0</v>
      </c>
      <c r="S2052" s="77">
        <v>0</v>
      </c>
      <c r="T2052" s="77">
        <v>0</v>
      </c>
      <c r="U2052" s="77">
        <v>0</v>
      </c>
      <c r="V2052" s="77">
        <v>72</v>
      </c>
      <c r="W2052" s="82" t="s">
        <v>5374</v>
      </c>
      <c r="X2052" s="77"/>
      <c r="Y2052" s="77"/>
      <c r="Z2052" s="77" t="s">
        <v>860</v>
      </c>
      <c r="AA2052" s="77" t="s">
        <v>7250</v>
      </c>
      <c r="AB2052" s="77" t="s">
        <v>7696</v>
      </c>
      <c r="AC2052" s="82" t="s">
        <v>7707</v>
      </c>
      <c r="AD2052" s="77" t="s">
        <v>7745</v>
      </c>
      <c r="AE2052" s="80" t="str">
        <f>HYPERLINK("https://twitter.com/workshopdantas/status/1680712842121494528")</f>
        <v>https://twitter.com/workshopdantas/status/1680712842121494528</v>
      </c>
      <c r="AF2052" s="79">
        <v>45123.955347222225</v>
      </c>
      <c r="AG2052" s="85">
        <v>45123</v>
      </c>
      <c r="AH2052" s="82" t="s">
        <v>9587</v>
      </c>
      <c r="AI2052" s="77" t="b">
        <v>0</v>
      </c>
      <c r="AJ2052" s="77"/>
      <c r="AK2052" s="77"/>
      <c r="AL2052" s="77"/>
      <c r="AM2052" s="77"/>
      <c r="AN2052" s="77"/>
      <c r="AO2052" s="77"/>
      <c r="AP2052" s="77"/>
      <c r="AQ2052" s="77" t="s">
        <v>11757</v>
      </c>
      <c r="AR2052" s="77"/>
      <c r="AS2052" s="77"/>
      <c r="AT2052" s="77"/>
      <c r="AU2052" s="77"/>
      <c r="AV2052" s="80" t="str">
        <f>HYPERLINK("https://pbs.twimg.com/media/F1MXbF0XsAEWAGV.jpg")</f>
        <v>https://pbs.twimg.com/media/F1MXbF0XsAEWAGV.jpg</v>
      </c>
      <c r="AW2052" s="82" t="s">
        <v>14213</v>
      </c>
      <c r="AX2052" s="82" t="s">
        <v>14213</v>
      </c>
      <c r="AY2052" s="77"/>
      <c r="AZ2052" s="82" t="s">
        <v>15804</v>
      </c>
      <c r="BA2052" s="82" t="s">
        <v>15804</v>
      </c>
      <c r="BB2052" s="82" t="s">
        <v>15804</v>
      </c>
      <c r="BC2052" s="82" t="s">
        <v>14213</v>
      </c>
      <c r="BD2052" s="82" t="s">
        <v>16500</v>
      </c>
      <c r="BE2052" s="77"/>
      <c r="BF2052" s="77"/>
      <c r="BG2052" s="77"/>
      <c r="BH2052" s="77"/>
      <c r="BI2052" s="77"/>
    </row>
    <row r="2053" spans="1:61" x14ac:dyDescent="0.25">
      <c r="A2053" s="62" t="s">
        <v>860</v>
      </c>
      <c r="B2053" s="62" t="s">
        <v>860</v>
      </c>
      <c r="C2053" s="63"/>
      <c r="D2053" s="64"/>
      <c r="E2053" s="65"/>
      <c r="F2053" s="66"/>
      <c r="G2053" s="63"/>
      <c r="H2053" s="67"/>
      <c r="I2053" s="68"/>
      <c r="J2053" s="68"/>
      <c r="K2053" s="32"/>
      <c r="L2053" s="75">
        <v>2053</v>
      </c>
      <c r="M2053" s="75"/>
      <c r="N2053" s="70"/>
      <c r="O2053" s="77" t="s">
        <v>1133</v>
      </c>
      <c r="P2053" s="79">
        <v>45123.434953703705</v>
      </c>
      <c r="Q2053" s="77" t="s">
        <v>3102</v>
      </c>
      <c r="R2053" s="77">
        <v>0</v>
      </c>
      <c r="S2053" s="77">
        <v>0</v>
      </c>
      <c r="T2053" s="77">
        <v>0</v>
      </c>
      <c r="U2053" s="77">
        <v>0</v>
      </c>
      <c r="V2053" s="77">
        <v>78</v>
      </c>
      <c r="W2053" s="82" t="s">
        <v>5375</v>
      </c>
      <c r="X2053" s="77"/>
      <c r="Y2053" s="77"/>
      <c r="Z2053" s="77" t="s">
        <v>860</v>
      </c>
      <c r="AA2053" s="77" t="s">
        <v>7251</v>
      </c>
      <c r="AB2053" s="77" t="s">
        <v>7696</v>
      </c>
      <c r="AC2053" s="82" t="s">
        <v>7707</v>
      </c>
      <c r="AD2053" s="77" t="s">
        <v>7745</v>
      </c>
      <c r="AE2053" s="80" t="str">
        <f>HYPERLINK("https://twitter.com/workshopdantas/status/1680524257506336768")</f>
        <v>https://twitter.com/workshopdantas/status/1680524257506336768</v>
      </c>
      <c r="AF2053" s="79">
        <v>45123.434953703705</v>
      </c>
      <c r="AG2053" s="85">
        <v>45123</v>
      </c>
      <c r="AH2053" s="82" t="s">
        <v>9588</v>
      </c>
      <c r="AI2053" s="77" t="b">
        <v>0</v>
      </c>
      <c r="AJ2053" s="77"/>
      <c r="AK2053" s="77"/>
      <c r="AL2053" s="77"/>
      <c r="AM2053" s="77"/>
      <c r="AN2053" s="77"/>
      <c r="AO2053" s="77"/>
      <c r="AP2053" s="77"/>
      <c r="AQ2053" s="77" t="s">
        <v>11758</v>
      </c>
      <c r="AR2053" s="77"/>
      <c r="AS2053" s="77"/>
      <c r="AT2053" s="77"/>
      <c r="AU2053" s="77"/>
      <c r="AV2053" s="80" t="str">
        <f>HYPERLINK("https://pbs.twimg.com/media/F1Jr5-1XsAESfrn.jpg")</f>
        <v>https://pbs.twimg.com/media/F1Jr5-1XsAESfrn.jpg</v>
      </c>
      <c r="AW2053" s="82" t="s">
        <v>14214</v>
      </c>
      <c r="AX2053" s="82" t="s">
        <v>14214</v>
      </c>
      <c r="AY2053" s="77"/>
      <c r="AZ2053" s="82" t="s">
        <v>15804</v>
      </c>
      <c r="BA2053" s="82" t="s">
        <v>15804</v>
      </c>
      <c r="BB2053" s="82" t="s">
        <v>15804</v>
      </c>
      <c r="BC2053" s="82" t="s">
        <v>14214</v>
      </c>
      <c r="BD2053" s="82" t="s">
        <v>16500</v>
      </c>
      <c r="BE2053" s="77"/>
      <c r="BF2053" s="77"/>
      <c r="BG2053" s="77"/>
      <c r="BH2053" s="77"/>
      <c r="BI2053" s="77"/>
    </row>
    <row r="2054" spans="1:61" x14ac:dyDescent="0.25">
      <c r="A2054" s="62" t="s">
        <v>860</v>
      </c>
      <c r="B2054" s="62" t="s">
        <v>860</v>
      </c>
      <c r="C2054" s="63"/>
      <c r="D2054" s="64"/>
      <c r="E2054" s="65"/>
      <c r="F2054" s="66"/>
      <c r="G2054" s="63"/>
      <c r="H2054" s="67"/>
      <c r="I2054" s="68"/>
      <c r="J2054" s="68"/>
      <c r="K2054" s="32"/>
      <c r="L2054" s="75">
        <v>2054</v>
      </c>
      <c r="M2054" s="75"/>
      <c r="N2054" s="70"/>
      <c r="O2054" s="77" t="s">
        <v>1133</v>
      </c>
      <c r="P2054" s="79">
        <v>45107.410300925927</v>
      </c>
      <c r="Q2054" s="77" t="s">
        <v>3103</v>
      </c>
      <c r="R2054" s="77">
        <v>0</v>
      </c>
      <c r="S2054" s="77">
        <v>0</v>
      </c>
      <c r="T2054" s="77">
        <v>0</v>
      </c>
      <c r="U2054" s="77">
        <v>0</v>
      </c>
      <c r="V2054" s="77">
        <v>34</v>
      </c>
      <c r="W2054" s="82" t="s">
        <v>5376</v>
      </c>
      <c r="X2054" s="77"/>
      <c r="Y2054" s="77"/>
      <c r="Z2054" s="77" t="s">
        <v>860</v>
      </c>
      <c r="AA2054" s="77" t="s">
        <v>7252</v>
      </c>
      <c r="AB2054" s="77" t="s">
        <v>7696</v>
      </c>
      <c r="AC2054" s="82" t="s">
        <v>7707</v>
      </c>
      <c r="AD2054" s="77" t="s">
        <v>7745</v>
      </c>
      <c r="AE2054" s="80" t="str">
        <f>HYPERLINK("https://twitter.com/workshopdantas/status/1674717119257227264")</f>
        <v>https://twitter.com/workshopdantas/status/1674717119257227264</v>
      </c>
      <c r="AF2054" s="79">
        <v>45107.410300925927</v>
      </c>
      <c r="AG2054" s="85">
        <v>45107</v>
      </c>
      <c r="AH2054" s="82" t="s">
        <v>9589</v>
      </c>
      <c r="AI2054" s="77" t="b">
        <v>0</v>
      </c>
      <c r="AJ2054" s="77"/>
      <c r="AK2054" s="77"/>
      <c r="AL2054" s="77"/>
      <c r="AM2054" s="77"/>
      <c r="AN2054" s="77"/>
      <c r="AO2054" s="77"/>
      <c r="AP2054" s="77"/>
      <c r="AQ2054" s="77" t="s">
        <v>11759</v>
      </c>
      <c r="AR2054" s="77"/>
      <c r="AS2054" s="77"/>
      <c r="AT2054" s="77"/>
      <c r="AU2054" s="77"/>
      <c r="AV2054" s="80" t="str">
        <f>HYPERLINK("https://pbs.twimg.com/media/Fz3KWAtXoAArD1O.jpg")</f>
        <v>https://pbs.twimg.com/media/Fz3KWAtXoAArD1O.jpg</v>
      </c>
      <c r="AW2054" s="82" t="s">
        <v>14215</v>
      </c>
      <c r="AX2054" s="82" t="s">
        <v>14215</v>
      </c>
      <c r="AY2054" s="77"/>
      <c r="AZ2054" s="82" t="s">
        <v>15804</v>
      </c>
      <c r="BA2054" s="82" t="s">
        <v>15804</v>
      </c>
      <c r="BB2054" s="82" t="s">
        <v>15804</v>
      </c>
      <c r="BC2054" s="82" t="s">
        <v>14215</v>
      </c>
      <c r="BD2054" s="82" t="s">
        <v>16500</v>
      </c>
      <c r="BE2054" s="77"/>
      <c r="BF2054" s="77"/>
      <c r="BG2054" s="77"/>
      <c r="BH2054" s="77"/>
      <c r="BI2054" s="77"/>
    </row>
    <row r="2055" spans="1:61" x14ac:dyDescent="0.25">
      <c r="A2055" s="62" t="s">
        <v>860</v>
      </c>
      <c r="B2055" s="62" t="s">
        <v>860</v>
      </c>
      <c r="C2055" s="63"/>
      <c r="D2055" s="64"/>
      <c r="E2055" s="65"/>
      <c r="F2055" s="66"/>
      <c r="G2055" s="63"/>
      <c r="H2055" s="67"/>
      <c r="I2055" s="68"/>
      <c r="J2055" s="68"/>
      <c r="K2055" s="32"/>
      <c r="L2055" s="75">
        <v>2055</v>
      </c>
      <c r="M2055" s="75"/>
      <c r="N2055" s="70"/>
      <c r="O2055" s="77" t="s">
        <v>1133</v>
      </c>
      <c r="P2055" s="79">
        <v>45106.501655092594</v>
      </c>
      <c r="Q2055" s="77" t="s">
        <v>3104</v>
      </c>
      <c r="R2055" s="77">
        <v>0</v>
      </c>
      <c r="S2055" s="77">
        <v>1</v>
      </c>
      <c r="T2055" s="77">
        <v>0</v>
      </c>
      <c r="U2055" s="77">
        <v>0</v>
      </c>
      <c r="V2055" s="77">
        <v>31</v>
      </c>
      <c r="W2055" s="82" t="s">
        <v>5377</v>
      </c>
      <c r="X2055" s="77"/>
      <c r="Y2055" s="77"/>
      <c r="Z2055" s="77" t="s">
        <v>860</v>
      </c>
      <c r="AA2055" s="77" t="s">
        <v>7253</v>
      </c>
      <c r="AB2055" s="77" t="s">
        <v>7696</v>
      </c>
      <c r="AC2055" s="82" t="s">
        <v>7707</v>
      </c>
      <c r="AD2055" s="77" t="s">
        <v>7745</v>
      </c>
      <c r="AE2055" s="80" t="str">
        <f>HYPERLINK("https://twitter.com/workshopdantas/status/1674387837980999686")</f>
        <v>https://twitter.com/workshopdantas/status/1674387837980999686</v>
      </c>
      <c r="AF2055" s="79">
        <v>45106.501655092594</v>
      </c>
      <c r="AG2055" s="85">
        <v>45106</v>
      </c>
      <c r="AH2055" s="82" t="s">
        <v>9590</v>
      </c>
      <c r="AI2055" s="77" t="b">
        <v>0</v>
      </c>
      <c r="AJ2055" s="77"/>
      <c r="AK2055" s="77"/>
      <c r="AL2055" s="77"/>
      <c r="AM2055" s="77"/>
      <c r="AN2055" s="77"/>
      <c r="AO2055" s="77"/>
      <c r="AP2055" s="77"/>
      <c r="AQ2055" s="77" t="s">
        <v>11760</v>
      </c>
      <c r="AR2055" s="77"/>
      <c r="AS2055" s="77"/>
      <c r="AT2055" s="77"/>
      <c r="AU2055" s="77"/>
      <c r="AV2055" s="80" t="str">
        <f>HYPERLINK("https://pbs.twimg.com/media/Fzye3WCX0AE_wN-.jpg")</f>
        <v>https://pbs.twimg.com/media/Fzye3WCX0AE_wN-.jpg</v>
      </c>
      <c r="AW2055" s="82" t="s">
        <v>14216</v>
      </c>
      <c r="AX2055" s="82" t="s">
        <v>14216</v>
      </c>
      <c r="AY2055" s="77"/>
      <c r="AZ2055" s="82" t="s">
        <v>15804</v>
      </c>
      <c r="BA2055" s="82" t="s">
        <v>15804</v>
      </c>
      <c r="BB2055" s="82" t="s">
        <v>15804</v>
      </c>
      <c r="BC2055" s="82" t="s">
        <v>14216</v>
      </c>
      <c r="BD2055" s="82" t="s">
        <v>16500</v>
      </c>
      <c r="BE2055" s="77"/>
      <c r="BF2055" s="77"/>
      <c r="BG2055" s="77"/>
      <c r="BH2055" s="77"/>
      <c r="BI2055" s="77"/>
    </row>
    <row r="2056" spans="1:61" x14ac:dyDescent="0.25">
      <c r="A2056" s="62" t="s">
        <v>860</v>
      </c>
      <c r="B2056" s="62" t="s">
        <v>860</v>
      </c>
      <c r="C2056" s="63"/>
      <c r="D2056" s="64"/>
      <c r="E2056" s="65"/>
      <c r="F2056" s="66"/>
      <c r="G2056" s="63"/>
      <c r="H2056" s="67"/>
      <c r="I2056" s="68"/>
      <c r="J2056" s="68"/>
      <c r="K2056" s="32"/>
      <c r="L2056" s="75">
        <v>2056</v>
      </c>
      <c r="M2056" s="75"/>
      <c r="N2056" s="70"/>
      <c r="O2056" s="77" t="s">
        <v>1133</v>
      </c>
      <c r="P2056" s="79">
        <v>45162.543738425928</v>
      </c>
      <c r="Q2056" s="77" t="s">
        <v>3105</v>
      </c>
      <c r="R2056" s="77">
        <v>0</v>
      </c>
      <c r="S2056" s="77">
        <v>0</v>
      </c>
      <c r="T2056" s="77">
        <v>0</v>
      </c>
      <c r="U2056" s="77">
        <v>0</v>
      </c>
      <c r="V2056" s="77">
        <v>183</v>
      </c>
      <c r="W2056" s="82" t="s">
        <v>5378</v>
      </c>
      <c r="X2056" s="77"/>
      <c r="Y2056" s="77"/>
      <c r="Z2056" s="77" t="s">
        <v>860</v>
      </c>
      <c r="AA2056" s="77" t="s">
        <v>7254</v>
      </c>
      <c r="AB2056" s="77" t="s">
        <v>7696</v>
      </c>
      <c r="AC2056" s="82" t="s">
        <v>7707</v>
      </c>
      <c r="AD2056" s="77" t="s">
        <v>7745</v>
      </c>
      <c r="AE2056" s="80" t="str">
        <f>HYPERLINK("https://twitter.com/workshopdantas/status/1694696806636999058")</f>
        <v>https://twitter.com/workshopdantas/status/1694696806636999058</v>
      </c>
      <c r="AF2056" s="79">
        <v>45162.543738425928</v>
      </c>
      <c r="AG2056" s="85">
        <v>45162</v>
      </c>
      <c r="AH2056" s="82" t="s">
        <v>9591</v>
      </c>
      <c r="AI2056" s="77" t="b">
        <v>0</v>
      </c>
      <c r="AJ2056" s="77"/>
      <c r="AK2056" s="77"/>
      <c r="AL2056" s="77"/>
      <c r="AM2056" s="77"/>
      <c r="AN2056" s="77"/>
      <c r="AO2056" s="77"/>
      <c r="AP2056" s="77"/>
      <c r="AQ2056" s="77" t="s">
        <v>11761</v>
      </c>
      <c r="AR2056" s="77"/>
      <c r="AS2056" s="77"/>
      <c r="AT2056" s="77"/>
      <c r="AU2056" s="77"/>
      <c r="AV2056" s="80" t="str">
        <f>HYPERLINK("https://pbs.twimg.com/media/F4TFw6BWcAAhAvN.jpg")</f>
        <v>https://pbs.twimg.com/media/F4TFw6BWcAAhAvN.jpg</v>
      </c>
      <c r="AW2056" s="82" t="s">
        <v>14217</v>
      </c>
      <c r="AX2056" s="82" t="s">
        <v>14217</v>
      </c>
      <c r="AY2056" s="77"/>
      <c r="AZ2056" s="82" t="s">
        <v>15804</v>
      </c>
      <c r="BA2056" s="82" t="s">
        <v>15804</v>
      </c>
      <c r="BB2056" s="82" t="s">
        <v>15804</v>
      </c>
      <c r="BC2056" s="82" t="s">
        <v>14217</v>
      </c>
      <c r="BD2056" s="82" t="s">
        <v>16500</v>
      </c>
      <c r="BE2056" s="77"/>
      <c r="BF2056" s="77"/>
      <c r="BG2056" s="77"/>
      <c r="BH2056" s="77"/>
      <c r="BI2056" s="77"/>
    </row>
    <row r="2057" spans="1:61" x14ac:dyDescent="0.25">
      <c r="A2057" s="62" t="s">
        <v>860</v>
      </c>
      <c r="B2057" s="62" t="s">
        <v>860</v>
      </c>
      <c r="C2057" s="63"/>
      <c r="D2057" s="64"/>
      <c r="E2057" s="65"/>
      <c r="F2057" s="66"/>
      <c r="G2057" s="63"/>
      <c r="H2057" s="67"/>
      <c r="I2057" s="68"/>
      <c r="J2057" s="68"/>
      <c r="K2057" s="32"/>
      <c r="L2057" s="75">
        <v>2057</v>
      </c>
      <c r="M2057" s="75"/>
      <c r="N2057" s="70"/>
      <c r="O2057" s="77" t="s">
        <v>1133</v>
      </c>
      <c r="P2057" s="79">
        <v>45150.439062500001</v>
      </c>
      <c r="Q2057" s="77" t="s">
        <v>3106</v>
      </c>
      <c r="R2057" s="77">
        <v>1</v>
      </c>
      <c r="S2057" s="77">
        <v>1</v>
      </c>
      <c r="T2057" s="77">
        <v>0</v>
      </c>
      <c r="U2057" s="77">
        <v>0</v>
      </c>
      <c r="V2057" s="77">
        <v>60</v>
      </c>
      <c r="W2057" s="82" t="s">
        <v>5379</v>
      </c>
      <c r="X2057" s="77"/>
      <c r="Y2057" s="77"/>
      <c r="Z2057" s="77" t="s">
        <v>860</v>
      </c>
      <c r="AA2057" s="77" t="s">
        <v>7255</v>
      </c>
      <c r="AB2057" s="77" t="s">
        <v>7696</v>
      </c>
      <c r="AC2057" s="82" t="s">
        <v>7707</v>
      </c>
      <c r="AD2057" s="77" t="s">
        <v>7745</v>
      </c>
      <c r="AE2057" s="80" t="str">
        <f>HYPERLINK("https://twitter.com/workshopdantas/status/1690310218633060352")</f>
        <v>https://twitter.com/workshopdantas/status/1690310218633060352</v>
      </c>
      <c r="AF2057" s="79">
        <v>45150.439062500001</v>
      </c>
      <c r="AG2057" s="85">
        <v>45150</v>
      </c>
      <c r="AH2057" s="82" t="s">
        <v>9592</v>
      </c>
      <c r="AI2057" s="77" t="b">
        <v>0</v>
      </c>
      <c r="AJ2057" s="77"/>
      <c r="AK2057" s="77"/>
      <c r="AL2057" s="77"/>
      <c r="AM2057" s="77"/>
      <c r="AN2057" s="77"/>
      <c r="AO2057" s="77"/>
      <c r="AP2057" s="77"/>
      <c r="AQ2057" s="77" t="s">
        <v>11762</v>
      </c>
      <c r="AR2057" s="77"/>
      <c r="AS2057" s="77"/>
      <c r="AT2057" s="77"/>
      <c r="AU2057" s="77"/>
      <c r="AV2057" s="80" t="str">
        <f>HYPERLINK("https://pbs.twimg.com/media/F3UwL6kWgAAAQYg.jpg")</f>
        <v>https://pbs.twimg.com/media/F3UwL6kWgAAAQYg.jpg</v>
      </c>
      <c r="AW2057" s="82" t="s">
        <v>14218</v>
      </c>
      <c r="AX2057" s="82" t="s">
        <v>14218</v>
      </c>
      <c r="AY2057" s="77"/>
      <c r="AZ2057" s="82" t="s">
        <v>15804</v>
      </c>
      <c r="BA2057" s="82" t="s">
        <v>15804</v>
      </c>
      <c r="BB2057" s="82" t="s">
        <v>15804</v>
      </c>
      <c r="BC2057" s="82" t="s">
        <v>14218</v>
      </c>
      <c r="BD2057" s="82" t="s">
        <v>16500</v>
      </c>
      <c r="BE2057" s="77"/>
      <c r="BF2057" s="77"/>
      <c r="BG2057" s="77"/>
      <c r="BH2057" s="77"/>
      <c r="BI2057" s="77"/>
    </row>
    <row r="2058" spans="1:61" x14ac:dyDescent="0.25">
      <c r="A2058" s="62" t="s">
        <v>860</v>
      </c>
      <c r="B2058" s="62" t="s">
        <v>860</v>
      </c>
      <c r="C2058" s="63"/>
      <c r="D2058" s="64"/>
      <c r="E2058" s="65"/>
      <c r="F2058" s="66"/>
      <c r="G2058" s="63"/>
      <c r="H2058" s="67"/>
      <c r="I2058" s="68"/>
      <c r="J2058" s="68"/>
      <c r="K2058" s="32"/>
      <c r="L2058" s="75">
        <v>2058</v>
      </c>
      <c r="M2058" s="75"/>
      <c r="N2058" s="70"/>
      <c r="O2058" s="77" t="s">
        <v>1133</v>
      </c>
      <c r="P2058" s="79">
        <v>45149.447430555556</v>
      </c>
      <c r="Q2058" s="77" t="s">
        <v>3107</v>
      </c>
      <c r="R2058" s="77">
        <v>0</v>
      </c>
      <c r="S2058" s="77">
        <v>0</v>
      </c>
      <c r="T2058" s="77">
        <v>0</v>
      </c>
      <c r="U2058" s="77">
        <v>0</v>
      </c>
      <c r="V2058" s="77">
        <v>47</v>
      </c>
      <c r="W2058" s="82" t="s">
        <v>5354</v>
      </c>
      <c r="X2058" s="77"/>
      <c r="Y2058" s="77"/>
      <c r="Z2058" s="77" t="s">
        <v>860</v>
      </c>
      <c r="AA2058" s="77" t="s">
        <v>7256</v>
      </c>
      <c r="AB2058" s="77" t="s">
        <v>7696</v>
      </c>
      <c r="AC2058" s="82" t="s">
        <v>7707</v>
      </c>
      <c r="AD2058" s="77" t="s">
        <v>7745</v>
      </c>
      <c r="AE2058" s="80" t="str">
        <f>HYPERLINK("https://twitter.com/workshopdantas/status/1689950864725692416")</f>
        <v>https://twitter.com/workshopdantas/status/1689950864725692416</v>
      </c>
      <c r="AF2058" s="79">
        <v>45149.447430555556</v>
      </c>
      <c r="AG2058" s="85">
        <v>45149</v>
      </c>
      <c r="AH2058" s="82" t="s">
        <v>9593</v>
      </c>
      <c r="AI2058" s="77" t="b">
        <v>0</v>
      </c>
      <c r="AJ2058" s="77"/>
      <c r="AK2058" s="77"/>
      <c r="AL2058" s="77"/>
      <c r="AM2058" s="77"/>
      <c r="AN2058" s="77"/>
      <c r="AO2058" s="77"/>
      <c r="AP2058" s="77"/>
      <c r="AQ2058" s="77" t="s">
        <v>11763</v>
      </c>
      <c r="AR2058" s="77"/>
      <c r="AS2058" s="77"/>
      <c r="AT2058" s="77"/>
      <c r="AU2058" s="77"/>
      <c r="AV2058" s="80" t="str">
        <f>HYPERLINK("https://pbs.twimg.com/media/F3PpWvdW4AAeNNE.jpg")</f>
        <v>https://pbs.twimg.com/media/F3PpWvdW4AAeNNE.jpg</v>
      </c>
      <c r="AW2058" s="82" t="s">
        <v>14219</v>
      </c>
      <c r="AX2058" s="82" t="s">
        <v>14219</v>
      </c>
      <c r="AY2058" s="77"/>
      <c r="AZ2058" s="82" t="s">
        <v>15804</v>
      </c>
      <c r="BA2058" s="82" t="s">
        <v>15804</v>
      </c>
      <c r="BB2058" s="82" t="s">
        <v>15804</v>
      </c>
      <c r="BC2058" s="82" t="s">
        <v>14219</v>
      </c>
      <c r="BD2058" s="82" t="s">
        <v>16500</v>
      </c>
      <c r="BE2058" s="77"/>
      <c r="BF2058" s="77"/>
      <c r="BG2058" s="77"/>
      <c r="BH2058" s="77"/>
      <c r="BI2058" s="77"/>
    </row>
    <row r="2059" spans="1:61" x14ac:dyDescent="0.25">
      <c r="A2059" s="62" t="s">
        <v>860</v>
      </c>
      <c r="B2059" s="62" t="s">
        <v>860</v>
      </c>
      <c r="C2059" s="63"/>
      <c r="D2059" s="64"/>
      <c r="E2059" s="65"/>
      <c r="F2059" s="66"/>
      <c r="G2059" s="63"/>
      <c r="H2059" s="67"/>
      <c r="I2059" s="68"/>
      <c r="J2059" s="68"/>
      <c r="K2059" s="32"/>
      <c r="L2059" s="75">
        <v>2059</v>
      </c>
      <c r="M2059" s="75"/>
      <c r="N2059" s="70"/>
      <c r="O2059" s="77" t="s">
        <v>1133</v>
      </c>
      <c r="P2059" s="79">
        <v>45148.500833333332</v>
      </c>
      <c r="Q2059" s="77" t="s">
        <v>3108</v>
      </c>
      <c r="R2059" s="77">
        <v>0</v>
      </c>
      <c r="S2059" s="77">
        <v>0</v>
      </c>
      <c r="T2059" s="77">
        <v>0</v>
      </c>
      <c r="U2059" s="77">
        <v>0</v>
      </c>
      <c r="V2059" s="77">
        <v>42</v>
      </c>
      <c r="W2059" s="82" t="s">
        <v>5354</v>
      </c>
      <c r="X2059" s="77"/>
      <c r="Y2059" s="77"/>
      <c r="Z2059" s="77" t="s">
        <v>860</v>
      </c>
      <c r="AA2059" s="77" t="s">
        <v>7257</v>
      </c>
      <c r="AB2059" s="77" t="s">
        <v>7696</v>
      </c>
      <c r="AC2059" s="82" t="s">
        <v>7707</v>
      </c>
      <c r="AD2059" s="77" t="s">
        <v>7745</v>
      </c>
      <c r="AE2059" s="80" t="str">
        <f>HYPERLINK("https://twitter.com/workshopdantas/status/1689607828128792576")</f>
        <v>https://twitter.com/workshopdantas/status/1689607828128792576</v>
      </c>
      <c r="AF2059" s="79">
        <v>45148.500833333332</v>
      </c>
      <c r="AG2059" s="85">
        <v>45148</v>
      </c>
      <c r="AH2059" s="82" t="s">
        <v>9594</v>
      </c>
      <c r="AI2059" s="77" t="b">
        <v>0</v>
      </c>
      <c r="AJ2059" s="77"/>
      <c r="AK2059" s="77"/>
      <c r="AL2059" s="77"/>
      <c r="AM2059" s="77"/>
      <c r="AN2059" s="77"/>
      <c r="AO2059" s="77"/>
      <c r="AP2059" s="77"/>
      <c r="AQ2059" s="77" t="s">
        <v>11764</v>
      </c>
      <c r="AR2059" s="77"/>
      <c r="AS2059" s="77"/>
      <c r="AT2059" s="77"/>
      <c r="AU2059" s="77"/>
      <c r="AV2059" s="80" t="str">
        <f>HYPERLINK("https://pbs.twimg.com/media/F3KxXYuWYAEAa0A.jpg")</f>
        <v>https://pbs.twimg.com/media/F3KxXYuWYAEAa0A.jpg</v>
      </c>
      <c r="AW2059" s="82" t="s">
        <v>14220</v>
      </c>
      <c r="AX2059" s="82" t="s">
        <v>14220</v>
      </c>
      <c r="AY2059" s="77"/>
      <c r="AZ2059" s="82" t="s">
        <v>15804</v>
      </c>
      <c r="BA2059" s="82" t="s">
        <v>15804</v>
      </c>
      <c r="BB2059" s="82" t="s">
        <v>15804</v>
      </c>
      <c r="BC2059" s="82" t="s">
        <v>14220</v>
      </c>
      <c r="BD2059" s="82" t="s">
        <v>16500</v>
      </c>
      <c r="BE2059" s="77"/>
      <c r="BF2059" s="77"/>
      <c r="BG2059" s="77"/>
      <c r="BH2059" s="77"/>
      <c r="BI2059" s="77"/>
    </row>
    <row r="2060" spans="1:61" x14ac:dyDescent="0.25">
      <c r="A2060" s="62" t="s">
        <v>860</v>
      </c>
      <c r="B2060" s="62" t="s">
        <v>860</v>
      </c>
      <c r="C2060" s="63"/>
      <c r="D2060" s="64"/>
      <c r="E2060" s="65"/>
      <c r="F2060" s="66"/>
      <c r="G2060" s="63"/>
      <c r="H2060" s="67"/>
      <c r="I2060" s="68"/>
      <c r="J2060" s="68"/>
      <c r="K2060" s="32"/>
      <c r="L2060" s="75">
        <v>2060</v>
      </c>
      <c r="M2060" s="75"/>
      <c r="N2060" s="70"/>
      <c r="O2060" s="77" t="s">
        <v>1133</v>
      </c>
      <c r="P2060" s="79">
        <v>45135.683229166665</v>
      </c>
      <c r="Q2060" s="77" t="s">
        <v>3109</v>
      </c>
      <c r="R2060" s="77">
        <v>0</v>
      </c>
      <c r="S2060" s="77">
        <v>0</v>
      </c>
      <c r="T2060" s="77">
        <v>0</v>
      </c>
      <c r="U2060" s="77">
        <v>0</v>
      </c>
      <c r="V2060" s="77">
        <v>51</v>
      </c>
      <c r="W2060" s="82" t="s">
        <v>5380</v>
      </c>
      <c r="X2060" s="77"/>
      <c r="Y2060" s="77"/>
      <c r="Z2060" s="77" t="s">
        <v>860</v>
      </c>
      <c r="AA2060" s="77" t="s">
        <v>7258</v>
      </c>
      <c r="AB2060" s="77" t="s">
        <v>7696</v>
      </c>
      <c r="AC2060" s="82" t="s">
        <v>7707</v>
      </c>
      <c r="AD2060" s="77" t="s">
        <v>7745</v>
      </c>
      <c r="AE2060" s="80" t="str">
        <f>HYPERLINK("https://twitter.com/workshopdantas/status/1684962886668492814")</f>
        <v>https://twitter.com/workshopdantas/status/1684962886668492814</v>
      </c>
      <c r="AF2060" s="79">
        <v>45135.683229166665</v>
      </c>
      <c r="AG2060" s="85">
        <v>45135</v>
      </c>
      <c r="AH2060" s="82" t="s">
        <v>9595</v>
      </c>
      <c r="AI2060" s="77" t="b">
        <v>0</v>
      </c>
      <c r="AJ2060" s="77"/>
      <c r="AK2060" s="77"/>
      <c r="AL2060" s="77"/>
      <c r="AM2060" s="77"/>
      <c r="AN2060" s="77"/>
      <c r="AO2060" s="77"/>
      <c r="AP2060" s="77"/>
      <c r="AQ2060" s="77" t="s">
        <v>11765</v>
      </c>
      <c r="AR2060" s="77"/>
      <c r="AS2060" s="77"/>
      <c r="AT2060" s="77"/>
      <c r="AU2060" s="77"/>
      <c r="AV2060" s="80" t="str">
        <f>HYPERLINK("https://pbs.twimg.com/media/F2Iwz7cXoAkzpzv.jpg")</f>
        <v>https://pbs.twimg.com/media/F2Iwz7cXoAkzpzv.jpg</v>
      </c>
      <c r="AW2060" s="82" t="s">
        <v>14221</v>
      </c>
      <c r="AX2060" s="82" t="s">
        <v>14221</v>
      </c>
      <c r="AY2060" s="77"/>
      <c r="AZ2060" s="82" t="s">
        <v>15804</v>
      </c>
      <c r="BA2060" s="82" t="s">
        <v>15804</v>
      </c>
      <c r="BB2060" s="82" t="s">
        <v>15804</v>
      </c>
      <c r="BC2060" s="82" t="s">
        <v>14221</v>
      </c>
      <c r="BD2060" s="82" t="s">
        <v>16500</v>
      </c>
      <c r="BE2060" s="77"/>
      <c r="BF2060" s="77"/>
      <c r="BG2060" s="77"/>
      <c r="BH2060" s="77"/>
      <c r="BI2060" s="77"/>
    </row>
    <row r="2061" spans="1:61" x14ac:dyDescent="0.25">
      <c r="A2061" s="62" t="s">
        <v>860</v>
      </c>
      <c r="B2061" s="62" t="s">
        <v>860</v>
      </c>
      <c r="C2061" s="63"/>
      <c r="D2061" s="64"/>
      <c r="E2061" s="65"/>
      <c r="F2061" s="66"/>
      <c r="G2061" s="63"/>
      <c r="H2061" s="67"/>
      <c r="I2061" s="68"/>
      <c r="J2061" s="68"/>
      <c r="K2061" s="32"/>
      <c r="L2061" s="75">
        <v>2061</v>
      </c>
      <c r="M2061" s="75"/>
      <c r="N2061" s="70"/>
      <c r="O2061" s="77" t="s">
        <v>1133</v>
      </c>
      <c r="P2061" s="79">
        <v>45135.456828703704</v>
      </c>
      <c r="Q2061" s="77" t="s">
        <v>3079</v>
      </c>
      <c r="R2061" s="77">
        <v>0</v>
      </c>
      <c r="S2061" s="77">
        <v>0</v>
      </c>
      <c r="T2061" s="77">
        <v>0</v>
      </c>
      <c r="U2061" s="77">
        <v>0</v>
      </c>
      <c r="V2061" s="77">
        <v>52</v>
      </c>
      <c r="W2061" s="82" t="s">
        <v>5354</v>
      </c>
      <c r="X2061" s="77"/>
      <c r="Y2061" s="77"/>
      <c r="Z2061" s="77" t="s">
        <v>6141</v>
      </c>
      <c r="AA2061" s="77" t="s">
        <v>7228</v>
      </c>
      <c r="AB2061" s="77" t="s">
        <v>7696</v>
      </c>
      <c r="AC2061" s="82" t="s">
        <v>7707</v>
      </c>
      <c r="AD2061" s="77" t="s">
        <v>7745</v>
      </c>
      <c r="AE2061" s="80" t="str">
        <f>HYPERLINK("https://twitter.com/workshopdantas/status/1684880840432721920")</f>
        <v>https://twitter.com/workshopdantas/status/1684880840432721920</v>
      </c>
      <c r="AF2061" s="79">
        <v>45135.456828703704</v>
      </c>
      <c r="AG2061" s="85">
        <v>45135</v>
      </c>
      <c r="AH2061" s="82" t="s">
        <v>9565</v>
      </c>
      <c r="AI2061" s="77" t="b">
        <v>0</v>
      </c>
      <c r="AJ2061" s="77"/>
      <c r="AK2061" s="77"/>
      <c r="AL2061" s="77"/>
      <c r="AM2061" s="77"/>
      <c r="AN2061" s="77"/>
      <c r="AO2061" s="77"/>
      <c r="AP2061" s="77"/>
      <c r="AQ2061" s="77" t="s">
        <v>11735</v>
      </c>
      <c r="AR2061" s="77"/>
      <c r="AS2061" s="77"/>
      <c r="AT2061" s="77"/>
      <c r="AU2061" s="77"/>
      <c r="AV2061" s="80" t="str">
        <f>HYPERLINK("https://pbs.twimg.com/media/F2HmMekbcAAuTpe.jpg")</f>
        <v>https://pbs.twimg.com/media/F2HmMekbcAAuTpe.jpg</v>
      </c>
      <c r="AW2061" s="82" t="s">
        <v>14191</v>
      </c>
      <c r="AX2061" s="82" t="s">
        <v>14191</v>
      </c>
      <c r="AY2061" s="77"/>
      <c r="AZ2061" s="82" t="s">
        <v>15804</v>
      </c>
      <c r="BA2061" s="82" t="s">
        <v>15804</v>
      </c>
      <c r="BB2061" s="82" t="s">
        <v>15804</v>
      </c>
      <c r="BC2061" s="82" t="s">
        <v>14191</v>
      </c>
      <c r="BD2061" s="82" t="s">
        <v>16500</v>
      </c>
      <c r="BE2061" s="77"/>
      <c r="BF2061" s="77"/>
      <c r="BG2061" s="77"/>
      <c r="BH2061" s="77"/>
      <c r="BI2061" s="77"/>
    </row>
    <row r="2062" spans="1:61" x14ac:dyDescent="0.25">
      <c r="A2062" s="62" t="s">
        <v>860</v>
      </c>
      <c r="B2062" s="62" t="s">
        <v>860</v>
      </c>
      <c r="C2062" s="63"/>
      <c r="D2062" s="64"/>
      <c r="E2062" s="65"/>
      <c r="F2062" s="66"/>
      <c r="G2062" s="63"/>
      <c r="H2062" s="67"/>
      <c r="I2062" s="68"/>
      <c r="J2062" s="68"/>
      <c r="K2062" s="32"/>
      <c r="L2062" s="75">
        <v>2062</v>
      </c>
      <c r="M2062" s="75"/>
      <c r="N2062" s="70"/>
      <c r="O2062" s="77" t="s">
        <v>1133</v>
      </c>
      <c r="P2062" s="79">
        <v>45134.741898148146</v>
      </c>
      <c r="Q2062" s="77" t="s">
        <v>3110</v>
      </c>
      <c r="R2062" s="77">
        <v>0</v>
      </c>
      <c r="S2062" s="77">
        <v>0</v>
      </c>
      <c r="T2062" s="77">
        <v>1</v>
      </c>
      <c r="U2062" s="77">
        <v>1</v>
      </c>
      <c r="V2062" s="77">
        <v>233</v>
      </c>
      <c r="W2062" s="82" t="s">
        <v>5381</v>
      </c>
      <c r="X2062" s="77"/>
      <c r="Y2062" s="77"/>
      <c r="Z2062" s="77" t="s">
        <v>860</v>
      </c>
      <c r="AA2062" s="77" t="s">
        <v>7259</v>
      </c>
      <c r="AB2062" s="77" t="s">
        <v>7697</v>
      </c>
      <c r="AC2062" s="82" t="s">
        <v>7707</v>
      </c>
      <c r="AD2062" s="77" t="s">
        <v>7745</v>
      </c>
      <c r="AE2062" s="80" t="str">
        <f>HYPERLINK("https://twitter.com/workshopdantas/status/1684621756609236992")</f>
        <v>https://twitter.com/workshopdantas/status/1684621756609236992</v>
      </c>
      <c r="AF2062" s="79">
        <v>45134.741898148146</v>
      </c>
      <c r="AG2062" s="85">
        <v>45134</v>
      </c>
      <c r="AH2062" s="82" t="s">
        <v>9596</v>
      </c>
      <c r="AI2062" s="77" t="b">
        <v>0</v>
      </c>
      <c r="AJ2062" s="77"/>
      <c r="AK2062" s="77"/>
      <c r="AL2062" s="77"/>
      <c r="AM2062" s="77"/>
      <c r="AN2062" s="77"/>
      <c r="AO2062" s="77"/>
      <c r="AP2062" s="77"/>
      <c r="AQ2062" s="77" t="s">
        <v>11766</v>
      </c>
      <c r="AR2062" s="77">
        <v>40517</v>
      </c>
      <c r="AS2062" s="77"/>
      <c r="AT2062" s="77"/>
      <c r="AU2062" s="77">
        <v>59</v>
      </c>
      <c r="AV2062" s="80" t="str">
        <f>HYPERLINK("https://pbs.twimg.com/ext_tw_video_thumb/1684621704830586880/pu/img/9DW4swX3XfeDqdNM.jpg")</f>
        <v>https://pbs.twimg.com/ext_tw_video_thumb/1684621704830586880/pu/img/9DW4swX3XfeDqdNM.jpg</v>
      </c>
      <c r="AW2062" s="82" t="s">
        <v>14222</v>
      </c>
      <c r="AX2062" s="82" t="s">
        <v>14222</v>
      </c>
      <c r="AY2062" s="77"/>
      <c r="AZ2062" s="82" t="s">
        <v>15804</v>
      </c>
      <c r="BA2062" s="82" t="s">
        <v>15804</v>
      </c>
      <c r="BB2062" s="82" t="s">
        <v>15804</v>
      </c>
      <c r="BC2062" s="82" t="s">
        <v>14222</v>
      </c>
      <c r="BD2062" s="82" t="s">
        <v>16500</v>
      </c>
      <c r="BE2062" s="77"/>
      <c r="BF2062" s="77"/>
      <c r="BG2062" s="77"/>
      <c r="BH2062" s="77"/>
      <c r="BI2062" s="77"/>
    </row>
    <row r="2063" spans="1:61" x14ac:dyDescent="0.25">
      <c r="A2063" s="62" t="s">
        <v>860</v>
      </c>
      <c r="B2063" s="62" t="s">
        <v>860</v>
      </c>
      <c r="C2063" s="63"/>
      <c r="D2063" s="64"/>
      <c r="E2063" s="65"/>
      <c r="F2063" s="66"/>
      <c r="G2063" s="63"/>
      <c r="H2063" s="67"/>
      <c r="I2063" s="68"/>
      <c r="J2063" s="68"/>
      <c r="K2063" s="32"/>
      <c r="L2063" s="75">
        <v>2063</v>
      </c>
      <c r="M2063" s="75"/>
      <c r="N2063" s="70"/>
      <c r="O2063" s="77" t="s">
        <v>1133</v>
      </c>
      <c r="P2063" s="79">
        <v>45134.490868055553</v>
      </c>
      <c r="Q2063" s="77" t="s">
        <v>3111</v>
      </c>
      <c r="R2063" s="77">
        <v>0</v>
      </c>
      <c r="S2063" s="77">
        <v>0</v>
      </c>
      <c r="T2063" s="77">
        <v>1</v>
      </c>
      <c r="U2063" s="77">
        <v>0</v>
      </c>
      <c r="V2063" s="77">
        <v>90</v>
      </c>
      <c r="W2063" s="82" t="s">
        <v>5382</v>
      </c>
      <c r="X2063" s="77"/>
      <c r="Y2063" s="77"/>
      <c r="Z2063" s="77" t="s">
        <v>860</v>
      </c>
      <c r="AA2063" s="77" t="s">
        <v>7260</v>
      </c>
      <c r="AB2063" s="77" t="s">
        <v>7696</v>
      </c>
      <c r="AC2063" s="82" t="s">
        <v>7707</v>
      </c>
      <c r="AD2063" s="77" t="s">
        <v>7745</v>
      </c>
      <c r="AE2063" s="80" t="str">
        <f>HYPERLINK("https://twitter.com/workshopdantas/status/1684530788589600769")</f>
        <v>https://twitter.com/workshopdantas/status/1684530788589600769</v>
      </c>
      <c r="AF2063" s="79">
        <v>45134.490868055553</v>
      </c>
      <c r="AG2063" s="85">
        <v>45134</v>
      </c>
      <c r="AH2063" s="82" t="s">
        <v>9597</v>
      </c>
      <c r="AI2063" s="77" t="b">
        <v>0</v>
      </c>
      <c r="AJ2063" s="77"/>
      <c r="AK2063" s="77"/>
      <c r="AL2063" s="77"/>
      <c r="AM2063" s="77"/>
      <c r="AN2063" s="77"/>
      <c r="AO2063" s="77"/>
      <c r="AP2063" s="77"/>
      <c r="AQ2063" s="77" t="s">
        <v>11767</v>
      </c>
      <c r="AR2063" s="77"/>
      <c r="AS2063" s="77"/>
      <c r="AT2063" s="77"/>
      <c r="AU2063" s="77"/>
      <c r="AV2063" s="80" t="str">
        <f>HYPERLINK("https://pbs.twimg.com/media/F2Cn0h_WIAAxorE.jpg")</f>
        <v>https://pbs.twimg.com/media/F2Cn0h_WIAAxorE.jpg</v>
      </c>
      <c r="AW2063" s="82" t="s">
        <v>14223</v>
      </c>
      <c r="AX2063" s="82" t="s">
        <v>14223</v>
      </c>
      <c r="AY2063" s="77"/>
      <c r="AZ2063" s="82" t="s">
        <v>15804</v>
      </c>
      <c r="BA2063" s="82" t="s">
        <v>15804</v>
      </c>
      <c r="BB2063" s="82" t="s">
        <v>15804</v>
      </c>
      <c r="BC2063" s="82" t="s">
        <v>14223</v>
      </c>
      <c r="BD2063" s="82" t="s">
        <v>16500</v>
      </c>
      <c r="BE2063" s="77"/>
      <c r="BF2063" s="77"/>
      <c r="BG2063" s="77"/>
      <c r="BH2063" s="77"/>
      <c r="BI2063" s="77"/>
    </row>
    <row r="2064" spans="1:61" x14ac:dyDescent="0.25">
      <c r="A2064" s="62" t="s">
        <v>860</v>
      </c>
      <c r="B2064" s="62" t="s">
        <v>860</v>
      </c>
      <c r="C2064" s="63"/>
      <c r="D2064" s="64"/>
      <c r="E2064" s="65"/>
      <c r="F2064" s="66"/>
      <c r="G2064" s="63"/>
      <c r="H2064" s="67"/>
      <c r="I2064" s="68"/>
      <c r="J2064" s="68"/>
      <c r="K2064" s="32"/>
      <c r="L2064" s="75">
        <v>2064</v>
      </c>
      <c r="M2064" s="75"/>
      <c r="N2064" s="70"/>
      <c r="O2064" s="77" t="s">
        <v>1133</v>
      </c>
      <c r="P2064" s="79">
        <v>45133.740057870367</v>
      </c>
      <c r="Q2064" s="77" t="s">
        <v>3112</v>
      </c>
      <c r="R2064" s="77">
        <v>0</v>
      </c>
      <c r="S2064" s="77">
        <v>1</v>
      </c>
      <c r="T2064" s="77">
        <v>0</v>
      </c>
      <c r="U2064" s="77">
        <v>0</v>
      </c>
      <c r="V2064" s="77">
        <v>110</v>
      </c>
      <c r="W2064" s="82" t="s">
        <v>5383</v>
      </c>
      <c r="X2064" s="77"/>
      <c r="Y2064" s="77"/>
      <c r="Z2064" s="77" t="s">
        <v>860</v>
      </c>
      <c r="AA2064" s="77" t="s">
        <v>7261</v>
      </c>
      <c r="AB2064" s="77" t="s">
        <v>7696</v>
      </c>
      <c r="AC2064" s="82" t="s">
        <v>7707</v>
      </c>
      <c r="AD2064" s="77" t="s">
        <v>7745</v>
      </c>
      <c r="AE2064" s="80" t="str">
        <f>HYPERLINK("https://twitter.com/workshopdantas/status/1684258703216611328")</f>
        <v>https://twitter.com/workshopdantas/status/1684258703216611328</v>
      </c>
      <c r="AF2064" s="79">
        <v>45133.740057870367</v>
      </c>
      <c r="AG2064" s="85">
        <v>45133</v>
      </c>
      <c r="AH2064" s="82" t="s">
        <v>9598</v>
      </c>
      <c r="AI2064" s="77" t="b">
        <v>0</v>
      </c>
      <c r="AJ2064" s="77"/>
      <c r="AK2064" s="77"/>
      <c r="AL2064" s="77"/>
      <c r="AM2064" s="77"/>
      <c r="AN2064" s="77"/>
      <c r="AO2064" s="77"/>
      <c r="AP2064" s="77"/>
      <c r="AQ2064" s="77" t="s">
        <v>11768</v>
      </c>
      <c r="AR2064" s="77"/>
      <c r="AS2064" s="77"/>
      <c r="AT2064" s="77"/>
      <c r="AU2064" s="77"/>
      <c r="AV2064" s="80" t="str">
        <f>HYPERLINK("https://pbs.twimg.com/media/F1-wXV2XoAUNk18.jpg")</f>
        <v>https://pbs.twimg.com/media/F1-wXV2XoAUNk18.jpg</v>
      </c>
      <c r="AW2064" s="82" t="s">
        <v>14224</v>
      </c>
      <c r="AX2064" s="82" t="s">
        <v>14224</v>
      </c>
      <c r="AY2064" s="77"/>
      <c r="AZ2064" s="82" t="s">
        <v>15804</v>
      </c>
      <c r="BA2064" s="82" t="s">
        <v>15804</v>
      </c>
      <c r="BB2064" s="82" t="s">
        <v>15804</v>
      </c>
      <c r="BC2064" s="82" t="s">
        <v>14224</v>
      </c>
      <c r="BD2064" s="82" t="s">
        <v>16500</v>
      </c>
      <c r="BE2064" s="77"/>
      <c r="BF2064" s="77"/>
      <c r="BG2064" s="77"/>
      <c r="BH2064" s="77"/>
      <c r="BI2064" s="77"/>
    </row>
    <row r="2065" spans="1:61" x14ac:dyDescent="0.25">
      <c r="A2065" s="62" t="s">
        <v>860</v>
      </c>
      <c r="B2065" s="62" t="s">
        <v>860</v>
      </c>
      <c r="C2065" s="63"/>
      <c r="D2065" s="64"/>
      <c r="E2065" s="65"/>
      <c r="F2065" s="66"/>
      <c r="G2065" s="63"/>
      <c r="H2065" s="67"/>
      <c r="I2065" s="68"/>
      <c r="J2065" s="68"/>
      <c r="K2065" s="32"/>
      <c r="L2065" s="75">
        <v>2065</v>
      </c>
      <c r="M2065" s="75"/>
      <c r="N2065" s="70"/>
      <c r="O2065" s="77" t="s">
        <v>1133</v>
      </c>
      <c r="P2065" s="79">
        <v>45114.673032407409</v>
      </c>
      <c r="Q2065" s="77" t="s">
        <v>3113</v>
      </c>
      <c r="R2065" s="77">
        <v>0</v>
      </c>
      <c r="S2065" s="77">
        <v>2</v>
      </c>
      <c r="T2065" s="77">
        <v>0</v>
      </c>
      <c r="U2065" s="77">
        <v>0</v>
      </c>
      <c r="V2065" s="77">
        <v>46</v>
      </c>
      <c r="W2065" s="82" t="s">
        <v>5384</v>
      </c>
      <c r="X2065" s="77"/>
      <c r="Y2065" s="77"/>
      <c r="Z2065" s="77" t="s">
        <v>860</v>
      </c>
      <c r="AA2065" s="77" t="s">
        <v>7262</v>
      </c>
      <c r="AB2065" s="77" t="s">
        <v>7696</v>
      </c>
      <c r="AC2065" s="82" t="s">
        <v>7707</v>
      </c>
      <c r="AD2065" s="77" t="s">
        <v>7745</v>
      </c>
      <c r="AE2065" s="80" t="str">
        <f>HYPERLINK("https://twitter.com/workshopdantas/status/1677349043318472705")</f>
        <v>https://twitter.com/workshopdantas/status/1677349043318472705</v>
      </c>
      <c r="AF2065" s="79">
        <v>45114.673032407409</v>
      </c>
      <c r="AG2065" s="85">
        <v>45114</v>
      </c>
      <c r="AH2065" s="82" t="s">
        <v>9599</v>
      </c>
      <c r="AI2065" s="77" t="b">
        <v>0</v>
      </c>
      <c r="AJ2065" s="77"/>
      <c r="AK2065" s="77"/>
      <c r="AL2065" s="77"/>
      <c r="AM2065" s="77"/>
      <c r="AN2065" s="77"/>
      <c r="AO2065" s="77"/>
      <c r="AP2065" s="77"/>
      <c r="AQ2065" s="77" t="s">
        <v>11769</v>
      </c>
      <c r="AR2065" s="77"/>
      <c r="AS2065" s="77"/>
      <c r="AT2065" s="77"/>
      <c r="AU2065" s="77"/>
      <c r="AV2065" s="80" t="str">
        <f>HYPERLINK("https://pbs.twimg.com/media/F0ckDzjWYAIpJEN.jpg")</f>
        <v>https://pbs.twimg.com/media/F0ckDzjWYAIpJEN.jpg</v>
      </c>
      <c r="AW2065" s="82" t="s">
        <v>14225</v>
      </c>
      <c r="AX2065" s="82" t="s">
        <v>14225</v>
      </c>
      <c r="AY2065" s="77"/>
      <c r="AZ2065" s="82" t="s">
        <v>15804</v>
      </c>
      <c r="BA2065" s="82" t="s">
        <v>15804</v>
      </c>
      <c r="BB2065" s="82" t="s">
        <v>15804</v>
      </c>
      <c r="BC2065" s="82" t="s">
        <v>14225</v>
      </c>
      <c r="BD2065" s="82" t="s">
        <v>16500</v>
      </c>
      <c r="BE2065" s="77"/>
      <c r="BF2065" s="77"/>
      <c r="BG2065" s="77"/>
      <c r="BH2065" s="77"/>
      <c r="BI2065" s="77"/>
    </row>
    <row r="2066" spans="1:61" x14ac:dyDescent="0.25">
      <c r="A2066" s="62" t="s">
        <v>860</v>
      </c>
      <c r="B2066" s="62" t="s">
        <v>860</v>
      </c>
      <c r="C2066" s="63"/>
      <c r="D2066" s="64"/>
      <c r="E2066" s="65"/>
      <c r="F2066" s="66"/>
      <c r="G2066" s="63"/>
      <c r="H2066" s="67"/>
      <c r="I2066" s="68"/>
      <c r="J2066" s="68"/>
      <c r="K2066" s="32"/>
      <c r="L2066" s="75">
        <v>2066</v>
      </c>
      <c r="M2066" s="75"/>
      <c r="N2066" s="70"/>
      <c r="O2066" s="77" t="s">
        <v>1133</v>
      </c>
      <c r="P2066" s="79">
        <v>45113.495937500003</v>
      </c>
      <c r="Q2066" s="77" t="s">
        <v>3114</v>
      </c>
      <c r="R2066" s="77">
        <v>0</v>
      </c>
      <c r="S2066" s="77">
        <v>0</v>
      </c>
      <c r="T2066" s="77">
        <v>0</v>
      </c>
      <c r="U2066" s="77">
        <v>0</v>
      </c>
      <c r="V2066" s="77">
        <v>53</v>
      </c>
      <c r="W2066" s="82" t="s">
        <v>5385</v>
      </c>
      <c r="X2066" s="77"/>
      <c r="Y2066" s="77"/>
      <c r="Z2066" s="77" t="s">
        <v>860</v>
      </c>
      <c r="AA2066" s="77" t="s">
        <v>7263</v>
      </c>
      <c r="AB2066" s="77" t="s">
        <v>7696</v>
      </c>
      <c r="AC2066" s="82" t="s">
        <v>7707</v>
      </c>
      <c r="AD2066" s="77" t="s">
        <v>7745</v>
      </c>
      <c r="AE2066" s="80" t="str">
        <f>HYPERLINK("https://twitter.com/workshopdantas/status/1676922480592666626")</f>
        <v>https://twitter.com/workshopdantas/status/1676922480592666626</v>
      </c>
      <c r="AF2066" s="79">
        <v>45113.495937500003</v>
      </c>
      <c r="AG2066" s="85">
        <v>45113</v>
      </c>
      <c r="AH2066" s="82" t="s">
        <v>9600</v>
      </c>
      <c r="AI2066" s="77" t="b">
        <v>0</v>
      </c>
      <c r="AJ2066" s="77"/>
      <c r="AK2066" s="77"/>
      <c r="AL2066" s="77"/>
      <c r="AM2066" s="77"/>
      <c r="AN2066" s="77"/>
      <c r="AO2066" s="77"/>
      <c r="AP2066" s="77"/>
      <c r="AQ2066" s="77" t="s">
        <v>11770</v>
      </c>
      <c r="AR2066" s="77"/>
      <c r="AS2066" s="77"/>
      <c r="AT2066" s="77"/>
      <c r="AU2066" s="77"/>
      <c r="AV2066" s="80" t="str">
        <f>HYPERLINK("https://pbs.twimg.com/media/F0WgG-YX0AApQpp.jpg")</f>
        <v>https://pbs.twimg.com/media/F0WgG-YX0AApQpp.jpg</v>
      </c>
      <c r="AW2066" s="82" t="s">
        <v>14226</v>
      </c>
      <c r="AX2066" s="82" t="s">
        <v>14226</v>
      </c>
      <c r="AY2066" s="77"/>
      <c r="AZ2066" s="82" t="s">
        <v>15804</v>
      </c>
      <c r="BA2066" s="82" t="s">
        <v>15804</v>
      </c>
      <c r="BB2066" s="82" t="s">
        <v>15804</v>
      </c>
      <c r="BC2066" s="82" t="s">
        <v>14226</v>
      </c>
      <c r="BD2066" s="82" t="s">
        <v>16500</v>
      </c>
      <c r="BE2066" s="77"/>
      <c r="BF2066" s="77"/>
      <c r="BG2066" s="77"/>
      <c r="BH2066" s="77"/>
      <c r="BI2066" s="77"/>
    </row>
    <row r="2067" spans="1:61" x14ac:dyDescent="0.25">
      <c r="A2067" s="62" t="s">
        <v>860</v>
      </c>
      <c r="B2067" s="62" t="s">
        <v>860</v>
      </c>
      <c r="C2067" s="63"/>
      <c r="D2067" s="64"/>
      <c r="E2067" s="65"/>
      <c r="F2067" s="66"/>
      <c r="G2067" s="63"/>
      <c r="H2067" s="67"/>
      <c r="I2067" s="68"/>
      <c r="J2067" s="68"/>
      <c r="K2067" s="32"/>
      <c r="L2067" s="75">
        <v>2067</v>
      </c>
      <c r="M2067" s="75"/>
      <c r="N2067" s="70"/>
      <c r="O2067" s="77" t="s">
        <v>1133</v>
      </c>
      <c r="P2067" s="79">
        <v>45112.477175925924</v>
      </c>
      <c r="Q2067" s="77" t="s">
        <v>3115</v>
      </c>
      <c r="R2067" s="77">
        <v>0</v>
      </c>
      <c r="S2067" s="77">
        <v>0</v>
      </c>
      <c r="T2067" s="77">
        <v>0</v>
      </c>
      <c r="U2067" s="77">
        <v>0</v>
      </c>
      <c r="V2067" s="77">
        <v>59</v>
      </c>
      <c r="W2067" s="82" t="s">
        <v>5386</v>
      </c>
      <c r="X2067" s="77"/>
      <c r="Y2067" s="77"/>
      <c r="Z2067" s="77" t="s">
        <v>860</v>
      </c>
      <c r="AA2067" s="77" t="s">
        <v>7264</v>
      </c>
      <c r="AB2067" s="77" t="s">
        <v>7696</v>
      </c>
      <c r="AC2067" s="82" t="s">
        <v>7707</v>
      </c>
      <c r="AD2067" s="77" t="s">
        <v>7745</v>
      </c>
      <c r="AE2067" s="80" t="str">
        <f>HYPERLINK("https://twitter.com/workshopdantas/status/1676553292044705794")</f>
        <v>https://twitter.com/workshopdantas/status/1676553292044705794</v>
      </c>
      <c r="AF2067" s="79">
        <v>45112.477175925924</v>
      </c>
      <c r="AG2067" s="85">
        <v>45112</v>
      </c>
      <c r="AH2067" s="82" t="s">
        <v>9601</v>
      </c>
      <c r="AI2067" s="77" t="b">
        <v>0</v>
      </c>
      <c r="AJ2067" s="77"/>
      <c r="AK2067" s="77"/>
      <c r="AL2067" s="77"/>
      <c r="AM2067" s="77"/>
      <c r="AN2067" s="77"/>
      <c r="AO2067" s="77"/>
      <c r="AP2067" s="77"/>
      <c r="AQ2067" s="77" t="s">
        <v>11771</v>
      </c>
      <c r="AR2067" s="77"/>
      <c r="AS2067" s="77"/>
      <c r="AT2067" s="77"/>
      <c r="AU2067" s="77"/>
      <c r="AV2067" s="80" t="str">
        <f>HYPERLINK("https://pbs.twimg.com/media/F0RQVXnWcAIZOSy.jpg")</f>
        <v>https://pbs.twimg.com/media/F0RQVXnWcAIZOSy.jpg</v>
      </c>
      <c r="AW2067" s="82" t="s">
        <v>14227</v>
      </c>
      <c r="AX2067" s="82" t="s">
        <v>14227</v>
      </c>
      <c r="AY2067" s="77"/>
      <c r="AZ2067" s="82" t="s">
        <v>15804</v>
      </c>
      <c r="BA2067" s="82" t="s">
        <v>15804</v>
      </c>
      <c r="BB2067" s="82" t="s">
        <v>15804</v>
      </c>
      <c r="BC2067" s="82" t="s">
        <v>14227</v>
      </c>
      <c r="BD2067" s="82" t="s">
        <v>16500</v>
      </c>
      <c r="BE2067" s="77"/>
      <c r="BF2067" s="77"/>
      <c r="BG2067" s="77"/>
      <c r="BH2067" s="77"/>
      <c r="BI2067" s="77"/>
    </row>
    <row r="2068" spans="1:61" x14ac:dyDescent="0.25">
      <c r="A2068" s="62" t="s">
        <v>860</v>
      </c>
      <c r="B2068" s="62" t="s">
        <v>860</v>
      </c>
      <c r="C2068" s="63"/>
      <c r="D2068" s="64"/>
      <c r="E2068" s="65"/>
      <c r="F2068" s="66"/>
      <c r="G2068" s="63"/>
      <c r="H2068" s="67"/>
      <c r="I2068" s="68"/>
      <c r="J2068" s="68"/>
      <c r="K2068" s="32"/>
      <c r="L2068" s="75">
        <v>2068</v>
      </c>
      <c r="M2068" s="75"/>
      <c r="N2068" s="70"/>
      <c r="O2068" s="77" t="s">
        <v>1133</v>
      </c>
      <c r="P2068" s="79">
        <v>45153.883263888885</v>
      </c>
      <c r="Q2068" s="77" t="s">
        <v>3116</v>
      </c>
      <c r="R2068" s="77">
        <v>0</v>
      </c>
      <c r="S2068" s="77">
        <v>0</v>
      </c>
      <c r="T2068" s="77">
        <v>1</v>
      </c>
      <c r="U2068" s="77">
        <v>0</v>
      </c>
      <c r="V2068" s="77">
        <v>66</v>
      </c>
      <c r="W2068" s="82" t="s">
        <v>5387</v>
      </c>
      <c r="X2068" s="77"/>
      <c r="Y2068" s="77"/>
      <c r="Z2068" s="77" t="s">
        <v>860</v>
      </c>
      <c r="AA2068" s="77" t="s">
        <v>7265</v>
      </c>
      <c r="AB2068" s="77" t="s">
        <v>7696</v>
      </c>
      <c r="AC2068" s="82" t="s">
        <v>7707</v>
      </c>
      <c r="AD2068" s="77" t="s">
        <v>7745</v>
      </c>
      <c r="AE2068" s="80" t="str">
        <f>HYPERLINK("https://twitter.com/workshopdantas/status/1691558358115865079")</f>
        <v>https://twitter.com/workshopdantas/status/1691558358115865079</v>
      </c>
      <c r="AF2068" s="79">
        <v>45153.883263888885</v>
      </c>
      <c r="AG2068" s="85">
        <v>45153</v>
      </c>
      <c r="AH2068" s="82" t="s">
        <v>9602</v>
      </c>
      <c r="AI2068" s="77" t="b">
        <v>0</v>
      </c>
      <c r="AJ2068" s="77"/>
      <c r="AK2068" s="77"/>
      <c r="AL2068" s="77"/>
      <c r="AM2068" s="77"/>
      <c r="AN2068" s="77"/>
      <c r="AO2068" s="77"/>
      <c r="AP2068" s="77"/>
      <c r="AQ2068" s="77" t="s">
        <v>11772</v>
      </c>
      <c r="AR2068" s="77"/>
      <c r="AS2068" s="77"/>
      <c r="AT2068" s="77"/>
      <c r="AU2068" s="77"/>
      <c r="AV2068" s="80" t="str">
        <f>HYPERLINK("https://pbs.twimg.com/media/F3mfXLPXsAEEL6x.jpg")</f>
        <v>https://pbs.twimg.com/media/F3mfXLPXsAEEL6x.jpg</v>
      </c>
      <c r="AW2068" s="82" t="s">
        <v>14228</v>
      </c>
      <c r="AX2068" s="82" t="s">
        <v>14228</v>
      </c>
      <c r="AY2068" s="77"/>
      <c r="AZ2068" s="82" t="s">
        <v>15804</v>
      </c>
      <c r="BA2068" s="82" t="s">
        <v>15804</v>
      </c>
      <c r="BB2068" s="82" t="s">
        <v>15804</v>
      </c>
      <c r="BC2068" s="82" t="s">
        <v>14228</v>
      </c>
      <c r="BD2068" s="82" t="s">
        <v>16500</v>
      </c>
      <c r="BE2068" s="77"/>
      <c r="BF2068" s="77"/>
      <c r="BG2068" s="77"/>
      <c r="BH2068" s="77"/>
      <c r="BI2068" s="77"/>
    </row>
    <row r="2069" spans="1:61" x14ac:dyDescent="0.25">
      <c r="A2069" s="62" t="s">
        <v>860</v>
      </c>
      <c r="B2069" s="62" t="s">
        <v>860</v>
      </c>
      <c r="C2069" s="63"/>
      <c r="D2069" s="64"/>
      <c r="E2069" s="65"/>
      <c r="F2069" s="66"/>
      <c r="G2069" s="63"/>
      <c r="H2069" s="67"/>
      <c r="I2069" s="68"/>
      <c r="J2069" s="68"/>
      <c r="K2069" s="32"/>
      <c r="L2069" s="75">
        <v>2069</v>
      </c>
      <c r="M2069" s="75"/>
      <c r="N2069" s="70"/>
      <c r="O2069" s="77" t="s">
        <v>1133</v>
      </c>
      <c r="P2069" s="79">
        <v>45146.495069444441</v>
      </c>
      <c r="Q2069" s="77" t="s">
        <v>3117</v>
      </c>
      <c r="R2069" s="77">
        <v>1</v>
      </c>
      <c r="S2069" s="77">
        <v>0</v>
      </c>
      <c r="T2069" s="77">
        <v>1</v>
      </c>
      <c r="U2069" s="77">
        <v>0</v>
      </c>
      <c r="V2069" s="77">
        <v>86</v>
      </c>
      <c r="W2069" s="82" t="s">
        <v>5388</v>
      </c>
      <c r="X2069" s="77"/>
      <c r="Y2069" s="77"/>
      <c r="Z2069" s="77" t="s">
        <v>860</v>
      </c>
      <c r="AA2069" s="77" t="s">
        <v>7266</v>
      </c>
      <c r="AB2069" s="77" t="s">
        <v>7696</v>
      </c>
      <c r="AC2069" s="82" t="s">
        <v>7707</v>
      </c>
      <c r="AD2069" s="77" t="s">
        <v>7745</v>
      </c>
      <c r="AE2069" s="80" t="str">
        <f>HYPERLINK("https://twitter.com/workshopdantas/status/1688880965605572610")</f>
        <v>https://twitter.com/workshopdantas/status/1688880965605572610</v>
      </c>
      <c r="AF2069" s="79">
        <v>45146.495069444441</v>
      </c>
      <c r="AG2069" s="85">
        <v>45146</v>
      </c>
      <c r="AH2069" s="82" t="s">
        <v>9603</v>
      </c>
      <c r="AI2069" s="77" t="b">
        <v>0</v>
      </c>
      <c r="AJ2069" s="77"/>
      <c r="AK2069" s="77"/>
      <c r="AL2069" s="77"/>
      <c r="AM2069" s="77"/>
      <c r="AN2069" s="77"/>
      <c r="AO2069" s="77"/>
      <c r="AP2069" s="77"/>
      <c r="AQ2069" s="77" t="s">
        <v>11773</v>
      </c>
      <c r="AR2069" s="77"/>
      <c r="AS2069" s="77"/>
      <c r="AT2069" s="77"/>
      <c r="AU2069" s="77"/>
      <c r="AV2069" s="80" t="str">
        <f>HYPERLINK("https://pbs.twimg.com/media/F3AcSdrXEAAZwWO.jpg")</f>
        <v>https://pbs.twimg.com/media/F3AcSdrXEAAZwWO.jpg</v>
      </c>
      <c r="AW2069" s="82" t="s">
        <v>14229</v>
      </c>
      <c r="AX2069" s="82" t="s">
        <v>14229</v>
      </c>
      <c r="AY2069" s="77"/>
      <c r="AZ2069" s="82" t="s">
        <v>15804</v>
      </c>
      <c r="BA2069" s="82" t="s">
        <v>15804</v>
      </c>
      <c r="BB2069" s="82" t="s">
        <v>15804</v>
      </c>
      <c r="BC2069" s="82" t="s">
        <v>14229</v>
      </c>
      <c r="BD2069" s="82" t="s">
        <v>16500</v>
      </c>
      <c r="BE2069" s="77"/>
      <c r="BF2069" s="77"/>
      <c r="BG2069" s="77"/>
      <c r="BH2069" s="77"/>
      <c r="BI2069" s="77"/>
    </row>
    <row r="2070" spans="1:61" x14ac:dyDescent="0.25">
      <c r="A2070" s="62" t="s">
        <v>860</v>
      </c>
      <c r="B2070" s="62" t="s">
        <v>860</v>
      </c>
      <c r="C2070" s="63"/>
      <c r="D2070" s="64"/>
      <c r="E2070" s="65"/>
      <c r="F2070" s="66"/>
      <c r="G2070" s="63"/>
      <c r="H2070" s="67"/>
      <c r="I2070" s="68"/>
      <c r="J2070" s="68"/>
      <c r="K2070" s="32"/>
      <c r="L2070" s="75">
        <v>2070</v>
      </c>
      <c r="M2070" s="75"/>
      <c r="N2070" s="70"/>
      <c r="O2070" s="77" t="s">
        <v>1133</v>
      </c>
      <c r="P2070" s="79">
        <v>45146.423935185187</v>
      </c>
      <c r="Q2070" s="77" t="s">
        <v>3118</v>
      </c>
      <c r="R2070" s="77">
        <v>0</v>
      </c>
      <c r="S2070" s="77">
        <v>1</v>
      </c>
      <c r="T2070" s="77">
        <v>0</v>
      </c>
      <c r="U2070" s="77">
        <v>0</v>
      </c>
      <c r="V2070" s="77">
        <v>46</v>
      </c>
      <c r="W2070" s="82" t="s">
        <v>5389</v>
      </c>
      <c r="X2070" s="77"/>
      <c r="Y2070" s="77"/>
      <c r="Z2070" s="77" t="s">
        <v>860</v>
      </c>
      <c r="AA2070" s="77" t="s">
        <v>7267</v>
      </c>
      <c r="AB2070" s="77" t="s">
        <v>7696</v>
      </c>
      <c r="AC2070" s="82" t="s">
        <v>7707</v>
      </c>
      <c r="AD2070" s="77" t="s">
        <v>7745</v>
      </c>
      <c r="AE2070" s="80" t="str">
        <f>HYPERLINK("https://twitter.com/workshopdantas/status/1688855184489771009")</f>
        <v>https://twitter.com/workshopdantas/status/1688855184489771009</v>
      </c>
      <c r="AF2070" s="79">
        <v>45146.423935185187</v>
      </c>
      <c r="AG2070" s="85">
        <v>45146</v>
      </c>
      <c r="AH2070" s="82" t="s">
        <v>9604</v>
      </c>
      <c r="AI2070" s="77" t="b">
        <v>0</v>
      </c>
      <c r="AJ2070" s="77"/>
      <c r="AK2070" s="77"/>
      <c r="AL2070" s="77"/>
      <c r="AM2070" s="77"/>
      <c r="AN2070" s="77"/>
      <c r="AO2070" s="77"/>
      <c r="AP2070" s="77"/>
      <c r="AQ2070" s="77" t="s">
        <v>11774</v>
      </c>
      <c r="AR2070" s="77"/>
      <c r="AS2070" s="77"/>
      <c r="AT2070" s="77"/>
      <c r="AU2070" s="77"/>
      <c r="AV2070" s="80" t="str">
        <f>HYPERLINK("https://pbs.twimg.com/media/F3AE1xHXYAE8eQv.jpg")</f>
        <v>https://pbs.twimg.com/media/F3AE1xHXYAE8eQv.jpg</v>
      </c>
      <c r="AW2070" s="82" t="s">
        <v>14230</v>
      </c>
      <c r="AX2070" s="82" t="s">
        <v>14230</v>
      </c>
      <c r="AY2070" s="77"/>
      <c r="AZ2070" s="82" t="s">
        <v>15804</v>
      </c>
      <c r="BA2070" s="82" t="s">
        <v>15804</v>
      </c>
      <c r="BB2070" s="82" t="s">
        <v>15804</v>
      </c>
      <c r="BC2070" s="82" t="s">
        <v>14230</v>
      </c>
      <c r="BD2070" s="82" t="s">
        <v>16500</v>
      </c>
      <c r="BE2070" s="77"/>
      <c r="BF2070" s="77"/>
      <c r="BG2070" s="77"/>
      <c r="BH2070" s="77"/>
      <c r="BI2070" s="77"/>
    </row>
    <row r="2071" spans="1:61" x14ac:dyDescent="0.25">
      <c r="A2071" s="62" t="s">
        <v>860</v>
      </c>
      <c r="B2071" s="62" t="s">
        <v>860</v>
      </c>
      <c r="C2071" s="63"/>
      <c r="D2071" s="64"/>
      <c r="E2071" s="65"/>
      <c r="F2071" s="66"/>
      <c r="G2071" s="63"/>
      <c r="H2071" s="67"/>
      <c r="I2071" s="68"/>
      <c r="J2071" s="68"/>
      <c r="K2071" s="32"/>
      <c r="L2071" s="75">
        <v>2071</v>
      </c>
      <c r="M2071" s="75"/>
      <c r="N2071" s="70"/>
      <c r="O2071" s="77" t="s">
        <v>1133</v>
      </c>
      <c r="P2071" s="79">
        <v>45138.456770833334</v>
      </c>
      <c r="Q2071" s="77" t="s">
        <v>3119</v>
      </c>
      <c r="R2071" s="77">
        <v>0</v>
      </c>
      <c r="S2071" s="77">
        <v>0</v>
      </c>
      <c r="T2071" s="77">
        <v>0</v>
      </c>
      <c r="U2071" s="77">
        <v>0</v>
      </c>
      <c r="V2071" s="77">
        <v>47</v>
      </c>
      <c r="W2071" s="82" t="s">
        <v>5354</v>
      </c>
      <c r="X2071" s="77"/>
      <c r="Y2071" s="77"/>
      <c r="Z2071" s="77" t="s">
        <v>860</v>
      </c>
      <c r="AA2071" s="77" t="s">
        <v>7268</v>
      </c>
      <c r="AB2071" s="77" t="s">
        <v>7696</v>
      </c>
      <c r="AC2071" s="82" t="s">
        <v>7707</v>
      </c>
      <c r="AD2071" s="77" t="s">
        <v>7745</v>
      </c>
      <c r="AE2071" s="80" t="str">
        <f>HYPERLINK("https://twitter.com/workshopdantas/status/1685967981170327552")</f>
        <v>https://twitter.com/workshopdantas/status/1685967981170327552</v>
      </c>
      <c r="AF2071" s="79">
        <v>45138.456770833334</v>
      </c>
      <c r="AG2071" s="85">
        <v>45138</v>
      </c>
      <c r="AH2071" s="82" t="s">
        <v>9605</v>
      </c>
      <c r="AI2071" s="77" t="b">
        <v>0</v>
      </c>
      <c r="AJ2071" s="77"/>
      <c r="AK2071" s="77"/>
      <c r="AL2071" s="77"/>
      <c r="AM2071" s="77"/>
      <c r="AN2071" s="77"/>
      <c r="AO2071" s="77"/>
      <c r="AP2071" s="77"/>
      <c r="AQ2071" s="77" t="s">
        <v>11775</v>
      </c>
      <c r="AR2071" s="77"/>
      <c r="AS2071" s="77"/>
      <c r="AT2071" s="77"/>
      <c r="AU2071" s="77"/>
      <c r="AV2071" s="80" t="str">
        <f>HYPERLINK("https://pbs.twimg.com/media/F2XC8X8XsAAy_l4.jpg")</f>
        <v>https://pbs.twimg.com/media/F2XC8X8XsAAy_l4.jpg</v>
      </c>
      <c r="AW2071" s="82" t="s">
        <v>14231</v>
      </c>
      <c r="AX2071" s="82" t="s">
        <v>14231</v>
      </c>
      <c r="AY2071" s="77"/>
      <c r="AZ2071" s="82" t="s">
        <v>15804</v>
      </c>
      <c r="BA2071" s="82" t="s">
        <v>15804</v>
      </c>
      <c r="BB2071" s="82" t="s">
        <v>15804</v>
      </c>
      <c r="BC2071" s="82" t="s">
        <v>14231</v>
      </c>
      <c r="BD2071" s="82" t="s">
        <v>16500</v>
      </c>
      <c r="BE2071" s="77"/>
      <c r="BF2071" s="77"/>
      <c r="BG2071" s="77"/>
      <c r="BH2071" s="77"/>
      <c r="BI2071" s="77"/>
    </row>
    <row r="2072" spans="1:61" x14ac:dyDescent="0.25">
      <c r="A2072" s="62" t="s">
        <v>860</v>
      </c>
      <c r="B2072" s="62" t="s">
        <v>860</v>
      </c>
      <c r="C2072" s="63"/>
      <c r="D2072" s="64"/>
      <c r="E2072" s="65"/>
      <c r="F2072" s="66"/>
      <c r="G2072" s="63"/>
      <c r="H2072" s="67"/>
      <c r="I2072" s="68"/>
      <c r="J2072" s="68"/>
      <c r="K2072" s="32"/>
      <c r="L2072" s="75">
        <v>2072</v>
      </c>
      <c r="M2072" s="75"/>
      <c r="N2072" s="70"/>
      <c r="O2072" s="77" t="s">
        <v>1133</v>
      </c>
      <c r="P2072" s="79">
        <v>45130.992407407408</v>
      </c>
      <c r="Q2072" s="77" t="s">
        <v>3120</v>
      </c>
      <c r="R2072" s="77">
        <v>0</v>
      </c>
      <c r="S2072" s="77">
        <v>0</v>
      </c>
      <c r="T2072" s="77">
        <v>0</v>
      </c>
      <c r="U2072" s="77">
        <v>0</v>
      </c>
      <c r="V2072" s="77">
        <v>93</v>
      </c>
      <c r="W2072" s="82" t="s">
        <v>5390</v>
      </c>
      <c r="X2072" s="77"/>
      <c r="Y2072" s="77"/>
      <c r="Z2072" s="77" t="s">
        <v>860</v>
      </c>
      <c r="AA2072" s="77" t="s">
        <v>7269</v>
      </c>
      <c r="AB2072" s="77" t="s">
        <v>7696</v>
      </c>
      <c r="AC2072" s="82" t="s">
        <v>7707</v>
      </c>
      <c r="AD2072" s="77" t="s">
        <v>7745</v>
      </c>
      <c r="AE2072" s="80" t="str">
        <f>HYPERLINK("https://twitter.com/workshopdantas/status/1683262989791526914")</f>
        <v>https://twitter.com/workshopdantas/status/1683262989791526914</v>
      </c>
      <c r="AF2072" s="79">
        <v>45130.992407407408</v>
      </c>
      <c r="AG2072" s="85">
        <v>45130</v>
      </c>
      <c r="AH2072" s="82" t="s">
        <v>9606</v>
      </c>
      <c r="AI2072" s="77" t="b">
        <v>0</v>
      </c>
      <c r="AJ2072" s="77"/>
      <c r="AK2072" s="77"/>
      <c r="AL2072" s="77"/>
      <c r="AM2072" s="77"/>
      <c r="AN2072" s="77"/>
      <c r="AO2072" s="77"/>
      <c r="AP2072" s="77"/>
      <c r="AQ2072" s="77" t="s">
        <v>11776</v>
      </c>
      <c r="AR2072" s="77"/>
      <c r="AS2072" s="77"/>
      <c r="AT2072" s="77"/>
      <c r="AU2072" s="77"/>
      <c r="AV2072" s="80" t="str">
        <f>HYPERLINK("https://pbs.twimg.com/media/F1wmw3dWwAAjpDX.jpg")</f>
        <v>https://pbs.twimg.com/media/F1wmw3dWwAAjpDX.jpg</v>
      </c>
      <c r="AW2072" s="82" t="s">
        <v>14232</v>
      </c>
      <c r="AX2072" s="82" t="s">
        <v>14232</v>
      </c>
      <c r="AY2072" s="77"/>
      <c r="AZ2072" s="82" t="s">
        <v>15804</v>
      </c>
      <c r="BA2072" s="82" t="s">
        <v>15804</v>
      </c>
      <c r="BB2072" s="82" t="s">
        <v>15804</v>
      </c>
      <c r="BC2072" s="82" t="s">
        <v>14232</v>
      </c>
      <c r="BD2072" s="82" t="s">
        <v>16500</v>
      </c>
      <c r="BE2072" s="77"/>
      <c r="BF2072" s="77"/>
      <c r="BG2072" s="77"/>
      <c r="BH2072" s="77"/>
      <c r="BI2072" s="77"/>
    </row>
    <row r="2073" spans="1:61" x14ac:dyDescent="0.25">
      <c r="A2073" s="62" t="s">
        <v>860</v>
      </c>
      <c r="B2073" s="62" t="s">
        <v>860</v>
      </c>
      <c r="C2073" s="63"/>
      <c r="D2073" s="64"/>
      <c r="E2073" s="65"/>
      <c r="F2073" s="66"/>
      <c r="G2073" s="63"/>
      <c r="H2073" s="67"/>
      <c r="I2073" s="68"/>
      <c r="J2073" s="68"/>
      <c r="K2073" s="32"/>
      <c r="L2073" s="75">
        <v>2073</v>
      </c>
      <c r="M2073" s="75"/>
      <c r="N2073" s="70"/>
      <c r="O2073" s="77" t="s">
        <v>1133</v>
      </c>
      <c r="P2073" s="79">
        <v>45130.960763888892</v>
      </c>
      <c r="Q2073" s="77" t="s">
        <v>3121</v>
      </c>
      <c r="R2073" s="77">
        <v>0</v>
      </c>
      <c r="S2073" s="77">
        <v>0</v>
      </c>
      <c r="T2073" s="77">
        <v>0</v>
      </c>
      <c r="U2073" s="77">
        <v>0</v>
      </c>
      <c r="V2073" s="77">
        <v>42</v>
      </c>
      <c r="W2073" s="82" t="s">
        <v>5391</v>
      </c>
      <c r="X2073" s="77"/>
      <c r="Y2073" s="77"/>
      <c r="Z2073" s="77" t="s">
        <v>860</v>
      </c>
      <c r="AA2073" s="77" t="s">
        <v>7270</v>
      </c>
      <c r="AB2073" s="77" t="s">
        <v>7696</v>
      </c>
      <c r="AC2073" s="82" t="s">
        <v>7707</v>
      </c>
      <c r="AD2073" s="77" t="s">
        <v>7745</v>
      </c>
      <c r="AE2073" s="80" t="str">
        <f>HYPERLINK("https://twitter.com/workshopdantas/status/1683251521600000001")</f>
        <v>https://twitter.com/workshopdantas/status/1683251521600000001</v>
      </c>
      <c r="AF2073" s="79">
        <v>45130.960763888892</v>
      </c>
      <c r="AG2073" s="85">
        <v>45130</v>
      </c>
      <c r="AH2073" s="82" t="s">
        <v>9607</v>
      </c>
      <c r="AI2073" s="77" t="b">
        <v>0</v>
      </c>
      <c r="AJ2073" s="77"/>
      <c r="AK2073" s="77"/>
      <c r="AL2073" s="77"/>
      <c r="AM2073" s="77"/>
      <c r="AN2073" s="77"/>
      <c r="AO2073" s="77"/>
      <c r="AP2073" s="77"/>
      <c r="AQ2073" s="77" t="s">
        <v>11777</v>
      </c>
      <c r="AR2073" s="77"/>
      <c r="AS2073" s="77"/>
      <c r="AT2073" s="77"/>
      <c r="AU2073" s="77"/>
      <c r="AV2073" s="80" t="str">
        <f>HYPERLINK("https://pbs.twimg.com/media/F1wcVU5XsAI1OnQ.jpg")</f>
        <v>https://pbs.twimg.com/media/F1wcVU5XsAI1OnQ.jpg</v>
      </c>
      <c r="AW2073" s="82" t="s">
        <v>14233</v>
      </c>
      <c r="AX2073" s="82" t="s">
        <v>14233</v>
      </c>
      <c r="AY2073" s="77"/>
      <c r="AZ2073" s="82" t="s">
        <v>15804</v>
      </c>
      <c r="BA2073" s="82" t="s">
        <v>15804</v>
      </c>
      <c r="BB2073" s="82" t="s">
        <v>15804</v>
      </c>
      <c r="BC2073" s="82" t="s">
        <v>14233</v>
      </c>
      <c r="BD2073" s="82" t="s">
        <v>16500</v>
      </c>
      <c r="BE2073" s="77"/>
      <c r="BF2073" s="77"/>
      <c r="BG2073" s="77"/>
      <c r="BH2073" s="77"/>
      <c r="BI2073" s="77"/>
    </row>
    <row r="2074" spans="1:61" x14ac:dyDescent="0.25">
      <c r="A2074" s="62" t="s">
        <v>860</v>
      </c>
      <c r="B2074" s="62" t="s">
        <v>860</v>
      </c>
      <c r="C2074" s="63"/>
      <c r="D2074" s="64"/>
      <c r="E2074" s="65"/>
      <c r="F2074" s="66"/>
      <c r="G2074" s="63"/>
      <c r="H2074" s="67"/>
      <c r="I2074" s="68"/>
      <c r="J2074" s="68"/>
      <c r="K2074" s="32"/>
      <c r="L2074" s="75">
        <v>2074</v>
      </c>
      <c r="M2074" s="75"/>
      <c r="N2074" s="70"/>
      <c r="O2074" s="77" t="s">
        <v>1133</v>
      </c>
      <c r="P2074" s="79">
        <v>45130.933113425926</v>
      </c>
      <c r="Q2074" s="77" t="s">
        <v>3080</v>
      </c>
      <c r="R2074" s="77">
        <v>0</v>
      </c>
      <c r="S2074" s="77">
        <v>0</v>
      </c>
      <c r="T2074" s="77">
        <v>2</v>
      </c>
      <c r="U2074" s="77">
        <v>0</v>
      </c>
      <c r="V2074" s="77">
        <v>181</v>
      </c>
      <c r="W2074" s="82" t="s">
        <v>5355</v>
      </c>
      <c r="X2074" s="77"/>
      <c r="Y2074" s="77"/>
      <c r="Z2074" s="77" t="s">
        <v>6142</v>
      </c>
      <c r="AA2074" s="77" t="s">
        <v>7229</v>
      </c>
      <c r="AB2074" s="77" t="s">
        <v>7696</v>
      </c>
      <c r="AC2074" s="82" t="s">
        <v>7707</v>
      </c>
      <c r="AD2074" s="77" t="s">
        <v>7745</v>
      </c>
      <c r="AE2074" s="80" t="str">
        <f>HYPERLINK("https://twitter.com/workshopdantas/status/1683241500468019200")</f>
        <v>https://twitter.com/workshopdantas/status/1683241500468019200</v>
      </c>
      <c r="AF2074" s="79">
        <v>45130.933113425926</v>
      </c>
      <c r="AG2074" s="85">
        <v>45130</v>
      </c>
      <c r="AH2074" s="82" t="s">
        <v>9566</v>
      </c>
      <c r="AI2074" s="77" t="b">
        <v>0</v>
      </c>
      <c r="AJ2074" s="77"/>
      <c r="AK2074" s="77"/>
      <c r="AL2074" s="77"/>
      <c r="AM2074" s="77"/>
      <c r="AN2074" s="77"/>
      <c r="AO2074" s="77"/>
      <c r="AP2074" s="77"/>
      <c r="AQ2074" s="77" t="s">
        <v>11736</v>
      </c>
      <c r="AR2074" s="77"/>
      <c r="AS2074" s="77"/>
      <c r="AT2074" s="77"/>
      <c r="AU2074" s="77"/>
      <c r="AV2074" s="80" t="str">
        <f>HYPERLINK("https://pbs.twimg.com/media/F1wTODlXgAMFYga.jpg")</f>
        <v>https://pbs.twimg.com/media/F1wTODlXgAMFYga.jpg</v>
      </c>
      <c r="AW2074" s="82" t="s">
        <v>14192</v>
      </c>
      <c r="AX2074" s="82" t="s">
        <v>14192</v>
      </c>
      <c r="AY2074" s="77"/>
      <c r="AZ2074" s="82" t="s">
        <v>15804</v>
      </c>
      <c r="BA2074" s="82" t="s">
        <v>15804</v>
      </c>
      <c r="BB2074" s="82" t="s">
        <v>15804</v>
      </c>
      <c r="BC2074" s="82" t="s">
        <v>14192</v>
      </c>
      <c r="BD2074" s="82" t="s">
        <v>16500</v>
      </c>
      <c r="BE2074" s="77"/>
      <c r="BF2074" s="77"/>
      <c r="BG2074" s="77"/>
      <c r="BH2074" s="77"/>
      <c r="BI2074" s="77"/>
    </row>
    <row r="2075" spans="1:61" x14ac:dyDescent="0.25">
      <c r="A2075" s="62" t="s">
        <v>860</v>
      </c>
      <c r="B2075" s="62" t="s">
        <v>860</v>
      </c>
      <c r="C2075" s="63"/>
      <c r="D2075" s="64"/>
      <c r="E2075" s="65"/>
      <c r="F2075" s="66"/>
      <c r="G2075" s="63"/>
      <c r="H2075" s="67"/>
      <c r="I2075" s="68"/>
      <c r="J2075" s="68"/>
      <c r="K2075" s="32"/>
      <c r="L2075" s="75">
        <v>2075</v>
      </c>
      <c r="M2075" s="75"/>
      <c r="N2075" s="70"/>
      <c r="O2075" s="77" t="s">
        <v>1133</v>
      </c>
      <c r="P2075" s="79">
        <v>45130.803900462961</v>
      </c>
      <c r="Q2075" s="77" t="s">
        <v>3122</v>
      </c>
      <c r="R2075" s="77">
        <v>0</v>
      </c>
      <c r="S2075" s="77">
        <v>0</v>
      </c>
      <c r="T2075" s="77">
        <v>1</v>
      </c>
      <c r="U2075" s="77">
        <v>0</v>
      </c>
      <c r="V2075" s="77">
        <v>87</v>
      </c>
      <c r="W2075" s="82" t="s">
        <v>5392</v>
      </c>
      <c r="X2075" s="77"/>
      <c r="Y2075" s="77"/>
      <c r="Z2075" s="77" t="s">
        <v>860</v>
      </c>
      <c r="AA2075" s="77" t="s">
        <v>7271</v>
      </c>
      <c r="AB2075" s="77" t="s">
        <v>7696</v>
      </c>
      <c r="AC2075" s="82" t="s">
        <v>7707</v>
      </c>
      <c r="AD2075" s="77" t="s">
        <v>7745</v>
      </c>
      <c r="AE2075" s="80" t="str">
        <f>HYPERLINK("https://twitter.com/workshopdantas/status/1683194675224625152")</f>
        <v>https://twitter.com/workshopdantas/status/1683194675224625152</v>
      </c>
      <c r="AF2075" s="79">
        <v>45130.803900462961</v>
      </c>
      <c r="AG2075" s="85">
        <v>45130</v>
      </c>
      <c r="AH2075" s="82" t="s">
        <v>9608</v>
      </c>
      <c r="AI2075" s="77" t="b">
        <v>0</v>
      </c>
      <c r="AJ2075" s="77"/>
      <c r="AK2075" s="77"/>
      <c r="AL2075" s="77"/>
      <c r="AM2075" s="77"/>
      <c r="AN2075" s="77"/>
      <c r="AO2075" s="77"/>
      <c r="AP2075" s="77"/>
      <c r="AQ2075" s="77" t="s">
        <v>11778</v>
      </c>
      <c r="AR2075" s="77"/>
      <c r="AS2075" s="77"/>
      <c r="AT2075" s="77"/>
      <c r="AU2075" s="77"/>
      <c r="AV2075" s="80" t="str">
        <f>HYPERLINK("https://pbs.twimg.com/media/F1vomguWIAkOUZW.jpg")</f>
        <v>https://pbs.twimg.com/media/F1vomguWIAkOUZW.jpg</v>
      </c>
      <c r="AW2075" s="82" t="s">
        <v>14234</v>
      </c>
      <c r="AX2075" s="82" t="s">
        <v>14234</v>
      </c>
      <c r="AY2075" s="77"/>
      <c r="AZ2075" s="82" t="s">
        <v>15804</v>
      </c>
      <c r="BA2075" s="82" t="s">
        <v>15804</v>
      </c>
      <c r="BB2075" s="82" t="s">
        <v>15804</v>
      </c>
      <c r="BC2075" s="82" t="s">
        <v>14234</v>
      </c>
      <c r="BD2075" s="82" t="s">
        <v>16500</v>
      </c>
      <c r="BE2075" s="77"/>
      <c r="BF2075" s="77"/>
      <c r="BG2075" s="77"/>
      <c r="BH2075" s="77"/>
      <c r="BI2075" s="77"/>
    </row>
    <row r="2076" spans="1:61" x14ac:dyDescent="0.25">
      <c r="A2076" s="62" t="s">
        <v>860</v>
      </c>
      <c r="B2076" s="62" t="s">
        <v>860</v>
      </c>
      <c r="C2076" s="63"/>
      <c r="D2076" s="64"/>
      <c r="E2076" s="65"/>
      <c r="F2076" s="66"/>
      <c r="G2076" s="63"/>
      <c r="H2076" s="67"/>
      <c r="I2076" s="68"/>
      <c r="J2076" s="68"/>
      <c r="K2076" s="32"/>
      <c r="L2076" s="75">
        <v>2076</v>
      </c>
      <c r="M2076" s="75"/>
      <c r="N2076" s="70"/>
      <c r="O2076" s="77" t="s">
        <v>1133</v>
      </c>
      <c r="P2076" s="79">
        <v>45130.479224537034</v>
      </c>
      <c r="Q2076" s="77" t="s">
        <v>3123</v>
      </c>
      <c r="R2076" s="77">
        <v>0</v>
      </c>
      <c r="S2076" s="77">
        <v>1</v>
      </c>
      <c r="T2076" s="77">
        <v>1</v>
      </c>
      <c r="U2076" s="77">
        <v>0</v>
      </c>
      <c r="V2076" s="77">
        <v>57</v>
      </c>
      <c r="W2076" s="82" t="s">
        <v>5393</v>
      </c>
      <c r="X2076" s="77"/>
      <c r="Y2076" s="77"/>
      <c r="Z2076" s="77" t="s">
        <v>860</v>
      </c>
      <c r="AA2076" s="77" t="s">
        <v>7272</v>
      </c>
      <c r="AB2076" s="77" t="s">
        <v>7696</v>
      </c>
      <c r="AC2076" s="82" t="s">
        <v>7707</v>
      </c>
      <c r="AD2076" s="77" t="s">
        <v>7745</v>
      </c>
      <c r="AE2076" s="80" t="str">
        <f>HYPERLINK("https://twitter.com/workshopdantas/status/1683077017497919488")</f>
        <v>https://twitter.com/workshopdantas/status/1683077017497919488</v>
      </c>
      <c r="AF2076" s="79">
        <v>45130.479224537034</v>
      </c>
      <c r="AG2076" s="85">
        <v>45130</v>
      </c>
      <c r="AH2076" s="82" t="s">
        <v>9609</v>
      </c>
      <c r="AI2076" s="77" t="b">
        <v>0</v>
      </c>
      <c r="AJ2076" s="77"/>
      <c r="AK2076" s="77"/>
      <c r="AL2076" s="77"/>
      <c r="AM2076" s="77"/>
      <c r="AN2076" s="77"/>
      <c r="AO2076" s="77"/>
      <c r="AP2076" s="77"/>
      <c r="AQ2076" s="77" t="s">
        <v>11779</v>
      </c>
      <c r="AR2076" s="77"/>
      <c r="AS2076" s="77"/>
      <c r="AT2076" s="77"/>
      <c r="AU2076" s="77"/>
      <c r="AV2076" s="80" t="str">
        <f>HYPERLINK("https://pbs.twimg.com/media/F1t9oKRX0AE6DHn.jpg")</f>
        <v>https://pbs.twimg.com/media/F1t9oKRX0AE6DHn.jpg</v>
      </c>
      <c r="AW2076" s="82" t="s">
        <v>14235</v>
      </c>
      <c r="AX2076" s="82" t="s">
        <v>14235</v>
      </c>
      <c r="AY2076" s="77"/>
      <c r="AZ2076" s="82" t="s">
        <v>15804</v>
      </c>
      <c r="BA2076" s="82" t="s">
        <v>15804</v>
      </c>
      <c r="BB2076" s="82" t="s">
        <v>15804</v>
      </c>
      <c r="BC2076" s="82" t="s">
        <v>14235</v>
      </c>
      <c r="BD2076" s="82" t="s">
        <v>16500</v>
      </c>
      <c r="BE2076" s="77"/>
      <c r="BF2076" s="77"/>
      <c r="BG2076" s="77"/>
      <c r="BH2076" s="77"/>
      <c r="BI2076" s="77"/>
    </row>
    <row r="2077" spans="1:61" x14ac:dyDescent="0.25">
      <c r="A2077" s="62" t="s">
        <v>860</v>
      </c>
      <c r="B2077" s="62" t="s">
        <v>860</v>
      </c>
      <c r="C2077" s="63"/>
      <c r="D2077" s="64"/>
      <c r="E2077" s="65"/>
      <c r="F2077" s="66"/>
      <c r="G2077" s="63"/>
      <c r="H2077" s="67"/>
      <c r="I2077" s="68"/>
      <c r="J2077" s="68"/>
      <c r="K2077" s="32"/>
      <c r="L2077" s="75">
        <v>2077</v>
      </c>
      <c r="M2077" s="75"/>
      <c r="N2077" s="70"/>
      <c r="O2077" s="77" t="s">
        <v>1133</v>
      </c>
      <c r="P2077" s="79">
        <v>45130.032523148147</v>
      </c>
      <c r="Q2077" s="77" t="s">
        <v>3124</v>
      </c>
      <c r="R2077" s="77">
        <v>0</v>
      </c>
      <c r="S2077" s="77">
        <v>1</v>
      </c>
      <c r="T2077" s="77">
        <v>0</v>
      </c>
      <c r="U2077" s="77">
        <v>0</v>
      </c>
      <c r="V2077" s="77">
        <v>157</v>
      </c>
      <c r="W2077" s="82" t="s">
        <v>5394</v>
      </c>
      <c r="X2077" s="77"/>
      <c r="Y2077" s="77"/>
      <c r="Z2077" s="77" t="s">
        <v>860</v>
      </c>
      <c r="AA2077" s="77" t="s">
        <v>7273</v>
      </c>
      <c r="AB2077" s="77" t="s">
        <v>7697</v>
      </c>
      <c r="AC2077" s="82" t="s">
        <v>7707</v>
      </c>
      <c r="AD2077" s="77" t="s">
        <v>7745</v>
      </c>
      <c r="AE2077" s="80" t="str">
        <f>HYPERLINK("https://twitter.com/workshopdantas/status/1682915136846045185")</f>
        <v>https://twitter.com/workshopdantas/status/1682915136846045185</v>
      </c>
      <c r="AF2077" s="79">
        <v>45130.032523148147</v>
      </c>
      <c r="AG2077" s="85">
        <v>45130</v>
      </c>
      <c r="AH2077" s="82" t="s">
        <v>9610</v>
      </c>
      <c r="AI2077" s="77" t="b">
        <v>0</v>
      </c>
      <c r="AJ2077" s="77"/>
      <c r="AK2077" s="77"/>
      <c r="AL2077" s="77"/>
      <c r="AM2077" s="77"/>
      <c r="AN2077" s="77"/>
      <c r="AO2077" s="77"/>
      <c r="AP2077" s="77"/>
      <c r="AQ2077" s="77" t="s">
        <v>11780</v>
      </c>
      <c r="AR2077" s="77">
        <v>27444</v>
      </c>
      <c r="AS2077" s="77"/>
      <c r="AT2077" s="77"/>
      <c r="AU2077" s="77">
        <v>48</v>
      </c>
      <c r="AV2077" s="80" t="str">
        <f>HYPERLINK("https://pbs.twimg.com/ext_tw_video_thumb/1682915081007316996/pu/img/_R0T8r5SvfIyIpis.jpg")</f>
        <v>https://pbs.twimg.com/ext_tw_video_thumb/1682915081007316996/pu/img/_R0T8r5SvfIyIpis.jpg</v>
      </c>
      <c r="AW2077" s="82" t="s">
        <v>14236</v>
      </c>
      <c r="AX2077" s="82" t="s">
        <v>14236</v>
      </c>
      <c r="AY2077" s="77"/>
      <c r="AZ2077" s="82" t="s">
        <v>15804</v>
      </c>
      <c r="BA2077" s="82" t="s">
        <v>15804</v>
      </c>
      <c r="BB2077" s="82" t="s">
        <v>15804</v>
      </c>
      <c r="BC2077" s="82" t="s">
        <v>14236</v>
      </c>
      <c r="BD2077" s="82" t="s">
        <v>16500</v>
      </c>
      <c r="BE2077" s="77"/>
      <c r="BF2077" s="77"/>
      <c r="BG2077" s="77"/>
      <c r="BH2077" s="77"/>
      <c r="BI2077" s="77"/>
    </row>
    <row r="2078" spans="1:61" x14ac:dyDescent="0.25">
      <c r="A2078" s="62" t="s">
        <v>860</v>
      </c>
      <c r="B2078" s="62" t="s">
        <v>860</v>
      </c>
      <c r="C2078" s="63"/>
      <c r="D2078" s="64"/>
      <c r="E2078" s="65"/>
      <c r="F2078" s="66"/>
      <c r="G2078" s="63"/>
      <c r="H2078" s="67"/>
      <c r="I2078" s="68"/>
      <c r="J2078" s="68"/>
      <c r="K2078" s="32"/>
      <c r="L2078" s="75">
        <v>2078</v>
      </c>
      <c r="M2078" s="75"/>
      <c r="N2078" s="70"/>
      <c r="O2078" s="77" t="s">
        <v>1133</v>
      </c>
      <c r="P2078" s="79">
        <v>45122.379606481481</v>
      </c>
      <c r="Q2078" s="77" t="s">
        <v>3125</v>
      </c>
      <c r="R2078" s="77">
        <v>0</v>
      </c>
      <c r="S2078" s="77">
        <v>0</v>
      </c>
      <c r="T2078" s="77">
        <v>0</v>
      </c>
      <c r="U2078" s="77">
        <v>0</v>
      </c>
      <c r="V2078" s="77">
        <v>180</v>
      </c>
      <c r="W2078" s="82" t="s">
        <v>5395</v>
      </c>
      <c r="X2078" s="77"/>
      <c r="Y2078" s="77"/>
      <c r="Z2078" s="77" t="s">
        <v>860</v>
      </c>
      <c r="AA2078" s="77" t="s">
        <v>7274</v>
      </c>
      <c r="AB2078" s="77" t="s">
        <v>7696</v>
      </c>
      <c r="AC2078" s="82" t="s">
        <v>7707</v>
      </c>
      <c r="AD2078" s="77" t="s">
        <v>7745</v>
      </c>
      <c r="AE2078" s="80" t="str">
        <f>HYPERLINK("https://twitter.com/workshopdantas/status/1680141813133213697")</f>
        <v>https://twitter.com/workshopdantas/status/1680141813133213697</v>
      </c>
      <c r="AF2078" s="79">
        <v>45122.379606481481</v>
      </c>
      <c r="AG2078" s="85">
        <v>45122</v>
      </c>
      <c r="AH2078" s="82" t="s">
        <v>9611</v>
      </c>
      <c r="AI2078" s="77" t="b">
        <v>0</v>
      </c>
      <c r="AJ2078" s="77"/>
      <c r="AK2078" s="77"/>
      <c r="AL2078" s="77"/>
      <c r="AM2078" s="77"/>
      <c r="AN2078" s="77"/>
      <c r="AO2078" s="77"/>
      <c r="AP2078" s="77"/>
      <c r="AQ2078" s="77" t="s">
        <v>11781</v>
      </c>
      <c r="AR2078" s="77"/>
      <c r="AS2078" s="77"/>
      <c r="AT2078" s="77"/>
      <c r="AU2078" s="77"/>
      <c r="AV2078" s="80" t="str">
        <f>HYPERLINK("https://pbs.twimg.com/media/F1EQExvX0AAVqQo.jpg")</f>
        <v>https://pbs.twimg.com/media/F1EQExvX0AAVqQo.jpg</v>
      </c>
      <c r="AW2078" s="82" t="s">
        <v>14237</v>
      </c>
      <c r="AX2078" s="82" t="s">
        <v>14237</v>
      </c>
      <c r="AY2078" s="77"/>
      <c r="AZ2078" s="82" t="s">
        <v>15804</v>
      </c>
      <c r="BA2078" s="82" t="s">
        <v>15804</v>
      </c>
      <c r="BB2078" s="82" t="s">
        <v>15804</v>
      </c>
      <c r="BC2078" s="82" t="s">
        <v>14237</v>
      </c>
      <c r="BD2078" s="82" t="s">
        <v>16500</v>
      </c>
      <c r="BE2078" s="77"/>
      <c r="BF2078" s="77"/>
      <c r="BG2078" s="77"/>
      <c r="BH2078" s="77"/>
      <c r="BI2078" s="77"/>
    </row>
    <row r="2079" spans="1:61" x14ac:dyDescent="0.25">
      <c r="A2079" s="62" t="s">
        <v>860</v>
      </c>
      <c r="B2079" s="62" t="s">
        <v>860</v>
      </c>
      <c r="C2079" s="63"/>
      <c r="D2079" s="64"/>
      <c r="E2079" s="65"/>
      <c r="F2079" s="66"/>
      <c r="G2079" s="63"/>
      <c r="H2079" s="67"/>
      <c r="I2079" s="68"/>
      <c r="J2079" s="68"/>
      <c r="K2079" s="32"/>
      <c r="L2079" s="75">
        <v>2079</v>
      </c>
      <c r="M2079" s="75"/>
      <c r="N2079" s="70"/>
      <c r="O2079" s="77" t="s">
        <v>1133</v>
      </c>
      <c r="P2079" s="79">
        <v>45121.408101851855</v>
      </c>
      <c r="Q2079" s="77" t="s">
        <v>3126</v>
      </c>
      <c r="R2079" s="77">
        <v>1</v>
      </c>
      <c r="S2079" s="77">
        <v>4</v>
      </c>
      <c r="T2079" s="77">
        <v>1</v>
      </c>
      <c r="U2079" s="77">
        <v>1</v>
      </c>
      <c r="V2079" s="77">
        <v>283</v>
      </c>
      <c r="W2079" s="82" t="s">
        <v>5396</v>
      </c>
      <c r="X2079" s="77"/>
      <c r="Y2079" s="77"/>
      <c r="Z2079" s="77" t="s">
        <v>860</v>
      </c>
      <c r="AA2079" s="77" t="s">
        <v>7275</v>
      </c>
      <c r="AB2079" s="77" t="s">
        <v>7696</v>
      </c>
      <c r="AC2079" s="82" t="s">
        <v>7707</v>
      </c>
      <c r="AD2079" s="77" t="s">
        <v>7745</v>
      </c>
      <c r="AE2079" s="80" t="str">
        <f>HYPERLINK("https://twitter.com/workshopdantas/status/1679789753762193410")</f>
        <v>https://twitter.com/workshopdantas/status/1679789753762193410</v>
      </c>
      <c r="AF2079" s="79">
        <v>45121.408101851855</v>
      </c>
      <c r="AG2079" s="85">
        <v>45121</v>
      </c>
      <c r="AH2079" s="82" t="s">
        <v>9612</v>
      </c>
      <c r="AI2079" s="77" t="b">
        <v>0</v>
      </c>
      <c r="AJ2079" s="77"/>
      <c r="AK2079" s="77"/>
      <c r="AL2079" s="77"/>
      <c r="AM2079" s="77"/>
      <c r="AN2079" s="77"/>
      <c r="AO2079" s="77"/>
      <c r="AP2079" s="77"/>
      <c r="AQ2079" s="77" t="s">
        <v>11782</v>
      </c>
      <c r="AR2079" s="77"/>
      <c r="AS2079" s="77"/>
      <c r="AT2079" s="77"/>
      <c r="AU2079" s="77"/>
      <c r="AV2079" s="80" t="str">
        <f>HYPERLINK("https://pbs.twimg.com/media/F0_P4OVXsAQbkoE.jpg")</f>
        <v>https://pbs.twimg.com/media/F0_P4OVXsAQbkoE.jpg</v>
      </c>
      <c r="AW2079" s="82" t="s">
        <v>14238</v>
      </c>
      <c r="AX2079" s="82" t="s">
        <v>14238</v>
      </c>
      <c r="AY2079" s="77"/>
      <c r="AZ2079" s="82" t="s">
        <v>15804</v>
      </c>
      <c r="BA2079" s="82" t="s">
        <v>15804</v>
      </c>
      <c r="BB2079" s="82" t="s">
        <v>15804</v>
      </c>
      <c r="BC2079" s="82" t="s">
        <v>14238</v>
      </c>
      <c r="BD2079" s="82" t="s">
        <v>16500</v>
      </c>
      <c r="BE2079" s="77"/>
      <c r="BF2079" s="77"/>
      <c r="BG2079" s="77"/>
      <c r="BH2079" s="77"/>
      <c r="BI2079" s="77"/>
    </row>
    <row r="2080" spans="1:61" x14ac:dyDescent="0.25">
      <c r="A2080" s="62" t="s">
        <v>860</v>
      </c>
      <c r="B2080" s="62" t="s">
        <v>860</v>
      </c>
      <c r="C2080" s="63"/>
      <c r="D2080" s="64"/>
      <c r="E2080" s="65"/>
      <c r="F2080" s="66"/>
      <c r="G2080" s="63"/>
      <c r="H2080" s="67"/>
      <c r="I2080" s="68"/>
      <c r="J2080" s="68"/>
      <c r="K2080" s="32"/>
      <c r="L2080" s="75">
        <v>2080</v>
      </c>
      <c r="M2080" s="75"/>
      <c r="N2080" s="70"/>
      <c r="O2080" s="77" t="s">
        <v>1133</v>
      </c>
      <c r="P2080" s="79">
        <v>45120.403506944444</v>
      </c>
      <c r="Q2080" s="77" t="s">
        <v>3127</v>
      </c>
      <c r="R2080" s="77">
        <v>0</v>
      </c>
      <c r="S2080" s="77">
        <v>0</v>
      </c>
      <c r="T2080" s="77">
        <v>0</v>
      </c>
      <c r="U2080" s="77">
        <v>0</v>
      </c>
      <c r="V2080" s="77">
        <v>47</v>
      </c>
      <c r="W2080" s="82" t="s">
        <v>5397</v>
      </c>
      <c r="X2080" s="77"/>
      <c r="Y2080" s="77"/>
      <c r="Z2080" s="77" t="s">
        <v>860</v>
      </c>
      <c r="AA2080" s="77" t="s">
        <v>7276</v>
      </c>
      <c r="AB2080" s="77" t="s">
        <v>7696</v>
      </c>
      <c r="AC2080" s="82" t="s">
        <v>7707</v>
      </c>
      <c r="AD2080" s="77" t="s">
        <v>7745</v>
      </c>
      <c r="AE2080" s="80" t="str">
        <f>HYPERLINK("https://twitter.com/workshopdantas/status/1679425699512287236")</f>
        <v>https://twitter.com/workshopdantas/status/1679425699512287236</v>
      </c>
      <c r="AF2080" s="79">
        <v>45120.403506944444</v>
      </c>
      <c r="AG2080" s="85">
        <v>45120</v>
      </c>
      <c r="AH2080" s="82" t="s">
        <v>9613</v>
      </c>
      <c r="AI2080" s="77" t="b">
        <v>0</v>
      </c>
      <c r="AJ2080" s="77"/>
      <c r="AK2080" s="77"/>
      <c r="AL2080" s="77"/>
      <c r="AM2080" s="77"/>
      <c r="AN2080" s="77"/>
      <c r="AO2080" s="77"/>
      <c r="AP2080" s="77"/>
      <c r="AQ2080" s="77" t="s">
        <v>11783</v>
      </c>
      <c r="AR2080" s="77"/>
      <c r="AS2080" s="77"/>
      <c r="AT2080" s="77"/>
      <c r="AU2080" s="77"/>
      <c r="AV2080" s="80" t="str">
        <f>HYPERLINK("https://pbs.twimg.com/media/F06ExcgX0AAz6sS.jpg")</f>
        <v>https://pbs.twimg.com/media/F06ExcgX0AAz6sS.jpg</v>
      </c>
      <c r="AW2080" s="82" t="s">
        <v>14239</v>
      </c>
      <c r="AX2080" s="82" t="s">
        <v>14239</v>
      </c>
      <c r="AY2080" s="77"/>
      <c r="AZ2080" s="82" t="s">
        <v>15804</v>
      </c>
      <c r="BA2080" s="82" t="s">
        <v>15804</v>
      </c>
      <c r="BB2080" s="82" t="s">
        <v>15804</v>
      </c>
      <c r="BC2080" s="82" t="s">
        <v>14239</v>
      </c>
      <c r="BD2080" s="82" t="s">
        <v>16500</v>
      </c>
      <c r="BE2080" s="77"/>
      <c r="BF2080" s="77"/>
      <c r="BG2080" s="77"/>
      <c r="BH2080" s="77"/>
      <c r="BI2080" s="77"/>
    </row>
    <row r="2081" spans="1:61" x14ac:dyDescent="0.25">
      <c r="A2081" s="62" t="s">
        <v>860</v>
      </c>
      <c r="B2081" s="62" t="s">
        <v>860</v>
      </c>
      <c r="C2081" s="63"/>
      <c r="D2081" s="64"/>
      <c r="E2081" s="65"/>
      <c r="F2081" s="66"/>
      <c r="G2081" s="63"/>
      <c r="H2081" s="67"/>
      <c r="I2081" s="68"/>
      <c r="J2081" s="68"/>
      <c r="K2081" s="32"/>
      <c r="L2081" s="75">
        <v>2081</v>
      </c>
      <c r="M2081" s="75"/>
      <c r="N2081" s="70"/>
      <c r="O2081" s="77" t="s">
        <v>1133</v>
      </c>
      <c r="P2081" s="79">
        <v>45104.499259259261</v>
      </c>
      <c r="Q2081" s="77" t="s">
        <v>3128</v>
      </c>
      <c r="R2081" s="77">
        <v>1</v>
      </c>
      <c r="S2081" s="77">
        <v>2</v>
      </c>
      <c r="T2081" s="77">
        <v>0</v>
      </c>
      <c r="U2081" s="77">
        <v>0</v>
      </c>
      <c r="V2081" s="77">
        <v>47</v>
      </c>
      <c r="W2081" s="82" t="s">
        <v>5380</v>
      </c>
      <c r="X2081" s="77"/>
      <c r="Y2081" s="77"/>
      <c r="Z2081" s="77" t="s">
        <v>860</v>
      </c>
      <c r="AA2081" s="77" t="s">
        <v>7277</v>
      </c>
      <c r="AB2081" s="77" t="s">
        <v>7696</v>
      </c>
      <c r="AC2081" s="82" t="s">
        <v>7707</v>
      </c>
      <c r="AD2081" s="77" t="s">
        <v>7745</v>
      </c>
      <c r="AE2081" s="80" t="str">
        <f>HYPERLINK("https://twitter.com/workshopdantas/status/1673662190556000261")</f>
        <v>https://twitter.com/workshopdantas/status/1673662190556000261</v>
      </c>
      <c r="AF2081" s="79">
        <v>45104.499259259261</v>
      </c>
      <c r="AG2081" s="85">
        <v>45104</v>
      </c>
      <c r="AH2081" s="82" t="s">
        <v>9614</v>
      </c>
      <c r="AI2081" s="77" t="b">
        <v>0</v>
      </c>
      <c r="AJ2081" s="77"/>
      <c r="AK2081" s="77"/>
      <c r="AL2081" s="77"/>
      <c r="AM2081" s="77"/>
      <c r="AN2081" s="77"/>
      <c r="AO2081" s="77"/>
      <c r="AP2081" s="77"/>
      <c r="AQ2081" s="77" t="s">
        <v>11784</v>
      </c>
      <c r="AR2081" s="77"/>
      <c r="AS2081" s="77"/>
      <c r="AT2081" s="77"/>
      <c r="AU2081" s="77"/>
      <c r="AV2081" s="80" t="str">
        <f>HYPERLINK("https://pbs.twimg.com/media/FzoK5EgXwAI7Q1A.jpg")</f>
        <v>https://pbs.twimg.com/media/FzoK5EgXwAI7Q1A.jpg</v>
      </c>
      <c r="AW2081" s="82" t="s">
        <v>14240</v>
      </c>
      <c r="AX2081" s="82" t="s">
        <v>14240</v>
      </c>
      <c r="AY2081" s="77"/>
      <c r="AZ2081" s="82" t="s">
        <v>15804</v>
      </c>
      <c r="BA2081" s="82" t="s">
        <v>15804</v>
      </c>
      <c r="BB2081" s="82" t="s">
        <v>15804</v>
      </c>
      <c r="BC2081" s="82" t="s">
        <v>14240</v>
      </c>
      <c r="BD2081" s="82" t="s">
        <v>16500</v>
      </c>
      <c r="BE2081" s="77"/>
      <c r="BF2081" s="77"/>
      <c r="BG2081" s="77"/>
      <c r="BH2081" s="77"/>
      <c r="BI2081" s="77"/>
    </row>
    <row r="2082" spans="1:61" x14ac:dyDescent="0.25">
      <c r="A2082" s="62" t="s">
        <v>860</v>
      </c>
      <c r="B2082" s="62" t="s">
        <v>860</v>
      </c>
      <c r="C2082" s="63"/>
      <c r="D2082" s="64"/>
      <c r="E2082" s="65"/>
      <c r="F2082" s="66"/>
      <c r="G2082" s="63"/>
      <c r="H2082" s="67"/>
      <c r="I2082" s="68"/>
      <c r="J2082" s="68"/>
      <c r="K2082" s="32"/>
      <c r="L2082" s="75">
        <v>2082</v>
      </c>
      <c r="M2082" s="75"/>
      <c r="N2082" s="70"/>
      <c r="O2082" s="77" t="s">
        <v>1133</v>
      </c>
      <c r="P2082" s="79">
        <v>45104.062638888892</v>
      </c>
      <c r="Q2082" s="77" t="s">
        <v>3129</v>
      </c>
      <c r="R2082" s="77">
        <v>0</v>
      </c>
      <c r="S2082" s="77">
        <v>2</v>
      </c>
      <c r="T2082" s="77">
        <v>0</v>
      </c>
      <c r="U2082" s="77">
        <v>1</v>
      </c>
      <c r="V2082" s="77">
        <v>1192</v>
      </c>
      <c r="W2082" s="82" t="s">
        <v>5398</v>
      </c>
      <c r="X2082" s="77"/>
      <c r="Y2082" s="77"/>
      <c r="Z2082" s="77" t="s">
        <v>860</v>
      </c>
      <c r="AA2082" s="77" t="s">
        <v>7278</v>
      </c>
      <c r="AB2082" s="77" t="s">
        <v>7696</v>
      </c>
      <c r="AC2082" s="82" t="s">
        <v>7707</v>
      </c>
      <c r="AD2082" s="77" t="s">
        <v>7745</v>
      </c>
      <c r="AE2082" s="80" t="str">
        <f>HYPERLINK("https://twitter.com/workshopdantas/status/1673503966548619264")</f>
        <v>https://twitter.com/workshopdantas/status/1673503966548619264</v>
      </c>
      <c r="AF2082" s="79">
        <v>45104.062638888892</v>
      </c>
      <c r="AG2082" s="85">
        <v>45104</v>
      </c>
      <c r="AH2082" s="82" t="s">
        <v>9615</v>
      </c>
      <c r="AI2082" s="77" t="b">
        <v>0</v>
      </c>
      <c r="AJ2082" s="77"/>
      <c r="AK2082" s="77"/>
      <c r="AL2082" s="77"/>
      <c r="AM2082" s="77"/>
      <c r="AN2082" s="77"/>
      <c r="AO2082" s="77"/>
      <c r="AP2082" s="77"/>
      <c r="AQ2082" s="77" t="s">
        <v>11785</v>
      </c>
      <c r="AR2082" s="77"/>
      <c r="AS2082" s="77"/>
      <c r="AT2082" s="77"/>
      <c r="AU2082" s="77"/>
      <c r="AV2082" s="80" t="str">
        <f>HYPERLINK("https://pbs.twimg.com/media/Fzl6-4UWcAAWWqo.jpg")</f>
        <v>https://pbs.twimg.com/media/Fzl6-4UWcAAWWqo.jpg</v>
      </c>
      <c r="AW2082" s="82" t="s">
        <v>14241</v>
      </c>
      <c r="AX2082" s="82" t="s">
        <v>14241</v>
      </c>
      <c r="AY2082" s="77"/>
      <c r="AZ2082" s="82" t="s">
        <v>15804</v>
      </c>
      <c r="BA2082" s="82" t="s">
        <v>15804</v>
      </c>
      <c r="BB2082" s="82" t="s">
        <v>15804</v>
      </c>
      <c r="BC2082" s="82" t="s">
        <v>14241</v>
      </c>
      <c r="BD2082" s="82" t="s">
        <v>16500</v>
      </c>
      <c r="BE2082" s="77"/>
      <c r="BF2082" s="77"/>
      <c r="BG2082" s="77"/>
      <c r="BH2082" s="77"/>
      <c r="BI2082" s="77"/>
    </row>
    <row r="2083" spans="1:61" x14ac:dyDescent="0.25">
      <c r="A2083" s="62" t="s">
        <v>860</v>
      </c>
      <c r="B2083" s="62" t="s">
        <v>860</v>
      </c>
      <c r="C2083" s="63"/>
      <c r="D2083" s="64"/>
      <c r="E2083" s="65"/>
      <c r="F2083" s="66"/>
      <c r="G2083" s="63"/>
      <c r="H2083" s="67"/>
      <c r="I2083" s="68"/>
      <c r="J2083" s="68"/>
      <c r="K2083" s="32"/>
      <c r="L2083" s="75">
        <v>2083</v>
      </c>
      <c r="M2083" s="75"/>
      <c r="N2083" s="70"/>
      <c r="O2083" s="77" t="s">
        <v>1133</v>
      </c>
      <c r="P2083" s="79">
        <v>45153.462916666664</v>
      </c>
      <c r="Q2083" s="77" t="s">
        <v>3130</v>
      </c>
      <c r="R2083" s="77">
        <v>0</v>
      </c>
      <c r="S2083" s="77">
        <v>0</v>
      </c>
      <c r="T2083" s="77">
        <v>0</v>
      </c>
      <c r="U2083" s="77">
        <v>0</v>
      </c>
      <c r="V2083" s="77">
        <v>66</v>
      </c>
      <c r="W2083" s="82" t="s">
        <v>5399</v>
      </c>
      <c r="X2083" s="77"/>
      <c r="Y2083" s="77"/>
      <c r="Z2083" s="77" t="s">
        <v>860</v>
      </c>
      <c r="AA2083" s="77" t="s">
        <v>7279</v>
      </c>
      <c r="AB2083" s="77" t="s">
        <v>7696</v>
      </c>
      <c r="AC2083" s="82" t="s">
        <v>7707</v>
      </c>
      <c r="AD2083" s="77" t="s">
        <v>7745</v>
      </c>
      <c r="AE2083" s="80" t="str">
        <f>HYPERLINK("https://twitter.com/workshopdantas/status/1691406026443046912")</f>
        <v>https://twitter.com/workshopdantas/status/1691406026443046912</v>
      </c>
      <c r="AF2083" s="79">
        <v>45153.462916666664</v>
      </c>
      <c r="AG2083" s="85">
        <v>45153</v>
      </c>
      <c r="AH2083" s="82" t="s">
        <v>9616</v>
      </c>
      <c r="AI2083" s="77" t="b">
        <v>0</v>
      </c>
      <c r="AJ2083" s="77"/>
      <c r="AK2083" s="77"/>
      <c r="AL2083" s="77"/>
      <c r="AM2083" s="77"/>
      <c r="AN2083" s="77"/>
      <c r="AO2083" s="77"/>
      <c r="AP2083" s="77"/>
      <c r="AQ2083" s="77" t="s">
        <v>11786</v>
      </c>
      <c r="AR2083" s="77"/>
      <c r="AS2083" s="77"/>
      <c r="AT2083" s="77"/>
      <c r="AU2083" s="77"/>
      <c r="AV2083" s="80" t="str">
        <f>HYPERLINK("https://pbs.twimg.com/media/F3kU0VWWUAA5nDy.jpg")</f>
        <v>https://pbs.twimg.com/media/F3kU0VWWUAA5nDy.jpg</v>
      </c>
      <c r="AW2083" s="82" t="s">
        <v>14242</v>
      </c>
      <c r="AX2083" s="82" t="s">
        <v>14242</v>
      </c>
      <c r="AY2083" s="77"/>
      <c r="AZ2083" s="82" t="s">
        <v>15804</v>
      </c>
      <c r="BA2083" s="82" t="s">
        <v>15804</v>
      </c>
      <c r="BB2083" s="82" t="s">
        <v>15804</v>
      </c>
      <c r="BC2083" s="82" t="s">
        <v>14242</v>
      </c>
      <c r="BD2083" s="82" t="s">
        <v>16500</v>
      </c>
      <c r="BE2083" s="77"/>
      <c r="BF2083" s="77"/>
      <c r="BG2083" s="77"/>
      <c r="BH2083" s="77"/>
      <c r="BI2083" s="77"/>
    </row>
    <row r="2084" spans="1:61" x14ac:dyDescent="0.25">
      <c r="A2084" s="62" t="s">
        <v>860</v>
      </c>
      <c r="B2084" s="62" t="s">
        <v>860</v>
      </c>
      <c r="C2084" s="63"/>
      <c r="D2084" s="64"/>
      <c r="E2084" s="65"/>
      <c r="F2084" s="66"/>
      <c r="G2084" s="63"/>
      <c r="H2084" s="67"/>
      <c r="I2084" s="68"/>
      <c r="J2084" s="68"/>
      <c r="K2084" s="32"/>
      <c r="L2084" s="75">
        <v>2084</v>
      </c>
      <c r="M2084" s="75"/>
      <c r="N2084" s="70"/>
      <c r="O2084" s="77" t="s">
        <v>1133</v>
      </c>
      <c r="P2084" s="79">
        <v>45152.88616898148</v>
      </c>
      <c r="Q2084" s="77" t="s">
        <v>3131</v>
      </c>
      <c r="R2084" s="77">
        <v>1</v>
      </c>
      <c r="S2084" s="77">
        <v>3</v>
      </c>
      <c r="T2084" s="77">
        <v>0</v>
      </c>
      <c r="U2084" s="77">
        <v>1</v>
      </c>
      <c r="V2084" s="77">
        <v>112</v>
      </c>
      <c r="W2084" s="82" t="s">
        <v>5400</v>
      </c>
      <c r="X2084" s="77"/>
      <c r="Y2084" s="77"/>
      <c r="Z2084" s="77" t="s">
        <v>860</v>
      </c>
      <c r="AA2084" s="77" t="s">
        <v>7280</v>
      </c>
      <c r="AB2084" s="77" t="s">
        <v>7696</v>
      </c>
      <c r="AC2084" s="82" t="s">
        <v>7707</v>
      </c>
      <c r="AD2084" s="77" t="s">
        <v>7745</v>
      </c>
      <c r="AE2084" s="80" t="str">
        <f>HYPERLINK("https://twitter.com/workshopdantas/status/1691197020650795009")</f>
        <v>https://twitter.com/workshopdantas/status/1691197020650795009</v>
      </c>
      <c r="AF2084" s="79">
        <v>45152.88616898148</v>
      </c>
      <c r="AG2084" s="85">
        <v>45152</v>
      </c>
      <c r="AH2084" s="82" t="s">
        <v>9617</v>
      </c>
      <c r="AI2084" s="77" t="b">
        <v>0</v>
      </c>
      <c r="AJ2084" s="77"/>
      <c r="AK2084" s="77"/>
      <c r="AL2084" s="77"/>
      <c r="AM2084" s="77"/>
      <c r="AN2084" s="77"/>
      <c r="AO2084" s="77"/>
      <c r="AP2084" s="77"/>
      <c r="AQ2084" s="77" t="s">
        <v>11787</v>
      </c>
      <c r="AR2084" s="77"/>
      <c r="AS2084" s="77"/>
      <c r="AT2084" s="77"/>
      <c r="AU2084" s="77"/>
      <c r="AV2084" s="80" t="str">
        <f>HYPERLINK("https://pbs.twimg.com/media/F3hWuRAXUAE7LuQ.jpg")</f>
        <v>https://pbs.twimg.com/media/F3hWuRAXUAE7LuQ.jpg</v>
      </c>
      <c r="AW2084" s="82" t="s">
        <v>14243</v>
      </c>
      <c r="AX2084" s="82" t="s">
        <v>14243</v>
      </c>
      <c r="AY2084" s="77"/>
      <c r="AZ2084" s="82" t="s">
        <v>15804</v>
      </c>
      <c r="BA2084" s="82" t="s">
        <v>15804</v>
      </c>
      <c r="BB2084" s="82" t="s">
        <v>15804</v>
      </c>
      <c r="BC2084" s="82" t="s">
        <v>14243</v>
      </c>
      <c r="BD2084" s="82" t="s">
        <v>16500</v>
      </c>
      <c r="BE2084" s="77"/>
      <c r="BF2084" s="77"/>
      <c r="BG2084" s="77"/>
      <c r="BH2084" s="77"/>
      <c r="BI2084" s="77"/>
    </row>
    <row r="2085" spans="1:61" x14ac:dyDescent="0.25">
      <c r="A2085" s="62" t="s">
        <v>860</v>
      </c>
      <c r="B2085" s="62" t="s">
        <v>860</v>
      </c>
      <c r="C2085" s="63"/>
      <c r="D2085" s="64"/>
      <c r="E2085" s="65"/>
      <c r="F2085" s="66"/>
      <c r="G2085" s="63"/>
      <c r="H2085" s="67"/>
      <c r="I2085" s="68"/>
      <c r="J2085" s="68"/>
      <c r="K2085" s="32"/>
      <c r="L2085" s="75">
        <v>2085</v>
      </c>
      <c r="M2085" s="75"/>
      <c r="N2085" s="70"/>
      <c r="O2085" s="77" t="s">
        <v>1133</v>
      </c>
      <c r="P2085" s="79">
        <v>45151.892476851855</v>
      </c>
      <c r="Q2085" s="77" t="s">
        <v>3132</v>
      </c>
      <c r="R2085" s="77">
        <v>0</v>
      </c>
      <c r="S2085" s="77">
        <v>1</v>
      </c>
      <c r="T2085" s="77">
        <v>1</v>
      </c>
      <c r="U2085" s="77">
        <v>0</v>
      </c>
      <c r="V2085" s="77">
        <v>19</v>
      </c>
      <c r="W2085" s="82" t="s">
        <v>5354</v>
      </c>
      <c r="X2085" s="77"/>
      <c r="Y2085" s="77"/>
      <c r="Z2085" s="77" t="s">
        <v>860</v>
      </c>
      <c r="AA2085" s="77" t="s">
        <v>7281</v>
      </c>
      <c r="AB2085" s="77" t="s">
        <v>7696</v>
      </c>
      <c r="AC2085" s="82" t="s">
        <v>7707</v>
      </c>
      <c r="AD2085" s="77" t="s">
        <v>7745</v>
      </c>
      <c r="AE2085" s="80" t="str">
        <f>HYPERLINK("https://twitter.com/workshopdantas/status/1690836920203403264")</f>
        <v>https://twitter.com/workshopdantas/status/1690836920203403264</v>
      </c>
      <c r="AF2085" s="79">
        <v>45151.892476851855</v>
      </c>
      <c r="AG2085" s="85">
        <v>45151</v>
      </c>
      <c r="AH2085" s="82" t="s">
        <v>9618</v>
      </c>
      <c r="AI2085" s="77" t="b">
        <v>0</v>
      </c>
      <c r="AJ2085" s="77"/>
      <c r="AK2085" s="77"/>
      <c r="AL2085" s="77"/>
      <c r="AM2085" s="77"/>
      <c r="AN2085" s="77"/>
      <c r="AO2085" s="77"/>
      <c r="AP2085" s="77"/>
      <c r="AQ2085" s="77" t="s">
        <v>11788</v>
      </c>
      <c r="AR2085" s="77"/>
      <c r="AS2085" s="77"/>
      <c r="AT2085" s="77"/>
      <c r="AU2085" s="77"/>
      <c r="AV2085" s="80" t="str">
        <f>HYPERLINK("https://pbs.twimg.com/media/F3cPNk_WcAIp2Sm.jpg")</f>
        <v>https://pbs.twimg.com/media/F3cPNk_WcAIp2Sm.jpg</v>
      </c>
      <c r="AW2085" s="82" t="s">
        <v>14244</v>
      </c>
      <c r="AX2085" s="82" t="s">
        <v>14244</v>
      </c>
      <c r="AY2085" s="77"/>
      <c r="AZ2085" s="82" t="s">
        <v>15804</v>
      </c>
      <c r="BA2085" s="82" t="s">
        <v>15804</v>
      </c>
      <c r="BB2085" s="82" t="s">
        <v>15804</v>
      </c>
      <c r="BC2085" s="82" t="s">
        <v>14244</v>
      </c>
      <c r="BD2085" s="82" t="s">
        <v>16500</v>
      </c>
      <c r="BE2085" s="77"/>
      <c r="BF2085" s="77"/>
      <c r="BG2085" s="77"/>
      <c r="BH2085" s="77"/>
      <c r="BI2085" s="77"/>
    </row>
    <row r="2086" spans="1:61" x14ac:dyDescent="0.25">
      <c r="A2086" s="62" t="s">
        <v>860</v>
      </c>
      <c r="B2086" s="62" t="s">
        <v>860</v>
      </c>
      <c r="C2086" s="63"/>
      <c r="D2086" s="64"/>
      <c r="E2086" s="65"/>
      <c r="F2086" s="66"/>
      <c r="G2086" s="63"/>
      <c r="H2086" s="67"/>
      <c r="I2086" s="68"/>
      <c r="J2086" s="68"/>
      <c r="K2086" s="32"/>
      <c r="L2086" s="75">
        <v>2086</v>
      </c>
      <c r="M2086" s="75"/>
      <c r="N2086" s="70"/>
      <c r="O2086" s="77" t="s">
        <v>1133</v>
      </c>
      <c r="P2086" s="79">
        <v>45145.499143518522</v>
      </c>
      <c r="Q2086" s="77" t="s">
        <v>3133</v>
      </c>
      <c r="R2086" s="77">
        <v>0</v>
      </c>
      <c r="S2086" s="77">
        <v>1</v>
      </c>
      <c r="T2086" s="77">
        <v>0</v>
      </c>
      <c r="U2086" s="77">
        <v>0</v>
      </c>
      <c r="V2086" s="77">
        <v>42</v>
      </c>
      <c r="W2086" s="82" t="s">
        <v>5401</v>
      </c>
      <c r="X2086" s="77"/>
      <c r="Y2086" s="77"/>
      <c r="Z2086" s="77" t="s">
        <v>860</v>
      </c>
      <c r="AA2086" s="77" t="s">
        <v>7282</v>
      </c>
      <c r="AB2086" s="77" t="s">
        <v>7696</v>
      </c>
      <c r="AC2086" s="82" t="s">
        <v>7707</v>
      </c>
      <c r="AD2086" s="77" t="s">
        <v>7745</v>
      </c>
      <c r="AE2086" s="80" t="str">
        <f>HYPERLINK("https://twitter.com/workshopdantas/status/1688520053862326272")</f>
        <v>https://twitter.com/workshopdantas/status/1688520053862326272</v>
      </c>
      <c r="AF2086" s="79">
        <v>45145.499143518522</v>
      </c>
      <c r="AG2086" s="85">
        <v>45145</v>
      </c>
      <c r="AH2086" s="82" t="s">
        <v>9619</v>
      </c>
      <c r="AI2086" s="77" t="b">
        <v>0</v>
      </c>
      <c r="AJ2086" s="77"/>
      <c r="AK2086" s="77"/>
      <c r="AL2086" s="77"/>
      <c r="AM2086" s="77"/>
      <c r="AN2086" s="77"/>
      <c r="AO2086" s="77"/>
      <c r="AP2086" s="77"/>
      <c r="AQ2086" s="77" t="s">
        <v>11789</v>
      </c>
      <c r="AR2086" s="77"/>
      <c r="AS2086" s="77"/>
      <c r="AT2086" s="77"/>
      <c r="AU2086" s="77"/>
      <c r="AV2086" s="80" t="str">
        <f>HYPERLINK("https://pbs.twimg.com/media/F27UCmLXsAAGT9W.jpg")</f>
        <v>https://pbs.twimg.com/media/F27UCmLXsAAGT9W.jpg</v>
      </c>
      <c r="AW2086" s="82" t="s">
        <v>14245</v>
      </c>
      <c r="AX2086" s="82" t="s">
        <v>14245</v>
      </c>
      <c r="AY2086" s="77"/>
      <c r="AZ2086" s="82" t="s">
        <v>15804</v>
      </c>
      <c r="BA2086" s="82" t="s">
        <v>15804</v>
      </c>
      <c r="BB2086" s="82" t="s">
        <v>15804</v>
      </c>
      <c r="BC2086" s="82" t="s">
        <v>14245</v>
      </c>
      <c r="BD2086" s="82" t="s">
        <v>16500</v>
      </c>
      <c r="BE2086" s="77"/>
      <c r="BF2086" s="77"/>
      <c r="BG2086" s="77"/>
      <c r="BH2086" s="77"/>
      <c r="BI2086" s="77"/>
    </row>
    <row r="2087" spans="1:61" x14ac:dyDescent="0.25">
      <c r="A2087" s="62" t="s">
        <v>860</v>
      </c>
      <c r="B2087" s="62" t="s">
        <v>860</v>
      </c>
      <c r="C2087" s="63"/>
      <c r="D2087" s="64"/>
      <c r="E2087" s="65"/>
      <c r="F2087" s="66"/>
      <c r="G2087" s="63"/>
      <c r="H2087" s="67"/>
      <c r="I2087" s="68"/>
      <c r="J2087" s="68"/>
      <c r="K2087" s="32"/>
      <c r="L2087" s="75">
        <v>2087</v>
      </c>
      <c r="M2087" s="75"/>
      <c r="N2087" s="70"/>
      <c r="O2087" s="77" t="s">
        <v>1133</v>
      </c>
      <c r="P2087" s="79">
        <v>45139.490671296298</v>
      </c>
      <c r="Q2087" s="77" t="s">
        <v>3134</v>
      </c>
      <c r="R2087" s="77">
        <v>0</v>
      </c>
      <c r="S2087" s="77">
        <v>2</v>
      </c>
      <c r="T2087" s="77">
        <v>0</v>
      </c>
      <c r="U2087" s="77">
        <v>0</v>
      </c>
      <c r="V2087" s="77">
        <v>77</v>
      </c>
      <c r="W2087" s="82" t="s">
        <v>5402</v>
      </c>
      <c r="X2087" s="77"/>
      <c r="Y2087" s="77"/>
      <c r="Z2087" s="77" t="s">
        <v>860</v>
      </c>
      <c r="AA2087" s="77" t="s">
        <v>7283</v>
      </c>
      <c r="AB2087" s="77" t="s">
        <v>7696</v>
      </c>
      <c r="AC2087" s="82" t="s">
        <v>7707</v>
      </c>
      <c r="AD2087" s="77" t="s">
        <v>7745</v>
      </c>
      <c r="AE2087" s="80" t="str">
        <f>HYPERLINK("https://twitter.com/workshopdantas/status/1686342654907334656")</f>
        <v>https://twitter.com/workshopdantas/status/1686342654907334656</v>
      </c>
      <c r="AF2087" s="79">
        <v>45139.490671296298</v>
      </c>
      <c r="AG2087" s="85">
        <v>45139</v>
      </c>
      <c r="AH2087" s="82" t="s">
        <v>9620</v>
      </c>
      <c r="AI2087" s="77" t="b">
        <v>0</v>
      </c>
      <c r="AJ2087" s="77"/>
      <c r="AK2087" s="77"/>
      <c r="AL2087" s="77"/>
      <c r="AM2087" s="77"/>
      <c r="AN2087" s="77"/>
      <c r="AO2087" s="77"/>
      <c r="AP2087" s="77"/>
      <c r="AQ2087" s="77" t="s">
        <v>11790</v>
      </c>
      <c r="AR2087" s="77"/>
      <c r="AS2087" s="77"/>
      <c r="AT2087" s="77"/>
      <c r="AU2087" s="77"/>
      <c r="AV2087" s="80" t="str">
        <f>HYPERLINK("https://pbs.twimg.com/media/F2cXtRaWUAAhdOr.jpg")</f>
        <v>https://pbs.twimg.com/media/F2cXtRaWUAAhdOr.jpg</v>
      </c>
      <c r="AW2087" s="82" t="s">
        <v>14246</v>
      </c>
      <c r="AX2087" s="82" t="s">
        <v>14246</v>
      </c>
      <c r="AY2087" s="77"/>
      <c r="AZ2087" s="82" t="s">
        <v>15804</v>
      </c>
      <c r="BA2087" s="82" t="s">
        <v>15804</v>
      </c>
      <c r="BB2087" s="82" t="s">
        <v>15804</v>
      </c>
      <c r="BC2087" s="82" t="s">
        <v>14246</v>
      </c>
      <c r="BD2087" s="82" t="s">
        <v>16500</v>
      </c>
      <c r="BE2087" s="77"/>
      <c r="BF2087" s="77"/>
      <c r="BG2087" s="77"/>
      <c r="BH2087" s="77"/>
      <c r="BI2087" s="77"/>
    </row>
    <row r="2088" spans="1:61" x14ac:dyDescent="0.25">
      <c r="A2088" s="62" t="s">
        <v>860</v>
      </c>
      <c r="B2088" s="62" t="s">
        <v>860</v>
      </c>
      <c r="C2088" s="63"/>
      <c r="D2088" s="64"/>
      <c r="E2088" s="65"/>
      <c r="F2088" s="66"/>
      <c r="G2088" s="63"/>
      <c r="H2088" s="67"/>
      <c r="I2088" s="68"/>
      <c r="J2088" s="68"/>
      <c r="K2088" s="32"/>
      <c r="L2088" s="75">
        <v>2088</v>
      </c>
      <c r="M2088" s="75"/>
      <c r="N2088" s="70"/>
      <c r="O2088" s="77" t="s">
        <v>1133</v>
      </c>
      <c r="P2088" s="79">
        <v>45129.51189814815</v>
      </c>
      <c r="Q2088" s="77" t="s">
        <v>3135</v>
      </c>
      <c r="R2088" s="77">
        <v>0</v>
      </c>
      <c r="S2088" s="77">
        <v>1</v>
      </c>
      <c r="T2088" s="77">
        <v>0</v>
      </c>
      <c r="U2088" s="77">
        <v>0</v>
      </c>
      <c r="V2088" s="77">
        <v>62</v>
      </c>
      <c r="W2088" s="82" t="s">
        <v>5403</v>
      </c>
      <c r="X2088" s="77"/>
      <c r="Y2088" s="77"/>
      <c r="Z2088" s="77" t="s">
        <v>860</v>
      </c>
      <c r="AA2088" s="77" t="s">
        <v>7284</v>
      </c>
      <c r="AB2088" s="77" t="s">
        <v>7696</v>
      </c>
      <c r="AC2088" s="82" t="s">
        <v>7707</v>
      </c>
      <c r="AD2088" s="77" t="s">
        <v>7745</v>
      </c>
      <c r="AE2088" s="80" t="str">
        <f>HYPERLINK("https://twitter.com/workshopdantas/status/1682726469099745280")</f>
        <v>https://twitter.com/workshopdantas/status/1682726469099745280</v>
      </c>
      <c r="AF2088" s="79">
        <v>45129.51189814815</v>
      </c>
      <c r="AG2088" s="85">
        <v>45129</v>
      </c>
      <c r="AH2088" s="82" t="s">
        <v>9621</v>
      </c>
      <c r="AI2088" s="77" t="b">
        <v>0</v>
      </c>
      <c r="AJ2088" s="77"/>
      <c r="AK2088" s="77"/>
      <c r="AL2088" s="77"/>
      <c r="AM2088" s="77"/>
      <c r="AN2088" s="77"/>
      <c r="AO2088" s="77"/>
      <c r="AP2088" s="77"/>
      <c r="AQ2088" s="77" t="s">
        <v>11791</v>
      </c>
      <c r="AR2088" s="77"/>
      <c r="AS2088" s="77"/>
      <c r="AT2088" s="77"/>
      <c r="AU2088" s="77"/>
      <c r="AV2088" s="80" t="str">
        <f>HYPERLINK("https://pbs.twimg.com/media/F1o-zhCWcAAz-7f.jpg")</f>
        <v>https://pbs.twimg.com/media/F1o-zhCWcAAz-7f.jpg</v>
      </c>
      <c r="AW2088" s="82" t="s">
        <v>14247</v>
      </c>
      <c r="AX2088" s="82" t="s">
        <v>14247</v>
      </c>
      <c r="AY2088" s="77"/>
      <c r="AZ2088" s="82" t="s">
        <v>15804</v>
      </c>
      <c r="BA2088" s="82" t="s">
        <v>15804</v>
      </c>
      <c r="BB2088" s="82" t="s">
        <v>15804</v>
      </c>
      <c r="BC2088" s="82" t="s">
        <v>14247</v>
      </c>
      <c r="BD2088" s="82" t="s">
        <v>16500</v>
      </c>
      <c r="BE2088" s="77"/>
      <c r="BF2088" s="77"/>
      <c r="BG2088" s="77"/>
      <c r="BH2088" s="77"/>
      <c r="BI2088" s="77"/>
    </row>
    <row r="2089" spans="1:61" x14ac:dyDescent="0.25">
      <c r="A2089" s="62" t="s">
        <v>860</v>
      </c>
      <c r="B2089" s="62" t="s">
        <v>860</v>
      </c>
      <c r="C2089" s="63"/>
      <c r="D2089" s="64"/>
      <c r="E2089" s="65"/>
      <c r="F2089" s="66"/>
      <c r="G2089" s="63"/>
      <c r="H2089" s="67"/>
      <c r="I2089" s="68"/>
      <c r="J2089" s="68"/>
      <c r="K2089" s="32"/>
      <c r="L2089" s="75">
        <v>2089</v>
      </c>
      <c r="M2089" s="75"/>
      <c r="N2089" s="70"/>
      <c r="O2089" s="77" t="s">
        <v>1133</v>
      </c>
      <c r="P2089" s="79">
        <v>45128.512986111113</v>
      </c>
      <c r="Q2089" s="77" t="s">
        <v>3136</v>
      </c>
      <c r="R2089" s="77">
        <v>0</v>
      </c>
      <c r="S2089" s="77">
        <v>0</v>
      </c>
      <c r="T2089" s="77">
        <v>0</v>
      </c>
      <c r="U2089" s="77">
        <v>0</v>
      </c>
      <c r="V2089" s="77">
        <v>42</v>
      </c>
      <c r="W2089" s="82" t="s">
        <v>5404</v>
      </c>
      <c r="X2089" s="77"/>
      <c r="Y2089" s="77"/>
      <c r="Z2089" s="77" t="s">
        <v>860</v>
      </c>
      <c r="AA2089" s="77" t="s">
        <v>7285</v>
      </c>
      <c r="AB2089" s="77" t="s">
        <v>7696</v>
      </c>
      <c r="AC2089" s="82" t="s">
        <v>7707</v>
      </c>
      <c r="AD2089" s="77" t="s">
        <v>7745</v>
      </c>
      <c r="AE2089" s="80" t="str">
        <f>HYPERLINK("https://twitter.com/workshopdantas/status/1682364474139844612")</f>
        <v>https://twitter.com/workshopdantas/status/1682364474139844612</v>
      </c>
      <c r="AF2089" s="79">
        <v>45128.512986111113</v>
      </c>
      <c r="AG2089" s="85">
        <v>45128</v>
      </c>
      <c r="AH2089" s="82" t="s">
        <v>9622</v>
      </c>
      <c r="AI2089" s="77" t="b">
        <v>0</v>
      </c>
      <c r="AJ2089" s="77"/>
      <c r="AK2089" s="77"/>
      <c r="AL2089" s="77"/>
      <c r="AM2089" s="77"/>
      <c r="AN2089" s="77"/>
      <c r="AO2089" s="77"/>
      <c r="AP2089" s="77"/>
      <c r="AQ2089" s="77" t="s">
        <v>11792</v>
      </c>
      <c r="AR2089" s="77"/>
      <c r="AS2089" s="77"/>
      <c r="AT2089" s="77"/>
      <c r="AU2089" s="77"/>
      <c r="AV2089" s="80" t="str">
        <f>HYPERLINK("https://pbs.twimg.com/media/F1j1kr7XgAAPksI.jpg")</f>
        <v>https://pbs.twimg.com/media/F1j1kr7XgAAPksI.jpg</v>
      </c>
      <c r="AW2089" s="82" t="s">
        <v>14248</v>
      </c>
      <c r="AX2089" s="82" t="s">
        <v>14248</v>
      </c>
      <c r="AY2089" s="77"/>
      <c r="AZ2089" s="82" t="s">
        <v>15804</v>
      </c>
      <c r="BA2089" s="82" t="s">
        <v>15804</v>
      </c>
      <c r="BB2089" s="82" t="s">
        <v>15804</v>
      </c>
      <c r="BC2089" s="82" t="s">
        <v>14248</v>
      </c>
      <c r="BD2089" s="82" t="s">
        <v>16500</v>
      </c>
      <c r="BE2089" s="77"/>
      <c r="BF2089" s="77"/>
      <c r="BG2089" s="77"/>
      <c r="BH2089" s="77"/>
      <c r="BI2089" s="77"/>
    </row>
    <row r="2090" spans="1:61" x14ac:dyDescent="0.25">
      <c r="A2090" s="62" t="s">
        <v>860</v>
      </c>
      <c r="B2090" s="62" t="s">
        <v>860</v>
      </c>
      <c r="C2090" s="63"/>
      <c r="D2090" s="64"/>
      <c r="E2090" s="65"/>
      <c r="F2090" s="66"/>
      <c r="G2090" s="63"/>
      <c r="H2090" s="67"/>
      <c r="I2090" s="68"/>
      <c r="J2090" s="68"/>
      <c r="K2090" s="32"/>
      <c r="L2090" s="75">
        <v>2090</v>
      </c>
      <c r="M2090" s="75"/>
      <c r="N2090" s="70"/>
      <c r="O2090" s="77" t="s">
        <v>1133</v>
      </c>
      <c r="P2090" s="79">
        <v>45117.702488425923</v>
      </c>
      <c r="Q2090" s="77" t="s">
        <v>3137</v>
      </c>
      <c r="R2090" s="77">
        <v>1</v>
      </c>
      <c r="S2090" s="77">
        <v>4</v>
      </c>
      <c r="T2090" s="77">
        <v>2</v>
      </c>
      <c r="U2090" s="77">
        <v>0</v>
      </c>
      <c r="V2090" s="77">
        <v>735</v>
      </c>
      <c r="W2090" s="82" t="s">
        <v>5405</v>
      </c>
      <c r="X2090" s="77"/>
      <c r="Y2090" s="77"/>
      <c r="Z2090" s="77" t="s">
        <v>860</v>
      </c>
      <c r="AA2090" s="77" t="s">
        <v>7286</v>
      </c>
      <c r="AB2090" s="77" t="s">
        <v>7696</v>
      </c>
      <c r="AC2090" s="82" t="s">
        <v>7707</v>
      </c>
      <c r="AD2090" s="77" t="s">
        <v>7745</v>
      </c>
      <c r="AE2090" s="80" t="str">
        <f>HYPERLINK("https://twitter.com/workshopdantas/status/1678446881465147429")</f>
        <v>https://twitter.com/workshopdantas/status/1678446881465147429</v>
      </c>
      <c r="AF2090" s="79">
        <v>45117.702488425923</v>
      </c>
      <c r="AG2090" s="85">
        <v>45117</v>
      </c>
      <c r="AH2090" s="82" t="s">
        <v>9623</v>
      </c>
      <c r="AI2090" s="77" t="b">
        <v>0</v>
      </c>
      <c r="AJ2090" s="77"/>
      <c r="AK2090" s="77"/>
      <c r="AL2090" s="77"/>
      <c r="AM2090" s="77"/>
      <c r="AN2090" s="77"/>
      <c r="AO2090" s="77"/>
      <c r="AP2090" s="77"/>
      <c r="AQ2090" s="77" t="s">
        <v>11793</v>
      </c>
      <c r="AR2090" s="77"/>
      <c r="AS2090" s="77"/>
      <c r="AT2090" s="77"/>
      <c r="AU2090" s="77"/>
      <c r="AV2090" s="80" t="str">
        <f>HYPERLINK("https://pbs.twimg.com/media/F0sKijNXoAATLUe.jpg")</f>
        <v>https://pbs.twimg.com/media/F0sKijNXoAATLUe.jpg</v>
      </c>
      <c r="AW2090" s="82" t="s">
        <v>14249</v>
      </c>
      <c r="AX2090" s="82" t="s">
        <v>14249</v>
      </c>
      <c r="AY2090" s="77"/>
      <c r="AZ2090" s="82" t="s">
        <v>15804</v>
      </c>
      <c r="BA2090" s="82" t="s">
        <v>15804</v>
      </c>
      <c r="BB2090" s="82" t="s">
        <v>15804</v>
      </c>
      <c r="BC2090" s="82" t="s">
        <v>14249</v>
      </c>
      <c r="BD2090" s="82" t="s">
        <v>16500</v>
      </c>
      <c r="BE2090" s="77"/>
      <c r="BF2090" s="77"/>
      <c r="BG2090" s="77"/>
      <c r="BH2090" s="77"/>
      <c r="BI2090" s="77"/>
    </row>
    <row r="2091" spans="1:61" x14ac:dyDescent="0.25">
      <c r="A2091" s="62" t="s">
        <v>860</v>
      </c>
      <c r="B2091" s="62" t="s">
        <v>860</v>
      </c>
      <c r="C2091" s="63"/>
      <c r="D2091" s="64"/>
      <c r="E2091" s="65"/>
      <c r="F2091" s="66"/>
      <c r="G2091" s="63"/>
      <c r="H2091" s="67"/>
      <c r="I2091" s="68"/>
      <c r="J2091" s="68"/>
      <c r="K2091" s="32"/>
      <c r="L2091" s="75">
        <v>2091</v>
      </c>
      <c r="M2091" s="75"/>
      <c r="N2091" s="70"/>
      <c r="O2091" s="77" t="s">
        <v>1133</v>
      </c>
      <c r="P2091" s="79">
        <v>45096.53334490741</v>
      </c>
      <c r="Q2091" s="77" t="s">
        <v>3138</v>
      </c>
      <c r="R2091" s="77">
        <v>0</v>
      </c>
      <c r="S2091" s="77">
        <v>0</v>
      </c>
      <c r="T2091" s="77">
        <v>0</v>
      </c>
      <c r="U2091" s="77">
        <v>0</v>
      </c>
      <c r="V2091" s="77">
        <v>641</v>
      </c>
      <c r="W2091" s="82" t="s">
        <v>5406</v>
      </c>
      <c r="X2091" s="77"/>
      <c r="Y2091" s="77"/>
      <c r="Z2091" s="77" t="s">
        <v>860</v>
      </c>
      <c r="AA2091" s="77" t="s">
        <v>7287</v>
      </c>
      <c r="AB2091" s="77" t="s">
        <v>7696</v>
      </c>
      <c r="AC2091" s="82" t="s">
        <v>7707</v>
      </c>
      <c r="AD2091" s="77" t="s">
        <v>7745</v>
      </c>
      <c r="AE2091" s="80" t="str">
        <f>HYPERLINK("https://twitter.com/workshopdantas/status/1670775441102184449")</f>
        <v>https://twitter.com/workshopdantas/status/1670775441102184449</v>
      </c>
      <c r="AF2091" s="79">
        <v>45096.53334490741</v>
      </c>
      <c r="AG2091" s="85">
        <v>45096</v>
      </c>
      <c r="AH2091" s="82" t="s">
        <v>9624</v>
      </c>
      <c r="AI2091" s="77" t="b">
        <v>0</v>
      </c>
      <c r="AJ2091" s="77"/>
      <c r="AK2091" s="77"/>
      <c r="AL2091" s="77"/>
      <c r="AM2091" s="77"/>
      <c r="AN2091" s="77"/>
      <c r="AO2091" s="77"/>
      <c r="AP2091" s="77"/>
      <c r="AQ2091" s="77" t="s">
        <v>11794</v>
      </c>
      <c r="AR2091" s="77"/>
      <c r="AS2091" s="77"/>
      <c r="AT2091" s="77"/>
      <c r="AU2091" s="77"/>
      <c r="AV2091" s="80" t="str">
        <f>HYPERLINK("https://pbs.twimg.com/media/Fy_JaLFWcAAWGjX.jpg")</f>
        <v>https://pbs.twimg.com/media/Fy_JaLFWcAAWGjX.jpg</v>
      </c>
      <c r="AW2091" s="82" t="s">
        <v>14250</v>
      </c>
      <c r="AX2091" s="82" t="s">
        <v>14250</v>
      </c>
      <c r="AY2091" s="77"/>
      <c r="AZ2091" s="82" t="s">
        <v>15804</v>
      </c>
      <c r="BA2091" s="82" t="s">
        <v>15804</v>
      </c>
      <c r="BB2091" s="82" t="s">
        <v>15804</v>
      </c>
      <c r="BC2091" s="82" t="s">
        <v>14250</v>
      </c>
      <c r="BD2091" s="82" t="s">
        <v>16500</v>
      </c>
      <c r="BE2091" s="77"/>
      <c r="BF2091" s="77"/>
      <c r="BG2091" s="77"/>
      <c r="BH2091" s="77"/>
      <c r="BI2091" s="77"/>
    </row>
    <row r="2092" spans="1:61" x14ac:dyDescent="0.25">
      <c r="A2092" s="62" t="s">
        <v>860</v>
      </c>
      <c r="B2092" s="62" t="s">
        <v>860</v>
      </c>
      <c r="C2092" s="63"/>
      <c r="D2092" s="64"/>
      <c r="E2092" s="65"/>
      <c r="F2092" s="66"/>
      <c r="G2092" s="63"/>
      <c r="H2092" s="67"/>
      <c r="I2092" s="68"/>
      <c r="J2092" s="68"/>
      <c r="K2092" s="32"/>
      <c r="L2092" s="75">
        <v>2092</v>
      </c>
      <c r="M2092" s="75"/>
      <c r="N2092" s="70"/>
      <c r="O2092" s="77" t="s">
        <v>1133</v>
      </c>
      <c r="P2092" s="79">
        <v>45095.434756944444</v>
      </c>
      <c r="Q2092" s="77" t="s">
        <v>3139</v>
      </c>
      <c r="R2092" s="77">
        <v>0</v>
      </c>
      <c r="S2092" s="77">
        <v>0</v>
      </c>
      <c r="T2092" s="77">
        <v>0</v>
      </c>
      <c r="U2092" s="77">
        <v>0</v>
      </c>
      <c r="V2092" s="77">
        <v>48</v>
      </c>
      <c r="W2092" s="82" t="s">
        <v>5407</v>
      </c>
      <c r="X2092" s="77"/>
      <c r="Y2092" s="77"/>
      <c r="Z2092" s="77" t="s">
        <v>860</v>
      </c>
      <c r="AA2092" s="77" t="s">
        <v>7288</v>
      </c>
      <c r="AB2092" s="77" t="s">
        <v>7696</v>
      </c>
      <c r="AC2092" s="82" t="s">
        <v>7707</v>
      </c>
      <c r="AD2092" s="77" t="s">
        <v>7745</v>
      </c>
      <c r="AE2092" s="80" t="str">
        <f>HYPERLINK("https://twitter.com/workshopdantas/status/1670377326977388546")</f>
        <v>https://twitter.com/workshopdantas/status/1670377326977388546</v>
      </c>
      <c r="AF2092" s="79">
        <v>45095.434756944444</v>
      </c>
      <c r="AG2092" s="85">
        <v>45095</v>
      </c>
      <c r="AH2092" s="82" t="s">
        <v>9414</v>
      </c>
      <c r="AI2092" s="77" t="b">
        <v>0</v>
      </c>
      <c r="AJ2092" s="77"/>
      <c r="AK2092" s="77"/>
      <c r="AL2092" s="77"/>
      <c r="AM2092" s="77"/>
      <c r="AN2092" s="77"/>
      <c r="AO2092" s="77"/>
      <c r="AP2092" s="77"/>
      <c r="AQ2092" s="77" t="s">
        <v>11795</v>
      </c>
      <c r="AR2092" s="77"/>
      <c r="AS2092" s="77"/>
      <c r="AT2092" s="77"/>
      <c r="AU2092" s="77"/>
      <c r="AV2092" s="80" t="str">
        <f>HYPERLINK("https://pbs.twimg.com/media/Fy5fU4nXwAIEtjP.jpg")</f>
        <v>https://pbs.twimg.com/media/Fy5fU4nXwAIEtjP.jpg</v>
      </c>
      <c r="AW2092" s="82" t="s">
        <v>14251</v>
      </c>
      <c r="AX2092" s="82" t="s">
        <v>14251</v>
      </c>
      <c r="AY2092" s="77"/>
      <c r="AZ2092" s="82" t="s">
        <v>15804</v>
      </c>
      <c r="BA2092" s="82" t="s">
        <v>15804</v>
      </c>
      <c r="BB2092" s="82" t="s">
        <v>15804</v>
      </c>
      <c r="BC2092" s="82" t="s">
        <v>14251</v>
      </c>
      <c r="BD2092" s="82" t="s">
        <v>16500</v>
      </c>
      <c r="BE2092" s="77"/>
      <c r="BF2092" s="77"/>
      <c r="BG2092" s="77"/>
      <c r="BH2092" s="77"/>
      <c r="BI2092" s="77"/>
    </row>
    <row r="2093" spans="1:61" x14ac:dyDescent="0.25">
      <c r="A2093" s="62" t="s">
        <v>860</v>
      </c>
      <c r="B2093" s="62" t="s">
        <v>860</v>
      </c>
      <c r="C2093" s="63"/>
      <c r="D2093" s="64"/>
      <c r="E2093" s="65"/>
      <c r="F2093" s="66"/>
      <c r="G2093" s="63"/>
      <c r="H2093" s="67"/>
      <c r="I2093" s="68"/>
      <c r="J2093" s="68"/>
      <c r="K2093" s="32"/>
      <c r="L2093" s="75">
        <v>2093</v>
      </c>
      <c r="M2093" s="75"/>
      <c r="N2093" s="70"/>
      <c r="O2093" s="77" t="s">
        <v>1133</v>
      </c>
      <c r="P2093" s="79">
        <v>45094.748749999999</v>
      </c>
      <c r="Q2093" s="77" t="s">
        <v>3140</v>
      </c>
      <c r="R2093" s="77">
        <v>0</v>
      </c>
      <c r="S2093" s="77">
        <v>0</v>
      </c>
      <c r="T2093" s="77">
        <v>0</v>
      </c>
      <c r="U2093" s="77">
        <v>0</v>
      </c>
      <c r="V2093" s="77">
        <v>55</v>
      </c>
      <c r="W2093" s="82" t="s">
        <v>5408</v>
      </c>
      <c r="X2093" s="77"/>
      <c r="Y2093" s="77"/>
      <c r="Z2093" s="77" t="s">
        <v>860</v>
      </c>
      <c r="AA2093" s="77" t="s">
        <v>7289</v>
      </c>
      <c r="AB2093" s="77" t="s">
        <v>7696</v>
      </c>
      <c r="AC2093" s="82" t="s">
        <v>7707</v>
      </c>
      <c r="AD2093" s="77" t="s">
        <v>7745</v>
      </c>
      <c r="AE2093" s="80" t="str">
        <f>HYPERLINK("https://twitter.com/workshopdantas/status/1670128727974346754")</f>
        <v>https://twitter.com/workshopdantas/status/1670128727974346754</v>
      </c>
      <c r="AF2093" s="79">
        <v>45094.748749999999</v>
      </c>
      <c r="AG2093" s="85">
        <v>45094</v>
      </c>
      <c r="AH2093" s="82" t="s">
        <v>9625</v>
      </c>
      <c r="AI2093" s="77" t="b">
        <v>0</v>
      </c>
      <c r="AJ2093" s="77"/>
      <c r="AK2093" s="77"/>
      <c r="AL2093" s="77"/>
      <c r="AM2093" s="77"/>
      <c r="AN2093" s="77"/>
      <c r="AO2093" s="77"/>
      <c r="AP2093" s="77"/>
      <c r="AQ2093" s="77" t="s">
        <v>11796</v>
      </c>
      <c r="AR2093" s="77"/>
      <c r="AS2093" s="77"/>
      <c r="AT2093" s="77"/>
      <c r="AU2093" s="77"/>
      <c r="AV2093" s="80" t="str">
        <f>HYPERLINK("https://pbs.twimg.com/media/Fy19Oh0XwAEUNxz.jpg")</f>
        <v>https://pbs.twimg.com/media/Fy19Oh0XwAEUNxz.jpg</v>
      </c>
      <c r="AW2093" s="82" t="s">
        <v>14252</v>
      </c>
      <c r="AX2093" s="82" t="s">
        <v>14252</v>
      </c>
      <c r="AY2093" s="77"/>
      <c r="AZ2093" s="82" t="s">
        <v>15804</v>
      </c>
      <c r="BA2093" s="82" t="s">
        <v>15804</v>
      </c>
      <c r="BB2093" s="82" t="s">
        <v>15804</v>
      </c>
      <c r="BC2093" s="82" t="s">
        <v>14252</v>
      </c>
      <c r="BD2093" s="82" t="s">
        <v>16500</v>
      </c>
      <c r="BE2093" s="77"/>
      <c r="BF2093" s="77"/>
      <c r="BG2093" s="77"/>
      <c r="BH2093" s="77"/>
      <c r="BI2093" s="77"/>
    </row>
    <row r="2094" spans="1:61" x14ac:dyDescent="0.25">
      <c r="A2094" s="62" t="s">
        <v>860</v>
      </c>
      <c r="B2094" s="62" t="s">
        <v>860</v>
      </c>
      <c r="C2094" s="63"/>
      <c r="D2094" s="64"/>
      <c r="E2094" s="65"/>
      <c r="F2094" s="66"/>
      <c r="G2094" s="63"/>
      <c r="H2094" s="67"/>
      <c r="I2094" s="68"/>
      <c r="J2094" s="68"/>
      <c r="K2094" s="32"/>
      <c r="L2094" s="75">
        <v>2094</v>
      </c>
      <c r="M2094" s="75"/>
      <c r="N2094" s="70"/>
      <c r="O2094" s="77" t="s">
        <v>1133</v>
      </c>
      <c r="P2094" s="79">
        <v>45180.637766203705</v>
      </c>
      <c r="Q2094" s="77" t="s">
        <v>3141</v>
      </c>
      <c r="R2094" s="77">
        <v>0</v>
      </c>
      <c r="S2094" s="77">
        <v>0</v>
      </c>
      <c r="T2094" s="77">
        <v>0</v>
      </c>
      <c r="U2094" s="77">
        <v>0</v>
      </c>
      <c r="V2094" s="77">
        <v>50</v>
      </c>
      <c r="W2094" s="82" t="s">
        <v>5409</v>
      </c>
      <c r="X2094" s="77"/>
      <c r="Y2094" s="77"/>
      <c r="Z2094" s="77" t="s">
        <v>860</v>
      </c>
      <c r="AA2094" s="77" t="s">
        <v>7290</v>
      </c>
      <c r="AB2094" s="77" t="s">
        <v>7696</v>
      </c>
      <c r="AC2094" s="82" t="s">
        <v>7707</v>
      </c>
      <c r="AD2094" s="77" t="s">
        <v>7745</v>
      </c>
      <c r="AE2094" s="80" t="str">
        <f>HYPERLINK("https://twitter.com/workshopdantas/status/1701253862164681160")</f>
        <v>https://twitter.com/workshopdantas/status/1701253862164681160</v>
      </c>
      <c r="AF2094" s="79">
        <v>45180.637766203705</v>
      </c>
      <c r="AG2094" s="85">
        <v>45180</v>
      </c>
      <c r="AH2094" s="82" t="s">
        <v>9626</v>
      </c>
      <c r="AI2094" s="77" t="b">
        <v>0</v>
      </c>
      <c r="AJ2094" s="77"/>
      <c r="AK2094" s="77"/>
      <c r="AL2094" s="77"/>
      <c r="AM2094" s="77"/>
      <c r="AN2094" s="77"/>
      <c r="AO2094" s="77"/>
      <c r="AP2094" s="77"/>
      <c r="AQ2094" s="77" t="s">
        <v>11797</v>
      </c>
      <c r="AR2094" s="77"/>
      <c r="AS2094" s="77"/>
      <c r="AT2094" s="77"/>
      <c r="AU2094" s="77"/>
      <c r="AV2094" s="80" t="str">
        <f>HYPERLINK("https://pbs.twimg.com/media/F5wRX0UWUAAzjhO.jpg")</f>
        <v>https://pbs.twimg.com/media/F5wRX0UWUAAzjhO.jpg</v>
      </c>
      <c r="AW2094" s="82" t="s">
        <v>14253</v>
      </c>
      <c r="AX2094" s="82" t="s">
        <v>14253</v>
      </c>
      <c r="AY2094" s="77"/>
      <c r="AZ2094" s="82" t="s">
        <v>15804</v>
      </c>
      <c r="BA2094" s="82" t="s">
        <v>15804</v>
      </c>
      <c r="BB2094" s="82" t="s">
        <v>15804</v>
      </c>
      <c r="BC2094" s="82" t="s">
        <v>14253</v>
      </c>
      <c r="BD2094" s="82" t="s">
        <v>16500</v>
      </c>
      <c r="BE2094" s="77"/>
      <c r="BF2094" s="77"/>
      <c r="BG2094" s="77"/>
      <c r="BH2094" s="77"/>
      <c r="BI2094" s="77"/>
    </row>
    <row r="2095" spans="1:61" x14ac:dyDescent="0.25">
      <c r="A2095" s="62" t="s">
        <v>860</v>
      </c>
      <c r="B2095" s="62" t="s">
        <v>860</v>
      </c>
      <c r="C2095" s="63"/>
      <c r="D2095" s="64"/>
      <c r="E2095" s="65"/>
      <c r="F2095" s="66"/>
      <c r="G2095" s="63"/>
      <c r="H2095" s="67"/>
      <c r="I2095" s="68"/>
      <c r="J2095" s="68"/>
      <c r="K2095" s="32"/>
      <c r="L2095" s="75">
        <v>2095</v>
      </c>
      <c r="M2095" s="75"/>
      <c r="N2095" s="70"/>
      <c r="O2095" s="77" t="s">
        <v>1133</v>
      </c>
      <c r="P2095" s="79">
        <v>45155.472708333335</v>
      </c>
      <c r="Q2095" s="77" t="s">
        <v>3142</v>
      </c>
      <c r="R2095" s="77">
        <v>0</v>
      </c>
      <c r="S2095" s="77">
        <v>0</v>
      </c>
      <c r="T2095" s="77">
        <v>0</v>
      </c>
      <c r="U2095" s="77">
        <v>0</v>
      </c>
      <c r="V2095" s="77">
        <v>111</v>
      </c>
      <c r="W2095" s="82" t="s">
        <v>5410</v>
      </c>
      <c r="X2095" s="77"/>
      <c r="Y2095" s="77"/>
      <c r="Z2095" s="77" t="s">
        <v>860</v>
      </c>
      <c r="AA2095" s="77" t="s">
        <v>7291</v>
      </c>
      <c r="AB2095" s="77" t="s">
        <v>7696</v>
      </c>
      <c r="AC2095" s="82" t="s">
        <v>7707</v>
      </c>
      <c r="AD2095" s="77" t="s">
        <v>7745</v>
      </c>
      <c r="AE2095" s="80" t="str">
        <f>HYPERLINK("https://twitter.com/workshopdantas/status/1692134352119894211")</f>
        <v>https://twitter.com/workshopdantas/status/1692134352119894211</v>
      </c>
      <c r="AF2095" s="79">
        <v>45155.472708333335</v>
      </c>
      <c r="AG2095" s="85">
        <v>45155</v>
      </c>
      <c r="AH2095" s="82" t="s">
        <v>9627</v>
      </c>
      <c r="AI2095" s="77" t="b">
        <v>0</v>
      </c>
      <c r="AJ2095" s="77"/>
      <c r="AK2095" s="77"/>
      <c r="AL2095" s="77"/>
      <c r="AM2095" s="77"/>
      <c r="AN2095" s="77"/>
      <c r="AO2095" s="77"/>
      <c r="AP2095" s="77"/>
      <c r="AQ2095" s="77" t="s">
        <v>11798</v>
      </c>
      <c r="AR2095" s="77"/>
      <c r="AS2095" s="77"/>
      <c r="AT2095" s="77"/>
      <c r="AU2095" s="77"/>
      <c r="AV2095" s="80" t="str">
        <f>HYPERLINK("https://pbs.twimg.com/media/F3urOcmW8AAv6ne.jpg")</f>
        <v>https://pbs.twimg.com/media/F3urOcmW8AAv6ne.jpg</v>
      </c>
      <c r="AW2095" s="82" t="s">
        <v>14254</v>
      </c>
      <c r="AX2095" s="82" t="s">
        <v>14254</v>
      </c>
      <c r="AY2095" s="77"/>
      <c r="AZ2095" s="82" t="s">
        <v>15804</v>
      </c>
      <c r="BA2095" s="82" t="s">
        <v>15804</v>
      </c>
      <c r="BB2095" s="82" t="s">
        <v>15804</v>
      </c>
      <c r="BC2095" s="82" t="s">
        <v>14254</v>
      </c>
      <c r="BD2095" s="82" t="s">
        <v>16500</v>
      </c>
      <c r="BE2095" s="77"/>
      <c r="BF2095" s="77"/>
      <c r="BG2095" s="77"/>
      <c r="BH2095" s="77"/>
      <c r="BI2095" s="77"/>
    </row>
    <row r="2096" spans="1:61" x14ac:dyDescent="0.25">
      <c r="A2096" s="62" t="s">
        <v>860</v>
      </c>
      <c r="B2096" s="62" t="s">
        <v>860</v>
      </c>
      <c r="C2096" s="63"/>
      <c r="D2096" s="64"/>
      <c r="E2096" s="65"/>
      <c r="F2096" s="66"/>
      <c r="G2096" s="63"/>
      <c r="H2096" s="67"/>
      <c r="I2096" s="68"/>
      <c r="J2096" s="68"/>
      <c r="K2096" s="32"/>
      <c r="L2096" s="75">
        <v>2096</v>
      </c>
      <c r="M2096" s="75"/>
      <c r="N2096" s="70"/>
      <c r="O2096" s="77" t="s">
        <v>1133</v>
      </c>
      <c r="P2096" s="79">
        <v>45144.644108796296</v>
      </c>
      <c r="Q2096" s="77" t="s">
        <v>3143</v>
      </c>
      <c r="R2096" s="77">
        <v>0</v>
      </c>
      <c r="S2096" s="77">
        <v>0</v>
      </c>
      <c r="T2096" s="77">
        <v>1</v>
      </c>
      <c r="U2096" s="77">
        <v>0</v>
      </c>
      <c r="V2096" s="77">
        <v>56</v>
      </c>
      <c r="W2096" s="82" t="s">
        <v>5411</v>
      </c>
      <c r="X2096" s="77"/>
      <c r="Y2096" s="77"/>
      <c r="Z2096" s="77" t="s">
        <v>860</v>
      </c>
      <c r="AA2096" s="77" t="s">
        <v>7292</v>
      </c>
      <c r="AB2096" s="77" t="s">
        <v>7696</v>
      </c>
      <c r="AC2096" s="82" t="s">
        <v>7707</v>
      </c>
      <c r="AD2096" s="77" t="s">
        <v>7745</v>
      </c>
      <c r="AE2096" s="80" t="str">
        <f>HYPERLINK("https://twitter.com/workshopdantas/status/1688210199658602497")</f>
        <v>https://twitter.com/workshopdantas/status/1688210199658602497</v>
      </c>
      <c r="AF2096" s="79">
        <v>45144.644108796296</v>
      </c>
      <c r="AG2096" s="85">
        <v>45144</v>
      </c>
      <c r="AH2096" s="82" t="s">
        <v>9628</v>
      </c>
      <c r="AI2096" s="77" t="b">
        <v>0</v>
      </c>
      <c r="AJ2096" s="77"/>
      <c r="AK2096" s="77"/>
      <c r="AL2096" s="77"/>
      <c r="AM2096" s="77"/>
      <c r="AN2096" s="77"/>
      <c r="AO2096" s="77"/>
      <c r="AP2096" s="77"/>
      <c r="AQ2096" s="77" t="s">
        <v>11799</v>
      </c>
      <c r="AR2096" s="77"/>
      <c r="AS2096" s="77"/>
      <c r="AT2096" s="77"/>
      <c r="AU2096" s="77"/>
      <c r="AV2096" s="80" t="str">
        <f>HYPERLINK("https://pbs.twimg.com/media/F226OYvWoAEWj6j.jpg")</f>
        <v>https://pbs.twimg.com/media/F226OYvWoAEWj6j.jpg</v>
      </c>
      <c r="AW2096" s="82" t="s">
        <v>14255</v>
      </c>
      <c r="AX2096" s="82" t="s">
        <v>14255</v>
      </c>
      <c r="AY2096" s="77"/>
      <c r="AZ2096" s="82" t="s">
        <v>15804</v>
      </c>
      <c r="BA2096" s="82" t="s">
        <v>15804</v>
      </c>
      <c r="BB2096" s="82" t="s">
        <v>15804</v>
      </c>
      <c r="BC2096" s="82" t="s">
        <v>14255</v>
      </c>
      <c r="BD2096" s="82" t="s">
        <v>16500</v>
      </c>
      <c r="BE2096" s="77"/>
      <c r="BF2096" s="77"/>
      <c r="BG2096" s="77"/>
      <c r="BH2096" s="77"/>
      <c r="BI2096" s="77"/>
    </row>
    <row r="2097" spans="1:61" x14ac:dyDescent="0.25">
      <c r="A2097" s="62" t="s">
        <v>860</v>
      </c>
      <c r="B2097" s="62" t="s">
        <v>860</v>
      </c>
      <c r="C2097" s="63"/>
      <c r="D2097" s="64"/>
      <c r="E2097" s="65"/>
      <c r="F2097" s="66"/>
      <c r="G2097" s="63"/>
      <c r="H2097" s="67"/>
      <c r="I2097" s="68"/>
      <c r="J2097" s="68"/>
      <c r="K2097" s="32"/>
      <c r="L2097" s="75">
        <v>2097</v>
      </c>
      <c r="M2097" s="75"/>
      <c r="N2097" s="70"/>
      <c r="O2097" s="77" t="s">
        <v>1133</v>
      </c>
      <c r="P2097" s="79">
        <v>45143.416828703703</v>
      </c>
      <c r="Q2097" s="77" t="s">
        <v>3144</v>
      </c>
      <c r="R2097" s="77">
        <v>0</v>
      </c>
      <c r="S2097" s="77">
        <v>0</v>
      </c>
      <c r="T2097" s="77">
        <v>0</v>
      </c>
      <c r="U2097" s="77">
        <v>0</v>
      </c>
      <c r="V2097" s="77">
        <v>66</v>
      </c>
      <c r="W2097" s="82" t="s">
        <v>5412</v>
      </c>
      <c r="X2097" s="77"/>
      <c r="Y2097" s="77"/>
      <c r="Z2097" s="77" t="s">
        <v>860</v>
      </c>
      <c r="AA2097" s="77" t="s">
        <v>7293</v>
      </c>
      <c r="AB2097" s="77" t="s">
        <v>7696</v>
      </c>
      <c r="AC2097" s="82" t="s">
        <v>7707</v>
      </c>
      <c r="AD2097" s="77" t="s">
        <v>7745</v>
      </c>
      <c r="AE2097" s="80" t="str">
        <f>HYPERLINK("https://twitter.com/workshopdantas/status/1687765448933113856")</f>
        <v>https://twitter.com/workshopdantas/status/1687765448933113856</v>
      </c>
      <c r="AF2097" s="79">
        <v>45143.416828703703</v>
      </c>
      <c r="AG2097" s="85">
        <v>45143</v>
      </c>
      <c r="AH2097" s="82" t="s">
        <v>9629</v>
      </c>
      <c r="AI2097" s="77" t="b">
        <v>0</v>
      </c>
      <c r="AJ2097" s="77"/>
      <c r="AK2097" s="77"/>
      <c r="AL2097" s="77"/>
      <c r="AM2097" s="77"/>
      <c r="AN2097" s="77"/>
      <c r="AO2097" s="77"/>
      <c r="AP2097" s="77"/>
      <c r="AQ2097" s="77" t="s">
        <v>11800</v>
      </c>
      <c r="AR2097" s="77"/>
      <c r="AS2097" s="77"/>
      <c r="AT2097" s="77"/>
      <c r="AU2097" s="77"/>
      <c r="AV2097" s="80" t="str">
        <f>HYPERLINK("https://pbs.twimg.com/media/F2wluzZWEAEWi3e.jpg")</f>
        <v>https://pbs.twimg.com/media/F2wluzZWEAEWi3e.jpg</v>
      </c>
      <c r="AW2097" s="82" t="s">
        <v>14256</v>
      </c>
      <c r="AX2097" s="82" t="s">
        <v>14256</v>
      </c>
      <c r="AY2097" s="77"/>
      <c r="AZ2097" s="82" t="s">
        <v>15804</v>
      </c>
      <c r="BA2097" s="82" t="s">
        <v>15804</v>
      </c>
      <c r="BB2097" s="82" t="s">
        <v>15804</v>
      </c>
      <c r="BC2097" s="82" t="s">
        <v>14256</v>
      </c>
      <c r="BD2097" s="82" t="s">
        <v>16500</v>
      </c>
      <c r="BE2097" s="77"/>
      <c r="BF2097" s="77"/>
      <c r="BG2097" s="77"/>
      <c r="BH2097" s="77"/>
      <c r="BI2097" s="77"/>
    </row>
    <row r="2098" spans="1:61" x14ac:dyDescent="0.25">
      <c r="A2098" s="62" t="s">
        <v>860</v>
      </c>
      <c r="B2098" s="62" t="s">
        <v>860</v>
      </c>
      <c r="C2098" s="63"/>
      <c r="D2098" s="64"/>
      <c r="E2098" s="65"/>
      <c r="F2098" s="66"/>
      <c r="G2098" s="63"/>
      <c r="H2098" s="67"/>
      <c r="I2098" s="68"/>
      <c r="J2098" s="68"/>
      <c r="K2098" s="32"/>
      <c r="L2098" s="75">
        <v>2098</v>
      </c>
      <c r="M2098" s="75"/>
      <c r="N2098" s="70"/>
      <c r="O2098" s="77" t="s">
        <v>1133</v>
      </c>
      <c r="P2098" s="79">
        <v>45142.426249999997</v>
      </c>
      <c r="Q2098" s="77" t="s">
        <v>3145</v>
      </c>
      <c r="R2098" s="77">
        <v>0</v>
      </c>
      <c r="S2098" s="77">
        <v>0</v>
      </c>
      <c r="T2098" s="77">
        <v>0</v>
      </c>
      <c r="U2098" s="77">
        <v>0</v>
      </c>
      <c r="V2098" s="77">
        <v>152</v>
      </c>
      <c r="W2098" s="82" t="s">
        <v>5413</v>
      </c>
      <c r="X2098" s="77"/>
      <c r="Y2098" s="77"/>
      <c r="Z2098" s="77" t="s">
        <v>860</v>
      </c>
      <c r="AA2098" s="77" t="s">
        <v>7294</v>
      </c>
      <c r="AB2098" s="77" t="s">
        <v>7697</v>
      </c>
      <c r="AC2098" s="82" t="s">
        <v>7707</v>
      </c>
      <c r="AD2098" s="77" t="s">
        <v>7745</v>
      </c>
      <c r="AE2098" s="80" t="str">
        <f>HYPERLINK("https://twitter.com/workshopdantas/status/1687406474832588800")</f>
        <v>https://twitter.com/workshopdantas/status/1687406474832588800</v>
      </c>
      <c r="AF2098" s="79">
        <v>45142.426249999997</v>
      </c>
      <c r="AG2098" s="85">
        <v>45142</v>
      </c>
      <c r="AH2098" s="82" t="s">
        <v>9630</v>
      </c>
      <c r="AI2098" s="77" t="b">
        <v>0</v>
      </c>
      <c r="AJ2098" s="77"/>
      <c r="AK2098" s="77"/>
      <c r="AL2098" s="77"/>
      <c r="AM2098" s="77"/>
      <c r="AN2098" s="77"/>
      <c r="AO2098" s="77"/>
      <c r="AP2098" s="77"/>
      <c r="AQ2098" s="77" t="s">
        <v>11801</v>
      </c>
      <c r="AR2098" s="77">
        <v>119069</v>
      </c>
      <c r="AS2098" s="77"/>
      <c r="AT2098" s="77"/>
      <c r="AU2098" s="77">
        <v>30</v>
      </c>
      <c r="AV2098" s="80" t="str">
        <f>HYPERLINK("https://pbs.twimg.com/ext_tw_video_thumb/1687406431551537152/pu/img/9DRrA9kzcJOfw7Wy.jpg")</f>
        <v>https://pbs.twimg.com/ext_tw_video_thumb/1687406431551537152/pu/img/9DRrA9kzcJOfw7Wy.jpg</v>
      </c>
      <c r="AW2098" s="82" t="s">
        <v>14257</v>
      </c>
      <c r="AX2098" s="82" t="s">
        <v>14257</v>
      </c>
      <c r="AY2098" s="77"/>
      <c r="AZ2098" s="82" t="s">
        <v>15804</v>
      </c>
      <c r="BA2098" s="82" t="s">
        <v>15804</v>
      </c>
      <c r="BB2098" s="82" t="s">
        <v>15804</v>
      </c>
      <c r="BC2098" s="82" t="s">
        <v>14257</v>
      </c>
      <c r="BD2098" s="82" t="s">
        <v>16500</v>
      </c>
      <c r="BE2098" s="77"/>
      <c r="BF2098" s="77"/>
      <c r="BG2098" s="77"/>
      <c r="BH2098" s="77"/>
      <c r="BI2098" s="77"/>
    </row>
    <row r="2099" spans="1:61" x14ac:dyDescent="0.25">
      <c r="A2099" s="62" t="s">
        <v>860</v>
      </c>
      <c r="B2099" s="62" t="s">
        <v>860</v>
      </c>
      <c r="C2099" s="63"/>
      <c r="D2099" s="64"/>
      <c r="E2099" s="65"/>
      <c r="F2099" s="66"/>
      <c r="G2099" s="63"/>
      <c r="H2099" s="67"/>
      <c r="I2099" s="68"/>
      <c r="J2099" s="68"/>
      <c r="K2099" s="32"/>
      <c r="L2099" s="75">
        <v>2099</v>
      </c>
      <c r="M2099" s="75"/>
      <c r="N2099" s="70"/>
      <c r="O2099" s="77" t="s">
        <v>1133</v>
      </c>
      <c r="P2099" s="79">
        <v>45142.405381944445</v>
      </c>
      <c r="Q2099" s="77" t="s">
        <v>3146</v>
      </c>
      <c r="R2099" s="77">
        <v>0</v>
      </c>
      <c r="S2099" s="77">
        <v>1</v>
      </c>
      <c r="T2099" s="77">
        <v>0</v>
      </c>
      <c r="U2099" s="77">
        <v>0</v>
      </c>
      <c r="V2099" s="77">
        <v>49</v>
      </c>
      <c r="W2099" s="82" t="s">
        <v>5414</v>
      </c>
      <c r="X2099" s="77"/>
      <c r="Y2099" s="77"/>
      <c r="Z2099" s="77" t="s">
        <v>860</v>
      </c>
      <c r="AA2099" s="77" t="s">
        <v>7295</v>
      </c>
      <c r="AB2099" s="77" t="s">
        <v>7696</v>
      </c>
      <c r="AC2099" s="82" t="s">
        <v>7707</v>
      </c>
      <c r="AD2099" s="77" t="s">
        <v>7745</v>
      </c>
      <c r="AE2099" s="80" t="str">
        <f>HYPERLINK("https://twitter.com/workshopdantas/status/1687398910950547456")</f>
        <v>https://twitter.com/workshopdantas/status/1687398910950547456</v>
      </c>
      <c r="AF2099" s="79">
        <v>45142.405381944445</v>
      </c>
      <c r="AG2099" s="85">
        <v>45142</v>
      </c>
      <c r="AH2099" s="82" t="s">
        <v>9631</v>
      </c>
      <c r="AI2099" s="77" t="b">
        <v>0</v>
      </c>
      <c r="AJ2099" s="77"/>
      <c r="AK2099" s="77"/>
      <c r="AL2099" s="77"/>
      <c r="AM2099" s="77"/>
      <c r="AN2099" s="77"/>
      <c r="AO2099" s="77"/>
      <c r="AP2099" s="77"/>
      <c r="AQ2099" s="77" t="s">
        <v>11802</v>
      </c>
      <c r="AR2099" s="77"/>
      <c r="AS2099" s="77"/>
      <c r="AT2099" s="77"/>
      <c r="AU2099" s="77"/>
      <c r="AV2099" s="80" t="str">
        <f>HYPERLINK("https://pbs.twimg.com/media/F2rYXgNX0AATnXw.jpg")</f>
        <v>https://pbs.twimg.com/media/F2rYXgNX0AATnXw.jpg</v>
      </c>
      <c r="AW2099" s="82" t="s">
        <v>14258</v>
      </c>
      <c r="AX2099" s="82" t="s">
        <v>14258</v>
      </c>
      <c r="AY2099" s="77"/>
      <c r="AZ2099" s="82" t="s">
        <v>15804</v>
      </c>
      <c r="BA2099" s="82" t="s">
        <v>15804</v>
      </c>
      <c r="BB2099" s="82" t="s">
        <v>15804</v>
      </c>
      <c r="BC2099" s="82" t="s">
        <v>14258</v>
      </c>
      <c r="BD2099" s="82" t="s">
        <v>16500</v>
      </c>
      <c r="BE2099" s="77"/>
      <c r="BF2099" s="77"/>
      <c r="BG2099" s="77"/>
      <c r="BH2099" s="77"/>
      <c r="BI2099" s="77"/>
    </row>
    <row r="2100" spans="1:61" x14ac:dyDescent="0.25">
      <c r="A2100" s="62" t="s">
        <v>860</v>
      </c>
      <c r="B2100" s="62" t="s">
        <v>860</v>
      </c>
      <c r="C2100" s="63"/>
      <c r="D2100" s="64"/>
      <c r="E2100" s="65"/>
      <c r="F2100" s="66"/>
      <c r="G2100" s="63"/>
      <c r="H2100" s="67"/>
      <c r="I2100" s="68"/>
      <c r="J2100" s="68"/>
      <c r="K2100" s="32"/>
      <c r="L2100" s="75">
        <v>2100</v>
      </c>
      <c r="M2100" s="75"/>
      <c r="N2100" s="70"/>
      <c r="O2100" s="77" t="s">
        <v>1133</v>
      </c>
      <c r="P2100" s="79">
        <v>45141.467210648145</v>
      </c>
      <c r="Q2100" s="77" t="s">
        <v>3147</v>
      </c>
      <c r="R2100" s="77">
        <v>0</v>
      </c>
      <c r="S2100" s="77">
        <v>0</v>
      </c>
      <c r="T2100" s="77">
        <v>1</v>
      </c>
      <c r="U2100" s="77">
        <v>0</v>
      </c>
      <c r="V2100" s="77">
        <v>45</v>
      </c>
      <c r="W2100" s="82" t="s">
        <v>5415</v>
      </c>
      <c r="X2100" s="77"/>
      <c r="Y2100" s="77"/>
      <c r="Z2100" s="77" t="s">
        <v>860</v>
      </c>
      <c r="AA2100" s="77" t="s">
        <v>7296</v>
      </c>
      <c r="AB2100" s="77" t="s">
        <v>7696</v>
      </c>
      <c r="AC2100" s="82" t="s">
        <v>7707</v>
      </c>
      <c r="AD2100" s="77" t="s">
        <v>7745</v>
      </c>
      <c r="AE2100" s="80" t="str">
        <f>HYPERLINK("https://twitter.com/workshopdantas/status/1687058930738814976")</f>
        <v>https://twitter.com/workshopdantas/status/1687058930738814976</v>
      </c>
      <c r="AF2100" s="79">
        <v>45141.467210648145</v>
      </c>
      <c r="AG2100" s="85">
        <v>45141</v>
      </c>
      <c r="AH2100" s="82" t="s">
        <v>9632</v>
      </c>
      <c r="AI2100" s="77" t="b">
        <v>0</v>
      </c>
      <c r="AJ2100" s="77"/>
      <c r="AK2100" s="77"/>
      <c r="AL2100" s="77"/>
      <c r="AM2100" s="77"/>
      <c r="AN2100" s="77"/>
      <c r="AO2100" s="77"/>
      <c r="AP2100" s="77"/>
      <c r="AQ2100" s="77" t="s">
        <v>11803</v>
      </c>
      <c r="AR2100" s="77"/>
      <c r="AS2100" s="77"/>
      <c r="AT2100" s="77"/>
      <c r="AU2100" s="77"/>
      <c r="AV2100" s="80" t="str">
        <f>HYPERLINK("https://pbs.twimg.com/media/F2mjKDRXwAIkqKU.jpg")</f>
        <v>https://pbs.twimg.com/media/F2mjKDRXwAIkqKU.jpg</v>
      </c>
      <c r="AW2100" s="82" t="s">
        <v>14259</v>
      </c>
      <c r="AX2100" s="82" t="s">
        <v>14259</v>
      </c>
      <c r="AY2100" s="77"/>
      <c r="AZ2100" s="82" t="s">
        <v>15804</v>
      </c>
      <c r="BA2100" s="82" t="s">
        <v>15804</v>
      </c>
      <c r="BB2100" s="82" t="s">
        <v>15804</v>
      </c>
      <c r="BC2100" s="82" t="s">
        <v>14259</v>
      </c>
      <c r="BD2100" s="82" t="s">
        <v>16500</v>
      </c>
      <c r="BE2100" s="77"/>
      <c r="BF2100" s="77"/>
      <c r="BG2100" s="77"/>
      <c r="BH2100" s="77"/>
      <c r="BI2100" s="77"/>
    </row>
    <row r="2101" spans="1:61" x14ac:dyDescent="0.25">
      <c r="A2101" s="62" t="s">
        <v>860</v>
      </c>
      <c r="B2101" s="62" t="s">
        <v>860</v>
      </c>
      <c r="C2101" s="63"/>
      <c r="D2101" s="64"/>
      <c r="E2101" s="65"/>
      <c r="F2101" s="66"/>
      <c r="G2101" s="63"/>
      <c r="H2101" s="67"/>
      <c r="I2101" s="68"/>
      <c r="J2101" s="68"/>
      <c r="K2101" s="32"/>
      <c r="L2101" s="75">
        <v>2101</v>
      </c>
      <c r="M2101" s="75"/>
      <c r="N2101" s="70"/>
      <c r="O2101" s="77" t="s">
        <v>1133</v>
      </c>
      <c r="P2101" s="79">
        <v>45120.012754629628</v>
      </c>
      <c r="Q2101" s="77" t="s">
        <v>3148</v>
      </c>
      <c r="R2101" s="77">
        <v>0</v>
      </c>
      <c r="S2101" s="77">
        <v>0</v>
      </c>
      <c r="T2101" s="77">
        <v>1</v>
      </c>
      <c r="U2101" s="77">
        <v>0</v>
      </c>
      <c r="V2101" s="77">
        <v>45</v>
      </c>
      <c r="W2101" s="82" t="s">
        <v>5354</v>
      </c>
      <c r="X2101" s="77"/>
      <c r="Y2101" s="77"/>
      <c r="Z2101" s="77" t="s">
        <v>860</v>
      </c>
      <c r="AA2101" s="77" t="s">
        <v>7297</v>
      </c>
      <c r="AB2101" s="77" t="s">
        <v>7696</v>
      </c>
      <c r="AC2101" s="82" t="s">
        <v>7707</v>
      </c>
      <c r="AD2101" s="77" t="s">
        <v>7745</v>
      </c>
      <c r="AE2101" s="80" t="str">
        <f>HYPERLINK("https://twitter.com/workshopdantas/status/1679284094331416579")</f>
        <v>https://twitter.com/workshopdantas/status/1679284094331416579</v>
      </c>
      <c r="AF2101" s="79">
        <v>45120.012754629628</v>
      </c>
      <c r="AG2101" s="85">
        <v>45120</v>
      </c>
      <c r="AH2101" s="82" t="s">
        <v>9633</v>
      </c>
      <c r="AI2101" s="77" t="b">
        <v>0</v>
      </c>
      <c r="AJ2101" s="77"/>
      <c r="AK2101" s="77"/>
      <c r="AL2101" s="77"/>
      <c r="AM2101" s="77"/>
      <c r="AN2101" s="77"/>
      <c r="AO2101" s="77"/>
      <c r="AP2101" s="77"/>
      <c r="AQ2101" s="77" t="s">
        <v>11804</v>
      </c>
      <c r="AR2101" s="77"/>
      <c r="AS2101" s="77"/>
      <c r="AT2101" s="77"/>
      <c r="AU2101" s="77"/>
      <c r="AV2101" s="80" t="str">
        <f>HYPERLINK("https://pbs.twimg.com/media/F04D-mEX0AEh8IS.jpg")</f>
        <v>https://pbs.twimg.com/media/F04D-mEX0AEh8IS.jpg</v>
      </c>
      <c r="AW2101" s="82" t="s">
        <v>14260</v>
      </c>
      <c r="AX2101" s="82" t="s">
        <v>14260</v>
      </c>
      <c r="AY2101" s="77"/>
      <c r="AZ2101" s="82" t="s">
        <v>15804</v>
      </c>
      <c r="BA2101" s="82" t="s">
        <v>15804</v>
      </c>
      <c r="BB2101" s="82" t="s">
        <v>15804</v>
      </c>
      <c r="BC2101" s="82" t="s">
        <v>14260</v>
      </c>
      <c r="BD2101" s="82" t="s">
        <v>16500</v>
      </c>
      <c r="BE2101" s="77"/>
      <c r="BF2101" s="77"/>
      <c r="BG2101" s="77"/>
      <c r="BH2101" s="77"/>
      <c r="BI2101" s="77"/>
    </row>
    <row r="2102" spans="1:61" x14ac:dyDescent="0.25">
      <c r="A2102" s="62" t="s">
        <v>860</v>
      </c>
      <c r="B2102" s="62" t="s">
        <v>860</v>
      </c>
      <c r="C2102" s="63"/>
      <c r="D2102" s="64"/>
      <c r="E2102" s="65"/>
      <c r="F2102" s="66"/>
      <c r="G2102" s="63"/>
      <c r="H2102" s="67"/>
      <c r="I2102" s="68"/>
      <c r="J2102" s="68"/>
      <c r="K2102" s="32"/>
      <c r="L2102" s="75">
        <v>2102</v>
      </c>
      <c r="M2102" s="75"/>
      <c r="N2102" s="70"/>
      <c r="O2102" s="77" t="s">
        <v>1133</v>
      </c>
      <c r="P2102" s="79">
        <v>45119.478668981479</v>
      </c>
      <c r="Q2102" s="77" t="s">
        <v>3081</v>
      </c>
      <c r="R2102" s="77">
        <v>0</v>
      </c>
      <c r="S2102" s="77">
        <v>2</v>
      </c>
      <c r="T2102" s="77">
        <v>1</v>
      </c>
      <c r="U2102" s="77">
        <v>0</v>
      </c>
      <c r="V2102" s="77">
        <v>47</v>
      </c>
      <c r="W2102" s="82" t="s">
        <v>5354</v>
      </c>
      <c r="X2102" s="77"/>
      <c r="Y2102" s="77"/>
      <c r="Z2102" s="77" t="s">
        <v>6143</v>
      </c>
      <c r="AA2102" s="77" t="s">
        <v>7230</v>
      </c>
      <c r="AB2102" s="77" t="s">
        <v>7696</v>
      </c>
      <c r="AC2102" s="82" t="s">
        <v>7707</v>
      </c>
      <c r="AD2102" s="77" t="s">
        <v>7745</v>
      </c>
      <c r="AE2102" s="80" t="str">
        <f>HYPERLINK("https://twitter.com/workshopdantas/status/1679090549804900352")</f>
        <v>https://twitter.com/workshopdantas/status/1679090549804900352</v>
      </c>
      <c r="AF2102" s="79">
        <v>45119.478668981479</v>
      </c>
      <c r="AG2102" s="85">
        <v>45119</v>
      </c>
      <c r="AH2102" s="82" t="s">
        <v>9567</v>
      </c>
      <c r="AI2102" s="77" t="b">
        <v>0</v>
      </c>
      <c r="AJ2102" s="77"/>
      <c r="AK2102" s="77"/>
      <c r="AL2102" s="77"/>
      <c r="AM2102" s="77"/>
      <c r="AN2102" s="77"/>
      <c r="AO2102" s="77"/>
      <c r="AP2102" s="77"/>
      <c r="AQ2102" s="77" t="s">
        <v>11737</v>
      </c>
      <c r="AR2102" s="77"/>
      <c r="AS2102" s="77"/>
      <c r="AT2102" s="77"/>
      <c r="AU2102" s="77"/>
      <c r="AV2102" s="80" t="str">
        <f>HYPERLINK("https://pbs.twimg.com/media/F01T9MnWYAAqxnf.jpg")</f>
        <v>https://pbs.twimg.com/media/F01T9MnWYAAqxnf.jpg</v>
      </c>
      <c r="AW2102" s="82" t="s">
        <v>14193</v>
      </c>
      <c r="AX2102" s="82" t="s">
        <v>14193</v>
      </c>
      <c r="AY2102" s="77"/>
      <c r="AZ2102" s="82" t="s">
        <v>15804</v>
      </c>
      <c r="BA2102" s="82" t="s">
        <v>15804</v>
      </c>
      <c r="BB2102" s="82" t="s">
        <v>15804</v>
      </c>
      <c r="BC2102" s="82" t="s">
        <v>14193</v>
      </c>
      <c r="BD2102" s="82" t="s">
        <v>16500</v>
      </c>
      <c r="BE2102" s="77"/>
      <c r="BF2102" s="77"/>
      <c r="BG2102" s="77"/>
      <c r="BH2102" s="77"/>
      <c r="BI2102" s="77"/>
    </row>
    <row r="2103" spans="1:61" x14ac:dyDescent="0.25">
      <c r="A2103" s="62" t="s">
        <v>860</v>
      </c>
      <c r="B2103" s="62" t="s">
        <v>860</v>
      </c>
      <c r="C2103" s="63"/>
      <c r="D2103" s="64"/>
      <c r="E2103" s="65"/>
      <c r="F2103" s="66"/>
      <c r="G2103" s="63"/>
      <c r="H2103" s="67"/>
      <c r="I2103" s="68"/>
      <c r="J2103" s="68"/>
      <c r="K2103" s="32"/>
      <c r="L2103" s="75">
        <v>2103</v>
      </c>
      <c r="M2103" s="75"/>
      <c r="N2103" s="70"/>
      <c r="O2103" s="77" t="s">
        <v>1133</v>
      </c>
      <c r="P2103" s="79">
        <v>45118.916377314818</v>
      </c>
      <c r="Q2103" s="77" t="s">
        <v>3149</v>
      </c>
      <c r="R2103" s="77">
        <v>0</v>
      </c>
      <c r="S2103" s="77">
        <v>0</v>
      </c>
      <c r="T2103" s="77">
        <v>0</v>
      </c>
      <c r="U2103" s="77">
        <v>0</v>
      </c>
      <c r="V2103" s="77">
        <v>25</v>
      </c>
      <c r="W2103" s="82" t="s">
        <v>5416</v>
      </c>
      <c r="X2103" s="77"/>
      <c r="Y2103" s="77"/>
      <c r="Z2103" s="77" t="s">
        <v>860</v>
      </c>
      <c r="AA2103" s="77" t="s">
        <v>7298</v>
      </c>
      <c r="AB2103" s="77" t="s">
        <v>7697</v>
      </c>
      <c r="AC2103" s="82" t="s">
        <v>7707</v>
      </c>
      <c r="AD2103" s="77" t="s">
        <v>7745</v>
      </c>
      <c r="AE2103" s="80" t="str">
        <f>HYPERLINK("https://twitter.com/workshopdantas/status/1678886780777508869")</f>
        <v>https://twitter.com/workshopdantas/status/1678886780777508869</v>
      </c>
      <c r="AF2103" s="79">
        <v>45118.916377314818</v>
      </c>
      <c r="AG2103" s="85">
        <v>45118</v>
      </c>
      <c r="AH2103" s="82" t="s">
        <v>9634</v>
      </c>
      <c r="AI2103" s="77" t="b">
        <v>0</v>
      </c>
      <c r="AJ2103" s="77"/>
      <c r="AK2103" s="77"/>
      <c r="AL2103" s="77"/>
      <c r="AM2103" s="77"/>
      <c r="AN2103" s="77"/>
      <c r="AO2103" s="77"/>
      <c r="AP2103" s="77"/>
      <c r="AQ2103" s="77" t="s">
        <v>11805</v>
      </c>
      <c r="AR2103" s="77">
        <v>23697</v>
      </c>
      <c r="AS2103" s="77"/>
      <c r="AT2103" s="77"/>
      <c r="AU2103" s="77">
        <v>13</v>
      </c>
      <c r="AV2103" s="80" t="str">
        <f>HYPERLINK("https://pbs.twimg.com/ext_tw_video_thumb/1678886707507212289/pu/img/VVtxTuAu53Qg3REh.jpg")</f>
        <v>https://pbs.twimg.com/ext_tw_video_thumb/1678886707507212289/pu/img/VVtxTuAu53Qg3REh.jpg</v>
      </c>
      <c r="AW2103" s="82" t="s">
        <v>14261</v>
      </c>
      <c r="AX2103" s="82" t="s">
        <v>14261</v>
      </c>
      <c r="AY2103" s="77"/>
      <c r="AZ2103" s="82" t="s">
        <v>15804</v>
      </c>
      <c r="BA2103" s="82" t="s">
        <v>15804</v>
      </c>
      <c r="BB2103" s="82" t="s">
        <v>15804</v>
      </c>
      <c r="BC2103" s="82" t="s">
        <v>14261</v>
      </c>
      <c r="BD2103" s="82" t="s">
        <v>16500</v>
      </c>
      <c r="BE2103" s="77"/>
      <c r="BF2103" s="77"/>
      <c r="BG2103" s="77"/>
      <c r="BH2103" s="77"/>
      <c r="BI2103" s="77"/>
    </row>
    <row r="2104" spans="1:61" x14ac:dyDescent="0.25">
      <c r="A2104" s="62" t="s">
        <v>860</v>
      </c>
      <c r="B2104" s="62" t="s">
        <v>860</v>
      </c>
      <c r="C2104" s="63"/>
      <c r="D2104" s="64"/>
      <c r="E2104" s="65"/>
      <c r="F2104" s="66"/>
      <c r="G2104" s="63"/>
      <c r="H2104" s="67"/>
      <c r="I2104" s="68"/>
      <c r="J2104" s="68"/>
      <c r="K2104" s="32"/>
      <c r="L2104" s="75">
        <v>2104</v>
      </c>
      <c r="M2104" s="75"/>
      <c r="N2104" s="70"/>
      <c r="O2104" s="77" t="s">
        <v>1133</v>
      </c>
      <c r="P2104" s="79">
        <v>45118.489050925928</v>
      </c>
      <c r="Q2104" s="77" t="s">
        <v>3150</v>
      </c>
      <c r="R2104" s="77">
        <v>0</v>
      </c>
      <c r="S2104" s="77">
        <v>0</v>
      </c>
      <c r="T2104" s="77">
        <v>0</v>
      </c>
      <c r="U2104" s="77">
        <v>0</v>
      </c>
      <c r="V2104" s="77">
        <v>40</v>
      </c>
      <c r="W2104" s="82" t="s">
        <v>5417</v>
      </c>
      <c r="X2104" s="77"/>
      <c r="Y2104" s="77"/>
      <c r="Z2104" s="77" t="s">
        <v>860</v>
      </c>
      <c r="AA2104" s="77" t="s">
        <v>7299</v>
      </c>
      <c r="AB2104" s="77" t="s">
        <v>7696</v>
      </c>
      <c r="AC2104" s="82" t="s">
        <v>7707</v>
      </c>
      <c r="AD2104" s="77" t="s">
        <v>7745</v>
      </c>
      <c r="AE2104" s="80" t="str">
        <f>HYPERLINK("https://twitter.com/workshopdantas/status/1678731922816499713")</f>
        <v>https://twitter.com/workshopdantas/status/1678731922816499713</v>
      </c>
      <c r="AF2104" s="79">
        <v>45118.489050925928</v>
      </c>
      <c r="AG2104" s="85">
        <v>45118</v>
      </c>
      <c r="AH2104" s="82" t="s">
        <v>9635</v>
      </c>
      <c r="AI2104" s="77" t="b">
        <v>0</v>
      </c>
      <c r="AJ2104" s="77"/>
      <c r="AK2104" s="77"/>
      <c r="AL2104" s="77"/>
      <c r="AM2104" s="77"/>
      <c r="AN2104" s="77"/>
      <c r="AO2104" s="77"/>
      <c r="AP2104" s="77"/>
      <c r="AQ2104" s="77" t="s">
        <v>11806</v>
      </c>
      <c r="AR2104" s="77"/>
      <c r="AS2104" s="77"/>
      <c r="AT2104" s="77"/>
      <c r="AU2104" s="77"/>
      <c r="AV2104" s="80" t="str">
        <f>HYPERLINK("https://pbs.twimg.com/media/F0wNyURXsAEjUmQ.jpg")</f>
        <v>https://pbs.twimg.com/media/F0wNyURXsAEjUmQ.jpg</v>
      </c>
      <c r="AW2104" s="82" t="s">
        <v>14262</v>
      </c>
      <c r="AX2104" s="82" t="s">
        <v>14262</v>
      </c>
      <c r="AY2104" s="77"/>
      <c r="AZ2104" s="82" t="s">
        <v>15804</v>
      </c>
      <c r="BA2104" s="82" t="s">
        <v>15804</v>
      </c>
      <c r="BB2104" s="82" t="s">
        <v>15804</v>
      </c>
      <c r="BC2104" s="82" t="s">
        <v>14262</v>
      </c>
      <c r="BD2104" s="82" t="s">
        <v>16500</v>
      </c>
      <c r="BE2104" s="77"/>
      <c r="BF2104" s="77"/>
      <c r="BG2104" s="77"/>
      <c r="BH2104" s="77"/>
      <c r="BI2104" s="77"/>
    </row>
    <row r="2105" spans="1:61" x14ac:dyDescent="0.25">
      <c r="A2105" s="62" t="s">
        <v>860</v>
      </c>
      <c r="B2105" s="62" t="s">
        <v>860</v>
      </c>
      <c r="C2105" s="63"/>
      <c r="D2105" s="64"/>
      <c r="E2105" s="65"/>
      <c r="F2105" s="66"/>
      <c r="G2105" s="63"/>
      <c r="H2105" s="67"/>
      <c r="I2105" s="68"/>
      <c r="J2105" s="68"/>
      <c r="K2105" s="32"/>
      <c r="L2105" s="75">
        <v>2105</v>
      </c>
      <c r="M2105" s="75"/>
      <c r="N2105" s="70"/>
      <c r="O2105" s="77" t="s">
        <v>1133</v>
      </c>
      <c r="P2105" s="79">
        <v>45103.489027777781</v>
      </c>
      <c r="Q2105" s="77" t="s">
        <v>3151</v>
      </c>
      <c r="R2105" s="77">
        <v>0</v>
      </c>
      <c r="S2105" s="77">
        <v>0</v>
      </c>
      <c r="T2105" s="77">
        <v>0</v>
      </c>
      <c r="U2105" s="77">
        <v>0</v>
      </c>
      <c r="V2105" s="77">
        <v>96</v>
      </c>
      <c r="W2105" s="82" t="s">
        <v>5418</v>
      </c>
      <c r="X2105" s="77"/>
      <c r="Y2105" s="77"/>
      <c r="Z2105" s="77" t="s">
        <v>860</v>
      </c>
      <c r="AA2105" s="77" t="s">
        <v>7300</v>
      </c>
      <c r="AB2105" s="77" t="s">
        <v>7696</v>
      </c>
      <c r="AC2105" s="82" t="s">
        <v>7707</v>
      </c>
      <c r="AD2105" s="77" t="s">
        <v>7745</v>
      </c>
      <c r="AE2105" s="80" t="str">
        <f>HYPERLINK("https://twitter.com/workshopdantas/status/1673296097576361989")</f>
        <v>https://twitter.com/workshopdantas/status/1673296097576361989</v>
      </c>
      <c r="AF2105" s="79">
        <v>45103.489027777781</v>
      </c>
      <c r="AG2105" s="85">
        <v>45103</v>
      </c>
      <c r="AH2105" s="82" t="s">
        <v>9636</v>
      </c>
      <c r="AI2105" s="77" t="b">
        <v>0</v>
      </c>
      <c r="AJ2105" s="77"/>
      <c r="AK2105" s="77"/>
      <c r="AL2105" s="77"/>
      <c r="AM2105" s="77"/>
      <c r="AN2105" s="77"/>
      <c r="AO2105" s="77"/>
      <c r="AP2105" s="77"/>
      <c r="AQ2105" s="77" t="s">
        <v>11807</v>
      </c>
      <c r="AR2105" s="77"/>
      <c r="AS2105" s="77"/>
      <c r="AT2105" s="77"/>
      <c r="AU2105" s="77"/>
      <c r="AV2105" s="80" t="str">
        <f>HYPERLINK("https://pbs.twimg.com/media/Fzi97ssXoAExEo1.jpg")</f>
        <v>https://pbs.twimg.com/media/Fzi97ssXoAExEo1.jpg</v>
      </c>
      <c r="AW2105" s="82" t="s">
        <v>14263</v>
      </c>
      <c r="AX2105" s="82" t="s">
        <v>14263</v>
      </c>
      <c r="AY2105" s="77"/>
      <c r="AZ2105" s="82" t="s">
        <v>15804</v>
      </c>
      <c r="BA2105" s="82" t="s">
        <v>15804</v>
      </c>
      <c r="BB2105" s="82" t="s">
        <v>15804</v>
      </c>
      <c r="BC2105" s="82" t="s">
        <v>14263</v>
      </c>
      <c r="BD2105" s="82" t="s">
        <v>16500</v>
      </c>
      <c r="BE2105" s="77"/>
      <c r="BF2105" s="77"/>
      <c r="BG2105" s="77"/>
      <c r="BH2105" s="77"/>
      <c r="BI2105" s="77"/>
    </row>
    <row r="2106" spans="1:61" x14ac:dyDescent="0.25">
      <c r="A2106" s="62" t="s">
        <v>860</v>
      </c>
      <c r="B2106" s="62" t="s">
        <v>860</v>
      </c>
      <c r="C2106" s="63"/>
      <c r="D2106" s="64"/>
      <c r="E2106" s="65"/>
      <c r="F2106" s="66"/>
      <c r="G2106" s="63"/>
      <c r="H2106" s="67"/>
      <c r="I2106" s="68"/>
      <c r="J2106" s="68"/>
      <c r="K2106" s="32"/>
      <c r="L2106" s="75">
        <v>2106</v>
      </c>
      <c r="M2106" s="75"/>
      <c r="N2106" s="70"/>
      <c r="O2106" s="77" t="s">
        <v>1133</v>
      </c>
      <c r="P2106" s="79">
        <v>45102.657141203701</v>
      </c>
      <c r="Q2106" s="77" t="s">
        <v>3152</v>
      </c>
      <c r="R2106" s="77">
        <v>0</v>
      </c>
      <c r="S2106" s="77">
        <v>0</v>
      </c>
      <c r="T2106" s="77">
        <v>0</v>
      </c>
      <c r="U2106" s="77">
        <v>0</v>
      </c>
      <c r="V2106" s="77">
        <v>66</v>
      </c>
      <c r="W2106" s="82" t="s">
        <v>5419</v>
      </c>
      <c r="X2106" s="77"/>
      <c r="Y2106" s="77"/>
      <c r="Z2106" s="77" t="s">
        <v>860</v>
      </c>
      <c r="AA2106" s="77" t="s">
        <v>7301</v>
      </c>
      <c r="AB2106" s="77" t="s">
        <v>7696</v>
      </c>
      <c r="AC2106" s="82" t="s">
        <v>7707</v>
      </c>
      <c r="AD2106" s="77" t="s">
        <v>7745</v>
      </c>
      <c r="AE2106" s="80" t="str">
        <f>HYPERLINK("https://twitter.com/workshopdantas/status/1672994633058582528")</f>
        <v>https://twitter.com/workshopdantas/status/1672994633058582528</v>
      </c>
      <c r="AF2106" s="79">
        <v>45102.657141203701</v>
      </c>
      <c r="AG2106" s="85">
        <v>45102</v>
      </c>
      <c r="AH2106" s="82" t="s">
        <v>8404</v>
      </c>
      <c r="AI2106" s="77" t="b">
        <v>0</v>
      </c>
      <c r="AJ2106" s="77"/>
      <c r="AK2106" s="77"/>
      <c r="AL2106" s="77"/>
      <c r="AM2106" s="77"/>
      <c r="AN2106" s="77"/>
      <c r="AO2106" s="77"/>
      <c r="AP2106" s="77"/>
      <c r="AQ2106" s="77" t="s">
        <v>11808</v>
      </c>
      <c r="AR2106" s="77"/>
      <c r="AS2106" s="77"/>
      <c r="AT2106" s="77"/>
      <c r="AU2106" s="77"/>
      <c r="AV2106" s="80" t="str">
        <f>HYPERLINK("https://pbs.twimg.com/media/FzerwLJWcAApsxs.jpg")</f>
        <v>https://pbs.twimg.com/media/FzerwLJWcAApsxs.jpg</v>
      </c>
      <c r="AW2106" s="82" t="s">
        <v>14264</v>
      </c>
      <c r="AX2106" s="82" t="s">
        <v>14264</v>
      </c>
      <c r="AY2106" s="77"/>
      <c r="AZ2106" s="82" t="s">
        <v>15804</v>
      </c>
      <c r="BA2106" s="82" t="s">
        <v>15804</v>
      </c>
      <c r="BB2106" s="82" t="s">
        <v>15804</v>
      </c>
      <c r="BC2106" s="82" t="s">
        <v>14264</v>
      </c>
      <c r="BD2106" s="82" t="s">
        <v>16500</v>
      </c>
      <c r="BE2106" s="77"/>
      <c r="BF2106" s="77"/>
      <c r="BG2106" s="77"/>
      <c r="BH2106" s="77"/>
      <c r="BI2106" s="77"/>
    </row>
    <row r="2107" spans="1:61" x14ac:dyDescent="0.25">
      <c r="A2107" s="62" t="s">
        <v>860</v>
      </c>
      <c r="B2107" s="62" t="s">
        <v>860</v>
      </c>
      <c r="C2107" s="63"/>
      <c r="D2107" s="64"/>
      <c r="E2107" s="65"/>
      <c r="F2107" s="66"/>
      <c r="G2107" s="63"/>
      <c r="H2107" s="67"/>
      <c r="I2107" s="68"/>
      <c r="J2107" s="68"/>
      <c r="K2107" s="32"/>
      <c r="L2107" s="75">
        <v>2107</v>
      </c>
      <c r="M2107" s="75"/>
      <c r="N2107" s="70"/>
      <c r="O2107" s="77" t="s">
        <v>1133</v>
      </c>
      <c r="P2107" s="79">
        <v>45101.567719907405</v>
      </c>
      <c r="Q2107" s="77" t="s">
        <v>3153</v>
      </c>
      <c r="R2107" s="77">
        <v>0</v>
      </c>
      <c r="S2107" s="77">
        <v>0</v>
      </c>
      <c r="T2107" s="77">
        <v>0</v>
      </c>
      <c r="U2107" s="77">
        <v>0</v>
      </c>
      <c r="V2107" s="77">
        <v>57</v>
      </c>
      <c r="W2107" s="82" t="s">
        <v>5420</v>
      </c>
      <c r="X2107" s="77"/>
      <c r="Y2107" s="77"/>
      <c r="Z2107" s="77" t="s">
        <v>860</v>
      </c>
      <c r="AA2107" s="77" t="s">
        <v>7302</v>
      </c>
      <c r="AB2107" s="77" t="s">
        <v>7696</v>
      </c>
      <c r="AC2107" s="82" t="s">
        <v>7707</v>
      </c>
      <c r="AD2107" s="77" t="s">
        <v>7745</v>
      </c>
      <c r="AE2107" s="80" t="str">
        <f>HYPERLINK("https://twitter.com/workshopdantas/status/1672599837085249539")</f>
        <v>https://twitter.com/workshopdantas/status/1672599837085249539</v>
      </c>
      <c r="AF2107" s="79">
        <v>45101.567719907405</v>
      </c>
      <c r="AG2107" s="85">
        <v>45101</v>
      </c>
      <c r="AH2107" s="82" t="s">
        <v>9637</v>
      </c>
      <c r="AI2107" s="77" t="b">
        <v>0</v>
      </c>
      <c r="AJ2107" s="77"/>
      <c r="AK2107" s="77"/>
      <c r="AL2107" s="77"/>
      <c r="AM2107" s="77"/>
      <c r="AN2107" s="77"/>
      <c r="AO2107" s="77"/>
      <c r="AP2107" s="77"/>
      <c r="AQ2107" s="77" t="s">
        <v>11809</v>
      </c>
      <c r="AR2107" s="77"/>
      <c r="AS2107" s="77"/>
      <c r="AT2107" s="77"/>
      <c r="AU2107" s="77"/>
      <c r="AV2107" s="80" t="str">
        <f>HYPERLINK("https://pbs.twimg.com/media/FzZEsBZWwAcBJoJ.jpg")</f>
        <v>https://pbs.twimg.com/media/FzZEsBZWwAcBJoJ.jpg</v>
      </c>
      <c r="AW2107" s="82" t="s">
        <v>14265</v>
      </c>
      <c r="AX2107" s="82" t="s">
        <v>14265</v>
      </c>
      <c r="AY2107" s="77"/>
      <c r="AZ2107" s="82" t="s">
        <v>15804</v>
      </c>
      <c r="BA2107" s="82" t="s">
        <v>15804</v>
      </c>
      <c r="BB2107" s="82" t="s">
        <v>15804</v>
      </c>
      <c r="BC2107" s="82" t="s">
        <v>14265</v>
      </c>
      <c r="BD2107" s="82" t="s">
        <v>16500</v>
      </c>
      <c r="BE2107" s="77"/>
      <c r="BF2107" s="77"/>
      <c r="BG2107" s="77"/>
      <c r="BH2107" s="77"/>
      <c r="BI2107" s="77"/>
    </row>
    <row r="2108" spans="1:61" x14ac:dyDescent="0.25">
      <c r="A2108" s="62" t="s">
        <v>860</v>
      </c>
      <c r="B2108" s="62" t="s">
        <v>860</v>
      </c>
      <c r="C2108" s="63"/>
      <c r="D2108" s="64"/>
      <c r="E2108" s="65"/>
      <c r="F2108" s="66"/>
      <c r="G2108" s="63"/>
      <c r="H2108" s="67"/>
      <c r="I2108" s="68"/>
      <c r="J2108" s="68"/>
      <c r="K2108" s="32"/>
      <c r="L2108" s="75">
        <v>2108</v>
      </c>
      <c r="M2108" s="75"/>
      <c r="N2108" s="70"/>
      <c r="O2108" s="77" t="s">
        <v>1133</v>
      </c>
      <c r="P2108" s="79">
        <v>45099.715011574073</v>
      </c>
      <c r="Q2108" s="77" t="s">
        <v>3154</v>
      </c>
      <c r="R2108" s="77">
        <v>0</v>
      </c>
      <c r="S2108" s="77">
        <v>0</v>
      </c>
      <c r="T2108" s="77">
        <v>0</v>
      </c>
      <c r="U2108" s="77">
        <v>0</v>
      </c>
      <c r="V2108" s="77">
        <v>31</v>
      </c>
      <c r="W2108" s="82" t="s">
        <v>5421</v>
      </c>
      <c r="X2108" s="77"/>
      <c r="Y2108" s="77"/>
      <c r="Z2108" s="77" t="s">
        <v>860</v>
      </c>
      <c r="AA2108" s="77" t="s">
        <v>7303</v>
      </c>
      <c r="AB2108" s="77" t="s">
        <v>7696</v>
      </c>
      <c r="AC2108" s="82" t="s">
        <v>7707</v>
      </c>
      <c r="AD2108" s="77" t="s">
        <v>7745</v>
      </c>
      <c r="AE2108" s="80" t="str">
        <f>HYPERLINK("https://twitter.com/workshopdantas/status/1671928440008720395")</f>
        <v>https://twitter.com/workshopdantas/status/1671928440008720395</v>
      </c>
      <c r="AF2108" s="79">
        <v>45099.715011574073</v>
      </c>
      <c r="AG2108" s="85">
        <v>45099</v>
      </c>
      <c r="AH2108" s="82" t="s">
        <v>9638</v>
      </c>
      <c r="AI2108" s="77" t="b">
        <v>0</v>
      </c>
      <c r="AJ2108" s="77"/>
      <c r="AK2108" s="77"/>
      <c r="AL2108" s="77"/>
      <c r="AM2108" s="77"/>
      <c r="AN2108" s="77"/>
      <c r="AO2108" s="77"/>
      <c r="AP2108" s="77"/>
      <c r="AQ2108" s="77" t="s">
        <v>11810</v>
      </c>
      <c r="AR2108" s="77"/>
      <c r="AS2108" s="77"/>
      <c r="AT2108" s="77"/>
      <c r="AU2108" s="77"/>
      <c r="AV2108" s="80" t="str">
        <f>HYPERLINK("https://pbs.twimg.com/media/FzPiDMeXwBsPfbe.jpg")</f>
        <v>https://pbs.twimg.com/media/FzPiDMeXwBsPfbe.jpg</v>
      </c>
      <c r="AW2108" s="82" t="s">
        <v>14266</v>
      </c>
      <c r="AX2108" s="82" t="s">
        <v>14266</v>
      </c>
      <c r="AY2108" s="77"/>
      <c r="AZ2108" s="82" t="s">
        <v>15804</v>
      </c>
      <c r="BA2108" s="82" t="s">
        <v>15804</v>
      </c>
      <c r="BB2108" s="82" t="s">
        <v>15804</v>
      </c>
      <c r="BC2108" s="82" t="s">
        <v>14266</v>
      </c>
      <c r="BD2108" s="82" t="s">
        <v>16500</v>
      </c>
      <c r="BE2108" s="77"/>
      <c r="BF2108" s="77"/>
      <c r="BG2108" s="77"/>
      <c r="BH2108" s="77"/>
      <c r="BI2108" s="77"/>
    </row>
    <row r="2109" spans="1:61" x14ac:dyDescent="0.25">
      <c r="A2109" s="62" t="s">
        <v>861</v>
      </c>
      <c r="B2109" s="62" t="s">
        <v>861</v>
      </c>
      <c r="C2109" s="63"/>
      <c r="D2109" s="64"/>
      <c r="E2109" s="65"/>
      <c r="F2109" s="66"/>
      <c r="G2109" s="63"/>
      <c r="H2109" s="67"/>
      <c r="I2109" s="68"/>
      <c r="J2109" s="68"/>
      <c r="K2109" s="32"/>
      <c r="L2109" s="75">
        <v>2109</v>
      </c>
      <c r="M2109" s="75"/>
      <c r="N2109" s="70"/>
      <c r="O2109" s="77" t="s">
        <v>179</v>
      </c>
      <c r="P2109" s="79">
        <v>45163.774074074077</v>
      </c>
      <c r="Q2109" s="77" t="s">
        <v>3155</v>
      </c>
      <c r="R2109" s="77">
        <v>0</v>
      </c>
      <c r="S2109" s="77">
        <v>0</v>
      </c>
      <c r="T2109" s="77">
        <v>0</v>
      </c>
      <c r="U2109" s="77">
        <v>0</v>
      </c>
      <c r="V2109" s="77">
        <v>37</v>
      </c>
      <c r="W2109" s="82" t="s">
        <v>5422</v>
      </c>
      <c r="X2109" s="77"/>
      <c r="Y2109" s="77"/>
      <c r="Z2109" s="77"/>
      <c r="AA2109" s="77" t="s">
        <v>7304</v>
      </c>
      <c r="AB2109" s="77" t="s">
        <v>7697</v>
      </c>
      <c r="AC2109" s="82" t="s">
        <v>7716</v>
      </c>
      <c r="AD2109" s="77" t="s">
        <v>7745</v>
      </c>
      <c r="AE2109" s="80" t="str">
        <f>HYPERLINK("https://twitter.com/betteroluciana/status/1695142665099063730")</f>
        <v>https://twitter.com/betteroluciana/status/1695142665099063730</v>
      </c>
      <c r="AF2109" s="79">
        <v>45163.774074074077</v>
      </c>
      <c r="AG2109" s="85">
        <v>45163</v>
      </c>
      <c r="AH2109" s="82" t="s">
        <v>9639</v>
      </c>
      <c r="AI2109" s="77" t="b">
        <v>0</v>
      </c>
      <c r="AJ2109" s="77"/>
      <c r="AK2109" s="77"/>
      <c r="AL2109" s="77"/>
      <c r="AM2109" s="77"/>
      <c r="AN2109" s="77"/>
      <c r="AO2109" s="77"/>
      <c r="AP2109" s="77"/>
      <c r="AQ2109" s="77" t="s">
        <v>11811</v>
      </c>
      <c r="AR2109" s="77">
        <v>58600</v>
      </c>
      <c r="AS2109" s="77"/>
      <c r="AT2109" s="77"/>
      <c r="AU2109" s="77">
        <v>11</v>
      </c>
      <c r="AV2109" s="80" t="str">
        <f>HYPERLINK("https://pbs.twimg.com/ext_tw_video_thumb/1695142611172937728/pu/img/dsM94Pk_0THmVJWF.jpg")</f>
        <v>https://pbs.twimg.com/ext_tw_video_thumb/1695142611172937728/pu/img/dsM94Pk_0THmVJWF.jpg</v>
      </c>
      <c r="AW2109" s="82" t="s">
        <v>14267</v>
      </c>
      <c r="AX2109" s="82" t="s">
        <v>14267</v>
      </c>
      <c r="AY2109" s="77"/>
      <c r="AZ2109" s="82" t="s">
        <v>15804</v>
      </c>
      <c r="BA2109" s="82" t="s">
        <v>15804</v>
      </c>
      <c r="BB2109" s="82" t="s">
        <v>15804</v>
      </c>
      <c r="BC2109" s="82" t="s">
        <v>14267</v>
      </c>
      <c r="BD2109" s="82" t="s">
        <v>16501</v>
      </c>
      <c r="BE2109" s="77"/>
      <c r="BF2109" s="77"/>
      <c r="BG2109" s="77"/>
      <c r="BH2109" s="77"/>
      <c r="BI2109" s="77"/>
    </row>
    <row r="2110" spans="1:61" x14ac:dyDescent="0.25">
      <c r="A2110" s="62" t="s">
        <v>861</v>
      </c>
      <c r="B2110" s="62" t="s">
        <v>861</v>
      </c>
      <c r="C2110" s="63"/>
      <c r="D2110" s="64"/>
      <c r="E2110" s="65"/>
      <c r="F2110" s="66"/>
      <c r="G2110" s="63"/>
      <c r="H2110" s="67"/>
      <c r="I2110" s="68"/>
      <c r="J2110" s="68"/>
      <c r="K2110" s="32"/>
      <c r="L2110" s="75">
        <v>2110</v>
      </c>
      <c r="M2110" s="75"/>
      <c r="N2110" s="70"/>
      <c r="O2110" s="77" t="s">
        <v>179</v>
      </c>
      <c r="P2110" s="79">
        <v>45167.578738425924</v>
      </c>
      <c r="Q2110" s="77" t="s">
        <v>3156</v>
      </c>
      <c r="R2110" s="77">
        <v>0</v>
      </c>
      <c r="S2110" s="77">
        <v>0</v>
      </c>
      <c r="T2110" s="77">
        <v>0</v>
      </c>
      <c r="U2110" s="77">
        <v>0</v>
      </c>
      <c r="V2110" s="77">
        <v>11</v>
      </c>
      <c r="W2110" s="82" t="s">
        <v>5423</v>
      </c>
      <c r="X2110" s="77"/>
      <c r="Y2110" s="77"/>
      <c r="Z2110" s="77"/>
      <c r="AA2110" s="77" t="s">
        <v>7305</v>
      </c>
      <c r="AB2110" s="77" t="s">
        <v>7697</v>
      </c>
      <c r="AC2110" s="82" t="s">
        <v>7716</v>
      </c>
      <c r="AD2110" s="77" t="s">
        <v>7745</v>
      </c>
      <c r="AE2110" s="80" t="str">
        <f>HYPERLINK("https://twitter.com/betteroluciana/status/1696521431289663873")</f>
        <v>https://twitter.com/betteroluciana/status/1696521431289663873</v>
      </c>
      <c r="AF2110" s="79">
        <v>45167.578738425924</v>
      </c>
      <c r="AG2110" s="85">
        <v>45167</v>
      </c>
      <c r="AH2110" s="82" t="s">
        <v>9640</v>
      </c>
      <c r="AI2110" s="77" t="b">
        <v>0</v>
      </c>
      <c r="AJ2110" s="77"/>
      <c r="AK2110" s="77"/>
      <c r="AL2110" s="77"/>
      <c r="AM2110" s="77"/>
      <c r="AN2110" s="77"/>
      <c r="AO2110" s="77"/>
      <c r="AP2110" s="77"/>
      <c r="AQ2110" s="77" t="s">
        <v>11812</v>
      </c>
      <c r="AR2110" s="77">
        <v>10933</v>
      </c>
      <c r="AS2110" s="77"/>
      <c r="AT2110" s="77"/>
      <c r="AU2110" s="77">
        <v>2</v>
      </c>
      <c r="AV2110" s="80" t="str">
        <f>HYPERLINK("https://pbs.twimg.com/ext_tw_video_thumb/1696521382627258368/pu/img/ifQB7pA4d0A8CAck.jpg")</f>
        <v>https://pbs.twimg.com/ext_tw_video_thumb/1696521382627258368/pu/img/ifQB7pA4d0A8CAck.jpg</v>
      </c>
      <c r="AW2110" s="82" t="s">
        <v>14268</v>
      </c>
      <c r="AX2110" s="82" t="s">
        <v>14268</v>
      </c>
      <c r="AY2110" s="77"/>
      <c r="AZ2110" s="82" t="s">
        <v>15804</v>
      </c>
      <c r="BA2110" s="82" t="s">
        <v>15804</v>
      </c>
      <c r="BB2110" s="82" t="s">
        <v>15804</v>
      </c>
      <c r="BC2110" s="82" t="s">
        <v>14268</v>
      </c>
      <c r="BD2110" s="82" t="s">
        <v>16501</v>
      </c>
      <c r="BE2110" s="77"/>
      <c r="BF2110" s="77"/>
      <c r="BG2110" s="77"/>
      <c r="BH2110" s="77"/>
      <c r="BI2110" s="77"/>
    </row>
    <row r="2111" spans="1:61" x14ac:dyDescent="0.25">
      <c r="A2111" s="62" t="s">
        <v>862</v>
      </c>
      <c r="B2111" s="62" t="s">
        <v>862</v>
      </c>
      <c r="C2111" s="63"/>
      <c r="D2111" s="64"/>
      <c r="E2111" s="65"/>
      <c r="F2111" s="66"/>
      <c r="G2111" s="63"/>
      <c r="H2111" s="67"/>
      <c r="I2111" s="68"/>
      <c r="J2111" s="68"/>
      <c r="K2111" s="32"/>
      <c r="L2111" s="75">
        <v>2111</v>
      </c>
      <c r="M2111" s="75"/>
      <c r="N2111" s="70"/>
      <c r="O2111" s="77" t="s">
        <v>179</v>
      </c>
      <c r="P2111" s="79">
        <v>44939.812638888892</v>
      </c>
      <c r="Q2111" s="77" t="s">
        <v>3157</v>
      </c>
      <c r="R2111" s="77">
        <v>0</v>
      </c>
      <c r="S2111" s="77">
        <v>9</v>
      </c>
      <c r="T2111" s="77">
        <v>0</v>
      </c>
      <c r="U2111" s="77">
        <v>0</v>
      </c>
      <c r="V2111" s="77">
        <v>980</v>
      </c>
      <c r="W2111" s="82" t="s">
        <v>4080</v>
      </c>
      <c r="X2111" s="80" t="str">
        <f>HYPERLINK("https://mundonegro.inf.br/educadores-financeiros-negros-dao-dicas-para-2023/")</f>
        <v>https://mundonegro.inf.br/educadores-financeiros-negros-dao-dicas-para-2023/</v>
      </c>
      <c r="Y2111" s="77" t="s">
        <v>6092</v>
      </c>
      <c r="Z2111" s="77"/>
      <c r="AA2111" s="77"/>
      <c r="AB2111" s="77"/>
      <c r="AC2111" s="82" t="s">
        <v>7708</v>
      </c>
      <c r="AD2111" s="77" t="s">
        <v>7745</v>
      </c>
      <c r="AE2111" s="80" t="str">
        <f>HYPERLINK("https://twitter.com/sitemundonegro/status/1613981758327820298")</f>
        <v>https://twitter.com/sitemundonegro/status/1613981758327820298</v>
      </c>
      <c r="AF2111" s="79">
        <v>44939.812638888892</v>
      </c>
      <c r="AG2111" s="85">
        <v>44939</v>
      </c>
      <c r="AH2111" s="82" t="s">
        <v>9641</v>
      </c>
      <c r="AI2111" s="77" t="b">
        <v>0</v>
      </c>
      <c r="AJ2111" s="77"/>
      <c r="AK2111" s="77"/>
      <c r="AL2111" s="77"/>
      <c r="AM2111" s="77"/>
      <c r="AN2111" s="77"/>
      <c r="AO2111" s="77"/>
      <c r="AP2111" s="77"/>
      <c r="AQ2111" s="77"/>
      <c r="AR2111" s="77"/>
      <c r="AS2111" s="77"/>
      <c r="AT2111" s="77"/>
      <c r="AU2111" s="77"/>
      <c r="AV2111" s="80" t="str">
        <f>HYPERLINK("https://pbs.twimg.com/profile_images/1675936326191837208/qo-9DKdl_normal.jpg")</f>
        <v>https://pbs.twimg.com/profile_images/1675936326191837208/qo-9DKdl_normal.jpg</v>
      </c>
      <c r="AW2111" s="82" t="s">
        <v>14269</v>
      </c>
      <c r="AX2111" s="82" t="s">
        <v>14269</v>
      </c>
      <c r="AY2111" s="77"/>
      <c r="AZ2111" s="82" t="s">
        <v>15804</v>
      </c>
      <c r="BA2111" s="82" t="s">
        <v>15804</v>
      </c>
      <c r="BB2111" s="82" t="s">
        <v>15804</v>
      </c>
      <c r="BC2111" s="82" t="s">
        <v>14269</v>
      </c>
      <c r="BD2111" s="77">
        <v>415236494</v>
      </c>
      <c r="BE2111" s="77"/>
      <c r="BF2111" s="77"/>
      <c r="BG2111" s="77"/>
      <c r="BH2111" s="77"/>
      <c r="BI2111" s="77"/>
    </row>
    <row r="2112" spans="1:61" x14ac:dyDescent="0.25">
      <c r="A2112" s="62" t="s">
        <v>863</v>
      </c>
      <c r="B2112" s="62" t="s">
        <v>863</v>
      </c>
      <c r="C2112" s="63"/>
      <c r="D2112" s="64"/>
      <c r="E2112" s="65"/>
      <c r="F2112" s="66"/>
      <c r="G2112" s="63"/>
      <c r="H2112" s="67"/>
      <c r="I2112" s="68"/>
      <c r="J2112" s="68"/>
      <c r="K2112" s="32"/>
      <c r="L2112" s="75">
        <v>2112</v>
      </c>
      <c r="M2112" s="75"/>
      <c r="N2112" s="70"/>
      <c r="O2112" s="77" t="s">
        <v>179</v>
      </c>
      <c r="P2112" s="79">
        <v>44940.990277777775</v>
      </c>
      <c r="Q2112" s="77" t="s">
        <v>3158</v>
      </c>
      <c r="R2112" s="77">
        <v>0</v>
      </c>
      <c r="S2112" s="77">
        <v>0</v>
      </c>
      <c r="T2112" s="77">
        <v>0</v>
      </c>
      <c r="U2112" s="77">
        <v>0</v>
      </c>
      <c r="V2112" s="77">
        <v>28</v>
      </c>
      <c r="W2112" s="82" t="s">
        <v>5424</v>
      </c>
      <c r="X2112" s="77"/>
      <c r="Y2112" s="77"/>
      <c r="Z2112" s="77"/>
      <c r="AA2112" s="77" t="s">
        <v>7306</v>
      </c>
      <c r="AB2112" s="77" t="s">
        <v>7696</v>
      </c>
      <c r="AC2112" s="82" t="s">
        <v>7707</v>
      </c>
      <c r="AD2112" s="77" t="s">
        <v>7746</v>
      </c>
      <c r="AE2112" s="80" t="str">
        <f>HYPERLINK("https://twitter.com/arnaldosantttos/status/1614408521172553728")</f>
        <v>https://twitter.com/arnaldosantttos/status/1614408521172553728</v>
      </c>
      <c r="AF2112" s="79">
        <v>44940.990277777775</v>
      </c>
      <c r="AG2112" s="85">
        <v>44940</v>
      </c>
      <c r="AH2112" s="82" t="s">
        <v>9642</v>
      </c>
      <c r="AI2112" s="77" t="b">
        <v>0</v>
      </c>
      <c r="AJ2112" s="77"/>
      <c r="AK2112" s="77"/>
      <c r="AL2112" s="77"/>
      <c r="AM2112" s="77"/>
      <c r="AN2112" s="77"/>
      <c r="AO2112" s="77"/>
      <c r="AP2112" s="77"/>
      <c r="AQ2112" s="77" t="s">
        <v>11813</v>
      </c>
      <c r="AR2112" s="77"/>
      <c r="AS2112" s="77"/>
      <c r="AT2112" s="77"/>
      <c r="AU2112" s="77"/>
      <c r="AV2112" s="80" t="str">
        <f>HYPERLINK("https://pbs.twimg.com/media/FmeH_nRWAAAcIgS.jpg")</f>
        <v>https://pbs.twimg.com/media/FmeH_nRWAAAcIgS.jpg</v>
      </c>
      <c r="AW2112" s="82" t="s">
        <v>14270</v>
      </c>
      <c r="AX2112" s="82" t="s">
        <v>14270</v>
      </c>
      <c r="AY2112" s="77"/>
      <c r="AZ2112" s="82" t="s">
        <v>15804</v>
      </c>
      <c r="BA2112" s="82" t="s">
        <v>15804</v>
      </c>
      <c r="BB2112" s="82" t="s">
        <v>15804</v>
      </c>
      <c r="BC2112" s="82" t="s">
        <v>14270</v>
      </c>
      <c r="BD2112" s="77">
        <v>3436686130</v>
      </c>
      <c r="BE2112" s="77"/>
      <c r="BF2112" s="77"/>
      <c r="BG2112" s="77"/>
      <c r="BH2112" s="77"/>
      <c r="BI2112" s="77"/>
    </row>
    <row r="2113" spans="1:61" x14ac:dyDescent="0.25">
      <c r="A2113" s="62" t="s">
        <v>864</v>
      </c>
      <c r="B2113" s="62" t="s">
        <v>864</v>
      </c>
      <c r="C2113" s="63"/>
      <c r="D2113" s="64"/>
      <c r="E2113" s="65"/>
      <c r="F2113" s="66"/>
      <c r="G2113" s="63"/>
      <c r="H2113" s="67"/>
      <c r="I2113" s="68"/>
      <c r="J2113" s="68"/>
      <c r="K2113" s="32"/>
      <c r="L2113" s="75">
        <v>2113</v>
      </c>
      <c r="M2113" s="75"/>
      <c r="N2113" s="70"/>
      <c r="O2113" s="77" t="s">
        <v>179</v>
      </c>
      <c r="P2113" s="79">
        <v>44968.723634259259</v>
      </c>
      <c r="Q2113" s="77" t="s">
        <v>3159</v>
      </c>
      <c r="R2113" s="77">
        <v>0</v>
      </c>
      <c r="S2113" s="77">
        <v>3</v>
      </c>
      <c r="T2113" s="77">
        <v>0</v>
      </c>
      <c r="U2113" s="77">
        <v>0</v>
      </c>
      <c r="V2113" s="77">
        <v>120</v>
      </c>
      <c r="W2113" s="82" t="s">
        <v>4080</v>
      </c>
      <c r="X2113" s="77"/>
      <c r="Y2113" s="77"/>
      <c r="Z2113" s="77"/>
      <c r="AA2113" s="77"/>
      <c r="AB2113" s="77"/>
      <c r="AC2113" s="82" t="s">
        <v>7705</v>
      </c>
      <c r="AD2113" s="77" t="s">
        <v>7745</v>
      </c>
      <c r="AE2113" s="80" t="str">
        <f>HYPERLINK("https://twitter.com/chocolatefabiu/status/1624458752840564737")</f>
        <v>https://twitter.com/chocolatefabiu/status/1624458752840564737</v>
      </c>
      <c r="AF2113" s="79">
        <v>44968.723634259259</v>
      </c>
      <c r="AG2113" s="85">
        <v>44968</v>
      </c>
      <c r="AH2113" s="82" t="s">
        <v>8968</v>
      </c>
      <c r="AI2113" s="77"/>
      <c r="AJ2113" s="77"/>
      <c r="AK2113" s="77"/>
      <c r="AL2113" s="77"/>
      <c r="AM2113" s="77"/>
      <c r="AN2113" s="77"/>
      <c r="AO2113" s="77"/>
      <c r="AP2113" s="77"/>
      <c r="AQ2113" s="77"/>
      <c r="AR2113" s="77"/>
      <c r="AS2113" s="77"/>
      <c r="AT2113" s="77"/>
      <c r="AU2113" s="77"/>
      <c r="AV2113" s="80" t="str">
        <f>HYPERLINK("https://pbs.twimg.com/profile_images/1611107899660435458/5cdrIfOF_normal.jpg")</f>
        <v>https://pbs.twimg.com/profile_images/1611107899660435458/5cdrIfOF_normal.jpg</v>
      </c>
      <c r="AW2113" s="82" t="s">
        <v>14271</v>
      </c>
      <c r="AX2113" s="82" t="s">
        <v>14271</v>
      </c>
      <c r="AY2113" s="77"/>
      <c r="AZ2113" s="82" t="s">
        <v>15804</v>
      </c>
      <c r="BA2113" s="82" t="s">
        <v>15804</v>
      </c>
      <c r="BB2113" s="82" t="s">
        <v>15804</v>
      </c>
      <c r="BC2113" s="82" t="s">
        <v>14271</v>
      </c>
      <c r="BD2113" s="82" t="s">
        <v>16502</v>
      </c>
      <c r="BE2113" s="77"/>
      <c r="BF2113" s="77"/>
      <c r="BG2113" s="77"/>
      <c r="BH2113" s="77"/>
      <c r="BI2113" s="77"/>
    </row>
    <row r="2114" spans="1:61" x14ac:dyDescent="0.25">
      <c r="A2114" s="62" t="s">
        <v>865</v>
      </c>
      <c r="B2114" s="62" t="s">
        <v>865</v>
      </c>
      <c r="C2114" s="63"/>
      <c r="D2114" s="64"/>
      <c r="E2114" s="65"/>
      <c r="F2114" s="66"/>
      <c r="G2114" s="63"/>
      <c r="H2114" s="67"/>
      <c r="I2114" s="68"/>
      <c r="J2114" s="68"/>
      <c r="K2114" s="32"/>
      <c r="L2114" s="75">
        <v>2114</v>
      </c>
      <c r="M2114" s="75"/>
      <c r="N2114" s="70"/>
      <c r="O2114" s="77" t="s">
        <v>179</v>
      </c>
      <c r="P2114" s="79">
        <v>45151.625902777778</v>
      </c>
      <c r="Q2114" s="77" t="s">
        <v>3160</v>
      </c>
      <c r="R2114" s="77">
        <v>0</v>
      </c>
      <c r="S2114" s="77">
        <v>0</v>
      </c>
      <c r="T2114" s="77">
        <v>0</v>
      </c>
      <c r="U2114" s="77">
        <v>0</v>
      </c>
      <c r="V2114" s="77">
        <v>29</v>
      </c>
      <c r="W2114" s="82" t="s">
        <v>5425</v>
      </c>
      <c r="X2114" s="77"/>
      <c r="Y2114" s="77"/>
      <c r="Z2114" s="77"/>
      <c r="AA2114" s="77" t="s">
        <v>7307</v>
      </c>
      <c r="AB2114" s="77" t="s">
        <v>7697</v>
      </c>
      <c r="AC2114" s="82" t="s">
        <v>7707</v>
      </c>
      <c r="AD2114" s="77" t="s">
        <v>7745</v>
      </c>
      <c r="AE2114" s="80" t="str">
        <f>HYPERLINK("https://twitter.com/forkthebank/status/1690740317513826304")</f>
        <v>https://twitter.com/forkthebank/status/1690740317513826304</v>
      </c>
      <c r="AF2114" s="79">
        <v>45151.625902777778</v>
      </c>
      <c r="AG2114" s="85">
        <v>45151</v>
      </c>
      <c r="AH2114" s="82" t="s">
        <v>9643</v>
      </c>
      <c r="AI2114" s="77" t="b">
        <v>0</v>
      </c>
      <c r="AJ2114" s="77"/>
      <c r="AK2114" s="77"/>
      <c r="AL2114" s="77"/>
      <c r="AM2114" s="77"/>
      <c r="AN2114" s="77"/>
      <c r="AO2114" s="77"/>
      <c r="AP2114" s="77"/>
      <c r="AQ2114" s="77" t="s">
        <v>11814</v>
      </c>
      <c r="AR2114" s="77">
        <v>102520</v>
      </c>
      <c r="AS2114" s="77"/>
      <c r="AT2114" s="77"/>
      <c r="AU2114" s="77">
        <v>3</v>
      </c>
      <c r="AV2114" s="80" t="str">
        <f>HYPERLINK("https://pbs.twimg.com/ext_tw_video_thumb/1690740247468908544/pu/img/k00cBq67maMrPaZ8.jpg")</f>
        <v>https://pbs.twimg.com/ext_tw_video_thumb/1690740247468908544/pu/img/k00cBq67maMrPaZ8.jpg</v>
      </c>
      <c r="AW2114" s="82" t="s">
        <v>14272</v>
      </c>
      <c r="AX2114" s="82" t="s">
        <v>14272</v>
      </c>
      <c r="AY2114" s="77"/>
      <c r="AZ2114" s="82" t="s">
        <v>15804</v>
      </c>
      <c r="BA2114" s="82" t="s">
        <v>15804</v>
      </c>
      <c r="BB2114" s="82" t="s">
        <v>15804</v>
      </c>
      <c r="BC2114" s="82" t="s">
        <v>14272</v>
      </c>
      <c r="BD2114" s="82" t="s">
        <v>16503</v>
      </c>
      <c r="BE2114" s="77"/>
      <c r="BF2114" s="77"/>
      <c r="BG2114" s="77"/>
      <c r="BH2114" s="77"/>
      <c r="BI2114" s="77"/>
    </row>
    <row r="2115" spans="1:61" x14ac:dyDescent="0.25">
      <c r="A2115" s="62" t="s">
        <v>866</v>
      </c>
      <c r="B2115" s="62" t="s">
        <v>866</v>
      </c>
      <c r="C2115" s="63"/>
      <c r="D2115" s="64"/>
      <c r="E2115" s="65"/>
      <c r="F2115" s="66"/>
      <c r="G2115" s="63"/>
      <c r="H2115" s="67"/>
      <c r="I2115" s="68"/>
      <c r="J2115" s="68"/>
      <c r="K2115" s="32"/>
      <c r="L2115" s="75">
        <v>2115</v>
      </c>
      <c r="M2115" s="75"/>
      <c r="N2115" s="70"/>
      <c r="O2115" s="77" t="s">
        <v>179</v>
      </c>
      <c r="P2115" s="79">
        <v>45042.961458333331</v>
      </c>
      <c r="Q2115" s="77" t="s">
        <v>3161</v>
      </c>
      <c r="R2115" s="77">
        <v>0</v>
      </c>
      <c r="S2115" s="77">
        <v>0</v>
      </c>
      <c r="T2115" s="77">
        <v>0</v>
      </c>
      <c r="U2115" s="77">
        <v>0</v>
      </c>
      <c r="V2115" s="77">
        <v>24</v>
      </c>
      <c r="W2115" s="82" t="s">
        <v>5426</v>
      </c>
      <c r="X2115" s="80" t="str">
        <f>HYPERLINK("https://consorciodecarro.page.link/informe-se")</f>
        <v>https://consorciodecarro.page.link/informe-se</v>
      </c>
      <c r="Y2115" s="77" t="s">
        <v>6038</v>
      </c>
      <c r="Z2115" s="77"/>
      <c r="AA2115" s="77" t="s">
        <v>7308</v>
      </c>
      <c r="AB2115" s="77" t="s">
        <v>7696</v>
      </c>
      <c r="AC2115" s="82" t="s">
        <v>7723</v>
      </c>
      <c r="AD2115" s="77" t="s">
        <v>7745</v>
      </c>
      <c r="AE2115" s="80" t="str">
        <f>HYPERLINK("https://twitter.com/consorciodecarr/status/1651361640539930625")</f>
        <v>https://twitter.com/consorciodecarr/status/1651361640539930625</v>
      </c>
      <c r="AF2115" s="79">
        <v>45042.961458333331</v>
      </c>
      <c r="AG2115" s="85">
        <v>45042</v>
      </c>
      <c r="AH2115" s="82" t="s">
        <v>9644</v>
      </c>
      <c r="AI2115" s="77" t="b">
        <v>0</v>
      </c>
      <c r="AJ2115" s="77"/>
      <c r="AK2115" s="77"/>
      <c r="AL2115" s="77"/>
      <c r="AM2115" s="77"/>
      <c r="AN2115" s="77"/>
      <c r="AO2115" s="77"/>
      <c r="AP2115" s="77"/>
      <c r="AQ2115" s="77" t="s">
        <v>11815</v>
      </c>
      <c r="AR2115" s="77"/>
      <c r="AS2115" s="77"/>
      <c r="AT2115" s="77"/>
      <c r="AU2115" s="77"/>
      <c r="AV2115" s="80" t="str">
        <f>HYPERLINK("https://pbs.twimg.com/media/FurQqS8WIAI2C5s.jpg")</f>
        <v>https://pbs.twimg.com/media/FurQqS8WIAI2C5s.jpg</v>
      </c>
      <c r="AW2115" s="82" t="s">
        <v>14273</v>
      </c>
      <c r="AX2115" s="82" t="s">
        <v>14273</v>
      </c>
      <c r="AY2115" s="77"/>
      <c r="AZ2115" s="82" t="s">
        <v>15804</v>
      </c>
      <c r="BA2115" s="82" t="s">
        <v>15804</v>
      </c>
      <c r="BB2115" s="82" t="s">
        <v>15804</v>
      </c>
      <c r="BC2115" s="82" t="s">
        <v>14273</v>
      </c>
      <c r="BD2115" s="82" t="s">
        <v>16504</v>
      </c>
      <c r="BE2115" s="77"/>
      <c r="BF2115" s="77"/>
      <c r="BG2115" s="77"/>
      <c r="BH2115" s="77"/>
      <c r="BI2115" s="77"/>
    </row>
    <row r="2116" spans="1:61" x14ac:dyDescent="0.25">
      <c r="A2116" s="62" t="s">
        <v>867</v>
      </c>
      <c r="B2116" s="62" t="s">
        <v>867</v>
      </c>
      <c r="C2116" s="63"/>
      <c r="D2116" s="64"/>
      <c r="E2116" s="65"/>
      <c r="F2116" s="66"/>
      <c r="G2116" s="63"/>
      <c r="H2116" s="67"/>
      <c r="I2116" s="68"/>
      <c r="J2116" s="68"/>
      <c r="K2116" s="32"/>
      <c r="L2116" s="75">
        <v>2116</v>
      </c>
      <c r="M2116" s="75"/>
      <c r="N2116" s="70"/>
      <c r="O2116" s="77" t="s">
        <v>179</v>
      </c>
      <c r="P2116" s="79">
        <v>45029.513483796298</v>
      </c>
      <c r="Q2116" s="77" t="s">
        <v>3162</v>
      </c>
      <c r="R2116" s="77">
        <v>0</v>
      </c>
      <c r="S2116" s="77">
        <v>0</v>
      </c>
      <c r="T2116" s="77">
        <v>0</v>
      </c>
      <c r="U2116" s="77">
        <v>0</v>
      </c>
      <c r="V2116" s="77">
        <v>5</v>
      </c>
      <c r="W2116" s="82" t="s">
        <v>5427</v>
      </c>
      <c r="X2116" s="77"/>
      <c r="Y2116" s="77"/>
      <c r="Z2116" s="77"/>
      <c r="AA2116" s="77"/>
      <c r="AB2116" s="77"/>
      <c r="AC2116" s="82" t="s">
        <v>7706</v>
      </c>
      <c r="AD2116" s="77" t="s">
        <v>7745</v>
      </c>
      <c r="AE2116" s="80" t="str">
        <f>HYPERLINK("https://twitter.com/capacita_ec/status/1646488257176190979")</f>
        <v>https://twitter.com/capacita_ec/status/1646488257176190979</v>
      </c>
      <c r="AF2116" s="79">
        <v>45029.513483796298</v>
      </c>
      <c r="AG2116" s="85">
        <v>45029</v>
      </c>
      <c r="AH2116" s="82" t="s">
        <v>9645</v>
      </c>
      <c r="AI2116" s="77"/>
      <c r="AJ2116" s="77"/>
      <c r="AK2116" s="77"/>
      <c r="AL2116" s="77"/>
      <c r="AM2116" s="77"/>
      <c r="AN2116" s="77"/>
      <c r="AO2116" s="77"/>
      <c r="AP2116" s="77"/>
      <c r="AQ2116" s="77"/>
      <c r="AR2116" s="77"/>
      <c r="AS2116" s="77"/>
      <c r="AT2116" s="77"/>
      <c r="AU2116" s="77"/>
      <c r="AV2116" s="80" t="str">
        <f>HYPERLINK("https://pbs.twimg.com/profile_images/1646482484161290243/ZwEr8dEq_normal.jpg")</f>
        <v>https://pbs.twimg.com/profile_images/1646482484161290243/ZwEr8dEq_normal.jpg</v>
      </c>
      <c r="AW2116" s="82" t="s">
        <v>14274</v>
      </c>
      <c r="AX2116" s="82" t="s">
        <v>14274</v>
      </c>
      <c r="AY2116" s="77"/>
      <c r="AZ2116" s="82" t="s">
        <v>15804</v>
      </c>
      <c r="BA2116" s="82" t="s">
        <v>15804</v>
      </c>
      <c r="BB2116" s="82" t="s">
        <v>15804</v>
      </c>
      <c r="BC2116" s="82" t="s">
        <v>14274</v>
      </c>
      <c r="BD2116" s="82" t="s">
        <v>16505</v>
      </c>
      <c r="BE2116" s="77"/>
      <c r="BF2116" s="77"/>
      <c r="BG2116" s="77"/>
      <c r="BH2116" s="77"/>
      <c r="BI2116" s="77"/>
    </row>
    <row r="2117" spans="1:61" x14ac:dyDescent="0.25">
      <c r="A2117" s="62" t="s">
        <v>868</v>
      </c>
      <c r="B2117" s="62" t="s">
        <v>868</v>
      </c>
      <c r="C2117" s="63"/>
      <c r="D2117" s="64"/>
      <c r="E2117" s="65"/>
      <c r="F2117" s="66"/>
      <c r="G2117" s="63"/>
      <c r="H2117" s="67"/>
      <c r="I2117" s="68"/>
      <c r="J2117" s="68"/>
      <c r="K2117" s="32"/>
      <c r="L2117" s="75">
        <v>2117</v>
      </c>
      <c r="M2117" s="75"/>
      <c r="N2117" s="70"/>
      <c r="O2117" s="77" t="s">
        <v>179</v>
      </c>
      <c r="P2117" s="79">
        <v>45056.493055555555</v>
      </c>
      <c r="Q2117" s="77" t="s">
        <v>3163</v>
      </c>
      <c r="R2117" s="77">
        <v>811</v>
      </c>
      <c r="S2117" s="77">
        <v>4289</v>
      </c>
      <c r="T2117" s="77">
        <v>2549</v>
      </c>
      <c r="U2117" s="77">
        <v>265</v>
      </c>
      <c r="V2117" s="77">
        <v>224516</v>
      </c>
      <c r="W2117" s="77"/>
      <c r="X2117" s="80" t="str">
        <f>HYPERLINK("https://revistaoeste.com/politica/randolfe-rodrigues-associa-telegram-ao-nazismo/")</f>
        <v>https://revistaoeste.com/politica/randolfe-rodrigues-associa-telegram-ao-nazismo/</v>
      </c>
      <c r="Y2117" s="77" t="s">
        <v>6093</v>
      </c>
      <c r="Z2117" s="77"/>
      <c r="AA2117" s="77"/>
      <c r="AB2117" s="77"/>
      <c r="AC2117" s="82" t="s">
        <v>7742</v>
      </c>
      <c r="AD2117" s="77" t="s">
        <v>7745</v>
      </c>
      <c r="AE2117" s="80" t="str">
        <f>HYPERLINK("https://twitter.com/revistaoeste/status/1656265328651825153")</f>
        <v>https://twitter.com/revistaoeste/status/1656265328651825153</v>
      </c>
      <c r="AF2117" s="79">
        <v>45056.493055555555</v>
      </c>
      <c r="AG2117" s="85">
        <v>45056</v>
      </c>
      <c r="AH2117" s="82" t="s">
        <v>9646</v>
      </c>
      <c r="AI2117" s="77" t="b">
        <v>0</v>
      </c>
      <c r="AJ2117" s="77"/>
      <c r="AK2117" s="77"/>
      <c r="AL2117" s="77"/>
      <c r="AM2117" s="77"/>
      <c r="AN2117" s="77"/>
      <c r="AO2117" s="77"/>
      <c r="AP2117" s="77"/>
      <c r="AQ2117" s="77"/>
      <c r="AR2117" s="77"/>
      <c r="AS2117" s="77"/>
      <c r="AT2117" s="77"/>
      <c r="AU2117" s="77"/>
      <c r="AV2117" s="80" t="str">
        <f>HYPERLINK("https://pbs.twimg.com/profile_images/1384152837223903241/67NM0rtX_normal.jpg")</f>
        <v>https://pbs.twimg.com/profile_images/1384152837223903241/67NM0rtX_normal.jpg</v>
      </c>
      <c r="AW2117" s="82" t="s">
        <v>14275</v>
      </c>
      <c r="AX2117" s="82" t="s">
        <v>14275</v>
      </c>
      <c r="AY2117" s="77"/>
      <c r="AZ2117" s="82" t="s">
        <v>15804</v>
      </c>
      <c r="BA2117" s="82" t="s">
        <v>15804</v>
      </c>
      <c r="BB2117" s="82" t="s">
        <v>15804</v>
      </c>
      <c r="BC2117" s="82" t="s">
        <v>14275</v>
      </c>
      <c r="BD2117" s="82" t="s">
        <v>16506</v>
      </c>
      <c r="BE2117" s="77"/>
      <c r="BF2117" s="77"/>
      <c r="BG2117" s="77"/>
      <c r="BH2117" s="77"/>
      <c r="BI2117" s="77"/>
    </row>
    <row r="2118" spans="1:61" x14ac:dyDescent="0.25">
      <c r="A2118" s="62" t="s">
        <v>869</v>
      </c>
      <c r="B2118" s="62" t="s">
        <v>868</v>
      </c>
      <c r="C2118" s="63"/>
      <c r="D2118" s="64"/>
      <c r="E2118" s="65"/>
      <c r="F2118" s="66"/>
      <c r="G2118" s="63"/>
      <c r="H2118" s="67"/>
      <c r="I2118" s="68"/>
      <c r="J2118" s="68"/>
      <c r="K2118" s="32"/>
      <c r="L2118" s="75">
        <v>2118</v>
      </c>
      <c r="M2118" s="75"/>
      <c r="N2118" s="70"/>
      <c r="O2118" s="77" t="s">
        <v>1135</v>
      </c>
      <c r="P2118" s="79">
        <v>45056.828159722223</v>
      </c>
      <c r="Q2118" s="77" t="s">
        <v>3164</v>
      </c>
      <c r="R2118" s="77">
        <v>0</v>
      </c>
      <c r="S2118" s="77">
        <v>0</v>
      </c>
      <c r="T2118" s="77">
        <v>3</v>
      </c>
      <c r="U2118" s="77">
        <v>0</v>
      </c>
      <c r="V2118" s="77">
        <v>119</v>
      </c>
      <c r="W2118" s="82" t="s">
        <v>5428</v>
      </c>
      <c r="X2118" s="77"/>
      <c r="Y2118" s="77"/>
      <c r="Z2118" s="77"/>
      <c r="AA2118" s="77"/>
      <c r="AB2118" s="77"/>
      <c r="AC2118" s="82" t="s">
        <v>7707</v>
      </c>
      <c r="AD2118" s="77" t="s">
        <v>7748</v>
      </c>
      <c r="AE2118" s="80" t="str">
        <f>HYPERLINK("https://twitter.com/marcoscleberc/status/1656386763395325953")</f>
        <v>https://twitter.com/marcoscleberc/status/1656386763395325953</v>
      </c>
      <c r="AF2118" s="79">
        <v>45056.828159722223</v>
      </c>
      <c r="AG2118" s="85">
        <v>45056</v>
      </c>
      <c r="AH2118" s="82" t="s">
        <v>9647</v>
      </c>
      <c r="AI2118" s="77"/>
      <c r="AJ2118" s="77"/>
      <c r="AK2118" s="77"/>
      <c r="AL2118" s="77"/>
      <c r="AM2118" s="77"/>
      <c r="AN2118" s="77"/>
      <c r="AO2118" s="77"/>
      <c r="AP2118" s="77"/>
      <c r="AQ2118" s="77"/>
      <c r="AR2118" s="77"/>
      <c r="AS2118" s="77"/>
      <c r="AT2118" s="77"/>
      <c r="AU2118" s="77"/>
      <c r="AV2118" s="80" t="str">
        <f>HYPERLINK("https://pbs.twimg.com/profile_images/1615829050617995264/1VDz8hUY_normal.jpg")</f>
        <v>https://pbs.twimg.com/profile_images/1615829050617995264/1VDz8hUY_normal.jpg</v>
      </c>
      <c r="AW2118" s="82" t="s">
        <v>14276</v>
      </c>
      <c r="AX2118" s="82" t="s">
        <v>14276</v>
      </c>
      <c r="AY2118" s="77"/>
      <c r="AZ2118" s="82" t="s">
        <v>15804</v>
      </c>
      <c r="BA2118" s="82" t="s">
        <v>14275</v>
      </c>
      <c r="BB2118" s="82" t="s">
        <v>15804</v>
      </c>
      <c r="BC2118" s="82" t="s">
        <v>14275</v>
      </c>
      <c r="BD2118" s="77">
        <v>36052366</v>
      </c>
      <c r="BE2118" s="77"/>
      <c r="BF2118" s="77"/>
      <c r="BG2118" s="77"/>
      <c r="BH2118" s="77"/>
      <c r="BI2118" s="77"/>
    </row>
    <row r="2119" spans="1:61" x14ac:dyDescent="0.25">
      <c r="A2119" s="62" t="s">
        <v>870</v>
      </c>
      <c r="B2119" s="62" t="s">
        <v>870</v>
      </c>
      <c r="C2119" s="63"/>
      <c r="D2119" s="64"/>
      <c r="E2119" s="65"/>
      <c r="F2119" s="66"/>
      <c r="G2119" s="63"/>
      <c r="H2119" s="67"/>
      <c r="I2119" s="68"/>
      <c r="J2119" s="68"/>
      <c r="K2119" s="32"/>
      <c r="L2119" s="75">
        <v>2119</v>
      </c>
      <c r="M2119" s="75"/>
      <c r="N2119" s="70"/>
      <c r="O2119" s="77" t="s">
        <v>179</v>
      </c>
      <c r="P2119" s="79">
        <v>45003.51221064815</v>
      </c>
      <c r="Q2119" s="77" t="s">
        <v>3165</v>
      </c>
      <c r="R2119" s="77">
        <v>0</v>
      </c>
      <c r="S2119" s="77">
        <v>3</v>
      </c>
      <c r="T2119" s="77">
        <v>0</v>
      </c>
      <c r="U2119" s="77">
        <v>1</v>
      </c>
      <c r="V2119" s="77">
        <v>362</v>
      </c>
      <c r="W2119" s="77"/>
      <c r="X2119" s="80" t="str">
        <f>HYPERLINK("https://joaokepler.medium.com/qual-a-diferen%C3%A7a-entre-ganhar-e-fazer-dinheiro-d60925f4c09e")</f>
        <v>https://joaokepler.medium.com/qual-a-diferen%C3%A7a-entre-ganhar-e-fazer-dinheiro-d60925f4c09e</v>
      </c>
      <c r="Y2119" s="77" t="s">
        <v>6005</v>
      </c>
      <c r="Z2119" s="77"/>
      <c r="AA2119" s="77" t="s">
        <v>7309</v>
      </c>
      <c r="AB2119" s="77" t="s">
        <v>7696</v>
      </c>
      <c r="AC2119" s="82" t="s">
        <v>7706</v>
      </c>
      <c r="AD2119" s="77" t="s">
        <v>7745</v>
      </c>
      <c r="AE2119" s="80" t="str">
        <f>HYPERLINK("https://twitter.com/joaokepler/status/1637065713578913794")</f>
        <v>https://twitter.com/joaokepler/status/1637065713578913794</v>
      </c>
      <c r="AF2119" s="79">
        <v>45003.51221064815</v>
      </c>
      <c r="AG2119" s="85">
        <v>45003</v>
      </c>
      <c r="AH2119" s="82" t="s">
        <v>9648</v>
      </c>
      <c r="AI2119" s="77" t="b">
        <v>0</v>
      </c>
      <c r="AJ2119" s="77"/>
      <c r="AK2119" s="77"/>
      <c r="AL2119" s="77"/>
      <c r="AM2119" s="77"/>
      <c r="AN2119" s="77"/>
      <c r="AO2119" s="77"/>
      <c r="AP2119" s="77"/>
      <c r="AQ2119" s="77" t="s">
        <v>11816</v>
      </c>
      <c r="AR2119" s="77"/>
      <c r="AS2119" s="77"/>
      <c r="AT2119" s="77"/>
      <c r="AU2119" s="77"/>
      <c r="AV2119" s="80" t="str">
        <f>HYPERLINK("https://pbs.twimg.com/media/FrgGgN8WwAUcNlr.jpg")</f>
        <v>https://pbs.twimg.com/media/FrgGgN8WwAUcNlr.jpg</v>
      </c>
      <c r="AW2119" s="82" t="s">
        <v>14277</v>
      </c>
      <c r="AX2119" s="82" t="s">
        <v>14277</v>
      </c>
      <c r="AY2119" s="77"/>
      <c r="AZ2119" s="82" t="s">
        <v>15804</v>
      </c>
      <c r="BA2119" s="82" t="s">
        <v>15804</v>
      </c>
      <c r="BB2119" s="82" t="s">
        <v>15804</v>
      </c>
      <c r="BC2119" s="82" t="s">
        <v>14277</v>
      </c>
      <c r="BD2119" s="77">
        <v>27064481</v>
      </c>
      <c r="BE2119" s="77"/>
      <c r="BF2119" s="77"/>
      <c r="BG2119" s="77"/>
      <c r="BH2119" s="77"/>
      <c r="BI2119" s="77"/>
    </row>
    <row r="2120" spans="1:61" x14ac:dyDescent="0.25">
      <c r="A2120" s="62" t="s">
        <v>871</v>
      </c>
      <c r="B2120" s="62" t="s">
        <v>871</v>
      </c>
      <c r="C2120" s="63"/>
      <c r="D2120" s="64"/>
      <c r="E2120" s="65"/>
      <c r="F2120" s="66"/>
      <c r="G2120" s="63"/>
      <c r="H2120" s="67"/>
      <c r="I2120" s="68"/>
      <c r="J2120" s="68"/>
      <c r="K2120" s="32"/>
      <c r="L2120" s="75">
        <v>2120</v>
      </c>
      <c r="M2120" s="75"/>
      <c r="N2120" s="70"/>
      <c r="O2120" s="77" t="s">
        <v>179</v>
      </c>
      <c r="P2120" s="79">
        <v>45136.982951388891</v>
      </c>
      <c r="Q2120" s="77" t="s">
        <v>3166</v>
      </c>
      <c r="R2120" s="77">
        <v>0</v>
      </c>
      <c r="S2120" s="77">
        <v>0</v>
      </c>
      <c r="T2120" s="77">
        <v>0</v>
      </c>
      <c r="U2120" s="77">
        <v>0</v>
      </c>
      <c r="V2120" s="77">
        <v>8</v>
      </c>
      <c r="W2120" s="82" t="s">
        <v>5429</v>
      </c>
      <c r="X2120" s="77"/>
      <c r="Y2120" s="77"/>
      <c r="Z2120" s="77"/>
      <c r="AA2120" s="77"/>
      <c r="AB2120" s="77"/>
      <c r="AC2120" s="82" t="s">
        <v>7707</v>
      </c>
      <c r="AD2120" s="77" t="s">
        <v>7745</v>
      </c>
      <c r="AE2120" s="80" t="str">
        <f>HYPERLINK("https://twitter.com/felipeinvestiu/status/1685433887755763712")</f>
        <v>https://twitter.com/felipeinvestiu/status/1685433887755763712</v>
      </c>
      <c r="AF2120" s="79">
        <v>45136.982951388891</v>
      </c>
      <c r="AG2120" s="85">
        <v>45136</v>
      </c>
      <c r="AH2120" s="82" t="s">
        <v>7893</v>
      </c>
      <c r="AI2120" s="77"/>
      <c r="AJ2120" s="77"/>
      <c r="AK2120" s="77"/>
      <c r="AL2120" s="77"/>
      <c r="AM2120" s="77"/>
      <c r="AN2120" s="77"/>
      <c r="AO2120" s="77"/>
      <c r="AP2120" s="77"/>
      <c r="AQ2120" s="77"/>
      <c r="AR2120" s="77"/>
      <c r="AS2120" s="77"/>
      <c r="AT2120" s="77"/>
      <c r="AU2120" s="77"/>
      <c r="AV2120" s="80" t="str">
        <f>HYPERLINK("https://pbs.twimg.com/profile_images/1685424702607548416/jlKMaV9F_normal.jpg")</f>
        <v>https://pbs.twimg.com/profile_images/1685424702607548416/jlKMaV9F_normal.jpg</v>
      </c>
      <c r="AW2120" s="82" t="s">
        <v>14278</v>
      </c>
      <c r="AX2120" s="82" t="s">
        <v>14278</v>
      </c>
      <c r="AY2120" s="77"/>
      <c r="AZ2120" s="82" t="s">
        <v>15804</v>
      </c>
      <c r="BA2120" s="82" t="s">
        <v>15804</v>
      </c>
      <c r="BB2120" s="82" t="s">
        <v>15804</v>
      </c>
      <c r="BC2120" s="82" t="s">
        <v>14278</v>
      </c>
      <c r="BD2120" s="82" t="s">
        <v>16507</v>
      </c>
      <c r="BE2120" s="77"/>
      <c r="BF2120" s="77"/>
      <c r="BG2120" s="77"/>
      <c r="BH2120" s="77"/>
      <c r="BI2120" s="77"/>
    </row>
    <row r="2121" spans="1:61" x14ac:dyDescent="0.25">
      <c r="A2121" s="62" t="s">
        <v>872</v>
      </c>
      <c r="B2121" s="62" t="s">
        <v>872</v>
      </c>
      <c r="C2121" s="63"/>
      <c r="D2121" s="64"/>
      <c r="E2121" s="65"/>
      <c r="F2121" s="66"/>
      <c r="G2121" s="63"/>
      <c r="H2121" s="67"/>
      <c r="I2121" s="68"/>
      <c r="J2121" s="68"/>
      <c r="K2121" s="32"/>
      <c r="L2121" s="75">
        <v>2121</v>
      </c>
      <c r="M2121" s="75"/>
      <c r="N2121" s="70"/>
      <c r="O2121" s="77" t="s">
        <v>179</v>
      </c>
      <c r="P2121" s="79">
        <v>45102.623993055553</v>
      </c>
      <c r="Q2121" s="77" t="s">
        <v>3167</v>
      </c>
      <c r="R2121" s="77">
        <v>1</v>
      </c>
      <c r="S2121" s="77">
        <v>1</v>
      </c>
      <c r="T2121" s="77">
        <v>0</v>
      </c>
      <c r="U2121" s="77">
        <v>0</v>
      </c>
      <c r="V2121" s="77">
        <v>50</v>
      </c>
      <c r="W2121" s="82" t="s">
        <v>5430</v>
      </c>
      <c r="X2121" s="80" t="str">
        <f>HYPERLINK("https://redeeconofin.wixsite.com/econofin-inicio/post/infla%C3%A7%C3%A3o-o-que-%C3%A9-causas-e-como-se-proteger-guia-completo")</f>
        <v>https://redeeconofin.wixsite.com/econofin-inicio/post/infla%C3%A7%C3%A3o-o-que-%C3%A9-causas-e-como-se-proteger-guia-completo</v>
      </c>
      <c r="Y2121" s="77" t="s">
        <v>6094</v>
      </c>
      <c r="Z2121" s="77"/>
      <c r="AA2121" s="77"/>
      <c r="AB2121" s="77"/>
      <c r="AC2121" s="82" t="s">
        <v>7707</v>
      </c>
      <c r="AD2121" s="77" t="s">
        <v>7745</v>
      </c>
      <c r="AE2121" s="80" t="str">
        <f>HYPERLINK("https://twitter.com/econofin_/status/1672982620097871872")</f>
        <v>https://twitter.com/econofin_/status/1672982620097871872</v>
      </c>
      <c r="AF2121" s="79">
        <v>45102.623993055553</v>
      </c>
      <c r="AG2121" s="85">
        <v>45102</v>
      </c>
      <c r="AH2121" s="82" t="s">
        <v>9649</v>
      </c>
      <c r="AI2121" s="77" t="b">
        <v>0</v>
      </c>
      <c r="AJ2121" s="77"/>
      <c r="AK2121" s="77"/>
      <c r="AL2121" s="77"/>
      <c r="AM2121" s="77"/>
      <c r="AN2121" s="77"/>
      <c r="AO2121" s="77"/>
      <c r="AP2121" s="77"/>
      <c r="AQ2121" s="77"/>
      <c r="AR2121" s="77"/>
      <c r="AS2121" s="77"/>
      <c r="AT2121" s="77"/>
      <c r="AU2121" s="77"/>
      <c r="AV2121" s="80" t="str">
        <f>HYPERLINK("https://pbs.twimg.com/profile_images/1672705192377155584/9ReNfRwH_normal.jpg")</f>
        <v>https://pbs.twimg.com/profile_images/1672705192377155584/9ReNfRwH_normal.jpg</v>
      </c>
      <c r="AW2121" s="82" t="s">
        <v>14279</v>
      </c>
      <c r="AX2121" s="82" t="s">
        <v>14279</v>
      </c>
      <c r="AY2121" s="77"/>
      <c r="AZ2121" s="82" t="s">
        <v>15804</v>
      </c>
      <c r="BA2121" s="82" t="s">
        <v>15804</v>
      </c>
      <c r="BB2121" s="82" t="s">
        <v>15804</v>
      </c>
      <c r="BC2121" s="82" t="s">
        <v>14279</v>
      </c>
      <c r="BD2121" s="82" t="s">
        <v>16508</v>
      </c>
      <c r="BE2121" s="77"/>
      <c r="BF2121" s="77"/>
      <c r="BG2121" s="77"/>
      <c r="BH2121" s="77"/>
      <c r="BI2121" s="77"/>
    </row>
    <row r="2122" spans="1:61" x14ac:dyDescent="0.25">
      <c r="A2122" s="62" t="s">
        <v>873</v>
      </c>
      <c r="B2122" s="62" t="s">
        <v>873</v>
      </c>
      <c r="C2122" s="63"/>
      <c r="D2122" s="64"/>
      <c r="E2122" s="65"/>
      <c r="F2122" s="66"/>
      <c r="G2122" s="63"/>
      <c r="H2122" s="67"/>
      <c r="I2122" s="68"/>
      <c r="J2122" s="68"/>
      <c r="K2122" s="32"/>
      <c r="L2122" s="75">
        <v>2122</v>
      </c>
      <c r="M2122" s="75"/>
      <c r="N2122" s="70"/>
      <c r="O2122" s="77" t="s">
        <v>179</v>
      </c>
      <c r="P2122" s="79">
        <v>44994.500034722223</v>
      </c>
      <c r="Q2122" s="77" t="s">
        <v>3168</v>
      </c>
      <c r="R2122" s="77">
        <v>0</v>
      </c>
      <c r="S2122" s="77">
        <v>0</v>
      </c>
      <c r="T2122" s="77">
        <v>0</v>
      </c>
      <c r="U2122" s="77">
        <v>0</v>
      </c>
      <c r="V2122" s="77">
        <v>24</v>
      </c>
      <c r="W2122" s="82" t="s">
        <v>4097</v>
      </c>
      <c r="X2122" s="77"/>
      <c r="Y2122" s="77"/>
      <c r="Z2122" s="77"/>
      <c r="AA2122" s="77"/>
      <c r="AB2122" s="77"/>
      <c r="AC2122" s="82" t="s">
        <v>7706</v>
      </c>
      <c r="AD2122" s="77" t="s">
        <v>7745</v>
      </c>
      <c r="AE2122" s="80" t="str">
        <f>HYPERLINK("https://twitter.com/bomconsorcio/status/1633799807478435842")</f>
        <v>https://twitter.com/bomconsorcio/status/1633799807478435842</v>
      </c>
      <c r="AF2122" s="79">
        <v>44994.500034722223</v>
      </c>
      <c r="AG2122" s="85">
        <v>44994</v>
      </c>
      <c r="AH2122" s="82" t="s">
        <v>8131</v>
      </c>
      <c r="AI2122" s="77"/>
      <c r="AJ2122" s="77"/>
      <c r="AK2122" s="77"/>
      <c r="AL2122" s="77"/>
      <c r="AM2122" s="77"/>
      <c r="AN2122" s="77"/>
      <c r="AO2122" s="77"/>
      <c r="AP2122" s="77"/>
      <c r="AQ2122" s="77"/>
      <c r="AR2122" s="77"/>
      <c r="AS2122" s="77"/>
      <c r="AT2122" s="77"/>
      <c r="AU2122" s="77"/>
      <c r="AV2122" s="80" t="str">
        <f>HYPERLINK("https://pbs.twimg.com/profile_images/1191780033670590464/_kauDG97_normal.jpg")</f>
        <v>https://pbs.twimg.com/profile_images/1191780033670590464/_kauDG97_normal.jpg</v>
      </c>
      <c r="AW2122" s="82" t="s">
        <v>14280</v>
      </c>
      <c r="AX2122" s="82" t="s">
        <v>14280</v>
      </c>
      <c r="AY2122" s="77"/>
      <c r="AZ2122" s="82" t="s">
        <v>15804</v>
      </c>
      <c r="BA2122" s="82" t="s">
        <v>15804</v>
      </c>
      <c r="BB2122" s="82" t="s">
        <v>15804</v>
      </c>
      <c r="BC2122" s="82" t="s">
        <v>14280</v>
      </c>
      <c r="BD2122" s="82" t="s">
        <v>16509</v>
      </c>
      <c r="BE2122" s="77"/>
      <c r="BF2122" s="77"/>
      <c r="BG2122" s="77"/>
      <c r="BH2122" s="77"/>
      <c r="BI2122" s="77"/>
    </row>
    <row r="2123" spans="1:61" x14ac:dyDescent="0.25">
      <c r="A2123" s="62" t="s">
        <v>873</v>
      </c>
      <c r="B2123" s="62" t="s">
        <v>873</v>
      </c>
      <c r="C2123" s="63"/>
      <c r="D2123" s="64"/>
      <c r="E2123" s="65"/>
      <c r="F2123" s="66"/>
      <c r="G2123" s="63"/>
      <c r="H2123" s="67"/>
      <c r="I2123" s="68"/>
      <c r="J2123" s="68"/>
      <c r="K2123" s="32"/>
      <c r="L2123" s="75">
        <v>2123</v>
      </c>
      <c r="M2123" s="75"/>
      <c r="N2123" s="70"/>
      <c r="O2123" s="77" t="s">
        <v>179</v>
      </c>
      <c r="P2123" s="79">
        <v>45007.500023148146</v>
      </c>
      <c r="Q2123" s="77" t="s">
        <v>3169</v>
      </c>
      <c r="R2123" s="77">
        <v>0</v>
      </c>
      <c r="S2123" s="77">
        <v>0</v>
      </c>
      <c r="T2123" s="77">
        <v>0</v>
      </c>
      <c r="U2123" s="77">
        <v>0</v>
      </c>
      <c r="V2123" s="77">
        <v>16</v>
      </c>
      <c r="W2123" s="82" t="s">
        <v>4097</v>
      </c>
      <c r="X2123" s="77"/>
      <c r="Y2123" s="77"/>
      <c r="Z2123" s="77"/>
      <c r="AA2123" s="77"/>
      <c r="AB2123" s="77"/>
      <c r="AC2123" s="82" t="s">
        <v>7706</v>
      </c>
      <c r="AD2123" s="77" t="s">
        <v>7745</v>
      </c>
      <c r="AE2123" s="80" t="str">
        <f>HYPERLINK("https://twitter.com/bomconsorcio/status/1638510846312579170")</f>
        <v>https://twitter.com/bomconsorcio/status/1638510846312579170</v>
      </c>
      <c r="AF2123" s="79">
        <v>45007.500023148146</v>
      </c>
      <c r="AG2123" s="85">
        <v>45007</v>
      </c>
      <c r="AH2123" s="82" t="s">
        <v>8128</v>
      </c>
      <c r="AI2123" s="77"/>
      <c r="AJ2123" s="77"/>
      <c r="AK2123" s="77"/>
      <c r="AL2123" s="77"/>
      <c r="AM2123" s="77"/>
      <c r="AN2123" s="77"/>
      <c r="AO2123" s="77"/>
      <c r="AP2123" s="77"/>
      <c r="AQ2123" s="77"/>
      <c r="AR2123" s="77"/>
      <c r="AS2123" s="77"/>
      <c r="AT2123" s="77"/>
      <c r="AU2123" s="77"/>
      <c r="AV2123" s="80" t="str">
        <f>HYPERLINK("https://pbs.twimg.com/profile_images/1191780033670590464/_kauDG97_normal.jpg")</f>
        <v>https://pbs.twimg.com/profile_images/1191780033670590464/_kauDG97_normal.jpg</v>
      </c>
      <c r="AW2123" s="82" t="s">
        <v>14281</v>
      </c>
      <c r="AX2123" s="82" t="s">
        <v>14281</v>
      </c>
      <c r="AY2123" s="77"/>
      <c r="AZ2123" s="82" t="s">
        <v>15804</v>
      </c>
      <c r="BA2123" s="82" t="s">
        <v>15804</v>
      </c>
      <c r="BB2123" s="82" t="s">
        <v>15804</v>
      </c>
      <c r="BC2123" s="82" t="s">
        <v>14281</v>
      </c>
      <c r="BD2123" s="82" t="s">
        <v>16509</v>
      </c>
      <c r="BE2123" s="77"/>
      <c r="BF2123" s="77"/>
      <c r="BG2123" s="77"/>
      <c r="BH2123" s="77"/>
      <c r="BI2123" s="77"/>
    </row>
    <row r="2124" spans="1:61" x14ac:dyDescent="0.25">
      <c r="A2124" s="62" t="s">
        <v>874</v>
      </c>
      <c r="B2124" s="62" t="s">
        <v>874</v>
      </c>
      <c r="C2124" s="63"/>
      <c r="D2124" s="64"/>
      <c r="E2124" s="65"/>
      <c r="F2124" s="66"/>
      <c r="G2124" s="63"/>
      <c r="H2124" s="67"/>
      <c r="I2124" s="68"/>
      <c r="J2124" s="68"/>
      <c r="K2124" s="32"/>
      <c r="L2124" s="75">
        <v>2124</v>
      </c>
      <c r="M2124" s="75"/>
      <c r="N2124" s="70"/>
      <c r="O2124" s="77" t="s">
        <v>179</v>
      </c>
      <c r="P2124" s="79">
        <v>44942.516863425924</v>
      </c>
      <c r="Q2124" s="77" t="s">
        <v>3170</v>
      </c>
      <c r="R2124" s="77">
        <v>0</v>
      </c>
      <c r="S2124" s="77">
        <v>0</v>
      </c>
      <c r="T2124" s="77">
        <v>0</v>
      </c>
      <c r="U2124" s="77">
        <v>0</v>
      </c>
      <c r="V2124" s="77">
        <v>19</v>
      </c>
      <c r="W2124" s="82" t="s">
        <v>5431</v>
      </c>
      <c r="X2124" s="80" t="str">
        <f>HYPERLINK("https://nortusinvestimentos.com.br/assessor-humano-ou-assessor-digital-quem-ganha/")</f>
        <v>https://nortusinvestimentos.com.br/assessor-humano-ou-assessor-digital-quem-ganha/</v>
      </c>
      <c r="Y2124" s="77" t="s">
        <v>6002</v>
      </c>
      <c r="Z2124" s="77"/>
      <c r="AA2124" s="77"/>
      <c r="AB2124" s="77"/>
      <c r="AC2124" s="82" t="s">
        <v>7707</v>
      </c>
      <c r="AD2124" s="77" t="s">
        <v>7745</v>
      </c>
      <c r="AE2124" s="80" t="str">
        <f>HYPERLINK("https://twitter.com/thiagobudni/status/1614961738662965249")</f>
        <v>https://twitter.com/thiagobudni/status/1614961738662965249</v>
      </c>
      <c r="AF2124" s="79">
        <v>44942.516863425924</v>
      </c>
      <c r="AG2124" s="85">
        <v>44942</v>
      </c>
      <c r="AH2124" s="82" t="s">
        <v>9650</v>
      </c>
      <c r="AI2124" s="77" t="b">
        <v>0</v>
      </c>
      <c r="AJ2124" s="77"/>
      <c r="AK2124" s="77"/>
      <c r="AL2124" s="77"/>
      <c r="AM2124" s="77"/>
      <c r="AN2124" s="77"/>
      <c r="AO2124" s="77"/>
      <c r="AP2124" s="77"/>
      <c r="AQ2124" s="77"/>
      <c r="AR2124" s="77"/>
      <c r="AS2124" s="77"/>
      <c r="AT2124" s="77"/>
      <c r="AU2124" s="77"/>
      <c r="AV2124" s="80" t="str">
        <f>HYPERLINK("https://pbs.twimg.com/profile_images/1564389807702376458/1UGzDIk7_normal.jpg")</f>
        <v>https://pbs.twimg.com/profile_images/1564389807702376458/1UGzDIk7_normal.jpg</v>
      </c>
      <c r="AW2124" s="82" t="s">
        <v>14282</v>
      </c>
      <c r="AX2124" s="82" t="s">
        <v>14282</v>
      </c>
      <c r="AY2124" s="77"/>
      <c r="AZ2124" s="82" t="s">
        <v>15804</v>
      </c>
      <c r="BA2124" s="82" t="s">
        <v>15804</v>
      </c>
      <c r="BB2124" s="82" t="s">
        <v>15804</v>
      </c>
      <c r="BC2124" s="82" t="s">
        <v>14282</v>
      </c>
      <c r="BD2124" s="77">
        <v>57981116</v>
      </c>
      <c r="BE2124" s="77"/>
      <c r="BF2124" s="77"/>
      <c r="BG2124" s="77"/>
      <c r="BH2124" s="77"/>
      <c r="BI2124" s="77"/>
    </row>
    <row r="2125" spans="1:61" x14ac:dyDescent="0.25">
      <c r="A2125" s="62" t="s">
        <v>874</v>
      </c>
      <c r="B2125" s="62" t="s">
        <v>874</v>
      </c>
      <c r="C2125" s="63"/>
      <c r="D2125" s="64"/>
      <c r="E2125" s="65"/>
      <c r="F2125" s="66"/>
      <c r="G2125" s="63"/>
      <c r="H2125" s="67"/>
      <c r="I2125" s="68"/>
      <c r="J2125" s="68"/>
      <c r="K2125" s="32"/>
      <c r="L2125" s="75">
        <v>2125</v>
      </c>
      <c r="M2125" s="75"/>
      <c r="N2125" s="70"/>
      <c r="O2125" s="77" t="s">
        <v>1132</v>
      </c>
      <c r="P2125" s="79">
        <v>44973.600266203706</v>
      </c>
      <c r="Q2125" s="77" t="s">
        <v>3171</v>
      </c>
      <c r="R2125" s="77">
        <v>0</v>
      </c>
      <c r="S2125" s="77">
        <v>0</v>
      </c>
      <c r="T2125" s="77">
        <v>0</v>
      </c>
      <c r="U2125" s="77">
        <v>0</v>
      </c>
      <c r="V2125" s="77">
        <v>66</v>
      </c>
      <c r="W2125" s="82" t="s">
        <v>5432</v>
      </c>
      <c r="X2125" s="77"/>
      <c r="Y2125" s="77"/>
      <c r="Z2125" s="77"/>
      <c r="AA2125" s="77"/>
      <c r="AB2125" s="77"/>
      <c r="AC2125" s="82" t="s">
        <v>7707</v>
      </c>
      <c r="AD2125" s="77" t="s">
        <v>7745</v>
      </c>
      <c r="AE2125" s="80" t="str">
        <f>HYPERLINK("https://twitter.com/thiagobudni/status/1626225985686507523")</f>
        <v>https://twitter.com/thiagobudni/status/1626225985686507523</v>
      </c>
      <c r="AF2125" s="79">
        <v>44973.600266203706</v>
      </c>
      <c r="AG2125" s="85">
        <v>44973</v>
      </c>
      <c r="AH2125" s="82" t="s">
        <v>9651</v>
      </c>
      <c r="AI2125" s="77"/>
      <c r="AJ2125" s="77" t="s">
        <v>10535</v>
      </c>
      <c r="AK2125" s="77" t="s">
        <v>10552</v>
      </c>
      <c r="AL2125" s="77" t="s">
        <v>10555</v>
      </c>
      <c r="AM2125" s="77" t="s">
        <v>10572</v>
      </c>
      <c r="AN2125" s="77" t="s">
        <v>10602</v>
      </c>
      <c r="AO2125" s="77" t="s">
        <v>10633</v>
      </c>
      <c r="AP2125" s="77" t="s">
        <v>10649</v>
      </c>
      <c r="AQ2125" s="77"/>
      <c r="AR2125" s="77"/>
      <c r="AS2125" s="77"/>
      <c r="AT2125" s="77"/>
      <c r="AU2125" s="77"/>
      <c r="AV2125" s="80" t="str">
        <f>HYPERLINK("https://pbs.twimg.com/profile_images/1564389807702376458/1UGzDIk7_normal.jpg")</f>
        <v>https://pbs.twimg.com/profile_images/1564389807702376458/1UGzDIk7_normal.jpg</v>
      </c>
      <c r="AW2125" s="82" t="s">
        <v>14283</v>
      </c>
      <c r="AX2125" s="82" t="s">
        <v>15541</v>
      </c>
      <c r="AY2125" s="82" t="s">
        <v>15775</v>
      </c>
      <c r="AZ2125" s="82" t="s">
        <v>16067</v>
      </c>
      <c r="BA2125" s="82" t="s">
        <v>15804</v>
      </c>
      <c r="BB2125" s="82" t="s">
        <v>15804</v>
      </c>
      <c r="BC2125" s="82" t="s">
        <v>16067</v>
      </c>
      <c r="BD2125" s="77">
        <v>57981116</v>
      </c>
      <c r="BE2125" s="77"/>
      <c r="BF2125" s="77"/>
      <c r="BG2125" s="77"/>
      <c r="BH2125" s="77"/>
      <c r="BI2125" s="77"/>
    </row>
    <row r="2126" spans="1:61" x14ac:dyDescent="0.25">
      <c r="A2126" s="62" t="s">
        <v>874</v>
      </c>
      <c r="B2126" s="62" t="s">
        <v>874</v>
      </c>
      <c r="C2126" s="63"/>
      <c r="D2126" s="64"/>
      <c r="E2126" s="65"/>
      <c r="F2126" s="66"/>
      <c r="G2126" s="63"/>
      <c r="H2126" s="67"/>
      <c r="I2126" s="68"/>
      <c r="J2126" s="68"/>
      <c r="K2126" s="32"/>
      <c r="L2126" s="75">
        <v>2126</v>
      </c>
      <c r="M2126" s="75"/>
      <c r="N2126" s="70"/>
      <c r="O2126" s="77" t="s">
        <v>1132</v>
      </c>
      <c r="P2126" s="79">
        <v>45035.61446759259</v>
      </c>
      <c r="Q2126" s="77" t="s">
        <v>3172</v>
      </c>
      <c r="R2126" s="77">
        <v>0</v>
      </c>
      <c r="S2126" s="77">
        <v>0</v>
      </c>
      <c r="T2126" s="77">
        <v>0</v>
      </c>
      <c r="U2126" s="77">
        <v>0</v>
      </c>
      <c r="V2126" s="77">
        <v>25</v>
      </c>
      <c r="W2126" s="82" t="s">
        <v>5433</v>
      </c>
      <c r="X2126" s="77"/>
      <c r="Y2126" s="77"/>
      <c r="Z2126" s="77"/>
      <c r="AA2126" s="77"/>
      <c r="AB2126" s="77"/>
      <c r="AC2126" s="82" t="s">
        <v>7707</v>
      </c>
      <c r="AD2126" s="77" t="s">
        <v>7748</v>
      </c>
      <c r="AE2126" s="80" t="str">
        <f>HYPERLINK("https://twitter.com/thiagobudni/status/1648699180402061312")</f>
        <v>https://twitter.com/thiagobudni/status/1648699180402061312</v>
      </c>
      <c r="AF2126" s="79">
        <v>45035.61446759259</v>
      </c>
      <c r="AG2126" s="85">
        <v>45035</v>
      </c>
      <c r="AH2126" s="82" t="s">
        <v>9652</v>
      </c>
      <c r="AI2126" s="77"/>
      <c r="AJ2126" s="77"/>
      <c r="AK2126" s="77"/>
      <c r="AL2126" s="77"/>
      <c r="AM2126" s="77"/>
      <c r="AN2126" s="77"/>
      <c r="AO2126" s="77"/>
      <c r="AP2126" s="77"/>
      <c r="AQ2126" s="77"/>
      <c r="AR2126" s="77"/>
      <c r="AS2126" s="77"/>
      <c r="AT2126" s="77"/>
      <c r="AU2126" s="77"/>
      <c r="AV2126" s="80" t="str">
        <f>HYPERLINK("https://pbs.twimg.com/profile_images/1564389807702376458/1UGzDIk7_normal.jpg")</f>
        <v>https://pbs.twimg.com/profile_images/1564389807702376458/1UGzDIk7_normal.jpg</v>
      </c>
      <c r="AW2126" s="82" t="s">
        <v>14284</v>
      </c>
      <c r="AX2126" s="82" t="s">
        <v>15542</v>
      </c>
      <c r="AY2126" s="82" t="s">
        <v>15775</v>
      </c>
      <c r="AZ2126" s="82" t="s">
        <v>15542</v>
      </c>
      <c r="BA2126" s="82" t="s">
        <v>15804</v>
      </c>
      <c r="BB2126" s="82" t="s">
        <v>15804</v>
      </c>
      <c r="BC2126" s="82" t="s">
        <v>15542</v>
      </c>
      <c r="BD2126" s="77">
        <v>57981116</v>
      </c>
      <c r="BE2126" s="77"/>
      <c r="BF2126" s="77"/>
      <c r="BG2126" s="77"/>
      <c r="BH2126" s="77"/>
      <c r="BI2126" s="77"/>
    </row>
    <row r="2127" spans="1:61" x14ac:dyDescent="0.25">
      <c r="A2127" s="62" t="s">
        <v>874</v>
      </c>
      <c r="B2127" s="62" t="s">
        <v>874</v>
      </c>
      <c r="C2127" s="63"/>
      <c r="D2127" s="64"/>
      <c r="E2127" s="65"/>
      <c r="F2127" s="66"/>
      <c r="G2127" s="63"/>
      <c r="H2127" s="67"/>
      <c r="I2127" s="68"/>
      <c r="J2127" s="68"/>
      <c r="K2127" s="32"/>
      <c r="L2127" s="75">
        <v>2127</v>
      </c>
      <c r="M2127" s="75"/>
      <c r="N2127" s="70"/>
      <c r="O2127" s="77" t="s">
        <v>179</v>
      </c>
      <c r="P2127" s="79">
        <v>44985.657222222224</v>
      </c>
      <c r="Q2127" s="77" t="s">
        <v>3173</v>
      </c>
      <c r="R2127" s="77">
        <v>0</v>
      </c>
      <c r="S2127" s="77">
        <v>0</v>
      </c>
      <c r="T2127" s="77">
        <v>0</v>
      </c>
      <c r="U2127" s="77">
        <v>0</v>
      </c>
      <c r="V2127" s="77">
        <v>86</v>
      </c>
      <c r="W2127" s="82" t="s">
        <v>5434</v>
      </c>
      <c r="X2127" s="77"/>
      <c r="Y2127" s="77"/>
      <c r="Z2127" s="77"/>
      <c r="AA2127" s="77" t="s">
        <v>7310</v>
      </c>
      <c r="AB2127" s="77" t="s">
        <v>7696</v>
      </c>
      <c r="AC2127" s="82" t="s">
        <v>7707</v>
      </c>
      <c r="AD2127" s="77" t="s">
        <v>7745</v>
      </c>
      <c r="AE2127" s="80" t="str">
        <f>HYPERLINK("https://twitter.com/thiagobudni/status/1630595281170440192")</f>
        <v>https://twitter.com/thiagobudni/status/1630595281170440192</v>
      </c>
      <c r="AF2127" s="79">
        <v>44985.657222222224</v>
      </c>
      <c r="AG2127" s="85">
        <v>44985</v>
      </c>
      <c r="AH2127" s="82" t="s">
        <v>9653</v>
      </c>
      <c r="AI2127" s="77" t="b">
        <v>0</v>
      </c>
      <c r="AJ2127" s="77" t="s">
        <v>10544</v>
      </c>
      <c r="AK2127" s="77" t="s">
        <v>10552</v>
      </c>
      <c r="AL2127" s="77" t="s">
        <v>10555</v>
      </c>
      <c r="AM2127" s="77" t="s">
        <v>10581</v>
      </c>
      <c r="AN2127" s="86" t="s">
        <v>10611</v>
      </c>
      <c r="AO2127" s="77" t="s">
        <v>10642</v>
      </c>
      <c r="AP2127" s="77" t="s">
        <v>10650</v>
      </c>
      <c r="AQ2127" s="77" t="s">
        <v>11817</v>
      </c>
      <c r="AR2127" s="77"/>
      <c r="AS2127" s="77"/>
      <c r="AT2127" s="77"/>
      <c r="AU2127" s="77"/>
      <c r="AV2127" s="80" t="str">
        <f>HYPERLINK("https://pbs.twimg.com/media/FqEJw4RXwAA1hYm.jpg")</f>
        <v>https://pbs.twimg.com/media/FqEJw4RXwAA1hYm.jpg</v>
      </c>
      <c r="AW2127" s="82" t="s">
        <v>14285</v>
      </c>
      <c r="AX2127" s="82" t="s">
        <v>14285</v>
      </c>
      <c r="AY2127" s="77"/>
      <c r="AZ2127" s="82" t="s">
        <v>15804</v>
      </c>
      <c r="BA2127" s="82" t="s">
        <v>15804</v>
      </c>
      <c r="BB2127" s="82" t="s">
        <v>15804</v>
      </c>
      <c r="BC2127" s="82" t="s">
        <v>14285</v>
      </c>
      <c r="BD2127" s="77">
        <v>57981116</v>
      </c>
      <c r="BE2127" s="77"/>
      <c r="BF2127" s="77"/>
      <c r="BG2127" s="77"/>
      <c r="BH2127" s="77"/>
      <c r="BI2127" s="77"/>
    </row>
    <row r="2128" spans="1:61" x14ac:dyDescent="0.25">
      <c r="A2128" s="62" t="s">
        <v>874</v>
      </c>
      <c r="B2128" s="62" t="s">
        <v>874</v>
      </c>
      <c r="C2128" s="63"/>
      <c r="D2128" s="64"/>
      <c r="E2128" s="65"/>
      <c r="F2128" s="66"/>
      <c r="G2128" s="63"/>
      <c r="H2128" s="67"/>
      <c r="I2128" s="68"/>
      <c r="J2128" s="68"/>
      <c r="K2128" s="32"/>
      <c r="L2128" s="75">
        <v>2128</v>
      </c>
      <c r="M2128" s="75"/>
      <c r="N2128" s="70"/>
      <c r="O2128" s="77" t="s">
        <v>1132</v>
      </c>
      <c r="P2128" s="79">
        <v>45054.536354166667</v>
      </c>
      <c r="Q2128" s="77" t="s">
        <v>3174</v>
      </c>
      <c r="R2128" s="77">
        <v>0</v>
      </c>
      <c r="S2128" s="77">
        <v>0</v>
      </c>
      <c r="T2128" s="77">
        <v>0</v>
      </c>
      <c r="U2128" s="77">
        <v>0</v>
      </c>
      <c r="V2128" s="77">
        <v>19</v>
      </c>
      <c r="W2128" s="82" t="s">
        <v>5435</v>
      </c>
      <c r="X2128" s="80" t="str">
        <f>HYPERLINK("https://nortusinvestimentos.com.br/assessor/thiago-budni/")</f>
        <v>https://nortusinvestimentos.com.br/assessor/thiago-budni/</v>
      </c>
      <c r="Y2128" s="77" t="s">
        <v>6002</v>
      </c>
      <c r="Z2128" s="77"/>
      <c r="AA2128" s="77"/>
      <c r="AB2128" s="77"/>
      <c r="AC2128" s="82" t="s">
        <v>7707</v>
      </c>
      <c r="AD2128" s="77" t="s">
        <v>7745</v>
      </c>
      <c r="AE2128" s="80" t="str">
        <f>HYPERLINK("https://twitter.com/thiagobudni/status/1655556242935259143")</f>
        <v>https://twitter.com/thiagobudni/status/1655556242935259143</v>
      </c>
      <c r="AF2128" s="79">
        <v>45054.536354166667</v>
      </c>
      <c r="AG2128" s="85">
        <v>45054</v>
      </c>
      <c r="AH2128" s="82" t="s">
        <v>9654</v>
      </c>
      <c r="AI2128" s="77" t="b">
        <v>0</v>
      </c>
      <c r="AJ2128" s="77"/>
      <c r="AK2128" s="77"/>
      <c r="AL2128" s="77"/>
      <c r="AM2128" s="77"/>
      <c r="AN2128" s="77"/>
      <c r="AO2128" s="77"/>
      <c r="AP2128" s="77"/>
      <c r="AQ2128" s="77"/>
      <c r="AR2128" s="77"/>
      <c r="AS2128" s="77"/>
      <c r="AT2128" s="77"/>
      <c r="AU2128" s="77"/>
      <c r="AV2128" s="80" t="str">
        <f>HYPERLINK("https://pbs.twimg.com/profile_images/1564389807702376458/1UGzDIk7_normal.jpg")</f>
        <v>https://pbs.twimg.com/profile_images/1564389807702376458/1UGzDIk7_normal.jpg</v>
      </c>
      <c r="AW2128" s="82" t="s">
        <v>14286</v>
      </c>
      <c r="AX2128" s="82" t="s">
        <v>15543</v>
      </c>
      <c r="AY2128" s="82" t="s">
        <v>15775</v>
      </c>
      <c r="AZ2128" s="82" t="s">
        <v>16068</v>
      </c>
      <c r="BA2128" s="82" t="s">
        <v>15804</v>
      </c>
      <c r="BB2128" s="82" t="s">
        <v>15804</v>
      </c>
      <c r="BC2128" s="82" t="s">
        <v>16068</v>
      </c>
      <c r="BD2128" s="77">
        <v>57981116</v>
      </c>
      <c r="BE2128" s="77"/>
      <c r="BF2128" s="77"/>
      <c r="BG2128" s="77"/>
      <c r="BH2128" s="77"/>
      <c r="BI2128" s="77"/>
    </row>
    <row r="2129" spans="1:61" x14ac:dyDescent="0.25">
      <c r="A2129" s="62" t="s">
        <v>874</v>
      </c>
      <c r="B2129" s="62" t="s">
        <v>874</v>
      </c>
      <c r="C2129" s="63"/>
      <c r="D2129" s="64"/>
      <c r="E2129" s="65"/>
      <c r="F2129" s="66"/>
      <c r="G2129" s="63"/>
      <c r="H2129" s="67"/>
      <c r="I2129" s="68"/>
      <c r="J2129" s="68"/>
      <c r="K2129" s="32"/>
      <c r="L2129" s="75">
        <v>2129</v>
      </c>
      <c r="M2129" s="75"/>
      <c r="N2129" s="70"/>
      <c r="O2129" s="77" t="s">
        <v>179</v>
      </c>
      <c r="P2129" s="79">
        <v>45077.896886574075</v>
      </c>
      <c r="Q2129" s="77" t="s">
        <v>3175</v>
      </c>
      <c r="R2129" s="77">
        <v>0</v>
      </c>
      <c r="S2129" s="77">
        <v>0</v>
      </c>
      <c r="T2129" s="77">
        <v>0</v>
      </c>
      <c r="U2129" s="77">
        <v>0</v>
      </c>
      <c r="V2129" s="77">
        <v>32</v>
      </c>
      <c r="W2129" s="82" t="s">
        <v>5436</v>
      </c>
      <c r="X2129" s="77"/>
      <c r="Y2129" s="77"/>
      <c r="Z2129" s="77"/>
      <c r="AA2129" s="77" t="s">
        <v>7311</v>
      </c>
      <c r="AB2129" s="77" t="s">
        <v>7696</v>
      </c>
      <c r="AC2129" s="82" t="s">
        <v>7707</v>
      </c>
      <c r="AD2129" s="77" t="s">
        <v>7745</v>
      </c>
      <c r="AE2129" s="80" t="str">
        <f>HYPERLINK("https://twitter.com/thiagobudni/status/1664021814861856769")</f>
        <v>https://twitter.com/thiagobudni/status/1664021814861856769</v>
      </c>
      <c r="AF2129" s="79">
        <v>45077.896886574075</v>
      </c>
      <c r="AG2129" s="85">
        <v>45077</v>
      </c>
      <c r="AH2129" s="82" t="s">
        <v>9655</v>
      </c>
      <c r="AI2129" s="77" t="b">
        <v>0</v>
      </c>
      <c r="AJ2129" s="77" t="s">
        <v>10535</v>
      </c>
      <c r="AK2129" s="77" t="s">
        <v>10552</v>
      </c>
      <c r="AL2129" s="77" t="s">
        <v>10555</v>
      </c>
      <c r="AM2129" s="77" t="s">
        <v>10572</v>
      </c>
      <c r="AN2129" s="77" t="s">
        <v>10602</v>
      </c>
      <c r="AO2129" s="77" t="s">
        <v>10633</v>
      </c>
      <c r="AP2129" s="77" t="s">
        <v>10649</v>
      </c>
      <c r="AQ2129" s="77" t="s">
        <v>11818</v>
      </c>
      <c r="AR2129" s="77"/>
      <c r="AS2129" s="77"/>
      <c r="AT2129" s="77"/>
      <c r="AU2129" s="77"/>
      <c r="AV2129" s="80" t="str">
        <f>HYPERLINK("https://pbs.twimg.com/media/FxfLA7hWIAAkV9p.jpg")</f>
        <v>https://pbs.twimg.com/media/FxfLA7hWIAAkV9p.jpg</v>
      </c>
      <c r="AW2129" s="82" t="s">
        <v>14287</v>
      </c>
      <c r="AX2129" s="82" t="s">
        <v>14287</v>
      </c>
      <c r="AY2129" s="77"/>
      <c r="AZ2129" s="82" t="s">
        <v>15804</v>
      </c>
      <c r="BA2129" s="82" t="s">
        <v>15804</v>
      </c>
      <c r="BB2129" s="82" t="s">
        <v>15804</v>
      </c>
      <c r="BC2129" s="82" t="s">
        <v>14287</v>
      </c>
      <c r="BD2129" s="77">
        <v>57981116</v>
      </c>
      <c r="BE2129" s="77"/>
      <c r="BF2129" s="77"/>
      <c r="BG2129" s="77"/>
      <c r="BH2129" s="77"/>
      <c r="BI2129" s="77"/>
    </row>
    <row r="2130" spans="1:61" x14ac:dyDescent="0.25">
      <c r="A2130" s="62" t="s">
        <v>874</v>
      </c>
      <c r="B2130" s="62" t="s">
        <v>874</v>
      </c>
      <c r="C2130" s="63"/>
      <c r="D2130" s="64"/>
      <c r="E2130" s="65"/>
      <c r="F2130" s="66"/>
      <c r="G2130" s="63"/>
      <c r="H2130" s="67"/>
      <c r="I2130" s="68"/>
      <c r="J2130" s="68"/>
      <c r="K2130" s="32"/>
      <c r="L2130" s="75">
        <v>2130</v>
      </c>
      <c r="M2130" s="75"/>
      <c r="N2130" s="70"/>
      <c r="O2130" s="77" t="s">
        <v>179</v>
      </c>
      <c r="P2130" s="79">
        <v>44980.507303240738</v>
      </c>
      <c r="Q2130" s="77" t="s">
        <v>3176</v>
      </c>
      <c r="R2130" s="77">
        <v>0</v>
      </c>
      <c r="S2130" s="77">
        <v>0</v>
      </c>
      <c r="T2130" s="77">
        <v>0</v>
      </c>
      <c r="U2130" s="77">
        <v>0</v>
      </c>
      <c r="V2130" s="77">
        <v>69</v>
      </c>
      <c r="W2130" s="82" t="s">
        <v>5437</v>
      </c>
      <c r="X2130" s="77"/>
      <c r="Y2130" s="77"/>
      <c r="Z2130" s="77"/>
      <c r="AA2130" s="77" t="s">
        <v>7312</v>
      </c>
      <c r="AB2130" s="77" t="s">
        <v>7696</v>
      </c>
      <c r="AC2130" s="82" t="s">
        <v>7707</v>
      </c>
      <c r="AD2130" s="77" t="s">
        <v>7745</v>
      </c>
      <c r="AE2130" s="80" t="str">
        <f>HYPERLINK("https://twitter.com/thiagobudni/status/1628729013903454212")</f>
        <v>https://twitter.com/thiagobudni/status/1628729013903454212</v>
      </c>
      <c r="AF2130" s="79">
        <v>44980.507303240738</v>
      </c>
      <c r="AG2130" s="85">
        <v>44980</v>
      </c>
      <c r="AH2130" s="82" t="s">
        <v>9656</v>
      </c>
      <c r="AI2130" s="77" t="b">
        <v>0</v>
      </c>
      <c r="AJ2130" s="77"/>
      <c r="AK2130" s="77"/>
      <c r="AL2130" s="77"/>
      <c r="AM2130" s="77"/>
      <c r="AN2130" s="77"/>
      <c r="AO2130" s="77"/>
      <c r="AP2130" s="77"/>
      <c r="AQ2130" s="77" t="s">
        <v>11819</v>
      </c>
      <c r="AR2130" s="77"/>
      <c r="AS2130" s="77"/>
      <c r="AT2130" s="77"/>
      <c r="AU2130" s="77"/>
      <c r="AV2130" s="80" t="str">
        <f>HYPERLINK("https://pbs.twimg.com/media/FppoZu-XoAM1Y_z.jpg")</f>
        <v>https://pbs.twimg.com/media/FppoZu-XoAM1Y_z.jpg</v>
      </c>
      <c r="AW2130" s="82" t="s">
        <v>14288</v>
      </c>
      <c r="AX2130" s="82" t="s">
        <v>14288</v>
      </c>
      <c r="AY2130" s="77"/>
      <c r="AZ2130" s="82" t="s">
        <v>15804</v>
      </c>
      <c r="BA2130" s="82" t="s">
        <v>15804</v>
      </c>
      <c r="BB2130" s="82" t="s">
        <v>15804</v>
      </c>
      <c r="BC2130" s="82" t="s">
        <v>14288</v>
      </c>
      <c r="BD2130" s="77">
        <v>57981116</v>
      </c>
      <c r="BE2130" s="77"/>
      <c r="BF2130" s="77"/>
      <c r="BG2130" s="77"/>
      <c r="BH2130" s="77"/>
      <c r="BI2130" s="77"/>
    </row>
    <row r="2131" spans="1:61" x14ac:dyDescent="0.25">
      <c r="A2131" s="62" t="s">
        <v>874</v>
      </c>
      <c r="B2131" s="62" t="s">
        <v>874</v>
      </c>
      <c r="C2131" s="63"/>
      <c r="D2131" s="64"/>
      <c r="E2131" s="65"/>
      <c r="F2131" s="66"/>
      <c r="G2131" s="63"/>
      <c r="H2131" s="67"/>
      <c r="I2131" s="68"/>
      <c r="J2131" s="68"/>
      <c r="K2131" s="32"/>
      <c r="L2131" s="75">
        <v>2131</v>
      </c>
      <c r="M2131" s="75"/>
      <c r="N2131" s="70"/>
      <c r="O2131" s="77" t="s">
        <v>179</v>
      </c>
      <c r="P2131" s="79">
        <v>45104.694490740738</v>
      </c>
      <c r="Q2131" s="77" t="s">
        <v>3177</v>
      </c>
      <c r="R2131" s="77">
        <v>0</v>
      </c>
      <c r="S2131" s="77">
        <v>1</v>
      </c>
      <c r="T2131" s="77">
        <v>0</v>
      </c>
      <c r="U2131" s="77">
        <v>0</v>
      </c>
      <c r="V2131" s="77">
        <v>19</v>
      </c>
      <c r="W2131" s="82" t="s">
        <v>5438</v>
      </c>
      <c r="X2131" s="77"/>
      <c r="Y2131" s="77"/>
      <c r="Z2131" s="77"/>
      <c r="AA2131" s="77" t="s">
        <v>7313</v>
      </c>
      <c r="AB2131" s="77" t="s">
        <v>7696</v>
      </c>
      <c r="AC2131" s="82" t="s">
        <v>7707</v>
      </c>
      <c r="AD2131" s="77" t="s">
        <v>7745</v>
      </c>
      <c r="AE2131" s="80" t="str">
        <f>HYPERLINK("https://twitter.com/thiagobudni/status/1673732944140156937")</f>
        <v>https://twitter.com/thiagobudni/status/1673732944140156937</v>
      </c>
      <c r="AF2131" s="79">
        <v>45104.694490740738</v>
      </c>
      <c r="AG2131" s="85">
        <v>45104</v>
      </c>
      <c r="AH2131" s="82" t="s">
        <v>9657</v>
      </c>
      <c r="AI2131" s="77" t="b">
        <v>0</v>
      </c>
      <c r="AJ2131" s="77"/>
      <c r="AK2131" s="77"/>
      <c r="AL2131" s="77"/>
      <c r="AM2131" s="77"/>
      <c r="AN2131" s="77"/>
      <c r="AO2131" s="77"/>
      <c r="AP2131" s="77"/>
      <c r="AQ2131" s="77" t="s">
        <v>11820</v>
      </c>
      <c r="AR2131" s="77"/>
      <c r="AS2131" s="77"/>
      <c r="AT2131" s="77"/>
      <c r="AU2131" s="77"/>
      <c r="AV2131" s="80" t="str">
        <f>HYPERLINK("https://pbs.twimg.com/media/FzpLPdhXoAAnN67.jpg")</f>
        <v>https://pbs.twimg.com/media/FzpLPdhXoAAnN67.jpg</v>
      </c>
      <c r="AW2131" s="82" t="s">
        <v>14289</v>
      </c>
      <c r="AX2131" s="82" t="s">
        <v>14289</v>
      </c>
      <c r="AY2131" s="77"/>
      <c r="AZ2131" s="82" t="s">
        <v>15804</v>
      </c>
      <c r="BA2131" s="82" t="s">
        <v>15804</v>
      </c>
      <c r="BB2131" s="82" t="s">
        <v>15804</v>
      </c>
      <c r="BC2131" s="82" t="s">
        <v>14289</v>
      </c>
      <c r="BD2131" s="77">
        <v>57981116</v>
      </c>
      <c r="BE2131" s="77"/>
      <c r="BF2131" s="77"/>
      <c r="BG2131" s="77"/>
      <c r="BH2131" s="77"/>
      <c r="BI2131" s="77"/>
    </row>
    <row r="2132" spans="1:61" x14ac:dyDescent="0.25">
      <c r="A2132" s="62" t="s">
        <v>874</v>
      </c>
      <c r="B2132" s="62" t="s">
        <v>874</v>
      </c>
      <c r="C2132" s="63"/>
      <c r="D2132" s="64"/>
      <c r="E2132" s="65"/>
      <c r="F2132" s="66"/>
      <c r="G2132" s="63"/>
      <c r="H2132" s="67"/>
      <c r="I2132" s="68"/>
      <c r="J2132" s="68"/>
      <c r="K2132" s="32"/>
      <c r="L2132" s="75">
        <v>2132</v>
      </c>
      <c r="M2132" s="75"/>
      <c r="N2132" s="70"/>
      <c r="O2132" s="77" t="s">
        <v>179</v>
      </c>
      <c r="P2132" s="79">
        <v>45125.647222222222</v>
      </c>
      <c r="Q2132" s="77" t="s">
        <v>3178</v>
      </c>
      <c r="R2132" s="77">
        <v>0</v>
      </c>
      <c r="S2132" s="77">
        <v>0</v>
      </c>
      <c r="T2132" s="77">
        <v>1</v>
      </c>
      <c r="U2132" s="77">
        <v>0</v>
      </c>
      <c r="V2132" s="77">
        <v>44</v>
      </c>
      <c r="W2132" s="82" t="s">
        <v>5439</v>
      </c>
      <c r="X2132" s="77"/>
      <c r="Y2132" s="77"/>
      <c r="Z2132" s="77"/>
      <c r="AA2132" s="77" t="s">
        <v>7314</v>
      </c>
      <c r="AB2132" s="77" t="s">
        <v>7696</v>
      </c>
      <c r="AC2132" s="82" t="s">
        <v>7707</v>
      </c>
      <c r="AD2132" s="77" t="s">
        <v>7745</v>
      </c>
      <c r="AE2132" s="80" t="str">
        <f>HYPERLINK("https://twitter.com/thiagobudni/status/1681325959788523520")</f>
        <v>https://twitter.com/thiagobudni/status/1681325959788523520</v>
      </c>
      <c r="AF2132" s="79">
        <v>45125.647222222222</v>
      </c>
      <c r="AG2132" s="85">
        <v>45125</v>
      </c>
      <c r="AH2132" s="82" t="s">
        <v>9658</v>
      </c>
      <c r="AI2132" s="77" t="b">
        <v>0</v>
      </c>
      <c r="AJ2132" s="77"/>
      <c r="AK2132" s="77"/>
      <c r="AL2132" s="77"/>
      <c r="AM2132" s="77"/>
      <c r="AN2132" s="77"/>
      <c r="AO2132" s="77"/>
      <c r="AP2132" s="77"/>
      <c r="AQ2132" s="77" t="s">
        <v>11821</v>
      </c>
      <c r="AR2132" s="77"/>
      <c r="AS2132" s="77"/>
      <c r="AT2132" s="77"/>
      <c r="AU2132" s="77"/>
      <c r="AV2132" s="80" t="str">
        <f>HYPERLINK("https://pbs.twimg.com/media/F1VFDPrXwAA-zqL.jpg")</f>
        <v>https://pbs.twimg.com/media/F1VFDPrXwAA-zqL.jpg</v>
      </c>
      <c r="AW2132" s="82" t="s">
        <v>14290</v>
      </c>
      <c r="AX2132" s="82" t="s">
        <v>14290</v>
      </c>
      <c r="AY2132" s="77"/>
      <c r="AZ2132" s="82" t="s">
        <v>15804</v>
      </c>
      <c r="BA2132" s="82" t="s">
        <v>15804</v>
      </c>
      <c r="BB2132" s="82" t="s">
        <v>15804</v>
      </c>
      <c r="BC2132" s="82" t="s">
        <v>14290</v>
      </c>
      <c r="BD2132" s="77">
        <v>57981116</v>
      </c>
      <c r="BE2132" s="77"/>
      <c r="BF2132" s="77"/>
      <c r="BG2132" s="77"/>
      <c r="BH2132" s="77"/>
      <c r="BI2132" s="77"/>
    </row>
    <row r="2133" spans="1:61" x14ac:dyDescent="0.25">
      <c r="A2133" s="62" t="s">
        <v>874</v>
      </c>
      <c r="B2133" s="62" t="s">
        <v>874</v>
      </c>
      <c r="C2133" s="63"/>
      <c r="D2133" s="64"/>
      <c r="E2133" s="65"/>
      <c r="F2133" s="66"/>
      <c r="G2133" s="63"/>
      <c r="H2133" s="67"/>
      <c r="I2133" s="68"/>
      <c r="J2133" s="68"/>
      <c r="K2133" s="32"/>
      <c r="L2133" s="75">
        <v>2133</v>
      </c>
      <c r="M2133" s="75"/>
      <c r="N2133" s="70"/>
      <c r="O2133" s="77" t="s">
        <v>179</v>
      </c>
      <c r="P2133" s="79">
        <v>45062.710798611108</v>
      </c>
      <c r="Q2133" s="77" t="s">
        <v>3179</v>
      </c>
      <c r="R2133" s="77">
        <v>0</v>
      </c>
      <c r="S2133" s="77">
        <v>0</v>
      </c>
      <c r="T2133" s="77">
        <v>0</v>
      </c>
      <c r="U2133" s="77">
        <v>0</v>
      </c>
      <c r="V2133" s="77">
        <v>32</v>
      </c>
      <c r="W2133" s="82" t="s">
        <v>5440</v>
      </c>
      <c r="X2133" s="77"/>
      <c r="Y2133" s="77"/>
      <c r="Z2133" s="77"/>
      <c r="AA2133" s="77" t="s">
        <v>7315</v>
      </c>
      <c r="AB2133" s="77" t="s">
        <v>7696</v>
      </c>
      <c r="AC2133" s="82" t="s">
        <v>7707</v>
      </c>
      <c r="AD2133" s="77" t="s">
        <v>7745</v>
      </c>
      <c r="AE2133" s="80" t="str">
        <f>HYPERLINK("https://twitter.com/thiagobudni/status/1658518562401550360")</f>
        <v>https://twitter.com/thiagobudni/status/1658518562401550360</v>
      </c>
      <c r="AF2133" s="79">
        <v>45062.710798611108</v>
      </c>
      <c r="AG2133" s="85">
        <v>45062</v>
      </c>
      <c r="AH2133" s="82" t="s">
        <v>9659</v>
      </c>
      <c r="AI2133" s="77" t="b">
        <v>0</v>
      </c>
      <c r="AJ2133" s="77"/>
      <c r="AK2133" s="77"/>
      <c r="AL2133" s="77"/>
      <c r="AM2133" s="77"/>
      <c r="AN2133" s="77"/>
      <c r="AO2133" s="77"/>
      <c r="AP2133" s="77"/>
      <c r="AQ2133" s="77" t="s">
        <v>11822</v>
      </c>
      <c r="AR2133" s="77"/>
      <c r="AS2133" s="77"/>
      <c r="AT2133" s="77"/>
      <c r="AU2133" s="77"/>
      <c r="AV2133" s="80" t="str">
        <f>HYPERLINK("https://pbs.twimg.com/media/FwQ918iXwAApSDw.jpg")</f>
        <v>https://pbs.twimg.com/media/FwQ918iXwAApSDw.jpg</v>
      </c>
      <c r="AW2133" s="82" t="s">
        <v>14291</v>
      </c>
      <c r="AX2133" s="82" t="s">
        <v>14291</v>
      </c>
      <c r="AY2133" s="77"/>
      <c r="AZ2133" s="82" t="s">
        <v>15804</v>
      </c>
      <c r="BA2133" s="82" t="s">
        <v>15804</v>
      </c>
      <c r="BB2133" s="82" t="s">
        <v>15804</v>
      </c>
      <c r="BC2133" s="82" t="s">
        <v>14291</v>
      </c>
      <c r="BD2133" s="77">
        <v>57981116</v>
      </c>
      <c r="BE2133" s="77"/>
      <c r="BF2133" s="77"/>
      <c r="BG2133" s="77"/>
      <c r="BH2133" s="77"/>
      <c r="BI2133" s="77"/>
    </row>
    <row r="2134" spans="1:61" x14ac:dyDescent="0.25">
      <c r="A2134" s="62" t="s">
        <v>875</v>
      </c>
      <c r="B2134" s="62" t="s">
        <v>875</v>
      </c>
      <c r="C2134" s="63"/>
      <c r="D2134" s="64"/>
      <c r="E2134" s="65"/>
      <c r="F2134" s="66"/>
      <c r="G2134" s="63"/>
      <c r="H2134" s="67"/>
      <c r="I2134" s="68"/>
      <c r="J2134" s="68"/>
      <c r="K2134" s="32"/>
      <c r="L2134" s="75">
        <v>2134</v>
      </c>
      <c r="M2134" s="75"/>
      <c r="N2134" s="70"/>
      <c r="O2134" s="77" t="s">
        <v>179</v>
      </c>
      <c r="P2134" s="79">
        <v>44982.005740740744</v>
      </c>
      <c r="Q2134" s="77" t="s">
        <v>3180</v>
      </c>
      <c r="R2134" s="77">
        <v>0</v>
      </c>
      <c r="S2134" s="77">
        <v>2</v>
      </c>
      <c r="T2134" s="77">
        <v>0</v>
      </c>
      <c r="U2134" s="77">
        <v>0</v>
      </c>
      <c r="V2134" s="77">
        <v>70</v>
      </c>
      <c r="W2134" s="82" t="s">
        <v>5441</v>
      </c>
      <c r="X2134" s="77"/>
      <c r="Y2134" s="77"/>
      <c r="Z2134" s="77"/>
      <c r="AA2134" s="77" t="s">
        <v>7316</v>
      </c>
      <c r="AB2134" s="77" t="s">
        <v>7697</v>
      </c>
      <c r="AC2134" s="82" t="s">
        <v>7707</v>
      </c>
      <c r="AD2134" s="77" t="s">
        <v>7746</v>
      </c>
      <c r="AE2134" s="80" t="str">
        <f>HYPERLINK("https://twitter.com/tradersaed/status/1629272028774539265")</f>
        <v>https://twitter.com/tradersaed/status/1629272028774539265</v>
      </c>
      <c r="AF2134" s="79">
        <v>44982.005740740744</v>
      </c>
      <c r="AG2134" s="85">
        <v>44982</v>
      </c>
      <c r="AH2134" s="82" t="s">
        <v>9660</v>
      </c>
      <c r="AI2134" s="77" t="b">
        <v>0</v>
      </c>
      <c r="AJ2134" s="77"/>
      <c r="AK2134" s="77"/>
      <c r="AL2134" s="77"/>
      <c r="AM2134" s="77"/>
      <c r="AN2134" s="77"/>
      <c r="AO2134" s="77"/>
      <c r="AP2134" s="77"/>
      <c r="AQ2134" s="77" t="s">
        <v>11823</v>
      </c>
      <c r="AR2134" s="77">
        <v>23733</v>
      </c>
      <c r="AS2134" s="77"/>
      <c r="AT2134" s="77"/>
      <c r="AU2134" s="77">
        <v>15</v>
      </c>
      <c r="AV2134" s="80" t="str">
        <f>HYPERLINK("https://pbs.twimg.com/ext_tw_video_thumb/1629271989163634689/pu/img/z6m76oChO9iV90iG.jpg")</f>
        <v>https://pbs.twimg.com/ext_tw_video_thumb/1629271989163634689/pu/img/z6m76oChO9iV90iG.jpg</v>
      </c>
      <c r="AW2134" s="82" t="s">
        <v>14292</v>
      </c>
      <c r="AX2134" s="82" t="s">
        <v>14292</v>
      </c>
      <c r="AY2134" s="77"/>
      <c r="AZ2134" s="82" t="s">
        <v>15804</v>
      </c>
      <c r="BA2134" s="82" t="s">
        <v>15804</v>
      </c>
      <c r="BB2134" s="82" t="s">
        <v>15804</v>
      </c>
      <c r="BC2134" s="82" t="s">
        <v>14292</v>
      </c>
      <c r="BD2134" s="82" t="s">
        <v>16510</v>
      </c>
      <c r="BE2134" s="77"/>
      <c r="BF2134" s="77"/>
      <c r="BG2134" s="77"/>
      <c r="BH2134" s="77"/>
      <c r="BI2134" s="77"/>
    </row>
    <row r="2135" spans="1:61" x14ac:dyDescent="0.25">
      <c r="A2135" s="62" t="s">
        <v>876</v>
      </c>
      <c r="B2135" s="62" t="s">
        <v>876</v>
      </c>
      <c r="C2135" s="63"/>
      <c r="D2135" s="64"/>
      <c r="E2135" s="65"/>
      <c r="F2135" s="66"/>
      <c r="G2135" s="63"/>
      <c r="H2135" s="67"/>
      <c r="I2135" s="68"/>
      <c r="J2135" s="68"/>
      <c r="K2135" s="32"/>
      <c r="L2135" s="75">
        <v>2135</v>
      </c>
      <c r="M2135" s="75"/>
      <c r="N2135" s="70"/>
      <c r="O2135" s="77" t="s">
        <v>179</v>
      </c>
      <c r="P2135" s="79">
        <v>44947.547013888892</v>
      </c>
      <c r="Q2135" s="77" t="s">
        <v>3181</v>
      </c>
      <c r="R2135" s="77">
        <v>1</v>
      </c>
      <c r="S2135" s="77">
        <v>4</v>
      </c>
      <c r="T2135" s="77">
        <v>1</v>
      </c>
      <c r="U2135" s="77">
        <v>0</v>
      </c>
      <c r="V2135" s="77">
        <v>291</v>
      </c>
      <c r="W2135" s="82" t="s">
        <v>5442</v>
      </c>
      <c r="X2135" s="80" t="str">
        <f>HYPERLINK("https://youtube.com/watch?v=KbUaBkh-jck&amp;feature=share")</f>
        <v>https://youtube.com/watch?v=KbUaBkh-jck&amp;feature=share</v>
      </c>
      <c r="Y2135" s="77" t="s">
        <v>6006</v>
      </c>
      <c r="Z2135" s="77"/>
      <c r="AA2135" s="77"/>
      <c r="AB2135" s="77"/>
      <c r="AC2135" s="82" t="s">
        <v>7705</v>
      </c>
      <c r="AD2135" s="77" t="s">
        <v>7745</v>
      </c>
      <c r="AE2135" s="80" t="str">
        <f>HYPERLINK("https://twitter.com/miriammariabjj/status/1616784602055544832")</f>
        <v>https://twitter.com/miriammariabjj/status/1616784602055544832</v>
      </c>
      <c r="AF2135" s="79">
        <v>44947.547013888892</v>
      </c>
      <c r="AG2135" s="85">
        <v>44947</v>
      </c>
      <c r="AH2135" s="82" t="s">
        <v>9661</v>
      </c>
      <c r="AI2135" s="77" t="b">
        <v>0</v>
      </c>
      <c r="AJ2135" s="77"/>
      <c r="AK2135" s="77"/>
      <c r="AL2135" s="77"/>
      <c r="AM2135" s="77"/>
      <c r="AN2135" s="77"/>
      <c r="AO2135" s="77"/>
      <c r="AP2135" s="77"/>
      <c r="AQ2135" s="77"/>
      <c r="AR2135" s="77"/>
      <c r="AS2135" s="77"/>
      <c r="AT2135" s="77"/>
      <c r="AU2135" s="77"/>
      <c r="AV2135" s="80" t="str">
        <f>HYPERLINK("https://pbs.twimg.com/profile_images/1696706328444461056/M2jkoF8-_normal.jpg")</f>
        <v>https://pbs.twimg.com/profile_images/1696706328444461056/M2jkoF8-_normal.jpg</v>
      </c>
      <c r="AW2135" s="82" t="s">
        <v>14293</v>
      </c>
      <c r="AX2135" s="82" t="s">
        <v>14293</v>
      </c>
      <c r="AY2135" s="77"/>
      <c r="AZ2135" s="82" t="s">
        <v>15804</v>
      </c>
      <c r="BA2135" s="82" t="s">
        <v>15804</v>
      </c>
      <c r="BB2135" s="82" t="s">
        <v>15804</v>
      </c>
      <c r="BC2135" s="82" t="s">
        <v>14293</v>
      </c>
      <c r="BD2135" s="82" t="s">
        <v>16511</v>
      </c>
      <c r="BE2135" s="77"/>
      <c r="BF2135" s="77"/>
      <c r="BG2135" s="77"/>
      <c r="BH2135" s="77"/>
      <c r="BI2135" s="77"/>
    </row>
    <row r="2136" spans="1:61" x14ac:dyDescent="0.25">
      <c r="A2136" s="62" t="s">
        <v>877</v>
      </c>
      <c r="B2136" s="62" t="s">
        <v>877</v>
      </c>
      <c r="C2136" s="63"/>
      <c r="D2136" s="64"/>
      <c r="E2136" s="65"/>
      <c r="F2136" s="66"/>
      <c r="G2136" s="63"/>
      <c r="H2136" s="67"/>
      <c r="I2136" s="68"/>
      <c r="J2136" s="68"/>
      <c r="K2136" s="32"/>
      <c r="L2136" s="75">
        <v>2136</v>
      </c>
      <c r="M2136" s="75"/>
      <c r="N2136" s="70"/>
      <c r="O2136" s="77" t="s">
        <v>179</v>
      </c>
      <c r="P2136" s="79">
        <v>45071.625578703701</v>
      </c>
      <c r="Q2136" s="77" t="s">
        <v>3182</v>
      </c>
      <c r="R2136" s="77">
        <v>0</v>
      </c>
      <c r="S2136" s="77">
        <v>0</v>
      </c>
      <c r="T2136" s="77">
        <v>0</v>
      </c>
      <c r="U2136" s="77">
        <v>0</v>
      </c>
      <c r="V2136" s="77">
        <v>5</v>
      </c>
      <c r="W2136" s="82" t="s">
        <v>5443</v>
      </c>
      <c r="X2136" s="77"/>
      <c r="Y2136" s="77"/>
      <c r="Z2136" s="77"/>
      <c r="AA2136" s="77" t="s">
        <v>7317</v>
      </c>
      <c r="AB2136" s="77" t="s">
        <v>7696</v>
      </c>
      <c r="AC2136" s="82" t="s">
        <v>7708</v>
      </c>
      <c r="AD2136" s="77" t="s">
        <v>7745</v>
      </c>
      <c r="AE2136" s="80" t="str">
        <f>HYPERLINK("https://twitter.com/investimentoob1/status/1661749169860788227")</f>
        <v>https://twitter.com/investimentoob1/status/1661749169860788227</v>
      </c>
      <c r="AF2136" s="79">
        <v>45071.625578703701</v>
      </c>
      <c r="AG2136" s="85">
        <v>45071</v>
      </c>
      <c r="AH2136" s="82" t="s">
        <v>8973</v>
      </c>
      <c r="AI2136" s="77" t="b">
        <v>0</v>
      </c>
      <c r="AJ2136" s="77"/>
      <c r="AK2136" s="77"/>
      <c r="AL2136" s="77"/>
      <c r="AM2136" s="77"/>
      <c r="AN2136" s="77"/>
      <c r="AO2136" s="77"/>
      <c r="AP2136" s="77"/>
      <c r="AQ2136" s="77" t="s">
        <v>11824</v>
      </c>
      <c r="AR2136" s="77"/>
      <c r="AS2136" s="77"/>
      <c r="AT2136" s="77"/>
      <c r="AU2136" s="77"/>
      <c r="AV2136" s="80" t="str">
        <f>HYPERLINK("https://pbs.twimg.com/media/Fw-4EDSaEAAWUyd.jpg")</f>
        <v>https://pbs.twimg.com/media/Fw-4EDSaEAAWUyd.jpg</v>
      </c>
      <c r="AW2136" s="82" t="s">
        <v>14294</v>
      </c>
      <c r="AX2136" s="82" t="s">
        <v>14294</v>
      </c>
      <c r="AY2136" s="77"/>
      <c r="AZ2136" s="82" t="s">
        <v>15804</v>
      </c>
      <c r="BA2136" s="82" t="s">
        <v>15804</v>
      </c>
      <c r="BB2136" s="82" t="s">
        <v>15804</v>
      </c>
      <c r="BC2136" s="82" t="s">
        <v>14294</v>
      </c>
      <c r="BD2136" s="82" t="s">
        <v>16512</v>
      </c>
      <c r="BE2136" s="77"/>
      <c r="BF2136" s="77"/>
      <c r="BG2136" s="77"/>
      <c r="BH2136" s="77"/>
      <c r="BI2136" s="77"/>
    </row>
    <row r="2137" spans="1:61" x14ac:dyDescent="0.25">
      <c r="A2137" s="62" t="s">
        <v>877</v>
      </c>
      <c r="B2137" s="62" t="s">
        <v>877</v>
      </c>
      <c r="C2137" s="63"/>
      <c r="D2137" s="64"/>
      <c r="E2137" s="65"/>
      <c r="F2137" s="66"/>
      <c r="G2137" s="63"/>
      <c r="H2137" s="67"/>
      <c r="I2137" s="68"/>
      <c r="J2137" s="68"/>
      <c r="K2137" s="32"/>
      <c r="L2137" s="75">
        <v>2137</v>
      </c>
      <c r="M2137" s="75"/>
      <c r="N2137" s="70"/>
      <c r="O2137" s="77" t="s">
        <v>179</v>
      </c>
      <c r="P2137" s="79">
        <v>45069.75068287037</v>
      </c>
      <c r="Q2137" s="77" t="s">
        <v>3183</v>
      </c>
      <c r="R2137" s="77">
        <v>0</v>
      </c>
      <c r="S2137" s="77">
        <v>0</v>
      </c>
      <c r="T2137" s="77">
        <v>0</v>
      </c>
      <c r="U2137" s="77">
        <v>0</v>
      </c>
      <c r="V2137" s="77">
        <v>12</v>
      </c>
      <c r="W2137" s="82" t="s">
        <v>5444</v>
      </c>
      <c r="X2137" s="77"/>
      <c r="Y2137" s="77"/>
      <c r="Z2137" s="77"/>
      <c r="AA2137" s="77" t="s">
        <v>7318</v>
      </c>
      <c r="AB2137" s="77" t="s">
        <v>7697</v>
      </c>
      <c r="AC2137" s="82" t="s">
        <v>7708</v>
      </c>
      <c r="AD2137" s="77" t="s">
        <v>7745</v>
      </c>
      <c r="AE2137" s="80" t="str">
        <f>HYPERLINK("https://twitter.com/investimentoob1/status/1661069728452886535")</f>
        <v>https://twitter.com/investimentoob1/status/1661069728452886535</v>
      </c>
      <c r="AF2137" s="79">
        <v>45069.75068287037</v>
      </c>
      <c r="AG2137" s="85">
        <v>45069</v>
      </c>
      <c r="AH2137" s="82" t="s">
        <v>9662</v>
      </c>
      <c r="AI2137" s="77" t="b">
        <v>0</v>
      </c>
      <c r="AJ2137" s="77"/>
      <c r="AK2137" s="77"/>
      <c r="AL2137" s="77"/>
      <c r="AM2137" s="77"/>
      <c r="AN2137" s="77"/>
      <c r="AO2137" s="77"/>
      <c r="AP2137" s="77"/>
      <c r="AQ2137" s="77" t="s">
        <v>11825</v>
      </c>
      <c r="AR2137" s="77">
        <v>58767</v>
      </c>
      <c r="AS2137" s="77"/>
      <c r="AT2137" s="77"/>
      <c r="AU2137" s="77">
        <v>2</v>
      </c>
      <c r="AV2137" s="80" t="str">
        <f>HYPERLINK("https://pbs.twimg.com/ext_tw_video_thumb/1661069703404572672/pu/img/SN4ThnZ8wUfBti1w.jpg")</f>
        <v>https://pbs.twimg.com/ext_tw_video_thumb/1661069703404572672/pu/img/SN4ThnZ8wUfBti1w.jpg</v>
      </c>
      <c r="AW2137" s="82" t="s">
        <v>14295</v>
      </c>
      <c r="AX2137" s="82" t="s">
        <v>14295</v>
      </c>
      <c r="AY2137" s="77"/>
      <c r="AZ2137" s="82" t="s">
        <v>15804</v>
      </c>
      <c r="BA2137" s="82" t="s">
        <v>15804</v>
      </c>
      <c r="BB2137" s="82" t="s">
        <v>15804</v>
      </c>
      <c r="BC2137" s="82" t="s">
        <v>14295</v>
      </c>
      <c r="BD2137" s="82" t="s">
        <v>16512</v>
      </c>
      <c r="BE2137" s="77"/>
      <c r="BF2137" s="77"/>
      <c r="BG2137" s="77"/>
      <c r="BH2137" s="77"/>
      <c r="BI2137" s="77"/>
    </row>
    <row r="2138" spans="1:61" x14ac:dyDescent="0.25">
      <c r="A2138" s="62" t="s">
        <v>877</v>
      </c>
      <c r="B2138" s="62" t="s">
        <v>877</v>
      </c>
      <c r="C2138" s="63"/>
      <c r="D2138" s="64"/>
      <c r="E2138" s="65"/>
      <c r="F2138" s="66"/>
      <c r="G2138" s="63"/>
      <c r="H2138" s="67"/>
      <c r="I2138" s="68"/>
      <c r="J2138" s="68"/>
      <c r="K2138" s="32"/>
      <c r="L2138" s="75">
        <v>2138</v>
      </c>
      <c r="M2138" s="75"/>
      <c r="N2138" s="70"/>
      <c r="O2138" s="77" t="s">
        <v>179</v>
      </c>
      <c r="P2138" s="79">
        <v>45069.667187500003</v>
      </c>
      <c r="Q2138" s="77" t="s">
        <v>3184</v>
      </c>
      <c r="R2138" s="77">
        <v>0</v>
      </c>
      <c r="S2138" s="77">
        <v>0</v>
      </c>
      <c r="T2138" s="77">
        <v>0</v>
      </c>
      <c r="U2138" s="77">
        <v>0</v>
      </c>
      <c r="V2138" s="77">
        <v>3</v>
      </c>
      <c r="W2138" s="82" t="s">
        <v>5444</v>
      </c>
      <c r="X2138" s="77"/>
      <c r="Y2138" s="77"/>
      <c r="Z2138" s="77"/>
      <c r="AA2138" s="77" t="s">
        <v>7319</v>
      </c>
      <c r="AB2138" s="77" t="s">
        <v>7696</v>
      </c>
      <c r="AC2138" s="82" t="s">
        <v>7708</v>
      </c>
      <c r="AD2138" s="77" t="s">
        <v>7745</v>
      </c>
      <c r="AE2138" s="80" t="str">
        <f>HYPERLINK("https://twitter.com/investimentoob1/status/1661039471586865153")</f>
        <v>https://twitter.com/investimentoob1/status/1661039471586865153</v>
      </c>
      <c r="AF2138" s="79">
        <v>45069.667187500003</v>
      </c>
      <c r="AG2138" s="85">
        <v>45069</v>
      </c>
      <c r="AH2138" s="82" t="s">
        <v>9663</v>
      </c>
      <c r="AI2138" s="77" t="b">
        <v>0</v>
      </c>
      <c r="AJ2138" s="77"/>
      <c r="AK2138" s="77"/>
      <c r="AL2138" s="77"/>
      <c r="AM2138" s="77"/>
      <c r="AN2138" s="77"/>
      <c r="AO2138" s="77"/>
      <c r="AP2138" s="77"/>
      <c r="AQ2138" s="77" t="s">
        <v>11826</v>
      </c>
      <c r="AR2138" s="77"/>
      <c r="AS2138" s="77"/>
      <c r="AT2138" s="77"/>
      <c r="AU2138" s="77"/>
      <c r="AV2138" s="80" t="str">
        <f>HYPERLINK("https://pbs.twimg.com/media/Fw0ymNgWIAAXp3b.jpg")</f>
        <v>https://pbs.twimg.com/media/Fw0ymNgWIAAXp3b.jpg</v>
      </c>
      <c r="AW2138" s="82" t="s">
        <v>14296</v>
      </c>
      <c r="AX2138" s="82" t="s">
        <v>14296</v>
      </c>
      <c r="AY2138" s="77"/>
      <c r="AZ2138" s="82" t="s">
        <v>15804</v>
      </c>
      <c r="BA2138" s="82" t="s">
        <v>15804</v>
      </c>
      <c r="BB2138" s="82" t="s">
        <v>15804</v>
      </c>
      <c r="BC2138" s="82" t="s">
        <v>14296</v>
      </c>
      <c r="BD2138" s="82" t="s">
        <v>16512</v>
      </c>
      <c r="BE2138" s="77"/>
      <c r="BF2138" s="77"/>
      <c r="BG2138" s="77"/>
      <c r="BH2138" s="77"/>
      <c r="BI2138" s="77"/>
    </row>
    <row r="2139" spans="1:61" x14ac:dyDescent="0.25">
      <c r="A2139" s="62" t="s">
        <v>877</v>
      </c>
      <c r="B2139" s="62" t="s">
        <v>877</v>
      </c>
      <c r="C2139" s="63"/>
      <c r="D2139" s="64"/>
      <c r="E2139" s="65"/>
      <c r="F2139" s="66"/>
      <c r="G2139" s="63"/>
      <c r="H2139" s="67"/>
      <c r="I2139" s="68"/>
      <c r="J2139" s="68"/>
      <c r="K2139" s="32"/>
      <c r="L2139" s="75">
        <v>2139</v>
      </c>
      <c r="M2139" s="75"/>
      <c r="N2139" s="70"/>
      <c r="O2139" s="77" t="s">
        <v>179</v>
      </c>
      <c r="P2139" s="79">
        <v>44946.875439814816</v>
      </c>
      <c r="Q2139" s="77" t="s">
        <v>3185</v>
      </c>
      <c r="R2139" s="77">
        <v>0</v>
      </c>
      <c r="S2139" s="77">
        <v>0</v>
      </c>
      <c r="T2139" s="77">
        <v>0</v>
      </c>
      <c r="U2139" s="77">
        <v>0</v>
      </c>
      <c r="V2139" s="77">
        <v>21</v>
      </c>
      <c r="W2139" s="82" t="s">
        <v>4994</v>
      </c>
      <c r="X2139" s="80" t="str">
        <f>HYPERLINK("https://investimentoobjetivo.com.br/mentoria-investimentos/")</f>
        <v>https://investimentoobjetivo.com.br/mentoria-investimentos/</v>
      </c>
      <c r="Y2139" s="77" t="s">
        <v>6002</v>
      </c>
      <c r="Z2139" s="77"/>
      <c r="AA2139" s="77" t="s">
        <v>7320</v>
      </c>
      <c r="AB2139" s="77" t="s">
        <v>7697</v>
      </c>
      <c r="AC2139" s="82" t="s">
        <v>7708</v>
      </c>
      <c r="AD2139" s="77" t="s">
        <v>7745</v>
      </c>
      <c r="AE2139" s="80" t="str">
        <f>HYPERLINK("https://twitter.com/investimentoob1/status/1616541231856713736")</f>
        <v>https://twitter.com/investimentoob1/status/1616541231856713736</v>
      </c>
      <c r="AF2139" s="79">
        <v>44946.875439814816</v>
      </c>
      <c r="AG2139" s="85">
        <v>44946</v>
      </c>
      <c r="AH2139" s="82" t="s">
        <v>9664</v>
      </c>
      <c r="AI2139" s="77" t="b">
        <v>0</v>
      </c>
      <c r="AJ2139" s="77"/>
      <c r="AK2139" s="77"/>
      <c r="AL2139" s="77"/>
      <c r="AM2139" s="77"/>
      <c r="AN2139" s="77"/>
      <c r="AO2139" s="77"/>
      <c r="AP2139" s="77"/>
      <c r="AQ2139" s="77" t="s">
        <v>11827</v>
      </c>
      <c r="AR2139" s="77">
        <v>18700</v>
      </c>
      <c r="AS2139" s="77"/>
      <c r="AT2139" s="77"/>
      <c r="AU2139" s="77">
        <v>4</v>
      </c>
      <c r="AV2139" s="80" t="str">
        <f>HYPERLINK("https://pbs.twimg.com/ext_tw_video_thumb/1616541185434157088/pu/img/XGH5aFB9Z3oDoDgO.jpg")</f>
        <v>https://pbs.twimg.com/ext_tw_video_thumb/1616541185434157088/pu/img/XGH5aFB9Z3oDoDgO.jpg</v>
      </c>
      <c r="AW2139" s="82" t="s">
        <v>14297</v>
      </c>
      <c r="AX2139" s="82" t="s">
        <v>14297</v>
      </c>
      <c r="AY2139" s="77"/>
      <c r="AZ2139" s="82" t="s">
        <v>15804</v>
      </c>
      <c r="BA2139" s="82" t="s">
        <v>15804</v>
      </c>
      <c r="BB2139" s="82" t="s">
        <v>15804</v>
      </c>
      <c r="BC2139" s="82" t="s">
        <v>14297</v>
      </c>
      <c r="BD2139" s="82" t="s">
        <v>16512</v>
      </c>
      <c r="BE2139" s="77"/>
      <c r="BF2139" s="77"/>
      <c r="BG2139" s="77"/>
      <c r="BH2139" s="77"/>
      <c r="BI2139" s="77"/>
    </row>
    <row r="2140" spans="1:61" x14ac:dyDescent="0.25">
      <c r="A2140" s="62" t="s">
        <v>877</v>
      </c>
      <c r="B2140" s="62" t="s">
        <v>877</v>
      </c>
      <c r="C2140" s="63"/>
      <c r="D2140" s="64"/>
      <c r="E2140" s="65"/>
      <c r="F2140" s="66"/>
      <c r="G2140" s="63"/>
      <c r="H2140" s="67"/>
      <c r="I2140" s="68"/>
      <c r="J2140" s="68"/>
      <c r="K2140" s="32"/>
      <c r="L2140" s="75">
        <v>2140</v>
      </c>
      <c r="M2140" s="75"/>
      <c r="N2140" s="70"/>
      <c r="O2140" s="77" t="s">
        <v>179</v>
      </c>
      <c r="P2140" s="79">
        <v>45076.750648148147</v>
      </c>
      <c r="Q2140" s="77" t="s">
        <v>3186</v>
      </c>
      <c r="R2140" s="77">
        <v>0</v>
      </c>
      <c r="S2140" s="77">
        <v>0</v>
      </c>
      <c r="T2140" s="77">
        <v>0</v>
      </c>
      <c r="U2140" s="77">
        <v>0</v>
      </c>
      <c r="V2140" s="77">
        <v>5</v>
      </c>
      <c r="W2140" s="82" t="s">
        <v>5445</v>
      </c>
      <c r="X2140" s="77"/>
      <c r="Y2140" s="77"/>
      <c r="Z2140" s="77"/>
      <c r="AA2140" s="77" t="s">
        <v>7321</v>
      </c>
      <c r="AB2140" s="77" t="s">
        <v>7697</v>
      </c>
      <c r="AC2140" s="82" t="s">
        <v>7708</v>
      </c>
      <c r="AD2140" s="77" t="s">
        <v>7745</v>
      </c>
      <c r="AE2140" s="80" t="str">
        <f>HYPERLINK("https://twitter.com/investimentoob1/status/1663606433026277376")</f>
        <v>https://twitter.com/investimentoob1/status/1663606433026277376</v>
      </c>
      <c r="AF2140" s="79">
        <v>45076.750648148147</v>
      </c>
      <c r="AG2140" s="85">
        <v>45076</v>
      </c>
      <c r="AH2140" s="82" t="s">
        <v>9665</v>
      </c>
      <c r="AI2140" s="77" t="b">
        <v>0</v>
      </c>
      <c r="AJ2140" s="77"/>
      <c r="AK2140" s="77"/>
      <c r="AL2140" s="77"/>
      <c r="AM2140" s="77"/>
      <c r="AN2140" s="77"/>
      <c r="AO2140" s="77"/>
      <c r="AP2140" s="77"/>
      <c r="AQ2140" s="77" t="s">
        <v>11828</v>
      </c>
      <c r="AR2140" s="77">
        <v>59832</v>
      </c>
      <c r="AS2140" s="77"/>
      <c r="AT2140" s="77"/>
      <c r="AU2140" s="77">
        <v>0</v>
      </c>
      <c r="AV2140" s="80" t="str">
        <f>HYPERLINK("https://pbs.twimg.com/ext_tw_video_thumb/1663606385861353473/pu/img/4gJgfFWIL8lNwv6Z.jpg")</f>
        <v>https://pbs.twimg.com/ext_tw_video_thumb/1663606385861353473/pu/img/4gJgfFWIL8lNwv6Z.jpg</v>
      </c>
      <c r="AW2140" s="82" t="s">
        <v>14298</v>
      </c>
      <c r="AX2140" s="82" t="s">
        <v>14298</v>
      </c>
      <c r="AY2140" s="77"/>
      <c r="AZ2140" s="82" t="s">
        <v>15804</v>
      </c>
      <c r="BA2140" s="82" t="s">
        <v>15804</v>
      </c>
      <c r="BB2140" s="82" t="s">
        <v>15804</v>
      </c>
      <c r="BC2140" s="82" t="s">
        <v>14298</v>
      </c>
      <c r="BD2140" s="82" t="s">
        <v>16512</v>
      </c>
      <c r="BE2140" s="77"/>
      <c r="BF2140" s="77"/>
      <c r="BG2140" s="77"/>
      <c r="BH2140" s="77"/>
      <c r="BI2140" s="77"/>
    </row>
    <row r="2141" spans="1:61" x14ac:dyDescent="0.25">
      <c r="A2141" s="62" t="s">
        <v>877</v>
      </c>
      <c r="B2141" s="62" t="s">
        <v>877</v>
      </c>
      <c r="C2141" s="63"/>
      <c r="D2141" s="64"/>
      <c r="E2141" s="65"/>
      <c r="F2141" s="66"/>
      <c r="G2141" s="63"/>
      <c r="H2141" s="67"/>
      <c r="I2141" s="68"/>
      <c r="J2141" s="68"/>
      <c r="K2141" s="32"/>
      <c r="L2141" s="75">
        <v>2141</v>
      </c>
      <c r="M2141" s="75"/>
      <c r="N2141" s="70"/>
      <c r="O2141" s="77" t="s">
        <v>179</v>
      </c>
      <c r="P2141" s="79">
        <v>45073.625613425924</v>
      </c>
      <c r="Q2141" s="77" t="s">
        <v>3187</v>
      </c>
      <c r="R2141" s="77">
        <v>0</v>
      </c>
      <c r="S2141" s="77">
        <v>0</v>
      </c>
      <c r="T2141" s="77">
        <v>1</v>
      </c>
      <c r="U2141" s="77">
        <v>0</v>
      </c>
      <c r="V2141" s="77">
        <v>10</v>
      </c>
      <c r="W2141" s="82" t="s">
        <v>5446</v>
      </c>
      <c r="X2141" s="77"/>
      <c r="Y2141" s="77"/>
      <c r="Z2141" s="77"/>
      <c r="AA2141" s="77" t="s">
        <v>7322</v>
      </c>
      <c r="AB2141" s="77" t="s">
        <v>7696</v>
      </c>
      <c r="AC2141" s="82" t="s">
        <v>7708</v>
      </c>
      <c r="AD2141" s="77" t="s">
        <v>7745</v>
      </c>
      <c r="AE2141" s="80" t="str">
        <f>HYPERLINK("https://twitter.com/investimentoob1/status/1662473957885243392")</f>
        <v>https://twitter.com/investimentoob1/status/1662473957885243392</v>
      </c>
      <c r="AF2141" s="79">
        <v>45073.625613425924</v>
      </c>
      <c r="AG2141" s="85">
        <v>45073</v>
      </c>
      <c r="AH2141" s="82" t="s">
        <v>9666</v>
      </c>
      <c r="AI2141" s="77" t="b">
        <v>0</v>
      </c>
      <c r="AJ2141" s="77"/>
      <c r="AK2141" s="77"/>
      <c r="AL2141" s="77"/>
      <c r="AM2141" s="77"/>
      <c r="AN2141" s="77"/>
      <c r="AO2141" s="77"/>
      <c r="AP2141" s="77"/>
      <c r="AQ2141" s="77" t="s">
        <v>11829</v>
      </c>
      <c r="AR2141" s="77"/>
      <c r="AS2141" s="77"/>
      <c r="AT2141" s="77"/>
      <c r="AU2141" s="77"/>
      <c r="AV2141" s="80" t="str">
        <f>HYPERLINK("https://pbs.twimg.com/media/FxJLQQ5XwAMfPDw.jpg")</f>
        <v>https://pbs.twimg.com/media/FxJLQQ5XwAMfPDw.jpg</v>
      </c>
      <c r="AW2141" s="82" t="s">
        <v>14299</v>
      </c>
      <c r="AX2141" s="82" t="s">
        <v>14299</v>
      </c>
      <c r="AY2141" s="77"/>
      <c r="AZ2141" s="82" t="s">
        <v>15804</v>
      </c>
      <c r="BA2141" s="82" t="s">
        <v>15804</v>
      </c>
      <c r="BB2141" s="82" t="s">
        <v>15804</v>
      </c>
      <c r="BC2141" s="82" t="s">
        <v>14299</v>
      </c>
      <c r="BD2141" s="82" t="s">
        <v>16512</v>
      </c>
      <c r="BE2141" s="77"/>
      <c r="BF2141" s="77"/>
      <c r="BG2141" s="77"/>
      <c r="BH2141" s="77"/>
      <c r="BI2141" s="77"/>
    </row>
    <row r="2142" spans="1:61" x14ac:dyDescent="0.25">
      <c r="A2142" s="62" t="s">
        <v>877</v>
      </c>
      <c r="B2142" s="62" t="s">
        <v>877</v>
      </c>
      <c r="C2142" s="63"/>
      <c r="D2142" s="64"/>
      <c r="E2142" s="65"/>
      <c r="F2142" s="66"/>
      <c r="G2142" s="63"/>
      <c r="H2142" s="67"/>
      <c r="I2142" s="68"/>
      <c r="J2142" s="68"/>
      <c r="K2142" s="32"/>
      <c r="L2142" s="75">
        <v>2142</v>
      </c>
      <c r="M2142" s="75"/>
      <c r="N2142" s="70"/>
      <c r="O2142" s="77" t="s">
        <v>179</v>
      </c>
      <c r="P2142" s="79">
        <v>45072.625671296293</v>
      </c>
      <c r="Q2142" s="77" t="s">
        <v>3188</v>
      </c>
      <c r="R2142" s="77">
        <v>0</v>
      </c>
      <c r="S2142" s="77">
        <v>0</v>
      </c>
      <c r="T2142" s="77">
        <v>0</v>
      </c>
      <c r="U2142" s="77">
        <v>0</v>
      </c>
      <c r="V2142" s="77">
        <v>23</v>
      </c>
      <c r="W2142" s="82" t="s">
        <v>5447</v>
      </c>
      <c r="X2142" s="77"/>
      <c r="Y2142" s="77"/>
      <c r="Z2142" s="77"/>
      <c r="AA2142" s="77" t="s">
        <v>7323</v>
      </c>
      <c r="AB2142" s="77" t="s">
        <v>7696</v>
      </c>
      <c r="AC2142" s="82" t="s">
        <v>7708</v>
      </c>
      <c r="AD2142" s="77" t="s">
        <v>7745</v>
      </c>
      <c r="AE2142" s="80" t="str">
        <f>HYPERLINK("https://twitter.com/investimentoob1/status/1662111591985233920")</f>
        <v>https://twitter.com/investimentoob1/status/1662111591985233920</v>
      </c>
      <c r="AF2142" s="79">
        <v>45072.625671296293</v>
      </c>
      <c r="AG2142" s="85">
        <v>45072</v>
      </c>
      <c r="AH2142" s="82" t="s">
        <v>9667</v>
      </c>
      <c r="AI2142" s="77" t="b">
        <v>0</v>
      </c>
      <c r="AJ2142" s="77"/>
      <c r="AK2142" s="77"/>
      <c r="AL2142" s="77"/>
      <c r="AM2142" s="77"/>
      <c r="AN2142" s="77"/>
      <c r="AO2142" s="77"/>
      <c r="AP2142" s="77"/>
      <c r="AQ2142" s="77" t="s">
        <v>11830</v>
      </c>
      <c r="AR2142" s="77"/>
      <c r="AS2142" s="77"/>
      <c r="AT2142" s="77"/>
      <c r="AU2142" s="77"/>
      <c r="AV2142" s="80" t="str">
        <f>HYPERLINK("https://pbs.twimg.com/media/FxEBrt5WIAEUYv8.jpg")</f>
        <v>https://pbs.twimg.com/media/FxEBrt5WIAEUYv8.jpg</v>
      </c>
      <c r="AW2142" s="82" t="s">
        <v>14300</v>
      </c>
      <c r="AX2142" s="82" t="s">
        <v>14300</v>
      </c>
      <c r="AY2142" s="77"/>
      <c r="AZ2142" s="82" t="s">
        <v>15804</v>
      </c>
      <c r="BA2142" s="82" t="s">
        <v>15804</v>
      </c>
      <c r="BB2142" s="82" t="s">
        <v>15804</v>
      </c>
      <c r="BC2142" s="82" t="s">
        <v>14300</v>
      </c>
      <c r="BD2142" s="82" t="s">
        <v>16512</v>
      </c>
      <c r="BE2142" s="77"/>
      <c r="BF2142" s="77"/>
      <c r="BG2142" s="77"/>
      <c r="BH2142" s="77"/>
      <c r="BI2142" s="77"/>
    </row>
    <row r="2143" spans="1:61" x14ac:dyDescent="0.25">
      <c r="A2143" s="62" t="s">
        <v>877</v>
      </c>
      <c r="B2143" s="62" t="s">
        <v>877</v>
      </c>
      <c r="C2143" s="63"/>
      <c r="D2143" s="64"/>
      <c r="E2143" s="65"/>
      <c r="F2143" s="66"/>
      <c r="G2143" s="63"/>
      <c r="H2143" s="67"/>
      <c r="I2143" s="68"/>
      <c r="J2143" s="68"/>
      <c r="K2143" s="32"/>
      <c r="L2143" s="75">
        <v>2143</v>
      </c>
      <c r="M2143" s="75"/>
      <c r="N2143" s="70"/>
      <c r="O2143" s="77" t="s">
        <v>179</v>
      </c>
      <c r="P2143" s="79">
        <v>45033.750671296293</v>
      </c>
      <c r="Q2143" s="77" t="s">
        <v>3189</v>
      </c>
      <c r="R2143" s="77">
        <v>0</v>
      </c>
      <c r="S2143" s="77">
        <v>0</v>
      </c>
      <c r="T2143" s="77">
        <v>0</v>
      </c>
      <c r="U2143" s="77">
        <v>0</v>
      </c>
      <c r="V2143" s="77">
        <v>39</v>
      </c>
      <c r="W2143" s="82" t="s">
        <v>5448</v>
      </c>
      <c r="X2143" s="77"/>
      <c r="Y2143" s="77"/>
      <c r="Z2143" s="77"/>
      <c r="AA2143" s="77" t="s">
        <v>7324</v>
      </c>
      <c r="AB2143" s="77" t="s">
        <v>7697</v>
      </c>
      <c r="AC2143" s="82" t="s">
        <v>7708</v>
      </c>
      <c r="AD2143" s="77" t="s">
        <v>7745</v>
      </c>
      <c r="AE2143" s="80" t="str">
        <f>HYPERLINK("https://twitter.com/investimentoob1/status/1648023762489540610")</f>
        <v>https://twitter.com/investimentoob1/status/1648023762489540610</v>
      </c>
      <c r="AF2143" s="79">
        <v>45033.750671296293</v>
      </c>
      <c r="AG2143" s="85">
        <v>45033</v>
      </c>
      <c r="AH2143" s="82" t="s">
        <v>9668</v>
      </c>
      <c r="AI2143" s="77" t="b">
        <v>0</v>
      </c>
      <c r="AJ2143" s="77"/>
      <c r="AK2143" s="77"/>
      <c r="AL2143" s="77"/>
      <c r="AM2143" s="77"/>
      <c r="AN2143" s="77"/>
      <c r="AO2143" s="77"/>
      <c r="AP2143" s="77"/>
      <c r="AQ2143" s="77" t="s">
        <v>11831</v>
      </c>
      <c r="AR2143" s="77">
        <v>57250</v>
      </c>
      <c r="AS2143" s="77"/>
      <c r="AT2143" s="77"/>
      <c r="AU2143" s="77">
        <v>15</v>
      </c>
      <c r="AV2143" s="80" t="str">
        <f>HYPERLINK("https://pbs.twimg.com/ext_tw_video_thumb/1648023712954810368/pu/img/kJjLmkTN9neYntCd.jpg")</f>
        <v>https://pbs.twimg.com/ext_tw_video_thumb/1648023712954810368/pu/img/kJjLmkTN9neYntCd.jpg</v>
      </c>
      <c r="AW2143" s="82" t="s">
        <v>14301</v>
      </c>
      <c r="AX2143" s="82" t="s">
        <v>14301</v>
      </c>
      <c r="AY2143" s="77"/>
      <c r="AZ2143" s="82" t="s">
        <v>15804</v>
      </c>
      <c r="BA2143" s="82" t="s">
        <v>15804</v>
      </c>
      <c r="BB2143" s="82" t="s">
        <v>15804</v>
      </c>
      <c r="BC2143" s="82" t="s">
        <v>14301</v>
      </c>
      <c r="BD2143" s="82" t="s">
        <v>16512</v>
      </c>
      <c r="BE2143" s="77"/>
      <c r="BF2143" s="77"/>
      <c r="BG2143" s="77"/>
      <c r="BH2143" s="77"/>
      <c r="BI2143" s="77"/>
    </row>
    <row r="2144" spans="1:61" x14ac:dyDescent="0.25">
      <c r="A2144" s="62" t="s">
        <v>877</v>
      </c>
      <c r="B2144" s="62" t="s">
        <v>877</v>
      </c>
      <c r="C2144" s="63"/>
      <c r="D2144" s="64"/>
      <c r="E2144" s="65"/>
      <c r="F2144" s="66"/>
      <c r="G2144" s="63"/>
      <c r="H2144" s="67"/>
      <c r="I2144" s="68"/>
      <c r="J2144" s="68"/>
      <c r="K2144" s="32"/>
      <c r="L2144" s="75">
        <v>2144</v>
      </c>
      <c r="M2144" s="75"/>
      <c r="N2144" s="70"/>
      <c r="O2144" s="77" t="s">
        <v>179</v>
      </c>
      <c r="P2144" s="79">
        <v>45108.542210648149</v>
      </c>
      <c r="Q2144" s="77" t="s">
        <v>3190</v>
      </c>
      <c r="R2144" s="77">
        <v>0</v>
      </c>
      <c r="S2144" s="77">
        <v>0</v>
      </c>
      <c r="T2144" s="77">
        <v>0</v>
      </c>
      <c r="U2144" s="77">
        <v>0</v>
      </c>
      <c r="V2144" s="77">
        <v>47</v>
      </c>
      <c r="W2144" s="82" t="s">
        <v>5449</v>
      </c>
      <c r="X2144" s="77"/>
      <c r="Y2144" s="77"/>
      <c r="Z2144" s="77"/>
      <c r="AA2144" s="77" t="s">
        <v>7325</v>
      </c>
      <c r="AB2144" s="77" t="s">
        <v>7697</v>
      </c>
      <c r="AC2144" s="82" t="s">
        <v>7708</v>
      </c>
      <c r="AD2144" s="77" t="s">
        <v>7745</v>
      </c>
      <c r="AE2144" s="80" t="str">
        <f>HYPERLINK("https://twitter.com/investimentoob1/status/1675127311081807872")</f>
        <v>https://twitter.com/investimentoob1/status/1675127311081807872</v>
      </c>
      <c r="AF2144" s="79">
        <v>45108.542210648149</v>
      </c>
      <c r="AG2144" s="85">
        <v>45108</v>
      </c>
      <c r="AH2144" s="82" t="s">
        <v>9669</v>
      </c>
      <c r="AI2144" s="77" t="b">
        <v>0</v>
      </c>
      <c r="AJ2144" s="77"/>
      <c r="AK2144" s="77"/>
      <c r="AL2144" s="77"/>
      <c r="AM2144" s="77"/>
      <c r="AN2144" s="77"/>
      <c r="AO2144" s="77"/>
      <c r="AP2144" s="77"/>
      <c r="AQ2144" s="77" t="s">
        <v>11832</v>
      </c>
      <c r="AR2144" s="77">
        <v>11033</v>
      </c>
      <c r="AS2144" s="77"/>
      <c r="AT2144" s="77"/>
      <c r="AU2144" s="77">
        <v>12</v>
      </c>
      <c r="AV2144" s="80" t="str">
        <f>HYPERLINK("https://pbs.twimg.com/ext_tw_video_thumb/1675127287082041345/pu/img/GL6xMLrcfaUkck6e.jpg")</f>
        <v>https://pbs.twimg.com/ext_tw_video_thumb/1675127287082041345/pu/img/GL6xMLrcfaUkck6e.jpg</v>
      </c>
      <c r="AW2144" s="82" t="s">
        <v>14302</v>
      </c>
      <c r="AX2144" s="82" t="s">
        <v>14302</v>
      </c>
      <c r="AY2144" s="77"/>
      <c r="AZ2144" s="82" t="s">
        <v>15804</v>
      </c>
      <c r="BA2144" s="82" t="s">
        <v>15804</v>
      </c>
      <c r="BB2144" s="82" t="s">
        <v>15804</v>
      </c>
      <c r="BC2144" s="82" t="s">
        <v>14302</v>
      </c>
      <c r="BD2144" s="82" t="s">
        <v>16512</v>
      </c>
      <c r="BE2144" s="77"/>
      <c r="BF2144" s="77"/>
      <c r="BG2144" s="77"/>
      <c r="BH2144" s="77"/>
      <c r="BI2144" s="77"/>
    </row>
    <row r="2145" spans="1:61" x14ac:dyDescent="0.25">
      <c r="A2145" s="62" t="s">
        <v>877</v>
      </c>
      <c r="B2145" s="62" t="s">
        <v>877</v>
      </c>
      <c r="C2145" s="63"/>
      <c r="D2145" s="64"/>
      <c r="E2145" s="65"/>
      <c r="F2145" s="66"/>
      <c r="G2145" s="63"/>
      <c r="H2145" s="67"/>
      <c r="I2145" s="68"/>
      <c r="J2145" s="68"/>
      <c r="K2145" s="32"/>
      <c r="L2145" s="75">
        <v>2145</v>
      </c>
      <c r="M2145" s="75"/>
      <c r="N2145" s="70"/>
      <c r="O2145" s="77" t="s">
        <v>179</v>
      </c>
      <c r="P2145" s="79">
        <v>45092.850995370369</v>
      </c>
      <c r="Q2145" s="77" t="s">
        <v>3191</v>
      </c>
      <c r="R2145" s="77">
        <v>0</v>
      </c>
      <c r="S2145" s="77">
        <v>0</v>
      </c>
      <c r="T2145" s="77">
        <v>0</v>
      </c>
      <c r="U2145" s="77">
        <v>0</v>
      </c>
      <c r="V2145" s="77">
        <v>48</v>
      </c>
      <c r="W2145" s="82" t="s">
        <v>5450</v>
      </c>
      <c r="X2145" s="77"/>
      <c r="Y2145" s="77"/>
      <c r="Z2145" s="77"/>
      <c r="AA2145" s="77" t="s">
        <v>7326</v>
      </c>
      <c r="AB2145" s="77" t="s">
        <v>7697</v>
      </c>
      <c r="AC2145" s="82" t="s">
        <v>7708</v>
      </c>
      <c r="AD2145" s="77" t="s">
        <v>7745</v>
      </c>
      <c r="AE2145" s="80" t="str">
        <f>HYPERLINK("https://twitter.com/investimentoob1/status/1669441004649304085")</f>
        <v>https://twitter.com/investimentoob1/status/1669441004649304085</v>
      </c>
      <c r="AF2145" s="79">
        <v>45092.850995370369</v>
      </c>
      <c r="AG2145" s="85">
        <v>45092</v>
      </c>
      <c r="AH2145" s="82" t="s">
        <v>9670</v>
      </c>
      <c r="AI2145" s="77" t="b">
        <v>0</v>
      </c>
      <c r="AJ2145" s="77"/>
      <c r="AK2145" s="77"/>
      <c r="AL2145" s="77"/>
      <c r="AM2145" s="77"/>
      <c r="AN2145" s="77"/>
      <c r="AO2145" s="77"/>
      <c r="AP2145" s="77"/>
      <c r="AQ2145" s="77" t="s">
        <v>11833</v>
      </c>
      <c r="AR2145" s="77">
        <v>57671</v>
      </c>
      <c r="AS2145" s="77"/>
      <c r="AT2145" s="77"/>
      <c r="AU2145" s="77">
        <v>7</v>
      </c>
      <c r="AV2145" s="80" t="str">
        <f>HYPERLINK("https://pbs.twimg.com/ext_tw_video_thumb/1669440951574581269/pu/img/wMkHNRJEt4jNF8Hn.jpg")</f>
        <v>https://pbs.twimg.com/ext_tw_video_thumb/1669440951574581269/pu/img/wMkHNRJEt4jNF8Hn.jpg</v>
      </c>
      <c r="AW2145" s="82" t="s">
        <v>14303</v>
      </c>
      <c r="AX2145" s="82" t="s">
        <v>14303</v>
      </c>
      <c r="AY2145" s="77"/>
      <c r="AZ2145" s="82" t="s">
        <v>15804</v>
      </c>
      <c r="BA2145" s="82" t="s">
        <v>15804</v>
      </c>
      <c r="BB2145" s="82" t="s">
        <v>15804</v>
      </c>
      <c r="BC2145" s="82" t="s">
        <v>14303</v>
      </c>
      <c r="BD2145" s="82" t="s">
        <v>16512</v>
      </c>
      <c r="BE2145" s="77"/>
      <c r="BF2145" s="77"/>
      <c r="BG2145" s="77"/>
      <c r="BH2145" s="77"/>
      <c r="BI2145" s="77"/>
    </row>
    <row r="2146" spans="1:61" x14ac:dyDescent="0.25">
      <c r="A2146" s="62" t="s">
        <v>877</v>
      </c>
      <c r="B2146" s="62" t="s">
        <v>877</v>
      </c>
      <c r="C2146" s="63"/>
      <c r="D2146" s="64"/>
      <c r="E2146" s="65"/>
      <c r="F2146" s="66"/>
      <c r="G2146" s="63"/>
      <c r="H2146" s="67"/>
      <c r="I2146" s="68"/>
      <c r="J2146" s="68"/>
      <c r="K2146" s="32"/>
      <c r="L2146" s="75">
        <v>2146</v>
      </c>
      <c r="M2146" s="75"/>
      <c r="N2146" s="70"/>
      <c r="O2146" s="77" t="s">
        <v>179</v>
      </c>
      <c r="P2146" s="79">
        <v>45077.500775462962</v>
      </c>
      <c r="Q2146" s="77" t="s">
        <v>3192</v>
      </c>
      <c r="R2146" s="77">
        <v>0</v>
      </c>
      <c r="S2146" s="77">
        <v>0</v>
      </c>
      <c r="T2146" s="77">
        <v>0</v>
      </c>
      <c r="U2146" s="77">
        <v>0</v>
      </c>
      <c r="V2146" s="77">
        <v>34</v>
      </c>
      <c r="W2146" s="82" t="s">
        <v>5451</v>
      </c>
      <c r="X2146" s="77"/>
      <c r="Y2146" s="77"/>
      <c r="Z2146" s="77"/>
      <c r="AA2146" s="77" t="s">
        <v>7327</v>
      </c>
      <c r="AB2146" s="77" t="s">
        <v>7697</v>
      </c>
      <c r="AC2146" s="82" t="s">
        <v>7708</v>
      </c>
      <c r="AD2146" s="77" t="s">
        <v>7745</v>
      </c>
      <c r="AE2146" s="80" t="str">
        <f>HYPERLINK("https://twitter.com/investimentoob1/status/1663878269853134848")</f>
        <v>https://twitter.com/investimentoob1/status/1663878269853134848</v>
      </c>
      <c r="AF2146" s="79">
        <v>45077.500775462962</v>
      </c>
      <c r="AG2146" s="85">
        <v>45077</v>
      </c>
      <c r="AH2146" s="82" t="s">
        <v>9671</v>
      </c>
      <c r="AI2146" s="77" t="b">
        <v>0</v>
      </c>
      <c r="AJ2146" s="77"/>
      <c r="AK2146" s="77"/>
      <c r="AL2146" s="77"/>
      <c r="AM2146" s="77"/>
      <c r="AN2146" s="77"/>
      <c r="AO2146" s="77"/>
      <c r="AP2146" s="77"/>
      <c r="AQ2146" s="77" t="s">
        <v>11834</v>
      </c>
      <c r="AR2146" s="77">
        <v>58231</v>
      </c>
      <c r="AS2146" s="77"/>
      <c r="AT2146" s="77"/>
      <c r="AU2146" s="77">
        <v>4</v>
      </c>
      <c r="AV2146" s="80" t="str">
        <f>HYPERLINK("https://pbs.twimg.com/ext_tw_video_thumb/1663878240337899521/pu/img/K9uklS9iQids7o1n.jpg")</f>
        <v>https://pbs.twimg.com/ext_tw_video_thumb/1663878240337899521/pu/img/K9uklS9iQids7o1n.jpg</v>
      </c>
      <c r="AW2146" s="82" t="s">
        <v>14304</v>
      </c>
      <c r="AX2146" s="82" t="s">
        <v>14304</v>
      </c>
      <c r="AY2146" s="77"/>
      <c r="AZ2146" s="82" t="s">
        <v>15804</v>
      </c>
      <c r="BA2146" s="82" t="s">
        <v>15804</v>
      </c>
      <c r="BB2146" s="82" t="s">
        <v>15804</v>
      </c>
      <c r="BC2146" s="82" t="s">
        <v>14304</v>
      </c>
      <c r="BD2146" s="82" t="s">
        <v>16512</v>
      </c>
      <c r="BE2146" s="77"/>
      <c r="BF2146" s="77"/>
      <c r="BG2146" s="77"/>
      <c r="BH2146" s="77"/>
      <c r="BI2146" s="77"/>
    </row>
    <row r="2147" spans="1:61" x14ac:dyDescent="0.25">
      <c r="A2147" s="62" t="s">
        <v>877</v>
      </c>
      <c r="B2147" s="62" t="s">
        <v>877</v>
      </c>
      <c r="C2147" s="63"/>
      <c r="D2147" s="64"/>
      <c r="E2147" s="65"/>
      <c r="F2147" s="66"/>
      <c r="G2147" s="63"/>
      <c r="H2147" s="67"/>
      <c r="I2147" s="68"/>
      <c r="J2147" s="68"/>
      <c r="K2147" s="32"/>
      <c r="L2147" s="75">
        <v>2147</v>
      </c>
      <c r="M2147" s="75"/>
      <c r="N2147" s="70"/>
      <c r="O2147" s="77" t="s">
        <v>179</v>
      </c>
      <c r="P2147" s="79">
        <v>45070.625555555554</v>
      </c>
      <c r="Q2147" s="77" t="s">
        <v>3193</v>
      </c>
      <c r="R2147" s="77">
        <v>0</v>
      </c>
      <c r="S2147" s="77">
        <v>0</v>
      </c>
      <c r="T2147" s="77">
        <v>0</v>
      </c>
      <c r="U2147" s="77">
        <v>0</v>
      </c>
      <c r="V2147" s="77">
        <v>1</v>
      </c>
      <c r="W2147" s="82" t="s">
        <v>5452</v>
      </c>
      <c r="X2147" s="77"/>
      <c r="Y2147" s="77"/>
      <c r="Z2147" s="77"/>
      <c r="AA2147" s="77" t="s">
        <v>7328</v>
      </c>
      <c r="AB2147" s="77" t="s">
        <v>7696</v>
      </c>
      <c r="AC2147" s="82" t="s">
        <v>7708</v>
      </c>
      <c r="AD2147" s="77" t="s">
        <v>7745</v>
      </c>
      <c r="AE2147" s="80" t="str">
        <f>HYPERLINK("https://twitter.com/investimentoob1/status/1661386773719662596")</f>
        <v>https://twitter.com/investimentoob1/status/1661386773719662596</v>
      </c>
      <c r="AF2147" s="79">
        <v>45070.625555555554</v>
      </c>
      <c r="AG2147" s="85">
        <v>45070</v>
      </c>
      <c r="AH2147" s="82" t="s">
        <v>9672</v>
      </c>
      <c r="AI2147" s="77" t="b">
        <v>0</v>
      </c>
      <c r="AJ2147" s="77"/>
      <c r="AK2147" s="77"/>
      <c r="AL2147" s="77"/>
      <c r="AM2147" s="77"/>
      <c r="AN2147" s="77"/>
      <c r="AO2147" s="77"/>
      <c r="AP2147" s="77"/>
      <c r="AQ2147" s="77" t="s">
        <v>11835</v>
      </c>
      <c r="AR2147" s="77"/>
      <c r="AS2147" s="77"/>
      <c r="AT2147" s="77"/>
      <c r="AU2147" s="77"/>
      <c r="AV2147" s="80" t="str">
        <f>HYPERLINK("https://pbs.twimg.com/media/Fw5ud1UXsAMshO7.jpg")</f>
        <v>https://pbs.twimg.com/media/Fw5ud1UXsAMshO7.jpg</v>
      </c>
      <c r="AW2147" s="82" t="s">
        <v>14305</v>
      </c>
      <c r="AX2147" s="82" t="s">
        <v>14305</v>
      </c>
      <c r="AY2147" s="77"/>
      <c r="AZ2147" s="82" t="s">
        <v>15804</v>
      </c>
      <c r="BA2147" s="82" t="s">
        <v>15804</v>
      </c>
      <c r="BB2147" s="82" t="s">
        <v>15804</v>
      </c>
      <c r="BC2147" s="82" t="s">
        <v>14305</v>
      </c>
      <c r="BD2147" s="82" t="s">
        <v>16512</v>
      </c>
      <c r="BE2147" s="77"/>
      <c r="BF2147" s="77"/>
      <c r="BG2147" s="77"/>
      <c r="BH2147" s="77"/>
      <c r="BI2147" s="77"/>
    </row>
    <row r="2148" spans="1:61" x14ac:dyDescent="0.25">
      <c r="A2148" s="62" t="s">
        <v>877</v>
      </c>
      <c r="B2148" s="62" t="s">
        <v>877</v>
      </c>
      <c r="C2148" s="63"/>
      <c r="D2148" s="64"/>
      <c r="E2148" s="65"/>
      <c r="F2148" s="66"/>
      <c r="G2148" s="63"/>
      <c r="H2148" s="67"/>
      <c r="I2148" s="68"/>
      <c r="J2148" s="68"/>
      <c r="K2148" s="32"/>
      <c r="L2148" s="75">
        <v>2148</v>
      </c>
      <c r="M2148" s="75"/>
      <c r="N2148" s="70"/>
      <c r="O2148" s="77" t="s">
        <v>179</v>
      </c>
      <c r="P2148" s="79">
        <v>45044.750659722224</v>
      </c>
      <c r="Q2148" s="77" t="s">
        <v>3194</v>
      </c>
      <c r="R2148" s="77">
        <v>0</v>
      </c>
      <c r="S2148" s="77">
        <v>0</v>
      </c>
      <c r="T2148" s="77">
        <v>0</v>
      </c>
      <c r="U2148" s="77">
        <v>0</v>
      </c>
      <c r="V2148" s="77">
        <v>22</v>
      </c>
      <c r="W2148" s="82" t="s">
        <v>5453</v>
      </c>
      <c r="X2148" s="77"/>
      <c r="Y2148" s="77"/>
      <c r="Z2148" s="77"/>
      <c r="AA2148" s="77" t="s">
        <v>7329</v>
      </c>
      <c r="AB2148" s="77" t="s">
        <v>7697</v>
      </c>
      <c r="AC2148" s="82" t="s">
        <v>7708</v>
      </c>
      <c r="AD2148" s="77" t="s">
        <v>7745</v>
      </c>
      <c r="AE2148" s="80" t="str">
        <f>HYPERLINK("https://twitter.com/investimentoob1/status/1652010026985218048")</f>
        <v>https://twitter.com/investimentoob1/status/1652010026985218048</v>
      </c>
      <c r="AF2148" s="79">
        <v>45044.750659722224</v>
      </c>
      <c r="AG2148" s="85">
        <v>45044</v>
      </c>
      <c r="AH2148" s="82" t="s">
        <v>9673</v>
      </c>
      <c r="AI2148" s="77" t="b">
        <v>0</v>
      </c>
      <c r="AJ2148" s="77"/>
      <c r="AK2148" s="77"/>
      <c r="AL2148" s="77"/>
      <c r="AM2148" s="77"/>
      <c r="AN2148" s="77"/>
      <c r="AO2148" s="77"/>
      <c r="AP2148" s="77"/>
      <c r="AQ2148" s="77" t="s">
        <v>11836</v>
      </c>
      <c r="AR2148" s="77">
        <v>44125</v>
      </c>
      <c r="AS2148" s="77"/>
      <c r="AT2148" s="77"/>
      <c r="AU2148" s="77">
        <v>4</v>
      </c>
      <c r="AV2148" s="80" t="str">
        <f>HYPERLINK("https://pbs.twimg.com/ext_tw_video_thumb/1652010002314346502/pu/img/wnnoMERieLdLMTDq.jpg")</f>
        <v>https://pbs.twimg.com/ext_tw_video_thumb/1652010002314346502/pu/img/wnnoMERieLdLMTDq.jpg</v>
      </c>
      <c r="AW2148" s="82" t="s">
        <v>14306</v>
      </c>
      <c r="AX2148" s="82" t="s">
        <v>14306</v>
      </c>
      <c r="AY2148" s="77"/>
      <c r="AZ2148" s="82" t="s">
        <v>15804</v>
      </c>
      <c r="BA2148" s="82" t="s">
        <v>15804</v>
      </c>
      <c r="BB2148" s="82" t="s">
        <v>15804</v>
      </c>
      <c r="BC2148" s="82" t="s">
        <v>14306</v>
      </c>
      <c r="BD2148" s="82" t="s">
        <v>16512</v>
      </c>
      <c r="BE2148" s="77"/>
      <c r="BF2148" s="77"/>
      <c r="BG2148" s="77"/>
      <c r="BH2148" s="77"/>
      <c r="BI2148" s="77"/>
    </row>
    <row r="2149" spans="1:61" x14ac:dyDescent="0.25">
      <c r="A2149" s="62" t="s">
        <v>877</v>
      </c>
      <c r="B2149" s="62" t="s">
        <v>877</v>
      </c>
      <c r="C2149" s="63"/>
      <c r="D2149" s="64"/>
      <c r="E2149" s="65"/>
      <c r="F2149" s="66"/>
      <c r="G2149" s="63"/>
      <c r="H2149" s="67"/>
      <c r="I2149" s="68"/>
      <c r="J2149" s="68"/>
      <c r="K2149" s="32"/>
      <c r="L2149" s="75">
        <v>2149</v>
      </c>
      <c r="M2149" s="75"/>
      <c r="N2149" s="70"/>
      <c r="O2149" s="77" t="s">
        <v>179</v>
      </c>
      <c r="P2149" s="79">
        <v>45043.750717592593</v>
      </c>
      <c r="Q2149" s="77" t="s">
        <v>3195</v>
      </c>
      <c r="R2149" s="77">
        <v>0</v>
      </c>
      <c r="S2149" s="77">
        <v>0</v>
      </c>
      <c r="T2149" s="77">
        <v>0</v>
      </c>
      <c r="U2149" s="77">
        <v>0</v>
      </c>
      <c r="V2149" s="77">
        <v>33</v>
      </c>
      <c r="W2149" s="82" t="s">
        <v>5454</v>
      </c>
      <c r="X2149" s="77"/>
      <c r="Y2149" s="77"/>
      <c r="Z2149" s="77"/>
      <c r="AA2149" s="77" t="s">
        <v>7330</v>
      </c>
      <c r="AB2149" s="77" t="s">
        <v>7697</v>
      </c>
      <c r="AC2149" s="82" t="s">
        <v>7708</v>
      </c>
      <c r="AD2149" s="77" t="s">
        <v>7745</v>
      </c>
      <c r="AE2149" s="80" t="str">
        <f>HYPERLINK("https://twitter.com/investimentoob1/status/1651647659155890177")</f>
        <v>https://twitter.com/investimentoob1/status/1651647659155890177</v>
      </c>
      <c r="AF2149" s="79">
        <v>45043.750717592593</v>
      </c>
      <c r="AG2149" s="85">
        <v>45043</v>
      </c>
      <c r="AH2149" s="82" t="s">
        <v>9674</v>
      </c>
      <c r="AI2149" s="77" t="b">
        <v>0</v>
      </c>
      <c r="AJ2149" s="77"/>
      <c r="AK2149" s="77"/>
      <c r="AL2149" s="77"/>
      <c r="AM2149" s="77"/>
      <c r="AN2149" s="77"/>
      <c r="AO2149" s="77"/>
      <c r="AP2149" s="77"/>
      <c r="AQ2149" s="77" t="s">
        <v>11837</v>
      </c>
      <c r="AR2149" s="77">
        <v>47770</v>
      </c>
      <c r="AS2149" s="77"/>
      <c r="AT2149" s="77"/>
      <c r="AU2149" s="77">
        <v>11</v>
      </c>
      <c r="AV2149" s="80" t="str">
        <f>HYPERLINK("https://pbs.twimg.com/ext_tw_video_thumb/1651647610640277527/pu/img/LTy4rWoOUXL1-ayr.jpg")</f>
        <v>https://pbs.twimg.com/ext_tw_video_thumb/1651647610640277527/pu/img/LTy4rWoOUXL1-ayr.jpg</v>
      </c>
      <c r="AW2149" s="82" t="s">
        <v>14307</v>
      </c>
      <c r="AX2149" s="82" t="s">
        <v>14307</v>
      </c>
      <c r="AY2149" s="77"/>
      <c r="AZ2149" s="82" t="s">
        <v>15804</v>
      </c>
      <c r="BA2149" s="82" t="s">
        <v>15804</v>
      </c>
      <c r="BB2149" s="82" t="s">
        <v>15804</v>
      </c>
      <c r="BC2149" s="82" t="s">
        <v>14307</v>
      </c>
      <c r="BD2149" s="82" t="s">
        <v>16512</v>
      </c>
      <c r="BE2149" s="77"/>
      <c r="BF2149" s="77"/>
      <c r="BG2149" s="77"/>
      <c r="BH2149" s="77"/>
      <c r="BI2149" s="77"/>
    </row>
    <row r="2150" spans="1:61" x14ac:dyDescent="0.25">
      <c r="A2150" s="62" t="s">
        <v>877</v>
      </c>
      <c r="B2150" s="62" t="s">
        <v>877</v>
      </c>
      <c r="C2150" s="63"/>
      <c r="D2150" s="64"/>
      <c r="E2150" s="65"/>
      <c r="F2150" s="66"/>
      <c r="G2150" s="63"/>
      <c r="H2150" s="67"/>
      <c r="I2150" s="68"/>
      <c r="J2150" s="68"/>
      <c r="K2150" s="32"/>
      <c r="L2150" s="75">
        <v>2150</v>
      </c>
      <c r="M2150" s="75"/>
      <c r="N2150" s="70"/>
      <c r="O2150" s="77" t="s">
        <v>179</v>
      </c>
      <c r="P2150" s="79">
        <v>44983.8752662037</v>
      </c>
      <c r="Q2150" s="77" t="s">
        <v>3196</v>
      </c>
      <c r="R2150" s="77">
        <v>0</v>
      </c>
      <c r="S2150" s="77">
        <v>0</v>
      </c>
      <c r="T2150" s="77">
        <v>0</v>
      </c>
      <c r="U2150" s="77">
        <v>0</v>
      </c>
      <c r="V2150" s="77">
        <v>3</v>
      </c>
      <c r="W2150" s="82" t="s">
        <v>5455</v>
      </c>
      <c r="X2150" s="80" t="str">
        <f>HYPERLINK("https://investimentoobjetivo.com.br/metodo-ilf/")</f>
        <v>https://investimentoobjetivo.com.br/metodo-ilf/</v>
      </c>
      <c r="Y2150" s="77" t="s">
        <v>6002</v>
      </c>
      <c r="Z2150" s="77"/>
      <c r="AA2150" s="77" t="s">
        <v>7331</v>
      </c>
      <c r="AB2150" s="77" t="s">
        <v>7696</v>
      </c>
      <c r="AC2150" s="82" t="s">
        <v>7708</v>
      </c>
      <c r="AD2150" s="77" t="s">
        <v>7745</v>
      </c>
      <c r="AE2150" s="80" t="str">
        <f>HYPERLINK("https://twitter.com/investimentoob1/status/1629949520300605440")</f>
        <v>https://twitter.com/investimentoob1/status/1629949520300605440</v>
      </c>
      <c r="AF2150" s="79">
        <v>44983.8752662037</v>
      </c>
      <c r="AG2150" s="85">
        <v>44983</v>
      </c>
      <c r="AH2150" s="82" t="s">
        <v>9675</v>
      </c>
      <c r="AI2150" s="77" t="b">
        <v>0</v>
      </c>
      <c r="AJ2150" s="77"/>
      <c r="AK2150" s="77"/>
      <c r="AL2150" s="77"/>
      <c r="AM2150" s="77"/>
      <c r="AN2150" s="77"/>
      <c r="AO2150" s="77"/>
      <c r="AP2150" s="77"/>
      <c r="AQ2150" s="77" t="s">
        <v>11838</v>
      </c>
      <c r="AR2150" s="77"/>
      <c r="AS2150" s="77"/>
      <c r="AT2150" s="77"/>
      <c r="AU2150" s="77"/>
      <c r="AV2150" s="80" t="str">
        <f>HYPERLINK("https://pbs.twimg.com/media/Fp6-c2FXwAEJaBe.jpg")</f>
        <v>https://pbs.twimg.com/media/Fp6-c2FXwAEJaBe.jpg</v>
      </c>
      <c r="AW2150" s="82" t="s">
        <v>14308</v>
      </c>
      <c r="AX2150" s="82" t="s">
        <v>14308</v>
      </c>
      <c r="AY2150" s="77"/>
      <c r="AZ2150" s="82" t="s">
        <v>15804</v>
      </c>
      <c r="BA2150" s="82" t="s">
        <v>15804</v>
      </c>
      <c r="BB2150" s="82" t="s">
        <v>15804</v>
      </c>
      <c r="BC2150" s="82" t="s">
        <v>14308</v>
      </c>
      <c r="BD2150" s="82" t="s">
        <v>16512</v>
      </c>
      <c r="BE2150" s="77"/>
      <c r="BF2150" s="77"/>
      <c r="BG2150" s="77"/>
      <c r="BH2150" s="77"/>
      <c r="BI2150" s="77"/>
    </row>
    <row r="2151" spans="1:61" x14ac:dyDescent="0.25">
      <c r="A2151" s="62" t="s">
        <v>877</v>
      </c>
      <c r="B2151" s="62" t="s">
        <v>877</v>
      </c>
      <c r="C2151" s="63"/>
      <c r="D2151" s="64"/>
      <c r="E2151" s="65"/>
      <c r="F2151" s="66"/>
      <c r="G2151" s="63"/>
      <c r="H2151" s="67"/>
      <c r="I2151" s="68"/>
      <c r="J2151" s="68"/>
      <c r="K2151" s="32"/>
      <c r="L2151" s="75">
        <v>2151</v>
      </c>
      <c r="M2151" s="75"/>
      <c r="N2151" s="70"/>
      <c r="O2151" s="77" t="s">
        <v>179</v>
      </c>
      <c r="P2151" s="79">
        <v>45122.54246527778</v>
      </c>
      <c r="Q2151" s="77" t="s">
        <v>3197</v>
      </c>
      <c r="R2151" s="77">
        <v>0</v>
      </c>
      <c r="S2151" s="77">
        <v>0</v>
      </c>
      <c r="T2151" s="77">
        <v>0</v>
      </c>
      <c r="U2151" s="77">
        <v>0</v>
      </c>
      <c r="V2151" s="77">
        <v>9</v>
      </c>
      <c r="W2151" s="82" t="s">
        <v>5456</v>
      </c>
      <c r="X2151" s="80" t="str">
        <f>HYPERLINK("https://linktr.ee/investimentoobjetivo")</f>
        <v>https://linktr.ee/investimentoobjetivo</v>
      </c>
      <c r="Y2151" s="77" t="s">
        <v>6052</v>
      </c>
      <c r="Z2151" s="77"/>
      <c r="AA2151" s="77" t="s">
        <v>7332</v>
      </c>
      <c r="AB2151" s="77" t="s">
        <v>7697</v>
      </c>
      <c r="AC2151" s="82" t="s">
        <v>7708</v>
      </c>
      <c r="AD2151" s="77" t="s">
        <v>7745</v>
      </c>
      <c r="AE2151" s="80" t="str">
        <f>HYPERLINK("https://twitter.com/investimentoob1/status/1680200831994298371")</f>
        <v>https://twitter.com/investimentoob1/status/1680200831994298371</v>
      </c>
      <c r="AF2151" s="79">
        <v>45122.54246527778</v>
      </c>
      <c r="AG2151" s="85">
        <v>45122</v>
      </c>
      <c r="AH2151" s="82" t="s">
        <v>8861</v>
      </c>
      <c r="AI2151" s="77" t="b">
        <v>0</v>
      </c>
      <c r="AJ2151" s="77"/>
      <c r="AK2151" s="77"/>
      <c r="AL2151" s="77"/>
      <c r="AM2151" s="77"/>
      <c r="AN2151" s="77"/>
      <c r="AO2151" s="77"/>
      <c r="AP2151" s="77"/>
      <c r="AQ2151" s="77" t="s">
        <v>11839</v>
      </c>
      <c r="AR2151" s="77">
        <v>11000</v>
      </c>
      <c r="AS2151" s="77"/>
      <c r="AT2151" s="77"/>
      <c r="AU2151" s="77">
        <v>0</v>
      </c>
      <c r="AV2151" s="80" t="str">
        <f>HYPERLINK("https://pbs.twimg.com/ext_tw_video_thumb/1680200763488731137/pu/img/Cqbrl-913M5Op2rQ.jpg")</f>
        <v>https://pbs.twimg.com/ext_tw_video_thumb/1680200763488731137/pu/img/Cqbrl-913M5Op2rQ.jpg</v>
      </c>
      <c r="AW2151" s="82" t="s">
        <v>14309</v>
      </c>
      <c r="AX2151" s="82" t="s">
        <v>14309</v>
      </c>
      <c r="AY2151" s="77"/>
      <c r="AZ2151" s="82" t="s">
        <v>15804</v>
      </c>
      <c r="BA2151" s="82" t="s">
        <v>15804</v>
      </c>
      <c r="BB2151" s="82" t="s">
        <v>15804</v>
      </c>
      <c r="BC2151" s="82" t="s">
        <v>14309</v>
      </c>
      <c r="BD2151" s="82" t="s">
        <v>16512</v>
      </c>
      <c r="BE2151" s="77"/>
      <c r="BF2151" s="77"/>
      <c r="BG2151" s="77"/>
      <c r="BH2151" s="77"/>
      <c r="BI2151" s="77"/>
    </row>
    <row r="2152" spans="1:61" x14ac:dyDescent="0.25">
      <c r="A2152" s="62" t="s">
        <v>877</v>
      </c>
      <c r="B2152" s="62" t="s">
        <v>877</v>
      </c>
      <c r="C2152" s="63"/>
      <c r="D2152" s="64"/>
      <c r="E2152" s="65"/>
      <c r="F2152" s="66"/>
      <c r="G2152" s="63"/>
      <c r="H2152" s="67"/>
      <c r="I2152" s="68"/>
      <c r="J2152" s="68"/>
      <c r="K2152" s="32"/>
      <c r="L2152" s="75">
        <v>2152</v>
      </c>
      <c r="M2152" s="75"/>
      <c r="N2152" s="70"/>
      <c r="O2152" s="77" t="s">
        <v>179</v>
      </c>
      <c r="P2152" s="79">
        <v>45107.500601851854</v>
      </c>
      <c r="Q2152" s="77" t="s">
        <v>3198</v>
      </c>
      <c r="R2152" s="77">
        <v>0</v>
      </c>
      <c r="S2152" s="77">
        <v>0</v>
      </c>
      <c r="T2152" s="77">
        <v>0</v>
      </c>
      <c r="U2152" s="77">
        <v>0</v>
      </c>
      <c r="V2152" s="77">
        <v>11</v>
      </c>
      <c r="W2152" s="82" t="s">
        <v>5449</v>
      </c>
      <c r="X2152" s="77"/>
      <c r="Y2152" s="77"/>
      <c r="Z2152" s="77"/>
      <c r="AA2152" s="77" t="s">
        <v>7333</v>
      </c>
      <c r="AB2152" s="77" t="s">
        <v>7697</v>
      </c>
      <c r="AC2152" s="82" t="s">
        <v>7708</v>
      </c>
      <c r="AD2152" s="77" t="s">
        <v>7745</v>
      </c>
      <c r="AE2152" s="80" t="str">
        <f>HYPERLINK("https://twitter.com/investimentoob1/status/1674749844311666688")</f>
        <v>https://twitter.com/investimentoob1/status/1674749844311666688</v>
      </c>
      <c r="AF2152" s="79">
        <v>45107.500601851854</v>
      </c>
      <c r="AG2152" s="85">
        <v>45107</v>
      </c>
      <c r="AH2152" s="82" t="s">
        <v>9676</v>
      </c>
      <c r="AI2152" s="77" t="b">
        <v>0</v>
      </c>
      <c r="AJ2152" s="77"/>
      <c r="AK2152" s="77"/>
      <c r="AL2152" s="77"/>
      <c r="AM2152" s="77"/>
      <c r="AN2152" s="77"/>
      <c r="AO2152" s="77"/>
      <c r="AP2152" s="77"/>
      <c r="AQ2152" s="77" t="s">
        <v>11840</v>
      </c>
      <c r="AR2152" s="77">
        <v>11033</v>
      </c>
      <c r="AS2152" s="77"/>
      <c r="AT2152" s="77"/>
      <c r="AU2152" s="77">
        <v>2</v>
      </c>
      <c r="AV2152" s="80" t="str">
        <f>HYPERLINK("https://pbs.twimg.com/ext_tw_video_thumb/1674749821230407680/pu/img/U9lNIxKdZ_W2hmSp.jpg")</f>
        <v>https://pbs.twimg.com/ext_tw_video_thumb/1674749821230407680/pu/img/U9lNIxKdZ_W2hmSp.jpg</v>
      </c>
      <c r="AW2152" s="82" t="s">
        <v>14310</v>
      </c>
      <c r="AX2152" s="82" t="s">
        <v>14310</v>
      </c>
      <c r="AY2152" s="77"/>
      <c r="AZ2152" s="82" t="s">
        <v>15804</v>
      </c>
      <c r="BA2152" s="82" t="s">
        <v>15804</v>
      </c>
      <c r="BB2152" s="82" t="s">
        <v>15804</v>
      </c>
      <c r="BC2152" s="82" t="s">
        <v>14310</v>
      </c>
      <c r="BD2152" s="82" t="s">
        <v>16512</v>
      </c>
      <c r="BE2152" s="77"/>
      <c r="BF2152" s="77"/>
      <c r="BG2152" s="77"/>
      <c r="BH2152" s="77"/>
      <c r="BI2152" s="77"/>
    </row>
    <row r="2153" spans="1:61" x14ac:dyDescent="0.25">
      <c r="A2153" s="62" t="s">
        <v>877</v>
      </c>
      <c r="B2153" s="62" t="s">
        <v>877</v>
      </c>
      <c r="C2153" s="63"/>
      <c r="D2153" s="64"/>
      <c r="E2153" s="65"/>
      <c r="F2153" s="66"/>
      <c r="G2153" s="63"/>
      <c r="H2153" s="67"/>
      <c r="I2153" s="68"/>
      <c r="J2153" s="68"/>
      <c r="K2153" s="32"/>
      <c r="L2153" s="75">
        <v>2153</v>
      </c>
      <c r="M2153" s="75"/>
      <c r="N2153" s="70"/>
      <c r="O2153" s="77" t="s">
        <v>179</v>
      </c>
      <c r="P2153" s="79">
        <v>45106.458958333336</v>
      </c>
      <c r="Q2153" s="77" t="s">
        <v>3199</v>
      </c>
      <c r="R2153" s="77">
        <v>0</v>
      </c>
      <c r="S2153" s="77">
        <v>0</v>
      </c>
      <c r="T2153" s="77">
        <v>0</v>
      </c>
      <c r="U2153" s="77">
        <v>0</v>
      </c>
      <c r="V2153" s="77">
        <v>16</v>
      </c>
      <c r="W2153" s="82" t="s">
        <v>5449</v>
      </c>
      <c r="X2153" s="77"/>
      <c r="Y2153" s="77"/>
      <c r="Z2153" s="77"/>
      <c r="AA2153" s="77" t="s">
        <v>7334</v>
      </c>
      <c r="AB2153" s="77" t="s">
        <v>7697</v>
      </c>
      <c r="AC2153" s="82" t="s">
        <v>7708</v>
      </c>
      <c r="AD2153" s="77" t="s">
        <v>7745</v>
      </c>
      <c r="AE2153" s="80" t="str">
        <f>HYPERLINK("https://twitter.com/investimentoob1/status/1674372364644110339")</f>
        <v>https://twitter.com/investimentoob1/status/1674372364644110339</v>
      </c>
      <c r="AF2153" s="79">
        <v>45106.458958333336</v>
      </c>
      <c r="AG2153" s="85">
        <v>45106</v>
      </c>
      <c r="AH2153" s="82" t="s">
        <v>9677</v>
      </c>
      <c r="AI2153" s="77" t="b">
        <v>0</v>
      </c>
      <c r="AJ2153" s="77"/>
      <c r="AK2153" s="77"/>
      <c r="AL2153" s="77"/>
      <c r="AM2153" s="77"/>
      <c r="AN2153" s="77"/>
      <c r="AO2153" s="77"/>
      <c r="AP2153" s="77"/>
      <c r="AQ2153" s="77" t="s">
        <v>11841</v>
      </c>
      <c r="AR2153" s="77">
        <v>11033</v>
      </c>
      <c r="AS2153" s="77"/>
      <c r="AT2153" s="77"/>
      <c r="AU2153" s="77">
        <v>1</v>
      </c>
      <c r="AV2153" s="80" t="str">
        <f>HYPERLINK("https://pbs.twimg.com/ext_tw_video_thumb/1674372341575438336/pu/img/9jD5u_J0lFtmC-8t.jpg")</f>
        <v>https://pbs.twimg.com/ext_tw_video_thumb/1674372341575438336/pu/img/9jD5u_J0lFtmC-8t.jpg</v>
      </c>
      <c r="AW2153" s="82" t="s">
        <v>14311</v>
      </c>
      <c r="AX2153" s="82" t="s">
        <v>14311</v>
      </c>
      <c r="AY2153" s="77"/>
      <c r="AZ2153" s="82" t="s">
        <v>15804</v>
      </c>
      <c r="BA2153" s="82" t="s">
        <v>15804</v>
      </c>
      <c r="BB2153" s="82" t="s">
        <v>15804</v>
      </c>
      <c r="BC2153" s="82" t="s">
        <v>14311</v>
      </c>
      <c r="BD2153" s="82" t="s">
        <v>16512</v>
      </c>
      <c r="BE2153" s="77"/>
      <c r="BF2153" s="77"/>
      <c r="BG2153" s="77"/>
      <c r="BH2153" s="77"/>
      <c r="BI2153" s="77"/>
    </row>
    <row r="2154" spans="1:61" x14ac:dyDescent="0.25">
      <c r="A2154" s="62" t="s">
        <v>877</v>
      </c>
      <c r="B2154" s="62" t="s">
        <v>877</v>
      </c>
      <c r="C2154" s="63"/>
      <c r="D2154" s="64"/>
      <c r="E2154" s="65"/>
      <c r="F2154" s="66"/>
      <c r="G2154" s="63"/>
      <c r="H2154" s="67"/>
      <c r="I2154" s="68"/>
      <c r="J2154" s="68"/>
      <c r="K2154" s="32"/>
      <c r="L2154" s="75">
        <v>2154</v>
      </c>
      <c r="M2154" s="75"/>
      <c r="N2154" s="70"/>
      <c r="O2154" s="77" t="s">
        <v>179</v>
      </c>
      <c r="P2154" s="79">
        <v>45109.500590277778</v>
      </c>
      <c r="Q2154" s="77" t="s">
        <v>3200</v>
      </c>
      <c r="R2154" s="77">
        <v>0</v>
      </c>
      <c r="S2154" s="77">
        <v>0</v>
      </c>
      <c r="T2154" s="77">
        <v>0</v>
      </c>
      <c r="U2154" s="77">
        <v>0</v>
      </c>
      <c r="V2154" s="77">
        <v>38</v>
      </c>
      <c r="W2154" s="82" t="s">
        <v>5449</v>
      </c>
      <c r="X2154" s="77"/>
      <c r="Y2154" s="77"/>
      <c r="Z2154" s="77"/>
      <c r="AA2154" s="77" t="s">
        <v>7335</v>
      </c>
      <c r="AB2154" s="77" t="s">
        <v>7697</v>
      </c>
      <c r="AC2154" s="82" t="s">
        <v>7708</v>
      </c>
      <c r="AD2154" s="77" t="s">
        <v>7745</v>
      </c>
      <c r="AE2154" s="80" t="str">
        <f>HYPERLINK("https://twitter.com/investimentoob1/status/1675474616083513344")</f>
        <v>https://twitter.com/investimentoob1/status/1675474616083513344</v>
      </c>
      <c r="AF2154" s="79">
        <v>45109.500590277778</v>
      </c>
      <c r="AG2154" s="85">
        <v>45109</v>
      </c>
      <c r="AH2154" s="82" t="s">
        <v>9678</v>
      </c>
      <c r="AI2154" s="77" t="b">
        <v>0</v>
      </c>
      <c r="AJ2154" s="77"/>
      <c r="AK2154" s="77"/>
      <c r="AL2154" s="77"/>
      <c r="AM2154" s="77"/>
      <c r="AN2154" s="77"/>
      <c r="AO2154" s="77"/>
      <c r="AP2154" s="77"/>
      <c r="AQ2154" s="77" t="s">
        <v>11842</v>
      </c>
      <c r="AR2154" s="77">
        <v>11033</v>
      </c>
      <c r="AS2154" s="77"/>
      <c r="AT2154" s="77"/>
      <c r="AU2154" s="77">
        <v>4</v>
      </c>
      <c r="AV2154" s="80" t="str">
        <f>HYPERLINK("https://pbs.twimg.com/ext_tw_video_thumb/1675474592050102274/pu/img/jQMRj01J3IB9DaNz.jpg")</f>
        <v>https://pbs.twimg.com/ext_tw_video_thumb/1675474592050102274/pu/img/jQMRj01J3IB9DaNz.jpg</v>
      </c>
      <c r="AW2154" s="82" t="s">
        <v>14312</v>
      </c>
      <c r="AX2154" s="82" t="s">
        <v>14312</v>
      </c>
      <c r="AY2154" s="77"/>
      <c r="AZ2154" s="82" t="s">
        <v>15804</v>
      </c>
      <c r="BA2154" s="82" t="s">
        <v>15804</v>
      </c>
      <c r="BB2154" s="82" t="s">
        <v>15804</v>
      </c>
      <c r="BC2154" s="82" t="s">
        <v>14312</v>
      </c>
      <c r="BD2154" s="82" t="s">
        <v>16512</v>
      </c>
      <c r="BE2154" s="77"/>
      <c r="BF2154" s="77"/>
      <c r="BG2154" s="77"/>
      <c r="BH2154" s="77"/>
      <c r="BI2154" s="77"/>
    </row>
    <row r="2155" spans="1:61" x14ac:dyDescent="0.25">
      <c r="A2155" s="62" t="s">
        <v>877</v>
      </c>
      <c r="B2155" s="62" t="s">
        <v>877</v>
      </c>
      <c r="C2155" s="63"/>
      <c r="D2155" s="64"/>
      <c r="E2155" s="65"/>
      <c r="F2155" s="66"/>
      <c r="G2155" s="63"/>
      <c r="H2155" s="67"/>
      <c r="I2155" s="68"/>
      <c r="J2155" s="68"/>
      <c r="K2155" s="32"/>
      <c r="L2155" s="75">
        <v>2155</v>
      </c>
      <c r="M2155" s="75"/>
      <c r="N2155" s="70"/>
      <c r="O2155" s="77" t="s">
        <v>179</v>
      </c>
      <c r="P2155" s="79">
        <v>45105.584016203706</v>
      </c>
      <c r="Q2155" s="77" t="s">
        <v>3201</v>
      </c>
      <c r="R2155" s="77">
        <v>0</v>
      </c>
      <c r="S2155" s="77">
        <v>0</v>
      </c>
      <c r="T2155" s="77">
        <v>0</v>
      </c>
      <c r="U2155" s="77">
        <v>0</v>
      </c>
      <c r="V2155" s="77">
        <v>19</v>
      </c>
      <c r="W2155" s="82" t="s">
        <v>5457</v>
      </c>
      <c r="X2155" s="77"/>
      <c r="Y2155" s="77"/>
      <c r="Z2155" s="77"/>
      <c r="AA2155" s="77" t="s">
        <v>7336</v>
      </c>
      <c r="AB2155" s="77" t="s">
        <v>7697</v>
      </c>
      <c r="AC2155" s="82" t="s">
        <v>7708</v>
      </c>
      <c r="AD2155" s="77" t="s">
        <v>7745</v>
      </c>
      <c r="AE2155" s="80" t="str">
        <f>HYPERLINK("https://twitter.com/investimentoob1/status/1674055295381696512")</f>
        <v>https://twitter.com/investimentoob1/status/1674055295381696512</v>
      </c>
      <c r="AF2155" s="79">
        <v>45105.584016203706</v>
      </c>
      <c r="AG2155" s="85">
        <v>45105</v>
      </c>
      <c r="AH2155" s="82" t="s">
        <v>9679</v>
      </c>
      <c r="AI2155" s="77" t="b">
        <v>0</v>
      </c>
      <c r="AJ2155" s="77"/>
      <c r="AK2155" s="77"/>
      <c r="AL2155" s="77"/>
      <c r="AM2155" s="77"/>
      <c r="AN2155" s="77"/>
      <c r="AO2155" s="77"/>
      <c r="AP2155" s="77"/>
      <c r="AQ2155" s="77" t="s">
        <v>11843</v>
      </c>
      <c r="AR2155" s="77">
        <v>11033</v>
      </c>
      <c r="AS2155" s="77"/>
      <c r="AT2155" s="77"/>
      <c r="AU2155" s="77">
        <v>4</v>
      </c>
      <c r="AV2155" s="80" t="str">
        <f>HYPERLINK("https://pbs.twimg.com/ext_tw_video_thumb/1674055249055690753/pu/img/gDTgytdL4_MReIQs.jpg")</f>
        <v>https://pbs.twimg.com/ext_tw_video_thumb/1674055249055690753/pu/img/gDTgytdL4_MReIQs.jpg</v>
      </c>
      <c r="AW2155" s="82" t="s">
        <v>14313</v>
      </c>
      <c r="AX2155" s="82" t="s">
        <v>14313</v>
      </c>
      <c r="AY2155" s="77"/>
      <c r="AZ2155" s="82" t="s">
        <v>15804</v>
      </c>
      <c r="BA2155" s="82" t="s">
        <v>15804</v>
      </c>
      <c r="BB2155" s="82" t="s">
        <v>15804</v>
      </c>
      <c r="BC2155" s="82" t="s">
        <v>14313</v>
      </c>
      <c r="BD2155" s="82" t="s">
        <v>16512</v>
      </c>
      <c r="BE2155" s="77"/>
      <c r="BF2155" s="77"/>
      <c r="BG2155" s="77"/>
      <c r="BH2155" s="77"/>
      <c r="BI2155" s="77"/>
    </row>
    <row r="2156" spans="1:61" x14ac:dyDescent="0.25">
      <c r="A2156" s="62" t="s">
        <v>877</v>
      </c>
      <c r="B2156" s="62" t="s">
        <v>877</v>
      </c>
      <c r="C2156" s="63"/>
      <c r="D2156" s="64"/>
      <c r="E2156" s="65"/>
      <c r="F2156" s="66"/>
      <c r="G2156" s="63"/>
      <c r="H2156" s="67"/>
      <c r="I2156" s="68"/>
      <c r="J2156" s="68"/>
      <c r="K2156" s="32"/>
      <c r="L2156" s="75">
        <v>2156</v>
      </c>
      <c r="M2156" s="75"/>
      <c r="N2156" s="70"/>
      <c r="O2156" s="77" t="s">
        <v>179</v>
      </c>
      <c r="P2156" s="79">
        <v>45105.500567129631</v>
      </c>
      <c r="Q2156" s="77" t="s">
        <v>3202</v>
      </c>
      <c r="R2156" s="77">
        <v>0</v>
      </c>
      <c r="S2156" s="77">
        <v>0</v>
      </c>
      <c r="T2156" s="77">
        <v>1</v>
      </c>
      <c r="U2156" s="77">
        <v>0</v>
      </c>
      <c r="V2156" s="77">
        <v>29</v>
      </c>
      <c r="W2156" s="82" t="s">
        <v>5449</v>
      </c>
      <c r="X2156" s="77"/>
      <c r="Y2156" s="77"/>
      <c r="Z2156" s="77"/>
      <c r="AA2156" s="77" t="s">
        <v>7337</v>
      </c>
      <c r="AB2156" s="77" t="s">
        <v>7697</v>
      </c>
      <c r="AC2156" s="82" t="s">
        <v>7708</v>
      </c>
      <c r="AD2156" s="77" t="s">
        <v>7745</v>
      </c>
      <c r="AE2156" s="80" t="str">
        <f>HYPERLINK("https://twitter.com/investimentoob1/status/1674025054605135872")</f>
        <v>https://twitter.com/investimentoob1/status/1674025054605135872</v>
      </c>
      <c r="AF2156" s="79">
        <v>45105.500567129631</v>
      </c>
      <c r="AG2156" s="85">
        <v>45105</v>
      </c>
      <c r="AH2156" s="82" t="s">
        <v>8331</v>
      </c>
      <c r="AI2156" s="77" t="b">
        <v>0</v>
      </c>
      <c r="AJ2156" s="77"/>
      <c r="AK2156" s="77"/>
      <c r="AL2156" s="77"/>
      <c r="AM2156" s="77"/>
      <c r="AN2156" s="77"/>
      <c r="AO2156" s="77"/>
      <c r="AP2156" s="77"/>
      <c r="AQ2156" s="77" t="s">
        <v>11844</v>
      </c>
      <c r="AR2156" s="77">
        <v>11033</v>
      </c>
      <c r="AS2156" s="77"/>
      <c r="AT2156" s="77"/>
      <c r="AU2156" s="77">
        <v>9</v>
      </c>
      <c r="AV2156" s="80" t="str">
        <f>HYPERLINK("https://pbs.twimg.com/ext_tw_video_thumb/1674025031695843331/pu/img/_xW3K7nwr40fnII-.jpg")</f>
        <v>https://pbs.twimg.com/ext_tw_video_thumb/1674025031695843331/pu/img/_xW3K7nwr40fnII-.jpg</v>
      </c>
      <c r="AW2156" s="82" t="s">
        <v>14314</v>
      </c>
      <c r="AX2156" s="82" t="s">
        <v>14314</v>
      </c>
      <c r="AY2156" s="77"/>
      <c r="AZ2156" s="82" t="s">
        <v>15804</v>
      </c>
      <c r="BA2156" s="82" t="s">
        <v>15804</v>
      </c>
      <c r="BB2156" s="82" t="s">
        <v>15804</v>
      </c>
      <c r="BC2156" s="82" t="s">
        <v>14314</v>
      </c>
      <c r="BD2156" s="82" t="s">
        <v>16512</v>
      </c>
      <c r="BE2156" s="77"/>
      <c r="BF2156" s="77"/>
      <c r="BG2156" s="77"/>
      <c r="BH2156" s="77"/>
      <c r="BI2156" s="77"/>
    </row>
    <row r="2157" spans="1:61" x14ac:dyDescent="0.25">
      <c r="A2157" s="62" t="s">
        <v>877</v>
      </c>
      <c r="B2157" s="62" t="s">
        <v>877</v>
      </c>
      <c r="C2157" s="63"/>
      <c r="D2157" s="64"/>
      <c r="E2157" s="65"/>
      <c r="F2157" s="66"/>
      <c r="G2157" s="63"/>
      <c r="H2157" s="67"/>
      <c r="I2157" s="68"/>
      <c r="J2157" s="68"/>
      <c r="K2157" s="32"/>
      <c r="L2157" s="75">
        <v>2157</v>
      </c>
      <c r="M2157" s="75"/>
      <c r="N2157" s="70"/>
      <c r="O2157" s="77" t="s">
        <v>179</v>
      </c>
      <c r="P2157" s="79">
        <v>45047.750706018516</v>
      </c>
      <c r="Q2157" s="77" t="s">
        <v>3203</v>
      </c>
      <c r="R2157" s="77">
        <v>0</v>
      </c>
      <c r="S2157" s="77">
        <v>0</v>
      </c>
      <c r="T2157" s="77">
        <v>0</v>
      </c>
      <c r="U2157" s="77">
        <v>0</v>
      </c>
      <c r="V2157" s="77">
        <v>50</v>
      </c>
      <c r="W2157" s="82" t="s">
        <v>5458</v>
      </c>
      <c r="X2157" s="77"/>
      <c r="Y2157" s="77"/>
      <c r="Z2157" s="77"/>
      <c r="AA2157" s="77" t="s">
        <v>7338</v>
      </c>
      <c r="AB2157" s="77" t="s">
        <v>7697</v>
      </c>
      <c r="AC2157" s="82" t="s">
        <v>7708</v>
      </c>
      <c r="AD2157" s="77" t="s">
        <v>7745</v>
      </c>
      <c r="AE2157" s="80" t="str">
        <f>HYPERLINK("https://twitter.com/investimentoob1/status/1653097205098586113")</f>
        <v>https://twitter.com/investimentoob1/status/1653097205098586113</v>
      </c>
      <c r="AF2157" s="79">
        <v>45047.750706018516</v>
      </c>
      <c r="AG2157" s="85">
        <v>45047</v>
      </c>
      <c r="AH2157" s="82" t="s">
        <v>9680</v>
      </c>
      <c r="AI2157" s="77" t="b">
        <v>0</v>
      </c>
      <c r="AJ2157" s="77"/>
      <c r="AK2157" s="77"/>
      <c r="AL2157" s="77"/>
      <c r="AM2157" s="77"/>
      <c r="AN2157" s="77"/>
      <c r="AO2157" s="77"/>
      <c r="AP2157" s="77"/>
      <c r="AQ2157" s="77" t="s">
        <v>11845</v>
      </c>
      <c r="AR2157" s="77">
        <v>54437</v>
      </c>
      <c r="AS2157" s="77"/>
      <c r="AT2157" s="77"/>
      <c r="AU2157" s="77">
        <v>10</v>
      </c>
      <c r="AV2157" s="80" t="str">
        <f>HYPERLINK("https://pbs.twimg.com/ext_tw_video_thumb/1653097180473827329/pu/img/MpYdW1C2dOH7VaKV.jpg")</f>
        <v>https://pbs.twimg.com/ext_tw_video_thumb/1653097180473827329/pu/img/MpYdW1C2dOH7VaKV.jpg</v>
      </c>
      <c r="AW2157" s="82" t="s">
        <v>14315</v>
      </c>
      <c r="AX2157" s="82" t="s">
        <v>14315</v>
      </c>
      <c r="AY2157" s="77"/>
      <c r="AZ2157" s="82" t="s">
        <v>15804</v>
      </c>
      <c r="BA2157" s="82" t="s">
        <v>15804</v>
      </c>
      <c r="BB2157" s="82" t="s">
        <v>15804</v>
      </c>
      <c r="BC2157" s="82" t="s">
        <v>14315</v>
      </c>
      <c r="BD2157" s="82" t="s">
        <v>16512</v>
      </c>
      <c r="BE2157" s="77"/>
      <c r="BF2157" s="77"/>
      <c r="BG2157" s="77"/>
      <c r="BH2157" s="77"/>
      <c r="BI2157" s="77"/>
    </row>
    <row r="2158" spans="1:61" x14ac:dyDescent="0.25">
      <c r="A2158" s="62" t="s">
        <v>877</v>
      </c>
      <c r="B2158" s="62" t="s">
        <v>877</v>
      </c>
      <c r="C2158" s="63"/>
      <c r="D2158" s="64"/>
      <c r="E2158" s="65"/>
      <c r="F2158" s="66"/>
      <c r="G2158" s="63"/>
      <c r="H2158" s="67"/>
      <c r="I2158" s="68"/>
      <c r="J2158" s="68"/>
      <c r="K2158" s="32"/>
      <c r="L2158" s="75">
        <v>2158</v>
      </c>
      <c r="M2158" s="75"/>
      <c r="N2158" s="70"/>
      <c r="O2158" s="77" t="s">
        <v>179</v>
      </c>
      <c r="P2158" s="79">
        <v>45037.87572916667</v>
      </c>
      <c r="Q2158" s="77" t="s">
        <v>3204</v>
      </c>
      <c r="R2158" s="77">
        <v>0</v>
      </c>
      <c r="S2158" s="77">
        <v>0</v>
      </c>
      <c r="T2158" s="77">
        <v>0</v>
      </c>
      <c r="U2158" s="77">
        <v>0</v>
      </c>
      <c r="V2158" s="77">
        <v>40</v>
      </c>
      <c r="W2158" s="82" t="s">
        <v>5459</v>
      </c>
      <c r="X2158" s="77"/>
      <c r="Y2158" s="77"/>
      <c r="Z2158" s="77"/>
      <c r="AA2158" s="77" t="s">
        <v>7339</v>
      </c>
      <c r="AB2158" s="77" t="s">
        <v>7697</v>
      </c>
      <c r="AC2158" s="82" t="s">
        <v>7708</v>
      </c>
      <c r="AD2158" s="77" t="s">
        <v>7745</v>
      </c>
      <c r="AE2158" s="80" t="str">
        <f>HYPERLINK("https://twitter.com/investimentoob1/status/1649518635633786885")</f>
        <v>https://twitter.com/investimentoob1/status/1649518635633786885</v>
      </c>
      <c r="AF2158" s="79">
        <v>45037.87572916667</v>
      </c>
      <c r="AG2158" s="85">
        <v>45037</v>
      </c>
      <c r="AH2158" s="82" t="s">
        <v>9681</v>
      </c>
      <c r="AI2158" s="77" t="b">
        <v>0</v>
      </c>
      <c r="AJ2158" s="77"/>
      <c r="AK2158" s="77"/>
      <c r="AL2158" s="77"/>
      <c r="AM2158" s="77"/>
      <c r="AN2158" s="77"/>
      <c r="AO2158" s="77"/>
      <c r="AP2158" s="77"/>
      <c r="AQ2158" s="77" t="s">
        <v>11846</v>
      </c>
      <c r="AR2158" s="77">
        <v>38208</v>
      </c>
      <c r="AS2158" s="77"/>
      <c r="AT2158" s="77"/>
      <c r="AU2158" s="77">
        <v>13</v>
      </c>
      <c r="AV2158" s="80" t="str">
        <f>HYPERLINK("https://pbs.twimg.com/ext_tw_video_thumb/1649518586824728580/pu/img/mWA5Nppyys6XcjnI.jpg")</f>
        <v>https://pbs.twimg.com/ext_tw_video_thumb/1649518586824728580/pu/img/mWA5Nppyys6XcjnI.jpg</v>
      </c>
      <c r="AW2158" s="82" t="s">
        <v>14316</v>
      </c>
      <c r="AX2158" s="82" t="s">
        <v>14316</v>
      </c>
      <c r="AY2158" s="77"/>
      <c r="AZ2158" s="82" t="s">
        <v>15804</v>
      </c>
      <c r="BA2158" s="82" t="s">
        <v>15804</v>
      </c>
      <c r="BB2158" s="82" t="s">
        <v>15804</v>
      </c>
      <c r="BC2158" s="82" t="s">
        <v>14316</v>
      </c>
      <c r="BD2158" s="82" t="s">
        <v>16512</v>
      </c>
      <c r="BE2158" s="77"/>
      <c r="BF2158" s="77"/>
      <c r="BG2158" s="77"/>
      <c r="BH2158" s="77"/>
      <c r="BI2158" s="77"/>
    </row>
    <row r="2159" spans="1:61" x14ac:dyDescent="0.25">
      <c r="A2159" s="62" t="s">
        <v>877</v>
      </c>
      <c r="B2159" s="62" t="s">
        <v>877</v>
      </c>
      <c r="C2159" s="63"/>
      <c r="D2159" s="64"/>
      <c r="E2159" s="65"/>
      <c r="F2159" s="66"/>
      <c r="G2159" s="63"/>
      <c r="H2159" s="67"/>
      <c r="I2159" s="68"/>
      <c r="J2159" s="68"/>
      <c r="K2159" s="32"/>
      <c r="L2159" s="75">
        <v>2159</v>
      </c>
      <c r="M2159" s="75"/>
      <c r="N2159" s="70"/>
      <c r="O2159" s="77" t="s">
        <v>179</v>
      </c>
      <c r="P2159" s="79">
        <v>45121.709027777775</v>
      </c>
      <c r="Q2159" s="77" t="s">
        <v>3205</v>
      </c>
      <c r="R2159" s="77">
        <v>0</v>
      </c>
      <c r="S2159" s="77">
        <v>0</v>
      </c>
      <c r="T2159" s="77">
        <v>0</v>
      </c>
      <c r="U2159" s="77">
        <v>0</v>
      </c>
      <c r="V2159" s="77">
        <v>12</v>
      </c>
      <c r="W2159" s="82" t="s">
        <v>5456</v>
      </c>
      <c r="X2159" s="80" t="str">
        <f>HYPERLINK("https://linktr.ee/investimentoobjetivo")</f>
        <v>https://linktr.ee/investimentoobjetivo</v>
      </c>
      <c r="Y2159" s="77" t="s">
        <v>6052</v>
      </c>
      <c r="Z2159" s="77"/>
      <c r="AA2159" s="77" t="s">
        <v>7340</v>
      </c>
      <c r="AB2159" s="77" t="s">
        <v>7697</v>
      </c>
      <c r="AC2159" s="82" t="s">
        <v>7708</v>
      </c>
      <c r="AD2159" s="77" t="s">
        <v>7745</v>
      </c>
      <c r="AE2159" s="80" t="str">
        <f>HYPERLINK("https://twitter.com/investimentoob1/status/1679898803376205838")</f>
        <v>https://twitter.com/investimentoob1/status/1679898803376205838</v>
      </c>
      <c r="AF2159" s="79">
        <v>45121.709027777775</v>
      </c>
      <c r="AG2159" s="85">
        <v>45121</v>
      </c>
      <c r="AH2159" s="82" t="s">
        <v>9682</v>
      </c>
      <c r="AI2159" s="77" t="b">
        <v>0</v>
      </c>
      <c r="AJ2159" s="77"/>
      <c r="AK2159" s="77"/>
      <c r="AL2159" s="77"/>
      <c r="AM2159" s="77"/>
      <c r="AN2159" s="77"/>
      <c r="AO2159" s="77"/>
      <c r="AP2159" s="77"/>
      <c r="AQ2159" s="77" t="s">
        <v>11847</v>
      </c>
      <c r="AR2159" s="77">
        <v>11000</v>
      </c>
      <c r="AS2159" s="77"/>
      <c r="AT2159" s="77"/>
      <c r="AU2159" s="77">
        <v>0</v>
      </c>
      <c r="AV2159" s="80" t="str">
        <f>HYPERLINK("https://pbs.twimg.com/ext_tw_video_thumb/1679898735701106688/pu/img/lzmGCPmtlMwZ3No3.jpg")</f>
        <v>https://pbs.twimg.com/ext_tw_video_thumb/1679898735701106688/pu/img/lzmGCPmtlMwZ3No3.jpg</v>
      </c>
      <c r="AW2159" s="82" t="s">
        <v>14317</v>
      </c>
      <c r="AX2159" s="82" t="s">
        <v>14317</v>
      </c>
      <c r="AY2159" s="77"/>
      <c r="AZ2159" s="82" t="s">
        <v>15804</v>
      </c>
      <c r="BA2159" s="82" t="s">
        <v>15804</v>
      </c>
      <c r="BB2159" s="82" t="s">
        <v>15804</v>
      </c>
      <c r="BC2159" s="82" t="s">
        <v>14317</v>
      </c>
      <c r="BD2159" s="82" t="s">
        <v>16512</v>
      </c>
      <c r="BE2159" s="77"/>
      <c r="BF2159" s="77"/>
      <c r="BG2159" s="77"/>
      <c r="BH2159" s="77"/>
      <c r="BI2159" s="77"/>
    </row>
    <row r="2160" spans="1:61" x14ac:dyDescent="0.25">
      <c r="A2160" s="62" t="s">
        <v>877</v>
      </c>
      <c r="B2160" s="62" t="s">
        <v>877</v>
      </c>
      <c r="C2160" s="63"/>
      <c r="D2160" s="64"/>
      <c r="E2160" s="65"/>
      <c r="F2160" s="66"/>
      <c r="G2160" s="63"/>
      <c r="H2160" s="67"/>
      <c r="I2160" s="68"/>
      <c r="J2160" s="68"/>
      <c r="K2160" s="32"/>
      <c r="L2160" s="75">
        <v>2160</v>
      </c>
      <c r="M2160" s="75"/>
      <c r="N2160" s="70"/>
      <c r="O2160" s="77" t="s">
        <v>179</v>
      </c>
      <c r="P2160" s="79">
        <v>45121.667361111111</v>
      </c>
      <c r="Q2160" s="77" t="s">
        <v>3206</v>
      </c>
      <c r="R2160" s="77">
        <v>0</v>
      </c>
      <c r="S2160" s="77">
        <v>0</v>
      </c>
      <c r="T2160" s="77">
        <v>0</v>
      </c>
      <c r="U2160" s="77">
        <v>0</v>
      </c>
      <c r="V2160" s="77">
        <v>19</v>
      </c>
      <c r="W2160" s="82" t="s">
        <v>5456</v>
      </c>
      <c r="X2160" s="80" t="str">
        <f>HYPERLINK("https://linktr.ee/investimentoobjetivo")</f>
        <v>https://linktr.ee/investimentoobjetivo</v>
      </c>
      <c r="Y2160" s="77" t="s">
        <v>6052</v>
      </c>
      <c r="Z2160" s="77"/>
      <c r="AA2160" s="77" t="s">
        <v>7341</v>
      </c>
      <c r="AB2160" s="77" t="s">
        <v>7697</v>
      </c>
      <c r="AC2160" s="82" t="s">
        <v>7708</v>
      </c>
      <c r="AD2160" s="77" t="s">
        <v>7745</v>
      </c>
      <c r="AE2160" s="80" t="str">
        <f>HYPERLINK("https://twitter.com/investimentoob1/status/1679883705039433728")</f>
        <v>https://twitter.com/investimentoob1/status/1679883705039433728</v>
      </c>
      <c r="AF2160" s="79">
        <v>45121.667361111111</v>
      </c>
      <c r="AG2160" s="85">
        <v>45121</v>
      </c>
      <c r="AH2160" s="82" t="s">
        <v>9683</v>
      </c>
      <c r="AI2160" s="77" t="b">
        <v>0</v>
      </c>
      <c r="AJ2160" s="77"/>
      <c r="AK2160" s="77"/>
      <c r="AL2160" s="77"/>
      <c r="AM2160" s="77"/>
      <c r="AN2160" s="77"/>
      <c r="AO2160" s="77"/>
      <c r="AP2160" s="77"/>
      <c r="AQ2160" s="77" t="s">
        <v>11848</v>
      </c>
      <c r="AR2160" s="77">
        <v>11000</v>
      </c>
      <c r="AS2160" s="77"/>
      <c r="AT2160" s="77"/>
      <c r="AU2160" s="77">
        <v>2</v>
      </c>
      <c r="AV2160" s="80" t="str">
        <f>HYPERLINK("https://pbs.twimg.com/ext_tw_video_thumb/1679883613398073346/pu/img/EOiit1ARxaDiArJ8.jpg")</f>
        <v>https://pbs.twimg.com/ext_tw_video_thumb/1679883613398073346/pu/img/EOiit1ARxaDiArJ8.jpg</v>
      </c>
      <c r="AW2160" s="82" t="s">
        <v>14318</v>
      </c>
      <c r="AX2160" s="82" t="s">
        <v>14318</v>
      </c>
      <c r="AY2160" s="77"/>
      <c r="AZ2160" s="82" t="s">
        <v>15804</v>
      </c>
      <c r="BA2160" s="82" t="s">
        <v>15804</v>
      </c>
      <c r="BB2160" s="82" t="s">
        <v>15804</v>
      </c>
      <c r="BC2160" s="82" t="s">
        <v>14318</v>
      </c>
      <c r="BD2160" s="82" t="s">
        <v>16512</v>
      </c>
      <c r="BE2160" s="77"/>
      <c r="BF2160" s="77"/>
      <c r="BG2160" s="77"/>
      <c r="BH2160" s="77"/>
      <c r="BI2160" s="77"/>
    </row>
    <row r="2161" spans="1:61" x14ac:dyDescent="0.25">
      <c r="A2161" s="62" t="s">
        <v>877</v>
      </c>
      <c r="B2161" s="62" t="s">
        <v>877</v>
      </c>
      <c r="C2161" s="63"/>
      <c r="D2161" s="64"/>
      <c r="E2161" s="65"/>
      <c r="F2161" s="66"/>
      <c r="G2161" s="63"/>
      <c r="H2161" s="67"/>
      <c r="I2161" s="68"/>
      <c r="J2161" s="68"/>
      <c r="K2161" s="32"/>
      <c r="L2161" s="75">
        <v>2161</v>
      </c>
      <c r="M2161" s="75"/>
      <c r="N2161" s="70"/>
      <c r="O2161" s="77" t="s">
        <v>179</v>
      </c>
      <c r="P2161" s="79">
        <v>45121.625706018516</v>
      </c>
      <c r="Q2161" s="77" t="s">
        <v>3207</v>
      </c>
      <c r="R2161" s="77">
        <v>0</v>
      </c>
      <c r="S2161" s="77">
        <v>0</v>
      </c>
      <c r="T2161" s="77">
        <v>0</v>
      </c>
      <c r="U2161" s="77">
        <v>0</v>
      </c>
      <c r="V2161" s="77">
        <v>11</v>
      </c>
      <c r="W2161" s="82" t="s">
        <v>5456</v>
      </c>
      <c r="X2161" s="80" t="str">
        <f>HYPERLINK("https://linktr.ee/investimentoobjetivo")</f>
        <v>https://linktr.ee/investimentoobjetivo</v>
      </c>
      <c r="Y2161" s="77" t="s">
        <v>6052</v>
      </c>
      <c r="Z2161" s="77"/>
      <c r="AA2161" s="77" t="s">
        <v>7342</v>
      </c>
      <c r="AB2161" s="77" t="s">
        <v>7697</v>
      </c>
      <c r="AC2161" s="82" t="s">
        <v>7708</v>
      </c>
      <c r="AD2161" s="77" t="s">
        <v>7745</v>
      </c>
      <c r="AE2161" s="80" t="str">
        <f>HYPERLINK("https://twitter.com/investimentoob1/status/1679868610158682112")</f>
        <v>https://twitter.com/investimentoob1/status/1679868610158682112</v>
      </c>
      <c r="AF2161" s="79">
        <v>45121.625706018516</v>
      </c>
      <c r="AG2161" s="85">
        <v>45121</v>
      </c>
      <c r="AH2161" s="82" t="s">
        <v>9684</v>
      </c>
      <c r="AI2161" s="77" t="b">
        <v>0</v>
      </c>
      <c r="AJ2161" s="77"/>
      <c r="AK2161" s="77"/>
      <c r="AL2161" s="77"/>
      <c r="AM2161" s="77"/>
      <c r="AN2161" s="77"/>
      <c r="AO2161" s="77"/>
      <c r="AP2161" s="77"/>
      <c r="AQ2161" s="77" t="s">
        <v>11849</v>
      </c>
      <c r="AR2161" s="77">
        <v>11000</v>
      </c>
      <c r="AS2161" s="77"/>
      <c r="AT2161" s="77"/>
      <c r="AU2161" s="77">
        <v>1</v>
      </c>
      <c r="AV2161" s="80" t="str">
        <f>HYPERLINK("https://pbs.twimg.com/ext_tw_video_thumb/1679868542479482881/pu/img/mAbTg7Jxa2V_ZSSD.jpg")</f>
        <v>https://pbs.twimg.com/ext_tw_video_thumb/1679868542479482881/pu/img/mAbTg7Jxa2V_ZSSD.jpg</v>
      </c>
      <c r="AW2161" s="82" t="s">
        <v>14319</v>
      </c>
      <c r="AX2161" s="82" t="s">
        <v>14319</v>
      </c>
      <c r="AY2161" s="77"/>
      <c r="AZ2161" s="82" t="s">
        <v>15804</v>
      </c>
      <c r="BA2161" s="82" t="s">
        <v>15804</v>
      </c>
      <c r="BB2161" s="82" t="s">
        <v>15804</v>
      </c>
      <c r="BC2161" s="82" t="s">
        <v>14319</v>
      </c>
      <c r="BD2161" s="82" t="s">
        <v>16512</v>
      </c>
      <c r="BE2161" s="77"/>
      <c r="BF2161" s="77"/>
      <c r="BG2161" s="77"/>
      <c r="BH2161" s="77"/>
      <c r="BI2161" s="77"/>
    </row>
    <row r="2162" spans="1:61" x14ac:dyDescent="0.25">
      <c r="A2162" s="62" t="s">
        <v>877</v>
      </c>
      <c r="B2162" s="62" t="s">
        <v>877</v>
      </c>
      <c r="C2162" s="63"/>
      <c r="D2162" s="64"/>
      <c r="E2162" s="65"/>
      <c r="F2162" s="66"/>
      <c r="G2162" s="63"/>
      <c r="H2162" s="67"/>
      <c r="I2162" s="68"/>
      <c r="J2162" s="68"/>
      <c r="K2162" s="32"/>
      <c r="L2162" s="75">
        <v>2162</v>
      </c>
      <c r="M2162" s="75"/>
      <c r="N2162" s="70"/>
      <c r="O2162" s="77" t="s">
        <v>179</v>
      </c>
      <c r="P2162" s="79">
        <v>45120.792314814818</v>
      </c>
      <c r="Q2162" s="77" t="s">
        <v>3208</v>
      </c>
      <c r="R2162" s="77">
        <v>0</v>
      </c>
      <c r="S2162" s="77">
        <v>0</v>
      </c>
      <c r="T2162" s="77">
        <v>0</v>
      </c>
      <c r="U2162" s="77">
        <v>0</v>
      </c>
      <c r="V2162" s="77">
        <v>7</v>
      </c>
      <c r="W2162" s="82" t="s">
        <v>5456</v>
      </c>
      <c r="X2162" s="80" t="str">
        <f>HYPERLINK("https://linktr.ee/investimentoobjetivo")</f>
        <v>https://linktr.ee/investimentoobjetivo</v>
      </c>
      <c r="Y2162" s="77" t="s">
        <v>6052</v>
      </c>
      <c r="Z2162" s="77"/>
      <c r="AA2162" s="77" t="s">
        <v>7343</v>
      </c>
      <c r="AB2162" s="77" t="s">
        <v>7697</v>
      </c>
      <c r="AC2162" s="82" t="s">
        <v>7708</v>
      </c>
      <c r="AD2162" s="77" t="s">
        <v>7745</v>
      </c>
      <c r="AE2162" s="80" t="str">
        <f>HYPERLINK("https://twitter.com/investimentoob1/status/1679566598598787072")</f>
        <v>https://twitter.com/investimentoob1/status/1679566598598787072</v>
      </c>
      <c r="AF2162" s="79">
        <v>45120.792314814818</v>
      </c>
      <c r="AG2162" s="85">
        <v>45120</v>
      </c>
      <c r="AH2162" s="82" t="s">
        <v>8505</v>
      </c>
      <c r="AI2162" s="77" t="b">
        <v>0</v>
      </c>
      <c r="AJ2162" s="77"/>
      <c r="AK2162" s="77"/>
      <c r="AL2162" s="77"/>
      <c r="AM2162" s="77"/>
      <c r="AN2162" s="77"/>
      <c r="AO2162" s="77"/>
      <c r="AP2162" s="77"/>
      <c r="AQ2162" s="77" t="s">
        <v>11850</v>
      </c>
      <c r="AR2162" s="77">
        <v>11000</v>
      </c>
      <c r="AS2162" s="77"/>
      <c r="AT2162" s="77"/>
      <c r="AU2162" s="77">
        <v>1</v>
      </c>
      <c r="AV2162" s="80" t="str">
        <f>HYPERLINK("https://pbs.twimg.com/ext_tw_video_thumb/1679566530676158464/pu/img/a7CasQ2AlXuvdG7-.jpg")</f>
        <v>https://pbs.twimg.com/ext_tw_video_thumb/1679566530676158464/pu/img/a7CasQ2AlXuvdG7-.jpg</v>
      </c>
      <c r="AW2162" s="82" t="s">
        <v>14320</v>
      </c>
      <c r="AX2162" s="82" t="s">
        <v>14320</v>
      </c>
      <c r="AY2162" s="77"/>
      <c r="AZ2162" s="82" t="s">
        <v>15804</v>
      </c>
      <c r="BA2162" s="82" t="s">
        <v>15804</v>
      </c>
      <c r="BB2162" s="82" t="s">
        <v>15804</v>
      </c>
      <c r="BC2162" s="82" t="s">
        <v>14320</v>
      </c>
      <c r="BD2162" s="82" t="s">
        <v>16512</v>
      </c>
      <c r="BE2162" s="77"/>
      <c r="BF2162" s="77"/>
      <c r="BG2162" s="77"/>
      <c r="BH2162" s="77"/>
      <c r="BI2162" s="77"/>
    </row>
    <row r="2163" spans="1:61" x14ac:dyDescent="0.25">
      <c r="A2163" s="62" t="s">
        <v>877</v>
      </c>
      <c r="B2163" s="62" t="s">
        <v>877</v>
      </c>
      <c r="C2163" s="63"/>
      <c r="D2163" s="64"/>
      <c r="E2163" s="65"/>
      <c r="F2163" s="66"/>
      <c r="G2163" s="63"/>
      <c r="H2163" s="67"/>
      <c r="I2163" s="68"/>
      <c r="J2163" s="68"/>
      <c r="K2163" s="32"/>
      <c r="L2163" s="75">
        <v>2163</v>
      </c>
      <c r="M2163" s="75"/>
      <c r="N2163" s="70"/>
      <c r="O2163" s="77" t="s">
        <v>179</v>
      </c>
      <c r="P2163" s="79">
        <v>45120.667280092595</v>
      </c>
      <c r="Q2163" s="77" t="s">
        <v>3209</v>
      </c>
      <c r="R2163" s="77">
        <v>0</v>
      </c>
      <c r="S2163" s="77">
        <v>0</v>
      </c>
      <c r="T2163" s="77">
        <v>0</v>
      </c>
      <c r="U2163" s="77">
        <v>0</v>
      </c>
      <c r="V2163" s="77">
        <v>12</v>
      </c>
      <c r="W2163" s="82" t="s">
        <v>5456</v>
      </c>
      <c r="X2163" s="80" t="str">
        <f>HYPERLINK("https://linktr.ee/investimentoobjetivo")</f>
        <v>https://linktr.ee/investimentoobjetivo</v>
      </c>
      <c r="Y2163" s="77" t="s">
        <v>6052</v>
      </c>
      <c r="Z2163" s="77"/>
      <c r="AA2163" s="77" t="s">
        <v>7344</v>
      </c>
      <c r="AB2163" s="77" t="s">
        <v>7697</v>
      </c>
      <c r="AC2163" s="82" t="s">
        <v>7708</v>
      </c>
      <c r="AD2163" s="77" t="s">
        <v>7745</v>
      </c>
      <c r="AE2163" s="80" t="str">
        <f>HYPERLINK("https://twitter.com/investimentoob1/status/1679521287457128458")</f>
        <v>https://twitter.com/investimentoob1/status/1679521287457128458</v>
      </c>
      <c r="AF2163" s="79">
        <v>45120.667280092595</v>
      </c>
      <c r="AG2163" s="85">
        <v>45120</v>
      </c>
      <c r="AH2163" s="82" t="s">
        <v>9685</v>
      </c>
      <c r="AI2163" s="77" t="b">
        <v>0</v>
      </c>
      <c r="AJ2163" s="77"/>
      <c r="AK2163" s="77"/>
      <c r="AL2163" s="77"/>
      <c r="AM2163" s="77"/>
      <c r="AN2163" s="77"/>
      <c r="AO2163" s="77"/>
      <c r="AP2163" s="77"/>
      <c r="AQ2163" s="77" t="s">
        <v>11851</v>
      </c>
      <c r="AR2163" s="77">
        <v>11000</v>
      </c>
      <c r="AS2163" s="77"/>
      <c r="AT2163" s="77"/>
      <c r="AU2163" s="77">
        <v>2</v>
      </c>
      <c r="AV2163" s="80" t="str">
        <f>HYPERLINK("https://pbs.twimg.com/ext_tw_video_thumb/1679521219299639298/pu/img/A2ATy9qJ0Gi3erSK.jpg")</f>
        <v>https://pbs.twimg.com/ext_tw_video_thumb/1679521219299639298/pu/img/A2ATy9qJ0Gi3erSK.jpg</v>
      </c>
      <c r="AW2163" s="82" t="s">
        <v>14321</v>
      </c>
      <c r="AX2163" s="82" t="s">
        <v>14321</v>
      </c>
      <c r="AY2163" s="77"/>
      <c r="AZ2163" s="82" t="s">
        <v>15804</v>
      </c>
      <c r="BA2163" s="82" t="s">
        <v>15804</v>
      </c>
      <c r="BB2163" s="82" t="s">
        <v>15804</v>
      </c>
      <c r="BC2163" s="82" t="s">
        <v>14321</v>
      </c>
      <c r="BD2163" s="82" t="s">
        <v>16512</v>
      </c>
      <c r="BE2163" s="77"/>
      <c r="BF2163" s="77"/>
      <c r="BG2163" s="77"/>
      <c r="BH2163" s="77"/>
      <c r="BI2163" s="77"/>
    </row>
    <row r="2164" spans="1:61" x14ac:dyDescent="0.25">
      <c r="A2164" s="62" t="s">
        <v>877</v>
      </c>
      <c r="B2164" s="62" t="s">
        <v>877</v>
      </c>
      <c r="C2164" s="63"/>
      <c r="D2164" s="64"/>
      <c r="E2164" s="65"/>
      <c r="F2164" s="66"/>
      <c r="G2164" s="63"/>
      <c r="H2164" s="67"/>
      <c r="I2164" s="68"/>
      <c r="J2164" s="68"/>
      <c r="K2164" s="32"/>
      <c r="L2164" s="75">
        <v>2164</v>
      </c>
      <c r="M2164" s="75"/>
      <c r="N2164" s="70"/>
      <c r="O2164" s="77" t="s">
        <v>179</v>
      </c>
      <c r="P2164" s="79">
        <v>45120.625601851854</v>
      </c>
      <c r="Q2164" s="77" t="s">
        <v>3210</v>
      </c>
      <c r="R2164" s="77">
        <v>0</v>
      </c>
      <c r="S2164" s="77">
        <v>0</v>
      </c>
      <c r="T2164" s="77">
        <v>0</v>
      </c>
      <c r="U2164" s="77">
        <v>0</v>
      </c>
      <c r="V2164" s="77">
        <v>12</v>
      </c>
      <c r="W2164" s="82" t="s">
        <v>5456</v>
      </c>
      <c r="X2164" s="80" t="str">
        <f>HYPERLINK("https://linktr.ee/investimentoobjetivo")</f>
        <v>https://linktr.ee/investimentoobjetivo</v>
      </c>
      <c r="Y2164" s="77" t="s">
        <v>6052</v>
      </c>
      <c r="Z2164" s="77"/>
      <c r="AA2164" s="77" t="s">
        <v>7345</v>
      </c>
      <c r="AB2164" s="77" t="s">
        <v>7697</v>
      </c>
      <c r="AC2164" s="82" t="s">
        <v>7708</v>
      </c>
      <c r="AD2164" s="77" t="s">
        <v>7745</v>
      </c>
      <c r="AE2164" s="80" t="str">
        <f>HYPERLINK("https://twitter.com/investimentoob1/status/1679506181948166144")</f>
        <v>https://twitter.com/investimentoob1/status/1679506181948166144</v>
      </c>
      <c r="AF2164" s="79">
        <v>45120.625601851854</v>
      </c>
      <c r="AG2164" s="85">
        <v>45120</v>
      </c>
      <c r="AH2164" s="82" t="s">
        <v>9686</v>
      </c>
      <c r="AI2164" s="77" t="b">
        <v>0</v>
      </c>
      <c r="AJ2164" s="77"/>
      <c r="AK2164" s="77"/>
      <c r="AL2164" s="77"/>
      <c r="AM2164" s="77"/>
      <c r="AN2164" s="77"/>
      <c r="AO2164" s="77"/>
      <c r="AP2164" s="77"/>
      <c r="AQ2164" s="77" t="s">
        <v>11852</v>
      </c>
      <c r="AR2164" s="77">
        <v>11000</v>
      </c>
      <c r="AS2164" s="77"/>
      <c r="AT2164" s="77"/>
      <c r="AU2164" s="77">
        <v>2</v>
      </c>
      <c r="AV2164" s="80" t="str">
        <f>HYPERLINK("https://pbs.twimg.com/ext_tw_video_thumb/1679506136364359681/pu/img/q1ZWx73Aid-Nqsj_.jpg")</f>
        <v>https://pbs.twimg.com/ext_tw_video_thumb/1679506136364359681/pu/img/q1ZWx73Aid-Nqsj_.jpg</v>
      </c>
      <c r="AW2164" s="82" t="s">
        <v>14322</v>
      </c>
      <c r="AX2164" s="82" t="s">
        <v>14322</v>
      </c>
      <c r="AY2164" s="77"/>
      <c r="AZ2164" s="82" t="s">
        <v>15804</v>
      </c>
      <c r="BA2164" s="82" t="s">
        <v>15804</v>
      </c>
      <c r="BB2164" s="82" t="s">
        <v>15804</v>
      </c>
      <c r="BC2164" s="82" t="s">
        <v>14322</v>
      </c>
      <c r="BD2164" s="82" t="s">
        <v>16512</v>
      </c>
      <c r="BE2164" s="77"/>
      <c r="BF2164" s="77"/>
      <c r="BG2164" s="77"/>
      <c r="BH2164" s="77"/>
      <c r="BI2164" s="77"/>
    </row>
    <row r="2165" spans="1:61" x14ac:dyDescent="0.25">
      <c r="A2165" s="62" t="s">
        <v>877</v>
      </c>
      <c r="B2165" s="62" t="s">
        <v>877</v>
      </c>
      <c r="C2165" s="63"/>
      <c r="D2165" s="64"/>
      <c r="E2165" s="65"/>
      <c r="F2165" s="66"/>
      <c r="G2165" s="63"/>
      <c r="H2165" s="67"/>
      <c r="I2165" s="68"/>
      <c r="J2165" s="68"/>
      <c r="K2165" s="32"/>
      <c r="L2165" s="75">
        <v>2165</v>
      </c>
      <c r="M2165" s="75"/>
      <c r="N2165" s="70"/>
      <c r="O2165" s="77" t="s">
        <v>179</v>
      </c>
      <c r="P2165" s="79">
        <v>45120.542361111111</v>
      </c>
      <c r="Q2165" s="77" t="s">
        <v>3211</v>
      </c>
      <c r="R2165" s="77">
        <v>0</v>
      </c>
      <c r="S2165" s="77">
        <v>0</v>
      </c>
      <c r="T2165" s="77">
        <v>0</v>
      </c>
      <c r="U2165" s="77">
        <v>0</v>
      </c>
      <c r="V2165" s="77">
        <v>15</v>
      </c>
      <c r="W2165" s="82" t="s">
        <v>5456</v>
      </c>
      <c r="X2165" s="80" t="str">
        <f>HYPERLINK("https://linktr.ee/investimentoobjetivo")</f>
        <v>https://linktr.ee/investimentoobjetivo</v>
      </c>
      <c r="Y2165" s="77" t="s">
        <v>6052</v>
      </c>
      <c r="Z2165" s="77"/>
      <c r="AA2165" s="77" t="s">
        <v>7346</v>
      </c>
      <c r="AB2165" s="77" t="s">
        <v>7697</v>
      </c>
      <c r="AC2165" s="82" t="s">
        <v>7708</v>
      </c>
      <c r="AD2165" s="77" t="s">
        <v>7745</v>
      </c>
      <c r="AE2165" s="80" t="str">
        <f>HYPERLINK("https://twitter.com/investimentoob1/status/1679476017218441216")</f>
        <v>https://twitter.com/investimentoob1/status/1679476017218441216</v>
      </c>
      <c r="AF2165" s="79">
        <v>45120.542361111111</v>
      </c>
      <c r="AG2165" s="85">
        <v>45120</v>
      </c>
      <c r="AH2165" s="82" t="s">
        <v>9687</v>
      </c>
      <c r="AI2165" s="77" t="b">
        <v>0</v>
      </c>
      <c r="AJ2165" s="77"/>
      <c r="AK2165" s="77"/>
      <c r="AL2165" s="77"/>
      <c r="AM2165" s="77"/>
      <c r="AN2165" s="77"/>
      <c r="AO2165" s="77"/>
      <c r="AP2165" s="77"/>
      <c r="AQ2165" s="77" t="s">
        <v>11853</v>
      </c>
      <c r="AR2165" s="77">
        <v>11000</v>
      </c>
      <c r="AS2165" s="77"/>
      <c r="AT2165" s="77"/>
      <c r="AU2165" s="77">
        <v>1</v>
      </c>
      <c r="AV2165" s="80" t="str">
        <f>HYPERLINK("https://pbs.twimg.com/ext_tw_video_thumb/1679475949123796992/pu/img/PqW4YLKpq7NT-X0A.jpg")</f>
        <v>https://pbs.twimg.com/ext_tw_video_thumb/1679475949123796992/pu/img/PqW4YLKpq7NT-X0A.jpg</v>
      </c>
      <c r="AW2165" s="82" t="s">
        <v>14323</v>
      </c>
      <c r="AX2165" s="82" t="s">
        <v>14323</v>
      </c>
      <c r="AY2165" s="77"/>
      <c r="AZ2165" s="82" t="s">
        <v>15804</v>
      </c>
      <c r="BA2165" s="82" t="s">
        <v>15804</v>
      </c>
      <c r="BB2165" s="82" t="s">
        <v>15804</v>
      </c>
      <c r="BC2165" s="82" t="s">
        <v>14323</v>
      </c>
      <c r="BD2165" s="82" t="s">
        <v>16512</v>
      </c>
      <c r="BE2165" s="77"/>
      <c r="BF2165" s="77"/>
      <c r="BG2165" s="77"/>
      <c r="BH2165" s="77"/>
      <c r="BI2165" s="77"/>
    </row>
    <row r="2166" spans="1:61" x14ac:dyDescent="0.25">
      <c r="A2166" s="62" t="s">
        <v>877</v>
      </c>
      <c r="B2166" s="62" t="s">
        <v>877</v>
      </c>
      <c r="C2166" s="63"/>
      <c r="D2166" s="64"/>
      <c r="E2166" s="65"/>
      <c r="F2166" s="66"/>
      <c r="G2166" s="63"/>
      <c r="H2166" s="67"/>
      <c r="I2166" s="68"/>
      <c r="J2166" s="68"/>
      <c r="K2166" s="32"/>
      <c r="L2166" s="75">
        <v>2166</v>
      </c>
      <c r="M2166" s="75"/>
      <c r="N2166" s="70"/>
      <c r="O2166" s="77" t="s">
        <v>179</v>
      </c>
      <c r="P2166" s="79">
        <v>45104.958877314813</v>
      </c>
      <c r="Q2166" s="77" t="s">
        <v>3212</v>
      </c>
      <c r="R2166" s="77">
        <v>0</v>
      </c>
      <c r="S2166" s="77">
        <v>0</v>
      </c>
      <c r="T2166" s="77">
        <v>0</v>
      </c>
      <c r="U2166" s="77">
        <v>0</v>
      </c>
      <c r="V2166" s="77">
        <v>15</v>
      </c>
      <c r="W2166" s="82" t="s">
        <v>5460</v>
      </c>
      <c r="X2166" s="77"/>
      <c r="Y2166" s="77"/>
      <c r="Z2166" s="77"/>
      <c r="AA2166" s="77" t="s">
        <v>7347</v>
      </c>
      <c r="AB2166" s="77" t="s">
        <v>7697</v>
      </c>
      <c r="AC2166" s="82" t="s">
        <v>7708</v>
      </c>
      <c r="AD2166" s="77" t="s">
        <v>7745</v>
      </c>
      <c r="AE2166" s="80" t="str">
        <f>HYPERLINK("https://twitter.com/investimentoob1/status/1673828751543615489")</f>
        <v>https://twitter.com/investimentoob1/status/1673828751543615489</v>
      </c>
      <c r="AF2166" s="79">
        <v>45104.958877314813</v>
      </c>
      <c r="AG2166" s="85">
        <v>45104</v>
      </c>
      <c r="AH2166" s="82" t="s">
        <v>9688</v>
      </c>
      <c r="AI2166" s="77" t="b">
        <v>0</v>
      </c>
      <c r="AJ2166" s="77"/>
      <c r="AK2166" s="77"/>
      <c r="AL2166" s="77"/>
      <c r="AM2166" s="77"/>
      <c r="AN2166" s="77"/>
      <c r="AO2166" s="77"/>
      <c r="AP2166" s="77"/>
      <c r="AQ2166" s="77" t="s">
        <v>11854</v>
      </c>
      <c r="AR2166" s="77">
        <v>11033</v>
      </c>
      <c r="AS2166" s="77"/>
      <c r="AT2166" s="77"/>
      <c r="AU2166" s="77">
        <v>3</v>
      </c>
      <c r="AV2166" s="80" t="str">
        <f>HYPERLINK("https://pbs.twimg.com/ext_tw_video_thumb/1673828727703085057/pu/img/9fhyL2gfrEHwIyGp.jpg")</f>
        <v>https://pbs.twimg.com/ext_tw_video_thumb/1673828727703085057/pu/img/9fhyL2gfrEHwIyGp.jpg</v>
      </c>
      <c r="AW2166" s="82" t="s">
        <v>14324</v>
      </c>
      <c r="AX2166" s="82" t="s">
        <v>14324</v>
      </c>
      <c r="AY2166" s="77"/>
      <c r="AZ2166" s="82" t="s">
        <v>15804</v>
      </c>
      <c r="BA2166" s="82" t="s">
        <v>15804</v>
      </c>
      <c r="BB2166" s="82" t="s">
        <v>15804</v>
      </c>
      <c r="BC2166" s="82" t="s">
        <v>14324</v>
      </c>
      <c r="BD2166" s="82" t="s">
        <v>16512</v>
      </c>
      <c r="BE2166" s="77"/>
      <c r="BF2166" s="77"/>
      <c r="BG2166" s="77"/>
      <c r="BH2166" s="77"/>
      <c r="BI2166" s="77"/>
    </row>
    <row r="2167" spans="1:61" x14ac:dyDescent="0.25">
      <c r="A2167" s="62" t="s">
        <v>877</v>
      </c>
      <c r="B2167" s="62" t="s">
        <v>877</v>
      </c>
      <c r="C2167" s="63"/>
      <c r="D2167" s="64"/>
      <c r="E2167" s="65"/>
      <c r="F2167" s="66"/>
      <c r="G2167" s="63"/>
      <c r="H2167" s="67"/>
      <c r="I2167" s="68"/>
      <c r="J2167" s="68"/>
      <c r="K2167" s="32"/>
      <c r="L2167" s="75">
        <v>2167</v>
      </c>
      <c r="M2167" s="75"/>
      <c r="N2167" s="70"/>
      <c r="O2167" s="77" t="s">
        <v>179</v>
      </c>
      <c r="P2167" s="79">
        <v>45104.625613425924</v>
      </c>
      <c r="Q2167" s="77" t="s">
        <v>3213</v>
      </c>
      <c r="R2167" s="77">
        <v>0</v>
      </c>
      <c r="S2167" s="77">
        <v>0</v>
      </c>
      <c r="T2167" s="77">
        <v>0</v>
      </c>
      <c r="U2167" s="77">
        <v>0</v>
      </c>
      <c r="V2167" s="77">
        <v>11</v>
      </c>
      <c r="W2167" s="82" t="s">
        <v>5457</v>
      </c>
      <c r="X2167" s="77"/>
      <c r="Y2167" s="77"/>
      <c r="Z2167" s="77"/>
      <c r="AA2167" s="77" t="s">
        <v>7348</v>
      </c>
      <c r="AB2167" s="77" t="s">
        <v>7697</v>
      </c>
      <c r="AC2167" s="82" t="s">
        <v>7708</v>
      </c>
      <c r="AD2167" s="77" t="s">
        <v>7745</v>
      </c>
      <c r="AE2167" s="80" t="str">
        <f>HYPERLINK("https://twitter.com/investimentoob1/status/1673707980632539136")</f>
        <v>https://twitter.com/investimentoob1/status/1673707980632539136</v>
      </c>
      <c r="AF2167" s="79">
        <v>45104.625613425924</v>
      </c>
      <c r="AG2167" s="85">
        <v>45104</v>
      </c>
      <c r="AH2167" s="82" t="s">
        <v>9666</v>
      </c>
      <c r="AI2167" s="77" t="b">
        <v>0</v>
      </c>
      <c r="AJ2167" s="77"/>
      <c r="AK2167" s="77"/>
      <c r="AL2167" s="77"/>
      <c r="AM2167" s="77"/>
      <c r="AN2167" s="77"/>
      <c r="AO2167" s="77"/>
      <c r="AP2167" s="77"/>
      <c r="AQ2167" s="77" t="s">
        <v>11855</v>
      </c>
      <c r="AR2167" s="77">
        <v>11033</v>
      </c>
      <c r="AS2167" s="77"/>
      <c r="AT2167" s="77"/>
      <c r="AU2167" s="77">
        <v>1</v>
      </c>
      <c r="AV2167" s="80" t="str">
        <f>HYPERLINK("https://pbs.twimg.com/ext_tw_video_thumb/1673707936277831682/pu/img/Yq7Z5Ft0HlKUDk4s.jpg")</f>
        <v>https://pbs.twimg.com/ext_tw_video_thumb/1673707936277831682/pu/img/Yq7Z5Ft0HlKUDk4s.jpg</v>
      </c>
      <c r="AW2167" s="82" t="s">
        <v>14325</v>
      </c>
      <c r="AX2167" s="82" t="s">
        <v>14325</v>
      </c>
      <c r="AY2167" s="77"/>
      <c r="AZ2167" s="82" t="s">
        <v>15804</v>
      </c>
      <c r="BA2167" s="82" t="s">
        <v>15804</v>
      </c>
      <c r="BB2167" s="82" t="s">
        <v>15804</v>
      </c>
      <c r="BC2167" s="82" t="s">
        <v>14325</v>
      </c>
      <c r="BD2167" s="82" t="s">
        <v>16512</v>
      </c>
      <c r="BE2167" s="77"/>
      <c r="BF2167" s="77"/>
      <c r="BG2167" s="77"/>
      <c r="BH2167" s="77"/>
      <c r="BI2167" s="77"/>
    </row>
    <row r="2168" spans="1:61" x14ac:dyDescent="0.25">
      <c r="A2168" s="62" t="s">
        <v>877</v>
      </c>
      <c r="B2168" s="62" t="s">
        <v>877</v>
      </c>
      <c r="C2168" s="63"/>
      <c r="D2168" s="64"/>
      <c r="E2168" s="65"/>
      <c r="F2168" s="66"/>
      <c r="G2168" s="63"/>
      <c r="H2168" s="67"/>
      <c r="I2168" s="68"/>
      <c r="J2168" s="68"/>
      <c r="K2168" s="32"/>
      <c r="L2168" s="75">
        <v>2168</v>
      </c>
      <c r="M2168" s="75"/>
      <c r="N2168" s="70"/>
      <c r="O2168" s="77" t="s">
        <v>179</v>
      </c>
      <c r="P2168" s="79">
        <v>45104.542233796295</v>
      </c>
      <c r="Q2168" s="77" t="s">
        <v>3214</v>
      </c>
      <c r="R2168" s="77">
        <v>0</v>
      </c>
      <c r="S2168" s="77">
        <v>0</v>
      </c>
      <c r="T2168" s="77">
        <v>0</v>
      </c>
      <c r="U2168" s="77">
        <v>0</v>
      </c>
      <c r="V2168" s="77">
        <v>22</v>
      </c>
      <c r="W2168" s="82" t="s">
        <v>5449</v>
      </c>
      <c r="X2168" s="77"/>
      <c r="Y2168" s="77"/>
      <c r="Z2168" s="77"/>
      <c r="AA2168" s="77" t="s">
        <v>7349</v>
      </c>
      <c r="AB2168" s="77" t="s">
        <v>7697</v>
      </c>
      <c r="AC2168" s="82" t="s">
        <v>7708</v>
      </c>
      <c r="AD2168" s="77" t="s">
        <v>7745</v>
      </c>
      <c r="AE2168" s="80" t="str">
        <f>HYPERLINK("https://twitter.com/investimentoob1/status/1673677765864837126")</f>
        <v>https://twitter.com/investimentoob1/status/1673677765864837126</v>
      </c>
      <c r="AF2168" s="79">
        <v>45104.542233796295</v>
      </c>
      <c r="AG2168" s="85">
        <v>45104</v>
      </c>
      <c r="AH2168" s="82" t="s">
        <v>9689</v>
      </c>
      <c r="AI2168" s="77" t="b">
        <v>0</v>
      </c>
      <c r="AJ2168" s="77"/>
      <c r="AK2168" s="77"/>
      <c r="AL2168" s="77"/>
      <c r="AM2168" s="77"/>
      <c r="AN2168" s="77"/>
      <c r="AO2168" s="77"/>
      <c r="AP2168" s="77"/>
      <c r="AQ2168" s="77" t="s">
        <v>11856</v>
      </c>
      <c r="AR2168" s="77">
        <v>11033</v>
      </c>
      <c r="AS2168" s="77"/>
      <c r="AT2168" s="77"/>
      <c r="AU2168" s="77">
        <v>5</v>
      </c>
      <c r="AV2168" s="80" t="str">
        <f>HYPERLINK("https://pbs.twimg.com/ext_tw_video_thumb/1673677740841607172/pu/img/hJA_uWErEvAHvhKM.jpg")</f>
        <v>https://pbs.twimg.com/ext_tw_video_thumb/1673677740841607172/pu/img/hJA_uWErEvAHvhKM.jpg</v>
      </c>
      <c r="AW2168" s="82" t="s">
        <v>14326</v>
      </c>
      <c r="AX2168" s="82" t="s">
        <v>14326</v>
      </c>
      <c r="AY2168" s="77"/>
      <c r="AZ2168" s="82" t="s">
        <v>15804</v>
      </c>
      <c r="BA2168" s="82" t="s">
        <v>15804</v>
      </c>
      <c r="BB2168" s="82" t="s">
        <v>15804</v>
      </c>
      <c r="BC2168" s="82" t="s">
        <v>14326</v>
      </c>
      <c r="BD2168" s="82" t="s">
        <v>16512</v>
      </c>
      <c r="BE2168" s="77"/>
      <c r="BF2168" s="77"/>
      <c r="BG2168" s="77"/>
      <c r="BH2168" s="77"/>
      <c r="BI2168" s="77"/>
    </row>
    <row r="2169" spans="1:61" x14ac:dyDescent="0.25">
      <c r="A2169" s="62" t="s">
        <v>877</v>
      </c>
      <c r="B2169" s="62" t="s">
        <v>877</v>
      </c>
      <c r="C2169" s="63"/>
      <c r="D2169" s="64"/>
      <c r="E2169" s="65"/>
      <c r="F2169" s="66"/>
      <c r="G2169" s="63"/>
      <c r="H2169" s="67"/>
      <c r="I2169" s="68"/>
      <c r="J2169" s="68"/>
      <c r="K2169" s="32"/>
      <c r="L2169" s="75">
        <v>2169</v>
      </c>
      <c r="M2169" s="75"/>
      <c r="N2169" s="70"/>
      <c r="O2169" s="77" t="s">
        <v>179</v>
      </c>
      <c r="P2169" s="79">
        <v>45103.917407407411</v>
      </c>
      <c r="Q2169" s="77" t="s">
        <v>3215</v>
      </c>
      <c r="R2169" s="77">
        <v>0</v>
      </c>
      <c r="S2169" s="77">
        <v>0</v>
      </c>
      <c r="T2169" s="77">
        <v>0</v>
      </c>
      <c r="U2169" s="77">
        <v>0</v>
      </c>
      <c r="V2169" s="77">
        <v>21</v>
      </c>
      <c r="W2169" s="82" t="s">
        <v>5460</v>
      </c>
      <c r="X2169" s="77"/>
      <c r="Y2169" s="77"/>
      <c r="Z2169" s="77"/>
      <c r="AA2169" s="77" t="s">
        <v>7350</v>
      </c>
      <c r="AB2169" s="77" t="s">
        <v>7697</v>
      </c>
      <c r="AC2169" s="82" t="s">
        <v>7708</v>
      </c>
      <c r="AD2169" s="77" t="s">
        <v>7745</v>
      </c>
      <c r="AE2169" s="80" t="str">
        <f>HYPERLINK("https://twitter.com/investimentoob1/status/1673451336250146817")</f>
        <v>https://twitter.com/investimentoob1/status/1673451336250146817</v>
      </c>
      <c r="AF2169" s="79">
        <v>45103.917407407411</v>
      </c>
      <c r="AG2169" s="85">
        <v>45103</v>
      </c>
      <c r="AH2169" s="82" t="s">
        <v>9690</v>
      </c>
      <c r="AI2169" s="77" t="b">
        <v>0</v>
      </c>
      <c r="AJ2169" s="77"/>
      <c r="AK2169" s="77"/>
      <c r="AL2169" s="77"/>
      <c r="AM2169" s="77"/>
      <c r="AN2169" s="77"/>
      <c r="AO2169" s="77"/>
      <c r="AP2169" s="77"/>
      <c r="AQ2169" s="77" t="s">
        <v>11857</v>
      </c>
      <c r="AR2169" s="77">
        <v>11033</v>
      </c>
      <c r="AS2169" s="77"/>
      <c r="AT2169" s="77"/>
      <c r="AU2169" s="77">
        <v>3</v>
      </c>
      <c r="AV2169" s="80" t="str">
        <f>HYPERLINK("https://pbs.twimg.com/ext_tw_video_thumb/1673451312636125185/pu/img/vX8WzZi138XAUE2M.jpg")</f>
        <v>https://pbs.twimg.com/ext_tw_video_thumb/1673451312636125185/pu/img/vX8WzZi138XAUE2M.jpg</v>
      </c>
      <c r="AW2169" s="82" t="s">
        <v>14327</v>
      </c>
      <c r="AX2169" s="82" t="s">
        <v>14327</v>
      </c>
      <c r="AY2169" s="77"/>
      <c r="AZ2169" s="82" t="s">
        <v>15804</v>
      </c>
      <c r="BA2169" s="82" t="s">
        <v>15804</v>
      </c>
      <c r="BB2169" s="82" t="s">
        <v>15804</v>
      </c>
      <c r="BC2169" s="82" t="s">
        <v>14327</v>
      </c>
      <c r="BD2169" s="82" t="s">
        <v>16512</v>
      </c>
      <c r="BE2169" s="77"/>
      <c r="BF2169" s="77"/>
      <c r="BG2169" s="77"/>
      <c r="BH2169" s="77"/>
      <c r="BI2169" s="77"/>
    </row>
    <row r="2170" spans="1:61" x14ac:dyDescent="0.25">
      <c r="A2170" s="62" t="s">
        <v>877</v>
      </c>
      <c r="B2170" s="62" t="s">
        <v>877</v>
      </c>
      <c r="C2170" s="63"/>
      <c r="D2170" s="64"/>
      <c r="E2170" s="65"/>
      <c r="F2170" s="66"/>
      <c r="G2170" s="63"/>
      <c r="H2170" s="67"/>
      <c r="I2170" s="68"/>
      <c r="J2170" s="68"/>
      <c r="K2170" s="32"/>
      <c r="L2170" s="75">
        <v>2170</v>
      </c>
      <c r="M2170" s="75"/>
      <c r="N2170" s="70"/>
      <c r="O2170" s="77" t="s">
        <v>179</v>
      </c>
      <c r="P2170" s="79">
        <v>45103.58394675926</v>
      </c>
      <c r="Q2170" s="77" t="s">
        <v>3216</v>
      </c>
      <c r="R2170" s="77">
        <v>0</v>
      </c>
      <c r="S2170" s="77">
        <v>0</v>
      </c>
      <c r="T2170" s="77">
        <v>0</v>
      </c>
      <c r="U2170" s="77">
        <v>0</v>
      </c>
      <c r="V2170" s="77">
        <v>12</v>
      </c>
      <c r="W2170" s="82" t="s">
        <v>5457</v>
      </c>
      <c r="X2170" s="77"/>
      <c r="Y2170" s="77"/>
      <c r="Z2170" s="77"/>
      <c r="AA2170" s="77" t="s">
        <v>7351</v>
      </c>
      <c r="AB2170" s="77" t="s">
        <v>7697</v>
      </c>
      <c r="AC2170" s="82" t="s">
        <v>7708</v>
      </c>
      <c r="AD2170" s="77" t="s">
        <v>7745</v>
      </c>
      <c r="AE2170" s="80" t="str">
        <f>HYPERLINK("https://twitter.com/investimentoob1/status/1673330495906619392")</f>
        <v>https://twitter.com/investimentoob1/status/1673330495906619392</v>
      </c>
      <c r="AF2170" s="79">
        <v>45103.58394675926</v>
      </c>
      <c r="AG2170" s="85">
        <v>45103</v>
      </c>
      <c r="AH2170" s="82" t="s">
        <v>9691</v>
      </c>
      <c r="AI2170" s="77" t="b">
        <v>0</v>
      </c>
      <c r="AJ2170" s="77"/>
      <c r="AK2170" s="77"/>
      <c r="AL2170" s="77"/>
      <c r="AM2170" s="77"/>
      <c r="AN2170" s="77"/>
      <c r="AO2170" s="77"/>
      <c r="AP2170" s="77"/>
      <c r="AQ2170" s="77" t="s">
        <v>11858</v>
      </c>
      <c r="AR2170" s="77">
        <v>11033</v>
      </c>
      <c r="AS2170" s="77"/>
      <c r="AT2170" s="77"/>
      <c r="AU2170" s="77">
        <v>4</v>
      </c>
      <c r="AV2170" s="80" t="str">
        <f>HYPERLINK("https://pbs.twimg.com/ext_tw_video_thumb/1673330472179453954/pu/img/8FqKClYUFVzMr87J.jpg")</f>
        <v>https://pbs.twimg.com/ext_tw_video_thumb/1673330472179453954/pu/img/8FqKClYUFVzMr87J.jpg</v>
      </c>
      <c r="AW2170" s="82" t="s">
        <v>14328</v>
      </c>
      <c r="AX2170" s="82" t="s">
        <v>14328</v>
      </c>
      <c r="AY2170" s="77"/>
      <c r="AZ2170" s="82" t="s">
        <v>15804</v>
      </c>
      <c r="BA2170" s="82" t="s">
        <v>15804</v>
      </c>
      <c r="BB2170" s="82" t="s">
        <v>15804</v>
      </c>
      <c r="BC2170" s="82" t="s">
        <v>14328</v>
      </c>
      <c r="BD2170" s="82" t="s">
        <v>16512</v>
      </c>
      <c r="BE2170" s="77"/>
      <c r="BF2170" s="77"/>
      <c r="BG2170" s="77"/>
      <c r="BH2170" s="77"/>
      <c r="BI2170" s="77"/>
    </row>
    <row r="2171" spans="1:61" x14ac:dyDescent="0.25">
      <c r="A2171" s="62" t="s">
        <v>877</v>
      </c>
      <c r="B2171" s="62" t="s">
        <v>877</v>
      </c>
      <c r="C2171" s="63"/>
      <c r="D2171" s="64"/>
      <c r="E2171" s="65"/>
      <c r="F2171" s="66"/>
      <c r="G2171" s="63"/>
      <c r="H2171" s="67"/>
      <c r="I2171" s="68"/>
      <c r="J2171" s="68"/>
      <c r="K2171" s="32"/>
      <c r="L2171" s="75">
        <v>2171</v>
      </c>
      <c r="M2171" s="75"/>
      <c r="N2171" s="70"/>
      <c r="O2171" s="77" t="s">
        <v>179</v>
      </c>
      <c r="P2171" s="79">
        <v>45103.500590277778</v>
      </c>
      <c r="Q2171" s="77" t="s">
        <v>3217</v>
      </c>
      <c r="R2171" s="77">
        <v>0</v>
      </c>
      <c r="S2171" s="77">
        <v>0</v>
      </c>
      <c r="T2171" s="77">
        <v>0</v>
      </c>
      <c r="U2171" s="77">
        <v>0</v>
      </c>
      <c r="V2171" s="77">
        <v>18</v>
      </c>
      <c r="W2171" s="82" t="s">
        <v>5449</v>
      </c>
      <c r="X2171" s="77"/>
      <c r="Y2171" s="77"/>
      <c r="Z2171" s="77"/>
      <c r="AA2171" s="77" t="s">
        <v>7352</v>
      </c>
      <c r="AB2171" s="77" t="s">
        <v>7697</v>
      </c>
      <c r="AC2171" s="82" t="s">
        <v>7708</v>
      </c>
      <c r="AD2171" s="77" t="s">
        <v>7745</v>
      </c>
      <c r="AE2171" s="80" t="str">
        <f>HYPERLINK("https://twitter.com/investimentoob1/status/1673300285052141569")</f>
        <v>https://twitter.com/investimentoob1/status/1673300285052141569</v>
      </c>
      <c r="AF2171" s="79">
        <v>45103.500590277778</v>
      </c>
      <c r="AG2171" s="85">
        <v>45103</v>
      </c>
      <c r="AH2171" s="82" t="s">
        <v>9678</v>
      </c>
      <c r="AI2171" s="77" t="b">
        <v>0</v>
      </c>
      <c r="AJ2171" s="77"/>
      <c r="AK2171" s="77"/>
      <c r="AL2171" s="77"/>
      <c r="AM2171" s="77"/>
      <c r="AN2171" s="77"/>
      <c r="AO2171" s="77"/>
      <c r="AP2171" s="77"/>
      <c r="AQ2171" s="77" t="s">
        <v>11859</v>
      </c>
      <c r="AR2171" s="77">
        <v>11033</v>
      </c>
      <c r="AS2171" s="77"/>
      <c r="AT2171" s="77"/>
      <c r="AU2171" s="77">
        <v>1</v>
      </c>
      <c r="AV2171" s="80" t="str">
        <f>HYPERLINK("https://pbs.twimg.com/ext_tw_video_thumb/1673300261362708482/pu/img/zWB-_moqc9WSWUoK.jpg")</f>
        <v>https://pbs.twimg.com/ext_tw_video_thumb/1673300261362708482/pu/img/zWB-_moqc9WSWUoK.jpg</v>
      </c>
      <c r="AW2171" s="82" t="s">
        <v>14329</v>
      </c>
      <c r="AX2171" s="82" t="s">
        <v>14329</v>
      </c>
      <c r="AY2171" s="77"/>
      <c r="AZ2171" s="82" t="s">
        <v>15804</v>
      </c>
      <c r="BA2171" s="82" t="s">
        <v>15804</v>
      </c>
      <c r="BB2171" s="82" t="s">
        <v>15804</v>
      </c>
      <c r="BC2171" s="82" t="s">
        <v>14329</v>
      </c>
      <c r="BD2171" s="82" t="s">
        <v>16512</v>
      </c>
      <c r="BE2171" s="77"/>
      <c r="BF2171" s="77"/>
      <c r="BG2171" s="77"/>
      <c r="BH2171" s="77"/>
      <c r="BI2171" s="77"/>
    </row>
    <row r="2172" spans="1:61" x14ac:dyDescent="0.25">
      <c r="A2172" s="62" t="s">
        <v>877</v>
      </c>
      <c r="B2172" s="62" t="s">
        <v>877</v>
      </c>
      <c r="C2172" s="63"/>
      <c r="D2172" s="64"/>
      <c r="E2172" s="65"/>
      <c r="F2172" s="66"/>
      <c r="G2172" s="63"/>
      <c r="H2172" s="67"/>
      <c r="I2172" s="68"/>
      <c r="J2172" s="68"/>
      <c r="K2172" s="32"/>
      <c r="L2172" s="75">
        <v>2172</v>
      </c>
      <c r="M2172" s="75"/>
      <c r="N2172" s="70"/>
      <c r="O2172" s="77" t="s">
        <v>179</v>
      </c>
      <c r="P2172" s="79">
        <v>45068.625555555554</v>
      </c>
      <c r="Q2172" s="77" t="s">
        <v>3218</v>
      </c>
      <c r="R2172" s="77">
        <v>0</v>
      </c>
      <c r="S2172" s="77">
        <v>0</v>
      </c>
      <c r="T2172" s="77">
        <v>0</v>
      </c>
      <c r="U2172" s="77">
        <v>0</v>
      </c>
      <c r="V2172" s="77">
        <v>4</v>
      </c>
      <c r="W2172" s="82" t="s">
        <v>5461</v>
      </c>
      <c r="X2172" s="77"/>
      <c r="Y2172" s="77"/>
      <c r="Z2172" s="77"/>
      <c r="AA2172" s="77" t="s">
        <v>7353</v>
      </c>
      <c r="AB2172" s="77" t="s">
        <v>7696</v>
      </c>
      <c r="AC2172" s="82" t="s">
        <v>7708</v>
      </c>
      <c r="AD2172" s="77" t="s">
        <v>7745</v>
      </c>
      <c r="AE2172" s="80" t="str">
        <f>HYPERLINK("https://twitter.com/investimentoob1/status/1660661996499398657")</f>
        <v>https://twitter.com/investimentoob1/status/1660661996499398657</v>
      </c>
      <c r="AF2172" s="79">
        <v>45068.625555555554</v>
      </c>
      <c r="AG2172" s="85">
        <v>45068</v>
      </c>
      <c r="AH2172" s="82" t="s">
        <v>9672</v>
      </c>
      <c r="AI2172" s="77" t="b">
        <v>0</v>
      </c>
      <c r="AJ2172" s="77"/>
      <c r="AK2172" s="77"/>
      <c r="AL2172" s="77"/>
      <c r="AM2172" s="77"/>
      <c r="AN2172" s="77"/>
      <c r="AO2172" s="77"/>
      <c r="AP2172" s="77"/>
      <c r="AQ2172" s="77" t="s">
        <v>11860</v>
      </c>
      <c r="AR2172" s="77"/>
      <c r="AS2172" s="77"/>
      <c r="AT2172" s="77"/>
      <c r="AU2172" s="77"/>
      <c r="AV2172" s="80" t="str">
        <f>HYPERLINK("https://pbs.twimg.com/media/FwvbSQPXoAQwxXC.jpg")</f>
        <v>https://pbs.twimg.com/media/FwvbSQPXoAQwxXC.jpg</v>
      </c>
      <c r="AW2172" s="82" t="s">
        <v>14330</v>
      </c>
      <c r="AX2172" s="82" t="s">
        <v>14330</v>
      </c>
      <c r="AY2172" s="77"/>
      <c r="AZ2172" s="82" t="s">
        <v>15804</v>
      </c>
      <c r="BA2172" s="82" t="s">
        <v>15804</v>
      </c>
      <c r="BB2172" s="82" t="s">
        <v>15804</v>
      </c>
      <c r="BC2172" s="82" t="s">
        <v>14330</v>
      </c>
      <c r="BD2172" s="82" t="s">
        <v>16512</v>
      </c>
      <c r="BE2172" s="77"/>
      <c r="BF2172" s="77"/>
      <c r="BG2172" s="77"/>
      <c r="BH2172" s="77"/>
      <c r="BI2172" s="77"/>
    </row>
    <row r="2173" spans="1:61" x14ac:dyDescent="0.25">
      <c r="A2173" s="62" t="s">
        <v>877</v>
      </c>
      <c r="B2173" s="62" t="s">
        <v>877</v>
      </c>
      <c r="C2173" s="63"/>
      <c r="D2173" s="64"/>
      <c r="E2173" s="65"/>
      <c r="F2173" s="66"/>
      <c r="G2173" s="63"/>
      <c r="H2173" s="67"/>
      <c r="I2173" s="68"/>
      <c r="J2173" s="68"/>
      <c r="K2173" s="32"/>
      <c r="L2173" s="75">
        <v>2173</v>
      </c>
      <c r="M2173" s="75"/>
      <c r="N2173" s="70"/>
      <c r="O2173" s="77" t="s">
        <v>179</v>
      </c>
      <c r="P2173" s="79">
        <v>45119.709027777775</v>
      </c>
      <c r="Q2173" s="77" t="s">
        <v>3219</v>
      </c>
      <c r="R2173" s="77">
        <v>0</v>
      </c>
      <c r="S2173" s="77">
        <v>0</v>
      </c>
      <c r="T2173" s="77">
        <v>0</v>
      </c>
      <c r="U2173" s="77">
        <v>0</v>
      </c>
      <c r="V2173" s="77">
        <v>13</v>
      </c>
      <c r="W2173" s="82" t="s">
        <v>5456</v>
      </c>
      <c r="X2173" s="80" t="str">
        <f>HYPERLINK("https://linktr.ee/investimentoobjetivo")</f>
        <v>https://linktr.ee/investimentoobjetivo</v>
      </c>
      <c r="Y2173" s="77" t="s">
        <v>6052</v>
      </c>
      <c r="Z2173" s="77"/>
      <c r="AA2173" s="77" t="s">
        <v>7354</v>
      </c>
      <c r="AB2173" s="77" t="s">
        <v>7697</v>
      </c>
      <c r="AC2173" s="82" t="s">
        <v>7708</v>
      </c>
      <c r="AD2173" s="77" t="s">
        <v>7745</v>
      </c>
      <c r="AE2173" s="80" t="str">
        <f>HYPERLINK("https://twitter.com/investimentoob1/status/1679174027146043392")</f>
        <v>https://twitter.com/investimentoob1/status/1679174027146043392</v>
      </c>
      <c r="AF2173" s="79">
        <v>45119.709027777775</v>
      </c>
      <c r="AG2173" s="85">
        <v>45119</v>
      </c>
      <c r="AH2173" s="82" t="s">
        <v>9682</v>
      </c>
      <c r="AI2173" s="77" t="b">
        <v>0</v>
      </c>
      <c r="AJ2173" s="77"/>
      <c r="AK2173" s="77"/>
      <c r="AL2173" s="77"/>
      <c r="AM2173" s="77"/>
      <c r="AN2173" s="77"/>
      <c r="AO2173" s="77"/>
      <c r="AP2173" s="77"/>
      <c r="AQ2173" s="77" t="s">
        <v>11861</v>
      </c>
      <c r="AR2173" s="77">
        <v>11000</v>
      </c>
      <c r="AS2173" s="77"/>
      <c r="AT2173" s="77"/>
      <c r="AU2173" s="77">
        <v>2</v>
      </c>
      <c r="AV2173" s="80" t="str">
        <f>HYPERLINK("https://pbs.twimg.com/ext_tw_video_thumb/1679173959516930067/pu/img/ogK_ZRRFnXOYlyAc.jpg")</f>
        <v>https://pbs.twimg.com/ext_tw_video_thumb/1679173959516930067/pu/img/ogK_ZRRFnXOYlyAc.jpg</v>
      </c>
      <c r="AW2173" s="82" t="s">
        <v>14331</v>
      </c>
      <c r="AX2173" s="82" t="s">
        <v>14331</v>
      </c>
      <c r="AY2173" s="77"/>
      <c r="AZ2173" s="82" t="s">
        <v>15804</v>
      </c>
      <c r="BA2173" s="82" t="s">
        <v>15804</v>
      </c>
      <c r="BB2173" s="82" t="s">
        <v>15804</v>
      </c>
      <c r="BC2173" s="82" t="s">
        <v>14331</v>
      </c>
      <c r="BD2173" s="82" t="s">
        <v>16512</v>
      </c>
      <c r="BE2173" s="77"/>
      <c r="BF2173" s="77"/>
      <c r="BG2173" s="77"/>
      <c r="BH2173" s="77"/>
      <c r="BI2173" s="77"/>
    </row>
    <row r="2174" spans="1:61" x14ac:dyDescent="0.25">
      <c r="A2174" s="62" t="s">
        <v>877</v>
      </c>
      <c r="B2174" s="62" t="s">
        <v>877</v>
      </c>
      <c r="C2174" s="63"/>
      <c r="D2174" s="64"/>
      <c r="E2174" s="65"/>
      <c r="F2174" s="66"/>
      <c r="G2174" s="63"/>
      <c r="H2174" s="67"/>
      <c r="I2174" s="68"/>
      <c r="J2174" s="68"/>
      <c r="K2174" s="32"/>
      <c r="L2174" s="75">
        <v>2174</v>
      </c>
      <c r="M2174" s="75"/>
      <c r="N2174" s="70"/>
      <c r="O2174" s="77" t="s">
        <v>179</v>
      </c>
      <c r="P2174" s="79">
        <v>45119.625625000001</v>
      </c>
      <c r="Q2174" s="77" t="s">
        <v>3220</v>
      </c>
      <c r="R2174" s="77">
        <v>0</v>
      </c>
      <c r="S2174" s="77">
        <v>0</v>
      </c>
      <c r="T2174" s="77">
        <v>0</v>
      </c>
      <c r="U2174" s="77">
        <v>0</v>
      </c>
      <c r="V2174" s="77">
        <v>23</v>
      </c>
      <c r="W2174" s="82" t="s">
        <v>5456</v>
      </c>
      <c r="X2174" s="80" t="str">
        <f>HYPERLINK("https://linktr.ee/investimentoobjetivo")</f>
        <v>https://linktr.ee/investimentoobjetivo</v>
      </c>
      <c r="Y2174" s="77" t="s">
        <v>6052</v>
      </c>
      <c r="Z2174" s="77"/>
      <c r="AA2174" s="77" t="s">
        <v>7355</v>
      </c>
      <c r="AB2174" s="77" t="s">
        <v>7697</v>
      </c>
      <c r="AC2174" s="82" t="s">
        <v>7708</v>
      </c>
      <c r="AD2174" s="77" t="s">
        <v>7745</v>
      </c>
      <c r="AE2174" s="80" t="str">
        <f>HYPERLINK("https://twitter.com/investimentoob1/status/1679143802358079489")</f>
        <v>https://twitter.com/investimentoob1/status/1679143802358079489</v>
      </c>
      <c r="AF2174" s="79">
        <v>45119.625625000001</v>
      </c>
      <c r="AG2174" s="85">
        <v>45119</v>
      </c>
      <c r="AH2174" s="82" t="s">
        <v>9692</v>
      </c>
      <c r="AI2174" s="77" t="b">
        <v>0</v>
      </c>
      <c r="AJ2174" s="77"/>
      <c r="AK2174" s="77"/>
      <c r="AL2174" s="77"/>
      <c r="AM2174" s="77"/>
      <c r="AN2174" s="77"/>
      <c r="AO2174" s="77"/>
      <c r="AP2174" s="77"/>
      <c r="AQ2174" s="77" t="s">
        <v>11862</v>
      </c>
      <c r="AR2174" s="77">
        <v>11000</v>
      </c>
      <c r="AS2174" s="77"/>
      <c r="AT2174" s="77"/>
      <c r="AU2174" s="77">
        <v>5</v>
      </c>
      <c r="AV2174" s="80" t="str">
        <f>HYPERLINK("https://pbs.twimg.com/ext_tw_video_thumb/1679143754005897219/pu/img/K4xEMvzywLCwFkbH.jpg")</f>
        <v>https://pbs.twimg.com/ext_tw_video_thumb/1679143754005897219/pu/img/K4xEMvzywLCwFkbH.jpg</v>
      </c>
      <c r="AW2174" s="82" t="s">
        <v>14332</v>
      </c>
      <c r="AX2174" s="82" t="s">
        <v>14332</v>
      </c>
      <c r="AY2174" s="77"/>
      <c r="AZ2174" s="82" t="s">
        <v>15804</v>
      </c>
      <c r="BA2174" s="82" t="s">
        <v>15804</v>
      </c>
      <c r="BB2174" s="82" t="s">
        <v>15804</v>
      </c>
      <c r="BC2174" s="82" t="s">
        <v>14332</v>
      </c>
      <c r="BD2174" s="82" t="s">
        <v>16512</v>
      </c>
      <c r="BE2174" s="77"/>
      <c r="BF2174" s="77"/>
      <c r="BG2174" s="77"/>
      <c r="BH2174" s="77"/>
      <c r="BI2174" s="77"/>
    </row>
    <row r="2175" spans="1:61" x14ac:dyDescent="0.25">
      <c r="A2175" s="62" t="s">
        <v>877</v>
      </c>
      <c r="B2175" s="62" t="s">
        <v>877</v>
      </c>
      <c r="C2175" s="63"/>
      <c r="D2175" s="64"/>
      <c r="E2175" s="65"/>
      <c r="F2175" s="66"/>
      <c r="G2175" s="63"/>
      <c r="H2175" s="67"/>
      <c r="I2175" s="68"/>
      <c r="J2175" s="68"/>
      <c r="K2175" s="32"/>
      <c r="L2175" s="75">
        <v>2175</v>
      </c>
      <c r="M2175" s="75"/>
      <c r="N2175" s="70"/>
      <c r="O2175" s="77" t="s">
        <v>179</v>
      </c>
      <c r="P2175" s="79">
        <v>45119.584027777775</v>
      </c>
      <c r="Q2175" s="77" t="s">
        <v>3221</v>
      </c>
      <c r="R2175" s="77">
        <v>0</v>
      </c>
      <c r="S2175" s="77">
        <v>0</v>
      </c>
      <c r="T2175" s="77">
        <v>0</v>
      </c>
      <c r="U2175" s="77">
        <v>0</v>
      </c>
      <c r="V2175" s="77">
        <v>29</v>
      </c>
      <c r="W2175" s="82" t="s">
        <v>5456</v>
      </c>
      <c r="X2175" s="80" t="str">
        <f>HYPERLINK("https://linktr.ee/investimentoobjetivo")</f>
        <v>https://linktr.ee/investimentoobjetivo</v>
      </c>
      <c r="Y2175" s="77" t="s">
        <v>6052</v>
      </c>
      <c r="Z2175" s="77"/>
      <c r="AA2175" s="77" t="s">
        <v>7356</v>
      </c>
      <c r="AB2175" s="77" t="s">
        <v>7697</v>
      </c>
      <c r="AC2175" s="82" t="s">
        <v>7708</v>
      </c>
      <c r="AD2175" s="77" t="s">
        <v>7745</v>
      </c>
      <c r="AE2175" s="80" t="str">
        <f>HYPERLINK("https://twitter.com/investimentoob1/status/1679128730336206855")</f>
        <v>https://twitter.com/investimentoob1/status/1679128730336206855</v>
      </c>
      <c r="AF2175" s="79">
        <v>45119.584027777775</v>
      </c>
      <c r="AG2175" s="85">
        <v>45119</v>
      </c>
      <c r="AH2175" s="82" t="s">
        <v>9693</v>
      </c>
      <c r="AI2175" s="77" t="b">
        <v>0</v>
      </c>
      <c r="AJ2175" s="77"/>
      <c r="AK2175" s="77"/>
      <c r="AL2175" s="77"/>
      <c r="AM2175" s="77"/>
      <c r="AN2175" s="77"/>
      <c r="AO2175" s="77"/>
      <c r="AP2175" s="77"/>
      <c r="AQ2175" s="77" t="s">
        <v>11863</v>
      </c>
      <c r="AR2175" s="77">
        <v>11000</v>
      </c>
      <c r="AS2175" s="77"/>
      <c r="AT2175" s="77"/>
      <c r="AU2175" s="77">
        <v>4</v>
      </c>
      <c r="AV2175" s="80" t="str">
        <f>HYPERLINK("https://pbs.twimg.com/ext_tw_video_thumb/1679128662292021251/pu/img/cppU97J3pH6C0iut.jpg")</f>
        <v>https://pbs.twimg.com/ext_tw_video_thumb/1679128662292021251/pu/img/cppU97J3pH6C0iut.jpg</v>
      </c>
      <c r="AW2175" s="82" t="s">
        <v>14333</v>
      </c>
      <c r="AX2175" s="82" t="s">
        <v>14333</v>
      </c>
      <c r="AY2175" s="77"/>
      <c r="AZ2175" s="82" t="s">
        <v>15804</v>
      </c>
      <c r="BA2175" s="82" t="s">
        <v>15804</v>
      </c>
      <c r="BB2175" s="82" t="s">
        <v>15804</v>
      </c>
      <c r="BC2175" s="82" t="s">
        <v>14333</v>
      </c>
      <c r="BD2175" s="82" t="s">
        <v>16512</v>
      </c>
      <c r="BE2175" s="77"/>
      <c r="BF2175" s="77"/>
      <c r="BG2175" s="77"/>
      <c r="BH2175" s="77"/>
      <c r="BI2175" s="77"/>
    </row>
    <row r="2176" spans="1:61" x14ac:dyDescent="0.25">
      <c r="A2176" s="62" t="s">
        <v>877</v>
      </c>
      <c r="B2176" s="62" t="s">
        <v>877</v>
      </c>
      <c r="C2176" s="63"/>
      <c r="D2176" s="64"/>
      <c r="E2176" s="65"/>
      <c r="F2176" s="66"/>
      <c r="G2176" s="63"/>
      <c r="H2176" s="67"/>
      <c r="I2176" s="68"/>
      <c r="J2176" s="68"/>
      <c r="K2176" s="32"/>
      <c r="L2176" s="75">
        <v>2176</v>
      </c>
      <c r="M2176" s="75"/>
      <c r="N2176" s="70"/>
      <c r="O2176" s="77" t="s">
        <v>179</v>
      </c>
      <c r="P2176" s="79">
        <v>45119.542395833334</v>
      </c>
      <c r="Q2176" s="77" t="s">
        <v>3222</v>
      </c>
      <c r="R2176" s="77">
        <v>0</v>
      </c>
      <c r="S2176" s="77">
        <v>0</v>
      </c>
      <c r="T2176" s="77">
        <v>0</v>
      </c>
      <c r="U2176" s="77">
        <v>0</v>
      </c>
      <c r="V2176" s="77">
        <v>15</v>
      </c>
      <c r="W2176" s="82" t="s">
        <v>5456</v>
      </c>
      <c r="X2176" s="80" t="str">
        <f>HYPERLINK("https://linktr.ee/investimentoobjetivo")</f>
        <v>https://linktr.ee/investimentoobjetivo</v>
      </c>
      <c r="Y2176" s="77" t="s">
        <v>6052</v>
      </c>
      <c r="Z2176" s="77"/>
      <c r="AA2176" s="77" t="s">
        <v>7357</v>
      </c>
      <c r="AB2176" s="77" t="s">
        <v>7697</v>
      </c>
      <c r="AC2176" s="82" t="s">
        <v>7708</v>
      </c>
      <c r="AD2176" s="77" t="s">
        <v>7745</v>
      </c>
      <c r="AE2176" s="80" t="str">
        <f>HYPERLINK("https://twitter.com/investimentoob1/status/1679113642074054656")</f>
        <v>https://twitter.com/investimentoob1/status/1679113642074054656</v>
      </c>
      <c r="AF2176" s="79">
        <v>45119.542395833334</v>
      </c>
      <c r="AG2176" s="85">
        <v>45119</v>
      </c>
      <c r="AH2176" s="82" t="s">
        <v>9694</v>
      </c>
      <c r="AI2176" s="77" t="b">
        <v>0</v>
      </c>
      <c r="AJ2176" s="77"/>
      <c r="AK2176" s="77"/>
      <c r="AL2176" s="77"/>
      <c r="AM2176" s="77"/>
      <c r="AN2176" s="77"/>
      <c r="AO2176" s="77"/>
      <c r="AP2176" s="77"/>
      <c r="AQ2176" s="77" t="s">
        <v>11864</v>
      </c>
      <c r="AR2176" s="77">
        <v>11000</v>
      </c>
      <c r="AS2176" s="77"/>
      <c r="AT2176" s="77"/>
      <c r="AU2176" s="77">
        <v>0</v>
      </c>
      <c r="AV2176" s="80" t="str">
        <f>HYPERLINK("https://pbs.twimg.com/ext_tw_video_thumb/1679113574025768973/pu/img/pzm3nSvgpO0BWk_h.jpg")</f>
        <v>https://pbs.twimg.com/ext_tw_video_thumb/1679113574025768973/pu/img/pzm3nSvgpO0BWk_h.jpg</v>
      </c>
      <c r="AW2176" s="82" t="s">
        <v>14334</v>
      </c>
      <c r="AX2176" s="82" t="s">
        <v>14334</v>
      </c>
      <c r="AY2176" s="77"/>
      <c r="AZ2176" s="82" t="s">
        <v>15804</v>
      </c>
      <c r="BA2176" s="82" t="s">
        <v>15804</v>
      </c>
      <c r="BB2176" s="82" t="s">
        <v>15804</v>
      </c>
      <c r="BC2176" s="82" t="s">
        <v>14334</v>
      </c>
      <c r="BD2176" s="82" t="s">
        <v>16512</v>
      </c>
      <c r="BE2176" s="77"/>
      <c r="BF2176" s="77"/>
      <c r="BG2176" s="77"/>
      <c r="BH2176" s="77"/>
      <c r="BI2176" s="77"/>
    </row>
    <row r="2177" spans="1:61" x14ac:dyDescent="0.25">
      <c r="A2177" s="62" t="s">
        <v>877</v>
      </c>
      <c r="B2177" s="62" t="s">
        <v>877</v>
      </c>
      <c r="C2177" s="63"/>
      <c r="D2177" s="64"/>
      <c r="E2177" s="65"/>
      <c r="F2177" s="66"/>
      <c r="G2177" s="63"/>
      <c r="H2177" s="67"/>
      <c r="I2177" s="68"/>
      <c r="J2177" s="68"/>
      <c r="K2177" s="32"/>
      <c r="L2177" s="75">
        <v>2177</v>
      </c>
      <c r="M2177" s="75"/>
      <c r="N2177" s="70"/>
      <c r="O2177" s="77" t="s">
        <v>179</v>
      </c>
      <c r="P2177" s="79">
        <v>45118.667280092595</v>
      </c>
      <c r="Q2177" s="77" t="s">
        <v>3223</v>
      </c>
      <c r="R2177" s="77">
        <v>0</v>
      </c>
      <c r="S2177" s="77">
        <v>0</v>
      </c>
      <c r="T2177" s="77">
        <v>0</v>
      </c>
      <c r="U2177" s="77">
        <v>0</v>
      </c>
      <c r="V2177" s="77">
        <v>30</v>
      </c>
      <c r="W2177" s="82" t="s">
        <v>5456</v>
      </c>
      <c r="X2177" s="80" t="str">
        <f>HYPERLINK("https://linktr.ee/investimentoobjetivo")</f>
        <v>https://linktr.ee/investimentoobjetivo</v>
      </c>
      <c r="Y2177" s="77" t="s">
        <v>6052</v>
      </c>
      <c r="Z2177" s="77"/>
      <c r="AA2177" s="77" t="s">
        <v>7358</v>
      </c>
      <c r="AB2177" s="77" t="s">
        <v>7697</v>
      </c>
      <c r="AC2177" s="82" t="s">
        <v>7708</v>
      </c>
      <c r="AD2177" s="77" t="s">
        <v>7745</v>
      </c>
      <c r="AE2177" s="80" t="str">
        <f>HYPERLINK("https://twitter.com/investimentoob1/status/1678796511222591488")</f>
        <v>https://twitter.com/investimentoob1/status/1678796511222591488</v>
      </c>
      <c r="AF2177" s="79">
        <v>45118.667280092595</v>
      </c>
      <c r="AG2177" s="85">
        <v>45118</v>
      </c>
      <c r="AH2177" s="82" t="s">
        <v>9685</v>
      </c>
      <c r="AI2177" s="77" t="b">
        <v>0</v>
      </c>
      <c r="AJ2177" s="77"/>
      <c r="AK2177" s="77"/>
      <c r="AL2177" s="77"/>
      <c r="AM2177" s="77"/>
      <c r="AN2177" s="77"/>
      <c r="AO2177" s="77"/>
      <c r="AP2177" s="77"/>
      <c r="AQ2177" s="77" t="s">
        <v>11865</v>
      </c>
      <c r="AR2177" s="77">
        <v>11000</v>
      </c>
      <c r="AS2177" s="77"/>
      <c r="AT2177" s="77"/>
      <c r="AU2177" s="77">
        <v>11</v>
      </c>
      <c r="AV2177" s="80" t="str">
        <f>HYPERLINK("https://pbs.twimg.com/ext_tw_video_thumb/1678796443182682112/pu/img/vwm-Ht8djM0BP18X.jpg")</f>
        <v>https://pbs.twimg.com/ext_tw_video_thumb/1678796443182682112/pu/img/vwm-Ht8djM0BP18X.jpg</v>
      </c>
      <c r="AW2177" s="82" t="s">
        <v>14335</v>
      </c>
      <c r="AX2177" s="82" t="s">
        <v>14335</v>
      </c>
      <c r="AY2177" s="77"/>
      <c r="AZ2177" s="82" t="s">
        <v>15804</v>
      </c>
      <c r="BA2177" s="82" t="s">
        <v>15804</v>
      </c>
      <c r="BB2177" s="82" t="s">
        <v>15804</v>
      </c>
      <c r="BC2177" s="82" t="s">
        <v>14335</v>
      </c>
      <c r="BD2177" s="82" t="s">
        <v>16512</v>
      </c>
      <c r="BE2177" s="77"/>
      <c r="BF2177" s="77"/>
      <c r="BG2177" s="77"/>
      <c r="BH2177" s="77"/>
      <c r="BI2177" s="77"/>
    </row>
    <row r="2178" spans="1:61" x14ac:dyDescent="0.25">
      <c r="A2178" s="62" t="s">
        <v>877</v>
      </c>
      <c r="B2178" s="62" t="s">
        <v>877</v>
      </c>
      <c r="C2178" s="63"/>
      <c r="D2178" s="64"/>
      <c r="E2178" s="65"/>
      <c r="F2178" s="66"/>
      <c r="G2178" s="63"/>
      <c r="H2178" s="67"/>
      <c r="I2178" s="68"/>
      <c r="J2178" s="68"/>
      <c r="K2178" s="32"/>
      <c r="L2178" s="75">
        <v>2178</v>
      </c>
      <c r="M2178" s="75"/>
      <c r="N2178" s="70"/>
      <c r="O2178" s="77" t="s">
        <v>179</v>
      </c>
      <c r="P2178" s="79">
        <v>45118.625810185185</v>
      </c>
      <c r="Q2178" s="77" t="s">
        <v>3224</v>
      </c>
      <c r="R2178" s="77">
        <v>0</v>
      </c>
      <c r="S2178" s="77">
        <v>0</v>
      </c>
      <c r="T2178" s="77">
        <v>0</v>
      </c>
      <c r="U2178" s="77">
        <v>0</v>
      </c>
      <c r="V2178" s="77">
        <v>31</v>
      </c>
      <c r="W2178" s="82" t="s">
        <v>5456</v>
      </c>
      <c r="X2178" s="80" t="str">
        <f>HYPERLINK("https://linktr.ee/investimentoobjetivo")</f>
        <v>https://linktr.ee/investimentoobjetivo</v>
      </c>
      <c r="Y2178" s="77" t="s">
        <v>6052</v>
      </c>
      <c r="Z2178" s="77"/>
      <c r="AA2178" s="77" t="s">
        <v>7359</v>
      </c>
      <c r="AB2178" s="77" t="s">
        <v>7697</v>
      </c>
      <c r="AC2178" s="82" t="s">
        <v>7708</v>
      </c>
      <c r="AD2178" s="77" t="s">
        <v>7745</v>
      </c>
      <c r="AE2178" s="80" t="str">
        <f>HYPERLINK("https://twitter.com/investimentoob1/status/1678781484407353347")</f>
        <v>https://twitter.com/investimentoob1/status/1678781484407353347</v>
      </c>
      <c r="AF2178" s="79">
        <v>45118.625810185185</v>
      </c>
      <c r="AG2178" s="85">
        <v>45118</v>
      </c>
      <c r="AH2178" s="82" t="s">
        <v>9695</v>
      </c>
      <c r="AI2178" s="77" t="b">
        <v>0</v>
      </c>
      <c r="AJ2178" s="77"/>
      <c r="AK2178" s="77"/>
      <c r="AL2178" s="77"/>
      <c r="AM2178" s="77"/>
      <c r="AN2178" s="77"/>
      <c r="AO2178" s="77"/>
      <c r="AP2178" s="77"/>
      <c r="AQ2178" s="77" t="s">
        <v>11866</v>
      </c>
      <c r="AR2178" s="77">
        <v>11000</v>
      </c>
      <c r="AS2178" s="77"/>
      <c r="AT2178" s="77"/>
      <c r="AU2178" s="77">
        <v>7</v>
      </c>
      <c r="AV2178" s="80" t="str">
        <f>HYPERLINK("https://pbs.twimg.com/ext_tw_video_thumb/1678781386013155329/pu/img/GZjfzm81iINhjmhI.jpg")</f>
        <v>https://pbs.twimg.com/ext_tw_video_thumb/1678781386013155329/pu/img/GZjfzm81iINhjmhI.jpg</v>
      </c>
      <c r="AW2178" s="82" t="s">
        <v>14336</v>
      </c>
      <c r="AX2178" s="82" t="s">
        <v>14336</v>
      </c>
      <c r="AY2178" s="77"/>
      <c r="AZ2178" s="82" t="s">
        <v>15804</v>
      </c>
      <c r="BA2178" s="82" t="s">
        <v>15804</v>
      </c>
      <c r="BB2178" s="82" t="s">
        <v>15804</v>
      </c>
      <c r="BC2178" s="82" t="s">
        <v>14336</v>
      </c>
      <c r="BD2178" s="82" t="s">
        <v>16512</v>
      </c>
      <c r="BE2178" s="77"/>
      <c r="BF2178" s="77"/>
      <c r="BG2178" s="77"/>
      <c r="BH2178" s="77"/>
      <c r="BI2178" s="77"/>
    </row>
    <row r="2179" spans="1:61" x14ac:dyDescent="0.25">
      <c r="A2179" s="62" t="s">
        <v>877</v>
      </c>
      <c r="B2179" s="62" t="s">
        <v>877</v>
      </c>
      <c r="C2179" s="63"/>
      <c r="D2179" s="64"/>
      <c r="E2179" s="65"/>
      <c r="F2179" s="66"/>
      <c r="G2179" s="63"/>
      <c r="H2179" s="67"/>
      <c r="I2179" s="68"/>
      <c r="J2179" s="68"/>
      <c r="K2179" s="32"/>
      <c r="L2179" s="75">
        <v>2179</v>
      </c>
      <c r="M2179" s="75"/>
      <c r="N2179" s="70"/>
      <c r="O2179" s="77" t="s">
        <v>179</v>
      </c>
      <c r="P2179" s="79">
        <v>45118.542361111111</v>
      </c>
      <c r="Q2179" s="77" t="s">
        <v>3225</v>
      </c>
      <c r="R2179" s="77">
        <v>0</v>
      </c>
      <c r="S2179" s="77">
        <v>0</v>
      </c>
      <c r="T2179" s="77">
        <v>0</v>
      </c>
      <c r="U2179" s="77">
        <v>0</v>
      </c>
      <c r="V2179" s="77">
        <v>29</v>
      </c>
      <c r="W2179" s="82" t="s">
        <v>5456</v>
      </c>
      <c r="X2179" s="80" t="str">
        <f>HYPERLINK("https://linktr.ee/investimentoobjetivo")</f>
        <v>https://linktr.ee/investimentoobjetivo</v>
      </c>
      <c r="Y2179" s="77" t="s">
        <v>6052</v>
      </c>
      <c r="Z2179" s="77"/>
      <c r="AA2179" s="77" t="s">
        <v>7360</v>
      </c>
      <c r="AB2179" s="77" t="s">
        <v>7697</v>
      </c>
      <c r="AC2179" s="82" t="s">
        <v>7708</v>
      </c>
      <c r="AD2179" s="77" t="s">
        <v>7745</v>
      </c>
      <c r="AE2179" s="80" t="str">
        <f>HYPERLINK("https://twitter.com/investimentoob1/status/1678751241663283200")</f>
        <v>https://twitter.com/investimentoob1/status/1678751241663283200</v>
      </c>
      <c r="AF2179" s="79">
        <v>45118.542361111111</v>
      </c>
      <c r="AG2179" s="85">
        <v>45118</v>
      </c>
      <c r="AH2179" s="82" t="s">
        <v>9687</v>
      </c>
      <c r="AI2179" s="77" t="b">
        <v>0</v>
      </c>
      <c r="AJ2179" s="77"/>
      <c r="AK2179" s="77"/>
      <c r="AL2179" s="77"/>
      <c r="AM2179" s="77"/>
      <c r="AN2179" s="77"/>
      <c r="AO2179" s="77"/>
      <c r="AP2179" s="77"/>
      <c r="AQ2179" s="77" t="s">
        <v>11867</v>
      </c>
      <c r="AR2179" s="77">
        <v>11000</v>
      </c>
      <c r="AS2179" s="77"/>
      <c r="AT2179" s="77"/>
      <c r="AU2179" s="77">
        <v>8</v>
      </c>
      <c r="AV2179" s="80" t="str">
        <f>HYPERLINK("https://pbs.twimg.com/ext_tw_video_thumb/1678751173753425920/pu/img/OO742CjF_OTvdcQv.jpg")</f>
        <v>https://pbs.twimg.com/ext_tw_video_thumb/1678751173753425920/pu/img/OO742CjF_OTvdcQv.jpg</v>
      </c>
      <c r="AW2179" s="82" t="s">
        <v>14337</v>
      </c>
      <c r="AX2179" s="82" t="s">
        <v>14337</v>
      </c>
      <c r="AY2179" s="77"/>
      <c r="AZ2179" s="82" t="s">
        <v>15804</v>
      </c>
      <c r="BA2179" s="82" t="s">
        <v>15804</v>
      </c>
      <c r="BB2179" s="82" t="s">
        <v>15804</v>
      </c>
      <c r="BC2179" s="82" t="s">
        <v>14337</v>
      </c>
      <c r="BD2179" s="82" t="s">
        <v>16512</v>
      </c>
      <c r="BE2179" s="77"/>
      <c r="BF2179" s="77"/>
      <c r="BG2179" s="77"/>
      <c r="BH2179" s="77"/>
      <c r="BI2179" s="77"/>
    </row>
    <row r="2180" spans="1:61" x14ac:dyDescent="0.25">
      <c r="A2180" s="62" t="s">
        <v>877</v>
      </c>
      <c r="B2180" s="62" t="s">
        <v>877</v>
      </c>
      <c r="C2180" s="63"/>
      <c r="D2180" s="64"/>
      <c r="E2180" s="65"/>
      <c r="F2180" s="66"/>
      <c r="G2180" s="63"/>
      <c r="H2180" s="67"/>
      <c r="I2180" s="68"/>
      <c r="J2180" s="68"/>
      <c r="K2180" s="32"/>
      <c r="L2180" s="75">
        <v>2180</v>
      </c>
      <c r="M2180" s="75"/>
      <c r="N2180" s="70"/>
      <c r="O2180" s="77" t="s">
        <v>179</v>
      </c>
      <c r="P2180" s="79">
        <v>45102.875578703701</v>
      </c>
      <c r="Q2180" s="77" t="s">
        <v>3226</v>
      </c>
      <c r="R2180" s="77">
        <v>0</v>
      </c>
      <c r="S2180" s="77">
        <v>0</v>
      </c>
      <c r="T2180" s="77">
        <v>0</v>
      </c>
      <c r="U2180" s="77">
        <v>0</v>
      </c>
      <c r="V2180" s="77">
        <v>29</v>
      </c>
      <c r="W2180" s="82" t="s">
        <v>5460</v>
      </c>
      <c r="X2180" s="77"/>
      <c r="Y2180" s="77"/>
      <c r="Z2180" s="77"/>
      <c r="AA2180" s="77" t="s">
        <v>7361</v>
      </c>
      <c r="AB2180" s="77" t="s">
        <v>7697</v>
      </c>
      <c r="AC2180" s="82" t="s">
        <v>7708</v>
      </c>
      <c r="AD2180" s="77" t="s">
        <v>7745</v>
      </c>
      <c r="AE2180" s="80" t="str">
        <f>HYPERLINK("https://twitter.com/investimentoob1/status/1673073791906226183")</f>
        <v>https://twitter.com/investimentoob1/status/1673073791906226183</v>
      </c>
      <c r="AF2180" s="79">
        <v>45102.875578703701</v>
      </c>
      <c r="AG2180" s="85">
        <v>45102</v>
      </c>
      <c r="AH2180" s="82" t="s">
        <v>9696</v>
      </c>
      <c r="AI2180" s="77" t="b">
        <v>0</v>
      </c>
      <c r="AJ2180" s="77"/>
      <c r="AK2180" s="77"/>
      <c r="AL2180" s="77"/>
      <c r="AM2180" s="77"/>
      <c r="AN2180" s="77"/>
      <c r="AO2180" s="77"/>
      <c r="AP2180" s="77"/>
      <c r="AQ2180" s="77" t="s">
        <v>11868</v>
      </c>
      <c r="AR2180" s="77">
        <v>11033</v>
      </c>
      <c r="AS2180" s="77"/>
      <c r="AT2180" s="77"/>
      <c r="AU2180" s="77">
        <v>5</v>
      </c>
      <c r="AV2180" s="80" t="str">
        <f>HYPERLINK("https://pbs.twimg.com/ext_tw_video_thumb/1673073768242053124/pu/img/Yh8SyPYEeyfmYZBw.jpg")</f>
        <v>https://pbs.twimg.com/ext_tw_video_thumb/1673073768242053124/pu/img/Yh8SyPYEeyfmYZBw.jpg</v>
      </c>
      <c r="AW2180" s="82" t="s">
        <v>14338</v>
      </c>
      <c r="AX2180" s="82" t="s">
        <v>14338</v>
      </c>
      <c r="AY2180" s="77"/>
      <c r="AZ2180" s="82" t="s">
        <v>15804</v>
      </c>
      <c r="BA2180" s="82" t="s">
        <v>15804</v>
      </c>
      <c r="BB2180" s="82" t="s">
        <v>15804</v>
      </c>
      <c r="BC2180" s="82" t="s">
        <v>14338</v>
      </c>
      <c r="BD2180" s="82" t="s">
        <v>16512</v>
      </c>
      <c r="BE2180" s="77"/>
      <c r="BF2180" s="77"/>
      <c r="BG2180" s="77"/>
      <c r="BH2180" s="77"/>
      <c r="BI2180" s="77"/>
    </row>
    <row r="2181" spans="1:61" x14ac:dyDescent="0.25">
      <c r="A2181" s="62" t="s">
        <v>877</v>
      </c>
      <c r="B2181" s="62" t="s">
        <v>877</v>
      </c>
      <c r="C2181" s="63"/>
      <c r="D2181" s="64"/>
      <c r="E2181" s="65"/>
      <c r="F2181" s="66"/>
      <c r="G2181" s="63"/>
      <c r="H2181" s="67"/>
      <c r="I2181" s="68"/>
      <c r="J2181" s="68"/>
      <c r="K2181" s="32"/>
      <c r="L2181" s="75">
        <v>2181</v>
      </c>
      <c r="M2181" s="75"/>
      <c r="N2181" s="70"/>
      <c r="O2181" s="77" t="s">
        <v>179</v>
      </c>
      <c r="P2181" s="79">
        <v>45102.542291666665</v>
      </c>
      <c r="Q2181" s="77" t="s">
        <v>3227</v>
      </c>
      <c r="R2181" s="77">
        <v>0</v>
      </c>
      <c r="S2181" s="77">
        <v>0</v>
      </c>
      <c r="T2181" s="77">
        <v>0</v>
      </c>
      <c r="U2181" s="77">
        <v>0</v>
      </c>
      <c r="V2181" s="77">
        <v>12</v>
      </c>
      <c r="W2181" s="82" t="s">
        <v>5457</v>
      </c>
      <c r="X2181" s="77"/>
      <c r="Y2181" s="77"/>
      <c r="Z2181" s="77"/>
      <c r="AA2181" s="77" t="s">
        <v>7362</v>
      </c>
      <c r="AB2181" s="77" t="s">
        <v>7697</v>
      </c>
      <c r="AC2181" s="82" t="s">
        <v>7708</v>
      </c>
      <c r="AD2181" s="77" t="s">
        <v>7745</v>
      </c>
      <c r="AE2181" s="80" t="str">
        <f>HYPERLINK("https://twitter.com/investimentoob1/status/1672953012728262657")</f>
        <v>https://twitter.com/investimentoob1/status/1672953012728262657</v>
      </c>
      <c r="AF2181" s="79">
        <v>45102.542291666665</v>
      </c>
      <c r="AG2181" s="85">
        <v>45102</v>
      </c>
      <c r="AH2181" s="82" t="s">
        <v>9697</v>
      </c>
      <c r="AI2181" s="77" t="b">
        <v>0</v>
      </c>
      <c r="AJ2181" s="77"/>
      <c r="AK2181" s="77"/>
      <c r="AL2181" s="77"/>
      <c r="AM2181" s="77"/>
      <c r="AN2181" s="77"/>
      <c r="AO2181" s="77"/>
      <c r="AP2181" s="77"/>
      <c r="AQ2181" s="77" t="s">
        <v>11869</v>
      </c>
      <c r="AR2181" s="77">
        <v>11033</v>
      </c>
      <c r="AS2181" s="77"/>
      <c r="AT2181" s="77"/>
      <c r="AU2181" s="77">
        <v>2</v>
      </c>
      <c r="AV2181" s="80" t="str">
        <f>HYPERLINK("https://pbs.twimg.com/ext_tw_video_thumb/1672952989605142539/pu/img/wepS9MmnSFTYw3og.jpg")</f>
        <v>https://pbs.twimg.com/ext_tw_video_thumb/1672952989605142539/pu/img/wepS9MmnSFTYw3og.jpg</v>
      </c>
      <c r="AW2181" s="82" t="s">
        <v>14339</v>
      </c>
      <c r="AX2181" s="82" t="s">
        <v>14339</v>
      </c>
      <c r="AY2181" s="77"/>
      <c r="AZ2181" s="82" t="s">
        <v>15804</v>
      </c>
      <c r="BA2181" s="82" t="s">
        <v>15804</v>
      </c>
      <c r="BB2181" s="82" t="s">
        <v>15804</v>
      </c>
      <c r="BC2181" s="82" t="s">
        <v>14339</v>
      </c>
      <c r="BD2181" s="82" t="s">
        <v>16512</v>
      </c>
      <c r="BE2181" s="77"/>
      <c r="BF2181" s="77"/>
      <c r="BG2181" s="77"/>
      <c r="BH2181" s="77"/>
      <c r="BI2181" s="77"/>
    </row>
    <row r="2182" spans="1:61" x14ac:dyDescent="0.25">
      <c r="A2182" s="62" t="s">
        <v>877</v>
      </c>
      <c r="B2182" s="62" t="s">
        <v>877</v>
      </c>
      <c r="C2182" s="63"/>
      <c r="D2182" s="64"/>
      <c r="E2182" s="65"/>
      <c r="F2182" s="66"/>
      <c r="G2182" s="63"/>
      <c r="H2182" s="67"/>
      <c r="I2182" s="68"/>
      <c r="J2182" s="68"/>
      <c r="K2182" s="32"/>
      <c r="L2182" s="75">
        <v>2182</v>
      </c>
      <c r="M2182" s="75"/>
      <c r="N2182" s="70"/>
      <c r="O2182" s="77" t="s">
        <v>179</v>
      </c>
      <c r="P2182" s="79">
        <v>45102.458935185183</v>
      </c>
      <c r="Q2182" s="77" t="s">
        <v>3228</v>
      </c>
      <c r="R2182" s="77">
        <v>0</v>
      </c>
      <c r="S2182" s="77">
        <v>0</v>
      </c>
      <c r="T2182" s="77">
        <v>0</v>
      </c>
      <c r="U2182" s="77">
        <v>0</v>
      </c>
      <c r="V2182" s="77">
        <v>19</v>
      </c>
      <c r="W2182" s="82" t="s">
        <v>5449</v>
      </c>
      <c r="X2182" s="77"/>
      <c r="Y2182" s="77"/>
      <c r="Z2182" s="77"/>
      <c r="AA2182" s="77" t="s">
        <v>7363</v>
      </c>
      <c r="AB2182" s="77" t="s">
        <v>7697</v>
      </c>
      <c r="AC2182" s="82" t="s">
        <v>7708</v>
      </c>
      <c r="AD2182" s="77" t="s">
        <v>7745</v>
      </c>
      <c r="AE2182" s="80" t="str">
        <f>HYPERLINK("https://twitter.com/investimentoob1/status/1672922805137022978")</f>
        <v>https://twitter.com/investimentoob1/status/1672922805137022978</v>
      </c>
      <c r="AF2182" s="79">
        <v>45102.458935185183</v>
      </c>
      <c r="AG2182" s="85">
        <v>45102</v>
      </c>
      <c r="AH2182" s="82" t="s">
        <v>9698</v>
      </c>
      <c r="AI2182" s="77" t="b">
        <v>0</v>
      </c>
      <c r="AJ2182" s="77"/>
      <c r="AK2182" s="77"/>
      <c r="AL2182" s="77"/>
      <c r="AM2182" s="77"/>
      <c r="AN2182" s="77"/>
      <c r="AO2182" s="77"/>
      <c r="AP2182" s="77"/>
      <c r="AQ2182" s="77" t="s">
        <v>11870</v>
      </c>
      <c r="AR2182" s="77">
        <v>11033</v>
      </c>
      <c r="AS2182" s="77"/>
      <c r="AT2182" s="77"/>
      <c r="AU2182" s="77">
        <v>1</v>
      </c>
      <c r="AV2182" s="80" t="str">
        <f>HYPERLINK("https://pbs.twimg.com/ext_tw_video_thumb/1672922781669810178/pu/img/rV1uK8iVRzKh-TbB.jpg")</f>
        <v>https://pbs.twimg.com/ext_tw_video_thumb/1672922781669810178/pu/img/rV1uK8iVRzKh-TbB.jpg</v>
      </c>
      <c r="AW2182" s="82" t="s">
        <v>14340</v>
      </c>
      <c r="AX2182" s="82" t="s">
        <v>14340</v>
      </c>
      <c r="AY2182" s="77"/>
      <c r="AZ2182" s="82" t="s">
        <v>15804</v>
      </c>
      <c r="BA2182" s="82" t="s">
        <v>15804</v>
      </c>
      <c r="BB2182" s="82" t="s">
        <v>15804</v>
      </c>
      <c r="BC2182" s="82" t="s">
        <v>14340</v>
      </c>
      <c r="BD2182" s="82" t="s">
        <v>16512</v>
      </c>
      <c r="BE2182" s="77"/>
      <c r="BF2182" s="77"/>
      <c r="BG2182" s="77"/>
      <c r="BH2182" s="77"/>
      <c r="BI2182" s="77"/>
    </row>
    <row r="2183" spans="1:61" x14ac:dyDescent="0.25">
      <c r="A2183" s="62" t="s">
        <v>877</v>
      </c>
      <c r="B2183" s="62" t="s">
        <v>877</v>
      </c>
      <c r="C2183" s="63"/>
      <c r="D2183" s="64"/>
      <c r="E2183" s="65"/>
      <c r="F2183" s="66"/>
      <c r="G2183" s="63"/>
      <c r="H2183" s="67"/>
      <c r="I2183" s="68"/>
      <c r="J2183" s="68"/>
      <c r="K2183" s="32"/>
      <c r="L2183" s="75">
        <v>2183</v>
      </c>
      <c r="M2183" s="75"/>
      <c r="N2183" s="70"/>
      <c r="O2183" s="77" t="s">
        <v>179</v>
      </c>
      <c r="P2183" s="79">
        <v>45101.500497685185</v>
      </c>
      <c r="Q2183" s="77" t="s">
        <v>3229</v>
      </c>
      <c r="R2183" s="77">
        <v>0</v>
      </c>
      <c r="S2183" s="77">
        <v>0</v>
      </c>
      <c r="T2183" s="77">
        <v>0</v>
      </c>
      <c r="U2183" s="77">
        <v>0</v>
      </c>
      <c r="V2183" s="77">
        <v>23</v>
      </c>
      <c r="W2183" s="82" t="s">
        <v>5449</v>
      </c>
      <c r="X2183" s="77"/>
      <c r="Y2183" s="77"/>
      <c r="Z2183" s="77"/>
      <c r="AA2183" s="77" t="s">
        <v>7364</v>
      </c>
      <c r="AB2183" s="77" t="s">
        <v>7697</v>
      </c>
      <c r="AC2183" s="82" t="s">
        <v>7708</v>
      </c>
      <c r="AD2183" s="77" t="s">
        <v>7745</v>
      </c>
      <c r="AE2183" s="80" t="str">
        <f>HYPERLINK("https://twitter.com/investimentoob1/status/1672575479281229826")</f>
        <v>https://twitter.com/investimentoob1/status/1672575479281229826</v>
      </c>
      <c r="AF2183" s="79">
        <v>45101.500497685185</v>
      </c>
      <c r="AG2183" s="85">
        <v>45101</v>
      </c>
      <c r="AH2183" s="82" t="s">
        <v>8974</v>
      </c>
      <c r="AI2183" s="77" t="b">
        <v>0</v>
      </c>
      <c r="AJ2183" s="77"/>
      <c r="AK2183" s="77"/>
      <c r="AL2183" s="77"/>
      <c r="AM2183" s="77"/>
      <c r="AN2183" s="77"/>
      <c r="AO2183" s="77"/>
      <c r="AP2183" s="77"/>
      <c r="AQ2183" s="77" t="s">
        <v>11871</v>
      </c>
      <c r="AR2183" s="77">
        <v>11033</v>
      </c>
      <c r="AS2183" s="77"/>
      <c r="AT2183" s="77"/>
      <c r="AU2183" s="77">
        <v>3</v>
      </c>
      <c r="AV2183" s="80" t="str">
        <f>HYPERLINK("https://pbs.twimg.com/ext_tw_video_thumb/1672575456413974528/pu/img/C12kv4FudRHMF_tn.jpg")</f>
        <v>https://pbs.twimg.com/ext_tw_video_thumb/1672575456413974528/pu/img/C12kv4FudRHMF_tn.jpg</v>
      </c>
      <c r="AW2183" s="82" t="s">
        <v>14341</v>
      </c>
      <c r="AX2183" s="82" t="s">
        <v>14341</v>
      </c>
      <c r="AY2183" s="77"/>
      <c r="AZ2183" s="82" t="s">
        <v>15804</v>
      </c>
      <c r="BA2183" s="82" t="s">
        <v>15804</v>
      </c>
      <c r="BB2183" s="82" t="s">
        <v>15804</v>
      </c>
      <c r="BC2183" s="82" t="s">
        <v>14341</v>
      </c>
      <c r="BD2183" s="82" t="s">
        <v>16512</v>
      </c>
      <c r="BE2183" s="77"/>
      <c r="BF2183" s="77"/>
      <c r="BG2183" s="77"/>
      <c r="BH2183" s="77"/>
      <c r="BI2183" s="77"/>
    </row>
    <row r="2184" spans="1:61" x14ac:dyDescent="0.25">
      <c r="A2184" s="62" t="s">
        <v>877</v>
      </c>
      <c r="B2184" s="62" t="s">
        <v>877</v>
      </c>
      <c r="C2184" s="63"/>
      <c r="D2184" s="64"/>
      <c r="E2184" s="65"/>
      <c r="F2184" s="66"/>
      <c r="G2184" s="63"/>
      <c r="H2184" s="67"/>
      <c r="I2184" s="68"/>
      <c r="J2184" s="68"/>
      <c r="K2184" s="32"/>
      <c r="L2184" s="75">
        <v>2184</v>
      </c>
      <c r="M2184" s="75"/>
      <c r="N2184" s="70"/>
      <c r="O2184" s="77" t="s">
        <v>179</v>
      </c>
      <c r="P2184" s="79">
        <v>45051.750578703701</v>
      </c>
      <c r="Q2184" s="77" t="s">
        <v>3230</v>
      </c>
      <c r="R2184" s="77">
        <v>0</v>
      </c>
      <c r="S2184" s="77">
        <v>0</v>
      </c>
      <c r="T2184" s="77">
        <v>0</v>
      </c>
      <c r="U2184" s="77">
        <v>0</v>
      </c>
      <c r="V2184" s="77">
        <v>30</v>
      </c>
      <c r="W2184" s="82" t="s">
        <v>5462</v>
      </c>
      <c r="X2184" s="77"/>
      <c r="Y2184" s="77"/>
      <c r="Z2184" s="77"/>
      <c r="AA2184" s="77" t="s">
        <v>7365</v>
      </c>
      <c r="AB2184" s="77" t="s">
        <v>7697</v>
      </c>
      <c r="AC2184" s="82" t="s">
        <v>7708</v>
      </c>
      <c r="AD2184" s="77" t="s">
        <v>7745</v>
      </c>
      <c r="AE2184" s="80" t="str">
        <f>HYPERLINK("https://twitter.com/investimentoob1/status/1654546712583626753")</f>
        <v>https://twitter.com/investimentoob1/status/1654546712583626753</v>
      </c>
      <c r="AF2184" s="79">
        <v>45051.750578703701</v>
      </c>
      <c r="AG2184" s="85">
        <v>45051</v>
      </c>
      <c r="AH2184" s="82" t="s">
        <v>9699</v>
      </c>
      <c r="AI2184" s="77" t="b">
        <v>0</v>
      </c>
      <c r="AJ2184" s="77"/>
      <c r="AK2184" s="77"/>
      <c r="AL2184" s="77"/>
      <c r="AM2184" s="77"/>
      <c r="AN2184" s="77"/>
      <c r="AO2184" s="77"/>
      <c r="AP2184" s="77"/>
      <c r="AQ2184" s="77" t="s">
        <v>11872</v>
      </c>
      <c r="AR2184" s="77">
        <v>41103</v>
      </c>
      <c r="AS2184" s="77"/>
      <c r="AT2184" s="77"/>
      <c r="AU2184" s="77">
        <v>6</v>
      </c>
      <c r="AV2184" s="80" t="str">
        <f>HYPERLINK("https://pbs.twimg.com/ext_tw_video_thumb/1654546686851653632/pu/img/hDPmLO-u3e2XQR8L.jpg")</f>
        <v>https://pbs.twimg.com/ext_tw_video_thumb/1654546686851653632/pu/img/hDPmLO-u3e2XQR8L.jpg</v>
      </c>
      <c r="AW2184" s="82" t="s">
        <v>14342</v>
      </c>
      <c r="AX2184" s="82" t="s">
        <v>14342</v>
      </c>
      <c r="AY2184" s="77"/>
      <c r="AZ2184" s="82" t="s">
        <v>15804</v>
      </c>
      <c r="BA2184" s="82" t="s">
        <v>15804</v>
      </c>
      <c r="BB2184" s="82" t="s">
        <v>15804</v>
      </c>
      <c r="BC2184" s="82" t="s">
        <v>14342</v>
      </c>
      <c r="BD2184" s="82" t="s">
        <v>16512</v>
      </c>
      <c r="BE2184" s="77"/>
      <c r="BF2184" s="77"/>
      <c r="BG2184" s="77"/>
      <c r="BH2184" s="77"/>
      <c r="BI2184" s="77"/>
    </row>
    <row r="2185" spans="1:61" x14ac:dyDescent="0.25">
      <c r="A2185" s="62" t="s">
        <v>877</v>
      </c>
      <c r="B2185" s="62" t="s">
        <v>877</v>
      </c>
      <c r="C2185" s="63"/>
      <c r="D2185" s="64"/>
      <c r="E2185" s="65"/>
      <c r="F2185" s="66"/>
      <c r="G2185" s="63"/>
      <c r="H2185" s="67"/>
      <c r="I2185" s="68"/>
      <c r="J2185" s="68"/>
      <c r="K2185" s="32"/>
      <c r="L2185" s="75">
        <v>2185</v>
      </c>
      <c r="M2185" s="75"/>
      <c r="N2185" s="70"/>
      <c r="O2185" s="77" t="s">
        <v>179</v>
      </c>
      <c r="P2185" s="79">
        <v>45117.709097222221</v>
      </c>
      <c r="Q2185" s="77" t="s">
        <v>3231</v>
      </c>
      <c r="R2185" s="77">
        <v>0</v>
      </c>
      <c r="S2185" s="77">
        <v>0</v>
      </c>
      <c r="T2185" s="77">
        <v>0</v>
      </c>
      <c r="U2185" s="77">
        <v>0</v>
      </c>
      <c r="V2185" s="77">
        <v>21</v>
      </c>
      <c r="W2185" s="82" t="s">
        <v>5456</v>
      </c>
      <c r="X2185" s="80" t="str">
        <f>HYPERLINK("https://linktr.ee/investimentoobjetivo")</f>
        <v>https://linktr.ee/investimentoobjetivo</v>
      </c>
      <c r="Y2185" s="77" t="s">
        <v>6052</v>
      </c>
      <c r="Z2185" s="77"/>
      <c r="AA2185" s="77" t="s">
        <v>7366</v>
      </c>
      <c r="AB2185" s="77" t="s">
        <v>7697</v>
      </c>
      <c r="AC2185" s="82" t="s">
        <v>7708</v>
      </c>
      <c r="AD2185" s="77" t="s">
        <v>7745</v>
      </c>
      <c r="AE2185" s="80" t="str">
        <f>HYPERLINK("https://twitter.com/investimentoob1/status/1678449277067042832")</f>
        <v>https://twitter.com/investimentoob1/status/1678449277067042832</v>
      </c>
      <c r="AF2185" s="79">
        <v>45117.709097222221</v>
      </c>
      <c r="AG2185" s="85">
        <v>45117</v>
      </c>
      <c r="AH2185" s="82" t="s">
        <v>9700</v>
      </c>
      <c r="AI2185" s="77" t="b">
        <v>0</v>
      </c>
      <c r="AJ2185" s="77"/>
      <c r="AK2185" s="77"/>
      <c r="AL2185" s="77"/>
      <c r="AM2185" s="77"/>
      <c r="AN2185" s="77"/>
      <c r="AO2185" s="77"/>
      <c r="AP2185" s="77"/>
      <c r="AQ2185" s="77" t="s">
        <v>11873</v>
      </c>
      <c r="AR2185" s="77">
        <v>11000</v>
      </c>
      <c r="AS2185" s="77"/>
      <c r="AT2185" s="77"/>
      <c r="AU2185" s="77">
        <v>5</v>
      </c>
      <c r="AV2185" s="80" t="str">
        <f>HYPERLINK("https://pbs.twimg.com/ext_tw_video_thumb/1678449160519917568/pu/img/lRFPh_tsKRTnkKxn.jpg")</f>
        <v>https://pbs.twimg.com/ext_tw_video_thumb/1678449160519917568/pu/img/lRFPh_tsKRTnkKxn.jpg</v>
      </c>
      <c r="AW2185" s="82" t="s">
        <v>14343</v>
      </c>
      <c r="AX2185" s="82" t="s">
        <v>14343</v>
      </c>
      <c r="AY2185" s="77"/>
      <c r="AZ2185" s="82" t="s">
        <v>15804</v>
      </c>
      <c r="BA2185" s="82" t="s">
        <v>15804</v>
      </c>
      <c r="BB2185" s="82" t="s">
        <v>15804</v>
      </c>
      <c r="BC2185" s="82" t="s">
        <v>14343</v>
      </c>
      <c r="BD2185" s="82" t="s">
        <v>16512</v>
      </c>
      <c r="BE2185" s="77"/>
      <c r="BF2185" s="77"/>
      <c r="BG2185" s="77"/>
      <c r="BH2185" s="77"/>
      <c r="BI2185" s="77"/>
    </row>
    <row r="2186" spans="1:61" x14ac:dyDescent="0.25">
      <c r="A2186" s="62" t="s">
        <v>877</v>
      </c>
      <c r="B2186" s="62" t="s">
        <v>877</v>
      </c>
      <c r="C2186" s="63"/>
      <c r="D2186" s="64"/>
      <c r="E2186" s="65"/>
      <c r="F2186" s="66"/>
      <c r="G2186" s="63"/>
      <c r="H2186" s="67"/>
      <c r="I2186" s="68"/>
      <c r="J2186" s="68"/>
      <c r="K2186" s="32"/>
      <c r="L2186" s="75">
        <v>2186</v>
      </c>
      <c r="M2186" s="75"/>
      <c r="N2186" s="70"/>
      <c r="O2186" s="77" t="s">
        <v>179</v>
      </c>
      <c r="P2186" s="79">
        <v>45117.667372685188</v>
      </c>
      <c r="Q2186" s="77" t="s">
        <v>3232</v>
      </c>
      <c r="R2186" s="77">
        <v>0</v>
      </c>
      <c r="S2186" s="77">
        <v>0</v>
      </c>
      <c r="T2186" s="77">
        <v>0</v>
      </c>
      <c r="U2186" s="77">
        <v>0</v>
      </c>
      <c r="V2186" s="77">
        <v>19</v>
      </c>
      <c r="W2186" s="82" t="s">
        <v>5456</v>
      </c>
      <c r="X2186" s="80" t="str">
        <f>HYPERLINK("https://linktr.ee/investimentoobjetivo")</f>
        <v>https://linktr.ee/investimentoobjetivo</v>
      </c>
      <c r="Y2186" s="77" t="s">
        <v>6052</v>
      </c>
      <c r="Z2186" s="77"/>
      <c r="AA2186" s="77" t="s">
        <v>7367</v>
      </c>
      <c r="AB2186" s="77" t="s">
        <v>7697</v>
      </c>
      <c r="AC2186" s="82" t="s">
        <v>7708</v>
      </c>
      <c r="AD2186" s="77" t="s">
        <v>7745</v>
      </c>
      <c r="AE2186" s="80" t="str">
        <f>HYPERLINK("https://twitter.com/investimentoob1/status/1678434156663980035")</f>
        <v>https://twitter.com/investimentoob1/status/1678434156663980035</v>
      </c>
      <c r="AF2186" s="79">
        <v>45117.667372685188</v>
      </c>
      <c r="AG2186" s="85">
        <v>45117</v>
      </c>
      <c r="AH2186" s="82" t="s">
        <v>9701</v>
      </c>
      <c r="AI2186" s="77" t="b">
        <v>0</v>
      </c>
      <c r="AJ2186" s="77"/>
      <c r="AK2186" s="77"/>
      <c r="AL2186" s="77"/>
      <c r="AM2186" s="77"/>
      <c r="AN2186" s="77"/>
      <c r="AO2186" s="77"/>
      <c r="AP2186" s="77"/>
      <c r="AQ2186" s="77" t="s">
        <v>11874</v>
      </c>
      <c r="AR2186" s="77">
        <v>11000</v>
      </c>
      <c r="AS2186" s="77"/>
      <c r="AT2186" s="77"/>
      <c r="AU2186" s="77">
        <v>3</v>
      </c>
      <c r="AV2186" s="80" t="str">
        <f>HYPERLINK("https://pbs.twimg.com/ext_tw_video_thumb/1678434088024244224/pu/img/h17YnJSyNvRMkM4D.jpg")</f>
        <v>https://pbs.twimg.com/ext_tw_video_thumb/1678434088024244224/pu/img/h17YnJSyNvRMkM4D.jpg</v>
      </c>
      <c r="AW2186" s="82" t="s">
        <v>14344</v>
      </c>
      <c r="AX2186" s="82" t="s">
        <v>14344</v>
      </c>
      <c r="AY2186" s="77"/>
      <c r="AZ2186" s="82" t="s">
        <v>15804</v>
      </c>
      <c r="BA2186" s="82" t="s">
        <v>15804</v>
      </c>
      <c r="BB2186" s="82" t="s">
        <v>15804</v>
      </c>
      <c r="BC2186" s="82" t="s">
        <v>14344</v>
      </c>
      <c r="BD2186" s="82" t="s">
        <v>16512</v>
      </c>
      <c r="BE2186" s="77"/>
      <c r="BF2186" s="77"/>
      <c r="BG2186" s="77"/>
      <c r="BH2186" s="77"/>
      <c r="BI2186" s="77"/>
    </row>
    <row r="2187" spans="1:61" x14ac:dyDescent="0.25">
      <c r="A2187" s="62" t="s">
        <v>877</v>
      </c>
      <c r="B2187" s="62" t="s">
        <v>877</v>
      </c>
      <c r="C2187" s="63"/>
      <c r="D2187" s="64"/>
      <c r="E2187" s="65"/>
      <c r="F2187" s="66"/>
      <c r="G2187" s="63"/>
      <c r="H2187" s="67"/>
      <c r="I2187" s="68"/>
      <c r="J2187" s="68"/>
      <c r="K2187" s="32"/>
      <c r="L2187" s="75">
        <v>2187</v>
      </c>
      <c r="M2187" s="75"/>
      <c r="N2187" s="70"/>
      <c r="O2187" s="77" t="s">
        <v>179</v>
      </c>
      <c r="P2187" s="79">
        <v>45117.625590277778</v>
      </c>
      <c r="Q2187" s="77" t="s">
        <v>3233</v>
      </c>
      <c r="R2187" s="77">
        <v>0</v>
      </c>
      <c r="S2187" s="77">
        <v>0</v>
      </c>
      <c r="T2187" s="77">
        <v>0</v>
      </c>
      <c r="U2187" s="77">
        <v>0</v>
      </c>
      <c r="V2187" s="77">
        <v>33</v>
      </c>
      <c r="W2187" s="82" t="s">
        <v>5456</v>
      </c>
      <c r="X2187" s="80" t="str">
        <f>HYPERLINK("https://linktr.ee/investimentoobjetivo")</f>
        <v>https://linktr.ee/investimentoobjetivo</v>
      </c>
      <c r="Y2187" s="77" t="s">
        <v>6052</v>
      </c>
      <c r="Z2187" s="77"/>
      <c r="AA2187" s="77" t="s">
        <v>7368</v>
      </c>
      <c r="AB2187" s="77" t="s">
        <v>7697</v>
      </c>
      <c r="AC2187" s="82" t="s">
        <v>7708</v>
      </c>
      <c r="AD2187" s="77" t="s">
        <v>7745</v>
      </c>
      <c r="AE2187" s="80" t="str">
        <f>HYPERLINK("https://twitter.com/investimentoob1/status/1678419017713741825")</f>
        <v>https://twitter.com/investimentoob1/status/1678419017713741825</v>
      </c>
      <c r="AF2187" s="79">
        <v>45117.625590277778</v>
      </c>
      <c r="AG2187" s="85">
        <v>45117</v>
      </c>
      <c r="AH2187" s="82" t="s">
        <v>9702</v>
      </c>
      <c r="AI2187" s="77" t="b">
        <v>0</v>
      </c>
      <c r="AJ2187" s="77"/>
      <c r="AK2187" s="77"/>
      <c r="AL2187" s="77"/>
      <c r="AM2187" s="77"/>
      <c r="AN2187" s="77"/>
      <c r="AO2187" s="77"/>
      <c r="AP2187" s="77"/>
      <c r="AQ2187" s="77" t="s">
        <v>11875</v>
      </c>
      <c r="AR2187" s="77">
        <v>11000</v>
      </c>
      <c r="AS2187" s="77"/>
      <c r="AT2187" s="77"/>
      <c r="AU2187" s="77">
        <v>4</v>
      </c>
      <c r="AV2187" s="80" t="str">
        <f>HYPERLINK("https://pbs.twimg.com/ext_tw_video_thumb/1678418970846560260/pu/img/WWetEiSzf55rwDae.jpg")</f>
        <v>https://pbs.twimg.com/ext_tw_video_thumb/1678418970846560260/pu/img/WWetEiSzf55rwDae.jpg</v>
      </c>
      <c r="AW2187" s="82" t="s">
        <v>14345</v>
      </c>
      <c r="AX2187" s="82" t="s">
        <v>14345</v>
      </c>
      <c r="AY2187" s="77"/>
      <c r="AZ2187" s="82" t="s">
        <v>15804</v>
      </c>
      <c r="BA2187" s="82" t="s">
        <v>15804</v>
      </c>
      <c r="BB2187" s="82" t="s">
        <v>15804</v>
      </c>
      <c r="BC2187" s="82" t="s">
        <v>14345</v>
      </c>
      <c r="BD2187" s="82" t="s">
        <v>16512</v>
      </c>
      <c r="BE2187" s="77"/>
      <c r="BF2187" s="77"/>
      <c r="BG2187" s="77"/>
      <c r="BH2187" s="77"/>
      <c r="BI2187" s="77"/>
    </row>
    <row r="2188" spans="1:61" x14ac:dyDescent="0.25">
      <c r="A2188" s="62" t="s">
        <v>878</v>
      </c>
      <c r="B2188" s="62" t="s">
        <v>878</v>
      </c>
      <c r="C2188" s="63"/>
      <c r="D2188" s="64"/>
      <c r="E2188" s="65"/>
      <c r="F2188" s="66"/>
      <c r="G2188" s="63"/>
      <c r="H2188" s="67"/>
      <c r="I2188" s="68"/>
      <c r="J2188" s="68"/>
      <c r="K2188" s="32"/>
      <c r="L2188" s="75">
        <v>2188</v>
      </c>
      <c r="M2188" s="75"/>
      <c r="N2188" s="70"/>
      <c r="O2188" s="77" t="s">
        <v>1132</v>
      </c>
      <c r="P2188" s="79">
        <v>45140.786874999998</v>
      </c>
      <c r="Q2188" s="77" t="s">
        <v>3234</v>
      </c>
      <c r="R2188" s="77">
        <v>0</v>
      </c>
      <c r="S2188" s="77">
        <v>0</v>
      </c>
      <c r="T2188" s="77">
        <v>0</v>
      </c>
      <c r="U2188" s="77">
        <v>0</v>
      </c>
      <c r="V2188" s="77">
        <v>27</v>
      </c>
      <c r="W2188" s="82" t="s">
        <v>5463</v>
      </c>
      <c r="X2188" s="77"/>
      <c r="Y2188" s="77"/>
      <c r="Z2188" s="77"/>
      <c r="AA2188" s="77"/>
      <c r="AB2188" s="77"/>
      <c r="AC2188" s="82" t="s">
        <v>7706</v>
      </c>
      <c r="AD2188" s="77" t="s">
        <v>7745</v>
      </c>
      <c r="AE2188" s="80" t="str">
        <f>HYPERLINK("https://twitter.com/educandoseubols/status/1686812385728675842")</f>
        <v>https://twitter.com/educandoseubols/status/1686812385728675842</v>
      </c>
      <c r="AF2188" s="79">
        <v>45140.786874999998</v>
      </c>
      <c r="AG2188" s="85">
        <v>45140</v>
      </c>
      <c r="AH2188" s="82" t="s">
        <v>9703</v>
      </c>
      <c r="AI2188" s="77"/>
      <c r="AJ2188" s="77"/>
      <c r="AK2188" s="77"/>
      <c r="AL2188" s="77"/>
      <c r="AM2188" s="77"/>
      <c r="AN2188" s="77"/>
      <c r="AO2188" s="77"/>
      <c r="AP2188" s="77"/>
      <c r="AQ2188" s="77"/>
      <c r="AR2188" s="77"/>
      <c r="AS2188" s="77"/>
      <c r="AT2188" s="77"/>
      <c r="AU2188" s="77"/>
      <c r="AV2188" s="80" t="str">
        <f>HYPERLINK("https://pbs.twimg.com/profile_images/935100539481874432/X_QojyB-_normal.jpg")</f>
        <v>https://pbs.twimg.com/profile_images/935100539481874432/X_QojyB-_normal.jpg</v>
      </c>
      <c r="AW2188" s="82" t="s">
        <v>14346</v>
      </c>
      <c r="AX2188" s="82" t="s">
        <v>15544</v>
      </c>
      <c r="AY2188" s="82" t="s">
        <v>15776</v>
      </c>
      <c r="AZ2188" s="82" t="s">
        <v>16069</v>
      </c>
      <c r="BA2188" s="82" t="s">
        <v>15804</v>
      </c>
      <c r="BB2188" s="82" t="s">
        <v>15804</v>
      </c>
      <c r="BC2188" s="82" t="s">
        <v>16069</v>
      </c>
      <c r="BD2188" s="77">
        <v>2361932263</v>
      </c>
      <c r="BE2188" s="77"/>
      <c r="BF2188" s="77"/>
      <c r="BG2188" s="77"/>
      <c r="BH2188" s="77"/>
      <c r="BI2188" s="77"/>
    </row>
    <row r="2189" spans="1:61" x14ac:dyDescent="0.25">
      <c r="A2189" s="62" t="s">
        <v>879</v>
      </c>
      <c r="B2189" s="62" t="s">
        <v>879</v>
      </c>
      <c r="C2189" s="63"/>
      <c r="D2189" s="64"/>
      <c r="E2189" s="65"/>
      <c r="F2189" s="66"/>
      <c r="G2189" s="63"/>
      <c r="H2189" s="67"/>
      <c r="I2189" s="68"/>
      <c r="J2189" s="68"/>
      <c r="K2189" s="32"/>
      <c r="L2189" s="75">
        <v>2189</v>
      </c>
      <c r="M2189" s="75"/>
      <c r="N2189" s="70"/>
      <c r="O2189" s="77" t="s">
        <v>179</v>
      </c>
      <c r="P2189" s="79">
        <v>45056.98678240741</v>
      </c>
      <c r="Q2189" s="77" t="s">
        <v>3235</v>
      </c>
      <c r="R2189" s="77">
        <v>0</v>
      </c>
      <c r="S2189" s="77">
        <v>0</v>
      </c>
      <c r="T2189" s="77">
        <v>0</v>
      </c>
      <c r="U2189" s="77">
        <v>0</v>
      </c>
      <c r="V2189" s="77">
        <v>32</v>
      </c>
      <c r="W2189" s="82" t="s">
        <v>5464</v>
      </c>
      <c r="X2189" s="80" t="str">
        <f>HYPERLINK("https://www.youtube.com/watch?v=ziaaedpebfc&amp;list=PLBeaxGVsgNiO0-tICLp1lrxB2h03hD2v2&amp;index=4&amp;t=856s")</f>
        <v>https://www.youtube.com/watch?v=ziaaedpebfc&amp;list=PLBeaxGVsgNiO0-tICLp1lrxB2h03hD2v2&amp;index=4&amp;t=856s</v>
      </c>
      <c r="Y2189" s="77" t="s">
        <v>6006</v>
      </c>
      <c r="Z2189" s="77"/>
      <c r="AA2189" s="77"/>
      <c r="AB2189" s="77"/>
      <c r="AC2189" s="82" t="s">
        <v>7706</v>
      </c>
      <c r="AD2189" s="77" t="s">
        <v>7746</v>
      </c>
      <c r="AE2189" s="80" t="str">
        <f>HYPERLINK("https://twitter.com/sigler_marcia/status/1656444249389379592")</f>
        <v>https://twitter.com/sigler_marcia/status/1656444249389379592</v>
      </c>
      <c r="AF2189" s="79">
        <v>45056.98678240741</v>
      </c>
      <c r="AG2189" s="85">
        <v>45056</v>
      </c>
      <c r="AH2189" s="82" t="s">
        <v>9704</v>
      </c>
      <c r="AI2189" s="77" t="b">
        <v>0</v>
      </c>
      <c r="AJ2189" s="77"/>
      <c r="AK2189" s="77"/>
      <c r="AL2189" s="77"/>
      <c r="AM2189" s="77"/>
      <c r="AN2189" s="77"/>
      <c r="AO2189" s="77"/>
      <c r="AP2189" s="77"/>
      <c r="AQ2189" s="77"/>
      <c r="AR2189" s="77"/>
      <c r="AS2189" s="77"/>
      <c r="AT2189" s="77"/>
      <c r="AU2189" s="77"/>
      <c r="AV2189" s="80" t="str">
        <f>HYPERLINK("https://pbs.twimg.com/profile_images/1689377510700584960/POq7HoEV_normal.jpg")</f>
        <v>https://pbs.twimg.com/profile_images/1689377510700584960/POq7HoEV_normal.jpg</v>
      </c>
      <c r="AW2189" s="82" t="s">
        <v>14347</v>
      </c>
      <c r="AX2189" s="82" t="s">
        <v>14347</v>
      </c>
      <c r="AY2189" s="77"/>
      <c r="AZ2189" s="82" t="s">
        <v>15804</v>
      </c>
      <c r="BA2189" s="82" t="s">
        <v>15804</v>
      </c>
      <c r="BB2189" s="82" t="s">
        <v>15804</v>
      </c>
      <c r="BC2189" s="82" t="s">
        <v>14347</v>
      </c>
      <c r="BD2189" s="82" t="s">
        <v>16513</v>
      </c>
      <c r="BE2189" s="77"/>
      <c r="BF2189" s="77"/>
      <c r="BG2189" s="77"/>
      <c r="BH2189" s="77"/>
      <c r="BI2189" s="77"/>
    </row>
    <row r="2190" spans="1:61" x14ac:dyDescent="0.25">
      <c r="A2190" s="62" t="s">
        <v>879</v>
      </c>
      <c r="B2190" s="62" t="s">
        <v>879</v>
      </c>
      <c r="C2190" s="63"/>
      <c r="D2190" s="64"/>
      <c r="E2190" s="65"/>
      <c r="F2190" s="66"/>
      <c r="G2190" s="63"/>
      <c r="H2190" s="67"/>
      <c r="I2190" s="68"/>
      <c r="J2190" s="68"/>
      <c r="K2190" s="32"/>
      <c r="L2190" s="75">
        <v>2190</v>
      </c>
      <c r="M2190" s="75"/>
      <c r="N2190" s="70"/>
      <c r="O2190" s="77" t="s">
        <v>179</v>
      </c>
      <c r="P2190" s="79">
        <v>45049.081365740742</v>
      </c>
      <c r="Q2190" s="77" t="s">
        <v>3236</v>
      </c>
      <c r="R2190" s="77">
        <v>0</v>
      </c>
      <c r="S2190" s="77">
        <v>0</v>
      </c>
      <c r="T2190" s="77">
        <v>0</v>
      </c>
      <c r="U2190" s="77">
        <v>0</v>
      </c>
      <c r="V2190" s="77">
        <v>33</v>
      </c>
      <c r="W2190" s="82" t="s">
        <v>5465</v>
      </c>
      <c r="X2190" s="80" t="str">
        <f>HYPERLINK("https://www.youtube.com/watch?v=6yQ6KYfvdPc&amp;t=2035s")</f>
        <v>https://www.youtube.com/watch?v=6yQ6KYfvdPc&amp;t=2035s</v>
      </c>
      <c r="Y2190" s="77" t="s">
        <v>6006</v>
      </c>
      <c r="Z2190" s="77"/>
      <c r="AA2190" s="77"/>
      <c r="AB2190" s="77"/>
      <c r="AC2190" s="82" t="s">
        <v>7706</v>
      </c>
      <c r="AD2190" s="77" t="s">
        <v>7746</v>
      </c>
      <c r="AE2190" s="80" t="str">
        <f>HYPERLINK("https://twitter.com/sigler_marcia/status/1653579420580425729")</f>
        <v>https://twitter.com/sigler_marcia/status/1653579420580425729</v>
      </c>
      <c r="AF2190" s="79">
        <v>45049.081365740742</v>
      </c>
      <c r="AG2190" s="85">
        <v>45049</v>
      </c>
      <c r="AH2190" s="82" t="s">
        <v>9705</v>
      </c>
      <c r="AI2190" s="77" t="b">
        <v>0</v>
      </c>
      <c r="AJ2190" s="77"/>
      <c r="AK2190" s="77"/>
      <c r="AL2190" s="77"/>
      <c r="AM2190" s="77"/>
      <c r="AN2190" s="77"/>
      <c r="AO2190" s="77"/>
      <c r="AP2190" s="77"/>
      <c r="AQ2190" s="77"/>
      <c r="AR2190" s="77"/>
      <c r="AS2190" s="77"/>
      <c r="AT2190" s="77"/>
      <c r="AU2190" s="77"/>
      <c r="AV2190" s="80" t="str">
        <f>HYPERLINK("https://pbs.twimg.com/profile_images/1689377510700584960/POq7HoEV_normal.jpg")</f>
        <v>https://pbs.twimg.com/profile_images/1689377510700584960/POq7HoEV_normal.jpg</v>
      </c>
      <c r="AW2190" s="82" t="s">
        <v>14348</v>
      </c>
      <c r="AX2190" s="82" t="s">
        <v>14348</v>
      </c>
      <c r="AY2190" s="77"/>
      <c r="AZ2190" s="82" t="s">
        <v>15804</v>
      </c>
      <c r="BA2190" s="82" t="s">
        <v>15804</v>
      </c>
      <c r="BB2190" s="82" t="s">
        <v>15804</v>
      </c>
      <c r="BC2190" s="82" t="s">
        <v>14348</v>
      </c>
      <c r="BD2190" s="82" t="s">
        <v>16513</v>
      </c>
      <c r="BE2190" s="77"/>
      <c r="BF2190" s="77"/>
      <c r="BG2190" s="77"/>
      <c r="BH2190" s="77"/>
      <c r="BI2190" s="77"/>
    </row>
    <row r="2191" spans="1:61" x14ac:dyDescent="0.25">
      <c r="A2191" s="62" t="s">
        <v>879</v>
      </c>
      <c r="B2191" s="62" t="s">
        <v>879</v>
      </c>
      <c r="C2191" s="63"/>
      <c r="D2191" s="64"/>
      <c r="E2191" s="65"/>
      <c r="F2191" s="66"/>
      <c r="G2191" s="63"/>
      <c r="H2191" s="67"/>
      <c r="I2191" s="68"/>
      <c r="J2191" s="68"/>
      <c r="K2191" s="32"/>
      <c r="L2191" s="75">
        <v>2191</v>
      </c>
      <c r="M2191" s="75"/>
      <c r="N2191" s="70"/>
      <c r="O2191" s="77" t="s">
        <v>179</v>
      </c>
      <c r="P2191" s="79">
        <v>45068.526898148149</v>
      </c>
      <c r="Q2191" s="77" t="s">
        <v>3237</v>
      </c>
      <c r="R2191" s="77">
        <v>0</v>
      </c>
      <c r="S2191" s="77">
        <v>0</v>
      </c>
      <c r="T2191" s="77">
        <v>0</v>
      </c>
      <c r="U2191" s="77">
        <v>0</v>
      </c>
      <c r="V2191" s="77">
        <v>45</v>
      </c>
      <c r="W2191" s="82" t="s">
        <v>5465</v>
      </c>
      <c r="X2191" s="80" t="str">
        <f>HYPERLINK("https://www.youtube.com/watch?v=ziaaedpebfc&amp;list=PLBeaxGVsgNiO0-tICLp1lrxB2h03hD2v2&amp;index=4&amp;t=2249s")</f>
        <v>https://www.youtube.com/watch?v=ziaaedpebfc&amp;list=PLBeaxGVsgNiO0-tICLp1lrxB2h03hD2v2&amp;index=4&amp;t=2249s</v>
      </c>
      <c r="Y2191" s="77" t="s">
        <v>6006</v>
      </c>
      <c r="Z2191" s="77"/>
      <c r="AA2191" s="77"/>
      <c r="AB2191" s="77"/>
      <c r="AC2191" s="82" t="s">
        <v>7706</v>
      </c>
      <c r="AD2191" s="77" t="s">
        <v>7745</v>
      </c>
      <c r="AE2191" s="80" t="str">
        <f>HYPERLINK("https://twitter.com/sigler_marcia/status/1660626246785462274")</f>
        <v>https://twitter.com/sigler_marcia/status/1660626246785462274</v>
      </c>
      <c r="AF2191" s="79">
        <v>45068.526898148149</v>
      </c>
      <c r="AG2191" s="85">
        <v>45068</v>
      </c>
      <c r="AH2191" s="82" t="s">
        <v>9706</v>
      </c>
      <c r="AI2191" s="77" t="b">
        <v>0</v>
      </c>
      <c r="AJ2191" s="77"/>
      <c r="AK2191" s="77"/>
      <c r="AL2191" s="77"/>
      <c r="AM2191" s="77"/>
      <c r="AN2191" s="77"/>
      <c r="AO2191" s="77"/>
      <c r="AP2191" s="77"/>
      <c r="AQ2191" s="77"/>
      <c r="AR2191" s="77"/>
      <c r="AS2191" s="77"/>
      <c r="AT2191" s="77"/>
      <c r="AU2191" s="77"/>
      <c r="AV2191" s="80" t="str">
        <f>HYPERLINK("https://pbs.twimg.com/profile_images/1689377510700584960/POq7HoEV_normal.jpg")</f>
        <v>https://pbs.twimg.com/profile_images/1689377510700584960/POq7HoEV_normal.jpg</v>
      </c>
      <c r="AW2191" s="82" t="s">
        <v>14349</v>
      </c>
      <c r="AX2191" s="82" t="s">
        <v>14349</v>
      </c>
      <c r="AY2191" s="77"/>
      <c r="AZ2191" s="82" t="s">
        <v>15804</v>
      </c>
      <c r="BA2191" s="82" t="s">
        <v>15804</v>
      </c>
      <c r="BB2191" s="82" t="s">
        <v>15804</v>
      </c>
      <c r="BC2191" s="82" t="s">
        <v>14349</v>
      </c>
      <c r="BD2191" s="82" t="s">
        <v>16513</v>
      </c>
      <c r="BE2191" s="77"/>
      <c r="BF2191" s="77"/>
      <c r="BG2191" s="77"/>
      <c r="BH2191" s="77"/>
      <c r="BI2191" s="77"/>
    </row>
    <row r="2192" spans="1:61" x14ac:dyDescent="0.25">
      <c r="A2192" s="62" t="s">
        <v>879</v>
      </c>
      <c r="B2192" s="62" t="s">
        <v>879</v>
      </c>
      <c r="C2192" s="63"/>
      <c r="D2192" s="64"/>
      <c r="E2192" s="65"/>
      <c r="F2192" s="66"/>
      <c r="G2192" s="63"/>
      <c r="H2192" s="67"/>
      <c r="I2192" s="68"/>
      <c r="J2192" s="68"/>
      <c r="K2192" s="32"/>
      <c r="L2192" s="75">
        <v>2192</v>
      </c>
      <c r="M2192" s="75"/>
      <c r="N2192" s="70"/>
      <c r="O2192" s="77" t="s">
        <v>179</v>
      </c>
      <c r="P2192" s="79">
        <v>45085.184583333335</v>
      </c>
      <c r="Q2192" s="77" t="s">
        <v>3238</v>
      </c>
      <c r="R2192" s="77">
        <v>0</v>
      </c>
      <c r="S2192" s="77">
        <v>0</v>
      </c>
      <c r="T2192" s="77">
        <v>0</v>
      </c>
      <c r="U2192" s="77">
        <v>0</v>
      </c>
      <c r="V2192" s="77">
        <v>40</v>
      </c>
      <c r="W2192" s="82" t="s">
        <v>5466</v>
      </c>
      <c r="X2192" s="80" t="str">
        <f>HYPERLINK("https://youtube.com/watch?v=A3CJKPDtiAc&amp;list=PLBeaxGVsgNiO0-tICLp1lrxB2h03hD2v2&amp;index=8&amp;t=2145s")</f>
        <v>https://youtube.com/watch?v=A3CJKPDtiAc&amp;list=PLBeaxGVsgNiO0-tICLp1lrxB2h03hD2v2&amp;index=8&amp;t=2145s</v>
      </c>
      <c r="Y2192" s="77" t="s">
        <v>6006</v>
      </c>
      <c r="Z2192" s="77"/>
      <c r="AA2192" s="77"/>
      <c r="AB2192" s="77"/>
      <c r="AC2192" s="82" t="s">
        <v>7706</v>
      </c>
      <c r="AD2192" s="77" t="s">
        <v>7745</v>
      </c>
      <c r="AE2192" s="80" t="str">
        <f>HYPERLINK("https://twitter.com/sigler_marcia/status/1666662786703806464")</f>
        <v>https://twitter.com/sigler_marcia/status/1666662786703806464</v>
      </c>
      <c r="AF2192" s="79">
        <v>45085.184583333335</v>
      </c>
      <c r="AG2192" s="85">
        <v>45085</v>
      </c>
      <c r="AH2192" s="82" t="s">
        <v>9707</v>
      </c>
      <c r="AI2192" s="77" t="b">
        <v>0</v>
      </c>
      <c r="AJ2192" s="77"/>
      <c r="AK2192" s="77"/>
      <c r="AL2192" s="77"/>
      <c r="AM2192" s="77"/>
      <c r="AN2192" s="77"/>
      <c r="AO2192" s="77"/>
      <c r="AP2192" s="77"/>
      <c r="AQ2192" s="77"/>
      <c r="AR2192" s="77"/>
      <c r="AS2192" s="77"/>
      <c r="AT2192" s="77"/>
      <c r="AU2192" s="77"/>
      <c r="AV2192" s="80" t="str">
        <f>HYPERLINK("https://pbs.twimg.com/profile_images/1689377510700584960/POq7HoEV_normal.jpg")</f>
        <v>https://pbs.twimg.com/profile_images/1689377510700584960/POq7HoEV_normal.jpg</v>
      </c>
      <c r="AW2192" s="82" t="s">
        <v>14350</v>
      </c>
      <c r="AX2192" s="82" t="s">
        <v>14350</v>
      </c>
      <c r="AY2192" s="77"/>
      <c r="AZ2192" s="82" t="s">
        <v>15804</v>
      </c>
      <c r="BA2192" s="82" t="s">
        <v>15804</v>
      </c>
      <c r="BB2192" s="82" t="s">
        <v>15804</v>
      </c>
      <c r="BC2192" s="82" t="s">
        <v>14350</v>
      </c>
      <c r="BD2192" s="82" t="s">
        <v>16513</v>
      </c>
      <c r="BE2192" s="77"/>
      <c r="BF2192" s="77"/>
      <c r="BG2192" s="77"/>
      <c r="BH2192" s="77"/>
      <c r="BI2192" s="77"/>
    </row>
    <row r="2193" spans="1:61" x14ac:dyDescent="0.25">
      <c r="A2193" s="62" t="s">
        <v>879</v>
      </c>
      <c r="B2193" s="62" t="s">
        <v>879</v>
      </c>
      <c r="C2193" s="63"/>
      <c r="D2193" s="64"/>
      <c r="E2193" s="65"/>
      <c r="F2193" s="66"/>
      <c r="G2193" s="63"/>
      <c r="H2193" s="67"/>
      <c r="I2193" s="68"/>
      <c r="J2193" s="68"/>
      <c r="K2193" s="32"/>
      <c r="L2193" s="75">
        <v>2193</v>
      </c>
      <c r="M2193" s="75"/>
      <c r="N2193" s="70"/>
      <c r="O2193" s="77" t="s">
        <v>179</v>
      </c>
      <c r="P2193" s="79">
        <v>45143.469386574077</v>
      </c>
      <c r="Q2193" s="77" t="s">
        <v>3239</v>
      </c>
      <c r="R2193" s="77">
        <v>0</v>
      </c>
      <c r="S2193" s="77">
        <v>0</v>
      </c>
      <c r="T2193" s="77">
        <v>0</v>
      </c>
      <c r="U2193" s="77">
        <v>0</v>
      </c>
      <c r="V2193" s="77">
        <v>19</v>
      </c>
      <c r="W2193" s="82" t="s">
        <v>5467</v>
      </c>
      <c r="X2193" s="80" t="str">
        <f>HYPERLINK("https://www.youtube.com/watch?v=mVCkkZPQlpc&amp;list=PLBeaxGVsgNiO0-tICLp1lrxB2h03hD2v2&amp;index=6&amp;t=1411s")</f>
        <v>https://www.youtube.com/watch?v=mVCkkZPQlpc&amp;list=PLBeaxGVsgNiO0-tICLp1lrxB2h03hD2v2&amp;index=6&amp;t=1411s</v>
      </c>
      <c r="Y2193" s="77" t="s">
        <v>6006</v>
      </c>
      <c r="Z2193" s="77"/>
      <c r="AA2193" s="77"/>
      <c r="AB2193" s="77"/>
      <c r="AC2193" s="82" t="s">
        <v>7706</v>
      </c>
      <c r="AD2193" s="77" t="s">
        <v>7746</v>
      </c>
      <c r="AE2193" s="80" t="str">
        <f>HYPERLINK("https://twitter.com/sigler_marcia/status/1687784493090848768")</f>
        <v>https://twitter.com/sigler_marcia/status/1687784493090848768</v>
      </c>
      <c r="AF2193" s="79">
        <v>45143.469386574077</v>
      </c>
      <c r="AG2193" s="85">
        <v>45143</v>
      </c>
      <c r="AH2193" s="82" t="s">
        <v>9708</v>
      </c>
      <c r="AI2193" s="77" t="b">
        <v>0</v>
      </c>
      <c r="AJ2193" s="77"/>
      <c r="AK2193" s="77"/>
      <c r="AL2193" s="77"/>
      <c r="AM2193" s="77"/>
      <c r="AN2193" s="77"/>
      <c r="AO2193" s="77"/>
      <c r="AP2193" s="77"/>
      <c r="AQ2193" s="77"/>
      <c r="AR2193" s="77"/>
      <c r="AS2193" s="77"/>
      <c r="AT2193" s="77"/>
      <c r="AU2193" s="77"/>
      <c r="AV2193" s="80" t="str">
        <f>HYPERLINK("https://pbs.twimg.com/profile_images/1689377510700584960/POq7HoEV_normal.jpg")</f>
        <v>https://pbs.twimg.com/profile_images/1689377510700584960/POq7HoEV_normal.jpg</v>
      </c>
      <c r="AW2193" s="82" t="s">
        <v>14351</v>
      </c>
      <c r="AX2193" s="82" t="s">
        <v>14351</v>
      </c>
      <c r="AY2193" s="77"/>
      <c r="AZ2193" s="82" t="s">
        <v>15804</v>
      </c>
      <c r="BA2193" s="82" t="s">
        <v>15804</v>
      </c>
      <c r="BB2193" s="82" t="s">
        <v>15804</v>
      </c>
      <c r="BC2193" s="82" t="s">
        <v>14351</v>
      </c>
      <c r="BD2193" s="82" t="s">
        <v>16513</v>
      </c>
      <c r="BE2193" s="77"/>
      <c r="BF2193" s="77"/>
      <c r="BG2193" s="77"/>
      <c r="BH2193" s="77"/>
      <c r="BI2193" s="77"/>
    </row>
    <row r="2194" spans="1:61" x14ac:dyDescent="0.25">
      <c r="A2194" s="62" t="s">
        <v>879</v>
      </c>
      <c r="B2194" s="62" t="s">
        <v>879</v>
      </c>
      <c r="C2194" s="63"/>
      <c r="D2194" s="64"/>
      <c r="E2194" s="65"/>
      <c r="F2194" s="66"/>
      <c r="G2194" s="63"/>
      <c r="H2194" s="67"/>
      <c r="I2194" s="68"/>
      <c r="J2194" s="68"/>
      <c r="K2194" s="32"/>
      <c r="L2194" s="75">
        <v>2194</v>
      </c>
      <c r="M2194" s="75"/>
      <c r="N2194" s="70"/>
      <c r="O2194" s="77" t="s">
        <v>179</v>
      </c>
      <c r="P2194" s="79">
        <v>45178.455706018518</v>
      </c>
      <c r="Q2194" s="77" t="s">
        <v>3240</v>
      </c>
      <c r="R2194" s="77">
        <v>0</v>
      </c>
      <c r="S2194" s="77">
        <v>0</v>
      </c>
      <c r="T2194" s="77">
        <v>0</v>
      </c>
      <c r="U2194" s="77">
        <v>0</v>
      </c>
      <c r="V2194" s="77">
        <v>24</v>
      </c>
      <c r="W2194" s="82" t="s">
        <v>5468</v>
      </c>
      <c r="X2194" s="77" t="s">
        <v>5996</v>
      </c>
      <c r="Y2194" s="77" t="s">
        <v>6095</v>
      </c>
      <c r="Z2194" s="77"/>
      <c r="AA2194" s="77"/>
      <c r="AB2194" s="77"/>
      <c r="AC2194" s="82" t="s">
        <v>7706</v>
      </c>
      <c r="AD2194" s="77" t="s">
        <v>7745</v>
      </c>
      <c r="AE2194" s="80" t="str">
        <f>HYPERLINK("https://twitter.com/sigler_marcia/status/1700463111713521785")</f>
        <v>https://twitter.com/sigler_marcia/status/1700463111713521785</v>
      </c>
      <c r="AF2194" s="79">
        <v>45178.455706018518</v>
      </c>
      <c r="AG2194" s="85">
        <v>45178</v>
      </c>
      <c r="AH2194" s="82" t="s">
        <v>9709</v>
      </c>
      <c r="AI2194" s="77" t="b">
        <v>0</v>
      </c>
      <c r="AJ2194" s="77"/>
      <c r="AK2194" s="77"/>
      <c r="AL2194" s="77"/>
      <c r="AM2194" s="77"/>
      <c r="AN2194" s="77"/>
      <c r="AO2194" s="77"/>
      <c r="AP2194" s="77"/>
      <c r="AQ2194" s="77"/>
      <c r="AR2194" s="77"/>
      <c r="AS2194" s="77"/>
      <c r="AT2194" s="77"/>
      <c r="AU2194" s="77"/>
      <c r="AV2194" s="80" t="str">
        <f>HYPERLINK("https://pbs.twimg.com/profile_images/1689377510700584960/POq7HoEV_normal.jpg")</f>
        <v>https://pbs.twimg.com/profile_images/1689377510700584960/POq7HoEV_normal.jpg</v>
      </c>
      <c r="AW2194" s="82" t="s">
        <v>14352</v>
      </c>
      <c r="AX2194" s="82" t="s">
        <v>14352</v>
      </c>
      <c r="AY2194" s="77"/>
      <c r="AZ2194" s="82" t="s">
        <v>15804</v>
      </c>
      <c r="BA2194" s="82" t="s">
        <v>15804</v>
      </c>
      <c r="BB2194" s="82" t="s">
        <v>15804</v>
      </c>
      <c r="BC2194" s="82" t="s">
        <v>14352</v>
      </c>
      <c r="BD2194" s="82" t="s">
        <v>16513</v>
      </c>
      <c r="BE2194" s="77"/>
      <c r="BF2194" s="77"/>
      <c r="BG2194" s="77"/>
      <c r="BH2194" s="77"/>
      <c r="BI2194" s="77"/>
    </row>
    <row r="2195" spans="1:61" x14ac:dyDescent="0.25">
      <c r="A2195" s="62" t="s">
        <v>880</v>
      </c>
      <c r="B2195" s="62" t="s">
        <v>880</v>
      </c>
      <c r="C2195" s="63"/>
      <c r="D2195" s="64"/>
      <c r="E2195" s="65"/>
      <c r="F2195" s="66"/>
      <c r="G2195" s="63"/>
      <c r="H2195" s="67"/>
      <c r="I2195" s="68"/>
      <c r="J2195" s="68"/>
      <c r="K2195" s="32"/>
      <c r="L2195" s="75">
        <v>2195</v>
      </c>
      <c r="M2195" s="75"/>
      <c r="N2195" s="70"/>
      <c r="O2195" s="77" t="s">
        <v>179</v>
      </c>
      <c r="P2195" s="79">
        <v>45017.939722222225</v>
      </c>
      <c r="Q2195" s="77" t="s">
        <v>3241</v>
      </c>
      <c r="R2195" s="77">
        <v>0</v>
      </c>
      <c r="S2195" s="77">
        <v>0</v>
      </c>
      <c r="T2195" s="77">
        <v>0</v>
      </c>
      <c r="U2195" s="77">
        <v>0</v>
      </c>
      <c r="V2195" s="77">
        <v>58</v>
      </c>
      <c r="W2195" s="82" t="s">
        <v>5125</v>
      </c>
      <c r="X2195" s="77"/>
      <c r="Y2195" s="77"/>
      <c r="Z2195" s="77"/>
      <c r="AA2195" s="77" t="s">
        <v>7369</v>
      </c>
      <c r="AB2195" s="77" t="s">
        <v>7696</v>
      </c>
      <c r="AC2195" s="82" t="s">
        <v>7707</v>
      </c>
      <c r="AD2195" s="77" t="s">
        <v>7747</v>
      </c>
      <c r="AE2195" s="80" t="str">
        <f>HYPERLINK("https://twitter.com/investoom/status/1642294064664985600")</f>
        <v>https://twitter.com/investoom/status/1642294064664985600</v>
      </c>
      <c r="AF2195" s="79">
        <v>45017.939722222225</v>
      </c>
      <c r="AG2195" s="85">
        <v>45017</v>
      </c>
      <c r="AH2195" s="82" t="s">
        <v>9710</v>
      </c>
      <c r="AI2195" s="77" t="b">
        <v>0</v>
      </c>
      <c r="AJ2195" s="77"/>
      <c r="AK2195" s="77"/>
      <c r="AL2195" s="77"/>
      <c r="AM2195" s="77"/>
      <c r="AN2195" s="77"/>
      <c r="AO2195" s="77"/>
      <c r="AP2195" s="77"/>
      <c r="AQ2195" s="77" t="s">
        <v>11876</v>
      </c>
      <c r="AR2195" s="77"/>
      <c r="AS2195" s="77"/>
      <c r="AT2195" s="77"/>
      <c r="AU2195" s="77"/>
      <c r="AV2195" s="80" t="str">
        <f>HYPERLINK("https://pbs.twimg.com/media/FsqZv6pWcAE-J1s.jpg")</f>
        <v>https://pbs.twimg.com/media/FsqZv6pWcAE-J1s.jpg</v>
      </c>
      <c r="AW2195" s="82" t="s">
        <v>14353</v>
      </c>
      <c r="AX2195" s="82" t="s">
        <v>14353</v>
      </c>
      <c r="AY2195" s="77"/>
      <c r="AZ2195" s="82" t="s">
        <v>15804</v>
      </c>
      <c r="BA2195" s="82" t="s">
        <v>15804</v>
      </c>
      <c r="BB2195" s="82" t="s">
        <v>15804</v>
      </c>
      <c r="BC2195" s="82" t="s">
        <v>14353</v>
      </c>
      <c r="BD2195" s="82" t="s">
        <v>16514</v>
      </c>
      <c r="BE2195" s="77"/>
      <c r="BF2195" s="77"/>
      <c r="BG2195" s="77"/>
      <c r="BH2195" s="77"/>
      <c r="BI2195" s="77"/>
    </row>
    <row r="2196" spans="1:61" x14ac:dyDescent="0.25">
      <c r="A2196" s="62" t="s">
        <v>881</v>
      </c>
      <c r="B2196" s="62" t="s">
        <v>881</v>
      </c>
      <c r="C2196" s="63"/>
      <c r="D2196" s="64"/>
      <c r="E2196" s="65"/>
      <c r="F2196" s="66"/>
      <c r="G2196" s="63"/>
      <c r="H2196" s="67"/>
      <c r="I2196" s="68"/>
      <c r="J2196" s="68"/>
      <c r="K2196" s="32"/>
      <c r="L2196" s="75">
        <v>2196</v>
      </c>
      <c r="M2196" s="75"/>
      <c r="N2196" s="70"/>
      <c r="O2196" s="77" t="s">
        <v>179</v>
      </c>
      <c r="P2196" s="79">
        <v>44971.729004629633</v>
      </c>
      <c r="Q2196" s="77" t="s">
        <v>3242</v>
      </c>
      <c r="R2196" s="77">
        <v>0</v>
      </c>
      <c r="S2196" s="77">
        <v>2</v>
      </c>
      <c r="T2196" s="77">
        <v>0</v>
      </c>
      <c r="U2196" s="77">
        <v>0</v>
      </c>
      <c r="V2196" s="77">
        <v>48</v>
      </c>
      <c r="W2196" s="82" t="s">
        <v>5469</v>
      </c>
      <c r="X2196" s="77"/>
      <c r="Y2196" s="77"/>
      <c r="Z2196" s="77"/>
      <c r="AA2196" s="77" t="s">
        <v>7370</v>
      </c>
      <c r="AB2196" s="77" t="s">
        <v>7697</v>
      </c>
      <c r="AC2196" s="82" t="s">
        <v>7705</v>
      </c>
      <c r="AD2196" s="77" t="s">
        <v>7745</v>
      </c>
      <c r="AE2196" s="80" t="str">
        <f>HYPERLINK("https://twitter.com/simolinfernanda/status/1625547862934274069")</f>
        <v>https://twitter.com/simolinfernanda/status/1625547862934274069</v>
      </c>
      <c r="AF2196" s="79">
        <v>44971.729004629633</v>
      </c>
      <c r="AG2196" s="85">
        <v>44971</v>
      </c>
      <c r="AH2196" s="82" t="s">
        <v>9711</v>
      </c>
      <c r="AI2196" s="77" t="b">
        <v>0</v>
      </c>
      <c r="AJ2196" s="77"/>
      <c r="AK2196" s="77"/>
      <c r="AL2196" s="77"/>
      <c r="AM2196" s="77"/>
      <c r="AN2196" s="77"/>
      <c r="AO2196" s="77"/>
      <c r="AP2196" s="77"/>
      <c r="AQ2196" s="77" t="s">
        <v>11877</v>
      </c>
      <c r="AR2196" s="77">
        <v>13100</v>
      </c>
      <c r="AS2196" s="77"/>
      <c r="AT2196" s="77"/>
      <c r="AU2196" s="77">
        <v>12</v>
      </c>
      <c r="AV2196" s="80" t="str">
        <f>HYPERLINK("https://pbs.twimg.com/ext_tw_video_thumb/1625547827072974879/pu/img/74mCsfpASwlLu5Yb.jpg")</f>
        <v>https://pbs.twimg.com/ext_tw_video_thumb/1625547827072974879/pu/img/74mCsfpASwlLu5Yb.jpg</v>
      </c>
      <c r="AW2196" s="82" t="s">
        <v>14354</v>
      </c>
      <c r="AX2196" s="82" t="s">
        <v>14354</v>
      </c>
      <c r="AY2196" s="77"/>
      <c r="AZ2196" s="82" t="s">
        <v>15804</v>
      </c>
      <c r="BA2196" s="82" t="s">
        <v>15804</v>
      </c>
      <c r="BB2196" s="82" t="s">
        <v>15804</v>
      </c>
      <c r="BC2196" s="82" t="s">
        <v>14354</v>
      </c>
      <c r="BD2196" s="77">
        <v>116914919</v>
      </c>
      <c r="BE2196" s="77"/>
      <c r="BF2196" s="77"/>
      <c r="BG2196" s="77"/>
      <c r="BH2196" s="77"/>
      <c r="BI2196" s="77"/>
    </row>
    <row r="2197" spans="1:61" x14ac:dyDescent="0.25">
      <c r="A2197" s="62" t="s">
        <v>881</v>
      </c>
      <c r="B2197" s="62" t="s">
        <v>881</v>
      </c>
      <c r="C2197" s="63"/>
      <c r="D2197" s="64"/>
      <c r="E2197" s="65"/>
      <c r="F2197" s="66"/>
      <c r="G2197" s="63"/>
      <c r="H2197" s="67"/>
      <c r="I2197" s="68"/>
      <c r="J2197" s="68"/>
      <c r="K2197" s="32"/>
      <c r="L2197" s="75">
        <v>2197</v>
      </c>
      <c r="M2197" s="75"/>
      <c r="N2197" s="70"/>
      <c r="O2197" s="77" t="s">
        <v>179</v>
      </c>
      <c r="P2197" s="79">
        <v>44967.599537037036</v>
      </c>
      <c r="Q2197" s="77" t="s">
        <v>3243</v>
      </c>
      <c r="R2197" s="77">
        <v>0</v>
      </c>
      <c r="S2197" s="77">
        <v>2</v>
      </c>
      <c r="T2197" s="77">
        <v>0</v>
      </c>
      <c r="U2197" s="77">
        <v>0</v>
      </c>
      <c r="V2197" s="77">
        <v>38</v>
      </c>
      <c r="W2197" s="82" t="s">
        <v>5470</v>
      </c>
      <c r="X2197" s="77"/>
      <c r="Y2197" s="77"/>
      <c r="Z2197" s="77"/>
      <c r="AA2197" s="77" t="s">
        <v>7371</v>
      </c>
      <c r="AB2197" s="77" t="s">
        <v>7696</v>
      </c>
      <c r="AC2197" s="82" t="s">
        <v>7705</v>
      </c>
      <c r="AD2197" s="77" t="s">
        <v>7745</v>
      </c>
      <c r="AE2197" s="80" t="str">
        <f>HYPERLINK("https://twitter.com/simolinfernanda/status/1624051395845292033")</f>
        <v>https://twitter.com/simolinfernanda/status/1624051395845292033</v>
      </c>
      <c r="AF2197" s="79">
        <v>44967.599537037036</v>
      </c>
      <c r="AG2197" s="85">
        <v>44967</v>
      </c>
      <c r="AH2197" s="82" t="s">
        <v>9712</v>
      </c>
      <c r="AI2197" s="77" t="b">
        <v>0</v>
      </c>
      <c r="AJ2197" s="77"/>
      <c r="AK2197" s="77"/>
      <c r="AL2197" s="77"/>
      <c r="AM2197" s="77"/>
      <c r="AN2197" s="77"/>
      <c r="AO2197" s="77"/>
      <c r="AP2197" s="77"/>
      <c r="AQ2197" s="77" t="s">
        <v>11878</v>
      </c>
      <c r="AR2197" s="77"/>
      <c r="AS2197" s="77"/>
      <c r="AT2197" s="77"/>
      <c r="AU2197" s="77"/>
      <c r="AV2197" s="80" t="str">
        <f>HYPERLINK("https://pbs.twimg.com/media/FonKIsRWIAsCnQc.jpg")</f>
        <v>https://pbs.twimg.com/media/FonKIsRWIAsCnQc.jpg</v>
      </c>
      <c r="AW2197" s="82" t="s">
        <v>14355</v>
      </c>
      <c r="AX2197" s="82" t="s">
        <v>14355</v>
      </c>
      <c r="AY2197" s="77"/>
      <c r="AZ2197" s="82" t="s">
        <v>15804</v>
      </c>
      <c r="BA2197" s="82" t="s">
        <v>15804</v>
      </c>
      <c r="BB2197" s="82" t="s">
        <v>15804</v>
      </c>
      <c r="BC2197" s="82" t="s">
        <v>14355</v>
      </c>
      <c r="BD2197" s="77">
        <v>116914919</v>
      </c>
      <c r="BE2197" s="77"/>
      <c r="BF2197" s="77"/>
      <c r="BG2197" s="77"/>
      <c r="BH2197" s="77"/>
      <c r="BI2197" s="77"/>
    </row>
    <row r="2198" spans="1:61" x14ac:dyDescent="0.25">
      <c r="A2198" s="62" t="s">
        <v>881</v>
      </c>
      <c r="B2198" s="62" t="s">
        <v>881</v>
      </c>
      <c r="C2198" s="63"/>
      <c r="D2198" s="64"/>
      <c r="E2198" s="65"/>
      <c r="F2198" s="66"/>
      <c r="G2198" s="63"/>
      <c r="H2198" s="67"/>
      <c r="I2198" s="68"/>
      <c r="J2198" s="68"/>
      <c r="K2198" s="32"/>
      <c r="L2198" s="75">
        <v>2198</v>
      </c>
      <c r="M2198" s="75"/>
      <c r="N2198" s="70"/>
      <c r="O2198" s="77" t="s">
        <v>179</v>
      </c>
      <c r="P2198" s="79">
        <v>45100.02753472222</v>
      </c>
      <c r="Q2198" s="77" t="s">
        <v>3244</v>
      </c>
      <c r="R2198" s="77">
        <v>0</v>
      </c>
      <c r="S2198" s="77">
        <v>1</v>
      </c>
      <c r="T2198" s="77">
        <v>0</v>
      </c>
      <c r="U2198" s="77">
        <v>0</v>
      </c>
      <c r="V2198" s="77">
        <v>31</v>
      </c>
      <c r="W2198" s="82" t="s">
        <v>5471</v>
      </c>
      <c r="X2198" s="77"/>
      <c r="Y2198" s="77"/>
      <c r="Z2198" s="77"/>
      <c r="AA2198" s="77" t="s">
        <v>7372</v>
      </c>
      <c r="AB2198" s="77" t="s">
        <v>7696</v>
      </c>
      <c r="AC2198" s="82" t="s">
        <v>7705</v>
      </c>
      <c r="AD2198" s="77" t="s">
        <v>7745</v>
      </c>
      <c r="AE2198" s="80" t="str">
        <f>HYPERLINK("https://twitter.com/simolinfernanda/status/1672041692344508416")</f>
        <v>https://twitter.com/simolinfernanda/status/1672041692344508416</v>
      </c>
      <c r="AF2198" s="79">
        <v>45100.02753472222</v>
      </c>
      <c r="AG2198" s="85">
        <v>45100</v>
      </c>
      <c r="AH2198" s="82" t="s">
        <v>9713</v>
      </c>
      <c r="AI2198" s="77" t="b">
        <v>0</v>
      </c>
      <c r="AJ2198" s="77"/>
      <c r="AK2198" s="77"/>
      <c r="AL2198" s="77"/>
      <c r="AM2198" s="77"/>
      <c r="AN2198" s="77"/>
      <c r="AO2198" s="77"/>
      <c r="AP2198" s="77"/>
      <c r="AQ2198" s="77" t="s">
        <v>11879</v>
      </c>
      <c r="AR2198" s="77"/>
      <c r="AS2198" s="77"/>
      <c r="AT2198" s="77"/>
      <c r="AU2198" s="77"/>
      <c r="AV2198" s="80" t="str">
        <f>HYPERLINK("https://pbs.twimg.com/media/FzRJDg5XsAMVyrc.jpg")</f>
        <v>https://pbs.twimg.com/media/FzRJDg5XsAMVyrc.jpg</v>
      </c>
      <c r="AW2198" s="82" t="s">
        <v>14356</v>
      </c>
      <c r="AX2198" s="82" t="s">
        <v>14356</v>
      </c>
      <c r="AY2198" s="77"/>
      <c r="AZ2198" s="82" t="s">
        <v>15804</v>
      </c>
      <c r="BA2198" s="82" t="s">
        <v>15804</v>
      </c>
      <c r="BB2198" s="82" t="s">
        <v>15804</v>
      </c>
      <c r="BC2198" s="82" t="s">
        <v>14356</v>
      </c>
      <c r="BD2198" s="77">
        <v>116914919</v>
      </c>
      <c r="BE2198" s="77"/>
      <c r="BF2198" s="77"/>
      <c r="BG2198" s="77"/>
      <c r="BH2198" s="77"/>
      <c r="BI2198" s="77"/>
    </row>
    <row r="2199" spans="1:61" x14ac:dyDescent="0.25">
      <c r="A2199" s="62" t="s">
        <v>882</v>
      </c>
      <c r="B2199" s="62" t="s">
        <v>882</v>
      </c>
      <c r="C2199" s="63"/>
      <c r="D2199" s="64"/>
      <c r="E2199" s="65"/>
      <c r="F2199" s="66"/>
      <c r="G2199" s="63"/>
      <c r="H2199" s="67"/>
      <c r="I2199" s="68"/>
      <c r="J2199" s="68"/>
      <c r="K2199" s="32"/>
      <c r="L2199" s="75">
        <v>2199</v>
      </c>
      <c r="M2199" s="75"/>
      <c r="N2199" s="70"/>
      <c r="O2199" s="77" t="s">
        <v>179</v>
      </c>
      <c r="P2199" s="79">
        <v>44944.62809027778</v>
      </c>
      <c r="Q2199" s="77" t="s">
        <v>3245</v>
      </c>
      <c r="R2199" s="77">
        <v>0</v>
      </c>
      <c r="S2199" s="77">
        <v>1</v>
      </c>
      <c r="T2199" s="77">
        <v>0</v>
      </c>
      <c r="U2199" s="77">
        <v>0</v>
      </c>
      <c r="V2199" s="77">
        <v>157</v>
      </c>
      <c r="W2199" s="82" t="s">
        <v>5472</v>
      </c>
      <c r="X2199" s="77"/>
      <c r="Y2199" s="77"/>
      <c r="Z2199" s="77"/>
      <c r="AA2199" s="77" t="s">
        <v>7373</v>
      </c>
      <c r="AB2199" s="77" t="s">
        <v>7696</v>
      </c>
      <c r="AC2199" s="82" t="s">
        <v>7719</v>
      </c>
      <c r="AD2199" s="77" t="s">
        <v>7745</v>
      </c>
      <c r="AE2199" s="80" t="str">
        <f>HYPERLINK("https://twitter.com/carlos_fagundes/status/1615726818996195331")</f>
        <v>https://twitter.com/carlos_fagundes/status/1615726818996195331</v>
      </c>
      <c r="AF2199" s="79">
        <v>44944.62809027778</v>
      </c>
      <c r="AG2199" s="85">
        <v>44944</v>
      </c>
      <c r="AH2199" s="82" t="s">
        <v>9714</v>
      </c>
      <c r="AI2199" s="77" t="b">
        <v>0</v>
      </c>
      <c r="AJ2199" s="77"/>
      <c r="AK2199" s="77"/>
      <c r="AL2199" s="77"/>
      <c r="AM2199" s="77"/>
      <c r="AN2199" s="77"/>
      <c r="AO2199" s="77"/>
      <c r="AP2199" s="77"/>
      <c r="AQ2199" s="77" t="s">
        <v>11880</v>
      </c>
      <c r="AR2199" s="77"/>
      <c r="AS2199" s="77"/>
      <c r="AT2199" s="77"/>
      <c r="AU2199" s="77"/>
      <c r="AV2199" s="80" t="str">
        <f>HYPERLINK("https://pbs.twimg.com/media/Fmw2-q2WYAIFHEN.jpg")</f>
        <v>https://pbs.twimg.com/media/Fmw2-q2WYAIFHEN.jpg</v>
      </c>
      <c r="AW2199" s="82" t="s">
        <v>14357</v>
      </c>
      <c r="AX2199" s="82" t="s">
        <v>14357</v>
      </c>
      <c r="AY2199" s="77"/>
      <c r="AZ2199" s="82" t="s">
        <v>15804</v>
      </c>
      <c r="BA2199" s="82" t="s">
        <v>15804</v>
      </c>
      <c r="BB2199" s="82" t="s">
        <v>15804</v>
      </c>
      <c r="BC2199" s="82" t="s">
        <v>14357</v>
      </c>
      <c r="BD2199" s="77">
        <v>42907104</v>
      </c>
      <c r="BE2199" s="77"/>
      <c r="BF2199" s="77"/>
      <c r="BG2199" s="77"/>
      <c r="BH2199" s="77"/>
      <c r="BI2199" s="77"/>
    </row>
    <row r="2200" spans="1:61" x14ac:dyDescent="0.25">
      <c r="A2200" s="62" t="s">
        <v>883</v>
      </c>
      <c r="B2200" s="62" t="s">
        <v>883</v>
      </c>
      <c r="C2200" s="63"/>
      <c r="D2200" s="64"/>
      <c r="E2200" s="65"/>
      <c r="F2200" s="66"/>
      <c r="G2200" s="63"/>
      <c r="H2200" s="67"/>
      <c r="I2200" s="68"/>
      <c r="J2200" s="68"/>
      <c r="K2200" s="32"/>
      <c r="L2200" s="75">
        <v>2200</v>
      </c>
      <c r="M2200" s="75"/>
      <c r="N2200" s="70"/>
      <c r="O2200" s="77" t="s">
        <v>1132</v>
      </c>
      <c r="P2200" s="79">
        <v>45052.881041666667</v>
      </c>
      <c r="Q2200" s="77" t="s">
        <v>3246</v>
      </c>
      <c r="R2200" s="77">
        <v>0</v>
      </c>
      <c r="S2200" s="77">
        <v>0</v>
      </c>
      <c r="T2200" s="77">
        <v>0</v>
      </c>
      <c r="U2200" s="77">
        <v>0</v>
      </c>
      <c r="V2200" s="77">
        <v>90</v>
      </c>
      <c r="W2200" s="82" t="s">
        <v>5473</v>
      </c>
      <c r="X2200" s="80" t="str">
        <f>HYPERLINK("https://sincronizze.com/controle-de-gastos-como-otimizar-suas-financas-empresariais/")</f>
        <v>https://sincronizze.com/controle-de-gastos-como-otimizar-suas-financas-empresariais/</v>
      </c>
      <c r="Y2200" s="77" t="s">
        <v>6096</v>
      </c>
      <c r="Z2200" s="77"/>
      <c r="AA2200" s="77"/>
      <c r="AB2200" s="77"/>
      <c r="AC2200" s="82" t="s">
        <v>7707</v>
      </c>
      <c r="AD2200" s="77" t="s">
        <v>7746</v>
      </c>
      <c r="AE2200" s="80" t="str">
        <f>HYPERLINK("https://twitter.com/tai_follmann/status/1654956378430029824")</f>
        <v>https://twitter.com/tai_follmann/status/1654956378430029824</v>
      </c>
      <c r="AF2200" s="79">
        <v>45052.881041666667</v>
      </c>
      <c r="AG2200" s="85">
        <v>45052</v>
      </c>
      <c r="AH2200" s="82" t="s">
        <v>9715</v>
      </c>
      <c r="AI2200" s="77" t="b">
        <v>0</v>
      </c>
      <c r="AJ2200" s="77"/>
      <c r="AK2200" s="77"/>
      <c r="AL2200" s="77"/>
      <c r="AM2200" s="77"/>
      <c r="AN2200" s="77"/>
      <c r="AO2200" s="77"/>
      <c r="AP2200" s="77"/>
      <c r="AQ2200" s="77"/>
      <c r="AR2200" s="77"/>
      <c r="AS2200" s="77"/>
      <c r="AT2200" s="77"/>
      <c r="AU2200" s="77"/>
      <c r="AV2200" s="80" t="str">
        <f>HYPERLINK("https://pbs.twimg.com/profile_images/1295806876777619458/1-scEtFi_normal.jpg")</f>
        <v>https://pbs.twimg.com/profile_images/1295806876777619458/1-scEtFi_normal.jpg</v>
      </c>
      <c r="AW2200" s="82" t="s">
        <v>14358</v>
      </c>
      <c r="AX2200" s="82" t="s">
        <v>15545</v>
      </c>
      <c r="AY2200" s="82" t="s">
        <v>15777</v>
      </c>
      <c r="AZ2200" s="82" t="s">
        <v>15545</v>
      </c>
      <c r="BA2200" s="82" t="s">
        <v>15804</v>
      </c>
      <c r="BB2200" s="82" t="s">
        <v>15804</v>
      </c>
      <c r="BC2200" s="82" t="s">
        <v>15545</v>
      </c>
      <c r="BD2200" s="77">
        <v>508075094</v>
      </c>
      <c r="BE2200" s="77"/>
      <c r="BF2200" s="77"/>
      <c r="BG2200" s="77"/>
      <c r="BH2200" s="77"/>
      <c r="BI2200" s="77"/>
    </row>
    <row r="2201" spans="1:61" x14ac:dyDescent="0.25">
      <c r="A2201" s="62" t="s">
        <v>883</v>
      </c>
      <c r="B2201" s="62" t="s">
        <v>883</v>
      </c>
      <c r="C2201" s="63"/>
      <c r="D2201" s="64"/>
      <c r="E2201" s="65"/>
      <c r="F2201" s="66"/>
      <c r="G2201" s="63"/>
      <c r="H2201" s="67"/>
      <c r="I2201" s="68"/>
      <c r="J2201" s="68"/>
      <c r="K2201" s="32"/>
      <c r="L2201" s="75">
        <v>2201</v>
      </c>
      <c r="M2201" s="75"/>
      <c r="N2201" s="70"/>
      <c r="O2201" s="77" t="s">
        <v>1132</v>
      </c>
      <c r="P2201" s="79">
        <v>45068.756689814814</v>
      </c>
      <c r="Q2201" s="77" t="s">
        <v>3247</v>
      </c>
      <c r="R2201" s="77">
        <v>0</v>
      </c>
      <c r="S2201" s="77">
        <v>1</v>
      </c>
      <c r="T2201" s="77">
        <v>0</v>
      </c>
      <c r="U2201" s="77">
        <v>1</v>
      </c>
      <c r="V2201" s="77">
        <v>127</v>
      </c>
      <c r="W2201" s="82" t="s">
        <v>5474</v>
      </c>
      <c r="X2201" s="80" t="str">
        <f>HYPERLINK("https://sincronizze.com/receitas-e-despesas-a-importancia-do-equilibrio-financeiro/")</f>
        <v>https://sincronizze.com/receitas-e-despesas-a-importancia-do-equilibrio-financeiro/</v>
      </c>
      <c r="Y2201" s="77" t="s">
        <v>6096</v>
      </c>
      <c r="Z2201" s="77"/>
      <c r="AA2201" s="77"/>
      <c r="AB2201" s="77"/>
      <c r="AC2201" s="82" t="s">
        <v>7707</v>
      </c>
      <c r="AD2201" s="77" t="s">
        <v>7745</v>
      </c>
      <c r="AE2201" s="80" t="str">
        <f>HYPERLINK("https://twitter.com/tai_follmann/status/1660709517464678400")</f>
        <v>https://twitter.com/tai_follmann/status/1660709517464678400</v>
      </c>
      <c r="AF2201" s="79">
        <v>45068.756689814814</v>
      </c>
      <c r="AG2201" s="85">
        <v>45068</v>
      </c>
      <c r="AH2201" s="82" t="s">
        <v>9716</v>
      </c>
      <c r="AI2201" s="77" t="b">
        <v>0</v>
      </c>
      <c r="AJ2201" s="77"/>
      <c r="AK2201" s="77"/>
      <c r="AL2201" s="77"/>
      <c r="AM2201" s="77"/>
      <c r="AN2201" s="77"/>
      <c r="AO2201" s="77"/>
      <c r="AP2201" s="77"/>
      <c r="AQ2201" s="77"/>
      <c r="AR2201" s="77"/>
      <c r="AS2201" s="77"/>
      <c r="AT2201" s="77"/>
      <c r="AU2201" s="77"/>
      <c r="AV2201" s="80" t="str">
        <f>HYPERLINK("https://pbs.twimg.com/profile_images/1295806876777619458/1-scEtFi_normal.jpg")</f>
        <v>https://pbs.twimg.com/profile_images/1295806876777619458/1-scEtFi_normal.jpg</v>
      </c>
      <c r="AW2201" s="82" t="s">
        <v>14359</v>
      </c>
      <c r="AX2201" s="82" t="s">
        <v>15546</v>
      </c>
      <c r="AY2201" s="82" t="s">
        <v>15777</v>
      </c>
      <c r="AZ2201" s="82" t="s">
        <v>15546</v>
      </c>
      <c r="BA2201" s="82" t="s">
        <v>15804</v>
      </c>
      <c r="BB2201" s="82" t="s">
        <v>15804</v>
      </c>
      <c r="BC2201" s="82" t="s">
        <v>15546</v>
      </c>
      <c r="BD2201" s="77">
        <v>508075094</v>
      </c>
      <c r="BE2201" s="77"/>
      <c r="BF2201" s="77"/>
      <c r="BG2201" s="77"/>
      <c r="BH2201" s="77"/>
      <c r="BI2201" s="77"/>
    </row>
    <row r="2202" spans="1:61" x14ac:dyDescent="0.25">
      <c r="A2202" s="62" t="s">
        <v>884</v>
      </c>
      <c r="B2202" s="62" t="s">
        <v>884</v>
      </c>
      <c r="C2202" s="63"/>
      <c r="D2202" s="64"/>
      <c r="E2202" s="65"/>
      <c r="F2202" s="66"/>
      <c r="G2202" s="63"/>
      <c r="H2202" s="67"/>
      <c r="I2202" s="68"/>
      <c r="J2202" s="68"/>
      <c r="K2202" s="32"/>
      <c r="L2202" s="75">
        <v>2202</v>
      </c>
      <c r="M2202" s="75"/>
      <c r="N2202" s="70"/>
      <c r="O2202" s="77" t="s">
        <v>179</v>
      </c>
      <c r="P2202" s="79">
        <v>45159.965277777781</v>
      </c>
      <c r="Q2202" s="77" t="s">
        <v>3248</v>
      </c>
      <c r="R2202" s="77">
        <v>0</v>
      </c>
      <c r="S2202" s="77">
        <v>0</v>
      </c>
      <c r="T2202" s="77">
        <v>0</v>
      </c>
      <c r="U2202" s="77">
        <v>0</v>
      </c>
      <c r="V2202" s="77">
        <v>36</v>
      </c>
      <c r="W2202" s="82" t="s">
        <v>5475</v>
      </c>
      <c r="X2202" s="80" t="str">
        <f>HYPERLINK("https://cursoscda.com.br/cursos/psicologia/curso-online-psicologia-financeira")</f>
        <v>https://cursoscda.com.br/cursos/psicologia/curso-online-psicologia-financeira</v>
      </c>
      <c r="Y2202" s="77" t="s">
        <v>6002</v>
      </c>
      <c r="Z2202" s="77"/>
      <c r="AA2202" s="77" t="s">
        <v>7374</v>
      </c>
      <c r="AB2202" s="77" t="s">
        <v>7697</v>
      </c>
      <c r="AC2202" s="82" t="s">
        <v>7706</v>
      </c>
      <c r="AD2202" s="77" t="s">
        <v>7745</v>
      </c>
      <c r="AE2202" s="80" t="str">
        <f>HYPERLINK("https://twitter.com/plataformacda/status/1693762403312238774")</f>
        <v>https://twitter.com/plataformacda/status/1693762403312238774</v>
      </c>
      <c r="AF2202" s="79">
        <v>45159.965277777781</v>
      </c>
      <c r="AG2202" s="85">
        <v>45159</v>
      </c>
      <c r="AH2202" s="82" t="s">
        <v>9717</v>
      </c>
      <c r="AI2202" s="77" t="b">
        <v>0</v>
      </c>
      <c r="AJ2202" s="77"/>
      <c r="AK2202" s="77"/>
      <c r="AL2202" s="77"/>
      <c r="AM2202" s="77"/>
      <c r="AN2202" s="77"/>
      <c r="AO2202" s="77"/>
      <c r="AP2202" s="77"/>
      <c r="AQ2202" s="77" t="s">
        <v>11881</v>
      </c>
      <c r="AR2202" s="77">
        <v>21800</v>
      </c>
      <c r="AS2202" s="77"/>
      <c r="AT2202" s="77"/>
      <c r="AU2202" s="77">
        <v>4</v>
      </c>
      <c r="AV2202" s="80" t="str">
        <f>HYPERLINK("https://pbs.twimg.com/ext_tw_video_thumb/1693136233004679169/pu/img/alPiw8o4ZRd8F2JL.jpg")</f>
        <v>https://pbs.twimg.com/ext_tw_video_thumb/1693136233004679169/pu/img/alPiw8o4ZRd8F2JL.jpg</v>
      </c>
      <c r="AW2202" s="82" t="s">
        <v>14360</v>
      </c>
      <c r="AX2202" s="82" t="s">
        <v>14360</v>
      </c>
      <c r="AY2202" s="77"/>
      <c r="AZ2202" s="82" t="s">
        <v>15804</v>
      </c>
      <c r="BA2202" s="82" t="s">
        <v>15804</v>
      </c>
      <c r="BB2202" s="82" t="s">
        <v>15804</v>
      </c>
      <c r="BC2202" s="82" t="s">
        <v>14360</v>
      </c>
      <c r="BD2202" s="82" t="s">
        <v>16515</v>
      </c>
      <c r="BE2202" s="77"/>
      <c r="BF2202" s="77"/>
      <c r="BG2202" s="77"/>
      <c r="BH2202" s="77"/>
      <c r="BI2202" s="77"/>
    </row>
    <row r="2203" spans="1:61" x14ac:dyDescent="0.25">
      <c r="A2203" s="62" t="s">
        <v>885</v>
      </c>
      <c r="B2203" s="62" t="s">
        <v>885</v>
      </c>
      <c r="C2203" s="63"/>
      <c r="D2203" s="64"/>
      <c r="E2203" s="65"/>
      <c r="F2203" s="66"/>
      <c r="G2203" s="63"/>
      <c r="H2203" s="67"/>
      <c r="I2203" s="68"/>
      <c r="J2203" s="68"/>
      <c r="K2203" s="32"/>
      <c r="L2203" s="75">
        <v>2203</v>
      </c>
      <c r="M2203" s="75"/>
      <c r="N2203" s="70"/>
      <c r="O2203" s="77" t="s">
        <v>179</v>
      </c>
      <c r="P2203" s="79">
        <v>45076.411724537036</v>
      </c>
      <c r="Q2203" s="77" t="s">
        <v>3249</v>
      </c>
      <c r="R2203" s="77">
        <v>0</v>
      </c>
      <c r="S2203" s="77">
        <v>0</v>
      </c>
      <c r="T2203" s="77">
        <v>0</v>
      </c>
      <c r="U2203" s="77">
        <v>0</v>
      </c>
      <c r="V2203" s="77">
        <v>33</v>
      </c>
      <c r="W2203" s="82" t="s">
        <v>5476</v>
      </c>
      <c r="X2203" s="80" t="str">
        <f>HYPERLINK("https://www.instagram.com/cmc_ao/")</f>
        <v>https://www.instagram.com/cmc_ao/</v>
      </c>
      <c r="Y2203" s="77" t="s">
        <v>6000</v>
      </c>
      <c r="Z2203" s="77"/>
      <c r="AA2203" s="77" t="s">
        <v>7375</v>
      </c>
      <c r="AB2203" s="77" t="s">
        <v>7696</v>
      </c>
      <c r="AC2203" s="82" t="s">
        <v>7706</v>
      </c>
      <c r="AD2203" s="77" t="s">
        <v>7745</v>
      </c>
      <c r="AE2203" s="80" t="str">
        <f>HYPERLINK("https://twitter.com/cmc_ao/status/1663483612002385923")</f>
        <v>https://twitter.com/cmc_ao/status/1663483612002385923</v>
      </c>
      <c r="AF2203" s="79">
        <v>45076.411724537036</v>
      </c>
      <c r="AG2203" s="85">
        <v>45076</v>
      </c>
      <c r="AH2203" s="82" t="s">
        <v>9718</v>
      </c>
      <c r="AI2203" s="77" t="b">
        <v>0</v>
      </c>
      <c r="AJ2203" s="77"/>
      <c r="AK2203" s="77"/>
      <c r="AL2203" s="77"/>
      <c r="AM2203" s="77"/>
      <c r="AN2203" s="77"/>
      <c r="AO2203" s="77"/>
      <c r="AP2203" s="77"/>
      <c r="AQ2203" s="77" t="s">
        <v>11882</v>
      </c>
      <c r="AR2203" s="77"/>
      <c r="AS2203" s="77"/>
      <c r="AT2203" s="77"/>
      <c r="AU2203" s="77"/>
      <c r="AV2203" s="80" t="str">
        <f>HYPERLINK("https://pbs.twimg.com/media/FxXf9zzWYAA1yt4.jpg")</f>
        <v>https://pbs.twimg.com/media/FxXf9zzWYAA1yt4.jpg</v>
      </c>
      <c r="AW2203" s="82" t="s">
        <v>14361</v>
      </c>
      <c r="AX2203" s="82" t="s">
        <v>14361</v>
      </c>
      <c r="AY2203" s="77"/>
      <c r="AZ2203" s="82" t="s">
        <v>15804</v>
      </c>
      <c r="BA2203" s="82" t="s">
        <v>15804</v>
      </c>
      <c r="BB2203" s="82" t="s">
        <v>15804</v>
      </c>
      <c r="BC2203" s="82" t="s">
        <v>14361</v>
      </c>
      <c r="BD2203" s="82" t="s">
        <v>16516</v>
      </c>
      <c r="BE2203" s="77"/>
      <c r="BF2203" s="77"/>
      <c r="BG2203" s="77"/>
      <c r="BH2203" s="77"/>
      <c r="BI2203" s="77"/>
    </row>
    <row r="2204" spans="1:61" x14ac:dyDescent="0.25">
      <c r="A2204" s="62" t="s">
        <v>886</v>
      </c>
      <c r="B2204" s="62" t="s">
        <v>886</v>
      </c>
      <c r="C2204" s="63"/>
      <c r="D2204" s="64"/>
      <c r="E2204" s="65"/>
      <c r="F2204" s="66"/>
      <c r="G2204" s="63"/>
      <c r="H2204" s="67"/>
      <c r="I2204" s="68"/>
      <c r="J2204" s="68"/>
      <c r="K2204" s="32"/>
      <c r="L2204" s="75">
        <v>2204</v>
      </c>
      <c r="M2204" s="75"/>
      <c r="N2204" s="70"/>
      <c r="O2204" s="77" t="s">
        <v>179</v>
      </c>
      <c r="P2204" s="79">
        <v>44929.914004629631</v>
      </c>
      <c r="Q2204" s="77" t="s">
        <v>3250</v>
      </c>
      <c r="R2204" s="77">
        <v>0</v>
      </c>
      <c r="S2204" s="77">
        <v>1</v>
      </c>
      <c r="T2204" s="77">
        <v>0</v>
      </c>
      <c r="U2204" s="77">
        <v>0</v>
      </c>
      <c r="V2204" s="77">
        <v>374</v>
      </c>
      <c r="W2204" s="82" t="s">
        <v>5477</v>
      </c>
      <c r="X2204" s="77"/>
      <c r="Y2204" s="77"/>
      <c r="Z2204" s="77"/>
      <c r="AA2204" s="77" t="s">
        <v>7376</v>
      </c>
      <c r="AB2204" s="77" t="s">
        <v>7697</v>
      </c>
      <c r="AC2204" s="82" t="s">
        <v>7707</v>
      </c>
      <c r="AD2204" s="77" t="s">
        <v>7745</v>
      </c>
      <c r="AE2204" s="80" t="str">
        <f>HYPERLINK("https://twitter.com/moneyraio/status/1610394613881217025")</f>
        <v>https://twitter.com/moneyraio/status/1610394613881217025</v>
      </c>
      <c r="AF2204" s="79">
        <v>44929.914004629631</v>
      </c>
      <c r="AG2204" s="85">
        <v>44929</v>
      </c>
      <c r="AH2204" s="82" t="s">
        <v>9719</v>
      </c>
      <c r="AI2204" s="77" t="b">
        <v>0</v>
      </c>
      <c r="AJ2204" s="77"/>
      <c r="AK2204" s="77"/>
      <c r="AL2204" s="77"/>
      <c r="AM2204" s="77"/>
      <c r="AN2204" s="77"/>
      <c r="AO2204" s="77"/>
      <c r="AP2204" s="77"/>
      <c r="AQ2204" s="77" t="s">
        <v>11883</v>
      </c>
      <c r="AR2204" s="77">
        <v>44994</v>
      </c>
      <c r="AS2204" s="77"/>
      <c r="AT2204" s="77"/>
      <c r="AU2204" s="77">
        <v>139</v>
      </c>
      <c r="AV2204" s="80" t="str">
        <f>HYPERLINK("https://pbs.twimg.com/ext_tw_video_thumb/1610394536647221249/pu/img/HplV8RlAZQG8t67Y.jpg")</f>
        <v>https://pbs.twimg.com/ext_tw_video_thumb/1610394536647221249/pu/img/HplV8RlAZQG8t67Y.jpg</v>
      </c>
      <c r="AW2204" s="82" t="s">
        <v>14362</v>
      </c>
      <c r="AX2204" s="82" t="s">
        <v>14362</v>
      </c>
      <c r="AY2204" s="77"/>
      <c r="AZ2204" s="82" t="s">
        <v>15804</v>
      </c>
      <c r="BA2204" s="82" t="s">
        <v>15804</v>
      </c>
      <c r="BB2204" s="82" t="s">
        <v>15804</v>
      </c>
      <c r="BC2204" s="82" t="s">
        <v>14362</v>
      </c>
      <c r="BD2204" s="82" t="s">
        <v>16517</v>
      </c>
      <c r="BE2204" s="77"/>
      <c r="BF2204" s="77"/>
      <c r="BG2204" s="77"/>
      <c r="BH2204" s="77"/>
      <c r="BI2204" s="77"/>
    </row>
    <row r="2205" spans="1:61" x14ac:dyDescent="0.25">
      <c r="A2205" s="62" t="s">
        <v>887</v>
      </c>
      <c r="B2205" s="62" t="s">
        <v>1058</v>
      </c>
      <c r="C2205" s="63"/>
      <c r="D2205" s="64"/>
      <c r="E2205" s="65"/>
      <c r="F2205" s="66"/>
      <c r="G2205" s="63"/>
      <c r="H2205" s="67"/>
      <c r="I2205" s="68"/>
      <c r="J2205" s="68"/>
      <c r="K2205" s="32"/>
      <c r="L2205" s="75">
        <v>2205</v>
      </c>
      <c r="M2205" s="75"/>
      <c r="N2205" s="70"/>
      <c r="O2205" s="77" t="s">
        <v>1133</v>
      </c>
      <c r="P2205" s="79">
        <v>45113.519641203704</v>
      </c>
      <c r="Q2205" s="77" t="s">
        <v>3251</v>
      </c>
      <c r="R2205" s="77">
        <v>0</v>
      </c>
      <c r="S2205" s="77">
        <v>0</v>
      </c>
      <c r="T2205" s="77">
        <v>0</v>
      </c>
      <c r="U2205" s="77">
        <v>0</v>
      </c>
      <c r="V2205" s="77">
        <v>6</v>
      </c>
      <c r="W2205" s="82" t="s">
        <v>5478</v>
      </c>
      <c r="X2205" s="77" t="s">
        <v>5997</v>
      </c>
      <c r="Y2205" s="77" t="s">
        <v>6097</v>
      </c>
      <c r="Z2205" s="77" t="s">
        <v>1058</v>
      </c>
      <c r="AA2205" s="77"/>
      <c r="AB2205" s="77"/>
      <c r="AC2205" s="82" t="s">
        <v>7706</v>
      </c>
      <c r="AD2205" s="77" t="s">
        <v>7745</v>
      </c>
      <c r="AE2205" s="80" t="str">
        <f>HYPERLINK("https://twitter.com/pammalpari/status/1676931071429029889")</f>
        <v>https://twitter.com/pammalpari/status/1676931071429029889</v>
      </c>
      <c r="AF2205" s="79">
        <v>45113.519641203704</v>
      </c>
      <c r="AG2205" s="85">
        <v>45113</v>
      </c>
      <c r="AH2205" s="82" t="s">
        <v>9720</v>
      </c>
      <c r="AI2205" s="77" t="b">
        <v>0</v>
      </c>
      <c r="AJ2205" s="77"/>
      <c r="AK2205" s="77"/>
      <c r="AL2205" s="77"/>
      <c r="AM2205" s="77"/>
      <c r="AN2205" s="77"/>
      <c r="AO2205" s="77"/>
      <c r="AP2205" s="77"/>
      <c r="AQ2205" s="77"/>
      <c r="AR2205" s="77"/>
      <c r="AS2205" s="77"/>
      <c r="AT2205" s="77"/>
      <c r="AU2205" s="77"/>
      <c r="AV2205" s="80" t="str">
        <f>HYPERLINK("https://pbs.twimg.com/profile_images/1670472902548881408/53JoE7v2_normal.jpg")</f>
        <v>https://pbs.twimg.com/profile_images/1670472902548881408/53JoE7v2_normal.jpg</v>
      </c>
      <c r="AW2205" s="82" t="s">
        <v>14363</v>
      </c>
      <c r="AX2205" s="82" t="s">
        <v>14363</v>
      </c>
      <c r="AY2205" s="77"/>
      <c r="AZ2205" s="82" t="s">
        <v>15804</v>
      </c>
      <c r="BA2205" s="82" t="s">
        <v>15804</v>
      </c>
      <c r="BB2205" s="82" t="s">
        <v>15804</v>
      </c>
      <c r="BC2205" s="82" t="s">
        <v>14363</v>
      </c>
      <c r="BD2205" s="82" t="s">
        <v>16518</v>
      </c>
      <c r="BE2205" s="77"/>
      <c r="BF2205" s="77"/>
      <c r="BG2205" s="77"/>
      <c r="BH2205" s="77"/>
      <c r="BI2205" s="77"/>
    </row>
    <row r="2206" spans="1:61" x14ac:dyDescent="0.25">
      <c r="A2206" s="62" t="s">
        <v>888</v>
      </c>
      <c r="B2206" s="62" t="s">
        <v>888</v>
      </c>
      <c r="C2206" s="63"/>
      <c r="D2206" s="64"/>
      <c r="E2206" s="65"/>
      <c r="F2206" s="66"/>
      <c r="G2206" s="63"/>
      <c r="H2206" s="67"/>
      <c r="I2206" s="68"/>
      <c r="J2206" s="68"/>
      <c r="K2206" s="32"/>
      <c r="L2206" s="75">
        <v>2206</v>
      </c>
      <c r="M2206" s="75"/>
      <c r="N2206" s="70"/>
      <c r="O2206" s="77" t="s">
        <v>1132</v>
      </c>
      <c r="P2206" s="79">
        <v>45077.665613425925</v>
      </c>
      <c r="Q2206" s="77" t="s">
        <v>3252</v>
      </c>
      <c r="R2206" s="77">
        <v>0</v>
      </c>
      <c r="S2206" s="77">
        <v>0</v>
      </c>
      <c r="T2206" s="77">
        <v>0</v>
      </c>
      <c r="U2206" s="77">
        <v>0</v>
      </c>
      <c r="V2206" s="77">
        <v>18</v>
      </c>
      <c r="W2206" s="82" t="s">
        <v>5479</v>
      </c>
      <c r="X2206" s="77"/>
      <c r="Y2206" s="77"/>
      <c r="Z2206" s="77"/>
      <c r="AA2206" s="77"/>
      <c r="AB2206" s="77"/>
      <c r="AC2206" s="82" t="s">
        <v>7707</v>
      </c>
      <c r="AD2206" s="77" t="s">
        <v>7748</v>
      </c>
      <c r="AE2206" s="80" t="str">
        <f>HYPERLINK("https://twitter.com/_oiisaias/status/1663938004405170176")</f>
        <v>https://twitter.com/_oiisaias/status/1663938004405170176</v>
      </c>
      <c r="AF2206" s="79">
        <v>45077.665613425925</v>
      </c>
      <c r="AG2206" s="85">
        <v>45077</v>
      </c>
      <c r="AH2206" s="82" t="s">
        <v>9721</v>
      </c>
      <c r="AI2206" s="77"/>
      <c r="AJ2206" s="77"/>
      <c r="AK2206" s="77"/>
      <c r="AL2206" s="77"/>
      <c r="AM2206" s="77"/>
      <c r="AN2206" s="77"/>
      <c r="AO2206" s="77"/>
      <c r="AP2206" s="77"/>
      <c r="AQ2206" s="77"/>
      <c r="AR2206" s="77"/>
      <c r="AS2206" s="77"/>
      <c r="AT2206" s="77"/>
      <c r="AU2206" s="77"/>
      <c r="AV2206" s="80" t="str">
        <f>HYPERLINK("https://pbs.twimg.com/profile_images/1635068222520082433/XJfmiY0Q_normal.jpg")</f>
        <v>https://pbs.twimg.com/profile_images/1635068222520082433/XJfmiY0Q_normal.jpg</v>
      </c>
      <c r="AW2206" s="82" t="s">
        <v>14364</v>
      </c>
      <c r="AX2206" s="82" t="s">
        <v>15547</v>
      </c>
      <c r="AY2206" s="82" t="s">
        <v>15778</v>
      </c>
      <c r="AZ2206" s="82" t="s">
        <v>16070</v>
      </c>
      <c r="BA2206" s="82" t="s">
        <v>15804</v>
      </c>
      <c r="BB2206" s="82" t="s">
        <v>15804</v>
      </c>
      <c r="BC2206" s="82" t="s">
        <v>16070</v>
      </c>
      <c r="BD2206" s="82" t="s">
        <v>15778</v>
      </c>
      <c r="BE2206" s="77"/>
      <c r="BF2206" s="77"/>
      <c r="BG2206" s="77"/>
      <c r="BH2206" s="77"/>
      <c r="BI2206" s="77"/>
    </row>
    <row r="2207" spans="1:61" x14ac:dyDescent="0.25">
      <c r="A2207" s="62" t="s">
        <v>889</v>
      </c>
      <c r="B2207" s="62" t="s">
        <v>889</v>
      </c>
      <c r="C2207" s="63"/>
      <c r="D2207" s="64"/>
      <c r="E2207" s="65"/>
      <c r="F2207" s="66"/>
      <c r="G2207" s="63"/>
      <c r="H2207" s="67"/>
      <c r="I2207" s="68"/>
      <c r="J2207" s="68"/>
      <c r="K2207" s="32"/>
      <c r="L2207" s="75">
        <v>2207</v>
      </c>
      <c r="M2207" s="75"/>
      <c r="N2207" s="70"/>
      <c r="O2207" s="77" t="s">
        <v>179</v>
      </c>
      <c r="P2207" s="79">
        <v>44977.757291666669</v>
      </c>
      <c r="Q2207" s="77" t="s">
        <v>3253</v>
      </c>
      <c r="R2207" s="77">
        <v>0</v>
      </c>
      <c r="S2207" s="77">
        <v>0</v>
      </c>
      <c r="T2207" s="77">
        <v>0</v>
      </c>
      <c r="U2207" s="77">
        <v>0</v>
      </c>
      <c r="V2207" s="77">
        <v>36</v>
      </c>
      <c r="W2207" s="82" t="s">
        <v>5480</v>
      </c>
      <c r="X2207" s="77"/>
      <c r="Y2207" s="77"/>
      <c r="Z2207" s="77"/>
      <c r="AA2207" s="77" t="s">
        <v>7377</v>
      </c>
      <c r="AB2207" s="77" t="s">
        <v>7700</v>
      </c>
      <c r="AC2207" s="82" t="s">
        <v>7705</v>
      </c>
      <c r="AD2207" s="77" t="s">
        <v>7745</v>
      </c>
      <c r="AE2207" s="80" t="str">
        <f>HYPERLINK("https://twitter.com/superrico_br/status/1627732439656288259")</f>
        <v>https://twitter.com/superrico_br/status/1627732439656288259</v>
      </c>
      <c r="AF2207" s="79">
        <v>44977.757291666669</v>
      </c>
      <c r="AG2207" s="85">
        <v>44977</v>
      </c>
      <c r="AH2207" s="82" t="s">
        <v>9722</v>
      </c>
      <c r="AI2207" s="77" t="b">
        <v>0</v>
      </c>
      <c r="AJ2207" s="77"/>
      <c r="AK2207" s="77"/>
      <c r="AL2207" s="77"/>
      <c r="AM2207" s="77"/>
      <c r="AN2207" s="77"/>
      <c r="AO2207" s="77"/>
      <c r="AP2207" s="77"/>
      <c r="AQ2207" s="77" t="s">
        <v>11884</v>
      </c>
      <c r="AR2207" s="77"/>
      <c r="AS2207" s="77"/>
      <c r="AT2207" s="77"/>
      <c r="AU2207" s="77"/>
      <c r="AV2207" s="80" t="str">
        <f>HYPERLINK("https://pbs.twimg.com/media/Fpbd_x3XEAAsICo.jpg")</f>
        <v>https://pbs.twimg.com/media/Fpbd_x3XEAAsICo.jpg</v>
      </c>
      <c r="AW2207" s="82" t="s">
        <v>14365</v>
      </c>
      <c r="AX2207" s="82" t="s">
        <v>14365</v>
      </c>
      <c r="AY2207" s="77"/>
      <c r="AZ2207" s="82" t="s">
        <v>15804</v>
      </c>
      <c r="BA2207" s="82" t="s">
        <v>15804</v>
      </c>
      <c r="BB2207" s="82" t="s">
        <v>15804</v>
      </c>
      <c r="BC2207" s="82" t="s">
        <v>14365</v>
      </c>
      <c r="BD2207" s="77">
        <v>2836439422</v>
      </c>
      <c r="BE2207" s="77"/>
      <c r="BF2207" s="77"/>
      <c r="BG2207" s="77"/>
      <c r="BH2207" s="77"/>
      <c r="BI2207" s="77"/>
    </row>
    <row r="2208" spans="1:61" x14ac:dyDescent="0.25">
      <c r="A2208" s="62" t="s">
        <v>889</v>
      </c>
      <c r="B2208" s="62" t="s">
        <v>889</v>
      </c>
      <c r="C2208" s="63"/>
      <c r="D2208" s="64"/>
      <c r="E2208" s="65"/>
      <c r="F2208" s="66"/>
      <c r="G2208" s="63"/>
      <c r="H2208" s="67"/>
      <c r="I2208" s="68"/>
      <c r="J2208" s="68"/>
      <c r="K2208" s="32"/>
      <c r="L2208" s="75">
        <v>2208</v>
      </c>
      <c r="M2208" s="75"/>
      <c r="N2208" s="70"/>
      <c r="O2208" s="77" t="s">
        <v>179</v>
      </c>
      <c r="P2208" s="79">
        <v>44975.879814814813</v>
      </c>
      <c r="Q2208" s="77" t="s">
        <v>3254</v>
      </c>
      <c r="R2208" s="77">
        <v>0</v>
      </c>
      <c r="S2208" s="77">
        <v>0</v>
      </c>
      <c r="T2208" s="77">
        <v>0</v>
      </c>
      <c r="U2208" s="77">
        <v>0</v>
      </c>
      <c r="V2208" s="77">
        <v>21</v>
      </c>
      <c r="W2208" s="82" t="s">
        <v>5481</v>
      </c>
      <c r="X2208" s="80" t="str">
        <f>HYPERLINK("https://www.superrico.com.br/para-planejadores-financeiros/")</f>
        <v>https://www.superrico.com.br/para-planejadores-financeiros/</v>
      </c>
      <c r="Y2208" s="77" t="s">
        <v>6002</v>
      </c>
      <c r="Z2208" s="77"/>
      <c r="AA2208" s="77" t="s">
        <v>7378</v>
      </c>
      <c r="AB2208" s="77" t="s">
        <v>7700</v>
      </c>
      <c r="AC2208" s="82" t="s">
        <v>7705</v>
      </c>
      <c r="AD2208" s="77" t="s">
        <v>7745</v>
      </c>
      <c r="AE2208" s="80" t="str">
        <f>HYPERLINK("https://twitter.com/superrico_br/status/1627052065976471553")</f>
        <v>https://twitter.com/superrico_br/status/1627052065976471553</v>
      </c>
      <c r="AF2208" s="79">
        <v>44975.879814814813</v>
      </c>
      <c r="AG2208" s="85">
        <v>44975</v>
      </c>
      <c r="AH2208" s="82" t="s">
        <v>9723</v>
      </c>
      <c r="AI2208" s="77" t="b">
        <v>0</v>
      </c>
      <c r="AJ2208" s="77"/>
      <c r="AK2208" s="77"/>
      <c r="AL2208" s="77"/>
      <c r="AM2208" s="77"/>
      <c r="AN2208" s="77"/>
      <c r="AO2208" s="77"/>
      <c r="AP2208" s="77"/>
      <c r="AQ2208" s="77" t="s">
        <v>11885</v>
      </c>
      <c r="AR2208" s="77"/>
      <c r="AS2208" s="77"/>
      <c r="AT2208" s="77"/>
      <c r="AU2208" s="77"/>
      <c r="AV2208" s="80" t="str">
        <f>HYPERLINK("https://pbs.twimg.com/media/FpRzOmfXsAArFEE.jpg")</f>
        <v>https://pbs.twimg.com/media/FpRzOmfXsAArFEE.jpg</v>
      </c>
      <c r="AW2208" s="82" t="s">
        <v>14366</v>
      </c>
      <c r="AX2208" s="82" t="s">
        <v>14366</v>
      </c>
      <c r="AY2208" s="77"/>
      <c r="AZ2208" s="82" t="s">
        <v>15804</v>
      </c>
      <c r="BA2208" s="82" t="s">
        <v>15804</v>
      </c>
      <c r="BB2208" s="82" t="s">
        <v>15804</v>
      </c>
      <c r="BC2208" s="82" t="s">
        <v>14366</v>
      </c>
      <c r="BD2208" s="77">
        <v>2836439422</v>
      </c>
      <c r="BE2208" s="77"/>
      <c r="BF2208" s="77"/>
      <c r="BG2208" s="77"/>
      <c r="BH2208" s="77"/>
      <c r="BI2208" s="77"/>
    </row>
    <row r="2209" spans="1:61" x14ac:dyDescent="0.25">
      <c r="A2209" s="62" t="s">
        <v>889</v>
      </c>
      <c r="B2209" s="62" t="s">
        <v>889</v>
      </c>
      <c r="C2209" s="63"/>
      <c r="D2209" s="64"/>
      <c r="E2209" s="65"/>
      <c r="F2209" s="66"/>
      <c r="G2209" s="63"/>
      <c r="H2209" s="67"/>
      <c r="I2209" s="68"/>
      <c r="J2209" s="68"/>
      <c r="K2209" s="32"/>
      <c r="L2209" s="75">
        <v>2209</v>
      </c>
      <c r="M2209" s="75"/>
      <c r="N2209" s="70"/>
      <c r="O2209" s="77" t="s">
        <v>179</v>
      </c>
      <c r="P2209" s="79">
        <v>45024.669108796297</v>
      </c>
      <c r="Q2209" s="77" t="s">
        <v>3255</v>
      </c>
      <c r="R2209" s="77">
        <v>0</v>
      </c>
      <c r="S2209" s="77">
        <v>0</v>
      </c>
      <c r="T2209" s="77">
        <v>0</v>
      </c>
      <c r="U2209" s="77">
        <v>0</v>
      </c>
      <c r="V2209" s="77">
        <v>24</v>
      </c>
      <c r="W2209" s="82" t="s">
        <v>5482</v>
      </c>
      <c r="X2209" s="77"/>
      <c r="Y2209" s="77"/>
      <c r="Z2209" s="77"/>
      <c r="AA2209" s="77" t="s">
        <v>7379</v>
      </c>
      <c r="AB2209" s="77" t="s">
        <v>7700</v>
      </c>
      <c r="AC2209" s="82" t="s">
        <v>7705</v>
      </c>
      <c r="AD2209" s="77" t="s">
        <v>7745</v>
      </c>
      <c r="AE2209" s="80" t="str">
        <f>HYPERLINK("https://twitter.com/superrico_br/status/1644732715994947584")</f>
        <v>https://twitter.com/superrico_br/status/1644732715994947584</v>
      </c>
      <c r="AF2209" s="79">
        <v>45024.669108796297</v>
      </c>
      <c r="AG2209" s="85">
        <v>45024</v>
      </c>
      <c r="AH2209" s="82" t="s">
        <v>9724</v>
      </c>
      <c r="AI2209" s="77" t="b">
        <v>0</v>
      </c>
      <c r="AJ2209" s="77"/>
      <c r="AK2209" s="77"/>
      <c r="AL2209" s="77"/>
      <c r="AM2209" s="77"/>
      <c r="AN2209" s="77"/>
      <c r="AO2209" s="77"/>
      <c r="AP2209" s="77"/>
      <c r="AQ2209" s="77" t="s">
        <v>11886</v>
      </c>
      <c r="AR2209" s="77"/>
      <c r="AS2209" s="77"/>
      <c r="AT2209" s="77"/>
      <c r="AU2209" s="77"/>
      <c r="AV2209" s="80" t="str">
        <f>HYPERLINK("https://pbs.twimg.com/media/FtNDr7XWYAIz1lE.jpg")</f>
        <v>https://pbs.twimg.com/media/FtNDr7XWYAIz1lE.jpg</v>
      </c>
      <c r="AW2209" s="82" t="s">
        <v>14367</v>
      </c>
      <c r="AX2209" s="82" t="s">
        <v>14367</v>
      </c>
      <c r="AY2209" s="77"/>
      <c r="AZ2209" s="82" t="s">
        <v>15804</v>
      </c>
      <c r="BA2209" s="82" t="s">
        <v>15804</v>
      </c>
      <c r="BB2209" s="82" t="s">
        <v>15804</v>
      </c>
      <c r="BC2209" s="82" t="s">
        <v>14367</v>
      </c>
      <c r="BD2209" s="77">
        <v>2836439422</v>
      </c>
      <c r="BE2209" s="77"/>
      <c r="BF2209" s="77"/>
      <c r="BG2209" s="77"/>
      <c r="BH2209" s="77"/>
      <c r="BI2209" s="77"/>
    </row>
    <row r="2210" spans="1:61" x14ac:dyDescent="0.25">
      <c r="A2210" s="62" t="s">
        <v>889</v>
      </c>
      <c r="B2210" s="62" t="s">
        <v>889</v>
      </c>
      <c r="C2210" s="63"/>
      <c r="D2210" s="64"/>
      <c r="E2210" s="65"/>
      <c r="F2210" s="66"/>
      <c r="G2210" s="63"/>
      <c r="H2210" s="67"/>
      <c r="I2210" s="68"/>
      <c r="J2210" s="68"/>
      <c r="K2210" s="32"/>
      <c r="L2210" s="75">
        <v>2210</v>
      </c>
      <c r="M2210" s="75"/>
      <c r="N2210" s="70"/>
      <c r="O2210" s="77" t="s">
        <v>179</v>
      </c>
      <c r="P2210" s="79">
        <v>44968.577870370369</v>
      </c>
      <c r="Q2210" s="77" t="s">
        <v>3256</v>
      </c>
      <c r="R2210" s="77">
        <v>0</v>
      </c>
      <c r="S2210" s="77">
        <v>0</v>
      </c>
      <c r="T2210" s="77">
        <v>0</v>
      </c>
      <c r="U2210" s="77">
        <v>0</v>
      </c>
      <c r="V2210" s="77">
        <v>24</v>
      </c>
      <c r="W2210" s="82" t="s">
        <v>5481</v>
      </c>
      <c r="X2210" s="77"/>
      <c r="Y2210" s="77"/>
      <c r="Z2210" s="77"/>
      <c r="AA2210" s="77" t="s">
        <v>7380</v>
      </c>
      <c r="AB2210" s="77" t="s">
        <v>7700</v>
      </c>
      <c r="AC2210" s="82" t="s">
        <v>7705</v>
      </c>
      <c r="AD2210" s="77" t="s">
        <v>7745</v>
      </c>
      <c r="AE2210" s="80" t="str">
        <f>HYPERLINK("https://twitter.com/superrico_br/status/1624405930824671237")</f>
        <v>https://twitter.com/superrico_br/status/1624405930824671237</v>
      </c>
      <c r="AF2210" s="79">
        <v>44968.577870370369</v>
      </c>
      <c r="AG2210" s="85">
        <v>44968</v>
      </c>
      <c r="AH2210" s="82" t="s">
        <v>9725</v>
      </c>
      <c r="AI2210" s="77" t="b">
        <v>0</v>
      </c>
      <c r="AJ2210" s="77"/>
      <c r="AK2210" s="77"/>
      <c r="AL2210" s="77"/>
      <c r="AM2210" s="77"/>
      <c r="AN2210" s="77"/>
      <c r="AO2210" s="77"/>
      <c r="AP2210" s="77"/>
      <c r="AQ2210" s="77" t="s">
        <v>11887</v>
      </c>
      <c r="AR2210" s="77"/>
      <c r="AS2210" s="77"/>
      <c r="AT2210" s="77"/>
      <c r="AU2210" s="77"/>
      <c r="AV2210" s="80" t="str">
        <f>HYPERLINK("https://pbs.twimg.com/media/FosMkxEXsAEMdGe.jpg")</f>
        <v>https://pbs.twimg.com/media/FosMkxEXsAEMdGe.jpg</v>
      </c>
      <c r="AW2210" s="82" t="s">
        <v>14368</v>
      </c>
      <c r="AX2210" s="82" t="s">
        <v>14368</v>
      </c>
      <c r="AY2210" s="77"/>
      <c r="AZ2210" s="82" t="s">
        <v>15804</v>
      </c>
      <c r="BA2210" s="82" t="s">
        <v>15804</v>
      </c>
      <c r="BB2210" s="82" t="s">
        <v>15804</v>
      </c>
      <c r="BC2210" s="82" t="s">
        <v>14368</v>
      </c>
      <c r="BD2210" s="77">
        <v>2836439422</v>
      </c>
      <c r="BE2210" s="77"/>
      <c r="BF2210" s="77"/>
      <c r="BG2210" s="77"/>
      <c r="BH2210" s="77"/>
      <c r="BI2210" s="77"/>
    </row>
    <row r="2211" spans="1:61" x14ac:dyDescent="0.25">
      <c r="A2211" s="62" t="s">
        <v>889</v>
      </c>
      <c r="B2211" s="62" t="s">
        <v>889</v>
      </c>
      <c r="C2211" s="63"/>
      <c r="D2211" s="64"/>
      <c r="E2211" s="65"/>
      <c r="F2211" s="66"/>
      <c r="G2211" s="63"/>
      <c r="H2211" s="67"/>
      <c r="I2211" s="68"/>
      <c r="J2211" s="68"/>
      <c r="K2211" s="32"/>
      <c r="L2211" s="75">
        <v>2211</v>
      </c>
      <c r="M2211" s="75"/>
      <c r="N2211" s="70"/>
      <c r="O2211" s="77" t="s">
        <v>179</v>
      </c>
      <c r="P2211" s="79">
        <v>45050.011064814818</v>
      </c>
      <c r="Q2211" s="77" t="s">
        <v>3257</v>
      </c>
      <c r="R2211" s="77">
        <v>0</v>
      </c>
      <c r="S2211" s="77">
        <v>0</v>
      </c>
      <c r="T2211" s="77">
        <v>0</v>
      </c>
      <c r="U2211" s="77">
        <v>0</v>
      </c>
      <c r="V2211" s="77">
        <v>16</v>
      </c>
      <c r="W2211" s="82" t="s">
        <v>5482</v>
      </c>
      <c r="X2211" s="77"/>
      <c r="Y2211" s="77"/>
      <c r="Z2211" s="77"/>
      <c r="AA2211" s="77" t="s">
        <v>7381</v>
      </c>
      <c r="AB2211" s="77" t="s">
        <v>7700</v>
      </c>
      <c r="AC2211" s="82" t="s">
        <v>7705</v>
      </c>
      <c r="AD2211" s="77" t="s">
        <v>7745</v>
      </c>
      <c r="AE2211" s="80" t="str">
        <f>HYPERLINK("https://twitter.com/superrico_br/status/1653916331526303744")</f>
        <v>https://twitter.com/superrico_br/status/1653916331526303744</v>
      </c>
      <c r="AF2211" s="79">
        <v>45050.011064814818</v>
      </c>
      <c r="AG2211" s="85">
        <v>45050</v>
      </c>
      <c r="AH2211" s="82" t="s">
        <v>9726</v>
      </c>
      <c r="AI2211" s="77" t="b">
        <v>0</v>
      </c>
      <c r="AJ2211" s="77"/>
      <c r="AK2211" s="77"/>
      <c r="AL2211" s="77"/>
      <c r="AM2211" s="77"/>
      <c r="AN2211" s="77"/>
      <c r="AO2211" s="77"/>
      <c r="AP2211" s="77"/>
      <c r="AQ2211" s="77" t="s">
        <v>11888</v>
      </c>
      <c r="AR2211" s="77"/>
      <c r="AS2211" s="77"/>
      <c r="AT2211" s="77"/>
      <c r="AU2211" s="77"/>
      <c r="AV2211" s="80" t="str">
        <f>HYPERLINK("https://pbs.twimg.com/media/FvPkIUPWcAEUcrA.jpg")</f>
        <v>https://pbs.twimg.com/media/FvPkIUPWcAEUcrA.jpg</v>
      </c>
      <c r="AW2211" s="82" t="s">
        <v>14369</v>
      </c>
      <c r="AX2211" s="82" t="s">
        <v>14369</v>
      </c>
      <c r="AY2211" s="77"/>
      <c r="AZ2211" s="82" t="s">
        <v>15804</v>
      </c>
      <c r="BA2211" s="82" t="s">
        <v>15804</v>
      </c>
      <c r="BB2211" s="82" t="s">
        <v>15804</v>
      </c>
      <c r="BC2211" s="82" t="s">
        <v>14369</v>
      </c>
      <c r="BD2211" s="77">
        <v>2836439422</v>
      </c>
      <c r="BE2211" s="77"/>
      <c r="BF2211" s="77"/>
      <c r="BG2211" s="77"/>
      <c r="BH2211" s="77"/>
      <c r="BI2211" s="77"/>
    </row>
    <row r="2212" spans="1:61" x14ac:dyDescent="0.25">
      <c r="A2212" s="62" t="s">
        <v>889</v>
      </c>
      <c r="B2212" s="62" t="s">
        <v>889</v>
      </c>
      <c r="C2212" s="63"/>
      <c r="D2212" s="64"/>
      <c r="E2212" s="65"/>
      <c r="F2212" s="66"/>
      <c r="G2212" s="63"/>
      <c r="H2212" s="67"/>
      <c r="I2212" s="68"/>
      <c r="J2212" s="68"/>
      <c r="K2212" s="32"/>
      <c r="L2212" s="75">
        <v>2212</v>
      </c>
      <c r="M2212" s="75"/>
      <c r="N2212" s="70"/>
      <c r="O2212" s="77" t="s">
        <v>179</v>
      </c>
      <c r="P2212" s="79">
        <v>45043.011736111112</v>
      </c>
      <c r="Q2212" s="77" t="s">
        <v>3258</v>
      </c>
      <c r="R2212" s="77">
        <v>0</v>
      </c>
      <c r="S2212" s="77">
        <v>0</v>
      </c>
      <c r="T2212" s="77">
        <v>0</v>
      </c>
      <c r="U2212" s="77">
        <v>0</v>
      </c>
      <c r="V2212" s="77">
        <v>18</v>
      </c>
      <c r="W2212" s="82" t="s">
        <v>5483</v>
      </c>
      <c r="X2212" s="80" t="str">
        <f>HYPERLINK("https://www.superrico.com.br/para-planejadores-financeiros/")</f>
        <v>https://www.superrico.com.br/para-planejadores-financeiros/</v>
      </c>
      <c r="Y2212" s="77" t="s">
        <v>6002</v>
      </c>
      <c r="Z2212" s="77"/>
      <c r="AA2212" s="77" t="s">
        <v>7382</v>
      </c>
      <c r="AB2212" s="77" t="s">
        <v>7700</v>
      </c>
      <c r="AC2212" s="82" t="s">
        <v>7705</v>
      </c>
      <c r="AD2212" s="77" t="s">
        <v>7745</v>
      </c>
      <c r="AE2212" s="80" t="str">
        <f>HYPERLINK("https://twitter.com/superrico_br/status/1651379859975819267")</f>
        <v>https://twitter.com/superrico_br/status/1651379859975819267</v>
      </c>
      <c r="AF2212" s="79">
        <v>45043.011736111112</v>
      </c>
      <c r="AG2212" s="85">
        <v>45043</v>
      </c>
      <c r="AH2212" s="82" t="s">
        <v>9727</v>
      </c>
      <c r="AI2212" s="77" t="b">
        <v>0</v>
      </c>
      <c r="AJ2212" s="77"/>
      <c r="AK2212" s="77"/>
      <c r="AL2212" s="77"/>
      <c r="AM2212" s="77"/>
      <c r="AN2212" s="77"/>
      <c r="AO2212" s="77"/>
      <c r="AP2212" s="77"/>
      <c r="AQ2212" s="77" t="s">
        <v>11889</v>
      </c>
      <c r="AR2212" s="77"/>
      <c r="AS2212" s="77"/>
      <c r="AT2212" s="77"/>
      <c r="AU2212" s="77"/>
      <c r="AV2212" s="80" t="str">
        <f>HYPERLINK("https://pbs.twimg.com/media/FurhOkxWIAMPniR.jpg")</f>
        <v>https://pbs.twimg.com/media/FurhOkxWIAMPniR.jpg</v>
      </c>
      <c r="AW2212" s="82" t="s">
        <v>14370</v>
      </c>
      <c r="AX2212" s="82" t="s">
        <v>14370</v>
      </c>
      <c r="AY2212" s="77"/>
      <c r="AZ2212" s="82" t="s">
        <v>15804</v>
      </c>
      <c r="BA2212" s="82" t="s">
        <v>15804</v>
      </c>
      <c r="BB2212" s="82" t="s">
        <v>15804</v>
      </c>
      <c r="BC2212" s="82" t="s">
        <v>14370</v>
      </c>
      <c r="BD2212" s="77">
        <v>2836439422</v>
      </c>
      <c r="BE2212" s="77"/>
      <c r="BF2212" s="77"/>
      <c r="BG2212" s="77"/>
      <c r="BH2212" s="77"/>
      <c r="BI2212" s="77"/>
    </row>
    <row r="2213" spans="1:61" x14ac:dyDescent="0.25">
      <c r="A2213" s="62" t="s">
        <v>889</v>
      </c>
      <c r="B2213" s="62" t="s">
        <v>889</v>
      </c>
      <c r="C2213" s="63"/>
      <c r="D2213" s="64"/>
      <c r="E2213" s="65"/>
      <c r="F2213" s="66"/>
      <c r="G2213" s="63"/>
      <c r="H2213" s="67"/>
      <c r="I2213" s="68"/>
      <c r="J2213" s="68"/>
      <c r="K2213" s="32"/>
      <c r="L2213" s="75">
        <v>2213</v>
      </c>
      <c r="M2213" s="75"/>
      <c r="N2213" s="70"/>
      <c r="O2213" s="77" t="s">
        <v>179</v>
      </c>
      <c r="P2213" s="79">
        <v>44996.812060185184</v>
      </c>
      <c r="Q2213" s="77" t="s">
        <v>3259</v>
      </c>
      <c r="R2213" s="77">
        <v>0</v>
      </c>
      <c r="S2213" s="77">
        <v>1</v>
      </c>
      <c r="T2213" s="77">
        <v>0</v>
      </c>
      <c r="U2213" s="77">
        <v>0</v>
      </c>
      <c r="V2213" s="77">
        <v>39</v>
      </c>
      <c r="W2213" s="82" t="s">
        <v>5482</v>
      </c>
      <c r="X2213" s="77"/>
      <c r="Y2213" s="77"/>
      <c r="Z2213" s="77"/>
      <c r="AA2213" s="77" t="s">
        <v>7383</v>
      </c>
      <c r="AB2213" s="77" t="s">
        <v>7700</v>
      </c>
      <c r="AC2213" s="82" t="s">
        <v>7705</v>
      </c>
      <c r="AD2213" s="77" t="s">
        <v>7745</v>
      </c>
      <c r="AE2213" s="80" t="str">
        <f>HYPERLINK("https://twitter.com/superrico_br/status/1634637660105986050")</f>
        <v>https://twitter.com/superrico_br/status/1634637660105986050</v>
      </c>
      <c r="AF2213" s="79">
        <v>44996.812060185184</v>
      </c>
      <c r="AG2213" s="85">
        <v>44996</v>
      </c>
      <c r="AH2213" s="82" t="s">
        <v>9728</v>
      </c>
      <c r="AI2213" s="77" t="b">
        <v>0</v>
      </c>
      <c r="AJ2213" s="77"/>
      <c r="AK2213" s="77"/>
      <c r="AL2213" s="77"/>
      <c r="AM2213" s="77"/>
      <c r="AN2213" s="77"/>
      <c r="AO2213" s="77"/>
      <c r="AP2213" s="77"/>
      <c r="AQ2213" s="77" t="s">
        <v>11890</v>
      </c>
      <c r="AR2213" s="77"/>
      <c r="AS2213" s="77"/>
      <c r="AT2213" s="77"/>
      <c r="AU2213" s="77"/>
      <c r="AV2213" s="80" t="str">
        <f>HYPERLINK("https://pbs.twimg.com/media/Fq9mR-sXoAArJ-T.jpg")</f>
        <v>https://pbs.twimg.com/media/Fq9mR-sXoAArJ-T.jpg</v>
      </c>
      <c r="AW2213" s="82" t="s">
        <v>14371</v>
      </c>
      <c r="AX2213" s="82" t="s">
        <v>14371</v>
      </c>
      <c r="AY2213" s="77"/>
      <c r="AZ2213" s="82" t="s">
        <v>15804</v>
      </c>
      <c r="BA2213" s="82" t="s">
        <v>15804</v>
      </c>
      <c r="BB2213" s="82" t="s">
        <v>15804</v>
      </c>
      <c r="BC2213" s="82" t="s">
        <v>14371</v>
      </c>
      <c r="BD2213" s="77">
        <v>2836439422</v>
      </c>
      <c r="BE2213" s="77"/>
      <c r="BF2213" s="77"/>
      <c r="BG2213" s="77"/>
      <c r="BH2213" s="77"/>
      <c r="BI2213" s="77"/>
    </row>
    <row r="2214" spans="1:61" x14ac:dyDescent="0.25">
      <c r="A2214" s="62" t="s">
        <v>889</v>
      </c>
      <c r="B2214" s="62" t="s">
        <v>889</v>
      </c>
      <c r="C2214" s="63"/>
      <c r="D2214" s="64"/>
      <c r="E2214" s="65"/>
      <c r="F2214" s="66"/>
      <c r="G2214" s="63"/>
      <c r="H2214" s="67"/>
      <c r="I2214" s="68"/>
      <c r="J2214" s="68"/>
      <c r="K2214" s="32"/>
      <c r="L2214" s="75">
        <v>2214</v>
      </c>
      <c r="M2214" s="75"/>
      <c r="N2214" s="70"/>
      <c r="O2214" s="77" t="s">
        <v>179</v>
      </c>
      <c r="P2214" s="79">
        <v>44982.67386574074</v>
      </c>
      <c r="Q2214" s="77" t="s">
        <v>3260</v>
      </c>
      <c r="R2214" s="77">
        <v>0</v>
      </c>
      <c r="S2214" s="77">
        <v>0</v>
      </c>
      <c r="T2214" s="77">
        <v>0</v>
      </c>
      <c r="U2214" s="77">
        <v>0</v>
      </c>
      <c r="V2214" s="77">
        <v>16</v>
      </c>
      <c r="W2214" s="82" t="s">
        <v>5481</v>
      </c>
      <c r="X2214" s="80" t="str">
        <f>HYPERLINK("https://calendly.com/superricofranquia/seja-um-planejador-financeiro-superrico")</f>
        <v>https://calendly.com/superricofranquia/seja-um-planejador-financeiro-superrico</v>
      </c>
      <c r="Y2214" s="77" t="s">
        <v>6098</v>
      </c>
      <c r="Z2214" s="77"/>
      <c r="AA2214" s="77" t="s">
        <v>7384</v>
      </c>
      <c r="AB2214" s="77" t="s">
        <v>7700</v>
      </c>
      <c r="AC2214" s="82" t="s">
        <v>7705</v>
      </c>
      <c r="AD2214" s="77" t="s">
        <v>7745</v>
      </c>
      <c r="AE2214" s="80" t="str">
        <f>HYPERLINK("https://twitter.com/superrico_br/status/1629514150278774787")</f>
        <v>https://twitter.com/superrico_br/status/1629514150278774787</v>
      </c>
      <c r="AF2214" s="79">
        <v>44982.67386574074</v>
      </c>
      <c r="AG2214" s="85">
        <v>44982</v>
      </c>
      <c r="AH2214" s="82" t="s">
        <v>9729</v>
      </c>
      <c r="AI2214" s="77" t="b">
        <v>0</v>
      </c>
      <c r="AJ2214" s="77"/>
      <c r="AK2214" s="77"/>
      <c r="AL2214" s="77"/>
      <c r="AM2214" s="77"/>
      <c r="AN2214" s="77"/>
      <c r="AO2214" s="77"/>
      <c r="AP2214" s="77"/>
      <c r="AQ2214" s="77" t="s">
        <v>11891</v>
      </c>
      <c r="AR2214" s="77"/>
      <c r="AS2214" s="77"/>
      <c r="AT2214" s="77"/>
      <c r="AU2214" s="77"/>
      <c r="AV2214" s="80" t="str">
        <f>HYPERLINK("https://pbs.twimg.com/media/Fp0yeutXsAElQrf.jpg")</f>
        <v>https://pbs.twimg.com/media/Fp0yeutXsAElQrf.jpg</v>
      </c>
      <c r="AW2214" s="82" t="s">
        <v>14372</v>
      </c>
      <c r="AX2214" s="82" t="s">
        <v>14372</v>
      </c>
      <c r="AY2214" s="77"/>
      <c r="AZ2214" s="82" t="s">
        <v>15804</v>
      </c>
      <c r="BA2214" s="82" t="s">
        <v>15804</v>
      </c>
      <c r="BB2214" s="82" t="s">
        <v>15804</v>
      </c>
      <c r="BC2214" s="82" t="s">
        <v>14372</v>
      </c>
      <c r="BD2214" s="77">
        <v>2836439422</v>
      </c>
      <c r="BE2214" s="77"/>
      <c r="BF2214" s="77"/>
      <c r="BG2214" s="77"/>
      <c r="BH2214" s="77"/>
      <c r="BI2214" s="77"/>
    </row>
    <row r="2215" spans="1:61" x14ac:dyDescent="0.25">
      <c r="A2215" s="62" t="s">
        <v>889</v>
      </c>
      <c r="B2215" s="62" t="s">
        <v>889</v>
      </c>
      <c r="C2215" s="63"/>
      <c r="D2215" s="64"/>
      <c r="E2215" s="65"/>
      <c r="F2215" s="66"/>
      <c r="G2215" s="63"/>
      <c r="H2215" s="67"/>
      <c r="I2215" s="68"/>
      <c r="J2215" s="68"/>
      <c r="K2215" s="32"/>
      <c r="L2215" s="75">
        <v>2215</v>
      </c>
      <c r="M2215" s="75"/>
      <c r="N2215" s="70"/>
      <c r="O2215" s="77" t="s">
        <v>179</v>
      </c>
      <c r="P2215" s="79">
        <v>45070.05096064815</v>
      </c>
      <c r="Q2215" s="77" t="s">
        <v>3261</v>
      </c>
      <c r="R2215" s="77">
        <v>0</v>
      </c>
      <c r="S2215" s="77">
        <v>2</v>
      </c>
      <c r="T2215" s="77">
        <v>0</v>
      </c>
      <c r="U2215" s="77">
        <v>0</v>
      </c>
      <c r="V2215" s="77">
        <v>48</v>
      </c>
      <c r="W2215" s="82" t="s">
        <v>5482</v>
      </c>
      <c r="X2215" s="77"/>
      <c r="Y2215" s="77"/>
      <c r="Z2215" s="77"/>
      <c r="AA2215" s="77" t="s">
        <v>7385</v>
      </c>
      <c r="AB2215" s="77" t="s">
        <v>7697</v>
      </c>
      <c r="AC2215" s="82" t="s">
        <v>7705</v>
      </c>
      <c r="AD2215" s="77" t="s">
        <v>7745</v>
      </c>
      <c r="AE2215" s="80" t="str">
        <f>HYPERLINK("https://twitter.com/superrico_br/status/1661178545798774785")</f>
        <v>https://twitter.com/superrico_br/status/1661178545798774785</v>
      </c>
      <c r="AF2215" s="79">
        <v>45070.05096064815</v>
      </c>
      <c r="AG2215" s="85">
        <v>45070</v>
      </c>
      <c r="AH2215" s="82" t="s">
        <v>9730</v>
      </c>
      <c r="AI2215" s="77" t="b">
        <v>0</v>
      </c>
      <c r="AJ2215" s="77"/>
      <c r="AK2215" s="77"/>
      <c r="AL2215" s="77"/>
      <c r="AM2215" s="77"/>
      <c r="AN2215" s="77"/>
      <c r="AO2215" s="77"/>
      <c r="AP2215" s="77"/>
      <c r="AQ2215" s="77" t="s">
        <v>11892</v>
      </c>
      <c r="AR2215" s="77">
        <v>23221</v>
      </c>
      <c r="AS2215" s="77"/>
      <c r="AT2215" s="77"/>
      <c r="AU2215" s="77">
        <v>8</v>
      </c>
      <c r="AV2215" s="80" t="str">
        <f>HYPERLINK("https://pbs.twimg.com/ext_tw_video_thumb/1661178498881409028/pu/img/5c_dCp-geHqs7x6E.jpg")</f>
        <v>https://pbs.twimg.com/ext_tw_video_thumb/1661178498881409028/pu/img/5c_dCp-geHqs7x6E.jpg</v>
      </c>
      <c r="AW2215" s="82" t="s">
        <v>14373</v>
      </c>
      <c r="AX2215" s="82" t="s">
        <v>14373</v>
      </c>
      <c r="AY2215" s="77"/>
      <c r="AZ2215" s="82" t="s">
        <v>15804</v>
      </c>
      <c r="BA2215" s="82" t="s">
        <v>15804</v>
      </c>
      <c r="BB2215" s="82" t="s">
        <v>15804</v>
      </c>
      <c r="BC2215" s="82" t="s">
        <v>14373</v>
      </c>
      <c r="BD2215" s="77">
        <v>2836439422</v>
      </c>
      <c r="BE2215" s="77"/>
      <c r="BF2215" s="77"/>
      <c r="BG2215" s="77"/>
      <c r="BH2215" s="77"/>
      <c r="BI2215" s="77"/>
    </row>
    <row r="2216" spans="1:61" x14ac:dyDescent="0.25">
      <c r="A2216" s="62" t="s">
        <v>889</v>
      </c>
      <c r="B2216" s="62" t="s">
        <v>889</v>
      </c>
      <c r="C2216" s="63"/>
      <c r="D2216" s="64"/>
      <c r="E2216" s="65"/>
      <c r="F2216" s="66"/>
      <c r="G2216" s="63"/>
      <c r="H2216" s="67"/>
      <c r="I2216" s="68"/>
      <c r="J2216" s="68"/>
      <c r="K2216" s="32"/>
      <c r="L2216" s="75">
        <v>2216</v>
      </c>
      <c r="M2216" s="75"/>
      <c r="N2216" s="70"/>
      <c r="O2216" s="77" t="s">
        <v>179</v>
      </c>
      <c r="P2216" s="79">
        <v>45031.040486111109</v>
      </c>
      <c r="Q2216" s="77" t="s">
        <v>3262</v>
      </c>
      <c r="R2216" s="77">
        <v>0</v>
      </c>
      <c r="S2216" s="77">
        <v>1</v>
      </c>
      <c r="T2216" s="77">
        <v>0</v>
      </c>
      <c r="U2216" s="77">
        <v>0</v>
      </c>
      <c r="V2216" s="77">
        <v>29</v>
      </c>
      <c r="W2216" s="82" t="s">
        <v>5484</v>
      </c>
      <c r="X2216" s="77"/>
      <c r="Y2216" s="77"/>
      <c r="Z2216" s="77"/>
      <c r="AA2216" s="77" t="s">
        <v>7386</v>
      </c>
      <c r="AB2216" s="77" t="s">
        <v>7697</v>
      </c>
      <c r="AC2216" s="82" t="s">
        <v>7705</v>
      </c>
      <c r="AD2216" s="77" t="s">
        <v>7745</v>
      </c>
      <c r="AE2216" s="80" t="str">
        <f>HYPERLINK("https://twitter.com/superrico_br/status/1647041625112076288")</f>
        <v>https://twitter.com/superrico_br/status/1647041625112076288</v>
      </c>
      <c r="AF2216" s="79">
        <v>45031.040486111109</v>
      </c>
      <c r="AG2216" s="85">
        <v>45031</v>
      </c>
      <c r="AH2216" s="82" t="s">
        <v>9731</v>
      </c>
      <c r="AI2216" s="77" t="b">
        <v>0</v>
      </c>
      <c r="AJ2216" s="77"/>
      <c r="AK2216" s="77"/>
      <c r="AL2216" s="77"/>
      <c r="AM2216" s="77"/>
      <c r="AN2216" s="77"/>
      <c r="AO2216" s="77"/>
      <c r="AP2216" s="77"/>
      <c r="AQ2216" s="77" t="s">
        <v>11893</v>
      </c>
      <c r="AR2216" s="77">
        <v>31126</v>
      </c>
      <c r="AS2216" s="77"/>
      <c r="AT2216" s="77"/>
      <c r="AU2216" s="77">
        <v>8</v>
      </c>
      <c r="AV2216" s="80" t="str">
        <f>HYPERLINK("https://pbs.twimg.com/ext_tw_video_thumb/1647041500759437312/pu/img/meM20XQajkygUT_5.jpg")</f>
        <v>https://pbs.twimg.com/ext_tw_video_thumb/1647041500759437312/pu/img/meM20XQajkygUT_5.jpg</v>
      </c>
      <c r="AW2216" s="82" t="s">
        <v>14374</v>
      </c>
      <c r="AX2216" s="82" t="s">
        <v>14374</v>
      </c>
      <c r="AY2216" s="77"/>
      <c r="AZ2216" s="82" t="s">
        <v>15804</v>
      </c>
      <c r="BA2216" s="82" t="s">
        <v>15804</v>
      </c>
      <c r="BB2216" s="82" t="s">
        <v>15804</v>
      </c>
      <c r="BC2216" s="82" t="s">
        <v>14374</v>
      </c>
      <c r="BD2216" s="77">
        <v>2836439422</v>
      </c>
      <c r="BE2216" s="77"/>
      <c r="BF2216" s="77"/>
      <c r="BG2216" s="77"/>
      <c r="BH2216" s="77"/>
      <c r="BI2216" s="77"/>
    </row>
    <row r="2217" spans="1:61" x14ac:dyDescent="0.25">
      <c r="A2217" s="62" t="s">
        <v>889</v>
      </c>
      <c r="B2217" s="62" t="s">
        <v>889</v>
      </c>
      <c r="C2217" s="63"/>
      <c r="D2217" s="64"/>
      <c r="E2217" s="65"/>
      <c r="F2217" s="66"/>
      <c r="G2217" s="63"/>
      <c r="H2217" s="67"/>
      <c r="I2217" s="68"/>
      <c r="J2217" s="68"/>
      <c r="K2217" s="32"/>
      <c r="L2217" s="75">
        <v>2217</v>
      </c>
      <c r="M2217" s="75"/>
      <c r="N2217" s="70"/>
      <c r="O2217" s="77" t="s">
        <v>179</v>
      </c>
      <c r="P2217" s="79">
        <v>45003.746840277781</v>
      </c>
      <c r="Q2217" s="77" t="s">
        <v>3263</v>
      </c>
      <c r="R2217" s="77">
        <v>0</v>
      </c>
      <c r="S2217" s="77">
        <v>0</v>
      </c>
      <c r="T2217" s="77">
        <v>0</v>
      </c>
      <c r="U2217" s="77">
        <v>0</v>
      </c>
      <c r="V2217" s="77">
        <v>23</v>
      </c>
      <c r="W2217" s="82" t="s">
        <v>5482</v>
      </c>
      <c r="X2217" s="80" t="str">
        <f>HYPERLINK("https://www.superrico.com.br")</f>
        <v>https://www.superrico.com.br</v>
      </c>
      <c r="Y2217" s="77" t="s">
        <v>6002</v>
      </c>
      <c r="Z2217" s="77"/>
      <c r="AA2217" s="77" t="s">
        <v>7387</v>
      </c>
      <c r="AB2217" s="77" t="s">
        <v>7700</v>
      </c>
      <c r="AC2217" s="82" t="s">
        <v>7705</v>
      </c>
      <c r="AD2217" s="77" t="s">
        <v>7745</v>
      </c>
      <c r="AE2217" s="80" t="str">
        <f>HYPERLINK("https://twitter.com/superrico_br/status/1637150737141579777")</f>
        <v>https://twitter.com/superrico_br/status/1637150737141579777</v>
      </c>
      <c r="AF2217" s="79">
        <v>45003.746840277781</v>
      </c>
      <c r="AG2217" s="85">
        <v>45003</v>
      </c>
      <c r="AH2217" s="82" t="s">
        <v>9732</v>
      </c>
      <c r="AI2217" s="77" t="b">
        <v>0</v>
      </c>
      <c r="AJ2217" s="77"/>
      <c r="AK2217" s="77"/>
      <c r="AL2217" s="77"/>
      <c r="AM2217" s="77"/>
      <c r="AN2217" s="77"/>
      <c r="AO2217" s="77"/>
      <c r="AP2217" s="77"/>
      <c r="AQ2217" s="77" t="s">
        <v>11894</v>
      </c>
      <c r="AR2217" s="77"/>
      <c r="AS2217" s="77"/>
      <c r="AT2217" s="77"/>
      <c r="AU2217" s="77"/>
      <c r="AV2217" s="80" t="str">
        <f>HYPERLINK("https://pbs.twimg.com/media/FrhT6qWWYAIZvZj.jpg")</f>
        <v>https://pbs.twimg.com/media/FrhT6qWWYAIZvZj.jpg</v>
      </c>
      <c r="AW2217" s="82" t="s">
        <v>14375</v>
      </c>
      <c r="AX2217" s="82" t="s">
        <v>14375</v>
      </c>
      <c r="AY2217" s="77"/>
      <c r="AZ2217" s="82" t="s">
        <v>15804</v>
      </c>
      <c r="BA2217" s="82" t="s">
        <v>15804</v>
      </c>
      <c r="BB2217" s="82" t="s">
        <v>15804</v>
      </c>
      <c r="BC2217" s="82" t="s">
        <v>14375</v>
      </c>
      <c r="BD2217" s="77">
        <v>2836439422</v>
      </c>
      <c r="BE2217" s="77"/>
      <c r="BF2217" s="77"/>
      <c r="BG2217" s="77"/>
      <c r="BH2217" s="77"/>
      <c r="BI2217" s="77"/>
    </row>
    <row r="2218" spans="1:61" x14ac:dyDescent="0.25">
      <c r="A2218" s="62" t="s">
        <v>889</v>
      </c>
      <c r="B2218" s="62" t="s">
        <v>889</v>
      </c>
      <c r="C2218" s="63"/>
      <c r="D2218" s="64"/>
      <c r="E2218" s="65"/>
      <c r="F2218" s="66"/>
      <c r="G2218" s="63"/>
      <c r="H2218" s="67"/>
      <c r="I2218" s="68"/>
      <c r="J2218" s="68"/>
      <c r="K2218" s="32"/>
      <c r="L2218" s="75">
        <v>2218</v>
      </c>
      <c r="M2218" s="75"/>
      <c r="N2218" s="70"/>
      <c r="O2218" s="77" t="s">
        <v>179</v>
      </c>
      <c r="P2218" s="79">
        <v>45086.54283564815</v>
      </c>
      <c r="Q2218" s="77" t="s">
        <v>3264</v>
      </c>
      <c r="R2218" s="77">
        <v>0</v>
      </c>
      <c r="S2218" s="77">
        <v>1</v>
      </c>
      <c r="T2218" s="77">
        <v>0</v>
      </c>
      <c r="U2218" s="77">
        <v>0</v>
      </c>
      <c r="V2218" s="77">
        <v>18</v>
      </c>
      <c r="W2218" s="82" t="s">
        <v>5485</v>
      </c>
      <c r="X2218" s="77"/>
      <c r="Y2218" s="77"/>
      <c r="Z2218" s="77"/>
      <c r="AA2218" s="77" t="s">
        <v>7388</v>
      </c>
      <c r="AB2218" s="77" t="s">
        <v>7700</v>
      </c>
      <c r="AC2218" s="82" t="s">
        <v>7705</v>
      </c>
      <c r="AD2218" s="77" t="s">
        <v>7745</v>
      </c>
      <c r="AE2218" s="80" t="str">
        <f>HYPERLINK("https://twitter.com/superrico_br/status/1667155003658715138")</f>
        <v>https://twitter.com/superrico_br/status/1667155003658715138</v>
      </c>
      <c r="AF2218" s="79">
        <v>45086.54283564815</v>
      </c>
      <c r="AG2218" s="85">
        <v>45086</v>
      </c>
      <c r="AH2218" s="82" t="s">
        <v>9733</v>
      </c>
      <c r="AI2218" s="77" t="b">
        <v>0</v>
      </c>
      <c r="AJ2218" s="77"/>
      <c r="AK2218" s="77"/>
      <c r="AL2218" s="77"/>
      <c r="AM2218" s="77"/>
      <c r="AN2218" s="77"/>
      <c r="AO2218" s="77"/>
      <c r="AP2218" s="77"/>
      <c r="AQ2218" s="77" t="s">
        <v>11895</v>
      </c>
      <c r="AR2218" s="77"/>
      <c r="AS2218" s="77"/>
      <c r="AT2218" s="77"/>
      <c r="AU2218" s="77"/>
      <c r="AV2218" s="80" t="str">
        <f>HYPERLINK("https://pbs.twimg.com/media/FyLsmYnXwAAsLvQ.jpg")</f>
        <v>https://pbs.twimg.com/media/FyLsmYnXwAAsLvQ.jpg</v>
      </c>
      <c r="AW2218" s="82" t="s">
        <v>14376</v>
      </c>
      <c r="AX2218" s="82" t="s">
        <v>14376</v>
      </c>
      <c r="AY2218" s="77"/>
      <c r="AZ2218" s="82" t="s">
        <v>15804</v>
      </c>
      <c r="BA2218" s="82" t="s">
        <v>15804</v>
      </c>
      <c r="BB2218" s="82" t="s">
        <v>15804</v>
      </c>
      <c r="BC2218" s="82" t="s">
        <v>14376</v>
      </c>
      <c r="BD2218" s="77">
        <v>2836439422</v>
      </c>
      <c r="BE2218" s="77"/>
      <c r="BF2218" s="77"/>
      <c r="BG2218" s="77"/>
      <c r="BH2218" s="77"/>
      <c r="BI2218" s="77"/>
    </row>
    <row r="2219" spans="1:61" x14ac:dyDescent="0.25">
      <c r="A2219" s="62" t="s">
        <v>889</v>
      </c>
      <c r="B2219" s="62" t="s">
        <v>889</v>
      </c>
      <c r="C2219" s="63"/>
      <c r="D2219" s="64"/>
      <c r="E2219" s="65"/>
      <c r="F2219" s="66"/>
      <c r="G2219" s="63"/>
      <c r="H2219" s="67"/>
      <c r="I2219" s="68"/>
      <c r="J2219" s="68"/>
      <c r="K2219" s="32"/>
      <c r="L2219" s="75">
        <v>2219</v>
      </c>
      <c r="M2219" s="75"/>
      <c r="N2219" s="70"/>
      <c r="O2219" s="77" t="s">
        <v>179</v>
      </c>
      <c r="P2219" s="79">
        <v>44961.740833333337</v>
      </c>
      <c r="Q2219" s="77" t="s">
        <v>3265</v>
      </c>
      <c r="R2219" s="77">
        <v>0</v>
      </c>
      <c r="S2219" s="77">
        <v>1</v>
      </c>
      <c r="T2219" s="77">
        <v>0</v>
      </c>
      <c r="U2219" s="77">
        <v>0</v>
      </c>
      <c r="V2219" s="77">
        <v>25</v>
      </c>
      <c r="W2219" s="82" t="s">
        <v>5481</v>
      </c>
      <c r="X2219" s="77"/>
      <c r="Y2219" s="77"/>
      <c r="Z2219" s="77"/>
      <c r="AA2219" s="77" t="s">
        <v>7389</v>
      </c>
      <c r="AB2219" s="77" t="s">
        <v>7700</v>
      </c>
      <c r="AC2219" s="82" t="s">
        <v>7705</v>
      </c>
      <c r="AD2219" s="77" t="s">
        <v>7745</v>
      </c>
      <c r="AE2219" s="80" t="str">
        <f>HYPERLINK("https://twitter.com/superrico_br/status/1621928273117679619")</f>
        <v>https://twitter.com/superrico_br/status/1621928273117679619</v>
      </c>
      <c r="AF2219" s="79">
        <v>44961.740833333337</v>
      </c>
      <c r="AG2219" s="85">
        <v>44961</v>
      </c>
      <c r="AH2219" s="82" t="s">
        <v>9734</v>
      </c>
      <c r="AI2219" s="77" t="b">
        <v>0</v>
      </c>
      <c r="AJ2219" s="77"/>
      <c r="AK2219" s="77"/>
      <c r="AL2219" s="77"/>
      <c r="AM2219" s="77"/>
      <c r="AN2219" s="77"/>
      <c r="AO2219" s="77"/>
      <c r="AP2219" s="77"/>
      <c r="AQ2219" s="77" t="s">
        <v>11896</v>
      </c>
      <c r="AR2219" s="77"/>
      <c r="AS2219" s="77"/>
      <c r="AT2219" s="77"/>
      <c r="AU2219" s="77"/>
      <c r="AV2219" s="80" t="str">
        <f>HYPERLINK("https://pbs.twimg.com/media/FoI_HuDXgAMwI2O.jpg")</f>
        <v>https://pbs.twimg.com/media/FoI_HuDXgAMwI2O.jpg</v>
      </c>
      <c r="AW2219" s="82" t="s">
        <v>14377</v>
      </c>
      <c r="AX2219" s="82" t="s">
        <v>14377</v>
      </c>
      <c r="AY2219" s="77"/>
      <c r="AZ2219" s="82" t="s">
        <v>15804</v>
      </c>
      <c r="BA2219" s="82" t="s">
        <v>15804</v>
      </c>
      <c r="BB2219" s="82" t="s">
        <v>15804</v>
      </c>
      <c r="BC2219" s="82" t="s">
        <v>14377</v>
      </c>
      <c r="BD2219" s="77">
        <v>2836439422</v>
      </c>
      <c r="BE2219" s="77"/>
      <c r="BF2219" s="77"/>
      <c r="BG2219" s="77"/>
      <c r="BH2219" s="77"/>
      <c r="BI2219" s="77"/>
    </row>
    <row r="2220" spans="1:61" x14ac:dyDescent="0.25">
      <c r="A2220" s="62" t="s">
        <v>889</v>
      </c>
      <c r="B2220" s="62" t="s">
        <v>889</v>
      </c>
      <c r="C2220" s="63"/>
      <c r="D2220" s="64"/>
      <c r="E2220" s="65"/>
      <c r="F2220" s="66"/>
      <c r="G2220" s="63"/>
      <c r="H2220" s="67"/>
      <c r="I2220" s="68"/>
      <c r="J2220" s="68"/>
      <c r="K2220" s="32"/>
      <c r="L2220" s="75">
        <v>2220</v>
      </c>
      <c r="M2220" s="75"/>
      <c r="N2220" s="70"/>
      <c r="O2220" s="77" t="s">
        <v>179</v>
      </c>
      <c r="P2220" s="79">
        <v>45133.660844907405</v>
      </c>
      <c r="Q2220" s="77" t="s">
        <v>3266</v>
      </c>
      <c r="R2220" s="77">
        <v>0</v>
      </c>
      <c r="S2220" s="77">
        <v>1</v>
      </c>
      <c r="T2220" s="77">
        <v>0</v>
      </c>
      <c r="U2220" s="77">
        <v>0</v>
      </c>
      <c r="V2220" s="77">
        <v>38</v>
      </c>
      <c r="W2220" s="82" t="s">
        <v>5482</v>
      </c>
      <c r="X2220" s="77"/>
      <c r="Y2220" s="77"/>
      <c r="Z2220" s="77"/>
      <c r="AA2220" s="77" t="s">
        <v>7390</v>
      </c>
      <c r="AB2220" s="77" t="s">
        <v>7696</v>
      </c>
      <c r="AC2220" s="82" t="s">
        <v>7705</v>
      </c>
      <c r="AD2220" s="77" t="s">
        <v>7745</v>
      </c>
      <c r="AE2220" s="80" t="str">
        <f>HYPERLINK("https://twitter.com/superrico_br/status/1684229998234697731")</f>
        <v>https://twitter.com/superrico_br/status/1684229998234697731</v>
      </c>
      <c r="AF2220" s="79">
        <v>45133.660844907405</v>
      </c>
      <c r="AG2220" s="85">
        <v>45133</v>
      </c>
      <c r="AH2220" s="82" t="s">
        <v>9735</v>
      </c>
      <c r="AI2220" s="77" t="b">
        <v>0</v>
      </c>
      <c r="AJ2220" s="77"/>
      <c r="AK2220" s="77"/>
      <c r="AL2220" s="77"/>
      <c r="AM2220" s="77"/>
      <c r="AN2220" s="77"/>
      <c r="AO2220" s="77"/>
      <c r="AP2220" s="77"/>
      <c r="AQ2220" s="77" t="s">
        <v>11897</v>
      </c>
      <c r="AR2220" s="77"/>
      <c r="AS2220" s="77"/>
      <c r="AT2220" s="77"/>
      <c r="AU2220" s="77"/>
      <c r="AV2220" s="80" t="str">
        <f>HYPERLINK("https://pbs.twimg.com/media/F1-WQTlXsAIPboN.jpg")</f>
        <v>https://pbs.twimg.com/media/F1-WQTlXsAIPboN.jpg</v>
      </c>
      <c r="AW2220" s="82" t="s">
        <v>14378</v>
      </c>
      <c r="AX2220" s="82" t="s">
        <v>14378</v>
      </c>
      <c r="AY2220" s="77"/>
      <c r="AZ2220" s="82" t="s">
        <v>15804</v>
      </c>
      <c r="BA2220" s="82" t="s">
        <v>15804</v>
      </c>
      <c r="BB2220" s="82" t="s">
        <v>15804</v>
      </c>
      <c r="BC2220" s="82" t="s">
        <v>14378</v>
      </c>
      <c r="BD2220" s="77">
        <v>2836439422</v>
      </c>
      <c r="BE2220" s="77"/>
      <c r="BF2220" s="77"/>
      <c r="BG2220" s="77"/>
      <c r="BH2220" s="77"/>
      <c r="BI2220" s="77"/>
    </row>
    <row r="2221" spans="1:61" x14ac:dyDescent="0.25">
      <c r="A2221" s="62" t="s">
        <v>889</v>
      </c>
      <c r="B2221" s="62" t="s">
        <v>889</v>
      </c>
      <c r="C2221" s="63"/>
      <c r="D2221" s="64"/>
      <c r="E2221" s="65"/>
      <c r="F2221" s="66"/>
      <c r="G2221" s="63"/>
      <c r="H2221" s="67"/>
      <c r="I2221" s="68"/>
      <c r="J2221" s="68"/>
      <c r="K2221" s="32"/>
      <c r="L2221" s="75">
        <v>2221</v>
      </c>
      <c r="M2221" s="75"/>
      <c r="N2221" s="70"/>
      <c r="O2221" s="77" t="s">
        <v>179</v>
      </c>
      <c r="P2221" s="79">
        <v>45036.408310185187</v>
      </c>
      <c r="Q2221" s="77" t="s">
        <v>3267</v>
      </c>
      <c r="R2221" s="77">
        <v>0</v>
      </c>
      <c r="S2221" s="77">
        <v>0</v>
      </c>
      <c r="T2221" s="77">
        <v>0</v>
      </c>
      <c r="U2221" s="77">
        <v>0</v>
      </c>
      <c r="V2221" s="77">
        <v>38</v>
      </c>
      <c r="W2221" s="82" t="s">
        <v>5482</v>
      </c>
      <c r="X2221" s="77"/>
      <c r="Y2221" s="77"/>
      <c r="Z2221" s="77"/>
      <c r="AA2221" s="77" t="s">
        <v>7391</v>
      </c>
      <c r="AB2221" s="77" t="s">
        <v>7697</v>
      </c>
      <c r="AC2221" s="82" t="s">
        <v>7705</v>
      </c>
      <c r="AD2221" s="77" t="s">
        <v>7745</v>
      </c>
      <c r="AE2221" s="80" t="str">
        <f>HYPERLINK("https://twitter.com/superrico_br/status/1648986859454836736")</f>
        <v>https://twitter.com/superrico_br/status/1648986859454836736</v>
      </c>
      <c r="AF2221" s="79">
        <v>45036.408310185187</v>
      </c>
      <c r="AG2221" s="85">
        <v>45036</v>
      </c>
      <c r="AH2221" s="82" t="s">
        <v>9736</v>
      </c>
      <c r="AI2221" s="77" t="b">
        <v>0</v>
      </c>
      <c r="AJ2221" s="77"/>
      <c r="AK2221" s="77"/>
      <c r="AL2221" s="77"/>
      <c r="AM2221" s="77"/>
      <c r="AN2221" s="77"/>
      <c r="AO2221" s="77"/>
      <c r="AP2221" s="77"/>
      <c r="AQ2221" s="77" t="s">
        <v>11898</v>
      </c>
      <c r="AR2221" s="77">
        <v>12000</v>
      </c>
      <c r="AS2221" s="77"/>
      <c r="AT2221" s="77"/>
      <c r="AU2221" s="77">
        <v>10</v>
      </c>
      <c r="AV2221" s="80" t="str">
        <f>HYPERLINK("https://pbs.twimg.com/ext_tw_video_thumb/1648986816547045377/pu/img/KWR3bv8huTVLJJgp.jpg")</f>
        <v>https://pbs.twimg.com/ext_tw_video_thumb/1648986816547045377/pu/img/KWR3bv8huTVLJJgp.jpg</v>
      </c>
      <c r="AW2221" s="82" t="s">
        <v>14379</v>
      </c>
      <c r="AX2221" s="82" t="s">
        <v>14379</v>
      </c>
      <c r="AY2221" s="77"/>
      <c r="AZ2221" s="82" t="s">
        <v>15804</v>
      </c>
      <c r="BA2221" s="82" t="s">
        <v>15804</v>
      </c>
      <c r="BB2221" s="82" t="s">
        <v>15804</v>
      </c>
      <c r="BC2221" s="82" t="s">
        <v>14379</v>
      </c>
      <c r="BD2221" s="77">
        <v>2836439422</v>
      </c>
      <c r="BE2221" s="77"/>
      <c r="BF2221" s="77"/>
      <c r="BG2221" s="77"/>
      <c r="BH2221" s="77"/>
      <c r="BI2221" s="77"/>
    </row>
    <row r="2222" spans="1:61" x14ac:dyDescent="0.25">
      <c r="A2222" s="62" t="s">
        <v>889</v>
      </c>
      <c r="B2222" s="62" t="s">
        <v>889</v>
      </c>
      <c r="C2222" s="63"/>
      <c r="D2222" s="64"/>
      <c r="E2222" s="65"/>
      <c r="F2222" s="66"/>
      <c r="G2222" s="63"/>
      <c r="H2222" s="67"/>
      <c r="I2222" s="68"/>
      <c r="J2222" s="68"/>
      <c r="K2222" s="32"/>
      <c r="L2222" s="75">
        <v>2222</v>
      </c>
      <c r="M2222" s="75"/>
      <c r="N2222" s="70"/>
      <c r="O2222" s="77" t="s">
        <v>179</v>
      </c>
      <c r="P2222" s="79">
        <v>44989.839606481481</v>
      </c>
      <c r="Q2222" s="77" t="s">
        <v>3268</v>
      </c>
      <c r="R2222" s="77">
        <v>0</v>
      </c>
      <c r="S2222" s="77">
        <v>0</v>
      </c>
      <c r="T2222" s="77">
        <v>0</v>
      </c>
      <c r="U2222" s="77">
        <v>0</v>
      </c>
      <c r="V2222" s="77">
        <v>11</v>
      </c>
      <c r="W2222" s="82" t="s">
        <v>5482</v>
      </c>
      <c r="X2222" s="77"/>
      <c r="Y2222" s="77"/>
      <c r="Z2222" s="77"/>
      <c r="AA2222" s="77" t="s">
        <v>7392</v>
      </c>
      <c r="AB2222" s="77" t="s">
        <v>7700</v>
      </c>
      <c r="AC2222" s="82" t="s">
        <v>7705</v>
      </c>
      <c r="AD2222" s="77" t="s">
        <v>7745</v>
      </c>
      <c r="AE2222" s="80" t="str">
        <f>HYPERLINK("https://twitter.com/superrico_br/status/1632110923765760015")</f>
        <v>https://twitter.com/superrico_br/status/1632110923765760015</v>
      </c>
      <c r="AF2222" s="79">
        <v>44989.839606481481</v>
      </c>
      <c r="AG2222" s="85">
        <v>44989</v>
      </c>
      <c r="AH2222" s="82" t="s">
        <v>9737</v>
      </c>
      <c r="AI2222" s="77" t="b">
        <v>0</v>
      </c>
      <c r="AJ2222" s="77"/>
      <c r="AK2222" s="77"/>
      <c r="AL2222" s="77"/>
      <c r="AM2222" s="77"/>
      <c r="AN2222" s="77"/>
      <c r="AO2222" s="77"/>
      <c r="AP2222" s="77"/>
      <c r="AQ2222" s="77" t="s">
        <v>11899</v>
      </c>
      <c r="AR2222" s="77"/>
      <c r="AS2222" s="77"/>
      <c r="AT2222" s="77"/>
      <c r="AU2222" s="77"/>
      <c r="AV2222" s="80" t="str">
        <f>HYPERLINK("https://pbs.twimg.com/media/FqZsO29XwAEKHM8.jpg")</f>
        <v>https://pbs.twimg.com/media/FqZsO29XwAEKHM8.jpg</v>
      </c>
      <c r="AW2222" s="82" t="s">
        <v>14380</v>
      </c>
      <c r="AX2222" s="82" t="s">
        <v>14380</v>
      </c>
      <c r="AY2222" s="77"/>
      <c r="AZ2222" s="82" t="s">
        <v>15804</v>
      </c>
      <c r="BA2222" s="82" t="s">
        <v>15804</v>
      </c>
      <c r="BB2222" s="82" t="s">
        <v>15804</v>
      </c>
      <c r="BC2222" s="82" t="s">
        <v>14380</v>
      </c>
      <c r="BD2222" s="77">
        <v>2836439422</v>
      </c>
      <c r="BE2222" s="77"/>
      <c r="BF2222" s="77"/>
      <c r="BG2222" s="77"/>
      <c r="BH2222" s="77"/>
      <c r="BI2222" s="77"/>
    </row>
    <row r="2223" spans="1:61" x14ac:dyDescent="0.25">
      <c r="A2223" s="62" t="s">
        <v>890</v>
      </c>
      <c r="B2223" s="62" t="s">
        <v>890</v>
      </c>
      <c r="C2223" s="63"/>
      <c r="D2223" s="64"/>
      <c r="E2223" s="65"/>
      <c r="F2223" s="66"/>
      <c r="G2223" s="63"/>
      <c r="H2223" s="67"/>
      <c r="I2223" s="68"/>
      <c r="J2223" s="68"/>
      <c r="K2223" s="32"/>
      <c r="L2223" s="75">
        <v>2223</v>
      </c>
      <c r="M2223" s="75"/>
      <c r="N2223" s="70"/>
      <c r="O2223" s="77" t="s">
        <v>1132</v>
      </c>
      <c r="P2223" s="79">
        <v>45042.772974537038</v>
      </c>
      <c r="Q2223" s="77" t="s">
        <v>3269</v>
      </c>
      <c r="R2223" s="77">
        <v>0</v>
      </c>
      <c r="S2223" s="77">
        <v>0</v>
      </c>
      <c r="T2223" s="77">
        <v>0</v>
      </c>
      <c r="U2223" s="77">
        <v>0</v>
      </c>
      <c r="V2223" s="77">
        <v>85</v>
      </c>
      <c r="W2223" s="82" t="s">
        <v>5486</v>
      </c>
      <c r="X2223" s="77"/>
      <c r="Y2223" s="77"/>
      <c r="Z2223" s="77"/>
      <c r="AA2223" s="77"/>
      <c r="AB2223" s="77"/>
      <c r="AC2223" s="82" t="s">
        <v>7706</v>
      </c>
      <c r="AD2223" s="77" t="s">
        <v>7745</v>
      </c>
      <c r="AE2223" s="80" t="str">
        <f>HYPERLINK("https://twitter.com/keepgrowing_/status/1651293337469480960")</f>
        <v>https://twitter.com/keepgrowing_/status/1651293337469480960</v>
      </c>
      <c r="AF2223" s="79">
        <v>45042.772974537038</v>
      </c>
      <c r="AG2223" s="85">
        <v>45042</v>
      </c>
      <c r="AH2223" s="82" t="s">
        <v>9738</v>
      </c>
      <c r="AI2223" s="77"/>
      <c r="AJ2223" s="77"/>
      <c r="AK2223" s="77"/>
      <c r="AL2223" s="77"/>
      <c r="AM2223" s="77"/>
      <c r="AN2223" s="77"/>
      <c r="AO2223" s="77"/>
      <c r="AP2223" s="77"/>
      <c r="AQ2223" s="77"/>
      <c r="AR2223" s="77"/>
      <c r="AS2223" s="77"/>
      <c r="AT2223" s="77"/>
      <c r="AU2223" s="77"/>
      <c r="AV2223" s="80" t="str">
        <f>HYPERLINK("https://pbs.twimg.com/profile_images/1645508547994681345/Cu2nWYBA_normal.jpg")</f>
        <v>https://pbs.twimg.com/profile_images/1645508547994681345/Cu2nWYBA_normal.jpg</v>
      </c>
      <c r="AW2223" s="82" t="s">
        <v>14381</v>
      </c>
      <c r="AX2223" s="82" t="s">
        <v>15548</v>
      </c>
      <c r="AY2223" s="82" t="s">
        <v>15779</v>
      </c>
      <c r="AZ2223" s="82" t="s">
        <v>15548</v>
      </c>
      <c r="BA2223" s="82" t="s">
        <v>15804</v>
      </c>
      <c r="BB2223" s="82" t="s">
        <v>15804</v>
      </c>
      <c r="BC2223" s="82" t="s">
        <v>15548</v>
      </c>
      <c r="BD2223" s="82" t="s">
        <v>15779</v>
      </c>
      <c r="BE2223" s="77"/>
      <c r="BF2223" s="77"/>
      <c r="BG2223" s="77"/>
      <c r="BH2223" s="77"/>
      <c r="BI2223" s="77"/>
    </row>
    <row r="2224" spans="1:61" x14ac:dyDescent="0.25">
      <c r="A2224" s="62" t="s">
        <v>890</v>
      </c>
      <c r="B2224" s="62" t="s">
        <v>890</v>
      </c>
      <c r="C2224" s="63"/>
      <c r="D2224" s="64"/>
      <c r="E2224" s="65"/>
      <c r="F2224" s="66"/>
      <c r="G2224" s="63"/>
      <c r="H2224" s="67"/>
      <c r="I2224" s="68"/>
      <c r="J2224" s="68"/>
      <c r="K2224" s="32"/>
      <c r="L2224" s="75">
        <v>2224</v>
      </c>
      <c r="M2224" s="75"/>
      <c r="N2224" s="70"/>
      <c r="O2224" s="77" t="s">
        <v>179</v>
      </c>
      <c r="P2224" s="79">
        <v>45091.702372685184</v>
      </c>
      <c r="Q2224" s="77" t="s">
        <v>3270</v>
      </c>
      <c r="R2224" s="77">
        <v>0</v>
      </c>
      <c r="S2224" s="77">
        <v>1</v>
      </c>
      <c r="T2224" s="77">
        <v>0</v>
      </c>
      <c r="U2224" s="77">
        <v>0</v>
      </c>
      <c r="V2224" s="77">
        <v>4</v>
      </c>
      <c r="W2224" s="82" t="s">
        <v>5487</v>
      </c>
      <c r="X2224" s="77"/>
      <c r="Y2224" s="77"/>
      <c r="Z2224" s="77"/>
      <c r="AA2224" s="77" t="s">
        <v>7393</v>
      </c>
      <c r="AB2224" s="77" t="s">
        <v>7696</v>
      </c>
      <c r="AC2224" s="82" t="s">
        <v>7706</v>
      </c>
      <c r="AD2224" s="77" t="s">
        <v>7745</v>
      </c>
      <c r="AE2224" s="80" t="str">
        <f>HYPERLINK("https://twitter.com/keepgrowing_/status/1669024754467237888")</f>
        <v>https://twitter.com/keepgrowing_/status/1669024754467237888</v>
      </c>
      <c r="AF2224" s="79">
        <v>45091.702372685184</v>
      </c>
      <c r="AG2224" s="85">
        <v>45091</v>
      </c>
      <c r="AH2224" s="82" t="s">
        <v>9739</v>
      </c>
      <c r="AI2224" s="77" t="b">
        <v>0</v>
      </c>
      <c r="AJ2224" s="77"/>
      <c r="AK2224" s="77"/>
      <c r="AL2224" s="77"/>
      <c r="AM2224" s="77"/>
      <c r="AN2224" s="77"/>
      <c r="AO2224" s="77"/>
      <c r="AP2224" s="77"/>
      <c r="AQ2224" s="77" t="s">
        <v>11900</v>
      </c>
      <c r="AR2224" s="77"/>
      <c r="AS2224" s="77"/>
      <c r="AT2224" s="77"/>
      <c r="AU2224" s="77"/>
      <c r="AV2224" s="80" t="str">
        <f>HYPERLINK("https://pbs.twimg.com/media/FymRKogXoAg48JC.jpg")</f>
        <v>https://pbs.twimg.com/media/FymRKogXoAg48JC.jpg</v>
      </c>
      <c r="AW2224" s="82" t="s">
        <v>14382</v>
      </c>
      <c r="AX2224" s="82" t="s">
        <v>14382</v>
      </c>
      <c r="AY2224" s="77"/>
      <c r="AZ2224" s="82" t="s">
        <v>15804</v>
      </c>
      <c r="BA2224" s="82" t="s">
        <v>15804</v>
      </c>
      <c r="BB2224" s="82" t="s">
        <v>15804</v>
      </c>
      <c r="BC2224" s="82" t="s">
        <v>14382</v>
      </c>
      <c r="BD2224" s="82" t="s">
        <v>15779</v>
      </c>
      <c r="BE2224" s="77"/>
      <c r="BF2224" s="77"/>
      <c r="BG2224" s="77"/>
      <c r="BH2224" s="77"/>
      <c r="BI2224" s="77"/>
    </row>
    <row r="2225" spans="1:61" x14ac:dyDescent="0.25">
      <c r="A2225" s="62" t="s">
        <v>890</v>
      </c>
      <c r="B2225" s="62" t="s">
        <v>890</v>
      </c>
      <c r="C2225" s="63"/>
      <c r="D2225" s="64"/>
      <c r="E2225" s="65"/>
      <c r="F2225" s="66"/>
      <c r="G2225" s="63"/>
      <c r="H2225" s="67"/>
      <c r="I2225" s="68"/>
      <c r="J2225" s="68"/>
      <c r="K2225" s="32"/>
      <c r="L2225" s="75">
        <v>2225</v>
      </c>
      <c r="M2225" s="75"/>
      <c r="N2225" s="70"/>
      <c r="O2225" s="77" t="s">
        <v>1132</v>
      </c>
      <c r="P2225" s="79">
        <v>45089.798703703702</v>
      </c>
      <c r="Q2225" s="77" t="s">
        <v>3271</v>
      </c>
      <c r="R2225" s="77">
        <v>0</v>
      </c>
      <c r="S2225" s="77">
        <v>0</v>
      </c>
      <c r="T2225" s="77">
        <v>0</v>
      </c>
      <c r="U2225" s="77">
        <v>0</v>
      </c>
      <c r="V2225" s="77">
        <v>6</v>
      </c>
      <c r="W2225" s="82" t="s">
        <v>5488</v>
      </c>
      <c r="X2225" s="77"/>
      <c r="Y2225" s="77"/>
      <c r="Z2225" s="77"/>
      <c r="AA2225" s="77"/>
      <c r="AB2225" s="77"/>
      <c r="AC2225" s="82" t="s">
        <v>7706</v>
      </c>
      <c r="AD2225" s="77" t="s">
        <v>7745</v>
      </c>
      <c r="AE2225" s="80" t="str">
        <f>HYPERLINK("https://twitter.com/keepgrowing_/status/1668334889375236096")</f>
        <v>https://twitter.com/keepgrowing_/status/1668334889375236096</v>
      </c>
      <c r="AF2225" s="79">
        <v>45089.798703703702</v>
      </c>
      <c r="AG2225" s="85">
        <v>45089</v>
      </c>
      <c r="AH2225" s="82" t="s">
        <v>9740</v>
      </c>
      <c r="AI2225" s="77"/>
      <c r="AJ2225" s="77"/>
      <c r="AK2225" s="77"/>
      <c r="AL2225" s="77"/>
      <c r="AM2225" s="77"/>
      <c r="AN2225" s="77"/>
      <c r="AO2225" s="77"/>
      <c r="AP2225" s="77"/>
      <c r="AQ2225" s="77"/>
      <c r="AR2225" s="77"/>
      <c r="AS2225" s="77"/>
      <c r="AT2225" s="77"/>
      <c r="AU2225" s="77"/>
      <c r="AV2225" s="80" t="str">
        <f>HYPERLINK("https://pbs.twimg.com/profile_images/1645508547994681345/Cu2nWYBA_normal.jpg")</f>
        <v>https://pbs.twimg.com/profile_images/1645508547994681345/Cu2nWYBA_normal.jpg</v>
      </c>
      <c r="AW2225" s="82" t="s">
        <v>14383</v>
      </c>
      <c r="AX2225" s="82" t="s">
        <v>15549</v>
      </c>
      <c r="AY2225" s="82" t="s">
        <v>15779</v>
      </c>
      <c r="AZ2225" s="82" t="s">
        <v>16071</v>
      </c>
      <c r="BA2225" s="82" t="s">
        <v>15804</v>
      </c>
      <c r="BB2225" s="82" t="s">
        <v>15804</v>
      </c>
      <c r="BC2225" s="82" t="s">
        <v>16071</v>
      </c>
      <c r="BD2225" s="82" t="s">
        <v>15779</v>
      </c>
      <c r="BE2225" s="77"/>
      <c r="BF2225" s="77"/>
      <c r="BG2225" s="77"/>
      <c r="BH2225" s="77"/>
      <c r="BI2225" s="77"/>
    </row>
    <row r="2226" spans="1:61" x14ac:dyDescent="0.25">
      <c r="A2226" s="62" t="s">
        <v>890</v>
      </c>
      <c r="B2226" s="62" t="s">
        <v>890</v>
      </c>
      <c r="C2226" s="63"/>
      <c r="D2226" s="64"/>
      <c r="E2226" s="65"/>
      <c r="F2226" s="66"/>
      <c r="G2226" s="63"/>
      <c r="H2226" s="67"/>
      <c r="I2226" s="68"/>
      <c r="J2226" s="68"/>
      <c r="K2226" s="32"/>
      <c r="L2226" s="75">
        <v>2226</v>
      </c>
      <c r="M2226" s="75"/>
      <c r="N2226" s="70"/>
      <c r="O2226" s="77" t="s">
        <v>179</v>
      </c>
      <c r="P2226" s="79">
        <v>45000.563020833331</v>
      </c>
      <c r="Q2226" s="77" t="s">
        <v>3272</v>
      </c>
      <c r="R2226" s="77">
        <v>0</v>
      </c>
      <c r="S2226" s="77">
        <v>0</v>
      </c>
      <c r="T2226" s="77">
        <v>0</v>
      </c>
      <c r="U2226" s="77">
        <v>0</v>
      </c>
      <c r="V2226" s="77">
        <v>7</v>
      </c>
      <c r="W2226" s="82" t="s">
        <v>5489</v>
      </c>
      <c r="X2226" s="80" t="str">
        <f>HYPERLINK("https://www.keepgrowing.com.br/Pages/222493/6-dicas-financeiras-para-jovens")</f>
        <v>https://www.keepgrowing.com.br/Pages/222493/6-dicas-financeiras-para-jovens</v>
      </c>
      <c r="Y2226" s="77" t="s">
        <v>6002</v>
      </c>
      <c r="Z2226" s="77"/>
      <c r="AA2226" s="77"/>
      <c r="AB2226" s="77"/>
      <c r="AC2226" s="82" t="s">
        <v>7706</v>
      </c>
      <c r="AD2226" s="77" t="s">
        <v>7745</v>
      </c>
      <c r="AE2226" s="80" t="str">
        <f>HYPERLINK("https://twitter.com/keepgrowing_/status/1635996962880102400")</f>
        <v>https://twitter.com/keepgrowing_/status/1635996962880102400</v>
      </c>
      <c r="AF2226" s="79">
        <v>45000.563020833331</v>
      </c>
      <c r="AG2226" s="85">
        <v>45000</v>
      </c>
      <c r="AH2226" s="82" t="s">
        <v>9741</v>
      </c>
      <c r="AI2226" s="77" t="b">
        <v>0</v>
      </c>
      <c r="AJ2226" s="77"/>
      <c r="AK2226" s="77"/>
      <c r="AL2226" s="77"/>
      <c r="AM2226" s="77"/>
      <c r="AN2226" s="77"/>
      <c r="AO2226" s="77"/>
      <c r="AP2226" s="77"/>
      <c r="AQ2226" s="77"/>
      <c r="AR2226" s="77"/>
      <c r="AS2226" s="77"/>
      <c r="AT2226" s="77"/>
      <c r="AU2226" s="77"/>
      <c r="AV2226" s="80" t="str">
        <f>HYPERLINK("https://pbs.twimg.com/profile_images/1645508547994681345/Cu2nWYBA_normal.jpg")</f>
        <v>https://pbs.twimg.com/profile_images/1645508547994681345/Cu2nWYBA_normal.jpg</v>
      </c>
      <c r="AW2226" s="82" t="s">
        <v>14384</v>
      </c>
      <c r="AX2226" s="82" t="s">
        <v>14384</v>
      </c>
      <c r="AY2226" s="77"/>
      <c r="AZ2226" s="82" t="s">
        <v>15804</v>
      </c>
      <c r="BA2226" s="82" t="s">
        <v>15804</v>
      </c>
      <c r="BB2226" s="82" t="s">
        <v>15804</v>
      </c>
      <c r="BC2226" s="82" t="s">
        <v>14384</v>
      </c>
      <c r="BD2226" s="82" t="s">
        <v>15779</v>
      </c>
      <c r="BE2226" s="77"/>
      <c r="BF2226" s="77"/>
      <c r="BG2226" s="77"/>
      <c r="BH2226" s="77"/>
      <c r="BI2226" s="77"/>
    </row>
    <row r="2227" spans="1:61" x14ac:dyDescent="0.25">
      <c r="A2227" s="62" t="s">
        <v>890</v>
      </c>
      <c r="B2227" s="62" t="s">
        <v>890</v>
      </c>
      <c r="C2227" s="63"/>
      <c r="D2227" s="64"/>
      <c r="E2227" s="65"/>
      <c r="F2227" s="66"/>
      <c r="G2227" s="63"/>
      <c r="H2227" s="67"/>
      <c r="I2227" s="68"/>
      <c r="J2227" s="68"/>
      <c r="K2227" s="32"/>
      <c r="L2227" s="75">
        <v>2227</v>
      </c>
      <c r="M2227" s="75"/>
      <c r="N2227" s="70"/>
      <c r="O2227" s="77" t="s">
        <v>1132</v>
      </c>
      <c r="P2227" s="79">
        <v>45112.832002314812</v>
      </c>
      <c r="Q2227" s="77" t="s">
        <v>3273</v>
      </c>
      <c r="R2227" s="77">
        <v>0</v>
      </c>
      <c r="S2227" s="77">
        <v>0</v>
      </c>
      <c r="T2227" s="77">
        <v>0</v>
      </c>
      <c r="U2227" s="77">
        <v>0</v>
      </c>
      <c r="V2227" s="77">
        <v>15</v>
      </c>
      <c r="W2227" s="82" t="s">
        <v>5490</v>
      </c>
      <c r="X2227" s="77"/>
      <c r="Y2227" s="77"/>
      <c r="Z2227" s="77"/>
      <c r="AA2227" s="77"/>
      <c r="AB2227" s="77"/>
      <c r="AC2227" s="82" t="s">
        <v>7706</v>
      </c>
      <c r="AD2227" s="77" t="s">
        <v>7745</v>
      </c>
      <c r="AE2227" s="80" t="str">
        <f>HYPERLINK("https://twitter.com/keepgrowing_/status/1676681877720055813")</f>
        <v>https://twitter.com/keepgrowing_/status/1676681877720055813</v>
      </c>
      <c r="AF2227" s="79">
        <v>45112.832002314812</v>
      </c>
      <c r="AG2227" s="85">
        <v>45112</v>
      </c>
      <c r="AH2227" s="82" t="s">
        <v>9742</v>
      </c>
      <c r="AI2227" s="77"/>
      <c r="AJ2227" s="77"/>
      <c r="AK2227" s="77"/>
      <c r="AL2227" s="77"/>
      <c r="AM2227" s="77"/>
      <c r="AN2227" s="77"/>
      <c r="AO2227" s="77"/>
      <c r="AP2227" s="77"/>
      <c r="AQ2227" s="77"/>
      <c r="AR2227" s="77"/>
      <c r="AS2227" s="77"/>
      <c r="AT2227" s="77"/>
      <c r="AU2227" s="77"/>
      <c r="AV2227" s="80" t="str">
        <f>HYPERLINK("https://pbs.twimg.com/profile_images/1645508547994681345/Cu2nWYBA_normal.jpg")</f>
        <v>https://pbs.twimg.com/profile_images/1645508547994681345/Cu2nWYBA_normal.jpg</v>
      </c>
      <c r="AW2227" s="82" t="s">
        <v>14385</v>
      </c>
      <c r="AX2227" s="82" t="s">
        <v>15550</v>
      </c>
      <c r="AY2227" s="82" t="s">
        <v>15779</v>
      </c>
      <c r="AZ2227" s="82" t="s">
        <v>16072</v>
      </c>
      <c r="BA2227" s="82" t="s">
        <v>15804</v>
      </c>
      <c r="BB2227" s="82" t="s">
        <v>15804</v>
      </c>
      <c r="BC2227" s="82" t="s">
        <v>16072</v>
      </c>
      <c r="BD2227" s="82" t="s">
        <v>15779</v>
      </c>
      <c r="BE2227" s="77"/>
      <c r="BF2227" s="77"/>
      <c r="BG2227" s="77"/>
      <c r="BH2227" s="77"/>
      <c r="BI2227" s="77"/>
    </row>
    <row r="2228" spans="1:61" x14ac:dyDescent="0.25">
      <c r="A2228" s="62" t="s">
        <v>890</v>
      </c>
      <c r="B2228" s="62" t="s">
        <v>890</v>
      </c>
      <c r="C2228" s="63"/>
      <c r="D2228" s="64"/>
      <c r="E2228" s="65"/>
      <c r="F2228" s="66"/>
      <c r="G2228" s="63"/>
      <c r="H2228" s="67"/>
      <c r="I2228" s="68"/>
      <c r="J2228" s="68"/>
      <c r="K2228" s="32"/>
      <c r="L2228" s="75">
        <v>2228</v>
      </c>
      <c r="M2228" s="75"/>
      <c r="N2228" s="70"/>
      <c r="O2228" s="77" t="s">
        <v>179</v>
      </c>
      <c r="P2228" s="79">
        <v>45096.585300925923</v>
      </c>
      <c r="Q2228" s="77" t="s">
        <v>3274</v>
      </c>
      <c r="R2228" s="77">
        <v>0</v>
      </c>
      <c r="S2228" s="77">
        <v>0</v>
      </c>
      <c r="T2228" s="77">
        <v>0</v>
      </c>
      <c r="U2228" s="77">
        <v>0</v>
      </c>
      <c r="V2228" s="77">
        <v>18</v>
      </c>
      <c r="W2228" s="82" t="s">
        <v>5491</v>
      </c>
      <c r="X2228" s="77"/>
      <c r="Y2228" s="77"/>
      <c r="Z2228" s="77"/>
      <c r="AA2228" s="77" t="s">
        <v>7394</v>
      </c>
      <c r="AB2228" s="77" t="s">
        <v>7696</v>
      </c>
      <c r="AC2228" s="82" t="s">
        <v>7706</v>
      </c>
      <c r="AD2228" s="77" t="s">
        <v>7745</v>
      </c>
      <c r="AE2228" s="80" t="str">
        <f>HYPERLINK("https://twitter.com/keepgrowing_/status/1670794270352060421")</f>
        <v>https://twitter.com/keepgrowing_/status/1670794270352060421</v>
      </c>
      <c r="AF2228" s="79">
        <v>45096.585300925923</v>
      </c>
      <c r="AG2228" s="85">
        <v>45096</v>
      </c>
      <c r="AH2228" s="82" t="s">
        <v>9743</v>
      </c>
      <c r="AI2228" s="77" t="b">
        <v>0</v>
      </c>
      <c r="AJ2228" s="77"/>
      <c r="AK2228" s="77"/>
      <c r="AL2228" s="77"/>
      <c r="AM2228" s="77"/>
      <c r="AN2228" s="77"/>
      <c r="AO2228" s="77"/>
      <c r="AP2228" s="77"/>
      <c r="AQ2228" s="77" t="s">
        <v>11901</v>
      </c>
      <c r="AR2228" s="77"/>
      <c r="AS2228" s="77"/>
      <c r="AT2228" s="77"/>
      <c r="AU2228" s="77"/>
      <c r="AV2228" s="80" t="str">
        <f>HYPERLINK("https://pbs.twimg.com/media/Fy_aeslWcAcH3Zy.jpg")</f>
        <v>https://pbs.twimg.com/media/Fy_aeslWcAcH3Zy.jpg</v>
      </c>
      <c r="AW2228" s="82" t="s">
        <v>14386</v>
      </c>
      <c r="AX2228" s="82" t="s">
        <v>14386</v>
      </c>
      <c r="AY2228" s="77"/>
      <c r="AZ2228" s="82" t="s">
        <v>15804</v>
      </c>
      <c r="BA2228" s="82" t="s">
        <v>15804</v>
      </c>
      <c r="BB2228" s="82" t="s">
        <v>15804</v>
      </c>
      <c r="BC2228" s="82" t="s">
        <v>14386</v>
      </c>
      <c r="BD2228" s="82" t="s">
        <v>15779</v>
      </c>
      <c r="BE2228" s="77"/>
      <c r="BF2228" s="77"/>
      <c r="BG2228" s="77"/>
      <c r="BH2228" s="77"/>
      <c r="BI2228" s="77"/>
    </row>
    <row r="2229" spans="1:61" x14ac:dyDescent="0.25">
      <c r="A2229" s="62" t="s">
        <v>890</v>
      </c>
      <c r="B2229" s="62" t="s">
        <v>890</v>
      </c>
      <c r="C2229" s="63"/>
      <c r="D2229" s="64"/>
      <c r="E2229" s="65"/>
      <c r="F2229" s="66"/>
      <c r="G2229" s="63"/>
      <c r="H2229" s="67"/>
      <c r="I2229" s="68"/>
      <c r="J2229" s="68"/>
      <c r="K2229" s="32"/>
      <c r="L2229" s="75">
        <v>2229</v>
      </c>
      <c r="M2229" s="75"/>
      <c r="N2229" s="70"/>
      <c r="O2229" s="77" t="s">
        <v>1132</v>
      </c>
      <c r="P2229" s="79">
        <v>45057.700381944444</v>
      </c>
      <c r="Q2229" s="77" t="s">
        <v>3275</v>
      </c>
      <c r="R2229" s="77">
        <v>0</v>
      </c>
      <c r="S2229" s="77">
        <v>0</v>
      </c>
      <c r="T2229" s="77">
        <v>0</v>
      </c>
      <c r="U2229" s="77">
        <v>0</v>
      </c>
      <c r="V2229" s="77">
        <v>6</v>
      </c>
      <c r="W2229" s="82" t="s">
        <v>5492</v>
      </c>
      <c r="X2229" s="77"/>
      <c r="Y2229" s="77"/>
      <c r="Z2229" s="77"/>
      <c r="AA2229" s="77"/>
      <c r="AB2229" s="77"/>
      <c r="AC2229" s="82" t="s">
        <v>7706</v>
      </c>
      <c r="AD2229" s="77" t="s">
        <v>7745</v>
      </c>
      <c r="AE2229" s="80" t="str">
        <f>HYPERLINK("https://twitter.com/keepgrowing_/status/1656702846308433937")</f>
        <v>https://twitter.com/keepgrowing_/status/1656702846308433937</v>
      </c>
      <c r="AF2229" s="79">
        <v>45057.700381944444</v>
      </c>
      <c r="AG2229" s="85">
        <v>45057</v>
      </c>
      <c r="AH2229" s="82" t="s">
        <v>9744</v>
      </c>
      <c r="AI2229" s="77"/>
      <c r="AJ2229" s="77"/>
      <c r="AK2229" s="77"/>
      <c r="AL2229" s="77"/>
      <c r="AM2229" s="77"/>
      <c r="AN2229" s="77"/>
      <c r="AO2229" s="77"/>
      <c r="AP2229" s="77"/>
      <c r="AQ2229" s="77"/>
      <c r="AR2229" s="77"/>
      <c r="AS2229" s="77"/>
      <c r="AT2229" s="77"/>
      <c r="AU2229" s="77"/>
      <c r="AV2229" s="80" t="str">
        <f>HYPERLINK("https://pbs.twimg.com/profile_images/1645508547994681345/Cu2nWYBA_normal.jpg")</f>
        <v>https://pbs.twimg.com/profile_images/1645508547994681345/Cu2nWYBA_normal.jpg</v>
      </c>
      <c r="AW2229" s="82" t="s">
        <v>14387</v>
      </c>
      <c r="AX2229" s="82" t="s">
        <v>15551</v>
      </c>
      <c r="AY2229" s="82" t="s">
        <v>15779</v>
      </c>
      <c r="AZ2229" s="82" t="s">
        <v>15551</v>
      </c>
      <c r="BA2229" s="82" t="s">
        <v>15804</v>
      </c>
      <c r="BB2229" s="82" t="s">
        <v>15804</v>
      </c>
      <c r="BC2229" s="82" t="s">
        <v>15551</v>
      </c>
      <c r="BD2229" s="82" t="s">
        <v>15779</v>
      </c>
      <c r="BE2229" s="77"/>
      <c r="BF2229" s="77"/>
      <c r="BG2229" s="77"/>
      <c r="BH2229" s="77"/>
      <c r="BI2229" s="77"/>
    </row>
    <row r="2230" spans="1:61" x14ac:dyDescent="0.25">
      <c r="A2230" s="62" t="s">
        <v>890</v>
      </c>
      <c r="B2230" s="62" t="s">
        <v>890</v>
      </c>
      <c r="C2230" s="63"/>
      <c r="D2230" s="64"/>
      <c r="E2230" s="65"/>
      <c r="F2230" s="66"/>
      <c r="G2230" s="63"/>
      <c r="H2230" s="67"/>
      <c r="I2230" s="68"/>
      <c r="J2230" s="68"/>
      <c r="K2230" s="32"/>
      <c r="L2230" s="75">
        <v>2230</v>
      </c>
      <c r="M2230" s="75"/>
      <c r="N2230" s="70"/>
      <c r="O2230" s="77" t="s">
        <v>179</v>
      </c>
      <c r="P2230" s="79">
        <v>45161.731041666666</v>
      </c>
      <c r="Q2230" s="77" t="s">
        <v>3276</v>
      </c>
      <c r="R2230" s="77">
        <v>0</v>
      </c>
      <c r="S2230" s="77">
        <v>0</v>
      </c>
      <c r="T2230" s="77">
        <v>0</v>
      </c>
      <c r="U2230" s="77">
        <v>0</v>
      </c>
      <c r="V2230" s="77">
        <v>8</v>
      </c>
      <c r="W2230" s="82" t="s">
        <v>5493</v>
      </c>
      <c r="X2230" s="80" t="str">
        <f>HYPERLINK("https://www.keepgrowing.com.br/Pages/229992/melhores-podcasts-de-financas-para-se-manter-informado")</f>
        <v>https://www.keepgrowing.com.br/Pages/229992/melhores-podcasts-de-financas-para-se-manter-informado</v>
      </c>
      <c r="Y2230" s="77" t="s">
        <v>6002</v>
      </c>
      <c r="Z2230" s="77"/>
      <c r="AA2230" s="77"/>
      <c r="AB2230" s="77"/>
      <c r="AC2230" s="82" t="s">
        <v>7706</v>
      </c>
      <c r="AD2230" s="77" t="s">
        <v>7745</v>
      </c>
      <c r="AE2230" s="80" t="str">
        <f>HYPERLINK("https://twitter.com/keepgrowing_/status/1694402297558679842")</f>
        <v>https://twitter.com/keepgrowing_/status/1694402297558679842</v>
      </c>
      <c r="AF2230" s="79">
        <v>45161.731041666666</v>
      </c>
      <c r="AG2230" s="85">
        <v>45161</v>
      </c>
      <c r="AH2230" s="82" t="s">
        <v>8099</v>
      </c>
      <c r="AI2230" s="77" t="b">
        <v>0</v>
      </c>
      <c r="AJ2230" s="77"/>
      <c r="AK2230" s="77"/>
      <c r="AL2230" s="77"/>
      <c r="AM2230" s="77"/>
      <c r="AN2230" s="77"/>
      <c r="AO2230" s="77"/>
      <c r="AP2230" s="77"/>
      <c r="AQ2230" s="77"/>
      <c r="AR2230" s="77"/>
      <c r="AS2230" s="77"/>
      <c r="AT2230" s="77"/>
      <c r="AU2230" s="77"/>
      <c r="AV2230" s="80" t="str">
        <f>HYPERLINK("https://pbs.twimg.com/profile_images/1645508547994681345/Cu2nWYBA_normal.jpg")</f>
        <v>https://pbs.twimg.com/profile_images/1645508547994681345/Cu2nWYBA_normal.jpg</v>
      </c>
      <c r="AW2230" s="82" t="s">
        <v>14388</v>
      </c>
      <c r="AX2230" s="82" t="s">
        <v>14388</v>
      </c>
      <c r="AY2230" s="77"/>
      <c r="AZ2230" s="82" t="s">
        <v>15804</v>
      </c>
      <c r="BA2230" s="82" t="s">
        <v>15804</v>
      </c>
      <c r="BB2230" s="82" t="s">
        <v>15804</v>
      </c>
      <c r="BC2230" s="82" t="s">
        <v>14388</v>
      </c>
      <c r="BD2230" s="82" t="s">
        <v>15779</v>
      </c>
      <c r="BE2230" s="77"/>
      <c r="BF2230" s="77"/>
      <c r="BG2230" s="77"/>
      <c r="BH2230" s="77"/>
      <c r="BI2230" s="77"/>
    </row>
    <row r="2231" spans="1:61" x14ac:dyDescent="0.25">
      <c r="A2231" s="62" t="s">
        <v>890</v>
      </c>
      <c r="B2231" s="62" t="s">
        <v>890</v>
      </c>
      <c r="C2231" s="63"/>
      <c r="D2231" s="64"/>
      <c r="E2231" s="65"/>
      <c r="F2231" s="66"/>
      <c r="G2231" s="63"/>
      <c r="H2231" s="67"/>
      <c r="I2231" s="68"/>
      <c r="J2231" s="68"/>
      <c r="K2231" s="32"/>
      <c r="L2231" s="75">
        <v>2231</v>
      </c>
      <c r="M2231" s="75"/>
      <c r="N2231" s="70"/>
      <c r="O2231" s="77" t="s">
        <v>179</v>
      </c>
      <c r="P2231" s="79">
        <v>45168.601956018516</v>
      </c>
      <c r="Q2231" s="77" t="s">
        <v>3277</v>
      </c>
      <c r="R2231" s="77">
        <v>0</v>
      </c>
      <c r="S2231" s="77">
        <v>0</v>
      </c>
      <c r="T2231" s="77">
        <v>0</v>
      </c>
      <c r="U2231" s="77">
        <v>0</v>
      </c>
      <c r="V2231" s="77">
        <v>15</v>
      </c>
      <c r="W2231" s="82" t="s">
        <v>5494</v>
      </c>
      <c r="X2231" s="77"/>
      <c r="Y2231" s="77"/>
      <c r="Z2231" s="77"/>
      <c r="AA2231" s="77" t="s">
        <v>7395</v>
      </c>
      <c r="AB2231" s="77" t="s">
        <v>7696</v>
      </c>
      <c r="AC2231" s="82" t="s">
        <v>7706</v>
      </c>
      <c r="AD2231" s="77" t="s">
        <v>7745</v>
      </c>
      <c r="AE2231" s="80" t="str">
        <f>HYPERLINK("https://twitter.com/keepgrowing_/status/1696892232463257727")</f>
        <v>https://twitter.com/keepgrowing_/status/1696892232463257727</v>
      </c>
      <c r="AF2231" s="79">
        <v>45168.601956018516</v>
      </c>
      <c r="AG2231" s="85">
        <v>45168</v>
      </c>
      <c r="AH2231" s="82" t="s">
        <v>9745</v>
      </c>
      <c r="AI2231" s="77" t="b">
        <v>0</v>
      </c>
      <c r="AJ2231" s="77"/>
      <c r="AK2231" s="77"/>
      <c r="AL2231" s="77"/>
      <c r="AM2231" s="77"/>
      <c r="AN2231" s="77"/>
      <c r="AO2231" s="77"/>
      <c r="AP2231" s="77"/>
      <c r="AQ2231" s="77" t="s">
        <v>11902</v>
      </c>
      <c r="AR2231" s="77"/>
      <c r="AS2231" s="77"/>
      <c r="AT2231" s="77"/>
      <c r="AU2231" s="77"/>
      <c r="AV2231" s="80" t="str">
        <f>HYPERLINK("https://pbs.twimg.com/media/F4ySfR4W4AE-bKf.jpg")</f>
        <v>https://pbs.twimg.com/media/F4ySfR4W4AE-bKf.jpg</v>
      </c>
      <c r="AW2231" s="82" t="s">
        <v>14389</v>
      </c>
      <c r="AX2231" s="82" t="s">
        <v>14389</v>
      </c>
      <c r="AY2231" s="77"/>
      <c r="AZ2231" s="82" t="s">
        <v>15804</v>
      </c>
      <c r="BA2231" s="82" t="s">
        <v>15804</v>
      </c>
      <c r="BB2231" s="82" t="s">
        <v>15804</v>
      </c>
      <c r="BC2231" s="82" t="s">
        <v>14389</v>
      </c>
      <c r="BD2231" s="82" t="s">
        <v>15779</v>
      </c>
      <c r="BE2231" s="77"/>
      <c r="BF2231" s="77"/>
      <c r="BG2231" s="77"/>
      <c r="BH2231" s="77"/>
      <c r="BI2231" s="77"/>
    </row>
    <row r="2232" spans="1:61" x14ac:dyDescent="0.25">
      <c r="A2232" s="62" t="s">
        <v>890</v>
      </c>
      <c r="B2232" s="62" t="s">
        <v>890</v>
      </c>
      <c r="C2232" s="63"/>
      <c r="D2232" s="64"/>
      <c r="E2232" s="65"/>
      <c r="F2232" s="66"/>
      <c r="G2232" s="63"/>
      <c r="H2232" s="67"/>
      <c r="I2232" s="68"/>
      <c r="J2232" s="68"/>
      <c r="K2232" s="32"/>
      <c r="L2232" s="75">
        <v>2232</v>
      </c>
      <c r="M2232" s="75"/>
      <c r="N2232" s="70"/>
      <c r="O2232" s="77" t="s">
        <v>179</v>
      </c>
      <c r="P2232" s="79">
        <v>45155.632881944446</v>
      </c>
      <c r="Q2232" s="77" t="s">
        <v>3278</v>
      </c>
      <c r="R2232" s="77">
        <v>0</v>
      </c>
      <c r="S2232" s="77">
        <v>0</v>
      </c>
      <c r="T2232" s="77">
        <v>0</v>
      </c>
      <c r="U2232" s="77">
        <v>0</v>
      </c>
      <c r="V2232" s="77">
        <v>8</v>
      </c>
      <c r="W2232" s="82" t="s">
        <v>5495</v>
      </c>
      <c r="X2232" s="77"/>
      <c r="Y2232" s="77"/>
      <c r="Z2232" s="77"/>
      <c r="AA2232" s="77" t="s">
        <v>7396</v>
      </c>
      <c r="AB2232" s="77" t="s">
        <v>7696</v>
      </c>
      <c r="AC2232" s="82" t="s">
        <v>7706</v>
      </c>
      <c r="AD2232" s="77" t="s">
        <v>7745</v>
      </c>
      <c r="AE2232" s="80" t="str">
        <f>HYPERLINK("https://twitter.com/keepgrowing_/status/1692192396816028078")</f>
        <v>https://twitter.com/keepgrowing_/status/1692192396816028078</v>
      </c>
      <c r="AF2232" s="79">
        <v>45155.632881944446</v>
      </c>
      <c r="AG2232" s="85">
        <v>45155</v>
      </c>
      <c r="AH2232" s="82" t="s">
        <v>9746</v>
      </c>
      <c r="AI2232" s="77" t="b">
        <v>0</v>
      </c>
      <c r="AJ2232" s="77"/>
      <c r="AK2232" s="77"/>
      <c r="AL2232" s="77"/>
      <c r="AM2232" s="77"/>
      <c r="AN2232" s="77"/>
      <c r="AO2232" s="77"/>
      <c r="AP2232" s="77"/>
      <c r="AQ2232" s="77" t="s">
        <v>11903</v>
      </c>
      <c r="AR2232" s="77"/>
      <c r="AS2232" s="77"/>
      <c r="AT2232" s="77"/>
      <c r="AU2232" s="77"/>
      <c r="AV2232" s="80" t="str">
        <f>HYPERLINK("https://pbs.twimg.com/media/F3vgAUCWIAAiFH7.jpg")</f>
        <v>https://pbs.twimg.com/media/F3vgAUCWIAAiFH7.jpg</v>
      </c>
      <c r="AW2232" s="82" t="s">
        <v>14390</v>
      </c>
      <c r="AX2232" s="82" t="s">
        <v>14390</v>
      </c>
      <c r="AY2232" s="77"/>
      <c r="AZ2232" s="82" t="s">
        <v>15804</v>
      </c>
      <c r="BA2232" s="82" t="s">
        <v>15804</v>
      </c>
      <c r="BB2232" s="82" t="s">
        <v>15804</v>
      </c>
      <c r="BC2232" s="82" t="s">
        <v>14390</v>
      </c>
      <c r="BD2232" s="82" t="s">
        <v>15779</v>
      </c>
      <c r="BE2232" s="77"/>
      <c r="BF2232" s="77"/>
      <c r="BG2232" s="77"/>
      <c r="BH2232" s="77"/>
      <c r="BI2232" s="77"/>
    </row>
    <row r="2233" spans="1:61" x14ac:dyDescent="0.25">
      <c r="A2233" s="62" t="s">
        <v>890</v>
      </c>
      <c r="B2233" s="62" t="s">
        <v>890</v>
      </c>
      <c r="C2233" s="63"/>
      <c r="D2233" s="64"/>
      <c r="E2233" s="65"/>
      <c r="F2233" s="66"/>
      <c r="G2233" s="63"/>
      <c r="H2233" s="67"/>
      <c r="I2233" s="68"/>
      <c r="J2233" s="68"/>
      <c r="K2233" s="32"/>
      <c r="L2233" s="75">
        <v>2233</v>
      </c>
      <c r="M2233" s="75"/>
      <c r="N2233" s="70"/>
      <c r="O2233" s="77" t="s">
        <v>179</v>
      </c>
      <c r="P2233" s="79">
        <v>45119.735405092593</v>
      </c>
      <c r="Q2233" s="77" t="s">
        <v>3279</v>
      </c>
      <c r="R2233" s="77">
        <v>0</v>
      </c>
      <c r="S2233" s="77">
        <v>0</v>
      </c>
      <c r="T2233" s="77">
        <v>0</v>
      </c>
      <c r="U2233" s="77">
        <v>0</v>
      </c>
      <c r="V2233" s="77">
        <v>30</v>
      </c>
      <c r="W2233" s="82" t="s">
        <v>5496</v>
      </c>
      <c r="X2233" s="77"/>
      <c r="Y2233" s="77"/>
      <c r="Z2233" s="77"/>
      <c r="AA2233" s="77" t="s">
        <v>7397</v>
      </c>
      <c r="AB2233" s="77" t="s">
        <v>7696</v>
      </c>
      <c r="AC2233" s="82" t="s">
        <v>7706</v>
      </c>
      <c r="AD2233" s="77" t="s">
        <v>7745</v>
      </c>
      <c r="AE2233" s="80" t="str">
        <f>HYPERLINK("https://twitter.com/keepgrowing_/status/1679183588233707539")</f>
        <v>https://twitter.com/keepgrowing_/status/1679183588233707539</v>
      </c>
      <c r="AF2233" s="79">
        <v>45119.735405092593</v>
      </c>
      <c r="AG2233" s="85">
        <v>45119</v>
      </c>
      <c r="AH2233" s="82" t="s">
        <v>9747</v>
      </c>
      <c r="AI2233" s="77" t="b">
        <v>0</v>
      </c>
      <c r="AJ2233" s="77"/>
      <c r="AK2233" s="77"/>
      <c r="AL2233" s="77"/>
      <c r="AM2233" s="77"/>
      <c r="AN2233" s="77"/>
      <c r="AO2233" s="77"/>
      <c r="AP2233" s="77"/>
      <c r="AQ2233" s="77" t="s">
        <v>11904</v>
      </c>
      <c r="AR2233" s="77"/>
      <c r="AS2233" s="77"/>
      <c r="AT2233" s="77"/>
      <c r="AU2233" s="77"/>
      <c r="AV2233" s="80" t="str">
        <f>HYPERLINK("https://pbs.twimg.com/media/F02okcBWIAAG9Qw.jpg")</f>
        <v>https://pbs.twimg.com/media/F02okcBWIAAG9Qw.jpg</v>
      </c>
      <c r="AW2233" s="82" t="s">
        <v>14391</v>
      </c>
      <c r="AX2233" s="82" t="s">
        <v>14391</v>
      </c>
      <c r="AY2233" s="77"/>
      <c r="AZ2233" s="82" t="s">
        <v>15804</v>
      </c>
      <c r="BA2233" s="82" t="s">
        <v>15804</v>
      </c>
      <c r="BB2233" s="82" t="s">
        <v>15804</v>
      </c>
      <c r="BC2233" s="82" t="s">
        <v>14391</v>
      </c>
      <c r="BD2233" s="82" t="s">
        <v>15779</v>
      </c>
      <c r="BE2233" s="77"/>
      <c r="BF2233" s="77"/>
      <c r="BG2233" s="77"/>
      <c r="BH2233" s="77"/>
      <c r="BI2233" s="77"/>
    </row>
    <row r="2234" spans="1:61" x14ac:dyDescent="0.25">
      <c r="A2234" s="62" t="s">
        <v>891</v>
      </c>
      <c r="B2234" s="62" t="s">
        <v>891</v>
      </c>
      <c r="C2234" s="63"/>
      <c r="D2234" s="64"/>
      <c r="E2234" s="65"/>
      <c r="F2234" s="66"/>
      <c r="G2234" s="63"/>
      <c r="H2234" s="67"/>
      <c r="I2234" s="68"/>
      <c r="J2234" s="68"/>
      <c r="K2234" s="32"/>
      <c r="L2234" s="75">
        <v>2234</v>
      </c>
      <c r="M2234" s="75"/>
      <c r="N2234" s="70"/>
      <c r="O2234" s="77" t="s">
        <v>179</v>
      </c>
      <c r="P2234" s="79">
        <v>45047.479629629626</v>
      </c>
      <c r="Q2234" s="77" t="s">
        <v>3280</v>
      </c>
      <c r="R2234" s="77">
        <v>1</v>
      </c>
      <c r="S2234" s="77">
        <v>30</v>
      </c>
      <c r="T2234" s="77">
        <v>0</v>
      </c>
      <c r="U2234" s="77">
        <v>0</v>
      </c>
      <c r="V2234" s="77">
        <v>6411</v>
      </c>
      <c r="W2234" s="82" t="s">
        <v>5497</v>
      </c>
      <c r="X2234" s="77"/>
      <c r="Y2234" s="77"/>
      <c r="Z2234" s="77"/>
      <c r="AA2234" s="77" t="s">
        <v>7398</v>
      </c>
      <c r="AB2234" s="77" t="s">
        <v>7696</v>
      </c>
      <c r="AC2234" s="82" t="s">
        <v>7708</v>
      </c>
      <c r="AD2234" s="77" t="s">
        <v>7745</v>
      </c>
      <c r="AE2234" s="80" t="str">
        <f>HYPERLINK("https://twitter.com/mat_financeira/status/1652998969411133441")</f>
        <v>https://twitter.com/mat_financeira/status/1652998969411133441</v>
      </c>
      <c r="AF2234" s="79">
        <v>45047.479629629626</v>
      </c>
      <c r="AG2234" s="85">
        <v>45047</v>
      </c>
      <c r="AH2234" s="82" t="s">
        <v>9748</v>
      </c>
      <c r="AI2234" s="77" t="b">
        <v>0</v>
      </c>
      <c r="AJ2234" s="77"/>
      <c r="AK2234" s="77"/>
      <c r="AL2234" s="77"/>
      <c r="AM2234" s="77"/>
      <c r="AN2234" s="77"/>
      <c r="AO2234" s="77"/>
      <c r="AP2234" s="77"/>
      <c r="AQ2234" s="77" t="s">
        <v>11905</v>
      </c>
      <c r="AR2234" s="77"/>
      <c r="AS2234" s="77"/>
      <c r="AT2234" s="77"/>
      <c r="AU2234" s="77"/>
      <c r="AV2234" s="80" t="str">
        <f>HYPERLINK("https://pbs.twimg.com/media/FvChzVLWwAM9rPR.jpg")</f>
        <v>https://pbs.twimg.com/media/FvChzVLWwAM9rPR.jpg</v>
      </c>
      <c r="AW2234" s="82" t="s">
        <v>14392</v>
      </c>
      <c r="AX2234" s="82" t="s">
        <v>14392</v>
      </c>
      <c r="AY2234" s="77"/>
      <c r="AZ2234" s="82" t="s">
        <v>15804</v>
      </c>
      <c r="BA2234" s="82" t="s">
        <v>15804</v>
      </c>
      <c r="BB2234" s="82" t="s">
        <v>15804</v>
      </c>
      <c r="BC2234" s="82" t="s">
        <v>14392</v>
      </c>
      <c r="BD2234" s="82" t="s">
        <v>16519</v>
      </c>
      <c r="BE2234" s="77"/>
      <c r="BF2234" s="77"/>
      <c r="BG2234" s="77"/>
      <c r="BH2234" s="77"/>
      <c r="BI2234" s="77"/>
    </row>
    <row r="2235" spans="1:61" x14ac:dyDescent="0.25">
      <c r="A2235" s="62" t="s">
        <v>891</v>
      </c>
      <c r="B2235" s="62" t="s">
        <v>891</v>
      </c>
      <c r="C2235" s="63"/>
      <c r="D2235" s="64"/>
      <c r="E2235" s="65"/>
      <c r="F2235" s="66"/>
      <c r="G2235" s="63"/>
      <c r="H2235" s="67"/>
      <c r="I2235" s="68"/>
      <c r="J2235" s="68"/>
      <c r="K2235" s="32"/>
      <c r="L2235" s="75">
        <v>2235</v>
      </c>
      <c r="M2235" s="75"/>
      <c r="N2235" s="70"/>
      <c r="O2235" s="77" t="s">
        <v>179</v>
      </c>
      <c r="P2235" s="79">
        <v>45033.646296296298</v>
      </c>
      <c r="Q2235" s="77" t="s">
        <v>3281</v>
      </c>
      <c r="R2235" s="77">
        <v>1</v>
      </c>
      <c r="S2235" s="77">
        <v>16</v>
      </c>
      <c r="T2235" s="77">
        <v>0</v>
      </c>
      <c r="U2235" s="77">
        <v>0</v>
      </c>
      <c r="V2235" s="77">
        <v>4512</v>
      </c>
      <c r="W2235" s="82" t="s">
        <v>5498</v>
      </c>
      <c r="X2235" s="77"/>
      <c r="Y2235" s="77"/>
      <c r="Z2235" s="77"/>
      <c r="AA2235" s="77" t="s">
        <v>7399</v>
      </c>
      <c r="AB2235" s="77" t="s">
        <v>7697</v>
      </c>
      <c r="AC2235" s="82" t="s">
        <v>7708</v>
      </c>
      <c r="AD2235" s="77" t="s">
        <v>7745</v>
      </c>
      <c r="AE2235" s="80" t="str">
        <f>HYPERLINK("https://twitter.com/mat_financeira/status/1647985940000829440")</f>
        <v>https://twitter.com/mat_financeira/status/1647985940000829440</v>
      </c>
      <c r="AF2235" s="79">
        <v>45033.646296296298</v>
      </c>
      <c r="AG2235" s="85">
        <v>45033</v>
      </c>
      <c r="AH2235" s="82" t="s">
        <v>9749</v>
      </c>
      <c r="AI2235" s="77" t="b">
        <v>0</v>
      </c>
      <c r="AJ2235" s="77"/>
      <c r="AK2235" s="77"/>
      <c r="AL2235" s="77"/>
      <c r="AM2235" s="77"/>
      <c r="AN2235" s="77"/>
      <c r="AO2235" s="77"/>
      <c r="AP2235" s="77"/>
      <c r="AQ2235" s="77" t="s">
        <v>11906</v>
      </c>
      <c r="AR2235" s="77">
        <v>47533</v>
      </c>
      <c r="AS2235" s="77"/>
      <c r="AT2235" s="77"/>
      <c r="AU2235" s="77">
        <v>1721</v>
      </c>
      <c r="AV2235" s="80" t="str">
        <f>HYPERLINK("https://pbs.twimg.com/ext_tw_video_thumb/1647985911207014402/pu/img/SP2UCzy5XJElixkz.jpg")</f>
        <v>https://pbs.twimg.com/ext_tw_video_thumb/1647985911207014402/pu/img/SP2UCzy5XJElixkz.jpg</v>
      </c>
      <c r="AW2235" s="82" t="s">
        <v>14393</v>
      </c>
      <c r="AX2235" s="82" t="s">
        <v>14393</v>
      </c>
      <c r="AY2235" s="77"/>
      <c r="AZ2235" s="82" t="s">
        <v>15804</v>
      </c>
      <c r="BA2235" s="82" t="s">
        <v>15804</v>
      </c>
      <c r="BB2235" s="82" t="s">
        <v>15804</v>
      </c>
      <c r="BC2235" s="82" t="s">
        <v>14393</v>
      </c>
      <c r="BD2235" s="82" t="s">
        <v>16519</v>
      </c>
      <c r="BE2235" s="77"/>
      <c r="BF2235" s="77"/>
      <c r="BG2235" s="77"/>
      <c r="BH2235" s="77"/>
      <c r="BI2235" s="77"/>
    </row>
    <row r="2236" spans="1:61" x14ac:dyDescent="0.25">
      <c r="A2236" s="62" t="s">
        <v>891</v>
      </c>
      <c r="B2236" s="62" t="s">
        <v>891</v>
      </c>
      <c r="C2236" s="63"/>
      <c r="D2236" s="64"/>
      <c r="E2236" s="65"/>
      <c r="F2236" s="66"/>
      <c r="G2236" s="63"/>
      <c r="H2236" s="67"/>
      <c r="I2236" s="68"/>
      <c r="J2236" s="68"/>
      <c r="K2236" s="32"/>
      <c r="L2236" s="75">
        <v>2236</v>
      </c>
      <c r="M2236" s="75"/>
      <c r="N2236" s="70"/>
      <c r="O2236" s="77" t="s">
        <v>179</v>
      </c>
      <c r="P2236" s="79">
        <v>44935.646307870367</v>
      </c>
      <c r="Q2236" s="77" t="s">
        <v>3282</v>
      </c>
      <c r="R2236" s="77">
        <v>4</v>
      </c>
      <c r="S2236" s="77">
        <v>67</v>
      </c>
      <c r="T2236" s="77">
        <v>3</v>
      </c>
      <c r="U2236" s="77">
        <v>2</v>
      </c>
      <c r="V2236" s="77">
        <v>9865</v>
      </c>
      <c r="W2236" s="82" t="s">
        <v>5498</v>
      </c>
      <c r="X2236" s="77"/>
      <c r="Y2236" s="77"/>
      <c r="Z2236" s="77"/>
      <c r="AA2236" s="77" t="s">
        <v>7400</v>
      </c>
      <c r="AB2236" s="77" t="s">
        <v>7697</v>
      </c>
      <c r="AC2236" s="82" t="s">
        <v>7708</v>
      </c>
      <c r="AD2236" s="77" t="s">
        <v>7745</v>
      </c>
      <c r="AE2236" s="80" t="str">
        <f>HYPERLINK("https://twitter.com/mat_financeira/status/1612471932133285892")</f>
        <v>https://twitter.com/mat_financeira/status/1612471932133285892</v>
      </c>
      <c r="AF2236" s="79">
        <v>44935.646307870367</v>
      </c>
      <c r="AG2236" s="85">
        <v>44935</v>
      </c>
      <c r="AH2236" s="82" t="s">
        <v>9750</v>
      </c>
      <c r="AI2236" s="77" t="b">
        <v>0</v>
      </c>
      <c r="AJ2236" s="77"/>
      <c r="AK2236" s="77"/>
      <c r="AL2236" s="77"/>
      <c r="AM2236" s="77"/>
      <c r="AN2236" s="77"/>
      <c r="AO2236" s="77"/>
      <c r="AP2236" s="77"/>
      <c r="AQ2236" s="77" t="s">
        <v>11907</v>
      </c>
      <c r="AR2236" s="77">
        <v>58266</v>
      </c>
      <c r="AS2236" s="77"/>
      <c r="AT2236" s="77"/>
      <c r="AU2236" s="77">
        <v>3793</v>
      </c>
      <c r="AV2236" s="80" t="str">
        <f>HYPERLINK("https://pbs.twimg.com/ext_tw_video_thumb/1612471902957608960/pu/img/8tBUU37cnCUYUGXa.jpg")</f>
        <v>https://pbs.twimg.com/ext_tw_video_thumb/1612471902957608960/pu/img/8tBUU37cnCUYUGXa.jpg</v>
      </c>
      <c r="AW2236" s="82" t="s">
        <v>14394</v>
      </c>
      <c r="AX2236" s="82" t="s">
        <v>14394</v>
      </c>
      <c r="AY2236" s="77"/>
      <c r="AZ2236" s="82" t="s">
        <v>15804</v>
      </c>
      <c r="BA2236" s="82" t="s">
        <v>15804</v>
      </c>
      <c r="BB2236" s="82" t="s">
        <v>15804</v>
      </c>
      <c r="BC2236" s="82" t="s">
        <v>14394</v>
      </c>
      <c r="BD2236" s="82" t="s">
        <v>16519</v>
      </c>
      <c r="BE2236" s="77"/>
      <c r="BF2236" s="77"/>
      <c r="BG2236" s="77"/>
      <c r="BH2236" s="77"/>
      <c r="BI2236" s="77"/>
    </row>
    <row r="2237" spans="1:61" x14ac:dyDescent="0.25">
      <c r="A2237" s="62" t="s">
        <v>891</v>
      </c>
      <c r="B2237" s="62" t="s">
        <v>891</v>
      </c>
      <c r="C2237" s="63"/>
      <c r="D2237" s="64"/>
      <c r="E2237" s="65"/>
      <c r="F2237" s="66"/>
      <c r="G2237" s="63"/>
      <c r="H2237" s="67"/>
      <c r="I2237" s="68"/>
      <c r="J2237" s="68"/>
      <c r="K2237" s="32"/>
      <c r="L2237" s="75">
        <v>2237</v>
      </c>
      <c r="M2237" s="75"/>
      <c r="N2237" s="70"/>
      <c r="O2237" s="77" t="s">
        <v>179</v>
      </c>
      <c r="P2237" s="79">
        <v>45108.575844907406</v>
      </c>
      <c r="Q2237" s="77" t="s">
        <v>3283</v>
      </c>
      <c r="R2237" s="77">
        <v>0</v>
      </c>
      <c r="S2237" s="77">
        <v>9</v>
      </c>
      <c r="T2237" s="77">
        <v>0</v>
      </c>
      <c r="U2237" s="77">
        <v>0</v>
      </c>
      <c r="V2237" s="77">
        <v>3047</v>
      </c>
      <c r="W2237" s="82" t="s">
        <v>5499</v>
      </c>
      <c r="X2237" s="77"/>
      <c r="Y2237" s="77"/>
      <c r="Z2237" s="77"/>
      <c r="AA2237" s="77"/>
      <c r="AB2237" s="77"/>
      <c r="AC2237" s="82" t="s">
        <v>7705</v>
      </c>
      <c r="AD2237" s="77" t="s">
        <v>7745</v>
      </c>
      <c r="AE2237" s="80" t="str">
        <f>HYPERLINK("https://twitter.com/mat_financeira/status/1675139497216950272")</f>
        <v>https://twitter.com/mat_financeira/status/1675139497216950272</v>
      </c>
      <c r="AF2237" s="79">
        <v>45108.575844907406</v>
      </c>
      <c r="AG2237" s="85">
        <v>45108</v>
      </c>
      <c r="AH2237" s="82" t="s">
        <v>9751</v>
      </c>
      <c r="AI2237" s="77" t="b">
        <v>0</v>
      </c>
      <c r="AJ2237" s="77"/>
      <c r="AK2237" s="77"/>
      <c r="AL2237" s="77"/>
      <c r="AM2237" s="77"/>
      <c r="AN2237" s="77"/>
      <c r="AO2237" s="77"/>
      <c r="AP2237" s="77"/>
      <c r="AQ2237" s="77"/>
      <c r="AR2237" s="77"/>
      <c r="AS2237" s="77"/>
      <c r="AT2237" s="77"/>
      <c r="AU2237" s="77"/>
      <c r="AV2237" s="80" t="str">
        <f>HYPERLINK("https://pbs.twimg.com/profile_images/1665081532455821312/Yh2qs3r3_normal.jpg")</f>
        <v>https://pbs.twimg.com/profile_images/1665081532455821312/Yh2qs3r3_normal.jpg</v>
      </c>
      <c r="AW2237" s="82" t="s">
        <v>14395</v>
      </c>
      <c r="AX2237" s="82" t="s">
        <v>14395</v>
      </c>
      <c r="AY2237" s="77"/>
      <c r="AZ2237" s="82" t="s">
        <v>15804</v>
      </c>
      <c r="BA2237" s="82" t="s">
        <v>15804</v>
      </c>
      <c r="BB2237" s="82" t="s">
        <v>15804</v>
      </c>
      <c r="BC2237" s="82" t="s">
        <v>14395</v>
      </c>
      <c r="BD2237" s="82" t="s">
        <v>16519</v>
      </c>
      <c r="BE2237" s="77"/>
      <c r="BF2237" s="77"/>
      <c r="BG2237" s="77"/>
      <c r="BH2237" s="77"/>
      <c r="BI2237" s="77"/>
    </row>
    <row r="2238" spans="1:61" x14ac:dyDescent="0.25">
      <c r="A2238" s="62" t="s">
        <v>891</v>
      </c>
      <c r="B2238" s="62" t="s">
        <v>891</v>
      </c>
      <c r="C2238" s="63"/>
      <c r="D2238" s="64"/>
      <c r="E2238" s="65"/>
      <c r="F2238" s="66"/>
      <c r="G2238" s="63"/>
      <c r="H2238" s="67"/>
      <c r="I2238" s="68"/>
      <c r="J2238" s="68"/>
      <c r="K2238" s="32"/>
      <c r="L2238" s="75">
        <v>2238</v>
      </c>
      <c r="M2238" s="75"/>
      <c r="N2238" s="70"/>
      <c r="O2238" s="77" t="s">
        <v>179</v>
      </c>
      <c r="P2238" s="79">
        <v>45090.45894675926</v>
      </c>
      <c r="Q2238" s="77" t="s">
        <v>3284</v>
      </c>
      <c r="R2238" s="77">
        <v>7</v>
      </c>
      <c r="S2238" s="77">
        <v>48</v>
      </c>
      <c r="T2238" s="77">
        <v>0</v>
      </c>
      <c r="U2238" s="77">
        <v>0</v>
      </c>
      <c r="V2238" s="77">
        <v>5774</v>
      </c>
      <c r="W2238" s="82" t="s">
        <v>5498</v>
      </c>
      <c r="X2238" s="77"/>
      <c r="Y2238" s="77"/>
      <c r="Z2238" s="77"/>
      <c r="AA2238" s="77" t="s">
        <v>7401</v>
      </c>
      <c r="AB2238" s="77" t="s">
        <v>7697</v>
      </c>
      <c r="AC2238" s="82" t="s">
        <v>7708</v>
      </c>
      <c r="AD2238" s="77" t="s">
        <v>7745</v>
      </c>
      <c r="AE2238" s="80" t="str">
        <f>HYPERLINK("https://twitter.com/mat_financeira/status/1668574152029085696")</f>
        <v>https://twitter.com/mat_financeira/status/1668574152029085696</v>
      </c>
      <c r="AF2238" s="79">
        <v>45090.45894675926</v>
      </c>
      <c r="AG2238" s="85">
        <v>45090</v>
      </c>
      <c r="AH2238" s="82" t="s">
        <v>9752</v>
      </c>
      <c r="AI2238" s="77" t="b">
        <v>0</v>
      </c>
      <c r="AJ2238" s="77"/>
      <c r="AK2238" s="77"/>
      <c r="AL2238" s="77"/>
      <c r="AM2238" s="77"/>
      <c r="AN2238" s="77"/>
      <c r="AO2238" s="77"/>
      <c r="AP2238" s="77"/>
      <c r="AQ2238" s="77" t="s">
        <v>11908</v>
      </c>
      <c r="AR2238" s="77">
        <v>59400</v>
      </c>
      <c r="AS2238" s="77"/>
      <c r="AT2238" s="77"/>
      <c r="AU2238" s="77">
        <v>1854</v>
      </c>
      <c r="AV2238" s="80" t="str">
        <f>HYPERLINK("https://pbs.twimg.com/ext_tw_video_thumb/1668574124141101057/pu/img/WF6as6WH3-v_2oLG.jpg")</f>
        <v>https://pbs.twimg.com/ext_tw_video_thumb/1668574124141101057/pu/img/WF6as6WH3-v_2oLG.jpg</v>
      </c>
      <c r="AW2238" s="82" t="s">
        <v>14396</v>
      </c>
      <c r="AX2238" s="82" t="s">
        <v>14396</v>
      </c>
      <c r="AY2238" s="77"/>
      <c r="AZ2238" s="82" t="s">
        <v>15804</v>
      </c>
      <c r="BA2238" s="82" t="s">
        <v>15804</v>
      </c>
      <c r="BB2238" s="82" t="s">
        <v>15804</v>
      </c>
      <c r="BC2238" s="82" t="s">
        <v>14396</v>
      </c>
      <c r="BD2238" s="82" t="s">
        <v>16519</v>
      </c>
      <c r="BE2238" s="77"/>
      <c r="BF2238" s="77"/>
      <c r="BG2238" s="77"/>
      <c r="BH2238" s="77"/>
      <c r="BI2238" s="77"/>
    </row>
    <row r="2239" spans="1:61" x14ac:dyDescent="0.25">
      <c r="A2239" s="62" t="s">
        <v>891</v>
      </c>
      <c r="B2239" s="62" t="s">
        <v>891</v>
      </c>
      <c r="C2239" s="63"/>
      <c r="D2239" s="64"/>
      <c r="E2239" s="65"/>
      <c r="F2239" s="66"/>
      <c r="G2239" s="63"/>
      <c r="H2239" s="67"/>
      <c r="I2239" s="68"/>
      <c r="J2239" s="68"/>
      <c r="K2239" s="32"/>
      <c r="L2239" s="75">
        <v>2239</v>
      </c>
      <c r="M2239" s="75"/>
      <c r="N2239" s="70"/>
      <c r="O2239" s="77" t="s">
        <v>179</v>
      </c>
      <c r="P2239" s="79">
        <v>44984.656342592592</v>
      </c>
      <c r="Q2239" s="77" t="s">
        <v>3285</v>
      </c>
      <c r="R2239" s="77">
        <v>4</v>
      </c>
      <c r="S2239" s="77">
        <v>25</v>
      </c>
      <c r="T2239" s="77">
        <v>2</v>
      </c>
      <c r="U2239" s="77">
        <v>0</v>
      </c>
      <c r="V2239" s="77">
        <v>3806</v>
      </c>
      <c r="W2239" s="82" t="s">
        <v>5498</v>
      </c>
      <c r="X2239" s="77"/>
      <c r="Y2239" s="77"/>
      <c r="Z2239" s="77"/>
      <c r="AA2239" s="77" t="s">
        <v>7402</v>
      </c>
      <c r="AB2239" s="77" t="s">
        <v>7697</v>
      </c>
      <c r="AC2239" s="82" t="s">
        <v>7708</v>
      </c>
      <c r="AD2239" s="77" t="s">
        <v>7745</v>
      </c>
      <c r="AE2239" s="80" t="str">
        <f>HYPERLINK("https://twitter.com/mat_financeira/status/1630232573946339328")</f>
        <v>https://twitter.com/mat_financeira/status/1630232573946339328</v>
      </c>
      <c r="AF2239" s="79">
        <v>44984.656342592592</v>
      </c>
      <c r="AG2239" s="85">
        <v>44984</v>
      </c>
      <c r="AH2239" s="82" t="s">
        <v>9753</v>
      </c>
      <c r="AI2239" s="77" t="b">
        <v>0</v>
      </c>
      <c r="AJ2239" s="77"/>
      <c r="AK2239" s="77"/>
      <c r="AL2239" s="77"/>
      <c r="AM2239" s="77"/>
      <c r="AN2239" s="77"/>
      <c r="AO2239" s="77"/>
      <c r="AP2239" s="77"/>
      <c r="AQ2239" s="77" t="s">
        <v>11909</v>
      </c>
      <c r="AR2239" s="77">
        <v>58766</v>
      </c>
      <c r="AS2239" s="77"/>
      <c r="AT2239" s="77"/>
      <c r="AU2239" s="77">
        <v>1360</v>
      </c>
      <c r="AV2239" s="80" t="str">
        <f>HYPERLINK("https://pbs.twimg.com/ext_tw_video_thumb/1630232545676738561/pu/img/uvISmXv25rr8Q9G9.jpg")</f>
        <v>https://pbs.twimg.com/ext_tw_video_thumb/1630232545676738561/pu/img/uvISmXv25rr8Q9G9.jpg</v>
      </c>
      <c r="AW2239" s="82" t="s">
        <v>14397</v>
      </c>
      <c r="AX2239" s="82" t="s">
        <v>14397</v>
      </c>
      <c r="AY2239" s="77"/>
      <c r="AZ2239" s="82" t="s">
        <v>15804</v>
      </c>
      <c r="BA2239" s="82" t="s">
        <v>15804</v>
      </c>
      <c r="BB2239" s="82" t="s">
        <v>15804</v>
      </c>
      <c r="BC2239" s="82" t="s">
        <v>14397</v>
      </c>
      <c r="BD2239" s="82" t="s">
        <v>16519</v>
      </c>
      <c r="BE2239" s="77"/>
      <c r="BF2239" s="77"/>
      <c r="BG2239" s="77"/>
      <c r="BH2239" s="77"/>
      <c r="BI2239" s="77"/>
    </row>
    <row r="2240" spans="1:61" x14ac:dyDescent="0.25">
      <c r="A2240" s="62" t="s">
        <v>891</v>
      </c>
      <c r="B2240" s="62" t="s">
        <v>891</v>
      </c>
      <c r="C2240" s="63"/>
      <c r="D2240" s="64"/>
      <c r="E2240" s="65"/>
      <c r="F2240" s="66"/>
      <c r="G2240" s="63"/>
      <c r="H2240" s="67"/>
      <c r="I2240" s="68"/>
      <c r="J2240" s="68"/>
      <c r="K2240" s="32"/>
      <c r="L2240" s="75">
        <v>2240</v>
      </c>
      <c r="M2240" s="75"/>
      <c r="N2240" s="70"/>
      <c r="O2240" s="77" t="s">
        <v>179</v>
      </c>
      <c r="P2240" s="79">
        <v>44928.4687962963</v>
      </c>
      <c r="Q2240" s="77" t="s">
        <v>3286</v>
      </c>
      <c r="R2240" s="77">
        <v>3</v>
      </c>
      <c r="S2240" s="77">
        <v>34</v>
      </c>
      <c r="T2240" s="77">
        <v>0</v>
      </c>
      <c r="U2240" s="77">
        <v>0</v>
      </c>
      <c r="V2240" s="77">
        <v>5814</v>
      </c>
      <c r="W2240" s="82" t="s">
        <v>5500</v>
      </c>
      <c r="X2240" s="77"/>
      <c r="Y2240" s="77"/>
      <c r="Z2240" s="77"/>
      <c r="AA2240" s="77" t="s">
        <v>7403</v>
      </c>
      <c r="AB2240" s="77" t="s">
        <v>7696</v>
      </c>
      <c r="AC2240" s="82" t="s">
        <v>7708</v>
      </c>
      <c r="AD2240" s="77" t="s">
        <v>7745</v>
      </c>
      <c r="AE2240" s="80" t="str">
        <f>HYPERLINK("https://twitter.com/mat_financeira/status/1609870889276915712")</f>
        <v>https://twitter.com/mat_financeira/status/1609870889276915712</v>
      </c>
      <c r="AF2240" s="79">
        <v>44928.4687962963</v>
      </c>
      <c r="AG2240" s="85">
        <v>44928</v>
      </c>
      <c r="AH2240" s="82" t="s">
        <v>9754</v>
      </c>
      <c r="AI2240" s="77" t="b">
        <v>0</v>
      </c>
      <c r="AJ2240" s="77"/>
      <c r="AK2240" s="77"/>
      <c r="AL2240" s="77"/>
      <c r="AM2240" s="77"/>
      <c r="AN2240" s="77"/>
      <c r="AO2240" s="77"/>
      <c r="AP2240" s="77"/>
      <c r="AQ2240" s="77" t="s">
        <v>11910</v>
      </c>
      <c r="AR2240" s="77"/>
      <c r="AS2240" s="77"/>
      <c r="AT2240" s="77"/>
      <c r="AU2240" s="77"/>
      <c r="AV2240" s="80" t="str">
        <f>HYPERLINK("https://pbs.twimg.com/media/FldpCrZWAAEqz4g.jpg")</f>
        <v>https://pbs.twimg.com/media/FldpCrZWAAEqz4g.jpg</v>
      </c>
      <c r="AW2240" s="82" t="s">
        <v>14398</v>
      </c>
      <c r="AX2240" s="82" t="s">
        <v>14398</v>
      </c>
      <c r="AY2240" s="77"/>
      <c r="AZ2240" s="82" t="s">
        <v>15804</v>
      </c>
      <c r="BA2240" s="82" t="s">
        <v>15804</v>
      </c>
      <c r="BB2240" s="82" t="s">
        <v>15804</v>
      </c>
      <c r="BC2240" s="82" t="s">
        <v>14398</v>
      </c>
      <c r="BD2240" s="82" t="s">
        <v>16519</v>
      </c>
      <c r="BE2240" s="77"/>
      <c r="BF2240" s="77"/>
      <c r="BG2240" s="77"/>
      <c r="BH2240" s="77"/>
      <c r="BI2240" s="77"/>
    </row>
    <row r="2241" spans="1:61" x14ac:dyDescent="0.25">
      <c r="A2241" s="62" t="s">
        <v>891</v>
      </c>
      <c r="B2241" s="62" t="s">
        <v>891</v>
      </c>
      <c r="C2241" s="63"/>
      <c r="D2241" s="64"/>
      <c r="E2241" s="65"/>
      <c r="F2241" s="66"/>
      <c r="G2241" s="63"/>
      <c r="H2241" s="67"/>
      <c r="I2241" s="68"/>
      <c r="J2241" s="68"/>
      <c r="K2241" s="32"/>
      <c r="L2241" s="75">
        <v>2241</v>
      </c>
      <c r="M2241" s="75"/>
      <c r="N2241" s="70"/>
      <c r="O2241" s="77" t="s">
        <v>179</v>
      </c>
      <c r="P2241" s="79">
        <v>44928.448159722226</v>
      </c>
      <c r="Q2241" s="77" t="s">
        <v>3287</v>
      </c>
      <c r="R2241" s="77">
        <v>13</v>
      </c>
      <c r="S2241" s="77">
        <v>68</v>
      </c>
      <c r="T2241" s="77">
        <v>1</v>
      </c>
      <c r="U2241" s="77">
        <v>0</v>
      </c>
      <c r="V2241" s="77">
        <v>6190</v>
      </c>
      <c r="W2241" s="82" t="s">
        <v>5501</v>
      </c>
      <c r="X2241" s="77"/>
      <c r="Y2241" s="77"/>
      <c r="Z2241" s="77"/>
      <c r="AA2241" s="77" t="s">
        <v>7404</v>
      </c>
      <c r="AB2241" s="77" t="s">
        <v>7697</v>
      </c>
      <c r="AC2241" s="82" t="s">
        <v>7708</v>
      </c>
      <c r="AD2241" s="77" t="s">
        <v>7745</v>
      </c>
      <c r="AE2241" s="80" t="str">
        <f>HYPERLINK("https://twitter.com/mat_financeira/status/1609863409285185543")</f>
        <v>https://twitter.com/mat_financeira/status/1609863409285185543</v>
      </c>
      <c r="AF2241" s="79">
        <v>44928.448159722226</v>
      </c>
      <c r="AG2241" s="85">
        <v>44928</v>
      </c>
      <c r="AH2241" s="82" t="s">
        <v>9755</v>
      </c>
      <c r="AI2241" s="77" t="b">
        <v>0</v>
      </c>
      <c r="AJ2241" s="77"/>
      <c r="AK2241" s="77"/>
      <c r="AL2241" s="77"/>
      <c r="AM2241" s="77"/>
      <c r="AN2241" s="77"/>
      <c r="AO2241" s="77"/>
      <c r="AP2241" s="77"/>
      <c r="AQ2241" s="77" t="s">
        <v>11911</v>
      </c>
      <c r="AR2241" s="77">
        <v>58600</v>
      </c>
      <c r="AS2241" s="77"/>
      <c r="AT2241" s="77"/>
      <c r="AU2241" s="77">
        <v>2646</v>
      </c>
      <c r="AV2241" s="80" t="str">
        <f>HYPERLINK("https://pbs.twimg.com/ext_tw_video_thumb/1609863337688408064/pu/img/mQgFZYkIIMrrRDHP.jpg")</f>
        <v>https://pbs.twimg.com/ext_tw_video_thumb/1609863337688408064/pu/img/mQgFZYkIIMrrRDHP.jpg</v>
      </c>
      <c r="AW2241" s="82" t="s">
        <v>14399</v>
      </c>
      <c r="AX2241" s="82" t="s">
        <v>14399</v>
      </c>
      <c r="AY2241" s="77"/>
      <c r="AZ2241" s="82" t="s">
        <v>15804</v>
      </c>
      <c r="BA2241" s="82" t="s">
        <v>15804</v>
      </c>
      <c r="BB2241" s="82" t="s">
        <v>15804</v>
      </c>
      <c r="BC2241" s="82" t="s">
        <v>14399</v>
      </c>
      <c r="BD2241" s="82" t="s">
        <v>16519</v>
      </c>
      <c r="BE2241" s="77"/>
      <c r="BF2241" s="77"/>
      <c r="BG2241" s="77"/>
      <c r="BH2241" s="77"/>
      <c r="BI2241" s="77"/>
    </row>
    <row r="2242" spans="1:61" x14ac:dyDescent="0.25">
      <c r="A2242" s="62" t="s">
        <v>891</v>
      </c>
      <c r="B2242" s="62" t="s">
        <v>891</v>
      </c>
      <c r="C2242" s="63"/>
      <c r="D2242" s="64"/>
      <c r="E2242" s="65"/>
      <c r="F2242" s="66"/>
      <c r="G2242" s="63"/>
      <c r="H2242" s="67"/>
      <c r="I2242" s="68"/>
      <c r="J2242" s="68"/>
      <c r="K2242" s="32"/>
      <c r="L2242" s="75">
        <v>2242</v>
      </c>
      <c r="M2242" s="75"/>
      <c r="N2242" s="70"/>
      <c r="O2242" s="77" t="s">
        <v>179</v>
      </c>
      <c r="P2242" s="79">
        <v>45127.767326388886</v>
      </c>
      <c r="Q2242" s="77" t="s">
        <v>3288</v>
      </c>
      <c r="R2242" s="77">
        <v>2</v>
      </c>
      <c r="S2242" s="77">
        <v>15</v>
      </c>
      <c r="T2242" s="77">
        <v>0</v>
      </c>
      <c r="U2242" s="77">
        <v>0</v>
      </c>
      <c r="V2242" s="77">
        <v>2887</v>
      </c>
      <c r="W2242" s="82" t="s">
        <v>5502</v>
      </c>
      <c r="X2242" s="77"/>
      <c r="Y2242" s="77"/>
      <c r="Z2242" s="77"/>
      <c r="AA2242" s="77" t="s">
        <v>7405</v>
      </c>
      <c r="AB2242" s="77" t="s">
        <v>7697</v>
      </c>
      <c r="AC2242" s="82" t="s">
        <v>7708</v>
      </c>
      <c r="AD2242" s="77" t="s">
        <v>7745</v>
      </c>
      <c r="AE2242" s="80" t="str">
        <f>HYPERLINK("https://twitter.com/mat_financeira/status/1682094259233497093")</f>
        <v>https://twitter.com/mat_financeira/status/1682094259233497093</v>
      </c>
      <c r="AF2242" s="79">
        <v>45127.767326388886</v>
      </c>
      <c r="AG2242" s="85">
        <v>45127</v>
      </c>
      <c r="AH2242" s="82" t="s">
        <v>9756</v>
      </c>
      <c r="AI2242" s="77" t="b">
        <v>0</v>
      </c>
      <c r="AJ2242" s="77"/>
      <c r="AK2242" s="77"/>
      <c r="AL2242" s="77"/>
      <c r="AM2242" s="77"/>
      <c r="AN2242" s="77"/>
      <c r="AO2242" s="77"/>
      <c r="AP2242" s="77"/>
      <c r="AQ2242" s="77" t="s">
        <v>11912</v>
      </c>
      <c r="AR2242" s="77">
        <v>71433</v>
      </c>
      <c r="AS2242" s="77"/>
      <c r="AT2242" s="77"/>
      <c r="AU2242" s="77">
        <v>896</v>
      </c>
      <c r="AV2242" s="80" t="str">
        <f>HYPERLINK("https://pbs.twimg.com/ext_tw_video_thumb/1682094225347715074/pu/img/62DzU3Z2K9LzdnUB.jpg")</f>
        <v>https://pbs.twimg.com/ext_tw_video_thumb/1682094225347715074/pu/img/62DzU3Z2K9LzdnUB.jpg</v>
      </c>
      <c r="AW2242" s="82" t="s">
        <v>14400</v>
      </c>
      <c r="AX2242" s="82" t="s">
        <v>14400</v>
      </c>
      <c r="AY2242" s="77"/>
      <c r="AZ2242" s="82" t="s">
        <v>15804</v>
      </c>
      <c r="BA2242" s="82" t="s">
        <v>15804</v>
      </c>
      <c r="BB2242" s="82" t="s">
        <v>15804</v>
      </c>
      <c r="BC2242" s="82" t="s">
        <v>14400</v>
      </c>
      <c r="BD2242" s="82" t="s">
        <v>16519</v>
      </c>
      <c r="BE2242" s="77"/>
      <c r="BF2242" s="77"/>
      <c r="BG2242" s="77"/>
      <c r="BH2242" s="77"/>
      <c r="BI2242" s="77"/>
    </row>
    <row r="2243" spans="1:61" x14ac:dyDescent="0.25">
      <c r="A2243" s="62" t="s">
        <v>891</v>
      </c>
      <c r="B2243" s="62" t="s">
        <v>891</v>
      </c>
      <c r="C2243" s="63"/>
      <c r="D2243" s="64"/>
      <c r="E2243" s="65"/>
      <c r="F2243" s="66"/>
      <c r="G2243" s="63"/>
      <c r="H2243" s="67"/>
      <c r="I2243" s="68"/>
      <c r="J2243" s="68"/>
      <c r="K2243" s="32"/>
      <c r="L2243" s="75">
        <v>2243</v>
      </c>
      <c r="M2243" s="75"/>
      <c r="N2243" s="70"/>
      <c r="O2243" s="77" t="s">
        <v>179</v>
      </c>
      <c r="P2243" s="79">
        <v>45094.459050925929</v>
      </c>
      <c r="Q2243" s="77" t="s">
        <v>3289</v>
      </c>
      <c r="R2243" s="77">
        <v>0</v>
      </c>
      <c r="S2243" s="77">
        <v>20</v>
      </c>
      <c r="T2243" s="77">
        <v>1</v>
      </c>
      <c r="U2243" s="77">
        <v>0</v>
      </c>
      <c r="V2243" s="77">
        <v>3701</v>
      </c>
      <c r="W2243" s="82" t="s">
        <v>5503</v>
      </c>
      <c r="X2243" s="77"/>
      <c r="Y2243" s="77"/>
      <c r="Z2243" s="77"/>
      <c r="AA2243" s="77" t="s">
        <v>7406</v>
      </c>
      <c r="AB2243" s="77" t="s">
        <v>7697</v>
      </c>
      <c r="AC2243" s="82" t="s">
        <v>7708</v>
      </c>
      <c r="AD2243" s="77" t="s">
        <v>7745</v>
      </c>
      <c r="AE2243" s="80" t="str">
        <f>HYPERLINK("https://twitter.com/mat_financeira/status/1670023743093997568")</f>
        <v>https://twitter.com/mat_financeira/status/1670023743093997568</v>
      </c>
      <c r="AF2243" s="79">
        <v>45094.459050925929</v>
      </c>
      <c r="AG2243" s="85">
        <v>45094</v>
      </c>
      <c r="AH2243" s="82" t="s">
        <v>9757</v>
      </c>
      <c r="AI2243" s="77" t="b">
        <v>0</v>
      </c>
      <c r="AJ2243" s="77"/>
      <c r="AK2243" s="77"/>
      <c r="AL2243" s="77"/>
      <c r="AM2243" s="77"/>
      <c r="AN2243" s="77"/>
      <c r="AO2243" s="77"/>
      <c r="AP2243" s="77"/>
      <c r="AQ2243" s="77" t="s">
        <v>11913</v>
      </c>
      <c r="AR2243" s="77">
        <v>59300</v>
      </c>
      <c r="AS2243" s="77"/>
      <c r="AT2243" s="77"/>
      <c r="AU2243" s="77">
        <v>1315</v>
      </c>
      <c r="AV2243" s="80" t="str">
        <f>HYPERLINK("https://pbs.twimg.com/ext_tw_video_thumb/1670023712081338368/pu/img/ABcAunWNuHncycpJ.jpg")</f>
        <v>https://pbs.twimg.com/ext_tw_video_thumb/1670023712081338368/pu/img/ABcAunWNuHncycpJ.jpg</v>
      </c>
      <c r="AW2243" s="82" t="s">
        <v>14401</v>
      </c>
      <c r="AX2243" s="82" t="s">
        <v>14401</v>
      </c>
      <c r="AY2243" s="77"/>
      <c r="AZ2243" s="82" t="s">
        <v>15804</v>
      </c>
      <c r="BA2243" s="82" t="s">
        <v>15804</v>
      </c>
      <c r="BB2243" s="82" t="s">
        <v>15804</v>
      </c>
      <c r="BC2243" s="82" t="s">
        <v>14401</v>
      </c>
      <c r="BD2243" s="82" t="s">
        <v>16519</v>
      </c>
      <c r="BE2243" s="77"/>
      <c r="BF2243" s="77"/>
      <c r="BG2243" s="77"/>
      <c r="BH2243" s="77"/>
      <c r="BI2243" s="77"/>
    </row>
    <row r="2244" spans="1:61" x14ac:dyDescent="0.25">
      <c r="A2244" s="62" t="s">
        <v>891</v>
      </c>
      <c r="B2244" s="62" t="s">
        <v>891</v>
      </c>
      <c r="C2244" s="63"/>
      <c r="D2244" s="64"/>
      <c r="E2244" s="65"/>
      <c r="F2244" s="66"/>
      <c r="G2244" s="63"/>
      <c r="H2244" s="67"/>
      <c r="I2244" s="68"/>
      <c r="J2244" s="68"/>
      <c r="K2244" s="32"/>
      <c r="L2244" s="75">
        <v>2244</v>
      </c>
      <c r="M2244" s="75"/>
      <c r="N2244" s="70"/>
      <c r="O2244" s="77" t="s">
        <v>179</v>
      </c>
      <c r="P2244" s="79">
        <v>45093.458854166667</v>
      </c>
      <c r="Q2244" s="77" t="s">
        <v>3290</v>
      </c>
      <c r="R2244" s="77">
        <v>0</v>
      </c>
      <c r="S2244" s="77">
        <v>13</v>
      </c>
      <c r="T2244" s="77">
        <v>1</v>
      </c>
      <c r="U2244" s="77">
        <v>0</v>
      </c>
      <c r="V2244" s="77">
        <v>2822</v>
      </c>
      <c r="W2244" s="82" t="s">
        <v>5504</v>
      </c>
      <c r="X2244" s="77"/>
      <c r="Y2244" s="77"/>
      <c r="Z2244" s="77"/>
      <c r="AA2244" s="77" t="s">
        <v>7407</v>
      </c>
      <c r="AB2244" s="77" t="s">
        <v>7696</v>
      </c>
      <c r="AC2244" s="82" t="s">
        <v>7708</v>
      </c>
      <c r="AD2244" s="77" t="s">
        <v>7745</v>
      </c>
      <c r="AE2244" s="80" t="str">
        <f>HYPERLINK("https://twitter.com/mat_financeira/status/1669661282084040704")</f>
        <v>https://twitter.com/mat_financeira/status/1669661282084040704</v>
      </c>
      <c r="AF2244" s="79">
        <v>45093.458854166667</v>
      </c>
      <c r="AG2244" s="85">
        <v>45093</v>
      </c>
      <c r="AH2244" s="82" t="s">
        <v>9204</v>
      </c>
      <c r="AI2244" s="77" t="b">
        <v>0</v>
      </c>
      <c r="AJ2244" s="77"/>
      <c r="AK2244" s="77"/>
      <c r="AL2244" s="77"/>
      <c r="AM2244" s="77"/>
      <c r="AN2244" s="77"/>
      <c r="AO2244" s="77"/>
      <c r="AP2244" s="77"/>
      <c r="AQ2244" s="77" t="s">
        <v>11914</v>
      </c>
      <c r="AR2244" s="77"/>
      <c r="AS2244" s="77"/>
      <c r="AT2244" s="77"/>
      <c r="AU2244" s="77"/>
      <c r="AV2244" s="80" t="str">
        <f>HYPERLINK("https://pbs.twimg.com/media/FyvUFizXsAAFyZ4.jpg")</f>
        <v>https://pbs.twimg.com/media/FyvUFizXsAAFyZ4.jpg</v>
      </c>
      <c r="AW2244" s="82" t="s">
        <v>14402</v>
      </c>
      <c r="AX2244" s="82" t="s">
        <v>14402</v>
      </c>
      <c r="AY2244" s="77"/>
      <c r="AZ2244" s="82" t="s">
        <v>15804</v>
      </c>
      <c r="BA2244" s="82" t="s">
        <v>15804</v>
      </c>
      <c r="BB2244" s="82" t="s">
        <v>15804</v>
      </c>
      <c r="BC2244" s="82" t="s">
        <v>14402</v>
      </c>
      <c r="BD2244" s="82" t="s">
        <v>16519</v>
      </c>
      <c r="BE2244" s="77"/>
      <c r="BF2244" s="77"/>
      <c r="BG2244" s="77"/>
      <c r="BH2244" s="77"/>
      <c r="BI2244" s="77"/>
    </row>
    <row r="2245" spans="1:61" x14ac:dyDescent="0.25">
      <c r="A2245" s="62" t="s">
        <v>891</v>
      </c>
      <c r="B2245" s="62" t="s">
        <v>891</v>
      </c>
      <c r="C2245" s="63"/>
      <c r="D2245" s="64"/>
      <c r="E2245" s="65"/>
      <c r="F2245" s="66"/>
      <c r="G2245" s="63"/>
      <c r="H2245" s="67"/>
      <c r="I2245" s="68"/>
      <c r="J2245" s="68"/>
      <c r="K2245" s="32"/>
      <c r="L2245" s="75">
        <v>2245</v>
      </c>
      <c r="M2245" s="75"/>
      <c r="N2245" s="70"/>
      <c r="O2245" s="77" t="s">
        <v>179</v>
      </c>
      <c r="P2245" s="79">
        <v>45081.47960648148</v>
      </c>
      <c r="Q2245" s="77" t="s">
        <v>3291</v>
      </c>
      <c r="R2245" s="77">
        <v>0</v>
      </c>
      <c r="S2245" s="77">
        <v>27</v>
      </c>
      <c r="T2245" s="77">
        <v>0</v>
      </c>
      <c r="U2245" s="77">
        <v>0</v>
      </c>
      <c r="V2245" s="77">
        <v>6845</v>
      </c>
      <c r="W2245" s="82" t="s">
        <v>5505</v>
      </c>
      <c r="X2245" s="77"/>
      <c r="Y2245" s="77"/>
      <c r="Z2245" s="77"/>
      <c r="AA2245" s="77" t="s">
        <v>7408</v>
      </c>
      <c r="AB2245" s="77" t="s">
        <v>7697</v>
      </c>
      <c r="AC2245" s="82" t="s">
        <v>7708</v>
      </c>
      <c r="AD2245" s="77" t="s">
        <v>7745</v>
      </c>
      <c r="AE2245" s="80" t="str">
        <f>HYPERLINK("https://twitter.com/mat_financeira/status/1665320150193561600")</f>
        <v>https://twitter.com/mat_financeira/status/1665320150193561600</v>
      </c>
      <c r="AF2245" s="79">
        <v>45081.47960648148</v>
      </c>
      <c r="AG2245" s="85">
        <v>45081</v>
      </c>
      <c r="AH2245" s="82" t="s">
        <v>9758</v>
      </c>
      <c r="AI2245" s="77" t="b">
        <v>0</v>
      </c>
      <c r="AJ2245" s="77"/>
      <c r="AK2245" s="77"/>
      <c r="AL2245" s="77"/>
      <c r="AM2245" s="77"/>
      <c r="AN2245" s="77"/>
      <c r="AO2245" s="77"/>
      <c r="AP2245" s="77"/>
      <c r="AQ2245" s="77" t="s">
        <v>11915</v>
      </c>
      <c r="AR2245" s="77">
        <v>33500</v>
      </c>
      <c r="AS2245" s="77"/>
      <c r="AT2245" s="77"/>
      <c r="AU2245" s="77">
        <v>2235</v>
      </c>
      <c r="AV2245" s="80" t="str">
        <f>HYPERLINK("https://pbs.twimg.com/ext_tw_video_thumb/1665320094107328512/pu/img/8kogt1LCszVHCVZa.jpg")</f>
        <v>https://pbs.twimg.com/ext_tw_video_thumb/1665320094107328512/pu/img/8kogt1LCszVHCVZa.jpg</v>
      </c>
      <c r="AW2245" s="82" t="s">
        <v>14403</v>
      </c>
      <c r="AX2245" s="82" t="s">
        <v>14403</v>
      </c>
      <c r="AY2245" s="77"/>
      <c r="AZ2245" s="82" t="s">
        <v>15804</v>
      </c>
      <c r="BA2245" s="82" t="s">
        <v>15804</v>
      </c>
      <c r="BB2245" s="82" t="s">
        <v>15804</v>
      </c>
      <c r="BC2245" s="82" t="s">
        <v>14403</v>
      </c>
      <c r="BD2245" s="82" t="s">
        <v>16519</v>
      </c>
      <c r="BE2245" s="77"/>
      <c r="BF2245" s="77"/>
      <c r="BG2245" s="77"/>
      <c r="BH2245" s="77"/>
      <c r="BI2245" s="77"/>
    </row>
    <row r="2246" spans="1:61" x14ac:dyDescent="0.25">
      <c r="A2246" s="62" t="s">
        <v>891</v>
      </c>
      <c r="B2246" s="62" t="s">
        <v>891</v>
      </c>
      <c r="C2246" s="63"/>
      <c r="D2246" s="64"/>
      <c r="E2246" s="65"/>
      <c r="F2246" s="66"/>
      <c r="G2246" s="63"/>
      <c r="H2246" s="67"/>
      <c r="I2246" s="68"/>
      <c r="J2246" s="68"/>
      <c r="K2246" s="32"/>
      <c r="L2246" s="75">
        <v>2246</v>
      </c>
      <c r="M2246" s="75"/>
      <c r="N2246" s="70"/>
      <c r="O2246" s="77" t="s">
        <v>179</v>
      </c>
      <c r="P2246" s="79">
        <v>45136.456724537034</v>
      </c>
      <c r="Q2246" s="77" t="s">
        <v>3292</v>
      </c>
      <c r="R2246" s="77">
        <v>1</v>
      </c>
      <c r="S2246" s="77">
        <v>38</v>
      </c>
      <c r="T2246" s="77">
        <v>0</v>
      </c>
      <c r="U2246" s="77">
        <v>0</v>
      </c>
      <c r="V2246" s="77">
        <v>5275</v>
      </c>
      <c r="W2246" s="82" t="s">
        <v>5506</v>
      </c>
      <c r="X2246" s="77"/>
      <c r="Y2246" s="77"/>
      <c r="Z2246" s="77"/>
      <c r="AA2246" s="77"/>
      <c r="AB2246" s="77"/>
      <c r="AC2246" s="82" t="s">
        <v>7705</v>
      </c>
      <c r="AD2246" s="77" t="s">
        <v>7745</v>
      </c>
      <c r="AE2246" s="80" t="str">
        <f>HYPERLINK("https://twitter.com/mat_financeira/status/1685243188557070336")</f>
        <v>https://twitter.com/mat_financeira/status/1685243188557070336</v>
      </c>
      <c r="AF2246" s="79">
        <v>45136.456724537034</v>
      </c>
      <c r="AG2246" s="85">
        <v>45136</v>
      </c>
      <c r="AH2246" s="82" t="s">
        <v>9759</v>
      </c>
      <c r="AI2246" s="77"/>
      <c r="AJ2246" s="77"/>
      <c r="AK2246" s="77"/>
      <c r="AL2246" s="77"/>
      <c r="AM2246" s="77"/>
      <c r="AN2246" s="77"/>
      <c r="AO2246" s="77"/>
      <c r="AP2246" s="77"/>
      <c r="AQ2246" s="77"/>
      <c r="AR2246" s="77"/>
      <c r="AS2246" s="77"/>
      <c r="AT2246" s="77"/>
      <c r="AU2246" s="77"/>
      <c r="AV2246" s="80" t="str">
        <f>HYPERLINK("https://pbs.twimg.com/profile_images/1665081532455821312/Yh2qs3r3_normal.jpg")</f>
        <v>https://pbs.twimg.com/profile_images/1665081532455821312/Yh2qs3r3_normal.jpg</v>
      </c>
      <c r="AW2246" s="82" t="s">
        <v>14404</v>
      </c>
      <c r="AX2246" s="82" t="s">
        <v>14404</v>
      </c>
      <c r="AY2246" s="77"/>
      <c r="AZ2246" s="82" t="s">
        <v>15804</v>
      </c>
      <c r="BA2246" s="82" t="s">
        <v>15804</v>
      </c>
      <c r="BB2246" s="82" t="s">
        <v>15804</v>
      </c>
      <c r="BC2246" s="82" t="s">
        <v>14404</v>
      </c>
      <c r="BD2246" s="82" t="s">
        <v>16519</v>
      </c>
      <c r="BE2246" s="77"/>
      <c r="BF2246" s="77"/>
      <c r="BG2246" s="77"/>
      <c r="BH2246" s="77"/>
      <c r="BI2246" s="77"/>
    </row>
    <row r="2247" spans="1:61" x14ac:dyDescent="0.25">
      <c r="A2247" s="62" t="s">
        <v>891</v>
      </c>
      <c r="B2247" s="62" t="s">
        <v>891</v>
      </c>
      <c r="C2247" s="63"/>
      <c r="D2247" s="64"/>
      <c r="E2247" s="65"/>
      <c r="F2247" s="66"/>
      <c r="G2247" s="63"/>
      <c r="H2247" s="67"/>
      <c r="I2247" s="68"/>
      <c r="J2247" s="68"/>
      <c r="K2247" s="32"/>
      <c r="L2247" s="75">
        <v>2247</v>
      </c>
      <c r="M2247" s="75"/>
      <c r="N2247" s="70"/>
      <c r="O2247" s="77" t="s">
        <v>179</v>
      </c>
      <c r="P2247" s="79">
        <v>45115.458761574075</v>
      </c>
      <c r="Q2247" s="77" t="s">
        <v>3293</v>
      </c>
      <c r="R2247" s="77">
        <v>6</v>
      </c>
      <c r="S2247" s="77">
        <v>88</v>
      </c>
      <c r="T2247" s="77">
        <v>0</v>
      </c>
      <c r="U2247" s="77">
        <v>0</v>
      </c>
      <c r="V2247" s="77">
        <v>10512</v>
      </c>
      <c r="W2247" s="82" t="s">
        <v>5507</v>
      </c>
      <c r="X2247" s="77"/>
      <c r="Y2247" s="77"/>
      <c r="Z2247" s="77"/>
      <c r="AA2247" s="77" t="s">
        <v>7409</v>
      </c>
      <c r="AB2247" s="77" t="s">
        <v>7696</v>
      </c>
      <c r="AC2247" s="82" t="s">
        <v>7708</v>
      </c>
      <c r="AD2247" s="77" t="s">
        <v>7746</v>
      </c>
      <c r="AE2247" s="80" t="str">
        <f>HYPERLINK("https://twitter.com/mat_financeira/status/1677633784009637888")</f>
        <v>https://twitter.com/mat_financeira/status/1677633784009637888</v>
      </c>
      <c r="AF2247" s="79">
        <v>45115.458761574075</v>
      </c>
      <c r="AG2247" s="85">
        <v>45115</v>
      </c>
      <c r="AH2247" s="82" t="s">
        <v>9760</v>
      </c>
      <c r="AI2247" s="77" t="b">
        <v>0</v>
      </c>
      <c r="AJ2247" s="77"/>
      <c r="AK2247" s="77"/>
      <c r="AL2247" s="77"/>
      <c r="AM2247" s="77"/>
      <c r="AN2247" s="77"/>
      <c r="AO2247" s="77"/>
      <c r="AP2247" s="77"/>
      <c r="AQ2247" s="77" t="s">
        <v>11916</v>
      </c>
      <c r="AR2247" s="77"/>
      <c r="AS2247" s="77"/>
      <c r="AT2247" s="77"/>
      <c r="AU2247" s="77"/>
      <c r="AV2247" s="80" t="str">
        <f>HYPERLINK("https://pbs.twimg.com/media/F0gnCUsX0AAGPaz.jpg")</f>
        <v>https://pbs.twimg.com/media/F0gnCUsX0AAGPaz.jpg</v>
      </c>
      <c r="AW2247" s="82" t="s">
        <v>14405</v>
      </c>
      <c r="AX2247" s="82" t="s">
        <v>14405</v>
      </c>
      <c r="AY2247" s="77"/>
      <c r="AZ2247" s="82" t="s">
        <v>15804</v>
      </c>
      <c r="BA2247" s="82" t="s">
        <v>15804</v>
      </c>
      <c r="BB2247" s="82" t="s">
        <v>15804</v>
      </c>
      <c r="BC2247" s="82" t="s">
        <v>14405</v>
      </c>
      <c r="BD2247" s="82" t="s">
        <v>16519</v>
      </c>
      <c r="BE2247" s="77"/>
      <c r="BF2247" s="77"/>
      <c r="BG2247" s="77"/>
      <c r="BH2247" s="77"/>
      <c r="BI2247" s="77"/>
    </row>
    <row r="2248" spans="1:61" x14ac:dyDescent="0.25">
      <c r="A2248" s="62" t="s">
        <v>891</v>
      </c>
      <c r="B2248" s="62" t="s">
        <v>891</v>
      </c>
      <c r="C2248" s="63"/>
      <c r="D2248" s="64"/>
      <c r="E2248" s="65"/>
      <c r="F2248" s="66"/>
      <c r="G2248" s="63"/>
      <c r="H2248" s="67"/>
      <c r="I2248" s="68"/>
      <c r="J2248" s="68"/>
      <c r="K2248" s="32"/>
      <c r="L2248" s="75">
        <v>2248</v>
      </c>
      <c r="M2248" s="75"/>
      <c r="N2248" s="70"/>
      <c r="O2248" s="77" t="s">
        <v>179</v>
      </c>
      <c r="P2248" s="79">
        <v>45110.458854166667</v>
      </c>
      <c r="Q2248" s="77" t="s">
        <v>3294</v>
      </c>
      <c r="R2248" s="77">
        <v>2</v>
      </c>
      <c r="S2248" s="77">
        <v>23</v>
      </c>
      <c r="T2248" s="77">
        <v>1</v>
      </c>
      <c r="U2248" s="77">
        <v>0</v>
      </c>
      <c r="V2248" s="77">
        <v>3221</v>
      </c>
      <c r="W2248" s="82" t="s">
        <v>5508</v>
      </c>
      <c r="X2248" s="77"/>
      <c r="Y2248" s="77"/>
      <c r="Z2248" s="77"/>
      <c r="AA2248" s="77" t="s">
        <v>7410</v>
      </c>
      <c r="AB2248" s="77" t="s">
        <v>7696</v>
      </c>
      <c r="AC2248" s="82" t="s">
        <v>7708</v>
      </c>
      <c r="AD2248" s="77" t="s">
        <v>7745</v>
      </c>
      <c r="AE2248" s="80" t="str">
        <f>HYPERLINK("https://twitter.com/mat_financeira/status/1675821876398923776")</f>
        <v>https://twitter.com/mat_financeira/status/1675821876398923776</v>
      </c>
      <c r="AF2248" s="79">
        <v>45110.458854166667</v>
      </c>
      <c r="AG2248" s="85">
        <v>45110</v>
      </c>
      <c r="AH2248" s="82" t="s">
        <v>9204</v>
      </c>
      <c r="AI2248" s="77" t="b">
        <v>0</v>
      </c>
      <c r="AJ2248" s="77"/>
      <c r="AK2248" s="77"/>
      <c r="AL2248" s="77"/>
      <c r="AM2248" s="77"/>
      <c r="AN2248" s="77"/>
      <c r="AO2248" s="77"/>
      <c r="AP2248" s="77"/>
      <c r="AQ2248" s="77" t="s">
        <v>11917</v>
      </c>
      <c r="AR2248" s="77"/>
      <c r="AS2248" s="77"/>
      <c r="AT2248" s="77"/>
      <c r="AU2248" s="77"/>
      <c r="AV2248" s="80" t="str">
        <f>HYPERLINK("https://pbs.twimg.com/media/F0G3HYvXwAExX7_.jpg")</f>
        <v>https://pbs.twimg.com/media/F0G3HYvXwAExX7_.jpg</v>
      </c>
      <c r="AW2248" s="82" t="s">
        <v>14406</v>
      </c>
      <c r="AX2248" s="82" t="s">
        <v>14406</v>
      </c>
      <c r="AY2248" s="77"/>
      <c r="AZ2248" s="82" t="s">
        <v>15804</v>
      </c>
      <c r="BA2248" s="82" t="s">
        <v>15804</v>
      </c>
      <c r="BB2248" s="82" t="s">
        <v>15804</v>
      </c>
      <c r="BC2248" s="82" t="s">
        <v>14406</v>
      </c>
      <c r="BD2248" s="82" t="s">
        <v>16519</v>
      </c>
      <c r="BE2248" s="77"/>
      <c r="BF2248" s="77"/>
      <c r="BG2248" s="77"/>
      <c r="BH2248" s="77"/>
      <c r="BI2248" s="77"/>
    </row>
    <row r="2249" spans="1:61" x14ac:dyDescent="0.25">
      <c r="A2249" s="62" t="s">
        <v>891</v>
      </c>
      <c r="B2249" s="62" t="s">
        <v>891</v>
      </c>
      <c r="C2249" s="63"/>
      <c r="D2249" s="64"/>
      <c r="E2249" s="65"/>
      <c r="F2249" s="66"/>
      <c r="G2249" s="63"/>
      <c r="H2249" s="67"/>
      <c r="I2249" s="68"/>
      <c r="J2249" s="68"/>
      <c r="K2249" s="32"/>
      <c r="L2249" s="75">
        <v>2249</v>
      </c>
      <c r="M2249" s="75"/>
      <c r="N2249" s="70"/>
      <c r="O2249" s="77" t="s">
        <v>179</v>
      </c>
      <c r="P2249" s="79">
        <v>45105.45894675926</v>
      </c>
      <c r="Q2249" s="77" t="s">
        <v>3295</v>
      </c>
      <c r="R2249" s="77">
        <v>3</v>
      </c>
      <c r="S2249" s="77">
        <v>32</v>
      </c>
      <c r="T2249" s="77">
        <v>0</v>
      </c>
      <c r="U2249" s="77">
        <v>0</v>
      </c>
      <c r="V2249" s="77">
        <v>4895</v>
      </c>
      <c r="W2249" s="82" t="s">
        <v>5509</v>
      </c>
      <c r="X2249" s="77"/>
      <c r="Y2249" s="77"/>
      <c r="Z2249" s="77"/>
      <c r="AA2249" s="77" t="s">
        <v>7411</v>
      </c>
      <c r="AB2249" s="77" t="s">
        <v>7697</v>
      </c>
      <c r="AC2249" s="82" t="s">
        <v>7708</v>
      </c>
      <c r="AD2249" s="77" t="s">
        <v>7745</v>
      </c>
      <c r="AE2249" s="80" t="str">
        <f>HYPERLINK("https://twitter.com/mat_financeira/status/1674009971602735106")</f>
        <v>https://twitter.com/mat_financeira/status/1674009971602735106</v>
      </c>
      <c r="AF2249" s="79">
        <v>45105.45894675926</v>
      </c>
      <c r="AG2249" s="85">
        <v>45105</v>
      </c>
      <c r="AH2249" s="82" t="s">
        <v>9752</v>
      </c>
      <c r="AI2249" s="77" t="b">
        <v>0</v>
      </c>
      <c r="AJ2249" s="77"/>
      <c r="AK2249" s="77"/>
      <c r="AL2249" s="77"/>
      <c r="AM2249" s="77"/>
      <c r="AN2249" s="77"/>
      <c r="AO2249" s="77"/>
      <c r="AP2249" s="77"/>
      <c r="AQ2249" s="77" t="s">
        <v>11918</v>
      </c>
      <c r="AR2249" s="77">
        <v>43766</v>
      </c>
      <c r="AS2249" s="77"/>
      <c r="AT2249" s="77"/>
      <c r="AU2249" s="77">
        <v>1591</v>
      </c>
      <c r="AV2249" s="80" t="str">
        <f>HYPERLINK("https://pbs.twimg.com/ext_tw_video_thumb/1674009943567900673/pu/img/-v4CezKNwJjbt4-W.jpg")</f>
        <v>https://pbs.twimg.com/ext_tw_video_thumb/1674009943567900673/pu/img/-v4CezKNwJjbt4-W.jpg</v>
      </c>
      <c r="AW2249" s="82" t="s">
        <v>14407</v>
      </c>
      <c r="AX2249" s="82" t="s">
        <v>14407</v>
      </c>
      <c r="AY2249" s="77"/>
      <c r="AZ2249" s="82" t="s">
        <v>15804</v>
      </c>
      <c r="BA2249" s="82" t="s">
        <v>15804</v>
      </c>
      <c r="BB2249" s="82" t="s">
        <v>15804</v>
      </c>
      <c r="BC2249" s="82" t="s">
        <v>14407</v>
      </c>
      <c r="BD2249" s="82" t="s">
        <v>16519</v>
      </c>
      <c r="BE2249" s="77"/>
      <c r="BF2249" s="77"/>
      <c r="BG2249" s="77"/>
      <c r="BH2249" s="77"/>
      <c r="BI2249" s="77"/>
    </row>
    <row r="2250" spans="1:61" x14ac:dyDescent="0.25">
      <c r="A2250" s="62" t="s">
        <v>891</v>
      </c>
      <c r="B2250" s="62" t="s">
        <v>891</v>
      </c>
      <c r="C2250" s="63"/>
      <c r="D2250" s="64"/>
      <c r="E2250" s="65"/>
      <c r="F2250" s="66"/>
      <c r="G2250" s="63"/>
      <c r="H2250" s="67"/>
      <c r="I2250" s="68"/>
      <c r="J2250" s="68"/>
      <c r="K2250" s="32"/>
      <c r="L2250" s="75">
        <v>2250</v>
      </c>
      <c r="M2250" s="75"/>
      <c r="N2250" s="70"/>
      <c r="O2250" s="77" t="s">
        <v>179</v>
      </c>
      <c r="P2250" s="79">
        <v>45091.45884259259</v>
      </c>
      <c r="Q2250" s="77" t="s">
        <v>3296</v>
      </c>
      <c r="R2250" s="77">
        <v>1</v>
      </c>
      <c r="S2250" s="77">
        <v>41</v>
      </c>
      <c r="T2250" s="77">
        <v>1</v>
      </c>
      <c r="U2250" s="77">
        <v>0</v>
      </c>
      <c r="V2250" s="77">
        <v>6985</v>
      </c>
      <c r="W2250" s="82" t="s">
        <v>5510</v>
      </c>
      <c r="X2250" s="77"/>
      <c r="Y2250" s="77"/>
      <c r="Z2250" s="77"/>
      <c r="AA2250" s="77" t="s">
        <v>7412</v>
      </c>
      <c r="AB2250" s="77" t="s">
        <v>7696</v>
      </c>
      <c r="AC2250" s="82" t="s">
        <v>7708</v>
      </c>
      <c r="AD2250" s="77" t="s">
        <v>7745</v>
      </c>
      <c r="AE2250" s="80" t="str">
        <f>HYPERLINK("https://twitter.com/mat_financeira/status/1668936503072813056")</f>
        <v>https://twitter.com/mat_financeira/status/1668936503072813056</v>
      </c>
      <c r="AF2250" s="79">
        <v>45091.45884259259</v>
      </c>
      <c r="AG2250" s="85">
        <v>45091</v>
      </c>
      <c r="AH2250" s="82" t="s">
        <v>9761</v>
      </c>
      <c r="AI2250" s="77" t="b">
        <v>0</v>
      </c>
      <c r="AJ2250" s="77"/>
      <c r="AK2250" s="77"/>
      <c r="AL2250" s="77"/>
      <c r="AM2250" s="77"/>
      <c r="AN2250" s="77"/>
      <c r="AO2250" s="77"/>
      <c r="AP2250" s="77"/>
      <c r="AQ2250" s="77" t="s">
        <v>11919</v>
      </c>
      <c r="AR2250" s="77"/>
      <c r="AS2250" s="77"/>
      <c r="AT2250" s="77"/>
      <c r="AU2250" s="77"/>
      <c r="AV2250" s="80" t="str">
        <f>HYPERLINK("https://pbs.twimg.com/media/FylA57lWwAEcWqT.jpg")</f>
        <v>https://pbs.twimg.com/media/FylA57lWwAEcWqT.jpg</v>
      </c>
      <c r="AW2250" s="82" t="s">
        <v>14408</v>
      </c>
      <c r="AX2250" s="82" t="s">
        <v>14408</v>
      </c>
      <c r="AY2250" s="77"/>
      <c r="AZ2250" s="82" t="s">
        <v>15804</v>
      </c>
      <c r="BA2250" s="82" t="s">
        <v>15804</v>
      </c>
      <c r="BB2250" s="82" t="s">
        <v>15804</v>
      </c>
      <c r="BC2250" s="82" t="s">
        <v>14408</v>
      </c>
      <c r="BD2250" s="82" t="s">
        <v>16519</v>
      </c>
      <c r="BE2250" s="77"/>
      <c r="BF2250" s="77"/>
      <c r="BG2250" s="77"/>
      <c r="BH2250" s="77"/>
      <c r="BI2250" s="77"/>
    </row>
    <row r="2251" spans="1:61" x14ac:dyDescent="0.25">
      <c r="A2251" s="62" t="s">
        <v>891</v>
      </c>
      <c r="B2251" s="62" t="s">
        <v>891</v>
      </c>
      <c r="C2251" s="63"/>
      <c r="D2251" s="64"/>
      <c r="E2251" s="65"/>
      <c r="F2251" s="66"/>
      <c r="G2251" s="63"/>
      <c r="H2251" s="67"/>
      <c r="I2251" s="68"/>
      <c r="J2251" s="68"/>
      <c r="K2251" s="32"/>
      <c r="L2251" s="75">
        <v>2251</v>
      </c>
      <c r="M2251" s="75"/>
      <c r="N2251" s="70"/>
      <c r="O2251" s="77" t="s">
        <v>179</v>
      </c>
      <c r="P2251" s="79">
        <v>45089.451851851853</v>
      </c>
      <c r="Q2251" s="77" t="s">
        <v>3297</v>
      </c>
      <c r="R2251" s="77">
        <v>1</v>
      </c>
      <c r="S2251" s="77">
        <v>13</v>
      </c>
      <c r="T2251" s="77">
        <v>0</v>
      </c>
      <c r="U2251" s="77">
        <v>0</v>
      </c>
      <c r="V2251" s="77">
        <v>3248</v>
      </c>
      <c r="W2251" s="82" t="s">
        <v>5511</v>
      </c>
      <c r="X2251" s="77"/>
      <c r="Y2251" s="77"/>
      <c r="Z2251" s="77"/>
      <c r="AA2251" s="77" t="s">
        <v>7413</v>
      </c>
      <c r="AB2251" s="77" t="s">
        <v>7696</v>
      </c>
      <c r="AC2251" s="82" t="s">
        <v>7708</v>
      </c>
      <c r="AD2251" s="77" t="s">
        <v>7745</v>
      </c>
      <c r="AE2251" s="80" t="str">
        <f>HYPERLINK("https://twitter.com/mat_financeira/status/1668209192816050176")</f>
        <v>https://twitter.com/mat_financeira/status/1668209192816050176</v>
      </c>
      <c r="AF2251" s="79">
        <v>45089.451851851853</v>
      </c>
      <c r="AG2251" s="85">
        <v>45089</v>
      </c>
      <c r="AH2251" s="82" t="s">
        <v>9762</v>
      </c>
      <c r="AI2251" s="77" t="b">
        <v>0</v>
      </c>
      <c r="AJ2251" s="77"/>
      <c r="AK2251" s="77"/>
      <c r="AL2251" s="77"/>
      <c r="AM2251" s="77"/>
      <c r="AN2251" s="77"/>
      <c r="AO2251" s="77"/>
      <c r="AP2251" s="77"/>
      <c r="AQ2251" s="77" t="s">
        <v>11920</v>
      </c>
      <c r="AR2251" s="77"/>
      <c r="AS2251" s="77"/>
      <c r="AT2251" s="77"/>
      <c r="AU2251" s="77"/>
      <c r="AV2251" s="80" t="str">
        <f>HYPERLINK("https://pbs.twimg.com/media/Fyara7LXwAAxXoC.jpg")</f>
        <v>https://pbs.twimg.com/media/Fyara7LXwAAxXoC.jpg</v>
      </c>
      <c r="AW2251" s="82" t="s">
        <v>14409</v>
      </c>
      <c r="AX2251" s="82" t="s">
        <v>14409</v>
      </c>
      <c r="AY2251" s="77"/>
      <c r="AZ2251" s="82" t="s">
        <v>15804</v>
      </c>
      <c r="BA2251" s="82" t="s">
        <v>15804</v>
      </c>
      <c r="BB2251" s="82" t="s">
        <v>15804</v>
      </c>
      <c r="BC2251" s="82" t="s">
        <v>14409</v>
      </c>
      <c r="BD2251" s="82" t="s">
        <v>16519</v>
      </c>
      <c r="BE2251" s="77"/>
      <c r="BF2251" s="77"/>
      <c r="BG2251" s="77"/>
      <c r="BH2251" s="77"/>
      <c r="BI2251" s="77"/>
    </row>
    <row r="2252" spans="1:61" x14ac:dyDescent="0.25">
      <c r="A2252" s="62" t="s">
        <v>891</v>
      </c>
      <c r="B2252" s="62" t="s">
        <v>891</v>
      </c>
      <c r="C2252" s="63"/>
      <c r="D2252" s="64"/>
      <c r="E2252" s="65"/>
      <c r="F2252" s="66"/>
      <c r="G2252" s="63"/>
      <c r="H2252" s="67"/>
      <c r="I2252" s="68"/>
      <c r="J2252" s="68"/>
      <c r="K2252" s="32"/>
      <c r="L2252" s="75">
        <v>2252</v>
      </c>
      <c r="M2252" s="75"/>
      <c r="N2252" s="70"/>
      <c r="O2252" s="77" t="s">
        <v>179</v>
      </c>
      <c r="P2252" s="79">
        <v>45041.459050925929</v>
      </c>
      <c r="Q2252" s="77" t="s">
        <v>3298</v>
      </c>
      <c r="R2252" s="77">
        <v>4</v>
      </c>
      <c r="S2252" s="77">
        <v>24</v>
      </c>
      <c r="T2252" s="77">
        <v>0</v>
      </c>
      <c r="U2252" s="77">
        <v>0</v>
      </c>
      <c r="V2252" s="77">
        <v>5129</v>
      </c>
      <c r="W2252" s="82" t="s">
        <v>5498</v>
      </c>
      <c r="X2252" s="77"/>
      <c r="Y2252" s="77"/>
      <c r="Z2252" s="77"/>
      <c r="AA2252" s="77" t="s">
        <v>7414</v>
      </c>
      <c r="AB2252" s="77" t="s">
        <v>7697</v>
      </c>
      <c r="AC2252" s="82" t="s">
        <v>7708</v>
      </c>
      <c r="AD2252" s="77" t="s">
        <v>7745</v>
      </c>
      <c r="AE2252" s="80" t="str">
        <f>HYPERLINK("https://twitter.com/mat_financeira/status/1650817186775068674")</f>
        <v>https://twitter.com/mat_financeira/status/1650817186775068674</v>
      </c>
      <c r="AF2252" s="79">
        <v>45041.459050925929</v>
      </c>
      <c r="AG2252" s="85">
        <v>45041</v>
      </c>
      <c r="AH2252" s="82" t="s">
        <v>9757</v>
      </c>
      <c r="AI2252" s="77" t="b">
        <v>0</v>
      </c>
      <c r="AJ2252" s="77"/>
      <c r="AK2252" s="77"/>
      <c r="AL2252" s="77"/>
      <c r="AM2252" s="77"/>
      <c r="AN2252" s="77"/>
      <c r="AO2252" s="77"/>
      <c r="AP2252" s="77"/>
      <c r="AQ2252" s="77" t="s">
        <v>11921</v>
      </c>
      <c r="AR2252" s="77">
        <v>57133</v>
      </c>
      <c r="AS2252" s="77"/>
      <c r="AT2252" s="77"/>
      <c r="AU2252" s="77">
        <v>1961</v>
      </c>
      <c r="AV2252" s="80" t="str">
        <f>HYPERLINK("https://pbs.twimg.com/ext_tw_video_thumb/1650817158484578305/pu/img/g9vDaDcU_lK9Sj19.jpg")</f>
        <v>https://pbs.twimg.com/ext_tw_video_thumb/1650817158484578305/pu/img/g9vDaDcU_lK9Sj19.jpg</v>
      </c>
      <c r="AW2252" s="82" t="s">
        <v>14410</v>
      </c>
      <c r="AX2252" s="82" t="s">
        <v>14410</v>
      </c>
      <c r="AY2252" s="77"/>
      <c r="AZ2252" s="82" t="s">
        <v>15804</v>
      </c>
      <c r="BA2252" s="82" t="s">
        <v>15804</v>
      </c>
      <c r="BB2252" s="82" t="s">
        <v>15804</v>
      </c>
      <c r="BC2252" s="82" t="s">
        <v>14410</v>
      </c>
      <c r="BD2252" s="82" t="s">
        <v>16519</v>
      </c>
      <c r="BE2252" s="77"/>
      <c r="BF2252" s="77"/>
      <c r="BG2252" s="77"/>
      <c r="BH2252" s="77"/>
      <c r="BI2252" s="77"/>
    </row>
    <row r="2253" spans="1:61" x14ac:dyDescent="0.25">
      <c r="A2253" s="62" t="s">
        <v>891</v>
      </c>
      <c r="B2253" s="62" t="s">
        <v>891</v>
      </c>
      <c r="C2253" s="63"/>
      <c r="D2253" s="64"/>
      <c r="E2253" s="65"/>
      <c r="F2253" s="66"/>
      <c r="G2253" s="63"/>
      <c r="H2253" s="67"/>
      <c r="I2253" s="68"/>
      <c r="J2253" s="68"/>
      <c r="K2253" s="32"/>
      <c r="L2253" s="75">
        <v>2253</v>
      </c>
      <c r="M2253" s="75"/>
      <c r="N2253" s="70"/>
      <c r="O2253" s="77" t="s">
        <v>179</v>
      </c>
      <c r="P2253" s="79">
        <v>44998.958726851852</v>
      </c>
      <c r="Q2253" s="77" t="s">
        <v>3299</v>
      </c>
      <c r="R2253" s="77">
        <v>4</v>
      </c>
      <c r="S2253" s="77">
        <v>38</v>
      </c>
      <c r="T2253" s="77">
        <v>0</v>
      </c>
      <c r="U2253" s="77">
        <v>0</v>
      </c>
      <c r="V2253" s="77">
        <v>5531</v>
      </c>
      <c r="W2253" s="82" t="s">
        <v>5498</v>
      </c>
      <c r="X2253" s="77"/>
      <c r="Y2253" s="77"/>
      <c r="Z2253" s="77"/>
      <c r="AA2253" s="77" t="s">
        <v>7415</v>
      </c>
      <c r="AB2253" s="77" t="s">
        <v>7697</v>
      </c>
      <c r="AC2253" s="82" t="s">
        <v>7708</v>
      </c>
      <c r="AD2253" s="77" t="s">
        <v>7745</v>
      </c>
      <c r="AE2253" s="80" t="str">
        <f>HYPERLINK("https://twitter.com/mat_financeira/status/1635415584698400773")</f>
        <v>https://twitter.com/mat_financeira/status/1635415584698400773</v>
      </c>
      <c r="AF2253" s="79">
        <v>44998.958726851852</v>
      </c>
      <c r="AG2253" s="85">
        <v>44998</v>
      </c>
      <c r="AH2253" s="82" t="s">
        <v>9763</v>
      </c>
      <c r="AI2253" s="77" t="b">
        <v>0</v>
      </c>
      <c r="AJ2253" s="77"/>
      <c r="AK2253" s="77"/>
      <c r="AL2253" s="77"/>
      <c r="AM2253" s="77"/>
      <c r="AN2253" s="77"/>
      <c r="AO2253" s="77"/>
      <c r="AP2253" s="77"/>
      <c r="AQ2253" s="77" t="s">
        <v>11922</v>
      </c>
      <c r="AR2253" s="77">
        <v>58800</v>
      </c>
      <c r="AS2253" s="77"/>
      <c r="AT2253" s="77"/>
      <c r="AU2253" s="77">
        <v>2069</v>
      </c>
      <c r="AV2253" s="80" t="str">
        <f>HYPERLINK("https://pbs.twimg.com/ext_tw_video_thumb/1635415556600877057/pu/img/DOrxTdzY9UA3MLhd.jpg")</f>
        <v>https://pbs.twimg.com/ext_tw_video_thumb/1635415556600877057/pu/img/DOrxTdzY9UA3MLhd.jpg</v>
      </c>
      <c r="AW2253" s="82" t="s">
        <v>14411</v>
      </c>
      <c r="AX2253" s="82" t="s">
        <v>14411</v>
      </c>
      <c r="AY2253" s="77"/>
      <c r="AZ2253" s="82" t="s">
        <v>15804</v>
      </c>
      <c r="BA2253" s="82" t="s">
        <v>15804</v>
      </c>
      <c r="BB2253" s="82" t="s">
        <v>15804</v>
      </c>
      <c r="BC2253" s="82" t="s">
        <v>14411</v>
      </c>
      <c r="BD2253" s="82" t="s">
        <v>16519</v>
      </c>
      <c r="BE2253" s="77"/>
      <c r="BF2253" s="77"/>
      <c r="BG2253" s="77"/>
      <c r="BH2253" s="77"/>
      <c r="BI2253" s="77"/>
    </row>
    <row r="2254" spans="1:61" x14ac:dyDescent="0.25">
      <c r="A2254" s="62" t="s">
        <v>891</v>
      </c>
      <c r="B2254" s="62" t="s">
        <v>891</v>
      </c>
      <c r="C2254" s="63"/>
      <c r="D2254" s="64"/>
      <c r="E2254" s="65"/>
      <c r="F2254" s="66"/>
      <c r="G2254" s="63"/>
      <c r="H2254" s="67"/>
      <c r="I2254" s="68"/>
      <c r="J2254" s="68"/>
      <c r="K2254" s="32"/>
      <c r="L2254" s="75">
        <v>2254</v>
      </c>
      <c r="M2254" s="75"/>
      <c r="N2254" s="70"/>
      <c r="O2254" s="77" t="s">
        <v>179</v>
      </c>
      <c r="P2254" s="79">
        <v>44942.646238425928</v>
      </c>
      <c r="Q2254" s="77" t="s">
        <v>3300</v>
      </c>
      <c r="R2254" s="77">
        <v>7</v>
      </c>
      <c r="S2254" s="77">
        <v>47</v>
      </c>
      <c r="T2254" s="77">
        <v>0</v>
      </c>
      <c r="U2254" s="77">
        <v>0</v>
      </c>
      <c r="V2254" s="77">
        <v>5600</v>
      </c>
      <c r="W2254" s="82" t="s">
        <v>5498</v>
      </c>
      <c r="X2254" s="77"/>
      <c r="Y2254" s="77"/>
      <c r="Z2254" s="77"/>
      <c r="AA2254" s="77" t="s">
        <v>7416</v>
      </c>
      <c r="AB2254" s="77" t="s">
        <v>7697</v>
      </c>
      <c r="AC2254" s="82" t="s">
        <v>7708</v>
      </c>
      <c r="AD2254" s="77" t="s">
        <v>7745</v>
      </c>
      <c r="AE2254" s="80" t="str">
        <f>HYPERLINK("https://twitter.com/mat_financeira/status/1615008623318425600")</f>
        <v>https://twitter.com/mat_financeira/status/1615008623318425600</v>
      </c>
      <c r="AF2254" s="79">
        <v>44942.646238425928</v>
      </c>
      <c r="AG2254" s="85">
        <v>44942</v>
      </c>
      <c r="AH2254" s="82" t="s">
        <v>9764</v>
      </c>
      <c r="AI2254" s="77" t="b">
        <v>0</v>
      </c>
      <c r="AJ2254" s="77"/>
      <c r="AK2254" s="77"/>
      <c r="AL2254" s="77"/>
      <c r="AM2254" s="77"/>
      <c r="AN2254" s="77"/>
      <c r="AO2254" s="77"/>
      <c r="AP2254" s="77"/>
      <c r="AQ2254" s="77" t="s">
        <v>11923</v>
      </c>
      <c r="AR2254" s="77">
        <v>59433</v>
      </c>
      <c r="AS2254" s="77"/>
      <c r="AT2254" s="77"/>
      <c r="AU2254" s="77">
        <v>2456</v>
      </c>
      <c r="AV2254" s="80" t="str">
        <f>HYPERLINK("https://pbs.twimg.com/ext_tw_video_thumb/1615008594822402049/pu/img/__IA5bWWhhoEhJ5Z.jpg")</f>
        <v>https://pbs.twimg.com/ext_tw_video_thumb/1615008594822402049/pu/img/__IA5bWWhhoEhJ5Z.jpg</v>
      </c>
      <c r="AW2254" s="82" t="s">
        <v>14412</v>
      </c>
      <c r="AX2254" s="82" t="s">
        <v>14412</v>
      </c>
      <c r="AY2254" s="77"/>
      <c r="AZ2254" s="82" t="s">
        <v>15804</v>
      </c>
      <c r="BA2254" s="82" t="s">
        <v>15804</v>
      </c>
      <c r="BB2254" s="82" t="s">
        <v>15804</v>
      </c>
      <c r="BC2254" s="82" t="s">
        <v>14412</v>
      </c>
      <c r="BD2254" s="82" t="s">
        <v>16519</v>
      </c>
      <c r="BE2254" s="77"/>
      <c r="BF2254" s="77"/>
      <c r="BG2254" s="77"/>
      <c r="BH2254" s="77"/>
      <c r="BI2254" s="77"/>
    </row>
    <row r="2255" spans="1:61" x14ac:dyDescent="0.25">
      <c r="A2255" s="62" t="s">
        <v>891</v>
      </c>
      <c r="B2255" s="62" t="s">
        <v>1042</v>
      </c>
      <c r="C2255" s="63"/>
      <c r="D2255" s="64"/>
      <c r="E2255" s="65"/>
      <c r="F2255" s="66"/>
      <c r="G2255" s="63"/>
      <c r="H2255" s="67"/>
      <c r="I2255" s="68"/>
      <c r="J2255" s="68"/>
      <c r="K2255" s="32"/>
      <c r="L2255" s="75">
        <v>2255</v>
      </c>
      <c r="M2255" s="75"/>
      <c r="N2255" s="70"/>
      <c r="O2255" s="77" t="s">
        <v>1133</v>
      </c>
      <c r="P2255" s="79">
        <v>45152.79855324074</v>
      </c>
      <c r="Q2255" s="77" t="s">
        <v>3301</v>
      </c>
      <c r="R2255" s="77">
        <v>1</v>
      </c>
      <c r="S2255" s="77">
        <v>11</v>
      </c>
      <c r="T2255" s="77">
        <v>0</v>
      </c>
      <c r="U2255" s="77">
        <v>0</v>
      </c>
      <c r="V2255" s="77">
        <v>2545</v>
      </c>
      <c r="W2255" s="82" t="s">
        <v>4097</v>
      </c>
      <c r="X2255" s="80" t="str">
        <f>HYPERLINK("https://www.poupex.com.br/noticia/reserva-de-emergencia-para-que-serve-e-como-montar-a-sua/")</f>
        <v>https://www.poupex.com.br/noticia/reserva-de-emergencia-para-que-serve-e-como-montar-a-sua/</v>
      </c>
      <c r="Y2255" s="77" t="s">
        <v>6002</v>
      </c>
      <c r="Z2255" s="77" t="s">
        <v>1042</v>
      </c>
      <c r="AA2255" s="77"/>
      <c r="AB2255" s="77"/>
      <c r="AC2255" s="82" t="s">
        <v>7705</v>
      </c>
      <c r="AD2255" s="77" t="s">
        <v>7746</v>
      </c>
      <c r="AE2255" s="80" t="str">
        <f>HYPERLINK("https://twitter.com/mat_financeira/status/1691165272512622593")</f>
        <v>https://twitter.com/mat_financeira/status/1691165272512622593</v>
      </c>
      <c r="AF2255" s="79">
        <v>45152.79855324074</v>
      </c>
      <c r="AG2255" s="85">
        <v>45152</v>
      </c>
      <c r="AH2255" s="82" t="s">
        <v>9765</v>
      </c>
      <c r="AI2255" s="77" t="b">
        <v>0</v>
      </c>
      <c r="AJ2255" s="77"/>
      <c r="AK2255" s="77"/>
      <c r="AL2255" s="77"/>
      <c r="AM2255" s="77"/>
      <c r="AN2255" s="77"/>
      <c r="AO2255" s="77"/>
      <c r="AP2255" s="77"/>
      <c r="AQ2255" s="77"/>
      <c r="AR2255" s="77"/>
      <c r="AS2255" s="77"/>
      <c r="AT2255" s="77"/>
      <c r="AU2255" s="77"/>
      <c r="AV2255" s="80" t="str">
        <f>HYPERLINK("https://pbs.twimg.com/profile_images/1665081532455821312/Yh2qs3r3_normal.jpg")</f>
        <v>https://pbs.twimg.com/profile_images/1665081532455821312/Yh2qs3r3_normal.jpg</v>
      </c>
      <c r="AW2255" s="82" t="s">
        <v>14413</v>
      </c>
      <c r="AX2255" s="82" t="s">
        <v>14413</v>
      </c>
      <c r="AY2255" s="77"/>
      <c r="AZ2255" s="82" t="s">
        <v>15804</v>
      </c>
      <c r="BA2255" s="82" t="s">
        <v>15804</v>
      </c>
      <c r="BB2255" s="82" t="s">
        <v>15804</v>
      </c>
      <c r="BC2255" s="82" t="s">
        <v>14413</v>
      </c>
      <c r="BD2255" s="82" t="s">
        <v>16519</v>
      </c>
      <c r="BE2255" s="77"/>
      <c r="BF2255" s="77"/>
      <c r="BG2255" s="77"/>
      <c r="BH2255" s="77"/>
      <c r="BI2255" s="77"/>
    </row>
    <row r="2256" spans="1:61" x14ac:dyDescent="0.25">
      <c r="A2256" s="62" t="s">
        <v>891</v>
      </c>
      <c r="B2256" s="62" t="s">
        <v>891</v>
      </c>
      <c r="C2256" s="63"/>
      <c r="D2256" s="64"/>
      <c r="E2256" s="65"/>
      <c r="F2256" s="66"/>
      <c r="G2256" s="63"/>
      <c r="H2256" s="67"/>
      <c r="I2256" s="68"/>
      <c r="J2256" s="68"/>
      <c r="K2256" s="32"/>
      <c r="L2256" s="75">
        <v>2256</v>
      </c>
      <c r="M2256" s="75"/>
      <c r="N2256" s="70"/>
      <c r="O2256" s="77" t="s">
        <v>179</v>
      </c>
      <c r="P2256" s="79">
        <v>45140.458344907405</v>
      </c>
      <c r="Q2256" s="77" t="s">
        <v>3302</v>
      </c>
      <c r="R2256" s="77">
        <v>3</v>
      </c>
      <c r="S2256" s="77">
        <v>20</v>
      </c>
      <c r="T2256" s="77">
        <v>0</v>
      </c>
      <c r="U2256" s="77">
        <v>1</v>
      </c>
      <c r="V2256" s="77">
        <v>2873</v>
      </c>
      <c r="W2256" s="82" t="s">
        <v>5512</v>
      </c>
      <c r="X2256" s="77"/>
      <c r="Y2256" s="77"/>
      <c r="Z2256" s="77"/>
      <c r="AA2256" s="77" t="s">
        <v>7417</v>
      </c>
      <c r="AB2256" s="77" t="s">
        <v>7696</v>
      </c>
      <c r="AC2256" s="82" t="s">
        <v>7706</v>
      </c>
      <c r="AD2256" s="77" t="s">
        <v>7745</v>
      </c>
      <c r="AE2256" s="80" t="str">
        <f>HYPERLINK("https://twitter.com/mat_financeira/status/1686693330715811841")</f>
        <v>https://twitter.com/mat_financeira/status/1686693330715811841</v>
      </c>
      <c r="AF2256" s="79">
        <v>45140.458344907405</v>
      </c>
      <c r="AG2256" s="85">
        <v>45140</v>
      </c>
      <c r="AH2256" s="82" t="s">
        <v>9766</v>
      </c>
      <c r="AI2256" s="77" t="b">
        <v>0</v>
      </c>
      <c r="AJ2256" s="77"/>
      <c r="AK2256" s="77"/>
      <c r="AL2256" s="77"/>
      <c r="AM2256" s="77"/>
      <c r="AN2256" s="77"/>
      <c r="AO2256" s="77"/>
      <c r="AP2256" s="77"/>
      <c r="AQ2256" s="77" t="s">
        <v>11924</v>
      </c>
      <c r="AR2256" s="77"/>
      <c r="AS2256" s="77"/>
      <c r="AT2256" s="77"/>
      <c r="AU2256" s="77"/>
      <c r="AV2256" s="80" t="str">
        <f>HYPERLINK("https://pbs.twimg.com/media/F2e1-u7bQAEt-e4.jpg")</f>
        <v>https://pbs.twimg.com/media/F2e1-u7bQAEt-e4.jpg</v>
      </c>
      <c r="AW2256" s="82" t="s">
        <v>14414</v>
      </c>
      <c r="AX2256" s="82" t="s">
        <v>14414</v>
      </c>
      <c r="AY2256" s="77"/>
      <c r="AZ2256" s="82" t="s">
        <v>15804</v>
      </c>
      <c r="BA2256" s="82" t="s">
        <v>15804</v>
      </c>
      <c r="BB2256" s="82" t="s">
        <v>15804</v>
      </c>
      <c r="BC2256" s="82" t="s">
        <v>14414</v>
      </c>
      <c r="BD2256" s="82" t="s">
        <v>16519</v>
      </c>
      <c r="BE2256" s="77"/>
      <c r="BF2256" s="77"/>
      <c r="BG2256" s="77"/>
      <c r="BH2256" s="77"/>
      <c r="BI2256" s="77"/>
    </row>
    <row r="2257" spans="1:61" x14ac:dyDescent="0.25">
      <c r="A2257" s="62" t="s">
        <v>891</v>
      </c>
      <c r="B2257" s="62" t="s">
        <v>891</v>
      </c>
      <c r="C2257" s="63"/>
      <c r="D2257" s="64"/>
      <c r="E2257" s="65"/>
      <c r="F2257" s="66"/>
      <c r="G2257" s="63"/>
      <c r="H2257" s="67"/>
      <c r="I2257" s="68"/>
      <c r="J2257" s="68"/>
      <c r="K2257" s="32"/>
      <c r="L2257" s="75">
        <v>2257</v>
      </c>
      <c r="M2257" s="75"/>
      <c r="N2257" s="70"/>
      <c r="O2257" s="77" t="s">
        <v>179</v>
      </c>
      <c r="P2257" s="79">
        <v>45131.540393518517</v>
      </c>
      <c r="Q2257" s="77" t="s">
        <v>3303</v>
      </c>
      <c r="R2257" s="77">
        <v>0</v>
      </c>
      <c r="S2257" s="77">
        <v>13</v>
      </c>
      <c r="T2257" s="77">
        <v>1</v>
      </c>
      <c r="U2257" s="77">
        <v>0</v>
      </c>
      <c r="V2257" s="77">
        <v>2622</v>
      </c>
      <c r="W2257" s="82" t="s">
        <v>5513</v>
      </c>
      <c r="X2257" s="77"/>
      <c r="Y2257" s="77"/>
      <c r="Z2257" s="77"/>
      <c r="AA2257" s="77" t="s">
        <v>7418</v>
      </c>
      <c r="AB2257" s="77" t="s">
        <v>7696</v>
      </c>
      <c r="AC2257" s="82" t="s">
        <v>7705</v>
      </c>
      <c r="AD2257" s="77" t="s">
        <v>7745</v>
      </c>
      <c r="AE2257" s="80" t="str">
        <f>HYPERLINK("https://twitter.com/mat_financeira/status/1683461572318904321")</f>
        <v>https://twitter.com/mat_financeira/status/1683461572318904321</v>
      </c>
      <c r="AF2257" s="79">
        <v>45131.540393518517</v>
      </c>
      <c r="AG2257" s="85">
        <v>45131</v>
      </c>
      <c r="AH2257" s="82" t="s">
        <v>9767</v>
      </c>
      <c r="AI2257" s="77" t="b">
        <v>0</v>
      </c>
      <c r="AJ2257" s="77"/>
      <c r="AK2257" s="77"/>
      <c r="AL2257" s="77"/>
      <c r="AM2257" s="77"/>
      <c r="AN2257" s="77"/>
      <c r="AO2257" s="77"/>
      <c r="AP2257" s="77"/>
      <c r="AQ2257" s="77" t="s">
        <v>11925</v>
      </c>
      <c r="AR2257" s="77"/>
      <c r="AS2257" s="77"/>
      <c r="AT2257" s="77"/>
      <c r="AU2257" s="77"/>
      <c r="AV2257" s="80" t="str">
        <f>HYPERLINK("https://pbs.twimg.com/media/F1zbYCHXsAAy2xs.jpg")</f>
        <v>https://pbs.twimg.com/media/F1zbYCHXsAAy2xs.jpg</v>
      </c>
      <c r="AW2257" s="82" t="s">
        <v>14415</v>
      </c>
      <c r="AX2257" s="82" t="s">
        <v>14415</v>
      </c>
      <c r="AY2257" s="77"/>
      <c r="AZ2257" s="82" t="s">
        <v>15804</v>
      </c>
      <c r="BA2257" s="82" t="s">
        <v>15804</v>
      </c>
      <c r="BB2257" s="82" t="s">
        <v>15804</v>
      </c>
      <c r="BC2257" s="82" t="s">
        <v>14415</v>
      </c>
      <c r="BD2257" s="82" t="s">
        <v>16519</v>
      </c>
      <c r="BE2257" s="77"/>
      <c r="BF2257" s="77"/>
      <c r="BG2257" s="77"/>
      <c r="BH2257" s="77"/>
      <c r="BI2257" s="77"/>
    </row>
    <row r="2258" spans="1:61" x14ac:dyDescent="0.25">
      <c r="A2258" s="62" t="s">
        <v>891</v>
      </c>
      <c r="B2258" s="62" t="s">
        <v>891</v>
      </c>
      <c r="C2258" s="63"/>
      <c r="D2258" s="64"/>
      <c r="E2258" s="65"/>
      <c r="F2258" s="66"/>
      <c r="G2258" s="63"/>
      <c r="H2258" s="67"/>
      <c r="I2258" s="68"/>
      <c r="J2258" s="68"/>
      <c r="K2258" s="32"/>
      <c r="L2258" s="75">
        <v>2258</v>
      </c>
      <c r="M2258" s="75"/>
      <c r="N2258" s="70"/>
      <c r="O2258" s="77" t="s">
        <v>179</v>
      </c>
      <c r="P2258" s="79">
        <v>45124.448217592595</v>
      </c>
      <c r="Q2258" s="77" t="s">
        <v>3304</v>
      </c>
      <c r="R2258" s="77">
        <v>2</v>
      </c>
      <c r="S2258" s="77">
        <v>9</v>
      </c>
      <c r="T2258" s="77">
        <v>0</v>
      </c>
      <c r="U2258" s="77">
        <v>0</v>
      </c>
      <c r="V2258" s="77">
        <v>2932</v>
      </c>
      <c r="W2258" s="82" t="s">
        <v>5514</v>
      </c>
      <c r="X2258" s="77"/>
      <c r="Y2258" s="77"/>
      <c r="Z2258" s="77"/>
      <c r="AA2258" s="77" t="s">
        <v>7419</v>
      </c>
      <c r="AB2258" s="77" t="s">
        <v>7696</v>
      </c>
      <c r="AC2258" s="82" t="s">
        <v>7708</v>
      </c>
      <c r="AD2258" s="77" t="s">
        <v>7746</v>
      </c>
      <c r="AE2258" s="80" t="str">
        <f>HYPERLINK("https://twitter.com/mat_financeira/status/1680891451557699587")</f>
        <v>https://twitter.com/mat_financeira/status/1680891451557699587</v>
      </c>
      <c r="AF2258" s="79">
        <v>45124.448217592595</v>
      </c>
      <c r="AG2258" s="85">
        <v>45124</v>
      </c>
      <c r="AH2258" s="82" t="s">
        <v>9768</v>
      </c>
      <c r="AI2258" s="77" t="b">
        <v>0</v>
      </c>
      <c r="AJ2258" s="77"/>
      <c r="AK2258" s="77"/>
      <c r="AL2258" s="77"/>
      <c r="AM2258" s="77"/>
      <c r="AN2258" s="77"/>
      <c r="AO2258" s="77"/>
      <c r="AP2258" s="77"/>
      <c r="AQ2258" s="77" t="s">
        <v>11926</v>
      </c>
      <c r="AR2258" s="77"/>
      <c r="AS2258" s="77"/>
      <c r="AT2258" s="77"/>
      <c r="AU2258" s="77"/>
      <c r="AV2258" s="80" t="str">
        <f>HYPERLINK("https://pbs.twimg.com/media/F1O53d8XwAEGkv_.jpg")</f>
        <v>https://pbs.twimg.com/media/F1O53d8XwAEGkv_.jpg</v>
      </c>
      <c r="AW2258" s="82" t="s">
        <v>14416</v>
      </c>
      <c r="AX2258" s="82" t="s">
        <v>14416</v>
      </c>
      <c r="AY2258" s="77"/>
      <c r="AZ2258" s="82" t="s">
        <v>15804</v>
      </c>
      <c r="BA2258" s="82" t="s">
        <v>15804</v>
      </c>
      <c r="BB2258" s="82" t="s">
        <v>15804</v>
      </c>
      <c r="BC2258" s="82" t="s">
        <v>14416</v>
      </c>
      <c r="BD2258" s="82" t="s">
        <v>16519</v>
      </c>
      <c r="BE2258" s="77"/>
      <c r="BF2258" s="77"/>
      <c r="BG2258" s="77"/>
      <c r="BH2258" s="77"/>
      <c r="BI2258" s="77"/>
    </row>
    <row r="2259" spans="1:61" x14ac:dyDescent="0.25">
      <c r="A2259" s="62" t="s">
        <v>891</v>
      </c>
      <c r="B2259" s="62" t="s">
        <v>891</v>
      </c>
      <c r="C2259" s="63"/>
      <c r="D2259" s="64"/>
      <c r="E2259" s="65"/>
      <c r="F2259" s="66"/>
      <c r="G2259" s="63"/>
      <c r="H2259" s="67"/>
      <c r="I2259" s="68"/>
      <c r="J2259" s="68"/>
      <c r="K2259" s="32"/>
      <c r="L2259" s="75">
        <v>2259</v>
      </c>
      <c r="M2259" s="75"/>
      <c r="N2259" s="70"/>
      <c r="O2259" s="77" t="s">
        <v>179</v>
      </c>
      <c r="P2259" s="79">
        <v>45108.45884259259</v>
      </c>
      <c r="Q2259" s="77" t="s">
        <v>3305</v>
      </c>
      <c r="R2259" s="77">
        <v>2</v>
      </c>
      <c r="S2259" s="77">
        <v>15</v>
      </c>
      <c r="T2259" s="77">
        <v>0</v>
      </c>
      <c r="U2259" s="77">
        <v>0</v>
      </c>
      <c r="V2259" s="77">
        <v>3906</v>
      </c>
      <c r="W2259" s="82" t="s">
        <v>5515</v>
      </c>
      <c r="X2259" s="77"/>
      <c r="Y2259" s="77"/>
      <c r="Z2259" s="77"/>
      <c r="AA2259" s="77" t="s">
        <v>7420</v>
      </c>
      <c r="AB2259" s="77" t="s">
        <v>7696</v>
      </c>
      <c r="AC2259" s="82" t="s">
        <v>7708</v>
      </c>
      <c r="AD2259" s="77" t="s">
        <v>7746</v>
      </c>
      <c r="AE2259" s="80" t="str">
        <f>HYPERLINK("https://twitter.com/mat_financeira/status/1675097098369355776")</f>
        <v>https://twitter.com/mat_financeira/status/1675097098369355776</v>
      </c>
      <c r="AF2259" s="79">
        <v>45108.45884259259</v>
      </c>
      <c r="AG2259" s="85">
        <v>45108</v>
      </c>
      <c r="AH2259" s="82" t="s">
        <v>9761</v>
      </c>
      <c r="AI2259" s="77" t="b">
        <v>0</v>
      </c>
      <c r="AJ2259" s="77"/>
      <c r="AK2259" s="77"/>
      <c r="AL2259" s="77"/>
      <c r="AM2259" s="77"/>
      <c r="AN2259" s="77"/>
      <c r="AO2259" s="77"/>
      <c r="AP2259" s="77"/>
      <c r="AQ2259" s="77" t="s">
        <v>11927</v>
      </c>
      <c r="AR2259" s="77"/>
      <c r="AS2259" s="77"/>
      <c r="AT2259" s="77"/>
      <c r="AU2259" s="77"/>
      <c r="AV2259" s="80" t="str">
        <f>HYPERLINK("https://pbs.twimg.com/media/Fz8j7zaWwAAJqL8.jpg")</f>
        <v>https://pbs.twimg.com/media/Fz8j7zaWwAAJqL8.jpg</v>
      </c>
      <c r="AW2259" s="82" t="s">
        <v>14417</v>
      </c>
      <c r="AX2259" s="82" t="s">
        <v>14417</v>
      </c>
      <c r="AY2259" s="77"/>
      <c r="AZ2259" s="82" t="s">
        <v>15804</v>
      </c>
      <c r="BA2259" s="82" t="s">
        <v>15804</v>
      </c>
      <c r="BB2259" s="82" t="s">
        <v>15804</v>
      </c>
      <c r="BC2259" s="82" t="s">
        <v>14417</v>
      </c>
      <c r="BD2259" s="82" t="s">
        <v>16519</v>
      </c>
      <c r="BE2259" s="77"/>
      <c r="BF2259" s="77"/>
      <c r="BG2259" s="77"/>
      <c r="BH2259" s="77"/>
      <c r="BI2259" s="77"/>
    </row>
    <row r="2260" spans="1:61" x14ac:dyDescent="0.25">
      <c r="A2260" s="62" t="s">
        <v>891</v>
      </c>
      <c r="B2260" s="62" t="s">
        <v>891</v>
      </c>
      <c r="C2260" s="63"/>
      <c r="D2260" s="64"/>
      <c r="E2260" s="65"/>
      <c r="F2260" s="66"/>
      <c r="G2260" s="63"/>
      <c r="H2260" s="67"/>
      <c r="I2260" s="68"/>
      <c r="J2260" s="68"/>
      <c r="K2260" s="32"/>
      <c r="L2260" s="75">
        <v>2260</v>
      </c>
      <c r="M2260" s="75"/>
      <c r="N2260" s="70"/>
      <c r="O2260" s="77" t="s">
        <v>179</v>
      </c>
      <c r="P2260" s="79">
        <v>45166.447916666664</v>
      </c>
      <c r="Q2260" s="77" t="s">
        <v>3306</v>
      </c>
      <c r="R2260" s="77">
        <v>9</v>
      </c>
      <c r="S2260" s="77">
        <v>43</v>
      </c>
      <c r="T2260" s="77">
        <v>2</v>
      </c>
      <c r="U2260" s="77">
        <v>1</v>
      </c>
      <c r="V2260" s="77">
        <v>4369</v>
      </c>
      <c r="W2260" s="82" t="s">
        <v>5516</v>
      </c>
      <c r="X2260" s="77"/>
      <c r="Y2260" s="77"/>
      <c r="Z2260" s="77"/>
      <c r="AA2260" s="77" t="s">
        <v>7421</v>
      </c>
      <c r="AB2260" s="77" t="s">
        <v>7696</v>
      </c>
      <c r="AC2260" s="82" t="s">
        <v>7706</v>
      </c>
      <c r="AD2260" s="77" t="s">
        <v>7745</v>
      </c>
      <c r="AE2260" s="80" t="str">
        <f>HYPERLINK("https://twitter.com/mat_financeira/status/1696111633217536166")</f>
        <v>https://twitter.com/mat_financeira/status/1696111633217536166</v>
      </c>
      <c r="AF2260" s="79">
        <v>45166.447916666664</v>
      </c>
      <c r="AG2260" s="85">
        <v>45166</v>
      </c>
      <c r="AH2260" s="82" t="s">
        <v>9769</v>
      </c>
      <c r="AI2260" s="77" t="b">
        <v>0</v>
      </c>
      <c r="AJ2260" s="77"/>
      <c r="AK2260" s="77"/>
      <c r="AL2260" s="77"/>
      <c r="AM2260" s="77"/>
      <c r="AN2260" s="77"/>
      <c r="AO2260" s="77"/>
      <c r="AP2260" s="77"/>
      <c r="AQ2260" s="77" t="s">
        <v>11928</v>
      </c>
      <c r="AR2260" s="77"/>
      <c r="AS2260" s="77"/>
      <c r="AT2260" s="77"/>
      <c r="AU2260" s="77"/>
      <c r="AV2260" s="80" t="str">
        <f>HYPERLINK("https://pbs.twimg.com/media/F4izdn6XsAAY9sB.jpg")</f>
        <v>https://pbs.twimg.com/media/F4izdn6XsAAY9sB.jpg</v>
      </c>
      <c r="AW2260" s="82" t="s">
        <v>14418</v>
      </c>
      <c r="AX2260" s="82" t="s">
        <v>14418</v>
      </c>
      <c r="AY2260" s="77"/>
      <c r="AZ2260" s="82" t="s">
        <v>15804</v>
      </c>
      <c r="BA2260" s="82" t="s">
        <v>15804</v>
      </c>
      <c r="BB2260" s="82" t="s">
        <v>15804</v>
      </c>
      <c r="BC2260" s="82" t="s">
        <v>14418</v>
      </c>
      <c r="BD2260" s="82" t="s">
        <v>16519</v>
      </c>
      <c r="BE2260" s="77"/>
      <c r="BF2260" s="77"/>
      <c r="BG2260" s="77"/>
      <c r="BH2260" s="77"/>
      <c r="BI2260" s="77"/>
    </row>
    <row r="2261" spans="1:61" x14ac:dyDescent="0.25">
      <c r="A2261" s="62" t="s">
        <v>891</v>
      </c>
      <c r="B2261" s="62" t="s">
        <v>891</v>
      </c>
      <c r="C2261" s="63"/>
      <c r="D2261" s="64"/>
      <c r="E2261" s="65"/>
      <c r="F2261" s="66"/>
      <c r="G2261" s="63"/>
      <c r="H2261" s="67"/>
      <c r="I2261" s="68"/>
      <c r="J2261" s="68"/>
      <c r="K2261" s="32"/>
      <c r="L2261" s="75">
        <v>2261</v>
      </c>
      <c r="M2261" s="75"/>
      <c r="N2261" s="70"/>
      <c r="O2261" s="77" t="s">
        <v>179</v>
      </c>
      <c r="P2261" s="79">
        <v>45152.447916666664</v>
      </c>
      <c r="Q2261" s="77" t="s">
        <v>3307</v>
      </c>
      <c r="R2261" s="77">
        <v>2</v>
      </c>
      <c r="S2261" s="77">
        <v>46</v>
      </c>
      <c r="T2261" s="77">
        <v>0</v>
      </c>
      <c r="U2261" s="77">
        <v>0</v>
      </c>
      <c r="V2261" s="77">
        <v>4466</v>
      </c>
      <c r="W2261" s="82" t="s">
        <v>5507</v>
      </c>
      <c r="X2261" s="77"/>
      <c r="Y2261" s="77"/>
      <c r="Z2261" s="77"/>
      <c r="AA2261" s="77" t="s">
        <v>7422</v>
      </c>
      <c r="AB2261" s="77" t="s">
        <v>7696</v>
      </c>
      <c r="AC2261" s="82" t="s">
        <v>7706</v>
      </c>
      <c r="AD2261" s="77" t="s">
        <v>7746</v>
      </c>
      <c r="AE2261" s="80" t="str">
        <f>HYPERLINK("https://twitter.com/mat_financeira/status/1691038202977501185")</f>
        <v>https://twitter.com/mat_financeira/status/1691038202977501185</v>
      </c>
      <c r="AF2261" s="79">
        <v>45152.447916666664</v>
      </c>
      <c r="AG2261" s="85">
        <v>45152</v>
      </c>
      <c r="AH2261" s="82" t="s">
        <v>9769</v>
      </c>
      <c r="AI2261" s="77" t="b">
        <v>0</v>
      </c>
      <c r="AJ2261" s="77"/>
      <c r="AK2261" s="77"/>
      <c r="AL2261" s="77"/>
      <c r="AM2261" s="77"/>
      <c r="AN2261" s="77"/>
      <c r="AO2261" s="77"/>
      <c r="AP2261" s="77"/>
      <c r="AQ2261" s="77" t="s">
        <v>11929</v>
      </c>
      <c r="AR2261" s="77"/>
      <c r="AS2261" s="77"/>
      <c r="AT2261" s="77"/>
      <c r="AU2261" s="77"/>
      <c r="AV2261" s="80" t="str">
        <f>HYPERLINK("https://pbs.twimg.com/media/F2e3NmWaQAEHBgH.jpg")</f>
        <v>https://pbs.twimg.com/media/F2e3NmWaQAEHBgH.jpg</v>
      </c>
      <c r="AW2261" s="82" t="s">
        <v>14419</v>
      </c>
      <c r="AX2261" s="82" t="s">
        <v>14419</v>
      </c>
      <c r="AY2261" s="77"/>
      <c r="AZ2261" s="82" t="s">
        <v>15804</v>
      </c>
      <c r="BA2261" s="82" t="s">
        <v>15804</v>
      </c>
      <c r="BB2261" s="82" t="s">
        <v>15804</v>
      </c>
      <c r="BC2261" s="82" t="s">
        <v>14419</v>
      </c>
      <c r="BD2261" s="82" t="s">
        <v>16519</v>
      </c>
      <c r="BE2261" s="77"/>
      <c r="BF2261" s="77"/>
      <c r="BG2261" s="77"/>
      <c r="BH2261" s="77"/>
      <c r="BI2261" s="77"/>
    </row>
    <row r="2262" spans="1:61" x14ac:dyDescent="0.25">
      <c r="A2262" s="62" t="s">
        <v>891</v>
      </c>
      <c r="B2262" s="62" t="s">
        <v>891</v>
      </c>
      <c r="C2262" s="63"/>
      <c r="D2262" s="64"/>
      <c r="E2262" s="65"/>
      <c r="F2262" s="66"/>
      <c r="G2262" s="63"/>
      <c r="H2262" s="67"/>
      <c r="I2262" s="68"/>
      <c r="J2262" s="68"/>
      <c r="K2262" s="32"/>
      <c r="L2262" s="75">
        <v>2262</v>
      </c>
      <c r="M2262" s="75"/>
      <c r="N2262" s="70"/>
      <c r="O2262" s="77" t="s">
        <v>179</v>
      </c>
      <c r="P2262" s="79">
        <v>45130.638090277775</v>
      </c>
      <c r="Q2262" s="77" t="s">
        <v>3308</v>
      </c>
      <c r="R2262" s="77">
        <v>2</v>
      </c>
      <c r="S2262" s="77">
        <v>37</v>
      </c>
      <c r="T2262" s="77">
        <v>0</v>
      </c>
      <c r="U2262" s="77">
        <v>0</v>
      </c>
      <c r="V2262" s="77">
        <v>4905</v>
      </c>
      <c r="W2262" s="82" t="s">
        <v>4915</v>
      </c>
      <c r="X2262" s="77"/>
      <c r="Y2262" s="77"/>
      <c r="Z2262" s="77"/>
      <c r="AA2262" s="77"/>
      <c r="AB2262" s="77"/>
      <c r="AC2262" s="82" t="s">
        <v>7705</v>
      </c>
      <c r="AD2262" s="77" t="s">
        <v>7745</v>
      </c>
      <c r="AE2262" s="80" t="str">
        <f>HYPERLINK("https://twitter.com/mat_financeira/status/1683134587960979456")</f>
        <v>https://twitter.com/mat_financeira/status/1683134587960979456</v>
      </c>
      <c r="AF2262" s="79">
        <v>45130.638090277775</v>
      </c>
      <c r="AG2262" s="85">
        <v>45130</v>
      </c>
      <c r="AH2262" s="82" t="s">
        <v>9770</v>
      </c>
      <c r="AI2262" s="77"/>
      <c r="AJ2262" s="77"/>
      <c r="AK2262" s="77"/>
      <c r="AL2262" s="77"/>
      <c r="AM2262" s="77"/>
      <c r="AN2262" s="77"/>
      <c r="AO2262" s="77"/>
      <c r="AP2262" s="77"/>
      <c r="AQ2262" s="77"/>
      <c r="AR2262" s="77"/>
      <c r="AS2262" s="77"/>
      <c r="AT2262" s="77"/>
      <c r="AU2262" s="77"/>
      <c r="AV2262" s="80" t="str">
        <f>HYPERLINK("https://pbs.twimg.com/profile_images/1665081532455821312/Yh2qs3r3_normal.jpg")</f>
        <v>https://pbs.twimg.com/profile_images/1665081532455821312/Yh2qs3r3_normal.jpg</v>
      </c>
      <c r="AW2262" s="82" t="s">
        <v>14420</v>
      </c>
      <c r="AX2262" s="82" t="s">
        <v>14420</v>
      </c>
      <c r="AY2262" s="77"/>
      <c r="AZ2262" s="82" t="s">
        <v>15804</v>
      </c>
      <c r="BA2262" s="82" t="s">
        <v>15804</v>
      </c>
      <c r="BB2262" s="82" t="s">
        <v>15804</v>
      </c>
      <c r="BC2262" s="82" t="s">
        <v>14420</v>
      </c>
      <c r="BD2262" s="82" t="s">
        <v>16519</v>
      </c>
      <c r="BE2262" s="77"/>
      <c r="BF2262" s="77"/>
      <c r="BG2262" s="77"/>
      <c r="BH2262" s="77"/>
      <c r="BI2262" s="77"/>
    </row>
    <row r="2263" spans="1:61" x14ac:dyDescent="0.25">
      <c r="A2263" s="62" t="s">
        <v>891</v>
      </c>
      <c r="B2263" s="62" t="s">
        <v>891</v>
      </c>
      <c r="C2263" s="63"/>
      <c r="D2263" s="64"/>
      <c r="E2263" s="65"/>
      <c r="F2263" s="66"/>
      <c r="G2263" s="63"/>
      <c r="H2263" s="67"/>
      <c r="I2263" s="68"/>
      <c r="J2263" s="68"/>
      <c r="K2263" s="32"/>
      <c r="L2263" s="75">
        <v>2263</v>
      </c>
      <c r="M2263" s="75"/>
      <c r="N2263" s="70"/>
      <c r="O2263" s="77" t="s">
        <v>179</v>
      </c>
      <c r="P2263" s="79">
        <v>45122.458981481483</v>
      </c>
      <c r="Q2263" s="77" t="s">
        <v>3309</v>
      </c>
      <c r="R2263" s="77">
        <v>1</v>
      </c>
      <c r="S2263" s="77">
        <v>51</v>
      </c>
      <c r="T2263" s="77">
        <v>1</v>
      </c>
      <c r="U2263" s="77">
        <v>2</v>
      </c>
      <c r="V2263" s="77">
        <v>6888</v>
      </c>
      <c r="W2263" s="82" t="s">
        <v>5507</v>
      </c>
      <c r="X2263" s="77"/>
      <c r="Y2263" s="77"/>
      <c r="Z2263" s="77"/>
      <c r="AA2263" s="77" t="s">
        <v>7423</v>
      </c>
      <c r="AB2263" s="77" t="s">
        <v>7696</v>
      </c>
      <c r="AC2263" s="82" t="s">
        <v>7708</v>
      </c>
      <c r="AD2263" s="77" t="s">
        <v>7746</v>
      </c>
      <c r="AE2263" s="80" t="str">
        <f>HYPERLINK("https://twitter.com/mat_financeira/status/1680170576332173315")</f>
        <v>https://twitter.com/mat_financeira/status/1680170576332173315</v>
      </c>
      <c r="AF2263" s="79">
        <v>45122.458981481483</v>
      </c>
      <c r="AG2263" s="85">
        <v>45122</v>
      </c>
      <c r="AH2263" s="82" t="s">
        <v>9771</v>
      </c>
      <c r="AI2263" s="77" t="b">
        <v>0</v>
      </c>
      <c r="AJ2263" s="77"/>
      <c r="AK2263" s="77"/>
      <c r="AL2263" s="77"/>
      <c r="AM2263" s="77"/>
      <c r="AN2263" s="77"/>
      <c r="AO2263" s="77"/>
      <c r="AP2263" s="77"/>
      <c r="AQ2263" s="77" t="s">
        <v>11930</v>
      </c>
      <c r="AR2263" s="77"/>
      <c r="AS2263" s="77"/>
      <c r="AT2263" s="77"/>
      <c r="AU2263" s="77"/>
      <c r="AV2263" s="80" t="str">
        <f>HYPERLINK("https://pbs.twimg.com/media/F1EqPFUX0AEGxIn.jpg")</f>
        <v>https://pbs.twimg.com/media/F1EqPFUX0AEGxIn.jpg</v>
      </c>
      <c r="AW2263" s="82" t="s">
        <v>14421</v>
      </c>
      <c r="AX2263" s="82" t="s">
        <v>14421</v>
      </c>
      <c r="AY2263" s="77"/>
      <c r="AZ2263" s="82" t="s">
        <v>15804</v>
      </c>
      <c r="BA2263" s="82" t="s">
        <v>15804</v>
      </c>
      <c r="BB2263" s="82" t="s">
        <v>15804</v>
      </c>
      <c r="BC2263" s="82" t="s">
        <v>14421</v>
      </c>
      <c r="BD2263" s="82" t="s">
        <v>16519</v>
      </c>
      <c r="BE2263" s="77"/>
      <c r="BF2263" s="77"/>
      <c r="BG2263" s="77"/>
      <c r="BH2263" s="77"/>
      <c r="BI2263" s="77"/>
    </row>
    <row r="2264" spans="1:61" x14ac:dyDescent="0.25">
      <c r="A2264" s="62" t="s">
        <v>891</v>
      </c>
      <c r="B2264" s="62" t="s">
        <v>891</v>
      </c>
      <c r="C2264" s="63"/>
      <c r="D2264" s="64"/>
      <c r="E2264" s="65"/>
      <c r="F2264" s="66"/>
      <c r="G2264" s="63"/>
      <c r="H2264" s="67"/>
      <c r="I2264" s="68"/>
      <c r="J2264" s="68"/>
      <c r="K2264" s="32"/>
      <c r="L2264" s="75">
        <v>2264</v>
      </c>
      <c r="M2264" s="75"/>
      <c r="N2264" s="70"/>
      <c r="O2264" s="77" t="s">
        <v>179</v>
      </c>
      <c r="P2264" s="79">
        <v>45026.458969907406</v>
      </c>
      <c r="Q2264" s="77" t="s">
        <v>3310</v>
      </c>
      <c r="R2264" s="77">
        <v>2</v>
      </c>
      <c r="S2264" s="77">
        <v>55</v>
      </c>
      <c r="T2264" s="77">
        <v>0</v>
      </c>
      <c r="U2264" s="77">
        <v>0</v>
      </c>
      <c r="V2264" s="77">
        <v>6341</v>
      </c>
      <c r="W2264" s="82" t="s">
        <v>5498</v>
      </c>
      <c r="X2264" s="77"/>
      <c r="Y2264" s="77"/>
      <c r="Z2264" s="77"/>
      <c r="AA2264" s="77" t="s">
        <v>7424</v>
      </c>
      <c r="AB2264" s="77" t="s">
        <v>7697</v>
      </c>
      <c r="AC2264" s="82" t="s">
        <v>7708</v>
      </c>
      <c r="AD2264" s="77" t="s">
        <v>7745</v>
      </c>
      <c r="AE2264" s="80" t="str">
        <f>HYPERLINK("https://twitter.com/mat_financeira/status/1645381339737120769")</f>
        <v>https://twitter.com/mat_financeira/status/1645381339737120769</v>
      </c>
      <c r="AF2264" s="79">
        <v>45026.458969907406</v>
      </c>
      <c r="AG2264" s="85">
        <v>45026</v>
      </c>
      <c r="AH2264" s="82" t="s">
        <v>9772</v>
      </c>
      <c r="AI2264" s="77" t="b">
        <v>0</v>
      </c>
      <c r="AJ2264" s="77"/>
      <c r="AK2264" s="77"/>
      <c r="AL2264" s="77"/>
      <c r="AM2264" s="77"/>
      <c r="AN2264" s="77"/>
      <c r="AO2264" s="77"/>
      <c r="AP2264" s="77"/>
      <c r="AQ2264" s="77" t="s">
        <v>11931</v>
      </c>
      <c r="AR2264" s="77">
        <v>47266</v>
      </c>
      <c r="AS2264" s="77"/>
      <c r="AT2264" s="77"/>
      <c r="AU2264" s="77">
        <v>2540</v>
      </c>
      <c r="AV2264" s="80" t="str">
        <f>HYPERLINK("https://pbs.twimg.com/ext_tw_video_thumb/1645381311928979458/pu/img/fISGjD6QgK859bC5.jpg")</f>
        <v>https://pbs.twimg.com/ext_tw_video_thumb/1645381311928979458/pu/img/fISGjD6QgK859bC5.jpg</v>
      </c>
      <c r="AW2264" s="82" t="s">
        <v>14422</v>
      </c>
      <c r="AX2264" s="82" t="s">
        <v>14422</v>
      </c>
      <c r="AY2264" s="77"/>
      <c r="AZ2264" s="82" t="s">
        <v>15804</v>
      </c>
      <c r="BA2264" s="82" t="s">
        <v>15804</v>
      </c>
      <c r="BB2264" s="82" t="s">
        <v>15804</v>
      </c>
      <c r="BC2264" s="82" t="s">
        <v>14422</v>
      </c>
      <c r="BD2264" s="82" t="s">
        <v>16519</v>
      </c>
      <c r="BE2264" s="77"/>
      <c r="BF2264" s="77"/>
      <c r="BG2264" s="77"/>
      <c r="BH2264" s="77"/>
      <c r="BI2264" s="77"/>
    </row>
    <row r="2265" spans="1:61" x14ac:dyDescent="0.25">
      <c r="A2265" s="62" t="s">
        <v>891</v>
      </c>
      <c r="B2265" s="62" t="s">
        <v>891</v>
      </c>
      <c r="C2265" s="63"/>
      <c r="D2265" s="64"/>
      <c r="E2265" s="65"/>
      <c r="F2265" s="66"/>
      <c r="G2265" s="63"/>
      <c r="H2265" s="67"/>
      <c r="I2265" s="68"/>
      <c r="J2265" s="68"/>
      <c r="K2265" s="32"/>
      <c r="L2265" s="75">
        <v>2265</v>
      </c>
      <c r="M2265" s="75"/>
      <c r="N2265" s="70"/>
      <c r="O2265" s="77" t="s">
        <v>179</v>
      </c>
      <c r="P2265" s="79">
        <v>44970.458738425928</v>
      </c>
      <c r="Q2265" s="77" t="s">
        <v>3311</v>
      </c>
      <c r="R2265" s="77">
        <v>7</v>
      </c>
      <c r="S2265" s="77">
        <v>63</v>
      </c>
      <c r="T2265" s="77">
        <v>0</v>
      </c>
      <c r="U2265" s="77">
        <v>0</v>
      </c>
      <c r="V2265" s="77">
        <v>7629</v>
      </c>
      <c r="W2265" s="82" t="s">
        <v>5498</v>
      </c>
      <c r="X2265" s="77"/>
      <c r="Y2265" s="77"/>
      <c r="Z2265" s="77"/>
      <c r="AA2265" s="77" t="s">
        <v>7425</v>
      </c>
      <c r="AB2265" s="77" t="s">
        <v>7697</v>
      </c>
      <c r="AC2265" s="82" t="s">
        <v>7708</v>
      </c>
      <c r="AD2265" s="77" t="s">
        <v>7745</v>
      </c>
      <c r="AE2265" s="80" t="str">
        <f>HYPERLINK("https://twitter.com/mat_financeira/status/1625087536216276993")</f>
        <v>https://twitter.com/mat_financeira/status/1625087536216276993</v>
      </c>
      <c r="AF2265" s="79">
        <v>44970.458738425928</v>
      </c>
      <c r="AG2265" s="85">
        <v>44970</v>
      </c>
      <c r="AH2265" s="82" t="s">
        <v>9773</v>
      </c>
      <c r="AI2265" s="77" t="b">
        <v>0</v>
      </c>
      <c r="AJ2265" s="77"/>
      <c r="AK2265" s="77"/>
      <c r="AL2265" s="77"/>
      <c r="AM2265" s="77"/>
      <c r="AN2265" s="77"/>
      <c r="AO2265" s="77"/>
      <c r="AP2265" s="77"/>
      <c r="AQ2265" s="77" t="s">
        <v>11932</v>
      </c>
      <c r="AR2265" s="77">
        <v>58033</v>
      </c>
      <c r="AS2265" s="77"/>
      <c r="AT2265" s="77"/>
      <c r="AU2265" s="77">
        <v>2657</v>
      </c>
      <c r="AV2265" s="80" t="str">
        <f>HYPERLINK("https://pbs.twimg.com/ext_tw_video_thumb/1625087508936638464/pu/img/j5sxpImM66nEJgjG.jpg")</f>
        <v>https://pbs.twimg.com/ext_tw_video_thumb/1625087508936638464/pu/img/j5sxpImM66nEJgjG.jpg</v>
      </c>
      <c r="AW2265" s="82" t="s">
        <v>14423</v>
      </c>
      <c r="AX2265" s="82" t="s">
        <v>14423</v>
      </c>
      <c r="AY2265" s="77"/>
      <c r="AZ2265" s="82" t="s">
        <v>15804</v>
      </c>
      <c r="BA2265" s="82" t="s">
        <v>15804</v>
      </c>
      <c r="BB2265" s="82" t="s">
        <v>15804</v>
      </c>
      <c r="BC2265" s="82" t="s">
        <v>14423</v>
      </c>
      <c r="BD2265" s="82" t="s">
        <v>16519</v>
      </c>
      <c r="BE2265" s="77"/>
      <c r="BF2265" s="77"/>
      <c r="BG2265" s="77"/>
      <c r="BH2265" s="77"/>
      <c r="BI2265" s="77"/>
    </row>
    <row r="2266" spans="1:61" x14ac:dyDescent="0.25">
      <c r="A2266" s="62" t="s">
        <v>891</v>
      </c>
      <c r="B2266" s="62" t="s">
        <v>891</v>
      </c>
      <c r="C2266" s="63"/>
      <c r="D2266" s="64"/>
      <c r="E2266" s="65"/>
      <c r="F2266" s="66"/>
      <c r="G2266" s="63"/>
      <c r="H2266" s="67"/>
      <c r="I2266" s="68"/>
      <c r="J2266" s="68"/>
      <c r="K2266" s="32"/>
      <c r="L2266" s="75">
        <v>2266</v>
      </c>
      <c r="M2266" s="75"/>
      <c r="N2266" s="70"/>
      <c r="O2266" s="77" t="s">
        <v>179</v>
      </c>
      <c r="P2266" s="79">
        <v>45176.454861111109</v>
      </c>
      <c r="Q2266" s="77" t="s">
        <v>3312</v>
      </c>
      <c r="R2266" s="77">
        <v>4</v>
      </c>
      <c r="S2266" s="77">
        <v>27</v>
      </c>
      <c r="T2266" s="77">
        <v>0</v>
      </c>
      <c r="U2266" s="77">
        <v>0</v>
      </c>
      <c r="V2266" s="77">
        <v>3185</v>
      </c>
      <c r="W2266" s="82" t="s">
        <v>5517</v>
      </c>
      <c r="X2266" s="77"/>
      <c r="Y2266" s="77"/>
      <c r="Z2266" s="77"/>
      <c r="AA2266" s="77" t="s">
        <v>7426</v>
      </c>
      <c r="AB2266" s="77" t="s">
        <v>7696</v>
      </c>
      <c r="AC2266" s="82" t="s">
        <v>7706</v>
      </c>
      <c r="AD2266" s="77" t="s">
        <v>7745</v>
      </c>
      <c r="AE2266" s="80" t="str">
        <f>HYPERLINK("https://twitter.com/mat_financeira/status/1699738028321673512")</f>
        <v>https://twitter.com/mat_financeira/status/1699738028321673512</v>
      </c>
      <c r="AF2266" s="79">
        <v>45176.454861111109</v>
      </c>
      <c r="AG2266" s="85">
        <v>45176</v>
      </c>
      <c r="AH2266" s="82" t="s">
        <v>9774</v>
      </c>
      <c r="AI2266" s="77" t="b">
        <v>0</v>
      </c>
      <c r="AJ2266" s="77"/>
      <c r="AK2266" s="77"/>
      <c r="AL2266" s="77"/>
      <c r="AM2266" s="77"/>
      <c r="AN2266" s="77"/>
      <c r="AO2266" s="77"/>
      <c r="AP2266" s="77"/>
      <c r="AQ2266" s="77" t="s">
        <v>11933</v>
      </c>
      <c r="AR2266" s="77"/>
      <c r="AS2266" s="77"/>
      <c r="AT2266" s="77"/>
      <c r="AU2266" s="77"/>
      <c r="AV2266" s="80" t="str">
        <f>HYPERLINK("https://pbs.twimg.com/media/F4jO31PXAAAsA-J.jpg")</f>
        <v>https://pbs.twimg.com/media/F4jO31PXAAAsA-J.jpg</v>
      </c>
      <c r="AW2266" s="82" t="s">
        <v>14424</v>
      </c>
      <c r="AX2266" s="82" t="s">
        <v>14424</v>
      </c>
      <c r="AY2266" s="77"/>
      <c r="AZ2266" s="82" t="s">
        <v>15804</v>
      </c>
      <c r="BA2266" s="82" t="s">
        <v>15804</v>
      </c>
      <c r="BB2266" s="82" t="s">
        <v>15804</v>
      </c>
      <c r="BC2266" s="82" t="s">
        <v>14424</v>
      </c>
      <c r="BD2266" s="82" t="s">
        <v>16519</v>
      </c>
      <c r="BE2266" s="77"/>
      <c r="BF2266" s="77"/>
      <c r="BG2266" s="77"/>
      <c r="BH2266" s="77"/>
      <c r="BI2266" s="77"/>
    </row>
    <row r="2267" spans="1:61" x14ac:dyDescent="0.25">
      <c r="A2267" s="62" t="s">
        <v>891</v>
      </c>
      <c r="B2267" s="62" t="s">
        <v>891</v>
      </c>
      <c r="C2267" s="63"/>
      <c r="D2267" s="64"/>
      <c r="E2267" s="65"/>
      <c r="F2267" s="66"/>
      <c r="G2267" s="63"/>
      <c r="H2267" s="67"/>
      <c r="I2267" s="68"/>
      <c r="J2267" s="68"/>
      <c r="K2267" s="32"/>
      <c r="L2267" s="75">
        <v>2267</v>
      </c>
      <c r="M2267" s="75"/>
      <c r="N2267" s="70"/>
      <c r="O2267" s="77" t="s">
        <v>179</v>
      </c>
      <c r="P2267" s="79">
        <v>45173.447916666664</v>
      </c>
      <c r="Q2267" s="77" t="s">
        <v>3313</v>
      </c>
      <c r="R2267" s="77">
        <v>7</v>
      </c>
      <c r="S2267" s="77">
        <v>113</v>
      </c>
      <c r="T2267" s="77">
        <v>0</v>
      </c>
      <c r="U2267" s="77">
        <v>0</v>
      </c>
      <c r="V2267" s="77">
        <v>6554</v>
      </c>
      <c r="W2267" s="82" t="s">
        <v>5518</v>
      </c>
      <c r="X2267" s="77"/>
      <c r="Y2267" s="77"/>
      <c r="Z2267" s="77"/>
      <c r="AA2267" s="77" t="s">
        <v>7427</v>
      </c>
      <c r="AB2267" s="77" t="s">
        <v>7696</v>
      </c>
      <c r="AC2267" s="82" t="s">
        <v>7706</v>
      </c>
      <c r="AD2267" s="77" t="s">
        <v>7745</v>
      </c>
      <c r="AE2267" s="80" t="str">
        <f>HYPERLINK("https://twitter.com/mat_financeira/status/1698648348079935659")</f>
        <v>https://twitter.com/mat_financeira/status/1698648348079935659</v>
      </c>
      <c r="AF2267" s="79">
        <v>45173.447916666664</v>
      </c>
      <c r="AG2267" s="85">
        <v>45173</v>
      </c>
      <c r="AH2267" s="82" t="s">
        <v>9769</v>
      </c>
      <c r="AI2267" s="77" t="b">
        <v>0</v>
      </c>
      <c r="AJ2267" s="77"/>
      <c r="AK2267" s="77"/>
      <c r="AL2267" s="77"/>
      <c r="AM2267" s="77"/>
      <c r="AN2267" s="77"/>
      <c r="AO2267" s="77"/>
      <c r="AP2267" s="77"/>
      <c r="AQ2267" s="77" t="s">
        <v>11934</v>
      </c>
      <c r="AR2267" s="77"/>
      <c r="AS2267" s="77"/>
      <c r="AT2267" s="77"/>
      <c r="AU2267" s="77"/>
      <c r="AV2267" s="80" t="str">
        <f>HYPERLINK("https://pbs.twimg.com/media/F4i3Y5CXMAE2K-U.jpg")</f>
        <v>https://pbs.twimg.com/media/F4i3Y5CXMAE2K-U.jpg</v>
      </c>
      <c r="AW2267" s="82" t="s">
        <v>14425</v>
      </c>
      <c r="AX2267" s="82" t="s">
        <v>14425</v>
      </c>
      <c r="AY2267" s="77"/>
      <c r="AZ2267" s="82" t="s">
        <v>15804</v>
      </c>
      <c r="BA2267" s="82" t="s">
        <v>15804</v>
      </c>
      <c r="BB2267" s="82" t="s">
        <v>15804</v>
      </c>
      <c r="BC2267" s="82" t="s">
        <v>14425</v>
      </c>
      <c r="BD2267" s="82" t="s">
        <v>16519</v>
      </c>
      <c r="BE2267" s="77"/>
      <c r="BF2267" s="77"/>
      <c r="BG2267" s="77"/>
      <c r="BH2267" s="77"/>
      <c r="BI2267" s="77"/>
    </row>
    <row r="2268" spans="1:61" x14ac:dyDescent="0.25">
      <c r="A2268" s="62" t="s">
        <v>891</v>
      </c>
      <c r="B2268" s="62" t="s">
        <v>891</v>
      </c>
      <c r="C2268" s="63"/>
      <c r="D2268" s="64"/>
      <c r="E2268" s="65"/>
      <c r="F2268" s="66"/>
      <c r="G2268" s="63"/>
      <c r="H2268" s="67"/>
      <c r="I2268" s="68"/>
      <c r="J2268" s="68"/>
      <c r="K2268" s="32"/>
      <c r="L2268" s="75">
        <v>2268</v>
      </c>
      <c r="M2268" s="75"/>
      <c r="N2268" s="70"/>
      <c r="O2268" s="77" t="s">
        <v>179</v>
      </c>
      <c r="P2268" s="79">
        <v>45112.45894675926</v>
      </c>
      <c r="Q2268" s="77" t="s">
        <v>3314</v>
      </c>
      <c r="R2268" s="77">
        <v>1</v>
      </c>
      <c r="S2268" s="77">
        <v>31</v>
      </c>
      <c r="T2268" s="77">
        <v>0</v>
      </c>
      <c r="U2268" s="77">
        <v>0</v>
      </c>
      <c r="V2268" s="77">
        <v>5408</v>
      </c>
      <c r="W2268" s="82" t="s">
        <v>5519</v>
      </c>
      <c r="X2268" s="77"/>
      <c r="Y2268" s="77"/>
      <c r="Z2268" s="77"/>
      <c r="AA2268" s="77" t="s">
        <v>7428</v>
      </c>
      <c r="AB2268" s="77" t="s">
        <v>7697</v>
      </c>
      <c r="AC2268" s="82" t="s">
        <v>7708</v>
      </c>
      <c r="AD2268" s="77" t="s">
        <v>7745</v>
      </c>
      <c r="AE2268" s="80" t="str">
        <f>HYPERLINK("https://twitter.com/mat_financeira/status/1676546686917787648")</f>
        <v>https://twitter.com/mat_financeira/status/1676546686917787648</v>
      </c>
      <c r="AF2268" s="79">
        <v>45112.45894675926</v>
      </c>
      <c r="AG2268" s="85">
        <v>45112</v>
      </c>
      <c r="AH2268" s="82" t="s">
        <v>9752</v>
      </c>
      <c r="AI2268" s="77" t="b">
        <v>0</v>
      </c>
      <c r="AJ2268" s="77"/>
      <c r="AK2268" s="77"/>
      <c r="AL2268" s="77"/>
      <c r="AM2268" s="77"/>
      <c r="AN2268" s="77"/>
      <c r="AO2268" s="77"/>
      <c r="AP2268" s="77"/>
      <c r="AQ2268" s="77" t="s">
        <v>11935</v>
      </c>
      <c r="AR2268" s="77">
        <v>48133</v>
      </c>
      <c r="AS2268" s="77"/>
      <c r="AT2268" s="77"/>
      <c r="AU2268" s="77">
        <v>1748</v>
      </c>
      <c r="AV2268" s="80" t="str">
        <f>HYPERLINK("https://pbs.twimg.com/ext_tw_video_thumb/1676546658547499008/pu/img/R-TKfL3sTxM7i2qP.jpg")</f>
        <v>https://pbs.twimg.com/ext_tw_video_thumb/1676546658547499008/pu/img/R-TKfL3sTxM7i2qP.jpg</v>
      </c>
      <c r="AW2268" s="82" t="s">
        <v>14426</v>
      </c>
      <c r="AX2268" s="82" t="s">
        <v>14426</v>
      </c>
      <c r="AY2268" s="77"/>
      <c r="AZ2268" s="82" t="s">
        <v>15804</v>
      </c>
      <c r="BA2268" s="82" t="s">
        <v>15804</v>
      </c>
      <c r="BB2268" s="82" t="s">
        <v>15804</v>
      </c>
      <c r="BC2268" s="82" t="s">
        <v>14426</v>
      </c>
      <c r="BD2268" s="82" t="s">
        <v>16519</v>
      </c>
      <c r="BE2268" s="77"/>
      <c r="BF2268" s="77"/>
      <c r="BG2268" s="77"/>
      <c r="BH2268" s="77"/>
      <c r="BI2268" s="77"/>
    </row>
    <row r="2269" spans="1:61" x14ac:dyDescent="0.25">
      <c r="A2269" s="62" t="s">
        <v>891</v>
      </c>
      <c r="B2269" s="62" t="s">
        <v>891</v>
      </c>
      <c r="C2269" s="63"/>
      <c r="D2269" s="64"/>
      <c r="E2269" s="65"/>
      <c r="F2269" s="66"/>
      <c r="G2269" s="63"/>
      <c r="H2269" s="67"/>
      <c r="I2269" s="68"/>
      <c r="J2269" s="68"/>
      <c r="K2269" s="32"/>
      <c r="L2269" s="75">
        <v>2269</v>
      </c>
      <c r="M2269" s="75"/>
      <c r="N2269" s="70"/>
      <c r="O2269" s="77" t="s">
        <v>179</v>
      </c>
      <c r="P2269" s="79">
        <v>44991.937650462962</v>
      </c>
      <c r="Q2269" s="77" t="s">
        <v>3315</v>
      </c>
      <c r="R2269" s="77">
        <v>3</v>
      </c>
      <c r="S2269" s="77">
        <v>11</v>
      </c>
      <c r="T2269" s="77">
        <v>0</v>
      </c>
      <c r="U2269" s="77">
        <v>0</v>
      </c>
      <c r="V2269" s="77">
        <v>3219</v>
      </c>
      <c r="W2269" s="82" t="s">
        <v>5520</v>
      </c>
      <c r="X2269" s="77"/>
      <c r="Y2269" s="77"/>
      <c r="Z2269" s="77"/>
      <c r="AA2269" s="77" t="s">
        <v>7429</v>
      </c>
      <c r="AB2269" s="77" t="s">
        <v>7696</v>
      </c>
      <c r="AC2269" s="82" t="s">
        <v>7708</v>
      </c>
      <c r="AD2269" s="77" t="s">
        <v>7754</v>
      </c>
      <c r="AE2269" s="80" t="str">
        <f>HYPERLINK("https://twitter.com/mat_financeira/status/1632871231891415040")</f>
        <v>https://twitter.com/mat_financeira/status/1632871231891415040</v>
      </c>
      <c r="AF2269" s="79">
        <v>44991.937650462962</v>
      </c>
      <c r="AG2269" s="85">
        <v>44991</v>
      </c>
      <c r="AH2269" s="82" t="s">
        <v>9775</v>
      </c>
      <c r="AI2269" s="77" t="b">
        <v>0</v>
      </c>
      <c r="AJ2269" s="77"/>
      <c r="AK2269" s="77"/>
      <c r="AL2269" s="77"/>
      <c r="AM2269" s="77"/>
      <c r="AN2269" s="77"/>
      <c r="AO2269" s="77"/>
      <c r="AP2269" s="77"/>
      <c r="AQ2269" s="77" t="s">
        <v>11936</v>
      </c>
      <c r="AR2269" s="77"/>
      <c r="AS2269" s="77"/>
      <c r="AT2269" s="77"/>
      <c r="AU2269" s="77"/>
      <c r="AV2269" s="80" t="str">
        <f>HYPERLINK("https://pbs.twimg.com/media/FqkfuzCXgAYjsla.jpg")</f>
        <v>https://pbs.twimg.com/media/FqkfuzCXgAYjsla.jpg</v>
      </c>
      <c r="AW2269" s="82" t="s">
        <v>14427</v>
      </c>
      <c r="AX2269" s="82" t="s">
        <v>14427</v>
      </c>
      <c r="AY2269" s="77"/>
      <c r="AZ2269" s="82" t="s">
        <v>15804</v>
      </c>
      <c r="BA2269" s="82" t="s">
        <v>15804</v>
      </c>
      <c r="BB2269" s="82" t="s">
        <v>15804</v>
      </c>
      <c r="BC2269" s="82" t="s">
        <v>14427</v>
      </c>
      <c r="BD2269" s="82" t="s">
        <v>16519</v>
      </c>
      <c r="BE2269" s="77"/>
      <c r="BF2269" s="77"/>
      <c r="BG2269" s="77"/>
      <c r="BH2269" s="77"/>
      <c r="BI2269" s="77"/>
    </row>
    <row r="2270" spans="1:61" x14ac:dyDescent="0.25">
      <c r="A2270" s="62" t="s">
        <v>891</v>
      </c>
      <c r="B2270" s="62" t="s">
        <v>891</v>
      </c>
      <c r="C2270" s="63"/>
      <c r="D2270" s="64"/>
      <c r="E2270" s="65"/>
      <c r="F2270" s="66"/>
      <c r="G2270" s="63"/>
      <c r="H2270" s="67"/>
      <c r="I2270" s="68"/>
      <c r="J2270" s="68"/>
      <c r="K2270" s="32"/>
      <c r="L2270" s="75">
        <v>2270</v>
      </c>
      <c r="M2270" s="75"/>
      <c r="N2270" s="70"/>
      <c r="O2270" s="77" t="s">
        <v>179</v>
      </c>
      <c r="P2270" s="79">
        <v>45180.447916666664</v>
      </c>
      <c r="Q2270" s="77" t="s">
        <v>3316</v>
      </c>
      <c r="R2270" s="77">
        <v>4</v>
      </c>
      <c r="S2270" s="77">
        <v>63</v>
      </c>
      <c r="T2270" s="77">
        <v>2</v>
      </c>
      <c r="U2270" s="77">
        <v>0</v>
      </c>
      <c r="V2270" s="77">
        <v>7348</v>
      </c>
      <c r="W2270" s="82" t="s">
        <v>5521</v>
      </c>
      <c r="X2270" s="77"/>
      <c r="Y2270" s="77"/>
      <c r="Z2270" s="77"/>
      <c r="AA2270" s="77" t="s">
        <v>7430</v>
      </c>
      <c r="AB2270" s="77" t="s">
        <v>7696</v>
      </c>
      <c r="AC2270" s="82" t="s">
        <v>7706</v>
      </c>
      <c r="AD2270" s="77" t="s">
        <v>7745</v>
      </c>
      <c r="AE2270" s="80" t="str">
        <f>HYPERLINK("https://twitter.com/mat_financeira/status/1701185063340081219")</f>
        <v>https://twitter.com/mat_financeira/status/1701185063340081219</v>
      </c>
      <c r="AF2270" s="79">
        <v>45180.447916666664</v>
      </c>
      <c r="AG2270" s="85">
        <v>45180</v>
      </c>
      <c r="AH2270" s="82" t="s">
        <v>9769</v>
      </c>
      <c r="AI2270" s="77" t="b">
        <v>0</v>
      </c>
      <c r="AJ2270" s="77"/>
      <c r="AK2270" s="77"/>
      <c r="AL2270" s="77"/>
      <c r="AM2270" s="77"/>
      <c r="AN2270" s="77"/>
      <c r="AO2270" s="77"/>
      <c r="AP2270" s="77"/>
      <c r="AQ2270" s="77" t="s">
        <v>11937</v>
      </c>
      <c r="AR2270" s="77"/>
      <c r="AS2270" s="77"/>
      <c r="AT2270" s="77"/>
      <c r="AU2270" s="77"/>
      <c r="AV2270" s="80" t="str">
        <f>HYPERLINK("https://pbs.twimg.com/media/F4i6FlvWMAAt8BX.jpg")</f>
        <v>https://pbs.twimg.com/media/F4i6FlvWMAAt8BX.jpg</v>
      </c>
      <c r="AW2270" s="82" t="s">
        <v>14428</v>
      </c>
      <c r="AX2270" s="82" t="s">
        <v>14428</v>
      </c>
      <c r="AY2270" s="77"/>
      <c r="AZ2270" s="82" t="s">
        <v>15804</v>
      </c>
      <c r="BA2270" s="82" t="s">
        <v>15804</v>
      </c>
      <c r="BB2270" s="82" t="s">
        <v>15804</v>
      </c>
      <c r="BC2270" s="82" t="s">
        <v>14428</v>
      </c>
      <c r="BD2270" s="82" t="s">
        <v>16519</v>
      </c>
      <c r="BE2270" s="77"/>
      <c r="BF2270" s="77"/>
      <c r="BG2270" s="77"/>
      <c r="BH2270" s="77"/>
      <c r="BI2270" s="77"/>
    </row>
    <row r="2271" spans="1:61" x14ac:dyDescent="0.25">
      <c r="A2271" s="62" t="s">
        <v>891</v>
      </c>
      <c r="B2271" s="62" t="s">
        <v>891</v>
      </c>
      <c r="C2271" s="63"/>
      <c r="D2271" s="64"/>
      <c r="E2271" s="65"/>
      <c r="F2271" s="66"/>
      <c r="G2271" s="63"/>
      <c r="H2271" s="67"/>
      <c r="I2271" s="68"/>
      <c r="J2271" s="68"/>
      <c r="K2271" s="32"/>
      <c r="L2271" s="75">
        <v>2271</v>
      </c>
      <c r="M2271" s="75"/>
      <c r="N2271" s="70"/>
      <c r="O2271" s="77" t="s">
        <v>179</v>
      </c>
      <c r="P2271" s="79">
        <v>45155.458344907405</v>
      </c>
      <c r="Q2271" s="77" t="s">
        <v>3317</v>
      </c>
      <c r="R2271" s="77">
        <v>0</v>
      </c>
      <c r="S2271" s="77">
        <v>12</v>
      </c>
      <c r="T2271" s="77">
        <v>0</v>
      </c>
      <c r="U2271" s="77">
        <v>0</v>
      </c>
      <c r="V2271" s="77">
        <v>2966</v>
      </c>
      <c r="W2271" s="82" t="s">
        <v>5522</v>
      </c>
      <c r="X2271" s="77"/>
      <c r="Y2271" s="77"/>
      <c r="Z2271" s="77"/>
      <c r="AA2271" s="77" t="s">
        <v>7431</v>
      </c>
      <c r="AB2271" s="77" t="s">
        <v>7696</v>
      </c>
      <c r="AC2271" s="82" t="s">
        <v>7706</v>
      </c>
      <c r="AD2271" s="77" t="s">
        <v>7745</v>
      </c>
      <c r="AE2271" s="80" t="str">
        <f>HYPERLINK("https://twitter.com/mat_financeira/status/1692129145692524784")</f>
        <v>https://twitter.com/mat_financeira/status/1692129145692524784</v>
      </c>
      <c r="AF2271" s="79">
        <v>45155.458344907405</v>
      </c>
      <c r="AG2271" s="85">
        <v>45155</v>
      </c>
      <c r="AH2271" s="82" t="s">
        <v>9766</v>
      </c>
      <c r="AI2271" s="77" t="b">
        <v>0</v>
      </c>
      <c r="AJ2271" s="77"/>
      <c r="AK2271" s="77"/>
      <c r="AL2271" s="77"/>
      <c r="AM2271" s="77"/>
      <c r="AN2271" s="77"/>
      <c r="AO2271" s="77"/>
      <c r="AP2271" s="77"/>
      <c r="AQ2271" s="77" t="s">
        <v>11938</v>
      </c>
      <c r="AR2271" s="77"/>
      <c r="AS2271" s="77"/>
      <c r="AT2271" s="77"/>
      <c r="AU2271" s="77"/>
      <c r="AV2271" s="80" t="str">
        <f>HYPERLINK("https://pbs.twimg.com/media/F3iaj6kXsAAXWkB.jpg")</f>
        <v>https://pbs.twimg.com/media/F3iaj6kXsAAXWkB.jpg</v>
      </c>
      <c r="AW2271" s="82" t="s">
        <v>14429</v>
      </c>
      <c r="AX2271" s="82" t="s">
        <v>14429</v>
      </c>
      <c r="AY2271" s="77"/>
      <c r="AZ2271" s="82" t="s">
        <v>15804</v>
      </c>
      <c r="BA2271" s="82" t="s">
        <v>15804</v>
      </c>
      <c r="BB2271" s="82" t="s">
        <v>15804</v>
      </c>
      <c r="BC2271" s="82" t="s">
        <v>14429</v>
      </c>
      <c r="BD2271" s="82" t="s">
        <v>16519</v>
      </c>
      <c r="BE2271" s="77"/>
      <c r="BF2271" s="77"/>
      <c r="BG2271" s="77"/>
      <c r="BH2271" s="77"/>
      <c r="BI2271" s="77"/>
    </row>
    <row r="2272" spans="1:61" x14ac:dyDescent="0.25">
      <c r="A2272" s="62" t="s">
        <v>891</v>
      </c>
      <c r="B2272" s="62" t="s">
        <v>891</v>
      </c>
      <c r="C2272" s="63"/>
      <c r="D2272" s="64"/>
      <c r="E2272" s="65"/>
      <c r="F2272" s="66"/>
      <c r="G2272" s="63"/>
      <c r="H2272" s="67"/>
      <c r="I2272" s="68"/>
      <c r="J2272" s="68"/>
      <c r="K2272" s="32"/>
      <c r="L2272" s="75">
        <v>2272</v>
      </c>
      <c r="M2272" s="75"/>
      <c r="N2272" s="70"/>
      <c r="O2272" s="77" t="s">
        <v>179</v>
      </c>
      <c r="P2272" s="79">
        <v>45154.458356481482</v>
      </c>
      <c r="Q2272" s="77" t="s">
        <v>3318</v>
      </c>
      <c r="R2272" s="77">
        <v>4</v>
      </c>
      <c r="S2272" s="77">
        <v>41</v>
      </c>
      <c r="T2272" s="77">
        <v>0</v>
      </c>
      <c r="U2272" s="77">
        <v>0</v>
      </c>
      <c r="V2272" s="77">
        <v>7457</v>
      </c>
      <c r="W2272" s="82" t="s">
        <v>4097</v>
      </c>
      <c r="X2272" s="77"/>
      <c r="Y2272" s="77"/>
      <c r="Z2272" s="77"/>
      <c r="AA2272" s="77" t="s">
        <v>7432</v>
      </c>
      <c r="AB2272" s="77" t="s">
        <v>7696</v>
      </c>
      <c r="AC2272" s="82" t="s">
        <v>7706</v>
      </c>
      <c r="AD2272" s="77" t="s">
        <v>7745</v>
      </c>
      <c r="AE2272" s="80" t="str">
        <f>HYPERLINK("https://twitter.com/mat_financeira/status/1691766764881789138")</f>
        <v>https://twitter.com/mat_financeira/status/1691766764881789138</v>
      </c>
      <c r="AF2272" s="79">
        <v>45154.458356481482</v>
      </c>
      <c r="AG2272" s="85">
        <v>45154</v>
      </c>
      <c r="AH2272" s="82" t="s">
        <v>8539</v>
      </c>
      <c r="AI2272" s="77" t="b">
        <v>0</v>
      </c>
      <c r="AJ2272" s="77"/>
      <c r="AK2272" s="77"/>
      <c r="AL2272" s="77"/>
      <c r="AM2272" s="77"/>
      <c r="AN2272" s="77"/>
      <c r="AO2272" s="77"/>
      <c r="AP2272" s="77"/>
      <c r="AQ2272" s="77" t="s">
        <v>11939</v>
      </c>
      <c r="AR2272" s="77"/>
      <c r="AS2272" s="77"/>
      <c r="AT2272" s="77"/>
      <c r="AU2272" s="77"/>
      <c r="AV2272" s="80" t="str">
        <f>HYPERLINK("https://pbs.twimg.com/media/F3iSh9vXIAIpfD1.jpg")</f>
        <v>https://pbs.twimg.com/media/F3iSh9vXIAIpfD1.jpg</v>
      </c>
      <c r="AW2272" s="82" t="s">
        <v>14430</v>
      </c>
      <c r="AX2272" s="82" t="s">
        <v>14430</v>
      </c>
      <c r="AY2272" s="77"/>
      <c r="AZ2272" s="82" t="s">
        <v>15804</v>
      </c>
      <c r="BA2272" s="82" t="s">
        <v>15804</v>
      </c>
      <c r="BB2272" s="82" t="s">
        <v>15804</v>
      </c>
      <c r="BC2272" s="82" t="s">
        <v>14430</v>
      </c>
      <c r="BD2272" s="82" t="s">
        <v>16519</v>
      </c>
      <c r="BE2272" s="77"/>
      <c r="BF2272" s="77"/>
      <c r="BG2272" s="77"/>
      <c r="BH2272" s="77"/>
      <c r="BI2272" s="77"/>
    </row>
    <row r="2273" spans="1:61" x14ac:dyDescent="0.25">
      <c r="A2273" s="62" t="s">
        <v>891</v>
      </c>
      <c r="B2273" s="62" t="s">
        <v>891</v>
      </c>
      <c r="C2273" s="63"/>
      <c r="D2273" s="64"/>
      <c r="E2273" s="65"/>
      <c r="F2273" s="66"/>
      <c r="G2273" s="63"/>
      <c r="H2273" s="67"/>
      <c r="I2273" s="68"/>
      <c r="J2273" s="68"/>
      <c r="K2273" s="32"/>
      <c r="L2273" s="75">
        <v>2273</v>
      </c>
      <c r="M2273" s="75"/>
      <c r="N2273" s="70"/>
      <c r="O2273" s="77" t="s">
        <v>179</v>
      </c>
      <c r="P2273" s="79">
        <v>45117.938067129631</v>
      </c>
      <c r="Q2273" s="77" t="s">
        <v>3319</v>
      </c>
      <c r="R2273" s="77">
        <v>2</v>
      </c>
      <c r="S2273" s="77">
        <v>19</v>
      </c>
      <c r="T2273" s="77">
        <v>0</v>
      </c>
      <c r="U2273" s="77">
        <v>0</v>
      </c>
      <c r="V2273" s="77">
        <v>3700</v>
      </c>
      <c r="W2273" s="82" t="s">
        <v>5523</v>
      </c>
      <c r="X2273" s="77"/>
      <c r="Y2273" s="77"/>
      <c r="Z2273" s="77"/>
      <c r="AA2273" s="77" t="s">
        <v>7433</v>
      </c>
      <c r="AB2273" s="77" t="s">
        <v>7697</v>
      </c>
      <c r="AC2273" s="82" t="s">
        <v>7708</v>
      </c>
      <c r="AD2273" s="77" t="s">
        <v>7745</v>
      </c>
      <c r="AE2273" s="80" t="str">
        <f>HYPERLINK("https://twitter.com/mat_financeira/status/1678532253549228032")</f>
        <v>https://twitter.com/mat_financeira/status/1678532253549228032</v>
      </c>
      <c r="AF2273" s="79">
        <v>45117.938067129631</v>
      </c>
      <c r="AG2273" s="85">
        <v>45117</v>
      </c>
      <c r="AH2273" s="82" t="s">
        <v>9776</v>
      </c>
      <c r="AI2273" s="77" t="b">
        <v>0</v>
      </c>
      <c r="AJ2273" s="77"/>
      <c r="AK2273" s="77"/>
      <c r="AL2273" s="77"/>
      <c r="AM2273" s="77"/>
      <c r="AN2273" s="77"/>
      <c r="AO2273" s="77"/>
      <c r="AP2273" s="77"/>
      <c r="AQ2273" s="77" t="s">
        <v>11940</v>
      </c>
      <c r="AR2273" s="77">
        <v>40433</v>
      </c>
      <c r="AS2273" s="77"/>
      <c r="AT2273" s="77"/>
      <c r="AU2273" s="77">
        <v>1297</v>
      </c>
      <c r="AV2273" s="80" t="str">
        <f>HYPERLINK("https://pbs.twimg.com/ext_tw_video_thumb/1678532203452432388/pu/img/k8Aq4WCDavi_A2uJ.jpg")</f>
        <v>https://pbs.twimg.com/ext_tw_video_thumb/1678532203452432388/pu/img/k8Aq4WCDavi_A2uJ.jpg</v>
      </c>
      <c r="AW2273" s="82" t="s">
        <v>14431</v>
      </c>
      <c r="AX2273" s="82" t="s">
        <v>14431</v>
      </c>
      <c r="AY2273" s="77"/>
      <c r="AZ2273" s="82" t="s">
        <v>15804</v>
      </c>
      <c r="BA2273" s="82" t="s">
        <v>15804</v>
      </c>
      <c r="BB2273" s="82" t="s">
        <v>15804</v>
      </c>
      <c r="BC2273" s="82" t="s">
        <v>14431</v>
      </c>
      <c r="BD2273" s="82" t="s">
        <v>16519</v>
      </c>
      <c r="BE2273" s="77"/>
      <c r="BF2273" s="77"/>
      <c r="BG2273" s="77"/>
      <c r="BH2273" s="77"/>
      <c r="BI2273" s="77"/>
    </row>
    <row r="2274" spans="1:61" x14ac:dyDescent="0.25">
      <c r="A2274" s="62" t="s">
        <v>891</v>
      </c>
      <c r="B2274" s="62" t="s">
        <v>891</v>
      </c>
      <c r="C2274" s="63"/>
      <c r="D2274" s="64"/>
      <c r="E2274" s="65"/>
      <c r="F2274" s="66"/>
      <c r="G2274" s="63"/>
      <c r="H2274" s="67"/>
      <c r="I2274" s="68"/>
      <c r="J2274" s="68"/>
      <c r="K2274" s="32"/>
      <c r="L2274" s="75">
        <v>2274</v>
      </c>
      <c r="M2274" s="75"/>
      <c r="N2274" s="70"/>
      <c r="O2274" s="77" t="s">
        <v>179</v>
      </c>
      <c r="P2274" s="79">
        <v>45099.917291666665</v>
      </c>
      <c r="Q2274" s="77" t="s">
        <v>3320</v>
      </c>
      <c r="R2274" s="77">
        <v>6</v>
      </c>
      <c r="S2274" s="77">
        <v>42</v>
      </c>
      <c r="T2274" s="77">
        <v>0</v>
      </c>
      <c r="U2274" s="77">
        <v>0</v>
      </c>
      <c r="V2274" s="77">
        <v>5508</v>
      </c>
      <c r="W2274" s="82" t="s">
        <v>5524</v>
      </c>
      <c r="X2274" s="77"/>
      <c r="Y2274" s="77"/>
      <c r="Z2274" s="77"/>
      <c r="AA2274" s="77" t="s">
        <v>7434</v>
      </c>
      <c r="AB2274" s="77" t="s">
        <v>7697</v>
      </c>
      <c r="AC2274" s="82" t="s">
        <v>7708</v>
      </c>
      <c r="AD2274" s="77" t="s">
        <v>7745</v>
      </c>
      <c r="AE2274" s="80" t="str">
        <f>HYPERLINK("https://twitter.com/mat_financeira/status/1672001741015982080")</f>
        <v>https://twitter.com/mat_financeira/status/1672001741015982080</v>
      </c>
      <c r="AF2274" s="79">
        <v>45099.917291666665</v>
      </c>
      <c r="AG2274" s="85">
        <v>45099</v>
      </c>
      <c r="AH2274" s="82" t="s">
        <v>9777</v>
      </c>
      <c r="AI2274" s="77" t="b">
        <v>0</v>
      </c>
      <c r="AJ2274" s="77"/>
      <c r="AK2274" s="77"/>
      <c r="AL2274" s="77"/>
      <c r="AM2274" s="77"/>
      <c r="AN2274" s="77"/>
      <c r="AO2274" s="77"/>
      <c r="AP2274" s="77"/>
      <c r="AQ2274" s="77" t="s">
        <v>11941</v>
      </c>
      <c r="AR2274" s="77">
        <v>50733</v>
      </c>
      <c r="AS2274" s="77"/>
      <c r="AT2274" s="77"/>
      <c r="AU2274" s="77">
        <v>1687</v>
      </c>
      <c r="AV2274" s="80" t="str">
        <f>HYPERLINK("https://pbs.twimg.com/ext_tw_video_thumb/1672001714520576000/pu/img/IcZQ-N4GFs5wVcGy.jpg")</f>
        <v>https://pbs.twimg.com/ext_tw_video_thumb/1672001714520576000/pu/img/IcZQ-N4GFs5wVcGy.jpg</v>
      </c>
      <c r="AW2274" s="82" t="s">
        <v>14432</v>
      </c>
      <c r="AX2274" s="82" t="s">
        <v>14432</v>
      </c>
      <c r="AY2274" s="77"/>
      <c r="AZ2274" s="82" t="s">
        <v>15804</v>
      </c>
      <c r="BA2274" s="82" t="s">
        <v>15804</v>
      </c>
      <c r="BB2274" s="82" t="s">
        <v>15804</v>
      </c>
      <c r="BC2274" s="82" t="s">
        <v>14432</v>
      </c>
      <c r="BD2274" s="82" t="s">
        <v>16519</v>
      </c>
      <c r="BE2274" s="77"/>
      <c r="BF2274" s="77"/>
      <c r="BG2274" s="77"/>
      <c r="BH2274" s="77"/>
      <c r="BI2274" s="77"/>
    </row>
    <row r="2275" spans="1:61" x14ac:dyDescent="0.25">
      <c r="A2275" s="62" t="s">
        <v>891</v>
      </c>
      <c r="B2275" s="62" t="s">
        <v>891</v>
      </c>
      <c r="C2275" s="63"/>
      <c r="D2275" s="64"/>
      <c r="E2275" s="65"/>
      <c r="F2275" s="66"/>
      <c r="G2275" s="63"/>
      <c r="H2275" s="67"/>
      <c r="I2275" s="68"/>
      <c r="J2275" s="68"/>
      <c r="K2275" s="32"/>
      <c r="L2275" s="75">
        <v>2275</v>
      </c>
      <c r="M2275" s="75"/>
      <c r="N2275" s="70"/>
      <c r="O2275" s="77" t="s">
        <v>179</v>
      </c>
      <c r="P2275" s="79">
        <v>45098.45888888889</v>
      </c>
      <c r="Q2275" s="77" t="s">
        <v>3321</v>
      </c>
      <c r="R2275" s="77">
        <v>3</v>
      </c>
      <c r="S2275" s="77">
        <v>15</v>
      </c>
      <c r="T2275" s="77">
        <v>2</v>
      </c>
      <c r="U2275" s="77">
        <v>0</v>
      </c>
      <c r="V2275" s="77">
        <v>3565</v>
      </c>
      <c r="W2275" s="82" t="s">
        <v>5525</v>
      </c>
      <c r="X2275" s="77"/>
      <c r="Y2275" s="77"/>
      <c r="Z2275" s="77"/>
      <c r="AA2275" s="77" t="s">
        <v>7435</v>
      </c>
      <c r="AB2275" s="77" t="s">
        <v>7697</v>
      </c>
      <c r="AC2275" s="82" t="s">
        <v>7708</v>
      </c>
      <c r="AD2275" s="77" t="s">
        <v>7745</v>
      </c>
      <c r="AE2275" s="80" t="str">
        <f>HYPERLINK("https://twitter.com/mat_financeira/status/1671473237472030721")</f>
        <v>https://twitter.com/mat_financeira/status/1671473237472030721</v>
      </c>
      <c r="AF2275" s="79">
        <v>45098.45888888889</v>
      </c>
      <c r="AG2275" s="85">
        <v>45098</v>
      </c>
      <c r="AH2275" s="82" t="s">
        <v>9778</v>
      </c>
      <c r="AI2275" s="77" t="b">
        <v>0</v>
      </c>
      <c r="AJ2275" s="77"/>
      <c r="AK2275" s="77"/>
      <c r="AL2275" s="77"/>
      <c r="AM2275" s="77"/>
      <c r="AN2275" s="77"/>
      <c r="AO2275" s="77"/>
      <c r="AP2275" s="77"/>
      <c r="AQ2275" s="77" t="s">
        <v>11942</v>
      </c>
      <c r="AR2275" s="77">
        <v>59000</v>
      </c>
      <c r="AS2275" s="77"/>
      <c r="AT2275" s="77"/>
      <c r="AU2275" s="77">
        <v>1178</v>
      </c>
      <c r="AV2275" s="80" t="str">
        <f>HYPERLINK("https://pbs.twimg.com/ext_tw_video_thumb/1671473208602640388/pu/img/QJWqt6uo8JUg4lyx.jpg")</f>
        <v>https://pbs.twimg.com/ext_tw_video_thumb/1671473208602640388/pu/img/QJWqt6uo8JUg4lyx.jpg</v>
      </c>
      <c r="AW2275" s="82" t="s">
        <v>14433</v>
      </c>
      <c r="AX2275" s="82" t="s">
        <v>14433</v>
      </c>
      <c r="AY2275" s="77"/>
      <c r="AZ2275" s="82" t="s">
        <v>15804</v>
      </c>
      <c r="BA2275" s="82" t="s">
        <v>15804</v>
      </c>
      <c r="BB2275" s="82" t="s">
        <v>15804</v>
      </c>
      <c r="BC2275" s="82" t="s">
        <v>14433</v>
      </c>
      <c r="BD2275" s="82" t="s">
        <v>16519</v>
      </c>
      <c r="BE2275" s="77"/>
      <c r="BF2275" s="77"/>
      <c r="BG2275" s="77"/>
      <c r="BH2275" s="77"/>
      <c r="BI2275" s="77"/>
    </row>
    <row r="2276" spans="1:61" x14ac:dyDescent="0.25">
      <c r="A2276" s="62" t="s">
        <v>891</v>
      </c>
      <c r="B2276" s="62" t="s">
        <v>891</v>
      </c>
      <c r="C2276" s="63"/>
      <c r="D2276" s="64"/>
      <c r="E2276" s="65"/>
      <c r="F2276" s="66"/>
      <c r="G2276" s="63"/>
      <c r="H2276" s="67"/>
      <c r="I2276" s="68"/>
      <c r="J2276" s="68"/>
      <c r="K2276" s="32"/>
      <c r="L2276" s="75">
        <v>2276</v>
      </c>
      <c r="M2276" s="75"/>
      <c r="N2276" s="70"/>
      <c r="O2276" s="77" t="s">
        <v>179</v>
      </c>
      <c r="P2276" s="79">
        <v>45052.45884259259</v>
      </c>
      <c r="Q2276" s="77" t="s">
        <v>3322</v>
      </c>
      <c r="R2276" s="77">
        <v>22</v>
      </c>
      <c r="S2276" s="77">
        <v>95</v>
      </c>
      <c r="T2276" s="77">
        <v>1</v>
      </c>
      <c r="U2276" s="77">
        <v>0</v>
      </c>
      <c r="V2276" s="77">
        <v>8526</v>
      </c>
      <c r="W2276" s="82" t="s">
        <v>5498</v>
      </c>
      <c r="X2276" s="77"/>
      <c r="Y2276" s="77"/>
      <c r="Z2276" s="77"/>
      <c r="AA2276" s="77" t="s">
        <v>7436</v>
      </c>
      <c r="AB2276" s="77" t="s">
        <v>7696</v>
      </c>
      <c r="AC2276" s="82" t="s">
        <v>7708</v>
      </c>
      <c r="AD2276" s="77" t="s">
        <v>7745</v>
      </c>
      <c r="AE2276" s="80" t="str">
        <f>HYPERLINK("https://twitter.com/mat_financeira/status/1654803375794298884")</f>
        <v>https://twitter.com/mat_financeira/status/1654803375794298884</v>
      </c>
      <c r="AF2276" s="79">
        <v>45052.45884259259</v>
      </c>
      <c r="AG2276" s="85">
        <v>45052</v>
      </c>
      <c r="AH2276" s="82" t="s">
        <v>9761</v>
      </c>
      <c r="AI2276" s="77" t="b">
        <v>0</v>
      </c>
      <c r="AJ2276" s="77"/>
      <c r="AK2276" s="77"/>
      <c r="AL2276" s="77"/>
      <c r="AM2276" s="77"/>
      <c r="AN2276" s="77"/>
      <c r="AO2276" s="77"/>
      <c r="AP2276" s="77"/>
      <c r="AQ2276" s="77" t="s">
        <v>11943</v>
      </c>
      <c r="AR2276" s="77"/>
      <c r="AS2276" s="77"/>
      <c r="AT2276" s="77"/>
      <c r="AU2276" s="77"/>
      <c r="AV2276" s="80" t="str">
        <f>HYPERLINK("https://pbs.twimg.com/media/FvcK5ocXgAMLKsj.jpg")</f>
        <v>https://pbs.twimg.com/media/FvcK5ocXgAMLKsj.jpg</v>
      </c>
      <c r="AW2276" s="82" t="s">
        <v>14434</v>
      </c>
      <c r="AX2276" s="82" t="s">
        <v>14434</v>
      </c>
      <c r="AY2276" s="77"/>
      <c r="AZ2276" s="82" t="s">
        <v>15804</v>
      </c>
      <c r="BA2276" s="82" t="s">
        <v>15804</v>
      </c>
      <c r="BB2276" s="82" t="s">
        <v>15804</v>
      </c>
      <c r="BC2276" s="82" t="s">
        <v>14434</v>
      </c>
      <c r="BD2276" s="82" t="s">
        <v>16519</v>
      </c>
      <c r="BE2276" s="77"/>
      <c r="BF2276" s="77"/>
      <c r="BG2276" s="77"/>
      <c r="BH2276" s="77"/>
      <c r="BI2276" s="77"/>
    </row>
    <row r="2277" spans="1:61" x14ac:dyDescent="0.25">
      <c r="A2277" s="62" t="s">
        <v>891</v>
      </c>
      <c r="B2277" s="62" t="s">
        <v>891</v>
      </c>
      <c r="C2277" s="63"/>
      <c r="D2277" s="64"/>
      <c r="E2277" s="65"/>
      <c r="F2277" s="66"/>
      <c r="G2277" s="63"/>
      <c r="H2277" s="67"/>
      <c r="I2277" s="68"/>
      <c r="J2277" s="68"/>
      <c r="K2277" s="32"/>
      <c r="L2277" s="75">
        <v>2277</v>
      </c>
      <c r="M2277" s="75"/>
      <c r="N2277" s="70"/>
      <c r="O2277" s="77" t="s">
        <v>179</v>
      </c>
      <c r="P2277" s="79">
        <v>45006.979745370372</v>
      </c>
      <c r="Q2277" s="77" t="s">
        <v>3323</v>
      </c>
      <c r="R2277" s="77">
        <v>4</v>
      </c>
      <c r="S2277" s="77">
        <v>50</v>
      </c>
      <c r="T2277" s="77">
        <v>0</v>
      </c>
      <c r="U2277" s="77">
        <v>0</v>
      </c>
      <c r="V2277" s="77">
        <v>6730</v>
      </c>
      <c r="W2277" s="82" t="s">
        <v>5498</v>
      </c>
      <c r="X2277" s="77"/>
      <c r="Y2277" s="77"/>
      <c r="Z2277" s="77"/>
      <c r="AA2277" s="77" t="s">
        <v>7437</v>
      </c>
      <c r="AB2277" s="77" t="s">
        <v>7697</v>
      </c>
      <c r="AC2277" s="82" t="s">
        <v>7708</v>
      </c>
      <c r="AD2277" s="77" t="s">
        <v>7745</v>
      </c>
      <c r="AE2277" s="80" t="str">
        <f>HYPERLINK("https://twitter.com/mat_financeira/status/1638322305607557120")</f>
        <v>https://twitter.com/mat_financeira/status/1638322305607557120</v>
      </c>
      <c r="AF2277" s="79">
        <v>45006.979745370372</v>
      </c>
      <c r="AG2277" s="85">
        <v>45006</v>
      </c>
      <c r="AH2277" s="82" t="s">
        <v>9779</v>
      </c>
      <c r="AI2277" s="77" t="b">
        <v>0</v>
      </c>
      <c r="AJ2277" s="77"/>
      <c r="AK2277" s="77"/>
      <c r="AL2277" s="77"/>
      <c r="AM2277" s="77"/>
      <c r="AN2277" s="77"/>
      <c r="AO2277" s="77"/>
      <c r="AP2277" s="77"/>
      <c r="AQ2277" s="77" t="s">
        <v>11944</v>
      </c>
      <c r="AR2277" s="77">
        <v>57266</v>
      </c>
      <c r="AS2277" s="77"/>
      <c r="AT2277" s="77"/>
      <c r="AU2277" s="77">
        <v>2660</v>
      </c>
      <c r="AV2277" s="80" t="str">
        <f>HYPERLINK("https://pbs.twimg.com/ext_tw_video_thumb/1638322277187026946/pu/img/OfrkgdBthvjRoFrj.jpg")</f>
        <v>https://pbs.twimg.com/ext_tw_video_thumb/1638322277187026946/pu/img/OfrkgdBthvjRoFrj.jpg</v>
      </c>
      <c r="AW2277" s="82" t="s">
        <v>14435</v>
      </c>
      <c r="AX2277" s="82" t="s">
        <v>14435</v>
      </c>
      <c r="AY2277" s="77"/>
      <c r="AZ2277" s="82" t="s">
        <v>15804</v>
      </c>
      <c r="BA2277" s="82" t="s">
        <v>15804</v>
      </c>
      <c r="BB2277" s="82" t="s">
        <v>15804</v>
      </c>
      <c r="BC2277" s="82" t="s">
        <v>14435</v>
      </c>
      <c r="BD2277" s="82" t="s">
        <v>16519</v>
      </c>
      <c r="BE2277" s="77"/>
      <c r="BF2277" s="77"/>
      <c r="BG2277" s="77"/>
      <c r="BH2277" s="77"/>
      <c r="BI2277" s="77"/>
    </row>
    <row r="2278" spans="1:61" x14ac:dyDescent="0.25">
      <c r="A2278" s="62" t="s">
        <v>891</v>
      </c>
      <c r="B2278" s="62" t="s">
        <v>891</v>
      </c>
      <c r="C2278" s="63"/>
      <c r="D2278" s="64"/>
      <c r="E2278" s="65"/>
      <c r="F2278" s="66"/>
      <c r="G2278" s="63"/>
      <c r="H2278" s="67"/>
      <c r="I2278" s="68"/>
      <c r="J2278" s="68"/>
      <c r="K2278" s="32"/>
      <c r="L2278" s="75">
        <v>2278</v>
      </c>
      <c r="M2278" s="75"/>
      <c r="N2278" s="70"/>
      <c r="O2278" s="77" t="s">
        <v>179</v>
      </c>
      <c r="P2278" s="79">
        <v>44949.646180555559</v>
      </c>
      <c r="Q2278" s="77" t="s">
        <v>3324</v>
      </c>
      <c r="R2278" s="77">
        <v>5</v>
      </c>
      <c r="S2278" s="77">
        <v>72</v>
      </c>
      <c r="T2278" s="77">
        <v>0</v>
      </c>
      <c r="U2278" s="77">
        <v>0</v>
      </c>
      <c r="V2278" s="77">
        <v>5686</v>
      </c>
      <c r="W2278" s="82" t="s">
        <v>5498</v>
      </c>
      <c r="X2278" s="77"/>
      <c r="Y2278" s="77"/>
      <c r="Z2278" s="77"/>
      <c r="AA2278" s="77" t="s">
        <v>7438</v>
      </c>
      <c r="AB2278" s="77" t="s">
        <v>7697</v>
      </c>
      <c r="AC2278" s="82" t="s">
        <v>7708</v>
      </c>
      <c r="AD2278" s="77" t="s">
        <v>7745</v>
      </c>
      <c r="AE2278" s="80" t="str">
        <f>HYPERLINK("https://twitter.com/mat_financeira/status/1617545317372633088")</f>
        <v>https://twitter.com/mat_financeira/status/1617545317372633088</v>
      </c>
      <c r="AF2278" s="79">
        <v>44949.646180555559</v>
      </c>
      <c r="AG2278" s="85">
        <v>44949</v>
      </c>
      <c r="AH2278" s="82" t="s">
        <v>9780</v>
      </c>
      <c r="AI2278" s="77" t="b">
        <v>0</v>
      </c>
      <c r="AJ2278" s="77"/>
      <c r="AK2278" s="77"/>
      <c r="AL2278" s="77"/>
      <c r="AM2278" s="77"/>
      <c r="AN2278" s="77"/>
      <c r="AO2278" s="77"/>
      <c r="AP2278" s="77"/>
      <c r="AQ2278" s="77" t="s">
        <v>11945</v>
      </c>
      <c r="AR2278" s="77">
        <v>56866</v>
      </c>
      <c r="AS2278" s="77"/>
      <c r="AT2278" s="77"/>
      <c r="AU2278" s="77">
        <v>2251</v>
      </c>
      <c r="AV2278" s="80" t="str">
        <f>HYPERLINK("https://pbs.twimg.com/ext_tw_video_thumb/1617545289362989056/pu/img/HeFzMpDX3hDCQRS9.jpg")</f>
        <v>https://pbs.twimg.com/ext_tw_video_thumb/1617545289362989056/pu/img/HeFzMpDX3hDCQRS9.jpg</v>
      </c>
      <c r="AW2278" s="82" t="s">
        <v>14436</v>
      </c>
      <c r="AX2278" s="82" t="s">
        <v>14436</v>
      </c>
      <c r="AY2278" s="77"/>
      <c r="AZ2278" s="82" t="s">
        <v>15804</v>
      </c>
      <c r="BA2278" s="82" t="s">
        <v>15804</v>
      </c>
      <c r="BB2278" s="82" t="s">
        <v>15804</v>
      </c>
      <c r="BC2278" s="82" t="s">
        <v>14436</v>
      </c>
      <c r="BD2278" s="82" t="s">
        <v>16519</v>
      </c>
      <c r="BE2278" s="77"/>
      <c r="BF2278" s="77"/>
      <c r="BG2278" s="77"/>
      <c r="BH2278" s="77"/>
      <c r="BI2278" s="77"/>
    </row>
    <row r="2279" spans="1:61" x14ac:dyDescent="0.25">
      <c r="A2279" s="62" t="s">
        <v>892</v>
      </c>
      <c r="B2279" s="62" t="s">
        <v>891</v>
      </c>
      <c r="C2279" s="63"/>
      <c r="D2279" s="64"/>
      <c r="E2279" s="65"/>
      <c r="F2279" s="66"/>
      <c r="G2279" s="63"/>
      <c r="H2279" s="67"/>
      <c r="I2279" s="68"/>
      <c r="J2279" s="68"/>
      <c r="K2279" s="32"/>
      <c r="L2279" s="75">
        <v>2279</v>
      </c>
      <c r="M2279" s="75"/>
      <c r="N2279" s="70"/>
      <c r="O2279" s="77" t="s">
        <v>1134</v>
      </c>
      <c r="P2279" s="79">
        <v>45174.161539351851</v>
      </c>
      <c r="Q2279" s="77" t="s">
        <v>2478</v>
      </c>
      <c r="R2279" s="77">
        <v>7</v>
      </c>
      <c r="S2279" s="77">
        <v>0</v>
      </c>
      <c r="T2279" s="77">
        <v>0</v>
      </c>
      <c r="U2279" s="77">
        <v>0</v>
      </c>
      <c r="V2279" s="77"/>
      <c r="W2279" s="82" t="s">
        <v>5043</v>
      </c>
      <c r="X2279" s="77"/>
      <c r="Y2279" s="77"/>
      <c r="Z2279" s="77" t="s">
        <v>891</v>
      </c>
      <c r="AA2279" s="77"/>
      <c r="AB2279" s="77"/>
      <c r="AC2279" s="82" t="s">
        <v>7707</v>
      </c>
      <c r="AD2279" s="77" t="s">
        <v>7745</v>
      </c>
      <c r="AE2279" s="80" t="str">
        <f>HYPERLINK("https://twitter.com/arib85/status/1698906958521147585")</f>
        <v>https://twitter.com/arib85/status/1698906958521147585</v>
      </c>
      <c r="AF2279" s="79">
        <v>45174.161539351851</v>
      </c>
      <c r="AG2279" s="85">
        <v>45174</v>
      </c>
      <c r="AH2279" s="82" t="s">
        <v>9781</v>
      </c>
      <c r="AI2279" s="77"/>
      <c r="AJ2279" s="77"/>
      <c r="AK2279" s="77"/>
      <c r="AL2279" s="77"/>
      <c r="AM2279" s="77"/>
      <c r="AN2279" s="77"/>
      <c r="AO2279" s="77"/>
      <c r="AP2279" s="77"/>
      <c r="AQ2279" s="77"/>
      <c r="AR2279" s="77"/>
      <c r="AS2279" s="77"/>
      <c r="AT2279" s="77"/>
      <c r="AU2279" s="77"/>
      <c r="AV2279" s="80" t="str">
        <f>HYPERLINK("https://pbs.twimg.com/profile_images/1455292275186143236/XFk5Y-ig_normal.jpg")</f>
        <v>https://pbs.twimg.com/profile_images/1455292275186143236/XFk5Y-ig_normal.jpg</v>
      </c>
      <c r="AW2279" s="82" t="s">
        <v>14437</v>
      </c>
      <c r="AX2279" s="82" t="s">
        <v>14437</v>
      </c>
      <c r="AY2279" s="77"/>
      <c r="AZ2279" s="82" t="s">
        <v>15804</v>
      </c>
      <c r="BA2279" s="82" t="s">
        <v>15804</v>
      </c>
      <c r="BB2279" s="82" t="s">
        <v>14425</v>
      </c>
      <c r="BC2279" s="82" t="s">
        <v>14425</v>
      </c>
      <c r="BD2279" s="77">
        <v>3075818301</v>
      </c>
      <c r="BE2279" s="77"/>
      <c r="BF2279" s="77"/>
      <c r="BG2279" s="77"/>
      <c r="BH2279" s="77"/>
      <c r="BI2279" s="77"/>
    </row>
    <row r="2280" spans="1:61" x14ac:dyDescent="0.25">
      <c r="A2280" s="62" t="s">
        <v>893</v>
      </c>
      <c r="B2280" s="62" t="s">
        <v>893</v>
      </c>
      <c r="C2280" s="63"/>
      <c r="D2280" s="64"/>
      <c r="E2280" s="65"/>
      <c r="F2280" s="66"/>
      <c r="G2280" s="63"/>
      <c r="H2280" s="67"/>
      <c r="I2280" s="68"/>
      <c r="J2280" s="68"/>
      <c r="K2280" s="32"/>
      <c r="L2280" s="75">
        <v>2280</v>
      </c>
      <c r="M2280" s="75"/>
      <c r="N2280" s="70"/>
      <c r="O2280" s="77" t="s">
        <v>179</v>
      </c>
      <c r="P2280" s="79">
        <v>45088.371076388888</v>
      </c>
      <c r="Q2280" s="77" t="s">
        <v>3325</v>
      </c>
      <c r="R2280" s="77">
        <v>0</v>
      </c>
      <c r="S2280" s="77">
        <v>0</v>
      </c>
      <c r="T2280" s="77">
        <v>0</v>
      </c>
      <c r="U2280" s="77">
        <v>0</v>
      </c>
      <c r="V2280" s="77">
        <v>4</v>
      </c>
      <c r="W2280" s="82" t="s">
        <v>5526</v>
      </c>
      <c r="X2280" s="80" t="str">
        <f>HYPERLINK("https://aleatoriando.com.br/a-importancia-da-educacao-financeira/")</f>
        <v>https://aleatoriando.com.br/a-importancia-da-educacao-financeira/</v>
      </c>
      <c r="Y2280" s="77" t="s">
        <v>6002</v>
      </c>
      <c r="Z2280" s="77"/>
      <c r="AA2280" s="77"/>
      <c r="AB2280" s="77"/>
      <c r="AC2280" s="82" t="s">
        <v>7743</v>
      </c>
      <c r="AD2280" s="77" t="s">
        <v>7745</v>
      </c>
      <c r="AE2280" s="80" t="str">
        <f>HYPERLINK("https://twitter.com/aleatoriando_o/status/1667817535092170754")</f>
        <v>https://twitter.com/aleatoriando_o/status/1667817535092170754</v>
      </c>
      <c r="AF2280" s="79">
        <v>45088.371076388888</v>
      </c>
      <c r="AG2280" s="85">
        <v>45088</v>
      </c>
      <c r="AH2280" s="82" t="s">
        <v>9782</v>
      </c>
      <c r="AI2280" s="77" t="b">
        <v>0</v>
      </c>
      <c r="AJ2280" s="77"/>
      <c r="AK2280" s="77"/>
      <c r="AL2280" s="77"/>
      <c r="AM2280" s="77"/>
      <c r="AN2280" s="77"/>
      <c r="AO2280" s="77"/>
      <c r="AP2280" s="77"/>
      <c r="AQ2280" s="77"/>
      <c r="AR2280" s="77"/>
      <c r="AS2280" s="77"/>
      <c r="AT2280" s="77"/>
      <c r="AU2280" s="77"/>
      <c r="AV2280" s="80" t="str">
        <f>HYPERLINK("https://pbs.twimg.com/profile_images/1661790216250687500/purhJhH7_normal.jpg")</f>
        <v>https://pbs.twimg.com/profile_images/1661790216250687500/purhJhH7_normal.jpg</v>
      </c>
      <c r="AW2280" s="82" t="s">
        <v>14438</v>
      </c>
      <c r="AX2280" s="82" t="s">
        <v>14438</v>
      </c>
      <c r="AY2280" s="77"/>
      <c r="AZ2280" s="82" t="s">
        <v>15804</v>
      </c>
      <c r="BA2280" s="82" t="s">
        <v>15804</v>
      </c>
      <c r="BB2280" s="82" t="s">
        <v>15804</v>
      </c>
      <c r="BC2280" s="82" t="s">
        <v>14438</v>
      </c>
      <c r="BD2280" s="82" t="s">
        <v>16520</v>
      </c>
      <c r="BE2280" s="77"/>
      <c r="BF2280" s="77"/>
      <c r="BG2280" s="77"/>
      <c r="BH2280" s="77"/>
      <c r="BI2280" s="77"/>
    </row>
    <row r="2281" spans="1:61" x14ac:dyDescent="0.25">
      <c r="A2281" s="62" t="s">
        <v>893</v>
      </c>
      <c r="B2281" s="62" t="s">
        <v>893</v>
      </c>
      <c r="C2281" s="63"/>
      <c r="D2281" s="64"/>
      <c r="E2281" s="65"/>
      <c r="F2281" s="66"/>
      <c r="G2281" s="63"/>
      <c r="H2281" s="67"/>
      <c r="I2281" s="68"/>
      <c r="J2281" s="68"/>
      <c r="K2281" s="32"/>
      <c r="L2281" s="75">
        <v>2281</v>
      </c>
      <c r="M2281" s="75"/>
      <c r="N2281" s="70"/>
      <c r="O2281" s="77" t="s">
        <v>179</v>
      </c>
      <c r="P2281" s="79">
        <v>45088.370763888888</v>
      </c>
      <c r="Q2281" s="77" t="s">
        <v>3326</v>
      </c>
      <c r="R2281" s="77">
        <v>0</v>
      </c>
      <c r="S2281" s="77">
        <v>0</v>
      </c>
      <c r="T2281" s="77">
        <v>0</v>
      </c>
      <c r="U2281" s="77">
        <v>0</v>
      </c>
      <c r="V2281" s="77">
        <v>4</v>
      </c>
      <c r="W2281" s="82" t="s">
        <v>5527</v>
      </c>
      <c r="X2281" s="80" t="str">
        <f>HYPERLINK("https://aleatoriando.com.br/educacao-financeira-aprenda-a-cuidar-do-seu-dinheiro/")</f>
        <v>https://aleatoriando.com.br/educacao-financeira-aprenda-a-cuidar-do-seu-dinheiro/</v>
      </c>
      <c r="Y2281" s="77" t="s">
        <v>6002</v>
      </c>
      <c r="Z2281" s="77"/>
      <c r="AA2281" s="77"/>
      <c r="AB2281" s="77"/>
      <c r="AC2281" s="82" t="s">
        <v>7743</v>
      </c>
      <c r="AD2281" s="77" t="s">
        <v>7745</v>
      </c>
      <c r="AE2281" s="80" t="str">
        <f>HYPERLINK("https://twitter.com/aleatoriando_o/status/1667817423582494720")</f>
        <v>https://twitter.com/aleatoriando_o/status/1667817423582494720</v>
      </c>
      <c r="AF2281" s="79">
        <v>45088.370763888888</v>
      </c>
      <c r="AG2281" s="85">
        <v>45088</v>
      </c>
      <c r="AH2281" s="82" t="s">
        <v>9783</v>
      </c>
      <c r="AI2281" s="77" t="b">
        <v>0</v>
      </c>
      <c r="AJ2281" s="77"/>
      <c r="AK2281" s="77"/>
      <c r="AL2281" s="77"/>
      <c r="AM2281" s="77"/>
      <c r="AN2281" s="77"/>
      <c r="AO2281" s="77"/>
      <c r="AP2281" s="77"/>
      <c r="AQ2281" s="77"/>
      <c r="AR2281" s="77"/>
      <c r="AS2281" s="77"/>
      <c r="AT2281" s="77"/>
      <c r="AU2281" s="77"/>
      <c r="AV2281" s="80" t="str">
        <f>HYPERLINK("https://pbs.twimg.com/profile_images/1661790216250687500/purhJhH7_normal.jpg")</f>
        <v>https://pbs.twimg.com/profile_images/1661790216250687500/purhJhH7_normal.jpg</v>
      </c>
      <c r="AW2281" s="82" t="s">
        <v>14439</v>
      </c>
      <c r="AX2281" s="82" t="s">
        <v>14439</v>
      </c>
      <c r="AY2281" s="77"/>
      <c r="AZ2281" s="82" t="s">
        <v>15804</v>
      </c>
      <c r="BA2281" s="82" t="s">
        <v>15804</v>
      </c>
      <c r="BB2281" s="82" t="s">
        <v>15804</v>
      </c>
      <c r="BC2281" s="82" t="s">
        <v>14439</v>
      </c>
      <c r="BD2281" s="82" t="s">
        <v>16520</v>
      </c>
      <c r="BE2281" s="77"/>
      <c r="BF2281" s="77"/>
      <c r="BG2281" s="77"/>
      <c r="BH2281" s="77"/>
      <c r="BI2281" s="77"/>
    </row>
    <row r="2282" spans="1:61" x14ac:dyDescent="0.25">
      <c r="A2282" s="62" t="s">
        <v>893</v>
      </c>
      <c r="B2282" s="62" t="s">
        <v>893</v>
      </c>
      <c r="C2282" s="63"/>
      <c r="D2282" s="64"/>
      <c r="E2282" s="65"/>
      <c r="F2282" s="66"/>
      <c r="G2282" s="63"/>
      <c r="H2282" s="67"/>
      <c r="I2282" s="68"/>
      <c r="J2282" s="68"/>
      <c r="K2282" s="32"/>
      <c r="L2282" s="75">
        <v>2282</v>
      </c>
      <c r="M2282" s="75"/>
      <c r="N2282" s="70"/>
      <c r="O2282" s="77" t="s">
        <v>179</v>
      </c>
      <c r="P2282" s="79">
        <v>45093.370775462965</v>
      </c>
      <c r="Q2282" s="77" t="s">
        <v>3327</v>
      </c>
      <c r="R2282" s="77">
        <v>0</v>
      </c>
      <c r="S2282" s="77">
        <v>0</v>
      </c>
      <c r="T2282" s="77">
        <v>0</v>
      </c>
      <c r="U2282" s="77">
        <v>0</v>
      </c>
      <c r="V2282" s="77">
        <v>5</v>
      </c>
      <c r="W2282" s="82" t="s">
        <v>5528</v>
      </c>
      <c r="X2282" s="80" t="str">
        <f>HYPERLINK("https://aleatoriando.com.br/como-investir-na-bolsa-de-valores-de-forma-segura/")</f>
        <v>https://aleatoriando.com.br/como-investir-na-bolsa-de-valores-de-forma-segura/</v>
      </c>
      <c r="Y2282" s="77" t="s">
        <v>6002</v>
      </c>
      <c r="Z2282" s="77"/>
      <c r="AA2282" s="77"/>
      <c r="AB2282" s="77"/>
      <c r="AC2282" s="82" t="s">
        <v>7743</v>
      </c>
      <c r="AD2282" s="77" t="s">
        <v>7745</v>
      </c>
      <c r="AE2282" s="80" t="str">
        <f>HYPERLINK("https://twitter.com/aleatoriando_o/status/1669629363753476096")</f>
        <v>https://twitter.com/aleatoriando_o/status/1669629363753476096</v>
      </c>
      <c r="AF2282" s="79">
        <v>45093.370775462965</v>
      </c>
      <c r="AG2282" s="85">
        <v>45093</v>
      </c>
      <c r="AH2282" s="82" t="s">
        <v>9784</v>
      </c>
      <c r="AI2282" s="77" t="b">
        <v>0</v>
      </c>
      <c r="AJ2282" s="77"/>
      <c r="AK2282" s="77"/>
      <c r="AL2282" s="77"/>
      <c r="AM2282" s="77"/>
      <c r="AN2282" s="77"/>
      <c r="AO2282" s="77"/>
      <c r="AP2282" s="77"/>
      <c r="AQ2282" s="77"/>
      <c r="AR2282" s="77"/>
      <c r="AS2282" s="77"/>
      <c r="AT2282" s="77"/>
      <c r="AU2282" s="77"/>
      <c r="AV2282" s="80" t="str">
        <f>HYPERLINK("https://pbs.twimg.com/profile_images/1661790216250687500/purhJhH7_normal.jpg")</f>
        <v>https://pbs.twimg.com/profile_images/1661790216250687500/purhJhH7_normal.jpg</v>
      </c>
      <c r="AW2282" s="82" t="s">
        <v>14440</v>
      </c>
      <c r="AX2282" s="82" t="s">
        <v>14440</v>
      </c>
      <c r="AY2282" s="77"/>
      <c r="AZ2282" s="82" t="s">
        <v>15804</v>
      </c>
      <c r="BA2282" s="82" t="s">
        <v>15804</v>
      </c>
      <c r="BB2282" s="82" t="s">
        <v>15804</v>
      </c>
      <c r="BC2282" s="82" t="s">
        <v>14440</v>
      </c>
      <c r="BD2282" s="82" t="s">
        <v>16520</v>
      </c>
      <c r="BE2282" s="77"/>
      <c r="BF2282" s="77"/>
      <c r="BG2282" s="77"/>
      <c r="BH2282" s="77"/>
      <c r="BI2282" s="77"/>
    </row>
    <row r="2283" spans="1:61" x14ac:dyDescent="0.25">
      <c r="A2283" s="62" t="s">
        <v>893</v>
      </c>
      <c r="B2283" s="62" t="s">
        <v>893</v>
      </c>
      <c r="C2283" s="63"/>
      <c r="D2283" s="64"/>
      <c r="E2283" s="65"/>
      <c r="F2283" s="66"/>
      <c r="G2283" s="63"/>
      <c r="H2283" s="67"/>
      <c r="I2283" s="68"/>
      <c r="J2283" s="68"/>
      <c r="K2283" s="32"/>
      <c r="L2283" s="75">
        <v>2283</v>
      </c>
      <c r="M2283" s="75"/>
      <c r="N2283" s="70"/>
      <c r="O2283" s="77" t="s">
        <v>179</v>
      </c>
      <c r="P2283" s="79">
        <v>45092.371203703704</v>
      </c>
      <c r="Q2283" s="77" t="s">
        <v>3328</v>
      </c>
      <c r="R2283" s="77">
        <v>0</v>
      </c>
      <c r="S2283" s="77">
        <v>0</v>
      </c>
      <c r="T2283" s="77">
        <v>0</v>
      </c>
      <c r="U2283" s="77">
        <v>0</v>
      </c>
      <c r="V2283" s="77">
        <v>4</v>
      </c>
      <c r="W2283" s="82" t="s">
        <v>5529</v>
      </c>
      <c r="X2283" s="80" t="str">
        <f>HYPERLINK("https://aleatoriando.com.br/fundos-de-investimento-tudo-o-que-voce-precisa-saber/")</f>
        <v>https://aleatoriando.com.br/fundos-de-investimento-tudo-o-que-voce-precisa-saber/</v>
      </c>
      <c r="Y2283" s="77" t="s">
        <v>6002</v>
      </c>
      <c r="Z2283" s="77"/>
      <c r="AA2283" s="77"/>
      <c r="AB2283" s="77"/>
      <c r="AC2283" s="82" t="s">
        <v>7743</v>
      </c>
      <c r="AD2283" s="77" t="s">
        <v>7745</v>
      </c>
      <c r="AE2283" s="80" t="str">
        <f>HYPERLINK("https://twitter.com/aleatoriando_o/status/1669267133421813762")</f>
        <v>https://twitter.com/aleatoriando_o/status/1669267133421813762</v>
      </c>
      <c r="AF2283" s="79">
        <v>45092.371203703704</v>
      </c>
      <c r="AG2283" s="85">
        <v>45092</v>
      </c>
      <c r="AH2283" s="82" t="s">
        <v>9785</v>
      </c>
      <c r="AI2283" s="77" t="b">
        <v>0</v>
      </c>
      <c r="AJ2283" s="77"/>
      <c r="AK2283" s="77"/>
      <c r="AL2283" s="77"/>
      <c r="AM2283" s="77"/>
      <c r="AN2283" s="77"/>
      <c r="AO2283" s="77"/>
      <c r="AP2283" s="77"/>
      <c r="AQ2283" s="77"/>
      <c r="AR2283" s="77"/>
      <c r="AS2283" s="77"/>
      <c r="AT2283" s="77"/>
      <c r="AU2283" s="77"/>
      <c r="AV2283" s="80" t="str">
        <f>HYPERLINK("https://pbs.twimg.com/profile_images/1661790216250687500/purhJhH7_normal.jpg")</f>
        <v>https://pbs.twimg.com/profile_images/1661790216250687500/purhJhH7_normal.jpg</v>
      </c>
      <c r="AW2283" s="82" t="s">
        <v>14441</v>
      </c>
      <c r="AX2283" s="82" t="s">
        <v>14441</v>
      </c>
      <c r="AY2283" s="77"/>
      <c r="AZ2283" s="82" t="s">
        <v>15804</v>
      </c>
      <c r="BA2283" s="82" t="s">
        <v>15804</v>
      </c>
      <c r="BB2283" s="82" t="s">
        <v>15804</v>
      </c>
      <c r="BC2283" s="82" t="s">
        <v>14441</v>
      </c>
      <c r="BD2283" s="82" t="s">
        <v>16520</v>
      </c>
      <c r="BE2283" s="77"/>
      <c r="BF2283" s="77"/>
      <c r="BG2283" s="77"/>
      <c r="BH2283" s="77"/>
      <c r="BI2283" s="77"/>
    </row>
    <row r="2284" spans="1:61" x14ac:dyDescent="0.25">
      <c r="A2284" s="62" t="s">
        <v>893</v>
      </c>
      <c r="B2284" s="62" t="s">
        <v>893</v>
      </c>
      <c r="C2284" s="63"/>
      <c r="D2284" s="64"/>
      <c r="E2284" s="65"/>
      <c r="F2284" s="66"/>
      <c r="G2284" s="63"/>
      <c r="H2284" s="67"/>
      <c r="I2284" s="68"/>
      <c r="J2284" s="68"/>
      <c r="K2284" s="32"/>
      <c r="L2284" s="75">
        <v>2284</v>
      </c>
      <c r="M2284" s="75"/>
      <c r="N2284" s="70"/>
      <c r="O2284" s="77" t="s">
        <v>179</v>
      </c>
      <c r="P2284" s="79">
        <v>45092.370868055557</v>
      </c>
      <c r="Q2284" s="77" t="s">
        <v>3329</v>
      </c>
      <c r="R2284" s="77">
        <v>0</v>
      </c>
      <c r="S2284" s="77">
        <v>0</v>
      </c>
      <c r="T2284" s="77">
        <v>0</v>
      </c>
      <c r="U2284" s="77">
        <v>0</v>
      </c>
      <c r="V2284" s="77">
        <v>3</v>
      </c>
      <c r="W2284" s="82" t="s">
        <v>5530</v>
      </c>
      <c r="X2284" s="80" t="str">
        <f>HYPERLINK("https://aleatoriando.com.br/5-passos-para-criar-um-planejamento-financeiro-pessoal-eficaz/")</f>
        <v>https://aleatoriando.com.br/5-passos-para-criar-um-planejamento-financeiro-pessoal-eficaz/</v>
      </c>
      <c r="Y2284" s="77" t="s">
        <v>6002</v>
      </c>
      <c r="Z2284" s="77"/>
      <c r="AA2284" s="77"/>
      <c r="AB2284" s="77"/>
      <c r="AC2284" s="82" t="s">
        <v>7743</v>
      </c>
      <c r="AD2284" s="77" t="s">
        <v>7745</v>
      </c>
      <c r="AE2284" s="80" t="str">
        <f>HYPERLINK("https://twitter.com/aleatoriando_o/status/1669267009064914945")</f>
        <v>https://twitter.com/aleatoriando_o/status/1669267009064914945</v>
      </c>
      <c r="AF2284" s="79">
        <v>45092.370868055557</v>
      </c>
      <c r="AG2284" s="85">
        <v>45092</v>
      </c>
      <c r="AH2284" s="82" t="s">
        <v>9786</v>
      </c>
      <c r="AI2284" s="77" t="b">
        <v>0</v>
      </c>
      <c r="AJ2284" s="77"/>
      <c r="AK2284" s="77"/>
      <c r="AL2284" s="77"/>
      <c r="AM2284" s="77"/>
      <c r="AN2284" s="77"/>
      <c r="AO2284" s="77"/>
      <c r="AP2284" s="77"/>
      <c r="AQ2284" s="77"/>
      <c r="AR2284" s="77"/>
      <c r="AS2284" s="77"/>
      <c r="AT2284" s="77"/>
      <c r="AU2284" s="77"/>
      <c r="AV2284" s="80" t="str">
        <f>HYPERLINK("https://pbs.twimg.com/profile_images/1661790216250687500/purhJhH7_normal.jpg")</f>
        <v>https://pbs.twimg.com/profile_images/1661790216250687500/purhJhH7_normal.jpg</v>
      </c>
      <c r="AW2284" s="82" t="s">
        <v>14442</v>
      </c>
      <c r="AX2284" s="82" t="s">
        <v>14442</v>
      </c>
      <c r="AY2284" s="77"/>
      <c r="AZ2284" s="82" t="s">
        <v>15804</v>
      </c>
      <c r="BA2284" s="82" t="s">
        <v>15804</v>
      </c>
      <c r="BB2284" s="82" t="s">
        <v>15804</v>
      </c>
      <c r="BC2284" s="82" t="s">
        <v>14442</v>
      </c>
      <c r="BD2284" s="82" t="s">
        <v>16520</v>
      </c>
      <c r="BE2284" s="77"/>
      <c r="BF2284" s="77"/>
      <c r="BG2284" s="77"/>
      <c r="BH2284" s="77"/>
      <c r="BI2284" s="77"/>
    </row>
    <row r="2285" spans="1:61" x14ac:dyDescent="0.25">
      <c r="A2285" s="62" t="s">
        <v>894</v>
      </c>
      <c r="B2285" s="62" t="s">
        <v>894</v>
      </c>
      <c r="C2285" s="63"/>
      <c r="D2285" s="64"/>
      <c r="E2285" s="65"/>
      <c r="F2285" s="66"/>
      <c r="G2285" s="63"/>
      <c r="H2285" s="67"/>
      <c r="I2285" s="68"/>
      <c r="J2285" s="68"/>
      <c r="K2285" s="32"/>
      <c r="L2285" s="75">
        <v>2285</v>
      </c>
      <c r="M2285" s="75"/>
      <c r="N2285" s="70"/>
      <c r="O2285" s="77" t="s">
        <v>1132</v>
      </c>
      <c r="P2285" s="79">
        <v>45144.468738425923</v>
      </c>
      <c r="Q2285" s="77" t="s">
        <v>3330</v>
      </c>
      <c r="R2285" s="77">
        <v>1</v>
      </c>
      <c r="S2285" s="77">
        <v>1</v>
      </c>
      <c r="T2285" s="77">
        <v>1</v>
      </c>
      <c r="U2285" s="77">
        <v>0</v>
      </c>
      <c r="V2285" s="77">
        <v>113</v>
      </c>
      <c r="W2285" s="82" t="s">
        <v>5531</v>
      </c>
      <c r="X2285" s="80" t="str">
        <f>HYPERLINK("https://pugnaculum.com/curso-bitcoin-black-pill-a-rota-de-fuga-ao-grande-reset/")</f>
        <v>https://pugnaculum.com/curso-bitcoin-black-pill-a-rota-de-fuga-ao-grande-reset/</v>
      </c>
      <c r="Y2285" s="77" t="s">
        <v>6099</v>
      </c>
      <c r="Z2285" s="77"/>
      <c r="AA2285" s="77"/>
      <c r="AB2285" s="77"/>
      <c r="AC2285" s="82" t="s">
        <v>7706</v>
      </c>
      <c r="AD2285" s="77" t="s">
        <v>7745</v>
      </c>
      <c r="AE2285" s="80" t="str">
        <f>HYPERLINK("https://twitter.com/paladinrood/status/1688146645299445760")</f>
        <v>https://twitter.com/paladinrood/status/1688146645299445760</v>
      </c>
      <c r="AF2285" s="79">
        <v>45144.468738425923</v>
      </c>
      <c r="AG2285" s="85">
        <v>45144</v>
      </c>
      <c r="AH2285" s="82" t="s">
        <v>9787</v>
      </c>
      <c r="AI2285" s="77" t="b">
        <v>0</v>
      </c>
      <c r="AJ2285" s="77"/>
      <c r="AK2285" s="77"/>
      <c r="AL2285" s="77"/>
      <c r="AM2285" s="77"/>
      <c r="AN2285" s="77"/>
      <c r="AO2285" s="77"/>
      <c r="AP2285" s="77"/>
      <c r="AQ2285" s="77"/>
      <c r="AR2285" s="77"/>
      <c r="AS2285" s="77"/>
      <c r="AT2285" s="77"/>
      <c r="AU2285" s="77"/>
      <c r="AV2285" s="80" t="str">
        <f>HYPERLINK("https://pbs.twimg.com/profile_images/1673001624883666947/Bo66srxq_normal.jpg")</f>
        <v>https://pbs.twimg.com/profile_images/1673001624883666947/Bo66srxq_normal.jpg</v>
      </c>
      <c r="AW2285" s="82" t="s">
        <v>14443</v>
      </c>
      <c r="AX2285" s="82" t="s">
        <v>15552</v>
      </c>
      <c r="AY2285" s="82" t="s">
        <v>15780</v>
      </c>
      <c r="AZ2285" s="82" t="s">
        <v>16073</v>
      </c>
      <c r="BA2285" s="82" t="s">
        <v>15804</v>
      </c>
      <c r="BB2285" s="82" t="s">
        <v>15804</v>
      </c>
      <c r="BC2285" s="82" t="s">
        <v>16073</v>
      </c>
      <c r="BD2285" s="77">
        <v>15666651</v>
      </c>
      <c r="BE2285" s="77"/>
      <c r="BF2285" s="77"/>
      <c r="BG2285" s="77"/>
      <c r="BH2285" s="77"/>
      <c r="BI2285" s="77"/>
    </row>
    <row r="2286" spans="1:61" x14ac:dyDescent="0.25">
      <c r="A2286" s="62" t="s">
        <v>895</v>
      </c>
      <c r="B2286" s="62" t="s">
        <v>895</v>
      </c>
      <c r="C2286" s="63"/>
      <c r="D2286" s="64"/>
      <c r="E2286" s="65"/>
      <c r="F2286" s="66"/>
      <c r="G2286" s="63"/>
      <c r="H2286" s="67"/>
      <c r="I2286" s="68"/>
      <c r="J2286" s="68"/>
      <c r="K2286" s="32"/>
      <c r="L2286" s="75">
        <v>2286</v>
      </c>
      <c r="M2286" s="75"/>
      <c r="N2286" s="70"/>
      <c r="O2286" s="77" t="s">
        <v>179</v>
      </c>
      <c r="P2286" s="79">
        <v>44960.332268518519</v>
      </c>
      <c r="Q2286" s="77" t="s">
        <v>3331</v>
      </c>
      <c r="R2286" s="77">
        <v>0</v>
      </c>
      <c r="S2286" s="77">
        <v>1</v>
      </c>
      <c r="T2286" s="77">
        <v>0</v>
      </c>
      <c r="U2286" s="77">
        <v>0</v>
      </c>
      <c r="V2286" s="77">
        <v>5</v>
      </c>
      <c r="W2286" s="82" t="s">
        <v>5532</v>
      </c>
      <c r="X2286" s="77"/>
      <c r="Y2286" s="77"/>
      <c r="Z2286" s="77"/>
      <c r="AA2286" s="77"/>
      <c r="AB2286" s="77"/>
      <c r="AC2286" s="82" t="s">
        <v>7706</v>
      </c>
      <c r="AD2286" s="77" t="s">
        <v>7745</v>
      </c>
      <c r="AE2286" s="80" t="str">
        <f>HYPERLINK("https://twitter.com/siqueirainvesti/status/1621417826408882177")</f>
        <v>https://twitter.com/siqueirainvesti/status/1621417826408882177</v>
      </c>
      <c r="AF2286" s="79">
        <v>44960.332268518519</v>
      </c>
      <c r="AG2286" s="85">
        <v>44960</v>
      </c>
      <c r="AH2286" s="82" t="s">
        <v>9788</v>
      </c>
      <c r="AI2286" s="77"/>
      <c r="AJ2286" s="77"/>
      <c r="AK2286" s="77"/>
      <c r="AL2286" s="77"/>
      <c r="AM2286" s="77"/>
      <c r="AN2286" s="77"/>
      <c r="AO2286" s="77"/>
      <c r="AP2286" s="77"/>
      <c r="AQ2286" s="77"/>
      <c r="AR2286" s="77"/>
      <c r="AS2286" s="77"/>
      <c r="AT2286" s="77"/>
      <c r="AU2286" s="77"/>
      <c r="AV2286" s="80" t="str">
        <f>HYPERLINK("https://pbs.twimg.com/profile_images/1621041007750963202/_QjRanrF_normal.jpg")</f>
        <v>https://pbs.twimg.com/profile_images/1621041007750963202/_QjRanrF_normal.jpg</v>
      </c>
      <c r="AW2286" s="82" t="s">
        <v>14444</v>
      </c>
      <c r="AX2286" s="82" t="s">
        <v>14444</v>
      </c>
      <c r="AY2286" s="77"/>
      <c r="AZ2286" s="82" t="s">
        <v>15804</v>
      </c>
      <c r="BA2286" s="82" t="s">
        <v>15804</v>
      </c>
      <c r="BB2286" s="82" t="s">
        <v>15804</v>
      </c>
      <c r="BC2286" s="82" t="s">
        <v>14444</v>
      </c>
      <c r="BD2286" s="82" t="s">
        <v>16521</v>
      </c>
      <c r="BE2286" s="77"/>
      <c r="BF2286" s="77"/>
      <c r="BG2286" s="77"/>
      <c r="BH2286" s="77"/>
      <c r="BI2286" s="77"/>
    </row>
    <row r="2287" spans="1:61" x14ac:dyDescent="0.25">
      <c r="A2287" s="62" t="s">
        <v>896</v>
      </c>
      <c r="B2287" s="62" t="s">
        <v>1118</v>
      </c>
      <c r="C2287" s="63"/>
      <c r="D2287" s="64"/>
      <c r="E2287" s="65"/>
      <c r="F2287" s="66"/>
      <c r="G2287" s="63"/>
      <c r="H2287" s="67"/>
      <c r="I2287" s="68"/>
      <c r="J2287" s="68"/>
      <c r="K2287" s="32"/>
      <c r="L2287" s="75">
        <v>2287</v>
      </c>
      <c r="M2287" s="75"/>
      <c r="N2287" s="70"/>
      <c r="O2287" s="77" t="s">
        <v>1133</v>
      </c>
      <c r="P2287" s="79">
        <v>45035.753078703703</v>
      </c>
      <c r="Q2287" s="77" t="s">
        <v>3332</v>
      </c>
      <c r="R2287" s="77">
        <v>1</v>
      </c>
      <c r="S2287" s="77">
        <v>2</v>
      </c>
      <c r="T2287" s="77">
        <v>0</v>
      </c>
      <c r="U2287" s="77">
        <v>0</v>
      </c>
      <c r="V2287" s="77">
        <v>140</v>
      </c>
      <c r="W2287" s="82" t="s">
        <v>4219</v>
      </c>
      <c r="X2287" s="80" t="str">
        <f>HYPERLINK("https://claudia.abril.com.br/educacao/para-a-mulher-dominar-as-financas-e-tomar-as-redeas-da-vida/?fbclid=IwAR1Enu6zVx6F2VFMycrJwVFGCdGd_phIB-D9G-RhspJU2fCC73o-S-hai-0")</f>
        <v>https://claudia.abril.com.br/educacao/para-a-mulher-dominar-as-financas-e-tomar-as-redeas-da-vida/?fbclid=IwAR1Enu6zVx6F2VFMycrJwVFGCdGd_phIB-D9G-RhspJU2fCC73o-S-hai-0</v>
      </c>
      <c r="Y2287" s="77" t="s">
        <v>6002</v>
      </c>
      <c r="Z2287" s="77" t="s">
        <v>1118</v>
      </c>
      <c r="AA2287" s="77" t="s">
        <v>7439</v>
      </c>
      <c r="AB2287" s="77" t="s">
        <v>7696</v>
      </c>
      <c r="AC2287" s="82" t="s">
        <v>7706</v>
      </c>
      <c r="AD2287" s="77" t="s">
        <v>7745</v>
      </c>
      <c r="AE2287" s="80" t="str">
        <f>HYPERLINK("https://twitter.com/claudiaonline/status/1648749411369902093")</f>
        <v>https://twitter.com/claudiaonline/status/1648749411369902093</v>
      </c>
      <c r="AF2287" s="79">
        <v>45035.753078703703</v>
      </c>
      <c r="AG2287" s="85">
        <v>45035</v>
      </c>
      <c r="AH2287" s="82" t="s">
        <v>9789</v>
      </c>
      <c r="AI2287" s="77" t="b">
        <v>0</v>
      </c>
      <c r="AJ2287" s="77"/>
      <c r="AK2287" s="77"/>
      <c r="AL2287" s="77"/>
      <c r="AM2287" s="77"/>
      <c r="AN2287" s="77"/>
      <c r="AO2287" s="77"/>
      <c r="AP2287" s="77"/>
      <c r="AQ2287" s="77" t="s">
        <v>11946</v>
      </c>
      <c r="AR2287" s="77"/>
      <c r="AS2287" s="77"/>
      <c r="AT2287" s="77"/>
      <c r="AU2287" s="77"/>
      <c r="AV2287" s="80" t="str">
        <f>HYPERLINK("https://pbs.twimg.com/media/FuGImyuWYAUVdSJ.jpg")</f>
        <v>https://pbs.twimg.com/media/FuGImyuWYAUVdSJ.jpg</v>
      </c>
      <c r="AW2287" s="82" t="s">
        <v>14445</v>
      </c>
      <c r="AX2287" s="82" t="s">
        <v>14445</v>
      </c>
      <c r="AY2287" s="77"/>
      <c r="AZ2287" s="82" t="s">
        <v>15804</v>
      </c>
      <c r="BA2287" s="82" t="s">
        <v>15804</v>
      </c>
      <c r="BB2287" s="82" t="s">
        <v>15804</v>
      </c>
      <c r="BC2287" s="82" t="s">
        <v>14445</v>
      </c>
      <c r="BD2287" s="77">
        <v>17620198</v>
      </c>
      <c r="BE2287" s="77"/>
      <c r="BF2287" s="77"/>
      <c r="BG2287" s="77"/>
      <c r="BH2287" s="77"/>
      <c r="BI2287" s="77"/>
    </row>
    <row r="2288" spans="1:61" x14ac:dyDescent="0.25">
      <c r="A2288" s="62" t="s">
        <v>897</v>
      </c>
      <c r="B2288" s="62" t="s">
        <v>1119</v>
      </c>
      <c r="C2288" s="63"/>
      <c r="D2288" s="64"/>
      <c r="E2288" s="65"/>
      <c r="F2288" s="66"/>
      <c r="G2288" s="63"/>
      <c r="H2288" s="67"/>
      <c r="I2288" s="68"/>
      <c r="J2288" s="68"/>
      <c r="K2288" s="32"/>
      <c r="L2288" s="75">
        <v>2288</v>
      </c>
      <c r="M2288" s="75"/>
      <c r="N2288" s="70"/>
      <c r="O2288" s="77" t="s">
        <v>1132</v>
      </c>
      <c r="P2288" s="79">
        <v>45166.074849537035</v>
      </c>
      <c r="Q2288" s="77" t="s">
        <v>3333</v>
      </c>
      <c r="R2288" s="77">
        <v>0</v>
      </c>
      <c r="S2288" s="77">
        <v>0</v>
      </c>
      <c r="T2288" s="77">
        <v>1</v>
      </c>
      <c r="U2288" s="77">
        <v>0</v>
      </c>
      <c r="V2288" s="77">
        <v>48</v>
      </c>
      <c r="W2288" s="82" t="s">
        <v>4080</v>
      </c>
      <c r="X2288" s="77"/>
      <c r="Y2288" s="77"/>
      <c r="Z2288" s="77" t="s">
        <v>1119</v>
      </c>
      <c r="AA2288" s="77"/>
      <c r="AB2288" s="77"/>
      <c r="AC2288" s="82" t="s">
        <v>7707</v>
      </c>
      <c r="AD2288" s="77" t="s">
        <v>7745</v>
      </c>
      <c r="AE2288" s="80" t="str">
        <f>HYPERLINK("https://twitter.com/lukkkkhadd/status/1695976438908805173")</f>
        <v>https://twitter.com/lukkkkhadd/status/1695976438908805173</v>
      </c>
      <c r="AF2288" s="79">
        <v>45166.074849537035</v>
      </c>
      <c r="AG2288" s="85">
        <v>45166</v>
      </c>
      <c r="AH2288" s="82" t="s">
        <v>9790</v>
      </c>
      <c r="AI2288" s="77"/>
      <c r="AJ2288" s="77"/>
      <c r="AK2288" s="77"/>
      <c r="AL2288" s="77"/>
      <c r="AM2288" s="77"/>
      <c r="AN2288" s="77"/>
      <c r="AO2288" s="77"/>
      <c r="AP2288" s="77"/>
      <c r="AQ2288" s="77"/>
      <c r="AR2288" s="77"/>
      <c r="AS2288" s="77"/>
      <c r="AT2288" s="77"/>
      <c r="AU2288" s="77"/>
      <c r="AV2288" s="80" t="str">
        <f>HYPERLINK("https://pbs.twimg.com/profile_images/1700750359151439872/91ZoSoBg_normal.jpg")</f>
        <v>https://pbs.twimg.com/profile_images/1700750359151439872/91ZoSoBg_normal.jpg</v>
      </c>
      <c r="AW2288" s="82" t="s">
        <v>14446</v>
      </c>
      <c r="AX2288" s="82" t="s">
        <v>15553</v>
      </c>
      <c r="AY2288" s="82" t="s">
        <v>15781</v>
      </c>
      <c r="AZ2288" s="82" t="s">
        <v>15553</v>
      </c>
      <c r="BA2288" s="82" t="s">
        <v>15804</v>
      </c>
      <c r="BB2288" s="82" t="s">
        <v>15804</v>
      </c>
      <c r="BC2288" s="82" t="s">
        <v>15553</v>
      </c>
      <c r="BD2288" s="82" t="s">
        <v>16522</v>
      </c>
      <c r="BE2288" s="77"/>
      <c r="BF2288" s="77"/>
      <c r="BG2288" s="77"/>
      <c r="BH2288" s="77"/>
      <c r="BI2288" s="77"/>
    </row>
    <row r="2289" spans="1:61" x14ac:dyDescent="0.25">
      <c r="A2289" s="62" t="s">
        <v>898</v>
      </c>
      <c r="B2289" s="62" t="s">
        <v>898</v>
      </c>
      <c r="C2289" s="63"/>
      <c r="D2289" s="64"/>
      <c r="E2289" s="65"/>
      <c r="F2289" s="66"/>
      <c r="G2289" s="63"/>
      <c r="H2289" s="67"/>
      <c r="I2289" s="68"/>
      <c r="J2289" s="68"/>
      <c r="K2289" s="32"/>
      <c r="L2289" s="75">
        <v>2289</v>
      </c>
      <c r="M2289" s="75"/>
      <c r="N2289" s="70"/>
      <c r="O2289" s="77" t="s">
        <v>1133</v>
      </c>
      <c r="P2289" s="79">
        <v>45096.10423611111</v>
      </c>
      <c r="Q2289" s="77" t="s">
        <v>3334</v>
      </c>
      <c r="R2289" s="77">
        <v>1</v>
      </c>
      <c r="S2289" s="77">
        <v>0</v>
      </c>
      <c r="T2289" s="77">
        <v>0</v>
      </c>
      <c r="U2289" s="77">
        <v>0</v>
      </c>
      <c r="V2289" s="77">
        <v>46</v>
      </c>
      <c r="W2289" s="82" t="s">
        <v>5533</v>
      </c>
      <c r="X2289" s="77"/>
      <c r="Y2289" s="77"/>
      <c r="Z2289" s="77" t="s">
        <v>898</v>
      </c>
      <c r="AA2289" s="77"/>
      <c r="AB2289" s="77"/>
      <c r="AC2289" s="82" t="s">
        <v>7705</v>
      </c>
      <c r="AD2289" s="77" t="s">
        <v>7745</v>
      </c>
      <c r="AE2289" s="80" t="str">
        <f>HYPERLINK("https://twitter.com/otaciotrader/status/1670619939110109184")</f>
        <v>https://twitter.com/otaciotrader/status/1670619939110109184</v>
      </c>
      <c r="AF2289" s="79">
        <v>45096.10423611111</v>
      </c>
      <c r="AG2289" s="85">
        <v>45096</v>
      </c>
      <c r="AH2289" s="82" t="s">
        <v>9791</v>
      </c>
      <c r="AI2289" s="77"/>
      <c r="AJ2289" s="77"/>
      <c r="AK2289" s="77"/>
      <c r="AL2289" s="77"/>
      <c r="AM2289" s="77"/>
      <c r="AN2289" s="77"/>
      <c r="AO2289" s="77"/>
      <c r="AP2289" s="77"/>
      <c r="AQ2289" s="77"/>
      <c r="AR2289" s="77"/>
      <c r="AS2289" s="77"/>
      <c r="AT2289" s="77"/>
      <c r="AU2289" s="77"/>
      <c r="AV2289" s="80" t="str">
        <f>HYPERLINK("https://pbs.twimg.com/profile_images/1668433230041628672/EDPPm-UP_normal.jpg")</f>
        <v>https://pbs.twimg.com/profile_images/1668433230041628672/EDPPm-UP_normal.jpg</v>
      </c>
      <c r="AW2289" s="82" t="s">
        <v>14447</v>
      </c>
      <c r="AX2289" s="82" t="s">
        <v>14447</v>
      </c>
      <c r="AY2289" s="77"/>
      <c r="AZ2289" s="82" t="s">
        <v>15804</v>
      </c>
      <c r="BA2289" s="82" t="s">
        <v>15804</v>
      </c>
      <c r="BB2289" s="82" t="s">
        <v>15804</v>
      </c>
      <c r="BC2289" s="82" t="s">
        <v>14447</v>
      </c>
      <c r="BD2289" s="77">
        <v>209396548</v>
      </c>
      <c r="BE2289" s="77"/>
      <c r="BF2289" s="77"/>
      <c r="BG2289" s="77"/>
      <c r="BH2289" s="77"/>
      <c r="BI2289" s="77"/>
    </row>
    <row r="2290" spans="1:61" x14ac:dyDescent="0.25">
      <c r="A2290" s="62" t="s">
        <v>899</v>
      </c>
      <c r="B2290" s="62" t="s">
        <v>899</v>
      </c>
      <c r="C2290" s="63"/>
      <c r="D2290" s="64"/>
      <c r="E2290" s="65"/>
      <c r="F2290" s="66"/>
      <c r="G2290" s="63"/>
      <c r="H2290" s="67"/>
      <c r="I2290" s="68"/>
      <c r="J2290" s="68"/>
      <c r="K2290" s="32"/>
      <c r="L2290" s="75">
        <v>2290</v>
      </c>
      <c r="M2290" s="75"/>
      <c r="N2290" s="70"/>
      <c r="O2290" s="77" t="s">
        <v>179</v>
      </c>
      <c r="P2290" s="79">
        <v>45119.197048611109</v>
      </c>
      <c r="Q2290" s="77" t="s">
        <v>3335</v>
      </c>
      <c r="R2290" s="77">
        <v>1</v>
      </c>
      <c r="S2290" s="77">
        <v>1</v>
      </c>
      <c r="T2290" s="77">
        <v>0</v>
      </c>
      <c r="U2290" s="77">
        <v>0</v>
      </c>
      <c r="V2290" s="77">
        <v>77</v>
      </c>
      <c r="W2290" s="82" t="s">
        <v>5534</v>
      </c>
      <c r="X2290" s="77"/>
      <c r="Y2290" s="77"/>
      <c r="Z2290" s="77"/>
      <c r="AA2290" s="77" t="s">
        <v>7440</v>
      </c>
      <c r="AB2290" s="77" t="s">
        <v>7696</v>
      </c>
      <c r="AC2290" s="82" t="s">
        <v>7706</v>
      </c>
      <c r="AD2290" s="77" t="s">
        <v>7747</v>
      </c>
      <c r="AE2290" s="80" t="str">
        <f>HYPERLINK("https://twitter.com/holistic_invest/status/1678988491764514817")</f>
        <v>https://twitter.com/holistic_invest/status/1678988491764514817</v>
      </c>
      <c r="AF2290" s="79">
        <v>45119.197048611109</v>
      </c>
      <c r="AG2290" s="85">
        <v>45119</v>
      </c>
      <c r="AH2290" s="82" t="s">
        <v>9792</v>
      </c>
      <c r="AI2290" s="77" t="b">
        <v>0</v>
      </c>
      <c r="AJ2290" s="77"/>
      <c r="AK2290" s="77"/>
      <c r="AL2290" s="77"/>
      <c r="AM2290" s="77"/>
      <c r="AN2290" s="77"/>
      <c r="AO2290" s="77"/>
      <c r="AP2290" s="77"/>
      <c r="AQ2290" s="77" t="s">
        <v>11947</v>
      </c>
      <c r="AR2290" s="77"/>
      <c r="AS2290" s="77"/>
      <c r="AT2290" s="77"/>
      <c r="AU2290" s="77"/>
      <c r="AV2290" s="80" t="str">
        <f>HYPERLINK("https://pbs.twimg.com/media/F0z3GWlWwAEx-kT.png")</f>
        <v>https://pbs.twimg.com/media/F0z3GWlWwAEx-kT.png</v>
      </c>
      <c r="AW2290" s="82" t="s">
        <v>14448</v>
      </c>
      <c r="AX2290" s="82" t="s">
        <v>14448</v>
      </c>
      <c r="AY2290" s="77"/>
      <c r="AZ2290" s="82" t="s">
        <v>15804</v>
      </c>
      <c r="BA2290" s="82" t="s">
        <v>15804</v>
      </c>
      <c r="BB2290" s="82" t="s">
        <v>15804</v>
      </c>
      <c r="BC2290" s="82" t="s">
        <v>14448</v>
      </c>
      <c r="BD2290" s="82" t="s">
        <v>16523</v>
      </c>
      <c r="BE2290" s="77"/>
      <c r="BF2290" s="77"/>
      <c r="BG2290" s="77"/>
      <c r="BH2290" s="77"/>
      <c r="BI2290" s="77"/>
    </row>
    <row r="2291" spans="1:61" x14ac:dyDescent="0.25">
      <c r="A2291" s="62" t="s">
        <v>900</v>
      </c>
      <c r="B2291" s="62" t="s">
        <v>900</v>
      </c>
      <c r="C2291" s="63"/>
      <c r="D2291" s="64"/>
      <c r="E2291" s="65"/>
      <c r="F2291" s="66"/>
      <c r="G2291" s="63"/>
      <c r="H2291" s="67"/>
      <c r="I2291" s="68"/>
      <c r="J2291" s="68"/>
      <c r="K2291" s="32"/>
      <c r="L2291" s="75">
        <v>2291</v>
      </c>
      <c r="M2291" s="75"/>
      <c r="N2291" s="70"/>
      <c r="O2291" s="77" t="s">
        <v>179</v>
      </c>
      <c r="P2291" s="79">
        <v>45086.558865740742</v>
      </c>
      <c r="Q2291" s="77" t="s">
        <v>3336</v>
      </c>
      <c r="R2291" s="77">
        <v>0</v>
      </c>
      <c r="S2291" s="77">
        <v>1</v>
      </c>
      <c r="T2291" s="77">
        <v>0</v>
      </c>
      <c r="U2291" s="77">
        <v>0</v>
      </c>
      <c r="V2291" s="77">
        <v>7</v>
      </c>
      <c r="W2291" s="82" t="s">
        <v>5535</v>
      </c>
      <c r="X2291" s="80" t="str">
        <f>HYPERLINK("http://wix.to/19LYJz4")</f>
        <v>http://wix.to/19LYJz4</v>
      </c>
      <c r="Y2291" s="77" t="s">
        <v>6084</v>
      </c>
      <c r="Z2291" s="77"/>
      <c r="AA2291" s="77"/>
      <c r="AB2291" s="77"/>
      <c r="AC2291" s="82" t="s">
        <v>7735</v>
      </c>
      <c r="AD2291" s="77" t="s">
        <v>7745</v>
      </c>
      <c r="AE2291" s="80" t="str">
        <f>HYPERLINK("https://twitter.com/osmarangelin/status/1667160811704557568")</f>
        <v>https://twitter.com/osmarangelin/status/1667160811704557568</v>
      </c>
      <c r="AF2291" s="79">
        <v>45086.558865740742</v>
      </c>
      <c r="AG2291" s="85">
        <v>45086</v>
      </c>
      <c r="AH2291" s="82" t="s">
        <v>9793</v>
      </c>
      <c r="AI2291" s="77" t="b">
        <v>0</v>
      </c>
      <c r="AJ2291" s="77"/>
      <c r="AK2291" s="77"/>
      <c r="AL2291" s="77"/>
      <c r="AM2291" s="77"/>
      <c r="AN2291" s="77"/>
      <c r="AO2291" s="77"/>
      <c r="AP2291" s="77"/>
      <c r="AQ2291" s="77"/>
      <c r="AR2291" s="77"/>
      <c r="AS2291" s="77"/>
      <c r="AT2291" s="77"/>
      <c r="AU2291" s="77"/>
      <c r="AV2291" s="80" t="str">
        <f>HYPERLINK("https://pbs.twimg.com/profile_images/1373401737772552198/KL8Tufj1_normal.jpg")</f>
        <v>https://pbs.twimg.com/profile_images/1373401737772552198/KL8Tufj1_normal.jpg</v>
      </c>
      <c r="AW2291" s="82" t="s">
        <v>14449</v>
      </c>
      <c r="AX2291" s="82" t="s">
        <v>14449</v>
      </c>
      <c r="AY2291" s="77"/>
      <c r="AZ2291" s="82" t="s">
        <v>15804</v>
      </c>
      <c r="BA2291" s="82" t="s">
        <v>15804</v>
      </c>
      <c r="BB2291" s="82" t="s">
        <v>15804</v>
      </c>
      <c r="BC2291" s="82" t="s">
        <v>14449</v>
      </c>
      <c r="BD2291" s="77">
        <v>2874080791</v>
      </c>
      <c r="BE2291" s="77"/>
      <c r="BF2291" s="77"/>
      <c r="BG2291" s="77"/>
      <c r="BH2291" s="77"/>
      <c r="BI2291" s="77"/>
    </row>
    <row r="2292" spans="1:61" x14ac:dyDescent="0.25">
      <c r="A2292" s="62" t="s">
        <v>901</v>
      </c>
      <c r="B2292" s="62" t="s">
        <v>901</v>
      </c>
      <c r="C2292" s="63"/>
      <c r="D2292" s="64"/>
      <c r="E2292" s="65"/>
      <c r="F2292" s="66"/>
      <c r="G2292" s="63"/>
      <c r="H2292" s="67"/>
      <c r="I2292" s="68"/>
      <c r="J2292" s="68"/>
      <c r="K2292" s="32"/>
      <c r="L2292" s="75">
        <v>2292</v>
      </c>
      <c r="M2292" s="75"/>
      <c r="N2292" s="70"/>
      <c r="O2292" s="77" t="s">
        <v>1132</v>
      </c>
      <c r="P2292" s="79">
        <v>45060.034479166665</v>
      </c>
      <c r="Q2292" s="77" t="s">
        <v>3337</v>
      </c>
      <c r="R2292" s="77">
        <v>0</v>
      </c>
      <c r="S2292" s="77">
        <v>0</v>
      </c>
      <c r="T2292" s="77">
        <v>1</v>
      </c>
      <c r="U2292" s="77">
        <v>0</v>
      </c>
      <c r="V2292" s="77">
        <v>7</v>
      </c>
      <c r="W2292" s="82" t="s">
        <v>4080</v>
      </c>
      <c r="X2292" s="77"/>
      <c r="Y2292" s="77"/>
      <c r="Z2292" s="77"/>
      <c r="AA2292" s="77"/>
      <c r="AB2292" s="77"/>
      <c r="AC2292" s="82" t="s">
        <v>7705</v>
      </c>
      <c r="AD2292" s="77" t="s">
        <v>7745</v>
      </c>
      <c r="AE2292" s="80" t="str">
        <f>HYPERLINK("https://twitter.com/marceloamartino/status/1657548696714608641")</f>
        <v>https://twitter.com/marceloamartino/status/1657548696714608641</v>
      </c>
      <c r="AF2292" s="79">
        <v>45060.034479166665</v>
      </c>
      <c r="AG2292" s="85">
        <v>45060</v>
      </c>
      <c r="AH2292" s="82" t="s">
        <v>9794</v>
      </c>
      <c r="AI2292" s="77"/>
      <c r="AJ2292" s="77"/>
      <c r="AK2292" s="77"/>
      <c r="AL2292" s="77"/>
      <c r="AM2292" s="77"/>
      <c r="AN2292" s="77"/>
      <c r="AO2292" s="77"/>
      <c r="AP2292" s="77"/>
      <c r="AQ2292" s="77"/>
      <c r="AR2292" s="77"/>
      <c r="AS2292" s="77"/>
      <c r="AT2292" s="77"/>
      <c r="AU2292" s="77"/>
      <c r="AV2292" s="80" t="str">
        <f>HYPERLINK("https://pbs.twimg.com/profile_images/1657702835369197568/uTY1mPw4_normal.jpg")</f>
        <v>https://pbs.twimg.com/profile_images/1657702835369197568/uTY1mPw4_normal.jpg</v>
      </c>
      <c r="AW2292" s="82" t="s">
        <v>14450</v>
      </c>
      <c r="AX2292" s="82" t="s">
        <v>15554</v>
      </c>
      <c r="AY2292" s="82" t="s">
        <v>15782</v>
      </c>
      <c r="AZ2292" s="82" t="s">
        <v>15554</v>
      </c>
      <c r="BA2292" s="82" t="s">
        <v>15804</v>
      </c>
      <c r="BB2292" s="82" t="s">
        <v>15804</v>
      </c>
      <c r="BC2292" s="82" t="s">
        <v>15554</v>
      </c>
      <c r="BD2292" s="77">
        <v>3066337923</v>
      </c>
      <c r="BE2292" s="77"/>
      <c r="BF2292" s="77"/>
      <c r="BG2292" s="77"/>
      <c r="BH2292" s="77"/>
      <c r="BI2292" s="77"/>
    </row>
    <row r="2293" spans="1:61" x14ac:dyDescent="0.25">
      <c r="A2293" s="62" t="s">
        <v>902</v>
      </c>
      <c r="B2293" s="62" t="s">
        <v>902</v>
      </c>
      <c r="C2293" s="63"/>
      <c r="D2293" s="64"/>
      <c r="E2293" s="65"/>
      <c r="F2293" s="66"/>
      <c r="G2293" s="63"/>
      <c r="H2293" s="67"/>
      <c r="I2293" s="68"/>
      <c r="J2293" s="68"/>
      <c r="K2293" s="32"/>
      <c r="L2293" s="75">
        <v>2293</v>
      </c>
      <c r="M2293" s="75"/>
      <c r="N2293" s="70"/>
      <c r="O2293" s="77" t="s">
        <v>179</v>
      </c>
      <c r="P2293" s="79">
        <v>44961.000590277778</v>
      </c>
      <c r="Q2293" s="77" t="s">
        <v>3338</v>
      </c>
      <c r="R2293" s="77">
        <v>0</v>
      </c>
      <c r="S2293" s="77">
        <v>0</v>
      </c>
      <c r="T2293" s="77">
        <v>0</v>
      </c>
      <c r="U2293" s="77">
        <v>0</v>
      </c>
      <c r="V2293" s="77">
        <v>9</v>
      </c>
      <c r="W2293" s="82" t="s">
        <v>5536</v>
      </c>
      <c r="X2293" s="77"/>
      <c r="Y2293" s="77"/>
      <c r="Z2293" s="77"/>
      <c r="AA2293" s="77"/>
      <c r="AB2293" s="77"/>
      <c r="AC2293" s="82" t="s">
        <v>7708</v>
      </c>
      <c r="AD2293" s="77" t="s">
        <v>7745</v>
      </c>
      <c r="AE2293" s="80" t="str">
        <f>HYPERLINK("https://twitter.com/bbank_oficial/status/1621660014598410241")</f>
        <v>https://twitter.com/bbank_oficial/status/1621660014598410241</v>
      </c>
      <c r="AF2293" s="79">
        <v>44961.000590277778</v>
      </c>
      <c r="AG2293" s="85">
        <v>44961</v>
      </c>
      <c r="AH2293" s="82" t="s">
        <v>9795</v>
      </c>
      <c r="AI2293" s="77"/>
      <c r="AJ2293" s="77"/>
      <c r="AK2293" s="77"/>
      <c r="AL2293" s="77"/>
      <c r="AM2293" s="77"/>
      <c r="AN2293" s="77"/>
      <c r="AO2293" s="77"/>
      <c r="AP2293" s="77"/>
      <c r="AQ2293" s="77"/>
      <c r="AR2293" s="77"/>
      <c r="AS2293" s="77"/>
      <c r="AT2293" s="77"/>
      <c r="AU2293" s="77"/>
      <c r="AV2293" s="80" t="str">
        <f>HYPERLINK("https://pbs.twimg.com/profile_images/1615065915862786049/zsYw7YMh_normal.jpg")</f>
        <v>https://pbs.twimg.com/profile_images/1615065915862786049/zsYw7YMh_normal.jpg</v>
      </c>
      <c r="AW2293" s="82" t="s">
        <v>14451</v>
      </c>
      <c r="AX2293" s="82" t="s">
        <v>14451</v>
      </c>
      <c r="AY2293" s="77"/>
      <c r="AZ2293" s="82" t="s">
        <v>15804</v>
      </c>
      <c r="BA2293" s="82" t="s">
        <v>15804</v>
      </c>
      <c r="BB2293" s="82" t="s">
        <v>15804</v>
      </c>
      <c r="BC2293" s="82" t="s">
        <v>14451</v>
      </c>
      <c r="BD2293" s="82" t="s">
        <v>16524</v>
      </c>
      <c r="BE2293" s="77"/>
      <c r="BF2293" s="77"/>
      <c r="BG2293" s="77"/>
      <c r="BH2293" s="77"/>
      <c r="BI2293" s="77"/>
    </row>
    <row r="2294" spans="1:61" x14ac:dyDescent="0.25">
      <c r="A2294" s="62" t="s">
        <v>903</v>
      </c>
      <c r="B2294" s="62" t="s">
        <v>903</v>
      </c>
      <c r="C2294" s="63"/>
      <c r="D2294" s="64"/>
      <c r="E2294" s="65"/>
      <c r="F2294" s="66"/>
      <c r="G2294" s="63"/>
      <c r="H2294" s="67"/>
      <c r="I2294" s="68"/>
      <c r="J2294" s="68"/>
      <c r="K2294" s="32"/>
      <c r="L2294" s="75">
        <v>2294</v>
      </c>
      <c r="M2294" s="75"/>
      <c r="N2294" s="70"/>
      <c r="O2294" s="77" t="s">
        <v>179</v>
      </c>
      <c r="P2294" s="79">
        <v>44965.512499999997</v>
      </c>
      <c r="Q2294" s="77" t="s">
        <v>3339</v>
      </c>
      <c r="R2294" s="77">
        <v>1</v>
      </c>
      <c r="S2294" s="77">
        <v>2</v>
      </c>
      <c r="T2294" s="77">
        <v>0</v>
      </c>
      <c r="U2294" s="77">
        <v>0</v>
      </c>
      <c r="V2294" s="77">
        <v>831</v>
      </c>
      <c r="W2294" s="82" t="s">
        <v>5537</v>
      </c>
      <c r="X2294" s="80" t="str">
        <f>HYPERLINK("https://www.instagram.com/p/CoZq_douQyw/?igshid=YTgzYjQ4ZTY=")</f>
        <v>https://www.instagram.com/p/CoZq_douQyw/?igshid=YTgzYjQ4ZTY=</v>
      </c>
      <c r="Y2294" s="77" t="s">
        <v>6000</v>
      </c>
      <c r="Z2294" s="77"/>
      <c r="AA2294" s="77"/>
      <c r="AB2294" s="77"/>
      <c r="AC2294" s="82" t="s">
        <v>7704</v>
      </c>
      <c r="AD2294" s="77" t="s">
        <v>7745</v>
      </c>
      <c r="AE2294" s="80" t="str">
        <f>HYPERLINK("https://twitter.com/apencapital/status/1623295077660368897")</f>
        <v>https://twitter.com/apencapital/status/1623295077660368897</v>
      </c>
      <c r="AF2294" s="79">
        <v>44965.512499999997</v>
      </c>
      <c r="AG2294" s="85">
        <v>44965</v>
      </c>
      <c r="AH2294" s="82" t="s">
        <v>9796</v>
      </c>
      <c r="AI2294" s="77" t="b">
        <v>0</v>
      </c>
      <c r="AJ2294" s="77" t="s">
        <v>10545</v>
      </c>
      <c r="AK2294" s="77" t="s">
        <v>10552</v>
      </c>
      <c r="AL2294" s="77" t="s">
        <v>10555</v>
      </c>
      <c r="AM2294" s="77" t="s">
        <v>10582</v>
      </c>
      <c r="AN2294" s="77" t="s">
        <v>10612</v>
      </c>
      <c r="AO2294" s="77" t="s">
        <v>10643</v>
      </c>
      <c r="AP2294" s="77" t="s">
        <v>10649</v>
      </c>
      <c r="AQ2294" s="77"/>
      <c r="AR2294" s="77"/>
      <c r="AS2294" s="77"/>
      <c r="AT2294" s="77"/>
      <c r="AU2294" s="77"/>
      <c r="AV2294" s="80" t="str">
        <f>HYPERLINK("https://pbs.twimg.com/profile_images/1620466219324153873/9w-FAD1C_normal.jpg")</f>
        <v>https://pbs.twimg.com/profile_images/1620466219324153873/9w-FAD1C_normal.jpg</v>
      </c>
      <c r="AW2294" s="82" t="s">
        <v>14452</v>
      </c>
      <c r="AX2294" s="82" t="s">
        <v>14452</v>
      </c>
      <c r="AY2294" s="77"/>
      <c r="AZ2294" s="82" t="s">
        <v>15804</v>
      </c>
      <c r="BA2294" s="82" t="s">
        <v>15804</v>
      </c>
      <c r="BB2294" s="82" t="s">
        <v>15804</v>
      </c>
      <c r="BC2294" s="82" t="s">
        <v>14452</v>
      </c>
      <c r="BD2294" s="82" t="s">
        <v>16525</v>
      </c>
      <c r="BE2294" s="77"/>
      <c r="BF2294" s="77"/>
      <c r="BG2294" s="77"/>
      <c r="BH2294" s="77"/>
      <c r="BI2294" s="77"/>
    </row>
    <row r="2295" spans="1:61" x14ac:dyDescent="0.25">
      <c r="A2295" s="62" t="s">
        <v>903</v>
      </c>
      <c r="B2295" s="62" t="s">
        <v>903</v>
      </c>
      <c r="C2295" s="63"/>
      <c r="D2295" s="64"/>
      <c r="E2295" s="65"/>
      <c r="F2295" s="66"/>
      <c r="G2295" s="63"/>
      <c r="H2295" s="67"/>
      <c r="I2295" s="68"/>
      <c r="J2295" s="68"/>
      <c r="K2295" s="32"/>
      <c r="L2295" s="75">
        <v>2295</v>
      </c>
      <c r="M2295" s="75"/>
      <c r="N2295" s="70"/>
      <c r="O2295" s="77" t="s">
        <v>179</v>
      </c>
      <c r="P2295" s="79">
        <v>45021.504652777781</v>
      </c>
      <c r="Q2295" s="77" t="s">
        <v>3340</v>
      </c>
      <c r="R2295" s="77">
        <v>1</v>
      </c>
      <c r="S2295" s="77">
        <v>2</v>
      </c>
      <c r="T2295" s="77">
        <v>0</v>
      </c>
      <c r="U2295" s="77">
        <v>0</v>
      </c>
      <c r="V2295" s="77">
        <v>1946</v>
      </c>
      <c r="W2295" s="82" t="s">
        <v>5538</v>
      </c>
      <c r="X2295" s="77"/>
      <c r="Y2295" s="77"/>
      <c r="Z2295" s="77"/>
      <c r="AA2295" s="77" t="s">
        <v>7441</v>
      </c>
      <c r="AB2295" s="77" t="s">
        <v>7696</v>
      </c>
      <c r="AC2295" s="82" t="s">
        <v>7705</v>
      </c>
      <c r="AD2295" s="77" t="s">
        <v>7745</v>
      </c>
      <c r="AE2295" s="80" t="str">
        <f>HYPERLINK("https://twitter.com/apencapital/status/1643585952898580482")</f>
        <v>https://twitter.com/apencapital/status/1643585952898580482</v>
      </c>
      <c r="AF2295" s="79">
        <v>45021.504652777781</v>
      </c>
      <c r="AG2295" s="85">
        <v>45021</v>
      </c>
      <c r="AH2295" s="82" t="s">
        <v>9797</v>
      </c>
      <c r="AI2295" s="77" t="b">
        <v>0</v>
      </c>
      <c r="AJ2295" s="77" t="s">
        <v>10546</v>
      </c>
      <c r="AK2295" s="77" t="s">
        <v>10552</v>
      </c>
      <c r="AL2295" s="77" t="s">
        <v>10555</v>
      </c>
      <c r="AM2295" s="77" t="s">
        <v>10583</v>
      </c>
      <c r="AN2295" s="77" t="s">
        <v>10613</v>
      </c>
      <c r="AO2295" s="77" t="s">
        <v>10644</v>
      </c>
      <c r="AP2295" s="77" t="s">
        <v>10651</v>
      </c>
      <c r="AQ2295" s="77" t="s">
        <v>11948</v>
      </c>
      <c r="AR2295" s="77"/>
      <c r="AS2295" s="77"/>
      <c r="AT2295" s="77"/>
      <c r="AU2295" s="77"/>
      <c r="AV2295" s="80" t="str">
        <f>HYPERLINK("https://pbs.twimg.com/media/Fs8wtMYXwAEsHWT.jpg")</f>
        <v>https://pbs.twimg.com/media/Fs8wtMYXwAEsHWT.jpg</v>
      </c>
      <c r="AW2295" s="82" t="s">
        <v>14453</v>
      </c>
      <c r="AX2295" s="82" t="s">
        <v>14453</v>
      </c>
      <c r="AY2295" s="77"/>
      <c r="AZ2295" s="82" t="s">
        <v>15804</v>
      </c>
      <c r="BA2295" s="82" t="s">
        <v>15804</v>
      </c>
      <c r="BB2295" s="82" t="s">
        <v>15804</v>
      </c>
      <c r="BC2295" s="82" t="s">
        <v>14453</v>
      </c>
      <c r="BD2295" s="82" t="s">
        <v>16525</v>
      </c>
      <c r="BE2295" s="77"/>
      <c r="BF2295" s="77"/>
      <c r="BG2295" s="77"/>
      <c r="BH2295" s="77"/>
      <c r="BI2295" s="77"/>
    </row>
    <row r="2296" spans="1:61" x14ac:dyDescent="0.25">
      <c r="A2296" s="62" t="s">
        <v>903</v>
      </c>
      <c r="B2296" s="62" t="s">
        <v>903</v>
      </c>
      <c r="C2296" s="63"/>
      <c r="D2296" s="64"/>
      <c r="E2296" s="65"/>
      <c r="F2296" s="66"/>
      <c r="G2296" s="63"/>
      <c r="H2296" s="67"/>
      <c r="I2296" s="68"/>
      <c r="J2296" s="68"/>
      <c r="K2296" s="32"/>
      <c r="L2296" s="75">
        <v>2296</v>
      </c>
      <c r="M2296" s="75"/>
      <c r="N2296" s="70"/>
      <c r="O2296" s="77" t="s">
        <v>179</v>
      </c>
      <c r="P2296" s="79">
        <v>45000.625358796293</v>
      </c>
      <c r="Q2296" s="77" t="s">
        <v>3341</v>
      </c>
      <c r="R2296" s="77">
        <v>2</v>
      </c>
      <c r="S2296" s="77">
        <v>3</v>
      </c>
      <c r="T2296" s="77">
        <v>1</v>
      </c>
      <c r="U2296" s="77">
        <v>0</v>
      </c>
      <c r="V2296" s="77">
        <v>1196</v>
      </c>
      <c r="W2296" s="82" t="s">
        <v>5539</v>
      </c>
      <c r="X2296" s="77"/>
      <c r="Y2296" s="77"/>
      <c r="Z2296" s="77"/>
      <c r="AA2296" s="77" t="s">
        <v>7442</v>
      </c>
      <c r="AB2296" s="77" t="s">
        <v>7696</v>
      </c>
      <c r="AC2296" s="82" t="s">
        <v>7716</v>
      </c>
      <c r="AD2296" s="77" t="s">
        <v>7745</v>
      </c>
      <c r="AE2296" s="80" t="str">
        <f>HYPERLINK("https://twitter.com/apencapital/status/1636019553502220290")</f>
        <v>https://twitter.com/apencapital/status/1636019553502220290</v>
      </c>
      <c r="AF2296" s="79">
        <v>45000.625358796293</v>
      </c>
      <c r="AG2296" s="85">
        <v>45000</v>
      </c>
      <c r="AH2296" s="82" t="s">
        <v>9798</v>
      </c>
      <c r="AI2296" s="77" t="b">
        <v>0</v>
      </c>
      <c r="AJ2296" s="77"/>
      <c r="AK2296" s="77"/>
      <c r="AL2296" s="77"/>
      <c r="AM2296" s="77"/>
      <c r="AN2296" s="77"/>
      <c r="AO2296" s="77"/>
      <c r="AP2296" s="77"/>
      <c r="AQ2296" s="77" t="s">
        <v>11949</v>
      </c>
      <c r="AR2296" s="77"/>
      <c r="AS2296" s="77"/>
      <c r="AT2296" s="77"/>
      <c r="AU2296" s="77"/>
      <c r="AV2296" s="80" t="str">
        <f>HYPERLINK("https://pbs.twimg.com/media/FrRPHT6XoAEVYTz.jpg")</f>
        <v>https://pbs.twimg.com/media/FrRPHT6XoAEVYTz.jpg</v>
      </c>
      <c r="AW2296" s="82" t="s">
        <v>14454</v>
      </c>
      <c r="AX2296" s="82" t="s">
        <v>14454</v>
      </c>
      <c r="AY2296" s="77"/>
      <c r="AZ2296" s="82" t="s">
        <v>15804</v>
      </c>
      <c r="BA2296" s="82" t="s">
        <v>15804</v>
      </c>
      <c r="BB2296" s="82" t="s">
        <v>15804</v>
      </c>
      <c r="BC2296" s="82" t="s">
        <v>14454</v>
      </c>
      <c r="BD2296" s="82" t="s">
        <v>16525</v>
      </c>
      <c r="BE2296" s="77"/>
      <c r="BF2296" s="77"/>
      <c r="BG2296" s="77"/>
      <c r="BH2296" s="77"/>
      <c r="BI2296" s="77"/>
    </row>
    <row r="2297" spans="1:61" x14ac:dyDescent="0.25">
      <c r="A2297" s="62" t="s">
        <v>904</v>
      </c>
      <c r="B2297" s="62" t="s">
        <v>904</v>
      </c>
      <c r="C2297" s="63"/>
      <c r="D2297" s="64"/>
      <c r="E2297" s="65"/>
      <c r="F2297" s="66"/>
      <c r="G2297" s="63"/>
      <c r="H2297" s="67"/>
      <c r="I2297" s="68"/>
      <c r="J2297" s="68"/>
      <c r="K2297" s="32"/>
      <c r="L2297" s="75">
        <v>2297</v>
      </c>
      <c r="M2297" s="75"/>
      <c r="N2297" s="70"/>
      <c r="O2297" s="77" t="s">
        <v>179</v>
      </c>
      <c r="P2297" s="79">
        <v>45060.613113425927</v>
      </c>
      <c r="Q2297" s="77" t="s">
        <v>3342</v>
      </c>
      <c r="R2297" s="77">
        <v>0</v>
      </c>
      <c r="S2297" s="77">
        <v>1</v>
      </c>
      <c r="T2297" s="77">
        <v>0</v>
      </c>
      <c r="U2297" s="77">
        <v>0</v>
      </c>
      <c r="V2297" s="77">
        <v>18</v>
      </c>
      <c r="W2297" s="82" t="s">
        <v>5540</v>
      </c>
      <c r="X2297" s="77"/>
      <c r="Y2297" s="77"/>
      <c r="Z2297" s="77"/>
      <c r="AA2297" s="77" t="s">
        <v>7443</v>
      </c>
      <c r="AB2297" s="77" t="s">
        <v>7696</v>
      </c>
      <c r="AC2297" s="82" t="s">
        <v>7706</v>
      </c>
      <c r="AD2297" s="77" t="s">
        <v>7745</v>
      </c>
      <c r="AE2297" s="80" t="str">
        <f>HYPERLINK("https://twitter.com/admdagripsocks/status/1657758384999866372")</f>
        <v>https://twitter.com/admdagripsocks/status/1657758384999866372</v>
      </c>
      <c r="AF2297" s="79">
        <v>45060.613113425927</v>
      </c>
      <c r="AG2297" s="85">
        <v>45060</v>
      </c>
      <c r="AH2297" s="82" t="s">
        <v>9799</v>
      </c>
      <c r="AI2297" s="77" t="b">
        <v>0</v>
      </c>
      <c r="AJ2297" s="77"/>
      <c r="AK2297" s="77"/>
      <c r="AL2297" s="77"/>
      <c r="AM2297" s="77"/>
      <c r="AN2297" s="77"/>
      <c r="AO2297" s="77"/>
      <c r="AP2297" s="77"/>
      <c r="AQ2297" s="77" t="s">
        <v>11950</v>
      </c>
      <c r="AR2297" s="77"/>
      <c r="AS2297" s="77"/>
      <c r="AT2297" s="77"/>
      <c r="AU2297" s="77"/>
      <c r="AV2297" s="80" t="str">
        <f>HYPERLINK("https://pbs.twimg.com/media/FwGKc0JXsAEi9vY.jpg")</f>
        <v>https://pbs.twimg.com/media/FwGKc0JXsAEi9vY.jpg</v>
      </c>
      <c r="AW2297" s="82" t="s">
        <v>14455</v>
      </c>
      <c r="AX2297" s="82" t="s">
        <v>14455</v>
      </c>
      <c r="AY2297" s="77"/>
      <c r="AZ2297" s="82" t="s">
        <v>15804</v>
      </c>
      <c r="BA2297" s="82" t="s">
        <v>15804</v>
      </c>
      <c r="BB2297" s="82" t="s">
        <v>15804</v>
      </c>
      <c r="BC2297" s="82" t="s">
        <v>14455</v>
      </c>
      <c r="BD2297" s="82" t="s">
        <v>16526</v>
      </c>
      <c r="BE2297" s="77"/>
      <c r="BF2297" s="77"/>
      <c r="BG2297" s="77"/>
      <c r="BH2297" s="77"/>
      <c r="BI2297" s="77"/>
    </row>
    <row r="2298" spans="1:61" x14ac:dyDescent="0.25">
      <c r="A2298" s="62" t="s">
        <v>905</v>
      </c>
      <c r="B2298" s="62" t="s">
        <v>905</v>
      </c>
      <c r="C2298" s="63"/>
      <c r="D2298" s="64"/>
      <c r="E2298" s="65"/>
      <c r="F2298" s="66"/>
      <c r="G2298" s="63"/>
      <c r="H2298" s="67"/>
      <c r="I2298" s="68"/>
      <c r="J2298" s="68"/>
      <c r="K2298" s="32"/>
      <c r="L2298" s="75">
        <v>2298</v>
      </c>
      <c r="M2298" s="75"/>
      <c r="N2298" s="70"/>
      <c r="O2298" s="77" t="s">
        <v>179</v>
      </c>
      <c r="P2298" s="79">
        <v>45082.453125</v>
      </c>
      <c r="Q2298" s="77" t="s">
        <v>3343</v>
      </c>
      <c r="R2298" s="77">
        <v>0</v>
      </c>
      <c r="S2298" s="77">
        <v>0</v>
      </c>
      <c r="T2298" s="77">
        <v>0</v>
      </c>
      <c r="U2298" s="77">
        <v>0</v>
      </c>
      <c r="V2298" s="77">
        <v>27</v>
      </c>
      <c r="W2298" s="82" t="s">
        <v>5541</v>
      </c>
      <c r="X2298" s="80" t="str">
        <f>HYPERLINK("https://kambarico.com/reduza-mais-de-50-do-gasto-em-combustivel-com-este-truque/")</f>
        <v>https://kambarico.com/reduza-mais-de-50-do-gasto-em-combustivel-com-este-truque/</v>
      </c>
      <c r="Y2298" s="77" t="s">
        <v>6100</v>
      </c>
      <c r="Z2298" s="77"/>
      <c r="AA2298" s="77"/>
      <c r="AB2298" s="77"/>
      <c r="AC2298" s="82" t="s">
        <v>7706</v>
      </c>
      <c r="AD2298" s="77" t="s">
        <v>7745</v>
      </c>
      <c r="AE2298" s="80" t="str">
        <f>HYPERLINK("https://twitter.com/marciac42792937/status/1665672943035138049")</f>
        <v>https://twitter.com/marciac42792937/status/1665672943035138049</v>
      </c>
      <c r="AF2298" s="79">
        <v>45082.453125</v>
      </c>
      <c r="AG2298" s="85">
        <v>45082</v>
      </c>
      <c r="AH2298" s="82" t="s">
        <v>9800</v>
      </c>
      <c r="AI2298" s="77" t="b">
        <v>0</v>
      </c>
      <c r="AJ2298" s="77"/>
      <c r="AK2298" s="77"/>
      <c r="AL2298" s="77"/>
      <c r="AM2298" s="77"/>
      <c r="AN2298" s="77"/>
      <c r="AO2298" s="77"/>
      <c r="AP2298" s="77"/>
      <c r="AQ2298" s="77"/>
      <c r="AR2298" s="77"/>
      <c r="AS2298" s="77"/>
      <c r="AT2298" s="77"/>
      <c r="AU2298" s="77"/>
      <c r="AV2298" s="80" t="str">
        <f>HYPERLINK("https://pbs.twimg.com/profile_images/1580446254261321729/hTec8Vff_normal.jpg")</f>
        <v>https://pbs.twimg.com/profile_images/1580446254261321729/hTec8Vff_normal.jpg</v>
      </c>
      <c r="AW2298" s="82" t="s">
        <v>14456</v>
      </c>
      <c r="AX2298" s="82" t="s">
        <v>14456</v>
      </c>
      <c r="AY2298" s="77"/>
      <c r="AZ2298" s="82" t="s">
        <v>15804</v>
      </c>
      <c r="BA2298" s="82" t="s">
        <v>15804</v>
      </c>
      <c r="BB2298" s="82" t="s">
        <v>15804</v>
      </c>
      <c r="BC2298" s="82" t="s">
        <v>14456</v>
      </c>
      <c r="BD2298" s="82" t="s">
        <v>16527</v>
      </c>
      <c r="BE2298" s="77"/>
      <c r="BF2298" s="77"/>
      <c r="BG2298" s="77"/>
      <c r="BH2298" s="77"/>
      <c r="BI2298" s="77"/>
    </row>
    <row r="2299" spans="1:61" x14ac:dyDescent="0.25">
      <c r="A2299" s="62" t="s">
        <v>905</v>
      </c>
      <c r="B2299" s="62" t="s">
        <v>906</v>
      </c>
      <c r="C2299" s="63"/>
      <c r="D2299" s="64"/>
      <c r="E2299" s="65"/>
      <c r="F2299" s="66"/>
      <c r="G2299" s="63"/>
      <c r="H2299" s="67"/>
      <c r="I2299" s="68"/>
      <c r="J2299" s="68"/>
      <c r="K2299" s="32"/>
      <c r="L2299" s="75">
        <v>2299</v>
      </c>
      <c r="M2299" s="75"/>
      <c r="N2299" s="70"/>
      <c r="O2299" s="77" t="s">
        <v>1135</v>
      </c>
      <c r="P2299" s="79">
        <v>45090.679386574076</v>
      </c>
      <c r="Q2299" s="77" t="s">
        <v>3344</v>
      </c>
      <c r="R2299" s="77">
        <v>0</v>
      </c>
      <c r="S2299" s="77">
        <v>2</v>
      </c>
      <c r="T2299" s="77">
        <v>2</v>
      </c>
      <c r="U2299" s="77">
        <v>0</v>
      </c>
      <c r="V2299" s="77">
        <v>343</v>
      </c>
      <c r="W2299" s="82" t="s">
        <v>4097</v>
      </c>
      <c r="X2299" s="77"/>
      <c r="Y2299" s="77"/>
      <c r="Z2299" s="77"/>
      <c r="AA2299" s="77"/>
      <c r="AB2299" s="77"/>
      <c r="AC2299" s="82" t="s">
        <v>7706</v>
      </c>
      <c r="AD2299" s="77" t="s">
        <v>7745</v>
      </c>
      <c r="AE2299" s="80" t="str">
        <f>HYPERLINK("https://twitter.com/marciac42792937/status/1668654038806855680")</f>
        <v>https://twitter.com/marciac42792937/status/1668654038806855680</v>
      </c>
      <c r="AF2299" s="79">
        <v>45090.679386574076</v>
      </c>
      <c r="AG2299" s="85">
        <v>45090</v>
      </c>
      <c r="AH2299" s="82" t="s">
        <v>9801</v>
      </c>
      <c r="AI2299" s="77"/>
      <c r="AJ2299" s="77"/>
      <c r="AK2299" s="77"/>
      <c r="AL2299" s="77"/>
      <c r="AM2299" s="77"/>
      <c r="AN2299" s="77"/>
      <c r="AO2299" s="77"/>
      <c r="AP2299" s="77"/>
      <c r="AQ2299" s="77"/>
      <c r="AR2299" s="77"/>
      <c r="AS2299" s="77"/>
      <c r="AT2299" s="77"/>
      <c r="AU2299" s="77"/>
      <c r="AV2299" s="80" t="str">
        <f>HYPERLINK("https://pbs.twimg.com/profile_images/1580446254261321729/hTec8Vff_normal.jpg")</f>
        <v>https://pbs.twimg.com/profile_images/1580446254261321729/hTec8Vff_normal.jpg</v>
      </c>
      <c r="AW2299" s="82" t="s">
        <v>14457</v>
      </c>
      <c r="AX2299" s="82" t="s">
        <v>14457</v>
      </c>
      <c r="AY2299" s="77"/>
      <c r="AZ2299" s="82" t="s">
        <v>15804</v>
      </c>
      <c r="BA2299" s="82" t="s">
        <v>14475</v>
      </c>
      <c r="BB2299" s="82" t="s">
        <v>15804</v>
      </c>
      <c r="BC2299" s="82" t="s">
        <v>14475</v>
      </c>
      <c r="BD2299" s="82" t="s">
        <v>16527</v>
      </c>
      <c r="BE2299" s="77"/>
      <c r="BF2299" s="77"/>
      <c r="BG2299" s="77"/>
      <c r="BH2299" s="77"/>
      <c r="BI2299" s="77"/>
    </row>
    <row r="2300" spans="1:61" x14ac:dyDescent="0.25">
      <c r="A2300" s="62" t="s">
        <v>905</v>
      </c>
      <c r="B2300" s="62" t="s">
        <v>905</v>
      </c>
      <c r="C2300" s="63"/>
      <c r="D2300" s="64"/>
      <c r="E2300" s="65"/>
      <c r="F2300" s="66"/>
      <c r="G2300" s="63"/>
      <c r="H2300" s="67"/>
      <c r="I2300" s="68"/>
      <c r="J2300" s="68"/>
      <c r="K2300" s="32"/>
      <c r="L2300" s="75">
        <v>2300</v>
      </c>
      <c r="M2300" s="75"/>
      <c r="N2300" s="70"/>
      <c r="O2300" s="77" t="s">
        <v>179</v>
      </c>
      <c r="P2300" s="79">
        <v>44929.325601851851</v>
      </c>
      <c r="Q2300" s="77" t="s">
        <v>3345</v>
      </c>
      <c r="R2300" s="77">
        <v>0</v>
      </c>
      <c r="S2300" s="77">
        <v>0</v>
      </c>
      <c r="T2300" s="77">
        <v>0</v>
      </c>
      <c r="U2300" s="77">
        <v>0</v>
      </c>
      <c r="V2300" s="77">
        <v>34</v>
      </c>
      <c r="W2300" s="82" t="s">
        <v>4097</v>
      </c>
      <c r="X2300" s="80" t="str">
        <f>HYPERLINK("https://kambarico.com/janeiro-e-mes-de-limpeza-financeira/")</f>
        <v>https://kambarico.com/janeiro-e-mes-de-limpeza-financeira/</v>
      </c>
      <c r="Y2300" s="77" t="s">
        <v>6100</v>
      </c>
      <c r="Z2300" s="77"/>
      <c r="AA2300" s="77"/>
      <c r="AB2300" s="77"/>
      <c r="AC2300" s="82" t="s">
        <v>7706</v>
      </c>
      <c r="AD2300" s="77" t="s">
        <v>7745</v>
      </c>
      <c r="AE2300" s="80" t="str">
        <f>HYPERLINK("https://twitter.com/marciac42792937/status/1610181383380692993")</f>
        <v>https://twitter.com/marciac42792937/status/1610181383380692993</v>
      </c>
      <c r="AF2300" s="79">
        <v>44929.325601851851</v>
      </c>
      <c r="AG2300" s="85">
        <v>44929</v>
      </c>
      <c r="AH2300" s="82" t="s">
        <v>9802</v>
      </c>
      <c r="AI2300" s="77" t="b">
        <v>0</v>
      </c>
      <c r="AJ2300" s="77"/>
      <c r="AK2300" s="77"/>
      <c r="AL2300" s="77"/>
      <c r="AM2300" s="77"/>
      <c r="AN2300" s="77"/>
      <c r="AO2300" s="77"/>
      <c r="AP2300" s="77"/>
      <c r="AQ2300" s="77"/>
      <c r="AR2300" s="77"/>
      <c r="AS2300" s="77"/>
      <c r="AT2300" s="77"/>
      <c r="AU2300" s="77"/>
      <c r="AV2300" s="80" t="str">
        <f>HYPERLINK("https://pbs.twimg.com/profile_images/1580446254261321729/hTec8Vff_normal.jpg")</f>
        <v>https://pbs.twimg.com/profile_images/1580446254261321729/hTec8Vff_normal.jpg</v>
      </c>
      <c r="AW2300" s="82" t="s">
        <v>14458</v>
      </c>
      <c r="AX2300" s="82" t="s">
        <v>14458</v>
      </c>
      <c r="AY2300" s="77"/>
      <c r="AZ2300" s="82" t="s">
        <v>15804</v>
      </c>
      <c r="BA2300" s="82" t="s">
        <v>15804</v>
      </c>
      <c r="BB2300" s="82" t="s">
        <v>15804</v>
      </c>
      <c r="BC2300" s="82" t="s">
        <v>14458</v>
      </c>
      <c r="BD2300" s="82" t="s">
        <v>16527</v>
      </c>
      <c r="BE2300" s="77"/>
      <c r="BF2300" s="77"/>
      <c r="BG2300" s="77"/>
      <c r="BH2300" s="77"/>
      <c r="BI2300" s="77"/>
    </row>
    <row r="2301" spans="1:61" x14ac:dyDescent="0.25">
      <c r="A2301" s="62" t="s">
        <v>905</v>
      </c>
      <c r="B2301" s="62" t="s">
        <v>905</v>
      </c>
      <c r="C2301" s="63"/>
      <c r="D2301" s="64"/>
      <c r="E2301" s="65"/>
      <c r="F2301" s="66"/>
      <c r="G2301" s="63"/>
      <c r="H2301" s="67"/>
      <c r="I2301" s="68"/>
      <c r="J2301" s="68"/>
      <c r="K2301" s="32"/>
      <c r="L2301" s="75">
        <v>2301</v>
      </c>
      <c r="M2301" s="75"/>
      <c r="N2301" s="70"/>
      <c r="O2301" s="77" t="s">
        <v>179</v>
      </c>
      <c r="P2301" s="79">
        <v>45113.468356481484</v>
      </c>
      <c r="Q2301" s="77" t="s">
        <v>3346</v>
      </c>
      <c r="R2301" s="77">
        <v>0</v>
      </c>
      <c r="S2301" s="77">
        <v>0</v>
      </c>
      <c r="T2301" s="77">
        <v>0</v>
      </c>
      <c r="U2301" s="77">
        <v>1</v>
      </c>
      <c r="V2301" s="77">
        <v>125</v>
      </c>
      <c r="W2301" s="77"/>
      <c r="X2301" s="80" t="str">
        <f>HYPERLINK("https://lnkd.in/dubU89dB")</f>
        <v>https://lnkd.in/dubU89dB</v>
      </c>
      <c r="Y2301" s="77" t="s">
        <v>6014</v>
      </c>
      <c r="Z2301" s="77"/>
      <c r="AA2301" s="77" t="s">
        <v>7444</v>
      </c>
      <c r="AB2301" s="77" t="s">
        <v>7696</v>
      </c>
      <c r="AC2301" s="82" t="s">
        <v>7706</v>
      </c>
      <c r="AD2301" s="77" t="s">
        <v>7745</v>
      </c>
      <c r="AE2301" s="80" t="str">
        <f>HYPERLINK("https://twitter.com/marciac42792937/status/1676912486493351937")</f>
        <v>https://twitter.com/marciac42792937/status/1676912486493351937</v>
      </c>
      <c r="AF2301" s="79">
        <v>45113.468356481484</v>
      </c>
      <c r="AG2301" s="85">
        <v>45113</v>
      </c>
      <c r="AH2301" s="82" t="s">
        <v>9803</v>
      </c>
      <c r="AI2301" s="77" t="b">
        <v>0</v>
      </c>
      <c r="AJ2301" s="77"/>
      <c r="AK2301" s="77"/>
      <c r="AL2301" s="77"/>
      <c r="AM2301" s="77"/>
      <c r="AN2301" s="77"/>
      <c r="AO2301" s="77"/>
      <c r="AP2301" s="77"/>
      <c r="AQ2301" s="77" t="s">
        <v>11951</v>
      </c>
      <c r="AR2301" s="77"/>
      <c r="AS2301" s="77"/>
      <c r="AT2301" s="77"/>
      <c r="AU2301" s="77"/>
      <c r="AV2301" s="80" t="str">
        <f>HYPERLINK("https://pbs.twimg.com/media/F0WW92TaIAI8p8h.jpg")</f>
        <v>https://pbs.twimg.com/media/F0WW92TaIAI8p8h.jpg</v>
      </c>
      <c r="AW2301" s="82" t="s">
        <v>14459</v>
      </c>
      <c r="AX2301" s="82" t="s">
        <v>14459</v>
      </c>
      <c r="AY2301" s="77"/>
      <c r="AZ2301" s="82" t="s">
        <v>15804</v>
      </c>
      <c r="BA2301" s="82" t="s">
        <v>15804</v>
      </c>
      <c r="BB2301" s="82" t="s">
        <v>15804</v>
      </c>
      <c r="BC2301" s="82" t="s">
        <v>14459</v>
      </c>
      <c r="BD2301" s="82" t="s">
        <v>16527</v>
      </c>
      <c r="BE2301" s="77"/>
      <c r="BF2301" s="77"/>
      <c r="BG2301" s="77"/>
      <c r="BH2301" s="77"/>
      <c r="BI2301" s="77"/>
    </row>
    <row r="2302" spans="1:61" x14ac:dyDescent="0.25">
      <c r="A2302" s="62" t="s">
        <v>905</v>
      </c>
      <c r="B2302" s="62" t="s">
        <v>905</v>
      </c>
      <c r="C2302" s="63"/>
      <c r="D2302" s="64"/>
      <c r="E2302" s="65"/>
      <c r="F2302" s="66"/>
      <c r="G2302" s="63"/>
      <c r="H2302" s="67"/>
      <c r="I2302" s="68"/>
      <c r="J2302" s="68"/>
      <c r="K2302" s="32"/>
      <c r="L2302" s="75">
        <v>2302</v>
      </c>
      <c r="M2302" s="75"/>
      <c r="N2302" s="70"/>
      <c r="O2302" s="77" t="s">
        <v>179</v>
      </c>
      <c r="P2302" s="79">
        <v>44991.321666666663</v>
      </c>
      <c r="Q2302" s="77" t="s">
        <v>3347</v>
      </c>
      <c r="R2302" s="77">
        <v>0</v>
      </c>
      <c r="S2302" s="77">
        <v>2</v>
      </c>
      <c r="T2302" s="77">
        <v>0</v>
      </c>
      <c r="U2302" s="77">
        <v>1</v>
      </c>
      <c r="V2302" s="77">
        <v>242</v>
      </c>
      <c r="W2302" s="82" t="s">
        <v>4097</v>
      </c>
      <c r="X2302" s="77"/>
      <c r="Y2302" s="77"/>
      <c r="Z2302" s="77"/>
      <c r="AA2302" s="77" t="s">
        <v>7445</v>
      </c>
      <c r="AB2302" s="77" t="s">
        <v>7696</v>
      </c>
      <c r="AC2302" s="82" t="s">
        <v>7705</v>
      </c>
      <c r="AD2302" s="77" t="s">
        <v>7745</v>
      </c>
      <c r="AE2302" s="80" t="str">
        <f>HYPERLINK("https://twitter.com/marciac42792937/status/1632648004338417664")</f>
        <v>https://twitter.com/marciac42792937/status/1632648004338417664</v>
      </c>
      <c r="AF2302" s="79">
        <v>44991.321666666663</v>
      </c>
      <c r="AG2302" s="85">
        <v>44991</v>
      </c>
      <c r="AH2302" s="82" t="s">
        <v>9804</v>
      </c>
      <c r="AI2302" s="77" t="b">
        <v>0</v>
      </c>
      <c r="AJ2302" s="77"/>
      <c r="AK2302" s="77"/>
      <c r="AL2302" s="77"/>
      <c r="AM2302" s="77"/>
      <c r="AN2302" s="77"/>
      <c r="AO2302" s="77"/>
      <c r="AP2302" s="77"/>
      <c r="AQ2302" s="77" t="s">
        <v>11952</v>
      </c>
      <c r="AR2302" s="77"/>
      <c r="AS2302" s="77"/>
      <c r="AT2302" s="77"/>
      <c r="AU2302" s="77"/>
      <c r="AV2302" s="80" t="str">
        <f>HYPERLINK("https://pbs.twimg.com/media/FqhUsy_XwAAuFMi.jpg")</f>
        <v>https://pbs.twimg.com/media/FqhUsy_XwAAuFMi.jpg</v>
      </c>
      <c r="AW2302" s="82" t="s">
        <v>14460</v>
      </c>
      <c r="AX2302" s="82" t="s">
        <v>14460</v>
      </c>
      <c r="AY2302" s="77"/>
      <c r="AZ2302" s="82" t="s">
        <v>15804</v>
      </c>
      <c r="BA2302" s="82" t="s">
        <v>15804</v>
      </c>
      <c r="BB2302" s="82" t="s">
        <v>15804</v>
      </c>
      <c r="BC2302" s="82" t="s">
        <v>14460</v>
      </c>
      <c r="BD2302" s="82" t="s">
        <v>16527</v>
      </c>
      <c r="BE2302" s="77"/>
      <c r="BF2302" s="77"/>
      <c r="BG2302" s="77"/>
      <c r="BH2302" s="77"/>
      <c r="BI2302" s="77"/>
    </row>
    <row r="2303" spans="1:61" x14ac:dyDescent="0.25">
      <c r="A2303" s="62" t="s">
        <v>905</v>
      </c>
      <c r="B2303" s="62" t="s">
        <v>905</v>
      </c>
      <c r="C2303" s="63"/>
      <c r="D2303" s="64"/>
      <c r="E2303" s="65"/>
      <c r="F2303" s="66"/>
      <c r="G2303" s="63"/>
      <c r="H2303" s="67"/>
      <c r="I2303" s="68"/>
      <c r="J2303" s="68"/>
      <c r="K2303" s="32"/>
      <c r="L2303" s="75">
        <v>2303</v>
      </c>
      <c r="M2303" s="75"/>
      <c r="N2303" s="70"/>
      <c r="O2303" s="77" t="s">
        <v>179</v>
      </c>
      <c r="P2303" s="79">
        <v>44988.324733796297</v>
      </c>
      <c r="Q2303" s="77" t="s">
        <v>3348</v>
      </c>
      <c r="R2303" s="77">
        <v>3</v>
      </c>
      <c r="S2303" s="77">
        <v>10</v>
      </c>
      <c r="T2303" s="77">
        <v>0</v>
      </c>
      <c r="U2303" s="77">
        <v>0</v>
      </c>
      <c r="V2303" s="77">
        <v>540</v>
      </c>
      <c r="W2303" s="82" t="s">
        <v>4097</v>
      </c>
      <c r="X2303" s="77"/>
      <c r="Y2303" s="77"/>
      <c r="Z2303" s="77"/>
      <c r="AA2303" s="77"/>
      <c r="AB2303" s="77"/>
      <c r="AC2303" s="82" t="s">
        <v>7706</v>
      </c>
      <c r="AD2303" s="77" t="s">
        <v>7745</v>
      </c>
      <c r="AE2303" s="80" t="str">
        <f>HYPERLINK("https://twitter.com/marciac42792937/status/1631561952580321288")</f>
        <v>https://twitter.com/marciac42792937/status/1631561952580321288</v>
      </c>
      <c r="AF2303" s="79">
        <v>44988.324733796297</v>
      </c>
      <c r="AG2303" s="85">
        <v>44988</v>
      </c>
      <c r="AH2303" s="82" t="s">
        <v>9805</v>
      </c>
      <c r="AI2303" s="77"/>
      <c r="AJ2303" s="77"/>
      <c r="AK2303" s="77"/>
      <c r="AL2303" s="77"/>
      <c r="AM2303" s="77"/>
      <c r="AN2303" s="77"/>
      <c r="AO2303" s="77"/>
      <c r="AP2303" s="77"/>
      <c r="AQ2303" s="77"/>
      <c r="AR2303" s="77"/>
      <c r="AS2303" s="77"/>
      <c r="AT2303" s="77"/>
      <c r="AU2303" s="77"/>
      <c r="AV2303" s="80" t="str">
        <f>HYPERLINK("https://pbs.twimg.com/profile_images/1580446254261321729/hTec8Vff_normal.jpg")</f>
        <v>https://pbs.twimg.com/profile_images/1580446254261321729/hTec8Vff_normal.jpg</v>
      </c>
      <c r="AW2303" s="82" t="s">
        <v>14461</v>
      </c>
      <c r="AX2303" s="82" t="s">
        <v>14461</v>
      </c>
      <c r="AY2303" s="77"/>
      <c r="AZ2303" s="82" t="s">
        <v>15804</v>
      </c>
      <c r="BA2303" s="82" t="s">
        <v>15804</v>
      </c>
      <c r="BB2303" s="82" t="s">
        <v>15804</v>
      </c>
      <c r="BC2303" s="82" t="s">
        <v>14461</v>
      </c>
      <c r="BD2303" s="82" t="s">
        <v>16527</v>
      </c>
      <c r="BE2303" s="77"/>
      <c r="BF2303" s="77"/>
      <c r="BG2303" s="77"/>
      <c r="BH2303" s="77"/>
      <c r="BI2303" s="77"/>
    </row>
    <row r="2304" spans="1:61" x14ac:dyDescent="0.25">
      <c r="A2304" s="62" t="s">
        <v>905</v>
      </c>
      <c r="B2304" s="62" t="s">
        <v>905</v>
      </c>
      <c r="C2304" s="63"/>
      <c r="D2304" s="64"/>
      <c r="E2304" s="65"/>
      <c r="F2304" s="66"/>
      <c r="G2304" s="63"/>
      <c r="H2304" s="67"/>
      <c r="I2304" s="68"/>
      <c r="J2304" s="68"/>
      <c r="K2304" s="32"/>
      <c r="L2304" s="75">
        <v>2304</v>
      </c>
      <c r="M2304" s="75"/>
      <c r="N2304" s="70"/>
      <c r="O2304" s="77" t="s">
        <v>179</v>
      </c>
      <c r="P2304" s="79">
        <v>44986.304861111108</v>
      </c>
      <c r="Q2304" s="77" t="s">
        <v>3349</v>
      </c>
      <c r="R2304" s="77">
        <v>0</v>
      </c>
      <c r="S2304" s="77">
        <v>8</v>
      </c>
      <c r="T2304" s="77">
        <v>1</v>
      </c>
      <c r="U2304" s="77">
        <v>1</v>
      </c>
      <c r="V2304" s="77">
        <v>460</v>
      </c>
      <c r="W2304" s="82" t="s">
        <v>5542</v>
      </c>
      <c r="X2304" s="77"/>
      <c r="Y2304" s="77"/>
      <c r="Z2304" s="77"/>
      <c r="AA2304" s="77" t="s">
        <v>7446</v>
      </c>
      <c r="AB2304" s="77" t="s">
        <v>7696</v>
      </c>
      <c r="AC2304" s="82" t="s">
        <v>7705</v>
      </c>
      <c r="AD2304" s="77" t="s">
        <v>7755</v>
      </c>
      <c r="AE2304" s="80" t="str">
        <f>HYPERLINK("https://twitter.com/marciac42792937/status/1630829978236469248")</f>
        <v>https://twitter.com/marciac42792937/status/1630829978236469248</v>
      </c>
      <c r="AF2304" s="79">
        <v>44986.304861111108</v>
      </c>
      <c r="AG2304" s="85">
        <v>44986</v>
      </c>
      <c r="AH2304" s="82" t="s">
        <v>9806</v>
      </c>
      <c r="AI2304" s="77" t="b">
        <v>0</v>
      </c>
      <c r="AJ2304" s="77"/>
      <c r="AK2304" s="77"/>
      <c r="AL2304" s="77"/>
      <c r="AM2304" s="77"/>
      <c r="AN2304" s="77"/>
      <c r="AO2304" s="77"/>
      <c r="AP2304" s="77"/>
      <c r="AQ2304" s="77" t="s">
        <v>11953</v>
      </c>
      <c r="AR2304" s="77"/>
      <c r="AS2304" s="77"/>
      <c r="AT2304" s="77"/>
      <c r="AU2304" s="77"/>
      <c r="AV2304" s="80" t="str">
        <f>HYPERLINK("https://pbs.twimg.com/media/FqHfN3oX0AAokI3.jpg")</f>
        <v>https://pbs.twimg.com/media/FqHfN3oX0AAokI3.jpg</v>
      </c>
      <c r="AW2304" s="82" t="s">
        <v>14462</v>
      </c>
      <c r="AX2304" s="82" t="s">
        <v>14462</v>
      </c>
      <c r="AY2304" s="77"/>
      <c r="AZ2304" s="82" t="s">
        <v>15804</v>
      </c>
      <c r="BA2304" s="82" t="s">
        <v>15804</v>
      </c>
      <c r="BB2304" s="82" t="s">
        <v>15804</v>
      </c>
      <c r="BC2304" s="82" t="s">
        <v>14462</v>
      </c>
      <c r="BD2304" s="82" t="s">
        <v>16527</v>
      </c>
      <c r="BE2304" s="77"/>
      <c r="BF2304" s="77"/>
      <c r="BG2304" s="77"/>
      <c r="BH2304" s="77"/>
      <c r="BI2304" s="77"/>
    </row>
    <row r="2305" spans="1:61" x14ac:dyDescent="0.25">
      <c r="A2305" s="62" t="s">
        <v>905</v>
      </c>
      <c r="B2305" s="62" t="s">
        <v>905</v>
      </c>
      <c r="C2305" s="63"/>
      <c r="D2305" s="64"/>
      <c r="E2305" s="65"/>
      <c r="F2305" s="66"/>
      <c r="G2305" s="63"/>
      <c r="H2305" s="67"/>
      <c r="I2305" s="68"/>
      <c r="J2305" s="68"/>
      <c r="K2305" s="32"/>
      <c r="L2305" s="75">
        <v>2305</v>
      </c>
      <c r="M2305" s="75"/>
      <c r="N2305" s="70"/>
      <c r="O2305" s="77" t="s">
        <v>179</v>
      </c>
      <c r="P2305" s="79">
        <v>45140.500648148147</v>
      </c>
      <c r="Q2305" s="77" t="s">
        <v>3350</v>
      </c>
      <c r="R2305" s="77">
        <v>1</v>
      </c>
      <c r="S2305" s="77">
        <v>3</v>
      </c>
      <c r="T2305" s="77">
        <v>0</v>
      </c>
      <c r="U2305" s="77">
        <v>1</v>
      </c>
      <c r="V2305" s="77">
        <v>135</v>
      </c>
      <c r="W2305" s="82" t="s">
        <v>5543</v>
      </c>
      <c r="X2305" s="77"/>
      <c r="Y2305" s="77"/>
      <c r="Z2305" s="77"/>
      <c r="AA2305" s="77" t="s">
        <v>7447</v>
      </c>
      <c r="AB2305" s="77" t="s">
        <v>7696</v>
      </c>
      <c r="AC2305" s="82" t="s">
        <v>7705</v>
      </c>
      <c r="AD2305" s="77" t="s">
        <v>7745</v>
      </c>
      <c r="AE2305" s="80" t="str">
        <f>HYPERLINK("https://twitter.com/marciac42792937/status/1686708659097657344")</f>
        <v>https://twitter.com/marciac42792937/status/1686708659097657344</v>
      </c>
      <c r="AF2305" s="79">
        <v>45140.500648148147</v>
      </c>
      <c r="AG2305" s="85">
        <v>45140</v>
      </c>
      <c r="AH2305" s="82" t="s">
        <v>9395</v>
      </c>
      <c r="AI2305" s="77" t="b">
        <v>0</v>
      </c>
      <c r="AJ2305" s="77"/>
      <c r="AK2305" s="77"/>
      <c r="AL2305" s="77"/>
      <c r="AM2305" s="77"/>
      <c r="AN2305" s="77"/>
      <c r="AO2305" s="77"/>
      <c r="AP2305" s="77"/>
      <c r="AQ2305" s="77" t="s">
        <v>11954</v>
      </c>
      <c r="AR2305" s="77"/>
      <c r="AS2305" s="77"/>
      <c r="AT2305" s="77"/>
      <c r="AU2305" s="77"/>
      <c r="AV2305" s="80" t="str">
        <f>HYPERLINK("https://pbs.twimg.com/media/F2hkkvqawAA-eSy.jpg")</f>
        <v>https://pbs.twimg.com/media/F2hkkvqawAA-eSy.jpg</v>
      </c>
      <c r="AW2305" s="82" t="s">
        <v>14463</v>
      </c>
      <c r="AX2305" s="82" t="s">
        <v>14463</v>
      </c>
      <c r="AY2305" s="77"/>
      <c r="AZ2305" s="82" t="s">
        <v>15804</v>
      </c>
      <c r="BA2305" s="82" t="s">
        <v>15804</v>
      </c>
      <c r="BB2305" s="82" t="s">
        <v>15804</v>
      </c>
      <c r="BC2305" s="82" t="s">
        <v>14463</v>
      </c>
      <c r="BD2305" s="82" t="s">
        <v>16527</v>
      </c>
      <c r="BE2305" s="77"/>
      <c r="BF2305" s="77"/>
      <c r="BG2305" s="77"/>
      <c r="BH2305" s="77"/>
      <c r="BI2305" s="77"/>
    </row>
    <row r="2306" spans="1:61" x14ac:dyDescent="0.25">
      <c r="A2306" s="62" t="s">
        <v>905</v>
      </c>
      <c r="B2306" s="62" t="s">
        <v>905</v>
      </c>
      <c r="C2306" s="63"/>
      <c r="D2306" s="64"/>
      <c r="E2306" s="65"/>
      <c r="F2306" s="66"/>
      <c r="G2306" s="63"/>
      <c r="H2306" s="67"/>
      <c r="I2306" s="68"/>
      <c r="J2306" s="68"/>
      <c r="K2306" s="32"/>
      <c r="L2306" s="75">
        <v>2306</v>
      </c>
      <c r="M2306" s="75"/>
      <c r="N2306" s="70"/>
      <c r="O2306" s="77" t="s">
        <v>179</v>
      </c>
      <c r="P2306" s="79">
        <v>45063.322118055556</v>
      </c>
      <c r="Q2306" s="77" t="s">
        <v>3351</v>
      </c>
      <c r="R2306" s="77">
        <v>2</v>
      </c>
      <c r="S2306" s="77">
        <v>6</v>
      </c>
      <c r="T2306" s="77">
        <v>1</v>
      </c>
      <c r="U2306" s="77">
        <v>1</v>
      </c>
      <c r="V2306" s="77">
        <v>392</v>
      </c>
      <c r="W2306" s="82" t="s">
        <v>5542</v>
      </c>
      <c r="X2306" s="77"/>
      <c r="Y2306" s="77"/>
      <c r="Z2306" s="77"/>
      <c r="AA2306" s="77" t="s">
        <v>7448</v>
      </c>
      <c r="AB2306" s="77" t="s">
        <v>7697</v>
      </c>
      <c r="AC2306" s="82" t="s">
        <v>7705</v>
      </c>
      <c r="AD2306" s="77" t="s">
        <v>7745</v>
      </c>
      <c r="AE2306" s="80" t="str">
        <f>HYPERLINK("https://twitter.com/marciac42792937/status/1658740094574919680")</f>
        <v>https://twitter.com/marciac42792937/status/1658740094574919680</v>
      </c>
      <c r="AF2306" s="79">
        <v>45063.322118055556</v>
      </c>
      <c r="AG2306" s="85">
        <v>45063</v>
      </c>
      <c r="AH2306" s="82" t="s">
        <v>9807</v>
      </c>
      <c r="AI2306" s="77" t="b">
        <v>0</v>
      </c>
      <c r="AJ2306" s="77"/>
      <c r="AK2306" s="77"/>
      <c r="AL2306" s="77"/>
      <c r="AM2306" s="77"/>
      <c r="AN2306" s="77"/>
      <c r="AO2306" s="77"/>
      <c r="AP2306" s="77"/>
      <c r="AQ2306" s="77" t="s">
        <v>11955</v>
      </c>
      <c r="AR2306" s="77">
        <v>140000</v>
      </c>
      <c r="AS2306" s="77"/>
      <c r="AT2306" s="77"/>
      <c r="AU2306" s="77">
        <v>107</v>
      </c>
      <c r="AV2306" s="80" t="str">
        <f>HYPERLINK("https://pbs.twimg.com/ext_tw_video_thumb/1658739712188620801/pu/img/p5Pz40OdPqM7R6i_.jpg")</f>
        <v>https://pbs.twimg.com/ext_tw_video_thumb/1658739712188620801/pu/img/p5Pz40OdPqM7R6i_.jpg</v>
      </c>
      <c r="AW2306" s="82" t="s">
        <v>14464</v>
      </c>
      <c r="AX2306" s="82" t="s">
        <v>14464</v>
      </c>
      <c r="AY2306" s="77"/>
      <c r="AZ2306" s="82" t="s">
        <v>15804</v>
      </c>
      <c r="BA2306" s="82" t="s">
        <v>15804</v>
      </c>
      <c r="BB2306" s="82" t="s">
        <v>15804</v>
      </c>
      <c r="BC2306" s="82" t="s">
        <v>14464</v>
      </c>
      <c r="BD2306" s="82" t="s">
        <v>16527</v>
      </c>
      <c r="BE2306" s="77"/>
      <c r="BF2306" s="77"/>
      <c r="BG2306" s="77"/>
      <c r="BH2306" s="77"/>
      <c r="BI2306" s="77"/>
    </row>
    <row r="2307" spans="1:61" x14ac:dyDescent="0.25">
      <c r="A2307" s="62" t="s">
        <v>905</v>
      </c>
      <c r="B2307" s="62" t="s">
        <v>905</v>
      </c>
      <c r="C2307" s="63"/>
      <c r="D2307" s="64"/>
      <c r="E2307" s="65"/>
      <c r="F2307" s="66"/>
      <c r="G2307" s="63"/>
      <c r="H2307" s="67"/>
      <c r="I2307" s="68"/>
      <c r="J2307" s="68"/>
      <c r="K2307" s="32"/>
      <c r="L2307" s="75">
        <v>2307</v>
      </c>
      <c r="M2307" s="75"/>
      <c r="N2307" s="70"/>
      <c r="O2307" s="77" t="s">
        <v>179</v>
      </c>
      <c r="P2307" s="79">
        <v>45061.591620370367</v>
      </c>
      <c r="Q2307" s="77" t="s">
        <v>3352</v>
      </c>
      <c r="R2307" s="77">
        <v>1</v>
      </c>
      <c r="S2307" s="77">
        <v>2</v>
      </c>
      <c r="T2307" s="77">
        <v>0</v>
      </c>
      <c r="U2307" s="77">
        <v>0</v>
      </c>
      <c r="V2307" s="77">
        <v>81</v>
      </c>
      <c r="W2307" s="82" t="s">
        <v>4097</v>
      </c>
      <c r="X2307" s="80" t="str">
        <f>HYPERLINK("https://kambarico.com/4-dicas-para-melhorar-as-financas-de-maes-solteiras/")</f>
        <v>https://kambarico.com/4-dicas-para-melhorar-as-financas-de-maes-solteiras/</v>
      </c>
      <c r="Y2307" s="77" t="s">
        <v>6100</v>
      </c>
      <c r="Z2307" s="77"/>
      <c r="AA2307" s="77"/>
      <c r="AB2307" s="77"/>
      <c r="AC2307" s="82" t="s">
        <v>7706</v>
      </c>
      <c r="AD2307" s="77" t="s">
        <v>7745</v>
      </c>
      <c r="AE2307" s="80" t="str">
        <f>HYPERLINK("https://twitter.com/marciac42792937/status/1658112983791284225")</f>
        <v>https://twitter.com/marciac42792937/status/1658112983791284225</v>
      </c>
      <c r="AF2307" s="79">
        <v>45061.591620370367</v>
      </c>
      <c r="AG2307" s="85">
        <v>45061</v>
      </c>
      <c r="AH2307" s="82" t="s">
        <v>9808</v>
      </c>
      <c r="AI2307" s="77" t="b">
        <v>0</v>
      </c>
      <c r="AJ2307" s="77"/>
      <c r="AK2307" s="77"/>
      <c r="AL2307" s="77"/>
      <c r="AM2307" s="77"/>
      <c r="AN2307" s="77"/>
      <c r="AO2307" s="77"/>
      <c r="AP2307" s="77"/>
      <c r="AQ2307" s="77"/>
      <c r="AR2307" s="77"/>
      <c r="AS2307" s="77"/>
      <c r="AT2307" s="77"/>
      <c r="AU2307" s="77"/>
      <c r="AV2307" s="80" t="str">
        <f>HYPERLINK("https://pbs.twimg.com/profile_images/1580446254261321729/hTec8Vff_normal.jpg")</f>
        <v>https://pbs.twimg.com/profile_images/1580446254261321729/hTec8Vff_normal.jpg</v>
      </c>
      <c r="AW2307" s="82" t="s">
        <v>14465</v>
      </c>
      <c r="AX2307" s="82" t="s">
        <v>14465</v>
      </c>
      <c r="AY2307" s="77"/>
      <c r="AZ2307" s="82" t="s">
        <v>15804</v>
      </c>
      <c r="BA2307" s="82" t="s">
        <v>15804</v>
      </c>
      <c r="BB2307" s="82" t="s">
        <v>15804</v>
      </c>
      <c r="BC2307" s="82" t="s">
        <v>14465</v>
      </c>
      <c r="BD2307" s="82" t="s">
        <v>16527</v>
      </c>
      <c r="BE2307" s="77"/>
      <c r="BF2307" s="77"/>
      <c r="BG2307" s="77"/>
      <c r="BH2307" s="77"/>
      <c r="BI2307" s="77"/>
    </row>
    <row r="2308" spans="1:61" x14ac:dyDescent="0.25">
      <c r="A2308" s="62" t="s">
        <v>905</v>
      </c>
      <c r="B2308" s="62" t="s">
        <v>905</v>
      </c>
      <c r="C2308" s="63"/>
      <c r="D2308" s="64"/>
      <c r="E2308" s="65"/>
      <c r="F2308" s="66"/>
      <c r="G2308" s="63"/>
      <c r="H2308" s="67"/>
      <c r="I2308" s="68"/>
      <c r="J2308" s="68"/>
      <c r="K2308" s="32"/>
      <c r="L2308" s="75">
        <v>2308</v>
      </c>
      <c r="M2308" s="75"/>
      <c r="N2308" s="70"/>
      <c r="O2308" s="77" t="s">
        <v>179</v>
      </c>
      <c r="P2308" s="79">
        <v>45012.425775462965</v>
      </c>
      <c r="Q2308" s="77" t="s">
        <v>3353</v>
      </c>
      <c r="R2308" s="77">
        <v>1</v>
      </c>
      <c r="S2308" s="77">
        <v>1</v>
      </c>
      <c r="T2308" s="77">
        <v>0</v>
      </c>
      <c r="U2308" s="77">
        <v>1</v>
      </c>
      <c r="V2308" s="77">
        <v>149</v>
      </c>
      <c r="W2308" s="82" t="s">
        <v>4097</v>
      </c>
      <c r="X2308" s="80" t="str">
        <f>HYPERLINK("https://kambarico.com/voce-tem-um-fundo-de-emergencia/")</f>
        <v>https://kambarico.com/voce-tem-um-fundo-de-emergencia/</v>
      </c>
      <c r="Y2308" s="77" t="s">
        <v>6100</v>
      </c>
      <c r="Z2308" s="77"/>
      <c r="AA2308" s="77"/>
      <c r="AB2308" s="77"/>
      <c r="AC2308" s="82" t="s">
        <v>7706</v>
      </c>
      <c r="AD2308" s="77" t="s">
        <v>7745</v>
      </c>
      <c r="AE2308" s="80" t="str">
        <f>HYPERLINK("https://twitter.com/marciac42792937/status/1640295880078106624")</f>
        <v>https://twitter.com/marciac42792937/status/1640295880078106624</v>
      </c>
      <c r="AF2308" s="79">
        <v>45012.425775462965</v>
      </c>
      <c r="AG2308" s="85">
        <v>45012</v>
      </c>
      <c r="AH2308" s="82" t="s">
        <v>9809</v>
      </c>
      <c r="AI2308" s="77" t="b">
        <v>0</v>
      </c>
      <c r="AJ2308" s="77"/>
      <c r="AK2308" s="77"/>
      <c r="AL2308" s="77"/>
      <c r="AM2308" s="77"/>
      <c r="AN2308" s="77"/>
      <c r="AO2308" s="77"/>
      <c r="AP2308" s="77"/>
      <c r="AQ2308" s="77"/>
      <c r="AR2308" s="77"/>
      <c r="AS2308" s="77"/>
      <c r="AT2308" s="77"/>
      <c r="AU2308" s="77"/>
      <c r="AV2308" s="80" t="str">
        <f>HYPERLINK("https://pbs.twimg.com/profile_images/1580446254261321729/hTec8Vff_normal.jpg")</f>
        <v>https://pbs.twimg.com/profile_images/1580446254261321729/hTec8Vff_normal.jpg</v>
      </c>
      <c r="AW2308" s="82" t="s">
        <v>14466</v>
      </c>
      <c r="AX2308" s="82" t="s">
        <v>14466</v>
      </c>
      <c r="AY2308" s="77"/>
      <c r="AZ2308" s="82" t="s">
        <v>15804</v>
      </c>
      <c r="BA2308" s="82" t="s">
        <v>15804</v>
      </c>
      <c r="BB2308" s="82" t="s">
        <v>15804</v>
      </c>
      <c r="BC2308" s="82" t="s">
        <v>14466</v>
      </c>
      <c r="BD2308" s="82" t="s">
        <v>16527</v>
      </c>
      <c r="BE2308" s="77"/>
      <c r="BF2308" s="77"/>
      <c r="BG2308" s="77"/>
      <c r="BH2308" s="77"/>
      <c r="BI2308" s="77"/>
    </row>
    <row r="2309" spans="1:61" x14ac:dyDescent="0.25">
      <c r="A2309" s="62" t="s">
        <v>905</v>
      </c>
      <c r="B2309" s="62" t="s">
        <v>905</v>
      </c>
      <c r="C2309" s="63"/>
      <c r="D2309" s="64"/>
      <c r="E2309" s="65"/>
      <c r="F2309" s="66"/>
      <c r="G2309" s="63"/>
      <c r="H2309" s="67"/>
      <c r="I2309" s="68"/>
      <c r="J2309" s="68"/>
      <c r="K2309" s="32"/>
      <c r="L2309" s="75">
        <v>2309</v>
      </c>
      <c r="M2309" s="75"/>
      <c r="N2309" s="70"/>
      <c r="O2309" s="77" t="s">
        <v>179</v>
      </c>
      <c r="P2309" s="79">
        <v>44966.392731481479</v>
      </c>
      <c r="Q2309" s="77" t="s">
        <v>3354</v>
      </c>
      <c r="R2309" s="77">
        <v>1</v>
      </c>
      <c r="S2309" s="77">
        <v>2</v>
      </c>
      <c r="T2309" s="77">
        <v>0</v>
      </c>
      <c r="U2309" s="77">
        <v>1</v>
      </c>
      <c r="V2309" s="77">
        <v>194</v>
      </c>
      <c r="W2309" s="82" t="s">
        <v>5544</v>
      </c>
      <c r="X2309" s="77"/>
      <c r="Y2309" s="77"/>
      <c r="Z2309" s="77"/>
      <c r="AA2309" s="77"/>
      <c r="AB2309" s="77"/>
      <c r="AC2309" s="82" t="s">
        <v>7706</v>
      </c>
      <c r="AD2309" s="77" t="s">
        <v>7745</v>
      </c>
      <c r="AE2309" s="80" t="str">
        <f>HYPERLINK("https://twitter.com/marciac42792937/status/1623614063342235650")</f>
        <v>https://twitter.com/marciac42792937/status/1623614063342235650</v>
      </c>
      <c r="AF2309" s="79">
        <v>44966.392731481479</v>
      </c>
      <c r="AG2309" s="85">
        <v>44966</v>
      </c>
      <c r="AH2309" s="82" t="s">
        <v>8174</v>
      </c>
      <c r="AI2309" s="77"/>
      <c r="AJ2309" s="77"/>
      <c r="AK2309" s="77"/>
      <c r="AL2309" s="77"/>
      <c r="AM2309" s="77"/>
      <c r="AN2309" s="77"/>
      <c r="AO2309" s="77"/>
      <c r="AP2309" s="77"/>
      <c r="AQ2309" s="77"/>
      <c r="AR2309" s="77"/>
      <c r="AS2309" s="77"/>
      <c r="AT2309" s="77"/>
      <c r="AU2309" s="77"/>
      <c r="AV2309" s="80" t="str">
        <f>HYPERLINK("https://pbs.twimg.com/profile_images/1580446254261321729/hTec8Vff_normal.jpg")</f>
        <v>https://pbs.twimg.com/profile_images/1580446254261321729/hTec8Vff_normal.jpg</v>
      </c>
      <c r="AW2309" s="82" t="s">
        <v>14467</v>
      </c>
      <c r="AX2309" s="82" t="s">
        <v>14467</v>
      </c>
      <c r="AY2309" s="77"/>
      <c r="AZ2309" s="82" t="s">
        <v>15804</v>
      </c>
      <c r="BA2309" s="82" t="s">
        <v>15804</v>
      </c>
      <c r="BB2309" s="82" t="s">
        <v>15804</v>
      </c>
      <c r="BC2309" s="82" t="s">
        <v>14467</v>
      </c>
      <c r="BD2309" s="82" t="s">
        <v>16527</v>
      </c>
      <c r="BE2309" s="77"/>
      <c r="BF2309" s="77"/>
      <c r="BG2309" s="77"/>
      <c r="BH2309" s="77"/>
      <c r="BI2309" s="77"/>
    </row>
    <row r="2310" spans="1:61" x14ac:dyDescent="0.25">
      <c r="A2310" s="62" t="s">
        <v>905</v>
      </c>
      <c r="B2310" s="62" t="s">
        <v>905</v>
      </c>
      <c r="C2310" s="63"/>
      <c r="D2310" s="64"/>
      <c r="E2310" s="65"/>
      <c r="F2310" s="66"/>
      <c r="G2310" s="63"/>
      <c r="H2310" s="67"/>
      <c r="I2310" s="68"/>
      <c r="J2310" s="68"/>
      <c r="K2310" s="32"/>
      <c r="L2310" s="75">
        <v>2310</v>
      </c>
      <c r="M2310" s="75"/>
      <c r="N2310" s="70"/>
      <c r="O2310" s="77" t="s">
        <v>179</v>
      </c>
      <c r="P2310" s="79">
        <v>45173.464490740742</v>
      </c>
      <c r="Q2310" s="77" t="s">
        <v>3355</v>
      </c>
      <c r="R2310" s="77">
        <v>1</v>
      </c>
      <c r="S2310" s="77">
        <v>2</v>
      </c>
      <c r="T2310" s="77">
        <v>0</v>
      </c>
      <c r="U2310" s="77">
        <v>0</v>
      </c>
      <c r="V2310" s="77">
        <v>58</v>
      </c>
      <c r="W2310" s="82" t="s">
        <v>5545</v>
      </c>
      <c r="X2310" s="80" t="str">
        <f>HYPERLINK("https://kambarico.com/a-regra-mais-basica-do-kamba-rico/")</f>
        <v>https://kambarico.com/a-regra-mais-basica-do-kamba-rico/</v>
      </c>
      <c r="Y2310" s="77" t="s">
        <v>6100</v>
      </c>
      <c r="Z2310" s="77"/>
      <c r="AA2310" s="77"/>
      <c r="AB2310" s="77"/>
      <c r="AC2310" s="82" t="s">
        <v>7706</v>
      </c>
      <c r="AD2310" s="77" t="s">
        <v>7745</v>
      </c>
      <c r="AE2310" s="80" t="str">
        <f>HYPERLINK("https://twitter.com/marciac42792937/status/1698654354323144968")</f>
        <v>https://twitter.com/marciac42792937/status/1698654354323144968</v>
      </c>
      <c r="AF2310" s="79">
        <v>45173.464490740742</v>
      </c>
      <c r="AG2310" s="85">
        <v>45173</v>
      </c>
      <c r="AH2310" s="82" t="s">
        <v>9810</v>
      </c>
      <c r="AI2310" s="77" t="b">
        <v>0</v>
      </c>
      <c r="AJ2310" s="77"/>
      <c r="AK2310" s="77"/>
      <c r="AL2310" s="77"/>
      <c r="AM2310" s="77"/>
      <c r="AN2310" s="77"/>
      <c r="AO2310" s="77"/>
      <c r="AP2310" s="77"/>
      <c r="AQ2310" s="77"/>
      <c r="AR2310" s="77"/>
      <c r="AS2310" s="77"/>
      <c r="AT2310" s="77"/>
      <c r="AU2310" s="77"/>
      <c r="AV2310" s="80" t="str">
        <f>HYPERLINK("https://pbs.twimg.com/profile_images/1580446254261321729/hTec8Vff_normal.jpg")</f>
        <v>https://pbs.twimg.com/profile_images/1580446254261321729/hTec8Vff_normal.jpg</v>
      </c>
      <c r="AW2310" s="82" t="s">
        <v>14468</v>
      </c>
      <c r="AX2310" s="82" t="s">
        <v>14468</v>
      </c>
      <c r="AY2310" s="77"/>
      <c r="AZ2310" s="82" t="s">
        <v>15804</v>
      </c>
      <c r="BA2310" s="82" t="s">
        <v>15804</v>
      </c>
      <c r="BB2310" s="82" t="s">
        <v>15804</v>
      </c>
      <c r="BC2310" s="82" t="s">
        <v>14468</v>
      </c>
      <c r="BD2310" s="82" t="s">
        <v>16527</v>
      </c>
      <c r="BE2310" s="77"/>
      <c r="BF2310" s="77"/>
      <c r="BG2310" s="77"/>
      <c r="BH2310" s="77"/>
      <c r="BI2310" s="77"/>
    </row>
    <row r="2311" spans="1:61" x14ac:dyDescent="0.25">
      <c r="A2311" s="62" t="s">
        <v>905</v>
      </c>
      <c r="B2311" s="62" t="s">
        <v>905</v>
      </c>
      <c r="C2311" s="63"/>
      <c r="D2311" s="64"/>
      <c r="E2311" s="65"/>
      <c r="F2311" s="66"/>
      <c r="G2311" s="63"/>
      <c r="H2311" s="67"/>
      <c r="I2311" s="68"/>
      <c r="J2311" s="68"/>
      <c r="K2311" s="32"/>
      <c r="L2311" s="75">
        <v>2311</v>
      </c>
      <c r="M2311" s="75"/>
      <c r="N2311" s="70"/>
      <c r="O2311" s="77" t="s">
        <v>179</v>
      </c>
      <c r="P2311" s="79">
        <v>45170.523368055554</v>
      </c>
      <c r="Q2311" s="77" t="s">
        <v>3356</v>
      </c>
      <c r="R2311" s="77">
        <v>2</v>
      </c>
      <c r="S2311" s="77">
        <v>3</v>
      </c>
      <c r="T2311" s="77">
        <v>0</v>
      </c>
      <c r="U2311" s="77">
        <v>0</v>
      </c>
      <c r="V2311" s="77">
        <v>84</v>
      </c>
      <c r="W2311" s="82" t="s">
        <v>5541</v>
      </c>
      <c r="X2311" s="80" t="str">
        <f>HYPERLINK("https://kambarico.com/exagerou-no-final-de-semana-aprenda-a-evitar-gastos-excessivos/")</f>
        <v>https://kambarico.com/exagerou-no-final-de-semana-aprenda-a-evitar-gastos-excessivos/</v>
      </c>
      <c r="Y2311" s="77" t="s">
        <v>6100</v>
      </c>
      <c r="Z2311" s="77"/>
      <c r="AA2311" s="77"/>
      <c r="AB2311" s="77"/>
      <c r="AC2311" s="82" t="s">
        <v>7706</v>
      </c>
      <c r="AD2311" s="77" t="s">
        <v>7745</v>
      </c>
      <c r="AE2311" s="80" t="str">
        <f>HYPERLINK("https://twitter.com/marciac42792937/status/1697588530451734755")</f>
        <v>https://twitter.com/marciac42792937/status/1697588530451734755</v>
      </c>
      <c r="AF2311" s="79">
        <v>45170.523368055554</v>
      </c>
      <c r="AG2311" s="85">
        <v>45170</v>
      </c>
      <c r="AH2311" s="82" t="s">
        <v>9811</v>
      </c>
      <c r="AI2311" s="77" t="b">
        <v>0</v>
      </c>
      <c r="AJ2311" s="77"/>
      <c r="AK2311" s="77"/>
      <c r="AL2311" s="77"/>
      <c r="AM2311" s="77"/>
      <c r="AN2311" s="77"/>
      <c r="AO2311" s="77"/>
      <c r="AP2311" s="77"/>
      <c r="AQ2311" s="77"/>
      <c r="AR2311" s="77"/>
      <c r="AS2311" s="77"/>
      <c r="AT2311" s="77"/>
      <c r="AU2311" s="77"/>
      <c r="AV2311" s="80" t="str">
        <f>HYPERLINK("https://pbs.twimg.com/profile_images/1580446254261321729/hTec8Vff_normal.jpg")</f>
        <v>https://pbs.twimg.com/profile_images/1580446254261321729/hTec8Vff_normal.jpg</v>
      </c>
      <c r="AW2311" s="82" t="s">
        <v>14469</v>
      </c>
      <c r="AX2311" s="82" t="s">
        <v>14469</v>
      </c>
      <c r="AY2311" s="77"/>
      <c r="AZ2311" s="82" t="s">
        <v>15804</v>
      </c>
      <c r="BA2311" s="82" t="s">
        <v>15804</v>
      </c>
      <c r="BB2311" s="82" t="s">
        <v>15804</v>
      </c>
      <c r="BC2311" s="82" t="s">
        <v>14469</v>
      </c>
      <c r="BD2311" s="82" t="s">
        <v>16527</v>
      </c>
      <c r="BE2311" s="77"/>
      <c r="BF2311" s="77"/>
      <c r="BG2311" s="77"/>
      <c r="BH2311" s="77"/>
      <c r="BI2311" s="77"/>
    </row>
    <row r="2312" spans="1:61" x14ac:dyDescent="0.25">
      <c r="A2312" s="62" t="s">
        <v>905</v>
      </c>
      <c r="B2312" s="62" t="s">
        <v>905</v>
      </c>
      <c r="C2312" s="63"/>
      <c r="D2312" s="64"/>
      <c r="E2312" s="65"/>
      <c r="F2312" s="66"/>
      <c r="G2312" s="63"/>
      <c r="H2312" s="67"/>
      <c r="I2312" s="68"/>
      <c r="J2312" s="68"/>
      <c r="K2312" s="32"/>
      <c r="L2312" s="75">
        <v>2312</v>
      </c>
      <c r="M2312" s="75"/>
      <c r="N2312" s="70"/>
      <c r="O2312" s="77" t="s">
        <v>179</v>
      </c>
      <c r="P2312" s="79">
        <v>45155.658784722225</v>
      </c>
      <c r="Q2312" s="77" t="s">
        <v>3357</v>
      </c>
      <c r="R2312" s="77">
        <v>0</v>
      </c>
      <c r="S2312" s="77">
        <v>6</v>
      </c>
      <c r="T2312" s="77">
        <v>0</v>
      </c>
      <c r="U2312" s="77">
        <v>1</v>
      </c>
      <c r="V2312" s="77">
        <v>317</v>
      </c>
      <c r="W2312" s="82" t="s">
        <v>4097</v>
      </c>
      <c r="X2312" s="77"/>
      <c r="Y2312" s="77"/>
      <c r="Z2312" s="77"/>
      <c r="AA2312" s="77" t="s">
        <v>7449</v>
      </c>
      <c r="AB2312" s="77" t="s">
        <v>7697</v>
      </c>
      <c r="AC2312" s="82" t="s">
        <v>7705</v>
      </c>
      <c r="AD2312" s="77" t="s">
        <v>7745</v>
      </c>
      <c r="AE2312" s="80" t="str">
        <f>HYPERLINK("https://twitter.com/marciac42792937/status/1692201785627140437")</f>
        <v>https://twitter.com/marciac42792937/status/1692201785627140437</v>
      </c>
      <c r="AF2312" s="79">
        <v>45155.658784722225</v>
      </c>
      <c r="AG2312" s="85">
        <v>45155</v>
      </c>
      <c r="AH2312" s="82" t="s">
        <v>9812</v>
      </c>
      <c r="AI2312" s="77" t="b">
        <v>0</v>
      </c>
      <c r="AJ2312" s="77"/>
      <c r="AK2312" s="77"/>
      <c r="AL2312" s="77"/>
      <c r="AM2312" s="77"/>
      <c r="AN2312" s="77"/>
      <c r="AO2312" s="77"/>
      <c r="AP2312" s="77"/>
      <c r="AQ2312" s="77" t="s">
        <v>11956</v>
      </c>
      <c r="AR2312" s="77">
        <v>42135</v>
      </c>
      <c r="AS2312" s="77"/>
      <c r="AT2312" s="77"/>
      <c r="AU2312" s="77">
        <v>78</v>
      </c>
      <c r="AV2312" s="80" t="str">
        <f>HYPERLINK("https://pbs.twimg.com/ext_tw_video_thumb/1692201693461512192/pu/img/uKxAIFrFZJoLMamT.jpg")</f>
        <v>https://pbs.twimg.com/ext_tw_video_thumb/1692201693461512192/pu/img/uKxAIFrFZJoLMamT.jpg</v>
      </c>
      <c r="AW2312" s="82" t="s">
        <v>14470</v>
      </c>
      <c r="AX2312" s="82" t="s">
        <v>14470</v>
      </c>
      <c r="AY2312" s="77"/>
      <c r="AZ2312" s="82" t="s">
        <v>15804</v>
      </c>
      <c r="BA2312" s="82" t="s">
        <v>15804</v>
      </c>
      <c r="BB2312" s="82" t="s">
        <v>15804</v>
      </c>
      <c r="BC2312" s="82" t="s">
        <v>14470</v>
      </c>
      <c r="BD2312" s="82" t="s">
        <v>16527</v>
      </c>
      <c r="BE2312" s="77"/>
      <c r="BF2312" s="77"/>
      <c r="BG2312" s="77"/>
      <c r="BH2312" s="77"/>
      <c r="BI2312" s="77"/>
    </row>
    <row r="2313" spans="1:61" x14ac:dyDescent="0.25">
      <c r="A2313" s="62" t="s">
        <v>905</v>
      </c>
      <c r="B2313" s="62" t="s">
        <v>905</v>
      </c>
      <c r="C2313" s="63"/>
      <c r="D2313" s="64"/>
      <c r="E2313" s="65"/>
      <c r="F2313" s="66"/>
      <c r="G2313" s="63"/>
      <c r="H2313" s="67"/>
      <c r="I2313" s="68"/>
      <c r="J2313" s="68"/>
      <c r="K2313" s="32"/>
      <c r="L2313" s="75">
        <v>2313</v>
      </c>
      <c r="M2313" s="75"/>
      <c r="N2313" s="70"/>
      <c r="O2313" s="77" t="s">
        <v>179</v>
      </c>
      <c r="P2313" s="79">
        <v>45007.354548611111</v>
      </c>
      <c r="Q2313" s="77" t="s">
        <v>3358</v>
      </c>
      <c r="R2313" s="77">
        <v>3</v>
      </c>
      <c r="S2313" s="77">
        <v>6</v>
      </c>
      <c r="T2313" s="77">
        <v>1</v>
      </c>
      <c r="U2313" s="77">
        <v>0</v>
      </c>
      <c r="V2313" s="77">
        <v>183</v>
      </c>
      <c r="W2313" s="82" t="s">
        <v>5546</v>
      </c>
      <c r="X2313" s="77"/>
      <c r="Y2313" s="77"/>
      <c r="Z2313" s="77"/>
      <c r="AA2313" s="77" t="s">
        <v>7450</v>
      </c>
      <c r="AB2313" s="77" t="s">
        <v>7696</v>
      </c>
      <c r="AC2313" s="82" t="s">
        <v>7705</v>
      </c>
      <c r="AD2313" s="77" t="s">
        <v>7745</v>
      </c>
      <c r="AE2313" s="80" t="str">
        <f>HYPERLINK("https://twitter.com/marciac42792937/status/1638458126167863296")</f>
        <v>https://twitter.com/marciac42792937/status/1638458126167863296</v>
      </c>
      <c r="AF2313" s="79">
        <v>45007.354548611111</v>
      </c>
      <c r="AG2313" s="85">
        <v>45007</v>
      </c>
      <c r="AH2313" s="82" t="s">
        <v>9813</v>
      </c>
      <c r="AI2313" s="77" t="b">
        <v>0</v>
      </c>
      <c r="AJ2313" s="77"/>
      <c r="AK2313" s="77"/>
      <c r="AL2313" s="77"/>
      <c r="AM2313" s="77"/>
      <c r="AN2313" s="77"/>
      <c r="AO2313" s="77"/>
      <c r="AP2313" s="77"/>
      <c r="AQ2313" s="77" t="s">
        <v>11957</v>
      </c>
      <c r="AR2313" s="77"/>
      <c r="AS2313" s="77"/>
      <c r="AT2313" s="77"/>
      <c r="AU2313" s="77"/>
      <c r="AV2313" s="80" t="str">
        <f>HYPERLINK("https://pbs.twimg.com/media/Frz4-k6XwAIqTLU.jpg")</f>
        <v>https://pbs.twimg.com/media/Frz4-k6XwAIqTLU.jpg</v>
      </c>
      <c r="AW2313" s="82" t="s">
        <v>14471</v>
      </c>
      <c r="AX2313" s="82" t="s">
        <v>14471</v>
      </c>
      <c r="AY2313" s="77"/>
      <c r="AZ2313" s="82" t="s">
        <v>15804</v>
      </c>
      <c r="BA2313" s="82" t="s">
        <v>15804</v>
      </c>
      <c r="BB2313" s="82" t="s">
        <v>15804</v>
      </c>
      <c r="BC2313" s="82" t="s">
        <v>14471</v>
      </c>
      <c r="BD2313" s="82" t="s">
        <v>16527</v>
      </c>
      <c r="BE2313" s="77"/>
      <c r="BF2313" s="77"/>
      <c r="BG2313" s="77"/>
      <c r="BH2313" s="77"/>
      <c r="BI2313" s="77"/>
    </row>
    <row r="2314" spans="1:61" x14ac:dyDescent="0.25">
      <c r="A2314" s="62" t="s">
        <v>905</v>
      </c>
      <c r="B2314" s="62" t="s">
        <v>905</v>
      </c>
      <c r="C2314" s="63"/>
      <c r="D2314" s="64"/>
      <c r="E2314" s="65"/>
      <c r="F2314" s="66"/>
      <c r="G2314" s="63"/>
      <c r="H2314" s="67"/>
      <c r="I2314" s="68"/>
      <c r="J2314" s="68"/>
      <c r="K2314" s="32"/>
      <c r="L2314" s="75">
        <v>2314</v>
      </c>
      <c r="M2314" s="75"/>
      <c r="N2314" s="70"/>
      <c r="O2314" s="77" t="s">
        <v>179</v>
      </c>
      <c r="P2314" s="79">
        <v>44957.492210648146</v>
      </c>
      <c r="Q2314" s="77" t="s">
        <v>3359</v>
      </c>
      <c r="R2314" s="77">
        <v>1</v>
      </c>
      <c r="S2314" s="77">
        <v>3</v>
      </c>
      <c r="T2314" s="77">
        <v>0</v>
      </c>
      <c r="U2314" s="77">
        <v>1</v>
      </c>
      <c r="V2314" s="77">
        <v>121</v>
      </c>
      <c r="W2314" s="82" t="s">
        <v>4097</v>
      </c>
      <c r="X2314" s="77"/>
      <c r="Y2314" s="77"/>
      <c r="Z2314" s="77"/>
      <c r="AA2314" s="77"/>
      <c r="AB2314" s="77"/>
      <c r="AC2314" s="82" t="s">
        <v>7706</v>
      </c>
      <c r="AD2314" s="77" t="s">
        <v>7745</v>
      </c>
      <c r="AE2314" s="80" t="str">
        <f>HYPERLINK("https://twitter.com/marciac42792937/status/1620388623052079104")</f>
        <v>https://twitter.com/marciac42792937/status/1620388623052079104</v>
      </c>
      <c r="AF2314" s="79">
        <v>44957.492210648146</v>
      </c>
      <c r="AG2314" s="85">
        <v>44957</v>
      </c>
      <c r="AH2314" s="82" t="s">
        <v>9814</v>
      </c>
      <c r="AI2314" s="77"/>
      <c r="AJ2314" s="77"/>
      <c r="AK2314" s="77"/>
      <c r="AL2314" s="77"/>
      <c r="AM2314" s="77"/>
      <c r="AN2314" s="77"/>
      <c r="AO2314" s="77"/>
      <c r="AP2314" s="77"/>
      <c r="AQ2314" s="77"/>
      <c r="AR2314" s="77"/>
      <c r="AS2314" s="77"/>
      <c r="AT2314" s="77"/>
      <c r="AU2314" s="77"/>
      <c r="AV2314" s="80" t="str">
        <f>HYPERLINK("https://pbs.twimg.com/profile_images/1580446254261321729/hTec8Vff_normal.jpg")</f>
        <v>https://pbs.twimg.com/profile_images/1580446254261321729/hTec8Vff_normal.jpg</v>
      </c>
      <c r="AW2314" s="82" t="s">
        <v>14472</v>
      </c>
      <c r="AX2314" s="82" t="s">
        <v>14472</v>
      </c>
      <c r="AY2314" s="77"/>
      <c r="AZ2314" s="82" t="s">
        <v>15804</v>
      </c>
      <c r="BA2314" s="82" t="s">
        <v>15804</v>
      </c>
      <c r="BB2314" s="82" t="s">
        <v>15804</v>
      </c>
      <c r="BC2314" s="82" t="s">
        <v>14472</v>
      </c>
      <c r="BD2314" s="82" t="s">
        <v>16527</v>
      </c>
      <c r="BE2314" s="77"/>
      <c r="BF2314" s="77"/>
      <c r="BG2314" s="77"/>
      <c r="BH2314" s="77"/>
      <c r="BI2314" s="77"/>
    </row>
    <row r="2315" spans="1:61" x14ac:dyDescent="0.25">
      <c r="A2315" s="62" t="s">
        <v>906</v>
      </c>
      <c r="B2315" s="62" t="s">
        <v>905</v>
      </c>
      <c r="C2315" s="63"/>
      <c r="D2315" s="64"/>
      <c r="E2315" s="65"/>
      <c r="F2315" s="66"/>
      <c r="G2315" s="63"/>
      <c r="H2315" s="67"/>
      <c r="I2315" s="68"/>
      <c r="J2315" s="68"/>
      <c r="K2315" s="32"/>
      <c r="L2315" s="75">
        <v>2315</v>
      </c>
      <c r="M2315" s="75"/>
      <c r="N2315" s="70"/>
      <c r="O2315" s="77" t="s">
        <v>1135</v>
      </c>
      <c r="P2315" s="79">
        <v>45113.476331018515</v>
      </c>
      <c r="Q2315" s="77" t="s">
        <v>3360</v>
      </c>
      <c r="R2315" s="77">
        <v>0</v>
      </c>
      <c r="S2315" s="77">
        <v>0</v>
      </c>
      <c r="T2315" s="77">
        <v>0</v>
      </c>
      <c r="U2315" s="77">
        <v>0</v>
      </c>
      <c r="V2315" s="77">
        <v>89</v>
      </c>
      <c r="W2315" s="82" t="s">
        <v>5547</v>
      </c>
      <c r="X2315" s="80" t="str">
        <f>HYPERLINK("https://lnkd.in/dc2cxDrs")</f>
        <v>https://lnkd.in/dc2cxDrs</v>
      </c>
      <c r="Y2315" s="77" t="s">
        <v>6014</v>
      </c>
      <c r="Z2315" s="77"/>
      <c r="AA2315" s="77"/>
      <c r="AB2315" s="77"/>
      <c r="AC2315" s="82" t="s">
        <v>7706</v>
      </c>
      <c r="AD2315" s="77" t="s">
        <v>7745</v>
      </c>
      <c r="AE2315" s="80" t="str">
        <f>HYPERLINK("https://twitter.com/kamba_rico/status/1676915372623294464")</f>
        <v>https://twitter.com/kamba_rico/status/1676915372623294464</v>
      </c>
      <c r="AF2315" s="79">
        <v>45113.476331018515</v>
      </c>
      <c r="AG2315" s="85">
        <v>45113</v>
      </c>
      <c r="AH2315" s="82" t="s">
        <v>9815</v>
      </c>
      <c r="AI2315" s="77" t="b">
        <v>0</v>
      </c>
      <c r="AJ2315" s="77"/>
      <c r="AK2315" s="77"/>
      <c r="AL2315" s="77"/>
      <c r="AM2315" s="77"/>
      <c r="AN2315" s="77"/>
      <c r="AO2315" s="77"/>
      <c r="AP2315" s="77"/>
      <c r="AQ2315" s="77"/>
      <c r="AR2315" s="77"/>
      <c r="AS2315" s="77"/>
      <c r="AT2315" s="77"/>
      <c r="AU2315" s="77"/>
      <c r="AV2315" s="80" t="str">
        <f>HYPERLINK("https://pbs.twimg.com/profile_images/995647405713510400/IrAKVrWf_normal.jpg")</f>
        <v>https://pbs.twimg.com/profile_images/995647405713510400/IrAKVrWf_normal.jpg</v>
      </c>
      <c r="AW2315" s="82" t="s">
        <v>14473</v>
      </c>
      <c r="AX2315" s="82" t="s">
        <v>14473</v>
      </c>
      <c r="AY2315" s="77"/>
      <c r="AZ2315" s="82" t="s">
        <v>15804</v>
      </c>
      <c r="BA2315" s="82" t="s">
        <v>14459</v>
      </c>
      <c r="BB2315" s="82" t="s">
        <v>15804</v>
      </c>
      <c r="BC2315" s="82" t="s">
        <v>14459</v>
      </c>
      <c r="BD2315" s="82" t="s">
        <v>16528</v>
      </c>
      <c r="BE2315" s="77"/>
      <c r="BF2315" s="77"/>
      <c r="BG2315" s="77"/>
      <c r="BH2315" s="77"/>
      <c r="BI2315" s="77"/>
    </row>
    <row r="2316" spans="1:61" x14ac:dyDescent="0.25">
      <c r="A2316" s="62" t="s">
        <v>906</v>
      </c>
      <c r="B2316" s="62" t="s">
        <v>906</v>
      </c>
      <c r="C2316" s="63"/>
      <c r="D2316" s="64"/>
      <c r="E2316" s="65"/>
      <c r="F2316" s="66"/>
      <c r="G2316" s="63"/>
      <c r="H2316" s="67"/>
      <c r="I2316" s="68"/>
      <c r="J2316" s="68"/>
      <c r="K2316" s="32"/>
      <c r="L2316" s="75">
        <v>2316</v>
      </c>
      <c r="M2316" s="75"/>
      <c r="N2316" s="70"/>
      <c r="O2316" s="77" t="s">
        <v>179</v>
      </c>
      <c r="P2316" s="79">
        <v>44966.373182870368</v>
      </c>
      <c r="Q2316" s="77" t="s">
        <v>3361</v>
      </c>
      <c r="R2316" s="77">
        <v>1</v>
      </c>
      <c r="S2316" s="77">
        <v>0</v>
      </c>
      <c r="T2316" s="77">
        <v>0</v>
      </c>
      <c r="U2316" s="77">
        <v>0</v>
      </c>
      <c r="V2316" s="77">
        <v>60</v>
      </c>
      <c r="W2316" s="82" t="s">
        <v>5548</v>
      </c>
      <c r="X2316" s="80" t="str">
        <f>HYPERLINK("https://kambarico.com/dia-dos-namorados-como-provar-o-seu-amor-sem-afundar-as-financas/")</f>
        <v>https://kambarico.com/dia-dos-namorados-como-provar-o-seu-amor-sem-afundar-as-financas/</v>
      </c>
      <c r="Y2316" s="77" t="s">
        <v>6100</v>
      </c>
      <c r="Z2316" s="77"/>
      <c r="AA2316" s="77"/>
      <c r="AB2316" s="77"/>
      <c r="AC2316" s="82" t="s">
        <v>7706</v>
      </c>
      <c r="AD2316" s="77" t="s">
        <v>7745</v>
      </c>
      <c r="AE2316" s="80" t="str">
        <f>HYPERLINK("https://twitter.com/kamba_rico/status/1623606977342365698")</f>
        <v>https://twitter.com/kamba_rico/status/1623606977342365698</v>
      </c>
      <c r="AF2316" s="79">
        <v>44966.373182870368</v>
      </c>
      <c r="AG2316" s="85">
        <v>44966</v>
      </c>
      <c r="AH2316" s="82" t="s">
        <v>9816</v>
      </c>
      <c r="AI2316" s="77" t="b">
        <v>0</v>
      </c>
      <c r="AJ2316" s="77"/>
      <c r="AK2316" s="77"/>
      <c r="AL2316" s="77"/>
      <c r="AM2316" s="77"/>
      <c r="AN2316" s="77"/>
      <c r="AO2316" s="77"/>
      <c r="AP2316" s="77"/>
      <c r="AQ2316" s="77"/>
      <c r="AR2316" s="77"/>
      <c r="AS2316" s="77"/>
      <c r="AT2316" s="77"/>
      <c r="AU2316" s="77"/>
      <c r="AV2316" s="80" t="str">
        <f>HYPERLINK("https://pbs.twimg.com/profile_images/995647405713510400/IrAKVrWf_normal.jpg")</f>
        <v>https://pbs.twimg.com/profile_images/995647405713510400/IrAKVrWf_normal.jpg</v>
      </c>
      <c r="AW2316" s="82" t="s">
        <v>14474</v>
      </c>
      <c r="AX2316" s="82" t="s">
        <v>14474</v>
      </c>
      <c r="AY2316" s="77"/>
      <c r="AZ2316" s="82" t="s">
        <v>15804</v>
      </c>
      <c r="BA2316" s="82" t="s">
        <v>15804</v>
      </c>
      <c r="BB2316" s="82" t="s">
        <v>15804</v>
      </c>
      <c r="BC2316" s="82" t="s">
        <v>14474</v>
      </c>
      <c r="BD2316" s="82" t="s">
        <v>16528</v>
      </c>
      <c r="BE2316" s="77"/>
      <c r="BF2316" s="77"/>
      <c r="BG2316" s="77"/>
      <c r="BH2316" s="77"/>
      <c r="BI2316" s="77"/>
    </row>
    <row r="2317" spans="1:61" x14ac:dyDescent="0.25">
      <c r="A2317" s="62" t="s">
        <v>906</v>
      </c>
      <c r="B2317" s="62" t="s">
        <v>906</v>
      </c>
      <c r="C2317" s="63"/>
      <c r="D2317" s="64"/>
      <c r="E2317" s="65"/>
      <c r="F2317" s="66"/>
      <c r="G2317" s="63"/>
      <c r="H2317" s="67"/>
      <c r="I2317" s="68"/>
      <c r="J2317" s="68"/>
      <c r="K2317" s="32"/>
      <c r="L2317" s="75">
        <v>2317</v>
      </c>
      <c r="M2317" s="75"/>
      <c r="N2317" s="70"/>
      <c r="O2317" s="77" t="s">
        <v>179</v>
      </c>
      <c r="P2317" s="79">
        <v>45090.675370370373</v>
      </c>
      <c r="Q2317" s="77" t="s">
        <v>3362</v>
      </c>
      <c r="R2317" s="77">
        <v>0</v>
      </c>
      <c r="S2317" s="77">
        <v>0</v>
      </c>
      <c r="T2317" s="77">
        <v>0</v>
      </c>
      <c r="U2317" s="77">
        <v>1</v>
      </c>
      <c r="V2317" s="77">
        <v>379</v>
      </c>
      <c r="W2317" s="82" t="s">
        <v>4097</v>
      </c>
      <c r="X2317" s="80" t="str">
        <f>HYPERLINK("https://kambarico.com/4-nocoes-para-o-futuro-financeiro-dos-seus-filhos/")</f>
        <v>https://kambarico.com/4-nocoes-para-o-futuro-financeiro-dos-seus-filhos/</v>
      </c>
      <c r="Y2317" s="77" t="s">
        <v>6100</v>
      </c>
      <c r="Z2317" s="77"/>
      <c r="AA2317" s="77"/>
      <c r="AB2317" s="77"/>
      <c r="AC2317" s="82" t="s">
        <v>7706</v>
      </c>
      <c r="AD2317" s="77" t="s">
        <v>7745</v>
      </c>
      <c r="AE2317" s="80" t="str">
        <f>HYPERLINK("https://twitter.com/kamba_rico/status/1668652582859059200")</f>
        <v>https://twitter.com/kamba_rico/status/1668652582859059200</v>
      </c>
      <c r="AF2317" s="79">
        <v>45090.675370370373</v>
      </c>
      <c r="AG2317" s="85">
        <v>45090</v>
      </c>
      <c r="AH2317" s="82" t="s">
        <v>9817</v>
      </c>
      <c r="AI2317" s="77" t="b">
        <v>0</v>
      </c>
      <c r="AJ2317" s="77"/>
      <c r="AK2317" s="77"/>
      <c r="AL2317" s="77"/>
      <c r="AM2317" s="77"/>
      <c r="AN2317" s="77"/>
      <c r="AO2317" s="77"/>
      <c r="AP2317" s="77"/>
      <c r="AQ2317" s="77"/>
      <c r="AR2317" s="77"/>
      <c r="AS2317" s="77"/>
      <c r="AT2317" s="77"/>
      <c r="AU2317" s="77"/>
      <c r="AV2317" s="80" t="str">
        <f>HYPERLINK("https://pbs.twimg.com/profile_images/995647405713510400/IrAKVrWf_normal.jpg")</f>
        <v>https://pbs.twimg.com/profile_images/995647405713510400/IrAKVrWf_normal.jpg</v>
      </c>
      <c r="AW2317" s="82" t="s">
        <v>14475</v>
      </c>
      <c r="AX2317" s="82" t="s">
        <v>14475</v>
      </c>
      <c r="AY2317" s="77"/>
      <c r="AZ2317" s="82" t="s">
        <v>15804</v>
      </c>
      <c r="BA2317" s="82" t="s">
        <v>15804</v>
      </c>
      <c r="BB2317" s="82" t="s">
        <v>15804</v>
      </c>
      <c r="BC2317" s="82" t="s">
        <v>14475</v>
      </c>
      <c r="BD2317" s="82" t="s">
        <v>16528</v>
      </c>
      <c r="BE2317" s="77"/>
      <c r="BF2317" s="77"/>
      <c r="BG2317" s="77"/>
      <c r="BH2317" s="77"/>
      <c r="BI2317" s="77"/>
    </row>
    <row r="2318" spans="1:61" x14ac:dyDescent="0.25">
      <c r="A2318" s="62" t="s">
        <v>906</v>
      </c>
      <c r="B2318" s="62" t="s">
        <v>906</v>
      </c>
      <c r="C2318" s="63"/>
      <c r="D2318" s="64"/>
      <c r="E2318" s="65"/>
      <c r="F2318" s="66"/>
      <c r="G2318" s="63"/>
      <c r="H2318" s="67"/>
      <c r="I2318" s="68"/>
      <c r="J2318" s="68"/>
      <c r="K2318" s="32"/>
      <c r="L2318" s="75">
        <v>2318</v>
      </c>
      <c r="M2318" s="75"/>
      <c r="N2318" s="70"/>
      <c r="O2318" s="77" t="s">
        <v>179</v>
      </c>
      <c r="P2318" s="79">
        <v>44984.276053240741</v>
      </c>
      <c r="Q2318" s="77" t="s">
        <v>3363</v>
      </c>
      <c r="R2318" s="77">
        <v>0</v>
      </c>
      <c r="S2318" s="77">
        <v>1</v>
      </c>
      <c r="T2318" s="77">
        <v>0</v>
      </c>
      <c r="U2318" s="77">
        <v>0</v>
      </c>
      <c r="V2318" s="77">
        <v>64</v>
      </c>
      <c r="W2318" s="82" t="s">
        <v>5545</v>
      </c>
      <c r="X2318" s="80" t="str">
        <f>HYPERLINK("https://kambarico.com/ajuda-familiar-ajuda-ou-atrapalha/")</f>
        <v>https://kambarico.com/ajuda-familiar-ajuda-ou-atrapalha/</v>
      </c>
      <c r="Y2318" s="77" t="s">
        <v>6100</v>
      </c>
      <c r="Z2318" s="77"/>
      <c r="AA2318" s="77"/>
      <c r="AB2318" s="77"/>
      <c r="AC2318" s="82" t="s">
        <v>7706</v>
      </c>
      <c r="AD2318" s="77" t="s">
        <v>7745</v>
      </c>
      <c r="AE2318" s="80" t="str">
        <f>HYPERLINK("https://twitter.com/kamba_rico/status/1630094761037029376")</f>
        <v>https://twitter.com/kamba_rico/status/1630094761037029376</v>
      </c>
      <c r="AF2318" s="79">
        <v>44984.276053240741</v>
      </c>
      <c r="AG2318" s="85">
        <v>44984</v>
      </c>
      <c r="AH2318" s="82" t="s">
        <v>9818</v>
      </c>
      <c r="AI2318" s="77" t="b">
        <v>0</v>
      </c>
      <c r="AJ2318" s="77"/>
      <c r="AK2318" s="77"/>
      <c r="AL2318" s="77"/>
      <c r="AM2318" s="77"/>
      <c r="AN2318" s="77"/>
      <c r="AO2318" s="77"/>
      <c r="AP2318" s="77"/>
      <c r="AQ2318" s="77"/>
      <c r="AR2318" s="77"/>
      <c r="AS2318" s="77"/>
      <c r="AT2318" s="77"/>
      <c r="AU2318" s="77"/>
      <c r="AV2318" s="80" t="str">
        <f>HYPERLINK("https://pbs.twimg.com/profile_images/995647405713510400/IrAKVrWf_normal.jpg")</f>
        <v>https://pbs.twimg.com/profile_images/995647405713510400/IrAKVrWf_normal.jpg</v>
      </c>
      <c r="AW2318" s="82" t="s">
        <v>14476</v>
      </c>
      <c r="AX2318" s="82" t="s">
        <v>14476</v>
      </c>
      <c r="AY2318" s="77"/>
      <c r="AZ2318" s="82" t="s">
        <v>15804</v>
      </c>
      <c r="BA2318" s="82" t="s">
        <v>15804</v>
      </c>
      <c r="BB2318" s="82" t="s">
        <v>15804</v>
      </c>
      <c r="BC2318" s="82" t="s">
        <v>14476</v>
      </c>
      <c r="BD2318" s="82" t="s">
        <v>16528</v>
      </c>
      <c r="BE2318" s="77"/>
      <c r="BF2318" s="77"/>
      <c r="BG2318" s="77"/>
      <c r="BH2318" s="77"/>
      <c r="BI2318" s="77"/>
    </row>
    <row r="2319" spans="1:61" x14ac:dyDescent="0.25">
      <c r="A2319" s="62" t="s">
        <v>906</v>
      </c>
      <c r="B2319" s="62" t="s">
        <v>906</v>
      </c>
      <c r="C2319" s="63"/>
      <c r="D2319" s="64"/>
      <c r="E2319" s="65"/>
      <c r="F2319" s="66"/>
      <c r="G2319" s="63"/>
      <c r="H2319" s="67"/>
      <c r="I2319" s="68"/>
      <c r="J2319" s="68"/>
      <c r="K2319" s="32"/>
      <c r="L2319" s="75">
        <v>2319</v>
      </c>
      <c r="M2319" s="75"/>
      <c r="N2319" s="70"/>
      <c r="O2319" s="77" t="s">
        <v>179</v>
      </c>
      <c r="P2319" s="79">
        <v>44929.328530092593</v>
      </c>
      <c r="Q2319" s="77" t="s">
        <v>3364</v>
      </c>
      <c r="R2319" s="77">
        <v>0</v>
      </c>
      <c r="S2319" s="77">
        <v>0</v>
      </c>
      <c r="T2319" s="77">
        <v>0</v>
      </c>
      <c r="U2319" s="77">
        <v>0</v>
      </c>
      <c r="V2319" s="77">
        <v>46</v>
      </c>
      <c r="W2319" s="82" t="s">
        <v>4097</v>
      </c>
      <c r="X2319" s="80" t="str">
        <f>HYPERLINK("https://kambarico.com/janeiro-e-mes-de-limpeza-financeira/")</f>
        <v>https://kambarico.com/janeiro-e-mes-de-limpeza-financeira/</v>
      </c>
      <c r="Y2319" s="77" t="s">
        <v>6100</v>
      </c>
      <c r="Z2319" s="77"/>
      <c r="AA2319" s="77"/>
      <c r="AB2319" s="77"/>
      <c r="AC2319" s="82" t="s">
        <v>7706</v>
      </c>
      <c r="AD2319" s="77" t="s">
        <v>7745</v>
      </c>
      <c r="AE2319" s="80" t="str">
        <f>HYPERLINK("https://twitter.com/kamba_rico/status/1610182444006744067")</f>
        <v>https://twitter.com/kamba_rico/status/1610182444006744067</v>
      </c>
      <c r="AF2319" s="79">
        <v>44929.328530092593</v>
      </c>
      <c r="AG2319" s="85">
        <v>44929</v>
      </c>
      <c r="AH2319" s="82" t="s">
        <v>9819</v>
      </c>
      <c r="AI2319" s="77" t="b">
        <v>0</v>
      </c>
      <c r="AJ2319" s="77"/>
      <c r="AK2319" s="77"/>
      <c r="AL2319" s="77"/>
      <c r="AM2319" s="77"/>
      <c r="AN2319" s="77"/>
      <c r="AO2319" s="77"/>
      <c r="AP2319" s="77"/>
      <c r="AQ2319" s="77"/>
      <c r="AR2319" s="77"/>
      <c r="AS2319" s="77"/>
      <c r="AT2319" s="77"/>
      <c r="AU2319" s="77"/>
      <c r="AV2319" s="80" t="str">
        <f>HYPERLINK("https://pbs.twimg.com/profile_images/995647405713510400/IrAKVrWf_normal.jpg")</f>
        <v>https://pbs.twimg.com/profile_images/995647405713510400/IrAKVrWf_normal.jpg</v>
      </c>
      <c r="AW2319" s="82" t="s">
        <v>14477</v>
      </c>
      <c r="AX2319" s="82" t="s">
        <v>14477</v>
      </c>
      <c r="AY2319" s="77"/>
      <c r="AZ2319" s="82" t="s">
        <v>15804</v>
      </c>
      <c r="BA2319" s="82" t="s">
        <v>15804</v>
      </c>
      <c r="BB2319" s="82" t="s">
        <v>15804</v>
      </c>
      <c r="BC2319" s="82" t="s">
        <v>14477</v>
      </c>
      <c r="BD2319" s="82" t="s">
        <v>16528</v>
      </c>
      <c r="BE2319" s="77"/>
      <c r="BF2319" s="77"/>
      <c r="BG2319" s="77"/>
      <c r="BH2319" s="77"/>
      <c r="BI2319" s="77"/>
    </row>
    <row r="2320" spans="1:61" x14ac:dyDescent="0.25">
      <c r="A2320" s="62" t="s">
        <v>906</v>
      </c>
      <c r="B2320" s="62" t="s">
        <v>906</v>
      </c>
      <c r="C2320" s="63"/>
      <c r="D2320" s="64"/>
      <c r="E2320" s="65"/>
      <c r="F2320" s="66"/>
      <c r="G2320" s="63"/>
      <c r="H2320" s="67"/>
      <c r="I2320" s="68"/>
      <c r="J2320" s="68"/>
      <c r="K2320" s="32"/>
      <c r="L2320" s="75">
        <v>2320</v>
      </c>
      <c r="M2320" s="75"/>
      <c r="N2320" s="70"/>
      <c r="O2320" s="77" t="s">
        <v>179</v>
      </c>
      <c r="P2320" s="79">
        <v>45110.474074074074</v>
      </c>
      <c r="Q2320" s="77" t="s">
        <v>3365</v>
      </c>
      <c r="R2320" s="77">
        <v>1</v>
      </c>
      <c r="S2320" s="77">
        <v>0</v>
      </c>
      <c r="T2320" s="77">
        <v>0</v>
      </c>
      <c r="U2320" s="77">
        <v>0</v>
      </c>
      <c r="V2320" s="77">
        <v>79</v>
      </c>
      <c r="W2320" s="82" t="s">
        <v>5545</v>
      </c>
      <c r="X2320" s="80" t="str">
        <f>HYPERLINK("https://kambarico.com/kamba-tudo-subiu-e-agora/")</f>
        <v>https://kambarico.com/kamba-tudo-subiu-e-agora/</v>
      </c>
      <c r="Y2320" s="77" t="s">
        <v>6100</v>
      </c>
      <c r="Z2320" s="77"/>
      <c r="AA2320" s="77"/>
      <c r="AB2320" s="77"/>
      <c r="AC2320" s="82" t="s">
        <v>7706</v>
      </c>
      <c r="AD2320" s="77" t="s">
        <v>7745</v>
      </c>
      <c r="AE2320" s="80" t="str">
        <f>HYPERLINK("https://twitter.com/kamba_rico/status/1675827393439895553")</f>
        <v>https://twitter.com/kamba_rico/status/1675827393439895553</v>
      </c>
      <c r="AF2320" s="79">
        <v>45110.474074074074</v>
      </c>
      <c r="AG2320" s="85">
        <v>45110</v>
      </c>
      <c r="AH2320" s="82" t="s">
        <v>9820</v>
      </c>
      <c r="AI2320" s="77" t="b">
        <v>0</v>
      </c>
      <c r="AJ2320" s="77"/>
      <c r="AK2320" s="77"/>
      <c r="AL2320" s="77"/>
      <c r="AM2320" s="77"/>
      <c r="AN2320" s="77"/>
      <c r="AO2320" s="77"/>
      <c r="AP2320" s="77"/>
      <c r="AQ2320" s="77"/>
      <c r="AR2320" s="77"/>
      <c r="AS2320" s="77"/>
      <c r="AT2320" s="77"/>
      <c r="AU2320" s="77"/>
      <c r="AV2320" s="80" t="str">
        <f>HYPERLINK("https://pbs.twimg.com/profile_images/995647405713510400/IrAKVrWf_normal.jpg")</f>
        <v>https://pbs.twimg.com/profile_images/995647405713510400/IrAKVrWf_normal.jpg</v>
      </c>
      <c r="AW2320" s="82" t="s">
        <v>14478</v>
      </c>
      <c r="AX2320" s="82" t="s">
        <v>14478</v>
      </c>
      <c r="AY2320" s="77"/>
      <c r="AZ2320" s="82" t="s">
        <v>15804</v>
      </c>
      <c r="BA2320" s="82" t="s">
        <v>15804</v>
      </c>
      <c r="BB2320" s="82" t="s">
        <v>15804</v>
      </c>
      <c r="BC2320" s="82" t="s">
        <v>14478</v>
      </c>
      <c r="BD2320" s="82" t="s">
        <v>16528</v>
      </c>
      <c r="BE2320" s="77"/>
      <c r="BF2320" s="77"/>
      <c r="BG2320" s="77"/>
      <c r="BH2320" s="77"/>
      <c r="BI2320" s="77"/>
    </row>
    <row r="2321" spans="1:61" x14ac:dyDescent="0.25">
      <c r="A2321" s="62" t="s">
        <v>906</v>
      </c>
      <c r="B2321" s="62" t="s">
        <v>906</v>
      </c>
      <c r="C2321" s="63"/>
      <c r="D2321" s="64"/>
      <c r="E2321" s="65"/>
      <c r="F2321" s="66"/>
      <c r="G2321" s="63"/>
      <c r="H2321" s="67"/>
      <c r="I2321" s="68"/>
      <c r="J2321" s="68"/>
      <c r="K2321" s="32"/>
      <c r="L2321" s="75">
        <v>2321</v>
      </c>
      <c r="M2321" s="75"/>
      <c r="N2321" s="70"/>
      <c r="O2321" s="77" t="s">
        <v>179</v>
      </c>
      <c r="P2321" s="79">
        <v>45138.445937500001</v>
      </c>
      <c r="Q2321" s="77" t="s">
        <v>3366</v>
      </c>
      <c r="R2321" s="77">
        <v>0</v>
      </c>
      <c r="S2321" s="77">
        <v>0</v>
      </c>
      <c r="T2321" s="77">
        <v>0</v>
      </c>
      <c r="U2321" s="77">
        <v>1</v>
      </c>
      <c r="V2321" s="77">
        <v>88</v>
      </c>
      <c r="W2321" s="82" t="s">
        <v>4097</v>
      </c>
      <c r="X2321" s="80" t="str">
        <f>HYPERLINK("https://kambarico.com/reforma-antecipada-aos-40-sim-ou-nao/")</f>
        <v>https://kambarico.com/reforma-antecipada-aos-40-sim-ou-nao/</v>
      </c>
      <c r="Y2321" s="77" t="s">
        <v>6100</v>
      </c>
      <c r="Z2321" s="77"/>
      <c r="AA2321" s="77"/>
      <c r="AB2321" s="77"/>
      <c r="AC2321" s="82" t="s">
        <v>7706</v>
      </c>
      <c r="AD2321" s="77" t="s">
        <v>7745</v>
      </c>
      <c r="AE2321" s="80" t="str">
        <f>HYPERLINK("https://twitter.com/kamba_rico/status/1685964055268511744")</f>
        <v>https://twitter.com/kamba_rico/status/1685964055268511744</v>
      </c>
      <c r="AF2321" s="79">
        <v>45138.445937500001</v>
      </c>
      <c r="AG2321" s="85">
        <v>45138</v>
      </c>
      <c r="AH2321" s="82" t="s">
        <v>9821</v>
      </c>
      <c r="AI2321" s="77" t="b">
        <v>0</v>
      </c>
      <c r="AJ2321" s="77"/>
      <c r="AK2321" s="77"/>
      <c r="AL2321" s="77"/>
      <c r="AM2321" s="77"/>
      <c r="AN2321" s="77"/>
      <c r="AO2321" s="77"/>
      <c r="AP2321" s="77"/>
      <c r="AQ2321" s="77"/>
      <c r="AR2321" s="77"/>
      <c r="AS2321" s="77"/>
      <c r="AT2321" s="77"/>
      <c r="AU2321" s="77"/>
      <c r="AV2321" s="80" t="str">
        <f>HYPERLINK("https://pbs.twimg.com/profile_images/995647405713510400/IrAKVrWf_normal.jpg")</f>
        <v>https://pbs.twimg.com/profile_images/995647405713510400/IrAKVrWf_normal.jpg</v>
      </c>
      <c r="AW2321" s="82" t="s">
        <v>14479</v>
      </c>
      <c r="AX2321" s="82" t="s">
        <v>14479</v>
      </c>
      <c r="AY2321" s="77"/>
      <c r="AZ2321" s="82" t="s">
        <v>15804</v>
      </c>
      <c r="BA2321" s="82" t="s">
        <v>15804</v>
      </c>
      <c r="BB2321" s="82" t="s">
        <v>15804</v>
      </c>
      <c r="BC2321" s="82" t="s">
        <v>14479</v>
      </c>
      <c r="BD2321" s="82" t="s">
        <v>16528</v>
      </c>
      <c r="BE2321" s="77"/>
      <c r="BF2321" s="77"/>
      <c r="BG2321" s="77"/>
      <c r="BH2321" s="77"/>
      <c r="BI2321" s="77"/>
    </row>
    <row r="2322" spans="1:61" x14ac:dyDescent="0.25">
      <c r="A2322" s="62" t="s">
        <v>906</v>
      </c>
      <c r="B2322" s="62" t="s">
        <v>906</v>
      </c>
      <c r="C2322" s="63"/>
      <c r="D2322" s="64"/>
      <c r="E2322" s="65"/>
      <c r="F2322" s="66"/>
      <c r="G2322" s="63"/>
      <c r="H2322" s="67"/>
      <c r="I2322" s="68"/>
      <c r="J2322" s="68"/>
      <c r="K2322" s="32"/>
      <c r="L2322" s="75">
        <v>2322</v>
      </c>
      <c r="M2322" s="75"/>
      <c r="N2322" s="70"/>
      <c r="O2322" s="77" t="s">
        <v>179</v>
      </c>
      <c r="P2322" s="79">
        <v>45082.450682870367</v>
      </c>
      <c r="Q2322" s="77" t="s">
        <v>3367</v>
      </c>
      <c r="R2322" s="77">
        <v>0</v>
      </c>
      <c r="S2322" s="77">
        <v>0</v>
      </c>
      <c r="T2322" s="77">
        <v>0</v>
      </c>
      <c r="U2322" s="77">
        <v>0</v>
      </c>
      <c r="V2322" s="77">
        <v>39</v>
      </c>
      <c r="W2322" s="82" t="s">
        <v>5541</v>
      </c>
      <c r="X2322" s="80" t="str">
        <f>HYPERLINK("https://kambarico.com/reduza-mais-de-50-do-gasto-em-combustivel-com-este-truque/")</f>
        <v>https://kambarico.com/reduza-mais-de-50-do-gasto-em-combustivel-com-este-truque/</v>
      </c>
      <c r="Y2322" s="77" t="s">
        <v>6100</v>
      </c>
      <c r="Z2322" s="77"/>
      <c r="AA2322" s="77"/>
      <c r="AB2322" s="77"/>
      <c r="AC2322" s="82" t="s">
        <v>7706</v>
      </c>
      <c r="AD2322" s="77" t="s">
        <v>7745</v>
      </c>
      <c r="AE2322" s="80" t="str">
        <f>HYPERLINK("https://twitter.com/kamba_rico/status/1665672054178185216")</f>
        <v>https://twitter.com/kamba_rico/status/1665672054178185216</v>
      </c>
      <c r="AF2322" s="79">
        <v>45082.450682870367</v>
      </c>
      <c r="AG2322" s="85">
        <v>45082</v>
      </c>
      <c r="AH2322" s="82" t="s">
        <v>9822</v>
      </c>
      <c r="AI2322" s="77" t="b">
        <v>0</v>
      </c>
      <c r="AJ2322" s="77"/>
      <c r="AK2322" s="77"/>
      <c r="AL2322" s="77"/>
      <c r="AM2322" s="77"/>
      <c r="AN2322" s="77"/>
      <c r="AO2322" s="77"/>
      <c r="AP2322" s="77"/>
      <c r="AQ2322" s="77"/>
      <c r="AR2322" s="77"/>
      <c r="AS2322" s="77"/>
      <c r="AT2322" s="77"/>
      <c r="AU2322" s="77"/>
      <c r="AV2322" s="80" t="str">
        <f>HYPERLINK("https://pbs.twimg.com/profile_images/995647405713510400/IrAKVrWf_normal.jpg")</f>
        <v>https://pbs.twimg.com/profile_images/995647405713510400/IrAKVrWf_normal.jpg</v>
      </c>
      <c r="AW2322" s="82" t="s">
        <v>14480</v>
      </c>
      <c r="AX2322" s="82" t="s">
        <v>14480</v>
      </c>
      <c r="AY2322" s="77"/>
      <c r="AZ2322" s="82" t="s">
        <v>15804</v>
      </c>
      <c r="BA2322" s="82" t="s">
        <v>15804</v>
      </c>
      <c r="BB2322" s="82" t="s">
        <v>15804</v>
      </c>
      <c r="BC2322" s="82" t="s">
        <v>14480</v>
      </c>
      <c r="BD2322" s="82" t="s">
        <v>16528</v>
      </c>
      <c r="BE2322" s="77"/>
      <c r="BF2322" s="77"/>
      <c r="BG2322" s="77"/>
      <c r="BH2322" s="77"/>
      <c r="BI2322" s="77"/>
    </row>
    <row r="2323" spans="1:61" x14ac:dyDescent="0.25">
      <c r="A2323" s="62" t="s">
        <v>906</v>
      </c>
      <c r="B2323" s="62" t="s">
        <v>906</v>
      </c>
      <c r="C2323" s="63"/>
      <c r="D2323" s="64"/>
      <c r="E2323" s="65"/>
      <c r="F2323" s="66"/>
      <c r="G2323" s="63"/>
      <c r="H2323" s="67"/>
      <c r="I2323" s="68"/>
      <c r="J2323" s="68"/>
      <c r="K2323" s="32"/>
      <c r="L2323" s="75">
        <v>2323</v>
      </c>
      <c r="M2323" s="75"/>
      <c r="N2323" s="70"/>
      <c r="O2323" s="77" t="s">
        <v>179</v>
      </c>
      <c r="P2323" s="79">
        <v>45166.60396990741</v>
      </c>
      <c r="Q2323" s="77" t="s">
        <v>3368</v>
      </c>
      <c r="R2323" s="77">
        <v>0</v>
      </c>
      <c r="S2323" s="77">
        <v>1</v>
      </c>
      <c r="T2323" s="77">
        <v>0</v>
      </c>
      <c r="U2323" s="77">
        <v>0</v>
      </c>
      <c r="V2323" s="77">
        <v>58</v>
      </c>
      <c r="W2323" s="82" t="s">
        <v>5541</v>
      </c>
      <c r="X2323" s="80" t="str">
        <f>HYPERLINK("https://kambarico.com/como-poupar-no-inicio-das-aulas/")</f>
        <v>https://kambarico.com/como-poupar-no-inicio-das-aulas/</v>
      </c>
      <c r="Y2323" s="77" t="s">
        <v>6100</v>
      </c>
      <c r="Z2323" s="77"/>
      <c r="AA2323" s="77"/>
      <c r="AB2323" s="77"/>
      <c r="AC2323" s="82" t="s">
        <v>7706</v>
      </c>
      <c r="AD2323" s="77" t="s">
        <v>7745</v>
      </c>
      <c r="AE2323" s="80" t="str">
        <f>HYPERLINK("https://twitter.com/kamba_rico/status/1696168184267612626")</f>
        <v>https://twitter.com/kamba_rico/status/1696168184267612626</v>
      </c>
      <c r="AF2323" s="79">
        <v>45166.60396990741</v>
      </c>
      <c r="AG2323" s="85">
        <v>45166</v>
      </c>
      <c r="AH2323" s="82" t="s">
        <v>9823</v>
      </c>
      <c r="AI2323" s="77" t="b">
        <v>0</v>
      </c>
      <c r="AJ2323" s="77"/>
      <c r="AK2323" s="77"/>
      <c r="AL2323" s="77"/>
      <c r="AM2323" s="77"/>
      <c r="AN2323" s="77"/>
      <c r="AO2323" s="77"/>
      <c r="AP2323" s="77"/>
      <c r="AQ2323" s="77"/>
      <c r="AR2323" s="77"/>
      <c r="AS2323" s="77"/>
      <c r="AT2323" s="77"/>
      <c r="AU2323" s="77"/>
      <c r="AV2323" s="80" t="str">
        <f>HYPERLINK("https://pbs.twimg.com/profile_images/995647405713510400/IrAKVrWf_normal.jpg")</f>
        <v>https://pbs.twimg.com/profile_images/995647405713510400/IrAKVrWf_normal.jpg</v>
      </c>
      <c r="AW2323" s="82" t="s">
        <v>14481</v>
      </c>
      <c r="AX2323" s="82" t="s">
        <v>14481</v>
      </c>
      <c r="AY2323" s="77"/>
      <c r="AZ2323" s="82" t="s">
        <v>15804</v>
      </c>
      <c r="BA2323" s="82" t="s">
        <v>15804</v>
      </c>
      <c r="BB2323" s="82" t="s">
        <v>15804</v>
      </c>
      <c r="BC2323" s="82" t="s">
        <v>14481</v>
      </c>
      <c r="BD2323" s="82" t="s">
        <v>16528</v>
      </c>
      <c r="BE2323" s="77"/>
      <c r="BF2323" s="77"/>
      <c r="BG2323" s="77"/>
      <c r="BH2323" s="77"/>
      <c r="BI2323" s="77"/>
    </row>
    <row r="2324" spans="1:61" x14ac:dyDescent="0.25">
      <c r="A2324" s="62" t="s">
        <v>906</v>
      </c>
      <c r="B2324" s="62" t="s">
        <v>906</v>
      </c>
      <c r="C2324" s="63"/>
      <c r="D2324" s="64"/>
      <c r="E2324" s="65"/>
      <c r="F2324" s="66"/>
      <c r="G2324" s="63"/>
      <c r="H2324" s="67"/>
      <c r="I2324" s="68"/>
      <c r="J2324" s="68"/>
      <c r="K2324" s="32"/>
      <c r="L2324" s="75">
        <v>2324</v>
      </c>
      <c r="M2324" s="75"/>
      <c r="N2324" s="70"/>
      <c r="O2324" s="77" t="s">
        <v>179</v>
      </c>
      <c r="P2324" s="79">
        <v>44979.423344907409</v>
      </c>
      <c r="Q2324" s="77" t="s">
        <v>3369</v>
      </c>
      <c r="R2324" s="77">
        <v>0</v>
      </c>
      <c r="S2324" s="77">
        <v>1</v>
      </c>
      <c r="T2324" s="77">
        <v>0</v>
      </c>
      <c r="U2324" s="77">
        <v>0</v>
      </c>
      <c r="V2324" s="77">
        <v>37</v>
      </c>
      <c r="W2324" s="82" t="s">
        <v>5541</v>
      </c>
      <c r="X2324" s="80" t="str">
        <f>HYPERLINK("https://kambarico.com/metodo-bola-de-neve-para-acabar-com-as-dividas/")</f>
        <v>https://kambarico.com/metodo-bola-de-neve-para-acabar-com-as-dividas/</v>
      </c>
      <c r="Y2324" s="77" t="s">
        <v>6100</v>
      </c>
      <c r="Z2324" s="77"/>
      <c r="AA2324" s="77"/>
      <c r="AB2324" s="77"/>
      <c r="AC2324" s="82" t="s">
        <v>7706</v>
      </c>
      <c r="AD2324" s="77" t="s">
        <v>7745</v>
      </c>
      <c r="AE2324" s="80" t="str">
        <f>HYPERLINK("https://twitter.com/kamba_rico/status/1628336199008911360")</f>
        <v>https://twitter.com/kamba_rico/status/1628336199008911360</v>
      </c>
      <c r="AF2324" s="79">
        <v>44979.423344907409</v>
      </c>
      <c r="AG2324" s="85">
        <v>44979</v>
      </c>
      <c r="AH2324" s="82" t="s">
        <v>9824</v>
      </c>
      <c r="AI2324" s="77" t="b">
        <v>0</v>
      </c>
      <c r="AJ2324" s="77"/>
      <c r="AK2324" s="77"/>
      <c r="AL2324" s="77"/>
      <c r="AM2324" s="77"/>
      <c r="AN2324" s="77"/>
      <c r="AO2324" s="77"/>
      <c r="AP2324" s="77"/>
      <c r="AQ2324" s="77"/>
      <c r="AR2324" s="77"/>
      <c r="AS2324" s="77"/>
      <c r="AT2324" s="77"/>
      <c r="AU2324" s="77"/>
      <c r="AV2324" s="80" t="str">
        <f>HYPERLINK("https://pbs.twimg.com/profile_images/995647405713510400/IrAKVrWf_normal.jpg")</f>
        <v>https://pbs.twimg.com/profile_images/995647405713510400/IrAKVrWf_normal.jpg</v>
      </c>
      <c r="AW2324" s="82" t="s">
        <v>14482</v>
      </c>
      <c r="AX2324" s="82" t="s">
        <v>14482</v>
      </c>
      <c r="AY2324" s="77"/>
      <c r="AZ2324" s="82" t="s">
        <v>15804</v>
      </c>
      <c r="BA2324" s="82" t="s">
        <v>15804</v>
      </c>
      <c r="BB2324" s="82" t="s">
        <v>15804</v>
      </c>
      <c r="BC2324" s="82" t="s">
        <v>14482</v>
      </c>
      <c r="BD2324" s="82" t="s">
        <v>16528</v>
      </c>
      <c r="BE2324" s="77"/>
      <c r="BF2324" s="77"/>
      <c r="BG2324" s="77"/>
      <c r="BH2324" s="77"/>
      <c r="BI2324" s="77"/>
    </row>
    <row r="2325" spans="1:61" x14ac:dyDescent="0.25">
      <c r="A2325" s="62" t="s">
        <v>906</v>
      </c>
      <c r="B2325" s="62" t="s">
        <v>906</v>
      </c>
      <c r="C2325" s="63"/>
      <c r="D2325" s="64"/>
      <c r="E2325" s="65"/>
      <c r="F2325" s="66"/>
      <c r="G2325" s="63"/>
      <c r="H2325" s="67"/>
      <c r="I2325" s="68"/>
      <c r="J2325" s="68"/>
      <c r="K2325" s="32"/>
      <c r="L2325" s="75">
        <v>2325</v>
      </c>
      <c r="M2325" s="75"/>
      <c r="N2325" s="70"/>
      <c r="O2325" s="77" t="s">
        <v>179</v>
      </c>
      <c r="P2325" s="79">
        <v>45168.674710648149</v>
      </c>
      <c r="Q2325" s="77" t="s">
        <v>3370</v>
      </c>
      <c r="R2325" s="77">
        <v>0</v>
      </c>
      <c r="S2325" s="77">
        <v>1</v>
      </c>
      <c r="T2325" s="77">
        <v>0</v>
      </c>
      <c r="U2325" s="77">
        <v>0</v>
      </c>
      <c r="V2325" s="77">
        <v>52</v>
      </c>
      <c r="W2325" s="82" t="s">
        <v>4097</v>
      </c>
      <c r="X2325" s="80" t="str">
        <f>HYPERLINK("https://kambarico.us18.list-manage.com/subscribe/post?u=6618f05447567634c30614405&amp;id=d97dcdeea5")</f>
        <v>https://kambarico.us18.list-manage.com/subscribe/post?u=6618f05447567634c30614405&amp;id=d97dcdeea5</v>
      </c>
      <c r="Y2325" s="77" t="s">
        <v>6101</v>
      </c>
      <c r="Z2325" s="77"/>
      <c r="AA2325" s="77"/>
      <c r="AB2325" s="77"/>
      <c r="AC2325" s="82" t="s">
        <v>7706</v>
      </c>
      <c r="AD2325" s="77" t="s">
        <v>7745</v>
      </c>
      <c r="AE2325" s="80" t="str">
        <f>HYPERLINK("https://twitter.com/kamba_rico/status/1696918595769659422")</f>
        <v>https://twitter.com/kamba_rico/status/1696918595769659422</v>
      </c>
      <c r="AF2325" s="79">
        <v>45168.674710648149</v>
      </c>
      <c r="AG2325" s="85">
        <v>45168</v>
      </c>
      <c r="AH2325" s="82" t="s">
        <v>9825</v>
      </c>
      <c r="AI2325" s="77" t="b">
        <v>0</v>
      </c>
      <c r="AJ2325" s="77"/>
      <c r="AK2325" s="77"/>
      <c r="AL2325" s="77"/>
      <c r="AM2325" s="77"/>
      <c r="AN2325" s="77"/>
      <c r="AO2325" s="77"/>
      <c r="AP2325" s="77"/>
      <c r="AQ2325" s="77"/>
      <c r="AR2325" s="77"/>
      <c r="AS2325" s="77"/>
      <c r="AT2325" s="77"/>
      <c r="AU2325" s="77"/>
      <c r="AV2325" s="80" t="str">
        <f>HYPERLINK("https://pbs.twimg.com/profile_images/995647405713510400/IrAKVrWf_normal.jpg")</f>
        <v>https://pbs.twimg.com/profile_images/995647405713510400/IrAKVrWf_normal.jpg</v>
      </c>
      <c r="AW2325" s="82" t="s">
        <v>14483</v>
      </c>
      <c r="AX2325" s="82" t="s">
        <v>14483</v>
      </c>
      <c r="AY2325" s="77"/>
      <c r="AZ2325" s="82" t="s">
        <v>15804</v>
      </c>
      <c r="BA2325" s="82" t="s">
        <v>15804</v>
      </c>
      <c r="BB2325" s="82" t="s">
        <v>15804</v>
      </c>
      <c r="BC2325" s="82" t="s">
        <v>14483</v>
      </c>
      <c r="BD2325" s="82" t="s">
        <v>16528</v>
      </c>
      <c r="BE2325" s="77"/>
      <c r="BF2325" s="77"/>
      <c r="BG2325" s="77"/>
      <c r="BH2325" s="77"/>
      <c r="BI2325" s="77"/>
    </row>
    <row r="2326" spans="1:61" x14ac:dyDescent="0.25">
      <c r="A2326" s="62" t="s">
        <v>906</v>
      </c>
      <c r="B2326" s="62" t="s">
        <v>906</v>
      </c>
      <c r="C2326" s="63"/>
      <c r="D2326" s="64"/>
      <c r="E2326" s="65"/>
      <c r="F2326" s="66"/>
      <c r="G2326" s="63"/>
      <c r="H2326" s="67"/>
      <c r="I2326" s="68"/>
      <c r="J2326" s="68"/>
      <c r="K2326" s="32"/>
      <c r="L2326" s="75">
        <v>2326</v>
      </c>
      <c r="M2326" s="75"/>
      <c r="N2326" s="70"/>
      <c r="O2326" s="77" t="s">
        <v>179</v>
      </c>
      <c r="P2326" s="79">
        <v>45005.567326388889</v>
      </c>
      <c r="Q2326" s="77" t="s">
        <v>3371</v>
      </c>
      <c r="R2326" s="77">
        <v>1</v>
      </c>
      <c r="S2326" s="77">
        <v>0</v>
      </c>
      <c r="T2326" s="77">
        <v>0</v>
      </c>
      <c r="U2326" s="77">
        <v>0</v>
      </c>
      <c r="V2326" s="77">
        <v>48</v>
      </c>
      <c r="W2326" s="82" t="s">
        <v>5549</v>
      </c>
      <c r="X2326" s="80" t="str">
        <f>HYPERLINK("https://kambarico.com/como-equilibrar-as-financas-ao-cuidar-de-filhos-e-dos-pais/")</f>
        <v>https://kambarico.com/como-equilibrar-as-financas-ao-cuidar-de-filhos-e-dos-pais/</v>
      </c>
      <c r="Y2326" s="77" t="s">
        <v>6100</v>
      </c>
      <c r="Z2326" s="77"/>
      <c r="AA2326" s="77"/>
      <c r="AB2326" s="77"/>
      <c r="AC2326" s="82" t="s">
        <v>7706</v>
      </c>
      <c r="AD2326" s="77" t="s">
        <v>7745</v>
      </c>
      <c r="AE2326" s="80" t="str">
        <f>HYPERLINK("https://twitter.com/kamba_rico/status/1637810460505325571")</f>
        <v>https://twitter.com/kamba_rico/status/1637810460505325571</v>
      </c>
      <c r="AF2326" s="79">
        <v>45005.567326388889</v>
      </c>
      <c r="AG2326" s="85">
        <v>45005</v>
      </c>
      <c r="AH2326" s="82" t="s">
        <v>9826</v>
      </c>
      <c r="AI2326" s="77" t="b">
        <v>0</v>
      </c>
      <c r="AJ2326" s="77"/>
      <c r="AK2326" s="77"/>
      <c r="AL2326" s="77"/>
      <c r="AM2326" s="77"/>
      <c r="AN2326" s="77"/>
      <c r="AO2326" s="77"/>
      <c r="AP2326" s="77"/>
      <c r="AQ2326" s="77"/>
      <c r="AR2326" s="77"/>
      <c r="AS2326" s="77"/>
      <c r="AT2326" s="77"/>
      <c r="AU2326" s="77"/>
      <c r="AV2326" s="80" t="str">
        <f>HYPERLINK("https://pbs.twimg.com/profile_images/995647405713510400/IrAKVrWf_normal.jpg")</f>
        <v>https://pbs.twimg.com/profile_images/995647405713510400/IrAKVrWf_normal.jpg</v>
      </c>
      <c r="AW2326" s="82" t="s">
        <v>14484</v>
      </c>
      <c r="AX2326" s="82" t="s">
        <v>14484</v>
      </c>
      <c r="AY2326" s="77"/>
      <c r="AZ2326" s="82" t="s">
        <v>15804</v>
      </c>
      <c r="BA2326" s="82" t="s">
        <v>15804</v>
      </c>
      <c r="BB2326" s="82" t="s">
        <v>15804</v>
      </c>
      <c r="BC2326" s="82" t="s">
        <v>14484</v>
      </c>
      <c r="BD2326" s="82" t="s">
        <v>16528</v>
      </c>
      <c r="BE2326" s="77"/>
      <c r="BF2326" s="77"/>
      <c r="BG2326" s="77"/>
      <c r="BH2326" s="77"/>
      <c r="BI2326" s="77"/>
    </row>
    <row r="2327" spans="1:61" x14ac:dyDescent="0.25">
      <c r="A2327" s="62" t="s">
        <v>906</v>
      </c>
      <c r="B2327" s="62" t="s">
        <v>906</v>
      </c>
      <c r="C2327" s="63"/>
      <c r="D2327" s="64"/>
      <c r="E2327" s="65"/>
      <c r="F2327" s="66"/>
      <c r="G2327" s="63"/>
      <c r="H2327" s="67"/>
      <c r="I2327" s="68"/>
      <c r="J2327" s="68"/>
      <c r="K2327" s="32"/>
      <c r="L2327" s="75">
        <v>2327</v>
      </c>
      <c r="M2327" s="75"/>
      <c r="N2327" s="70"/>
      <c r="O2327" s="77" t="s">
        <v>179</v>
      </c>
      <c r="P2327" s="79">
        <v>44958.31994212963</v>
      </c>
      <c r="Q2327" s="77" t="s">
        <v>3372</v>
      </c>
      <c r="R2327" s="77">
        <v>1</v>
      </c>
      <c r="S2327" s="77">
        <v>0</v>
      </c>
      <c r="T2327" s="77">
        <v>0</v>
      </c>
      <c r="U2327" s="77">
        <v>0</v>
      </c>
      <c r="V2327" s="77">
        <v>48</v>
      </c>
      <c r="W2327" s="82" t="s">
        <v>4097</v>
      </c>
      <c r="X2327" s="80" t="str">
        <f>HYPERLINK("https://kambarico.com/dinheiro-e-namoro-5-regras-para-kambas-ricos/")</f>
        <v>https://kambarico.com/dinheiro-e-namoro-5-regras-para-kambas-ricos/</v>
      </c>
      <c r="Y2327" s="77" t="s">
        <v>6100</v>
      </c>
      <c r="Z2327" s="77"/>
      <c r="AA2327" s="77"/>
      <c r="AB2327" s="77"/>
      <c r="AC2327" s="82" t="s">
        <v>7706</v>
      </c>
      <c r="AD2327" s="77" t="s">
        <v>7745</v>
      </c>
      <c r="AE2327" s="80" t="str">
        <f>HYPERLINK("https://twitter.com/kamba_rico/status/1620688581651226624")</f>
        <v>https://twitter.com/kamba_rico/status/1620688581651226624</v>
      </c>
      <c r="AF2327" s="79">
        <v>44958.31994212963</v>
      </c>
      <c r="AG2327" s="85">
        <v>44958</v>
      </c>
      <c r="AH2327" s="82" t="s">
        <v>9827</v>
      </c>
      <c r="AI2327" s="77" t="b">
        <v>0</v>
      </c>
      <c r="AJ2327" s="77"/>
      <c r="AK2327" s="77"/>
      <c r="AL2327" s="77"/>
      <c r="AM2327" s="77"/>
      <c r="AN2327" s="77"/>
      <c r="AO2327" s="77"/>
      <c r="AP2327" s="77"/>
      <c r="AQ2327" s="77"/>
      <c r="AR2327" s="77"/>
      <c r="AS2327" s="77"/>
      <c r="AT2327" s="77"/>
      <c r="AU2327" s="77"/>
      <c r="AV2327" s="80" t="str">
        <f>HYPERLINK("https://pbs.twimg.com/profile_images/995647405713510400/IrAKVrWf_normal.jpg")</f>
        <v>https://pbs.twimg.com/profile_images/995647405713510400/IrAKVrWf_normal.jpg</v>
      </c>
      <c r="AW2327" s="82" t="s">
        <v>14485</v>
      </c>
      <c r="AX2327" s="82" t="s">
        <v>14485</v>
      </c>
      <c r="AY2327" s="77"/>
      <c r="AZ2327" s="82" t="s">
        <v>15804</v>
      </c>
      <c r="BA2327" s="82" t="s">
        <v>15804</v>
      </c>
      <c r="BB2327" s="82" t="s">
        <v>15804</v>
      </c>
      <c r="BC2327" s="82" t="s">
        <v>14485</v>
      </c>
      <c r="BD2327" s="82" t="s">
        <v>16528</v>
      </c>
      <c r="BE2327" s="77"/>
      <c r="BF2327" s="77"/>
      <c r="BG2327" s="77"/>
      <c r="BH2327" s="77"/>
      <c r="BI2327" s="77"/>
    </row>
    <row r="2328" spans="1:61" x14ac:dyDescent="0.25">
      <c r="A2328" s="62" t="s">
        <v>906</v>
      </c>
      <c r="B2328" s="62" t="s">
        <v>906</v>
      </c>
      <c r="C2328" s="63"/>
      <c r="D2328" s="64"/>
      <c r="E2328" s="65"/>
      <c r="F2328" s="66"/>
      <c r="G2328" s="63"/>
      <c r="H2328" s="67"/>
      <c r="I2328" s="68"/>
      <c r="J2328" s="68"/>
      <c r="K2328" s="32"/>
      <c r="L2328" s="75">
        <v>2328</v>
      </c>
      <c r="M2328" s="75"/>
      <c r="N2328" s="70"/>
      <c r="O2328" s="77" t="s">
        <v>179</v>
      </c>
      <c r="P2328" s="79">
        <v>44954.418645833335</v>
      </c>
      <c r="Q2328" s="77" t="s">
        <v>3373</v>
      </c>
      <c r="R2328" s="77">
        <v>0</v>
      </c>
      <c r="S2328" s="77">
        <v>1</v>
      </c>
      <c r="T2328" s="77">
        <v>0</v>
      </c>
      <c r="U2328" s="77">
        <v>0</v>
      </c>
      <c r="V2328" s="77">
        <v>39</v>
      </c>
      <c r="W2328" s="82" t="s">
        <v>4097</v>
      </c>
      <c r="X2328" s="80" t="str">
        <f>HYPERLINK("https://kambarico.com/4-sinais-de-que-voce-gasta-demais/")</f>
        <v>https://kambarico.com/4-sinais-de-que-voce-gasta-demais/</v>
      </c>
      <c r="Y2328" s="77" t="s">
        <v>6100</v>
      </c>
      <c r="Z2328" s="77"/>
      <c r="AA2328" s="77"/>
      <c r="AB2328" s="77"/>
      <c r="AC2328" s="82" t="s">
        <v>7706</v>
      </c>
      <c r="AD2328" s="77" t="s">
        <v>7745</v>
      </c>
      <c r="AE2328" s="80" t="str">
        <f>HYPERLINK("https://twitter.com/kamba_rico/status/1619274800765210629")</f>
        <v>https://twitter.com/kamba_rico/status/1619274800765210629</v>
      </c>
      <c r="AF2328" s="79">
        <v>44954.418645833335</v>
      </c>
      <c r="AG2328" s="85">
        <v>44954</v>
      </c>
      <c r="AH2328" s="82" t="s">
        <v>9828</v>
      </c>
      <c r="AI2328" s="77" t="b">
        <v>0</v>
      </c>
      <c r="AJ2328" s="77"/>
      <c r="AK2328" s="77"/>
      <c r="AL2328" s="77"/>
      <c r="AM2328" s="77"/>
      <c r="AN2328" s="77"/>
      <c r="AO2328" s="77"/>
      <c r="AP2328" s="77"/>
      <c r="AQ2328" s="77"/>
      <c r="AR2328" s="77"/>
      <c r="AS2328" s="77"/>
      <c r="AT2328" s="77"/>
      <c r="AU2328" s="77"/>
      <c r="AV2328" s="80" t="str">
        <f>HYPERLINK("https://pbs.twimg.com/profile_images/995647405713510400/IrAKVrWf_normal.jpg")</f>
        <v>https://pbs.twimg.com/profile_images/995647405713510400/IrAKVrWf_normal.jpg</v>
      </c>
      <c r="AW2328" s="82" t="s">
        <v>14486</v>
      </c>
      <c r="AX2328" s="82" t="s">
        <v>14486</v>
      </c>
      <c r="AY2328" s="77"/>
      <c r="AZ2328" s="82" t="s">
        <v>15804</v>
      </c>
      <c r="BA2328" s="82" t="s">
        <v>15804</v>
      </c>
      <c r="BB2328" s="82" t="s">
        <v>15804</v>
      </c>
      <c r="BC2328" s="82" t="s">
        <v>14486</v>
      </c>
      <c r="BD2328" s="82" t="s">
        <v>16528</v>
      </c>
      <c r="BE2328" s="77"/>
      <c r="BF2328" s="77"/>
      <c r="BG2328" s="77"/>
      <c r="BH2328" s="77"/>
      <c r="BI2328" s="77"/>
    </row>
    <row r="2329" spans="1:61" x14ac:dyDescent="0.25">
      <c r="A2329" s="62" t="s">
        <v>906</v>
      </c>
      <c r="B2329" s="62" t="s">
        <v>906</v>
      </c>
      <c r="C2329" s="63"/>
      <c r="D2329" s="64"/>
      <c r="E2329" s="65"/>
      <c r="F2329" s="66"/>
      <c r="G2329" s="63"/>
      <c r="H2329" s="67"/>
      <c r="I2329" s="68"/>
      <c r="J2329" s="68"/>
      <c r="K2329" s="32"/>
      <c r="L2329" s="75">
        <v>2329</v>
      </c>
      <c r="M2329" s="75"/>
      <c r="N2329" s="70"/>
      <c r="O2329" s="77" t="s">
        <v>179</v>
      </c>
      <c r="P2329" s="79">
        <v>45173.465891203705</v>
      </c>
      <c r="Q2329" s="77" t="s">
        <v>3374</v>
      </c>
      <c r="R2329" s="77">
        <v>0</v>
      </c>
      <c r="S2329" s="77">
        <v>0</v>
      </c>
      <c r="T2329" s="77">
        <v>0</v>
      </c>
      <c r="U2329" s="77">
        <v>0</v>
      </c>
      <c r="V2329" s="77">
        <v>24</v>
      </c>
      <c r="W2329" s="82" t="s">
        <v>5545</v>
      </c>
      <c r="X2329" s="80" t="str">
        <f>HYPERLINK("https://kambarico.com/a-regra-mais-basica-do-kamba-rico/")</f>
        <v>https://kambarico.com/a-regra-mais-basica-do-kamba-rico/</v>
      </c>
      <c r="Y2329" s="77" t="s">
        <v>6100</v>
      </c>
      <c r="Z2329" s="77"/>
      <c r="AA2329" s="77"/>
      <c r="AB2329" s="77"/>
      <c r="AC2329" s="82" t="s">
        <v>7706</v>
      </c>
      <c r="AD2329" s="77" t="s">
        <v>7745</v>
      </c>
      <c r="AE2329" s="80" t="str">
        <f>HYPERLINK("https://twitter.com/kamba_rico/status/1698654862496653411")</f>
        <v>https://twitter.com/kamba_rico/status/1698654862496653411</v>
      </c>
      <c r="AF2329" s="79">
        <v>45173.465891203705</v>
      </c>
      <c r="AG2329" s="85">
        <v>45173</v>
      </c>
      <c r="AH2329" s="82" t="s">
        <v>9829</v>
      </c>
      <c r="AI2329" s="77" t="b">
        <v>0</v>
      </c>
      <c r="AJ2329" s="77"/>
      <c r="AK2329" s="77"/>
      <c r="AL2329" s="77"/>
      <c r="AM2329" s="77"/>
      <c r="AN2329" s="77"/>
      <c r="AO2329" s="77"/>
      <c r="AP2329" s="77"/>
      <c r="AQ2329" s="77"/>
      <c r="AR2329" s="77"/>
      <c r="AS2329" s="77"/>
      <c r="AT2329" s="77"/>
      <c r="AU2329" s="77"/>
      <c r="AV2329" s="80" t="str">
        <f>HYPERLINK("https://pbs.twimg.com/profile_images/995647405713510400/IrAKVrWf_normal.jpg")</f>
        <v>https://pbs.twimg.com/profile_images/995647405713510400/IrAKVrWf_normal.jpg</v>
      </c>
      <c r="AW2329" s="82" t="s">
        <v>14487</v>
      </c>
      <c r="AX2329" s="82" t="s">
        <v>14487</v>
      </c>
      <c r="AY2329" s="77"/>
      <c r="AZ2329" s="82" t="s">
        <v>15804</v>
      </c>
      <c r="BA2329" s="82" t="s">
        <v>15804</v>
      </c>
      <c r="BB2329" s="82" t="s">
        <v>15804</v>
      </c>
      <c r="BC2329" s="82" t="s">
        <v>14487</v>
      </c>
      <c r="BD2329" s="82" t="s">
        <v>16528</v>
      </c>
      <c r="BE2329" s="77"/>
      <c r="BF2329" s="77"/>
      <c r="BG2329" s="77"/>
      <c r="BH2329" s="77"/>
      <c r="BI2329" s="77"/>
    </row>
    <row r="2330" spans="1:61" x14ac:dyDescent="0.25">
      <c r="A2330" s="62" t="s">
        <v>906</v>
      </c>
      <c r="B2330" s="62" t="s">
        <v>906</v>
      </c>
      <c r="C2330" s="63"/>
      <c r="D2330" s="64"/>
      <c r="E2330" s="65"/>
      <c r="F2330" s="66"/>
      <c r="G2330" s="63"/>
      <c r="H2330" s="67"/>
      <c r="I2330" s="68"/>
      <c r="J2330" s="68"/>
      <c r="K2330" s="32"/>
      <c r="L2330" s="75">
        <v>2330</v>
      </c>
      <c r="M2330" s="75"/>
      <c r="N2330" s="70"/>
      <c r="O2330" s="77" t="s">
        <v>179</v>
      </c>
      <c r="P2330" s="79">
        <v>45169.633136574077</v>
      </c>
      <c r="Q2330" s="77" t="s">
        <v>3375</v>
      </c>
      <c r="R2330" s="77">
        <v>0</v>
      </c>
      <c r="S2330" s="77">
        <v>0</v>
      </c>
      <c r="T2330" s="77">
        <v>0</v>
      </c>
      <c r="U2330" s="77">
        <v>1</v>
      </c>
      <c r="V2330" s="77">
        <v>184</v>
      </c>
      <c r="W2330" s="82" t="s">
        <v>5550</v>
      </c>
      <c r="X2330" s="80" t="str">
        <f>HYPERLINK("https://kambarico.com/ja-comecou-a-preparar-a-sua-reforma/")</f>
        <v>https://kambarico.com/ja-comecou-a-preparar-a-sua-reforma/</v>
      </c>
      <c r="Y2330" s="77" t="s">
        <v>6100</v>
      </c>
      <c r="Z2330" s="77"/>
      <c r="AA2330" s="77"/>
      <c r="AB2330" s="77"/>
      <c r="AC2330" s="82" t="s">
        <v>7706</v>
      </c>
      <c r="AD2330" s="77" t="s">
        <v>7745</v>
      </c>
      <c r="AE2330" s="80" t="str">
        <f>HYPERLINK("https://twitter.com/kamba_rico/status/1697265920933331376")</f>
        <v>https://twitter.com/kamba_rico/status/1697265920933331376</v>
      </c>
      <c r="AF2330" s="79">
        <v>45169.633136574077</v>
      </c>
      <c r="AG2330" s="85">
        <v>45169</v>
      </c>
      <c r="AH2330" s="82" t="s">
        <v>9830</v>
      </c>
      <c r="AI2330" s="77" t="b">
        <v>0</v>
      </c>
      <c r="AJ2330" s="77"/>
      <c r="AK2330" s="77"/>
      <c r="AL2330" s="77"/>
      <c r="AM2330" s="77"/>
      <c r="AN2330" s="77"/>
      <c r="AO2330" s="77"/>
      <c r="AP2330" s="77"/>
      <c r="AQ2330" s="77"/>
      <c r="AR2330" s="77"/>
      <c r="AS2330" s="77"/>
      <c r="AT2330" s="77"/>
      <c r="AU2330" s="77"/>
      <c r="AV2330" s="80" t="str">
        <f>HYPERLINK("https://pbs.twimg.com/profile_images/995647405713510400/IrAKVrWf_normal.jpg")</f>
        <v>https://pbs.twimg.com/profile_images/995647405713510400/IrAKVrWf_normal.jpg</v>
      </c>
      <c r="AW2330" s="82" t="s">
        <v>14488</v>
      </c>
      <c r="AX2330" s="82" t="s">
        <v>14488</v>
      </c>
      <c r="AY2330" s="77"/>
      <c r="AZ2330" s="82" t="s">
        <v>15804</v>
      </c>
      <c r="BA2330" s="82" t="s">
        <v>15804</v>
      </c>
      <c r="BB2330" s="82" t="s">
        <v>15804</v>
      </c>
      <c r="BC2330" s="82" t="s">
        <v>14488</v>
      </c>
      <c r="BD2330" s="82" t="s">
        <v>16528</v>
      </c>
      <c r="BE2330" s="77"/>
      <c r="BF2330" s="77"/>
      <c r="BG2330" s="77"/>
      <c r="BH2330" s="77"/>
      <c r="BI2330" s="77"/>
    </row>
    <row r="2331" spans="1:61" x14ac:dyDescent="0.25">
      <c r="A2331" s="62" t="s">
        <v>906</v>
      </c>
      <c r="B2331" s="62" t="s">
        <v>906</v>
      </c>
      <c r="C2331" s="63"/>
      <c r="D2331" s="64"/>
      <c r="E2331" s="65"/>
      <c r="F2331" s="66"/>
      <c r="G2331" s="63"/>
      <c r="H2331" s="67"/>
      <c r="I2331" s="68"/>
      <c r="J2331" s="68"/>
      <c r="K2331" s="32"/>
      <c r="L2331" s="75">
        <v>2331</v>
      </c>
      <c r="M2331" s="75"/>
      <c r="N2331" s="70"/>
      <c r="O2331" s="77" t="s">
        <v>179</v>
      </c>
      <c r="P2331" s="79">
        <v>44988.319537037038</v>
      </c>
      <c r="Q2331" s="77" t="s">
        <v>3376</v>
      </c>
      <c r="R2331" s="77">
        <v>0</v>
      </c>
      <c r="S2331" s="77">
        <v>1</v>
      </c>
      <c r="T2331" s="77">
        <v>0</v>
      </c>
      <c r="U2331" s="77">
        <v>0</v>
      </c>
      <c r="V2331" s="77">
        <v>37</v>
      </c>
      <c r="W2331" s="82" t="s">
        <v>4097</v>
      </c>
      <c r="X2331" s="80" t="str">
        <f>HYPERLINK("https://kambarico.com/mulher-angolana-vamos-falar-sobre-dinheiro/")</f>
        <v>https://kambarico.com/mulher-angolana-vamos-falar-sobre-dinheiro/</v>
      </c>
      <c r="Y2331" s="77" t="s">
        <v>6100</v>
      </c>
      <c r="Z2331" s="77"/>
      <c r="AA2331" s="77"/>
      <c r="AB2331" s="77"/>
      <c r="AC2331" s="82" t="s">
        <v>7706</v>
      </c>
      <c r="AD2331" s="77" t="s">
        <v>7745</v>
      </c>
      <c r="AE2331" s="80" t="str">
        <f>HYPERLINK("https://twitter.com/kamba_rico/status/1631560070038188032")</f>
        <v>https://twitter.com/kamba_rico/status/1631560070038188032</v>
      </c>
      <c r="AF2331" s="79">
        <v>44988.319537037038</v>
      </c>
      <c r="AG2331" s="85">
        <v>44988</v>
      </c>
      <c r="AH2331" s="82" t="s">
        <v>9831</v>
      </c>
      <c r="AI2331" s="77" t="b">
        <v>0</v>
      </c>
      <c r="AJ2331" s="77"/>
      <c r="AK2331" s="77"/>
      <c r="AL2331" s="77"/>
      <c r="AM2331" s="77"/>
      <c r="AN2331" s="77"/>
      <c r="AO2331" s="77"/>
      <c r="AP2331" s="77"/>
      <c r="AQ2331" s="77"/>
      <c r="AR2331" s="77"/>
      <c r="AS2331" s="77"/>
      <c r="AT2331" s="77"/>
      <c r="AU2331" s="77"/>
      <c r="AV2331" s="80" t="str">
        <f>HYPERLINK("https://pbs.twimg.com/profile_images/995647405713510400/IrAKVrWf_normal.jpg")</f>
        <v>https://pbs.twimg.com/profile_images/995647405713510400/IrAKVrWf_normal.jpg</v>
      </c>
      <c r="AW2331" s="82" t="s">
        <v>14489</v>
      </c>
      <c r="AX2331" s="82" t="s">
        <v>14489</v>
      </c>
      <c r="AY2331" s="77"/>
      <c r="AZ2331" s="82" t="s">
        <v>15804</v>
      </c>
      <c r="BA2331" s="82" t="s">
        <v>15804</v>
      </c>
      <c r="BB2331" s="82" t="s">
        <v>15804</v>
      </c>
      <c r="BC2331" s="82" t="s">
        <v>14489</v>
      </c>
      <c r="BD2331" s="82" t="s">
        <v>16528</v>
      </c>
      <c r="BE2331" s="77"/>
      <c r="BF2331" s="77"/>
      <c r="BG2331" s="77"/>
      <c r="BH2331" s="77"/>
      <c r="BI2331" s="77"/>
    </row>
    <row r="2332" spans="1:61" x14ac:dyDescent="0.25">
      <c r="A2332" s="62" t="s">
        <v>907</v>
      </c>
      <c r="B2332" s="62" t="s">
        <v>907</v>
      </c>
      <c r="C2332" s="63"/>
      <c r="D2332" s="64"/>
      <c r="E2332" s="65"/>
      <c r="F2332" s="66"/>
      <c r="G2332" s="63"/>
      <c r="H2332" s="67"/>
      <c r="I2332" s="68"/>
      <c r="J2332" s="68"/>
      <c r="K2332" s="32"/>
      <c r="L2332" s="75">
        <v>2332</v>
      </c>
      <c r="M2332" s="75"/>
      <c r="N2332" s="70"/>
      <c r="O2332" s="77" t="s">
        <v>179</v>
      </c>
      <c r="P2332" s="79">
        <v>45065.502002314817</v>
      </c>
      <c r="Q2332" s="77" t="s">
        <v>3377</v>
      </c>
      <c r="R2332" s="77">
        <v>0</v>
      </c>
      <c r="S2332" s="77">
        <v>0</v>
      </c>
      <c r="T2332" s="77">
        <v>0</v>
      </c>
      <c r="U2332" s="77">
        <v>0</v>
      </c>
      <c r="V2332" s="77">
        <v>10</v>
      </c>
      <c r="W2332" s="82" t="s">
        <v>5551</v>
      </c>
      <c r="X2332" s="80" t="str">
        <f>HYPERLINK("https://seligafinancas.institutosicoob.org.br")</f>
        <v>https://seligafinancas.institutosicoob.org.br</v>
      </c>
      <c r="Y2332" s="77" t="s">
        <v>6007</v>
      </c>
      <c r="Z2332" s="77"/>
      <c r="AA2332" s="77" t="s">
        <v>7451</v>
      </c>
      <c r="AB2332" s="77" t="s">
        <v>7696</v>
      </c>
      <c r="AC2332" s="82" t="s">
        <v>7716</v>
      </c>
      <c r="AD2332" s="77" t="s">
        <v>7745</v>
      </c>
      <c r="AE2332" s="80" t="str">
        <f>HYPERLINK("https://twitter.com/coopmil/status/1659530059294855169")</f>
        <v>https://twitter.com/coopmil/status/1659530059294855169</v>
      </c>
      <c r="AF2332" s="79">
        <v>45065.502002314817</v>
      </c>
      <c r="AG2332" s="85">
        <v>45065</v>
      </c>
      <c r="AH2332" s="82" t="s">
        <v>9832</v>
      </c>
      <c r="AI2332" s="77" t="b">
        <v>0</v>
      </c>
      <c r="AJ2332" s="77"/>
      <c r="AK2332" s="77"/>
      <c r="AL2332" s="77"/>
      <c r="AM2332" s="77"/>
      <c r="AN2332" s="77"/>
      <c r="AO2332" s="77"/>
      <c r="AP2332" s="77"/>
      <c r="AQ2332" s="77" t="s">
        <v>11958</v>
      </c>
      <c r="AR2332" s="77"/>
      <c r="AS2332" s="77"/>
      <c r="AT2332" s="77"/>
      <c r="AU2332" s="77"/>
      <c r="AV2332" s="80" t="str">
        <f>HYPERLINK("https://pbs.twimg.com/media/FwfVyyBWwAEx8jm.jpg")</f>
        <v>https://pbs.twimg.com/media/FwfVyyBWwAEx8jm.jpg</v>
      </c>
      <c r="AW2332" s="82" t="s">
        <v>14490</v>
      </c>
      <c r="AX2332" s="82" t="s">
        <v>14490</v>
      </c>
      <c r="AY2332" s="77"/>
      <c r="AZ2332" s="82" t="s">
        <v>15804</v>
      </c>
      <c r="BA2332" s="82" t="s">
        <v>15804</v>
      </c>
      <c r="BB2332" s="82" t="s">
        <v>15804</v>
      </c>
      <c r="BC2332" s="82" t="s">
        <v>14490</v>
      </c>
      <c r="BD2332" s="77">
        <v>132267586</v>
      </c>
      <c r="BE2332" s="77"/>
      <c r="BF2332" s="77"/>
      <c r="BG2332" s="77"/>
      <c r="BH2332" s="77"/>
      <c r="BI2332" s="77"/>
    </row>
    <row r="2333" spans="1:61" x14ac:dyDescent="0.25">
      <c r="A2333" s="62" t="s">
        <v>907</v>
      </c>
      <c r="B2333" s="62" t="s">
        <v>907</v>
      </c>
      <c r="C2333" s="63"/>
      <c r="D2333" s="64"/>
      <c r="E2333" s="65"/>
      <c r="F2333" s="66"/>
      <c r="G2333" s="63"/>
      <c r="H2333" s="67"/>
      <c r="I2333" s="68"/>
      <c r="J2333" s="68"/>
      <c r="K2333" s="32"/>
      <c r="L2333" s="75">
        <v>2333</v>
      </c>
      <c r="M2333" s="75"/>
      <c r="N2333" s="70"/>
      <c r="O2333" s="77" t="s">
        <v>179</v>
      </c>
      <c r="P2333" s="79">
        <v>45106.501655092594</v>
      </c>
      <c r="Q2333" s="77" t="s">
        <v>3378</v>
      </c>
      <c r="R2333" s="77">
        <v>0</v>
      </c>
      <c r="S2333" s="77">
        <v>0</v>
      </c>
      <c r="T2333" s="77">
        <v>0</v>
      </c>
      <c r="U2333" s="77">
        <v>0</v>
      </c>
      <c r="V2333" s="77">
        <v>12</v>
      </c>
      <c r="W2333" s="82" t="s">
        <v>5552</v>
      </c>
      <c r="X2333" s="77"/>
      <c r="Y2333" s="77"/>
      <c r="Z2333" s="77"/>
      <c r="AA2333" s="77" t="s">
        <v>7452</v>
      </c>
      <c r="AB2333" s="77" t="s">
        <v>7696</v>
      </c>
      <c r="AC2333" s="82" t="s">
        <v>7716</v>
      </c>
      <c r="AD2333" s="77" t="s">
        <v>7745</v>
      </c>
      <c r="AE2333" s="80" t="str">
        <f>HYPERLINK("https://twitter.com/coopmil/status/1674387838484316166")</f>
        <v>https://twitter.com/coopmil/status/1674387838484316166</v>
      </c>
      <c r="AF2333" s="79">
        <v>45106.501655092594</v>
      </c>
      <c r="AG2333" s="85">
        <v>45106</v>
      </c>
      <c r="AH2333" s="82" t="s">
        <v>9590</v>
      </c>
      <c r="AI2333" s="77" t="b">
        <v>0</v>
      </c>
      <c r="AJ2333" s="77"/>
      <c r="AK2333" s="77"/>
      <c r="AL2333" s="77"/>
      <c r="AM2333" s="77"/>
      <c r="AN2333" s="77"/>
      <c r="AO2333" s="77"/>
      <c r="AP2333" s="77"/>
      <c r="AQ2333" s="77" t="s">
        <v>11959</v>
      </c>
      <c r="AR2333" s="77"/>
      <c r="AS2333" s="77"/>
      <c r="AT2333" s="77"/>
      <c r="AU2333" s="77"/>
      <c r="AV2333" s="80" t="str">
        <f>HYPERLINK("https://pbs.twimg.com/media/Fzye3ZcWIAAQ65j.jpg")</f>
        <v>https://pbs.twimg.com/media/Fzye3ZcWIAAQ65j.jpg</v>
      </c>
      <c r="AW2333" s="82" t="s">
        <v>14491</v>
      </c>
      <c r="AX2333" s="82" t="s">
        <v>14491</v>
      </c>
      <c r="AY2333" s="77"/>
      <c r="AZ2333" s="82" t="s">
        <v>15804</v>
      </c>
      <c r="BA2333" s="82" t="s">
        <v>15804</v>
      </c>
      <c r="BB2333" s="82" t="s">
        <v>15804</v>
      </c>
      <c r="BC2333" s="82" t="s">
        <v>14491</v>
      </c>
      <c r="BD2333" s="77">
        <v>132267586</v>
      </c>
      <c r="BE2333" s="77"/>
      <c r="BF2333" s="77"/>
      <c r="BG2333" s="77"/>
      <c r="BH2333" s="77"/>
      <c r="BI2333" s="77"/>
    </row>
    <row r="2334" spans="1:61" x14ac:dyDescent="0.25">
      <c r="A2334" s="62" t="s">
        <v>907</v>
      </c>
      <c r="B2334" s="62" t="s">
        <v>907</v>
      </c>
      <c r="C2334" s="63"/>
      <c r="D2334" s="64"/>
      <c r="E2334" s="65"/>
      <c r="F2334" s="66"/>
      <c r="G2334" s="63"/>
      <c r="H2334" s="67"/>
      <c r="I2334" s="68"/>
      <c r="J2334" s="68"/>
      <c r="K2334" s="32"/>
      <c r="L2334" s="75">
        <v>2334</v>
      </c>
      <c r="M2334" s="75"/>
      <c r="N2334" s="70"/>
      <c r="O2334" s="77" t="s">
        <v>179</v>
      </c>
      <c r="P2334" s="79">
        <v>45064.503101851849</v>
      </c>
      <c r="Q2334" s="77" t="s">
        <v>3379</v>
      </c>
      <c r="R2334" s="77">
        <v>0</v>
      </c>
      <c r="S2334" s="77">
        <v>0</v>
      </c>
      <c r="T2334" s="77">
        <v>0</v>
      </c>
      <c r="U2334" s="77">
        <v>0</v>
      </c>
      <c r="V2334" s="77">
        <v>11</v>
      </c>
      <c r="W2334" s="82" t="s">
        <v>5553</v>
      </c>
      <c r="X2334" s="77"/>
      <c r="Y2334" s="77"/>
      <c r="Z2334" s="77"/>
      <c r="AA2334" s="77" t="s">
        <v>7453</v>
      </c>
      <c r="AB2334" s="77" t="s">
        <v>7696</v>
      </c>
      <c r="AC2334" s="82" t="s">
        <v>7716</v>
      </c>
      <c r="AD2334" s="77" t="s">
        <v>7745</v>
      </c>
      <c r="AE2334" s="80" t="str">
        <f>HYPERLINK("https://twitter.com/coopmil/status/1659168072178061313")</f>
        <v>https://twitter.com/coopmil/status/1659168072178061313</v>
      </c>
      <c r="AF2334" s="79">
        <v>45064.503101851849</v>
      </c>
      <c r="AG2334" s="85">
        <v>45064</v>
      </c>
      <c r="AH2334" s="82" t="s">
        <v>9833</v>
      </c>
      <c r="AI2334" s="77" t="b">
        <v>0</v>
      </c>
      <c r="AJ2334" s="77"/>
      <c r="AK2334" s="77"/>
      <c r="AL2334" s="77"/>
      <c r="AM2334" s="77"/>
      <c r="AN2334" s="77"/>
      <c r="AO2334" s="77"/>
      <c r="AP2334" s="77"/>
      <c r="AQ2334" s="77" t="s">
        <v>11960</v>
      </c>
      <c r="AR2334" s="77"/>
      <c r="AS2334" s="77"/>
      <c r="AT2334" s="77"/>
      <c r="AU2334" s="77"/>
      <c r="AV2334" s="80" t="str">
        <f>HYPERLINK("https://pbs.twimg.com/media/FwaMkXXWwAArbgr.jpg")</f>
        <v>https://pbs.twimg.com/media/FwaMkXXWwAArbgr.jpg</v>
      </c>
      <c r="AW2334" s="82" t="s">
        <v>14492</v>
      </c>
      <c r="AX2334" s="82" t="s">
        <v>14492</v>
      </c>
      <c r="AY2334" s="77"/>
      <c r="AZ2334" s="82" t="s">
        <v>15804</v>
      </c>
      <c r="BA2334" s="82" t="s">
        <v>15804</v>
      </c>
      <c r="BB2334" s="82" t="s">
        <v>15804</v>
      </c>
      <c r="BC2334" s="82" t="s">
        <v>14492</v>
      </c>
      <c r="BD2334" s="77">
        <v>132267586</v>
      </c>
      <c r="BE2334" s="77"/>
      <c r="BF2334" s="77"/>
      <c r="BG2334" s="77"/>
      <c r="BH2334" s="77"/>
      <c r="BI2334" s="77"/>
    </row>
    <row r="2335" spans="1:61" x14ac:dyDescent="0.25">
      <c r="A2335" s="62" t="s">
        <v>907</v>
      </c>
      <c r="B2335" s="62" t="s">
        <v>907</v>
      </c>
      <c r="C2335" s="63"/>
      <c r="D2335" s="64"/>
      <c r="E2335" s="65"/>
      <c r="F2335" s="66"/>
      <c r="G2335" s="63"/>
      <c r="H2335" s="67"/>
      <c r="I2335" s="68"/>
      <c r="J2335" s="68"/>
      <c r="K2335" s="32"/>
      <c r="L2335" s="75">
        <v>2335</v>
      </c>
      <c r="M2335" s="75"/>
      <c r="N2335" s="70"/>
      <c r="O2335" s="77" t="s">
        <v>179</v>
      </c>
      <c r="P2335" s="79">
        <v>45062.626030092593</v>
      </c>
      <c r="Q2335" s="77" t="s">
        <v>3380</v>
      </c>
      <c r="R2335" s="77">
        <v>0</v>
      </c>
      <c r="S2335" s="77">
        <v>0</v>
      </c>
      <c r="T2335" s="77">
        <v>0</v>
      </c>
      <c r="U2335" s="77">
        <v>0</v>
      </c>
      <c r="V2335" s="77">
        <v>10</v>
      </c>
      <c r="W2335" s="82" t="s">
        <v>5554</v>
      </c>
      <c r="X2335" s="77"/>
      <c r="Y2335" s="77"/>
      <c r="Z2335" s="77"/>
      <c r="AA2335" s="77" t="s">
        <v>7454</v>
      </c>
      <c r="AB2335" s="77" t="s">
        <v>7696</v>
      </c>
      <c r="AC2335" s="82" t="s">
        <v>7716</v>
      </c>
      <c r="AD2335" s="77" t="s">
        <v>7745</v>
      </c>
      <c r="AE2335" s="80" t="str">
        <f>HYPERLINK("https://twitter.com/coopmil/status/1658487840978903040")</f>
        <v>https://twitter.com/coopmil/status/1658487840978903040</v>
      </c>
      <c r="AF2335" s="79">
        <v>45062.626030092593</v>
      </c>
      <c r="AG2335" s="85">
        <v>45062</v>
      </c>
      <c r="AH2335" s="82" t="s">
        <v>9834</v>
      </c>
      <c r="AI2335" s="77" t="b">
        <v>0</v>
      </c>
      <c r="AJ2335" s="77"/>
      <c r="AK2335" s="77"/>
      <c r="AL2335" s="77"/>
      <c r="AM2335" s="77"/>
      <c r="AN2335" s="77"/>
      <c r="AO2335" s="77"/>
      <c r="AP2335" s="77"/>
      <c r="AQ2335" s="77" t="s">
        <v>11961</v>
      </c>
      <c r="AR2335" s="77"/>
      <c r="AS2335" s="77"/>
      <c r="AT2335" s="77"/>
      <c r="AU2335" s="77"/>
      <c r="AV2335" s="80" t="str">
        <f>HYPERLINK("https://pbs.twimg.com/media/FwQh5tyaAAQVr0i.jpg")</f>
        <v>https://pbs.twimg.com/media/FwQh5tyaAAQVr0i.jpg</v>
      </c>
      <c r="AW2335" s="82" t="s">
        <v>14493</v>
      </c>
      <c r="AX2335" s="82" t="s">
        <v>14493</v>
      </c>
      <c r="AY2335" s="77"/>
      <c r="AZ2335" s="82" t="s">
        <v>15804</v>
      </c>
      <c r="BA2335" s="82" t="s">
        <v>15804</v>
      </c>
      <c r="BB2335" s="82" t="s">
        <v>15804</v>
      </c>
      <c r="BC2335" s="82" t="s">
        <v>14493</v>
      </c>
      <c r="BD2335" s="77">
        <v>132267586</v>
      </c>
      <c r="BE2335" s="77"/>
      <c r="BF2335" s="77"/>
      <c r="BG2335" s="77"/>
      <c r="BH2335" s="77"/>
      <c r="BI2335" s="77"/>
    </row>
    <row r="2336" spans="1:61" x14ac:dyDescent="0.25">
      <c r="A2336" s="62" t="s">
        <v>907</v>
      </c>
      <c r="B2336" s="62" t="s">
        <v>907</v>
      </c>
      <c r="C2336" s="63"/>
      <c r="D2336" s="64"/>
      <c r="E2336" s="65"/>
      <c r="F2336" s="66"/>
      <c r="G2336" s="63"/>
      <c r="H2336" s="67"/>
      <c r="I2336" s="68"/>
      <c r="J2336" s="68"/>
      <c r="K2336" s="32"/>
      <c r="L2336" s="75">
        <v>2336</v>
      </c>
      <c r="M2336" s="75"/>
      <c r="N2336" s="70"/>
      <c r="O2336" s="77" t="s">
        <v>179</v>
      </c>
      <c r="P2336" s="79">
        <v>45061.62809027778</v>
      </c>
      <c r="Q2336" s="77" t="s">
        <v>3381</v>
      </c>
      <c r="R2336" s="77">
        <v>0</v>
      </c>
      <c r="S2336" s="77">
        <v>0</v>
      </c>
      <c r="T2336" s="77">
        <v>0</v>
      </c>
      <c r="U2336" s="77">
        <v>0</v>
      </c>
      <c r="V2336" s="77">
        <v>12</v>
      </c>
      <c r="W2336" s="82" t="s">
        <v>5555</v>
      </c>
      <c r="X2336" s="77"/>
      <c r="Y2336" s="77"/>
      <c r="Z2336" s="77"/>
      <c r="AA2336" s="77" t="s">
        <v>7455</v>
      </c>
      <c r="AB2336" s="77" t="s">
        <v>7696</v>
      </c>
      <c r="AC2336" s="82" t="s">
        <v>7716</v>
      </c>
      <c r="AD2336" s="77" t="s">
        <v>7745</v>
      </c>
      <c r="AE2336" s="80" t="str">
        <f>HYPERLINK("https://twitter.com/coopmil/status/1658126201901178897")</f>
        <v>https://twitter.com/coopmil/status/1658126201901178897</v>
      </c>
      <c r="AF2336" s="79">
        <v>45061.62809027778</v>
      </c>
      <c r="AG2336" s="85">
        <v>45061</v>
      </c>
      <c r="AH2336" s="82" t="s">
        <v>9714</v>
      </c>
      <c r="AI2336" s="77" t="b">
        <v>0</v>
      </c>
      <c r="AJ2336" s="77"/>
      <c r="AK2336" s="77"/>
      <c r="AL2336" s="77"/>
      <c r="AM2336" s="77"/>
      <c r="AN2336" s="77"/>
      <c r="AO2336" s="77"/>
      <c r="AP2336" s="77"/>
      <c r="AQ2336" s="77" t="s">
        <v>11962</v>
      </c>
      <c r="AR2336" s="77"/>
      <c r="AS2336" s="77"/>
      <c r="AT2336" s="77"/>
      <c r="AU2336" s="77"/>
      <c r="AV2336" s="80" t="str">
        <f>HYPERLINK("https://pbs.twimg.com/media/FwLY_kEXoAACTca.jpg")</f>
        <v>https://pbs.twimg.com/media/FwLY_kEXoAACTca.jpg</v>
      </c>
      <c r="AW2336" s="82" t="s">
        <v>14494</v>
      </c>
      <c r="AX2336" s="82" t="s">
        <v>14494</v>
      </c>
      <c r="AY2336" s="77"/>
      <c r="AZ2336" s="82" t="s">
        <v>15804</v>
      </c>
      <c r="BA2336" s="82" t="s">
        <v>15804</v>
      </c>
      <c r="BB2336" s="82" t="s">
        <v>15804</v>
      </c>
      <c r="BC2336" s="82" t="s">
        <v>14494</v>
      </c>
      <c r="BD2336" s="77">
        <v>132267586</v>
      </c>
      <c r="BE2336" s="77"/>
      <c r="BF2336" s="77"/>
      <c r="BG2336" s="77"/>
      <c r="BH2336" s="77"/>
      <c r="BI2336" s="77"/>
    </row>
    <row r="2337" spans="1:61" x14ac:dyDescent="0.25">
      <c r="A2337" s="62" t="s">
        <v>908</v>
      </c>
      <c r="B2337" s="62" t="s">
        <v>908</v>
      </c>
      <c r="C2337" s="63"/>
      <c r="D2337" s="64"/>
      <c r="E2337" s="65"/>
      <c r="F2337" s="66"/>
      <c r="G2337" s="63"/>
      <c r="H2337" s="67"/>
      <c r="I2337" s="68"/>
      <c r="J2337" s="68"/>
      <c r="K2337" s="32"/>
      <c r="L2337" s="75">
        <v>2337</v>
      </c>
      <c r="M2337" s="75"/>
      <c r="N2337" s="70"/>
      <c r="O2337" s="77" t="s">
        <v>179</v>
      </c>
      <c r="P2337" s="79">
        <v>45059.76734953704</v>
      </c>
      <c r="Q2337" s="77" t="s">
        <v>3382</v>
      </c>
      <c r="R2337" s="77">
        <v>0</v>
      </c>
      <c r="S2337" s="77">
        <v>0</v>
      </c>
      <c r="T2337" s="77">
        <v>0</v>
      </c>
      <c r="U2337" s="77">
        <v>0</v>
      </c>
      <c r="V2337" s="77">
        <v>4</v>
      </c>
      <c r="W2337" s="82" t="s">
        <v>5556</v>
      </c>
      <c r="X2337" s="80" t="str">
        <f>HYPERLINK("https://dicasdelongevidade.com/planejar-financas-pessoais/")</f>
        <v>https://dicasdelongevidade.com/planejar-financas-pessoais/</v>
      </c>
      <c r="Y2337" s="77" t="s">
        <v>6102</v>
      </c>
      <c r="Z2337" s="77"/>
      <c r="AA2337" s="77"/>
      <c r="AB2337" s="77"/>
      <c r="AC2337" s="82" t="s">
        <v>7706</v>
      </c>
      <c r="AD2337" s="77" t="s">
        <v>7745</v>
      </c>
      <c r="AE2337" s="80" t="str">
        <f>HYPERLINK("https://twitter.com/delongevidade/status/1657451893268914176")</f>
        <v>https://twitter.com/delongevidade/status/1657451893268914176</v>
      </c>
      <c r="AF2337" s="79">
        <v>45059.76734953704</v>
      </c>
      <c r="AG2337" s="85">
        <v>45059</v>
      </c>
      <c r="AH2337" s="82" t="s">
        <v>9835</v>
      </c>
      <c r="AI2337" s="77" t="b">
        <v>0</v>
      </c>
      <c r="AJ2337" s="77"/>
      <c r="AK2337" s="77"/>
      <c r="AL2337" s="77"/>
      <c r="AM2337" s="77"/>
      <c r="AN2337" s="77"/>
      <c r="AO2337" s="77"/>
      <c r="AP2337" s="77"/>
      <c r="AQ2337" s="77"/>
      <c r="AR2337" s="77"/>
      <c r="AS2337" s="77"/>
      <c r="AT2337" s="77"/>
      <c r="AU2337" s="77"/>
      <c r="AV2337" s="80" t="str">
        <f>HYPERLINK("https://pbs.twimg.com/profile_images/1648184055677038593/SdBs9Z2-_normal.jpg")</f>
        <v>https://pbs.twimg.com/profile_images/1648184055677038593/SdBs9Z2-_normal.jpg</v>
      </c>
      <c r="AW2337" s="82" t="s">
        <v>14495</v>
      </c>
      <c r="AX2337" s="82" t="s">
        <v>14495</v>
      </c>
      <c r="AY2337" s="77"/>
      <c r="AZ2337" s="82" t="s">
        <v>15804</v>
      </c>
      <c r="BA2337" s="82" t="s">
        <v>15804</v>
      </c>
      <c r="BB2337" s="82" t="s">
        <v>15804</v>
      </c>
      <c r="BC2337" s="82" t="s">
        <v>14495</v>
      </c>
      <c r="BD2337" s="82" t="s">
        <v>16529</v>
      </c>
      <c r="BE2337" s="77"/>
      <c r="BF2337" s="77"/>
      <c r="BG2337" s="77"/>
      <c r="BH2337" s="77"/>
      <c r="BI2337" s="77"/>
    </row>
    <row r="2338" spans="1:61" x14ac:dyDescent="0.25">
      <c r="A2338" s="62" t="s">
        <v>908</v>
      </c>
      <c r="B2338" s="62" t="s">
        <v>908</v>
      </c>
      <c r="C2338" s="63"/>
      <c r="D2338" s="64"/>
      <c r="E2338" s="65"/>
      <c r="F2338" s="66"/>
      <c r="G2338" s="63"/>
      <c r="H2338" s="67"/>
      <c r="I2338" s="68"/>
      <c r="J2338" s="68"/>
      <c r="K2338" s="32"/>
      <c r="L2338" s="75">
        <v>2338</v>
      </c>
      <c r="M2338" s="75"/>
      <c r="N2338" s="70"/>
      <c r="O2338" s="77" t="s">
        <v>179</v>
      </c>
      <c r="P2338" s="79">
        <v>45055.681111111109</v>
      </c>
      <c r="Q2338" s="77" t="s">
        <v>3383</v>
      </c>
      <c r="R2338" s="77">
        <v>1</v>
      </c>
      <c r="S2338" s="77">
        <v>1</v>
      </c>
      <c r="T2338" s="77">
        <v>0</v>
      </c>
      <c r="U2338" s="77">
        <v>0</v>
      </c>
      <c r="V2338" s="77">
        <v>6</v>
      </c>
      <c r="W2338" s="82" t="s">
        <v>5557</v>
      </c>
      <c r="X2338" s="80" t="str">
        <f>HYPERLINK("https://dicasdelongevidade.com/financas-pessoais-2/")</f>
        <v>https://dicasdelongevidade.com/financas-pessoais-2/</v>
      </c>
      <c r="Y2338" s="77" t="s">
        <v>6102</v>
      </c>
      <c r="Z2338" s="77"/>
      <c r="AA2338" s="77"/>
      <c r="AB2338" s="77"/>
      <c r="AC2338" s="82" t="s">
        <v>7706</v>
      </c>
      <c r="AD2338" s="77" t="s">
        <v>7745</v>
      </c>
      <c r="AE2338" s="80" t="str">
        <f>HYPERLINK("https://twitter.com/delongevidade/status/1655971089720147985")</f>
        <v>https://twitter.com/delongevidade/status/1655971089720147985</v>
      </c>
      <c r="AF2338" s="79">
        <v>45055.681111111109</v>
      </c>
      <c r="AG2338" s="85">
        <v>45055</v>
      </c>
      <c r="AH2338" s="82" t="s">
        <v>9836</v>
      </c>
      <c r="AI2338" s="77" t="b">
        <v>0</v>
      </c>
      <c r="AJ2338" s="77"/>
      <c r="AK2338" s="77"/>
      <c r="AL2338" s="77"/>
      <c r="AM2338" s="77"/>
      <c r="AN2338" s="77"/>
      <c r="AO2338" s="77"/>
      <c r="AP2338" s="77"/>
      <c r="AQ2338" s="77"/>
      <c r="AR2338" s="77"/>
      <c r="AS2338" s="77"/>
      <c r="AT2338" s="77"/>
      <c r="AU2338" s="77"/>
      <c r="AV2338" s="80" t="str">
        <f>HYPERLINK("https://pbs.twimg.com/profile_images/1648184055677038593/SdBs9Z2-_normal.jpg")</f>
        <v>https://pbs.twimg.com/profile_images/1648184055677038593/SdBs9Z2-_normal.jpg</v>
      </c>
      <c r="AW2338" s="82" t="s">
        <v>14496</v>
      </c>
      <c r="AX2338" s="82" t="s">
        <v>14496</v>
      </c>
      <c r="AY2338" s="77"/>
      <c r="AZ2338" s="82" t="s">
        <v>15804</v>
      </c>
      <c r="BA2338" s="82" t="s">
        <v>15804</v>
      </c>
      <c r="BB2338" s="82" t="s">
        <v>15804</v>
      </c>
      <c r="BC2338" s="82" t="s">
        <v>14496</v>
      </c>
      <c r="BD2338" s="82" t="s">
        <v>16529</v>
      </c>
      <c r="BE2338" s="77"/>
      <c r="BF2338" s="77"/>
      <c r="BG2338" s="77"/>
      <c r="BH2338" s="77"/>
      <c r="BI2338" s="77"/>
    </row>
    <row r="2339" spans="1:61" x14ac:dyDescent="0.25">
      <c r="A2339" s="62" t="s">
        <v>909</v>
      </c>
      <c r="B2339" s="62" t="s">
        <v>1120</v>
      </c>
      <c r="C2339" s="63"/>
      <c r="D2339" s="64"/>
      <c r="E2339" s="65"/>
      <c r="F2339" s="66"/>
      <c r="G2339" s="63"/>
      <c r="H2339" s="67"/>
      <c r="I2339" s="68"/>
      <c r="J2339" s="68"/>
      <c r="K2339" s="32"/>
      <c r="L2339" s="75">
        <v>2339</v>
      </c>
      <c r="M2339" s="75"/>
      <c r="N2339" s="70"/>
      <c r="O2339" s="77" t="s">
        <v>1133</v>
      </c>
      <c r="P2339" s="79">
        <v>45061.762731481482</v>
      </c>
      <c r="Q2339" s="77" t="s">
        <v>3384</v>
      </c>
      <c r="R2339" s="77">
        <v>0</v>
      </c>
      <c r="S2339" s="77">
        <v>3</v>
      </c>
      <c r="T2339" s="77">
        <v>0</v>
      </c>
      <c r="U2339" s="77">
        <v>0</v>
      </c>
      <c r="V2339" s="77">
        <v>85</v>
      </c>
      <c r="W2339" s="82" t="s">
        <v>5558</v>
      </c>
      <c r="X2339" s="80" t="str">
        <f>HYPERLINK("https://www.gov.br/semanaenef/pt-br")</f>
        <v>https://www.gov.br/semanaenef/pt-br</v>
      </c>
      <c r="Y2339" s="77" t="s">
        <v>6074</v>
      </c>
      <c r="Z2339" s="77" t="s">
        <v>1120</v>
      </c>
      <c r="AA2339" s="77" t="s">
        <v>7456</v>
      </c>
      <c r="AB2339" s="77" t="s">
        <v>7697</v>
      </c>
      <c r="AC2339" s="82" t="s">
        <v>7706</v>
      </c>
      <c r="AD2339" s="77" t="s">
        <v>7745</v>
      </c>
      <c r="AE2339" s="80" t="str">
        <f>HYPERLINK("https://twitter.com/confebras/status/1658174992738054148")</f>
        <v>https://twitter.com/confebras/status/1658174992738054148</v>
      </c>
      <c r="AF2339" s="79">
        <v>45061.762731481482</v>
      </c>
      <c r="AG2339" s="85">
        <v>45061</v>
      </c>
      <c r="AH2339" s="82" t="s">
        <v>9837</v>
      </c>
      <c r="AI2339" s="77" t="b">
        <v>0</v>
      </c>
      <c r="AJ2339" s="77"/>
      <c r="AK2339" s="77"/>
      <c r="AL2339" s="77"/>
      <c r="AM2339" s="77"/>
      <c r="AN2339" s="77"/>
      <c r="AO2339" s="77"/>
      <c r="AP2339" s="77"/>
      <c r="AQ2339" s="77" t="s">
        <v>11963</v>
      </c>
      <c r="AR2339" s="77">
        <v>51133</v>
      </c>
      <c r="AS2339" s="77"/>
      <c r="AT2339" s="77"/>
      <c r="AU2339" s="77">
        <v>21</v>
      </c>
      <c r="AV2339" s="80" t="str">
        <f>HYPERLINK("https://pbs.twimg.com/ext_tw_video_thumb/1658173204098105346/pu/img/ddDXNbhyHZQ2ARzM.jpg")</f>
        <v>https://pbs.twimg.com/ext_tw_video_thumb/1658173204098105346/pu/img/ddDXNbhyHZQ2ARzM.jpg</v>
      </c>
      <c r="AW2339" s="82" t="s">
        <v>14497</v>
      </c>
      <c r="AX2339" s="82" t="s">
        <v>14497</v>
      </c>
      <c r="AY2339" s="77"/>
      <c r="AZ2339" s="82" t="s">
        <v>15804</v>
      </c>
      <c r="BA2339" s="82" t="s">
        <v>15804</v>
      </c>
      <c r="BB2339" s="82" t="s">
        <v>15804</v>
      </c>
      <c r="BC2339" s="82" t="s">
        <v>14497</v>
      </c>
      <c r="BD2339" s="77">
        <v>87252373</v>
      </c>
      <c r="BE2339" s="77"/>
      <c r="BF2339" s="77"/>
      <c r="BG2339" s="77"/>
      <c r="BH2339" s="77"/>
      <c r="BI2339" s="77"/>
    </row>
    <row r="2340" spans="1:61" x14ac:dyDescent="0.25">
      <c r="A2340" s="62" t="s">
        <v>910</v>
      </c>
      <c r="B2340" s="62" t="s">
        <v>910</v>
      </c>
      <c r="C2340" s="63"/>
      <c r="D2340" s="64"/>
      <c r="E2340" s="65"/>
      <c r="F2340" s="66"/>
      <c r="G2340" s="63"/>
      <c r="H2340" s="67"/>
      <c r="I2340" s="68"/>
      <c r="J2340" s="68"/>
      <c r="K2340" s="32"/>
      <c r="L2340" s="75">
        <v>2340</v>
      </c>
      <c r="M2340" s="75"/>
      <c r="N2340" s="70"/>
      <c r="O2340" s="77" t="s">
        <v>179</v>
      </c>
      <c r="P2340" s="79">
        <v>44937.998923611114</v>
      </c>
      <c r="Q2340" s="77" t="s">
        <v>3385</v>
      </c>
      <c r="R2340" s="77">
        <v>0</v>
      </c>
      <c r="S2340" s="77">
        <v>1</v>
      </c>
      <c r="T2340" s="77">
        <v>0</v>
      </c>
      <c r="U2340" s="77">
        <v>0</v>
      </c>
      <c r="V2340" s="77">
        <v>22</v>
      </c>
      <c r="W2340" s="82" t="s">
        <v>5559</v>
      </c>
      <c r="X2340" s="77"/>
      <c r="Y2340" s="77"/>
      <c r="Z2340" s="77"/>
      <c r="AA2340" s="77"/>
      <c r="AB2340" s="77"/>
      <c r="AC2340" s="82" t="s">
        <v>7707</v>
      </c>
      <c r="AD2340" s="77" t="s">
        <v>7745</v>
      </c>
      <c r="AE2340" s="80" t="str">
        <f>HYPERLINK("https://twitter.com/futurarenda2/status/1613324493065420801")</f>
        <v>https://twitter.com/futurarenda2/status/1613324493065420801</v>
      </c>
      <c r="AF2340" s="79">
        <v>44937.998923611114</v>
      </c>
      <c r="AG2340" s="85">
        <v>44937</v>
      </c>
      <c r="AH2340" s="82" t="s">
        <v>9838</v>
      </c>
      <c r="AI2340" s="77"/>
      <c r="AJ2340" s="77"/>
      <c r="AK2340" s="77"/>
      <c r="AL2340" s="77"/>
      <c r="AM2340" s="77"/>
      <c r="AN2340" s="77"/>
      <c r="AO2340" s="77"/>
      <c r="AP2340" s="77"/>
      <c r="AQ2340" s="77"/>
      <c r="AR2340" s="77"/>
      <c r="AS2340" s="77"/>
      <c r="AT2340" s="77"/>
      <c r="AU2340" s="77"/>
      <c r="AV2340" s="80" t="str">
        <f>HYPERLINK("https://pbs.twimg.com/profile_images/1613320842007527425/_D_56bDh_normal.jpg")</f>
        <v>https://pbs.twimg.com/profile_images/1613320842007527425/_D_56bDh_normal.jpg</v>
      </c>
      <c r="AW2340" s="82" t="s">
        <v>14498</v>
      </c>
      <c r="AX2340" s="82" t="s">
        <v>14498</v>
      </c>
      <c r="AY2340" s="77"/>
      <c r="AZ2340" s="82" t="s">
        <v>15804</v>
      </c>
      <c r="BA2340" s="82" t="s">
        <v>15804</v>
      </c>
      <c r="BB2340" s="82" t="s">
        <v>15804</v>
      </c>
      <c r="BC2340" s="82" t="s">
        <v>14498</v>
      </c>
      <c r="BD2340" s="82" t="s">
        <v>16530</v>
      </c>
      <c r="BE2340" s="77"/>
      <c r="BF2340" s="77"/>
      <c r="BG2340" s="77"/>
      <c r="BH2340" s="77"/>
      <c r="BI2340" s="77"/>
    </row>
    <row r="2341" spans="1:61" x14ac:dyDescent="0.25">
      <c r="A2341" s="62" t="s">
        <v>911</v>
      </c>
      <c r="B2341" s="62" t="s">
        <v>911</v>
      </c>
      <c r="C2341" s="63"/>
      <c r="D2341" s="64"/>
      <c r="E2341" s="65"/>
      <c r="F2341" s="66"/>
      <c r="G2341" s="63"/>
      <c r="H2341" s="67"/>
      <c r="I2341" s="68"/>
      <c r="J2341" s="68"/>
      <c r="K2341" s="32"/>
      <c r="L2341" s="75">
        <v>2341</v>
      </c>
      <c r="M2341" s="75"/>
      <c r="N2341" s="70"/>
      <c r="O2341" s="77" t="s">
        <v>179</v>
      </c>
      <c r="P2341" s="79">
        <v>45007.542002314818</v>
      </c>
      <c r="Q2341" s="77" t="s">
        <v>3386</v>
      </c>
      <c r="R2341" s="77">
        <v>0</v>
      </c>
      <c r="S2341" s="77">
        <v>0</v>
      </c>
      <c r="T2341" s="77">
        <v>0</v>
      </c>
      <c r="U2341" s="77">
        <v>0</v>
      </c>
      <c r="V2341" s="77">
        <v>32</v>
      </c>
      <c r="W2341" s="82" t="s">
        <v>5560</v>
      </c>
      <c r="X2341" s="77"/>
      <c r="Y2341" s="77"/>
      <c r="Z2341" s="77"/>
      <c r="AA2341" s="77" t="s">
        <v>7457</v>
      </c>
      <c r="AB2341" s="77" t="s">
        <v>7696</v>
      </c>
      <c r="AC2341" s="82" t="s">
        <v>7708</v>
      </c>
      <c r="AD2341" s="77" t="s">
        <v>7745</v>
      </c>
      <c r="AE2341" s="80" t="str">
        <f>HYPERLINK("https://twitter.com/cdlsaocaetano/status/1638526059803967490")</f>
        <v>https://twitter.com/cdlsaocaetano/status/1638526059803967490</v>
      </c>
      <c r="AF2341" s="79">
        <v>45007.542002314818</v>
      </c>
      <c r="AG2341" s="85">
        <v>45007</v>
      </c>
      <c r="AH2341" s="82" t="s">
        <v>9280</v>
      </c>
      <c r="AI2341" s="77" t="b">
        <v>0</v>
      </c>
      <c r="AJ2341" s="77"/>
      <c r="AK2341" s="77"/>
      <c r="AL2341" s="77"/>
      <c r="AM2341" s="77"/>
      <c r="AN2341" s="77"/>
      <c r="AO2341" s="77"/>
      <c r="AP2341" s="77"/>
      <c r="AQ2341" s="77" t="s">
        <v>11964</v>
      </c>
      <c r="AR2341" s="77"/>
      <c r="AS2341" s="77"/>
      <c r="AT2341" s="77"/>
      <c r="AU2341" s="77"/>
      <c r="AV2341" s="80" t="str">
        <f>HYPERLINK("https://pbs.twimg.com/media/Fr02xIzWYAALacT.jpg")</f>
        <v>https://pbs.twimg.com/media/Fr02xIzWYAALacT.jpg</v>
      </c>
      <c r="AW2341" s="82" t="s">
        <v>14499</v>
      </c>
      <c r="AX2341" s="82" t="s">
        <v>14499</v>
      </c>
      <c r="AY2341" s="77"/>
      <c r="AZ2341" s="82" t="s">
        <v>15804</v>
      </c>
      <c r="BA2341" s="82" t="s">
        <v>15804</v>
      </c>
      <c r="BB2341" s="82" t="s">
        <v>15804</v>
      </c>
      <c r="BC2341" s="82" t="s">
        <v>14499</v>
      </c>
      <c r="BD2341" s="82" t="s">
        <v>16531</v>
      </c>
      <c r="BE2341" s="77"/>
      <c r="BF2341" s="77"/>
      <c r="BG2341" s="77"/>
      <c r="BH2341" s="77"/>
      <c r="BI2341" s="77"/>
    </row>
    <row r="2342" spans="1:61" x14ac:dyDescent="0.25">
      <c r="A2342" s="62" t="s">
        <v>912</v>
      </c>
      <c r="B2342" s="62" t="s">
        <v>912</v>
      </c>
      <c r="C2342" s="63"/>
      <c r="D2342" s="64"/>
      <c r="E2342" s="65"/>
      <c r="F2342" s="66"/>
      <c r="G2342" s="63"/>
      <c r="H2342" s="67"/>
      <c r="I2342" s="68"/>
      <c r="J2342" s="68"/>
      <c r="K2342" s="32"/>
      <c r="L2342" s="75">
        <v>2342</v>
      </c>
      <c r="M2342" s="75"/>
      <c r="N2342" s="70"/>
      <c r="O2342" s="77" t="s">
        <v>179</v>
      </c>
      <c r="P2342" s="79">
        <v>45110.724537037036</v>
      </c>
      <c r="Q2342" s="77" t="s">
        <v>3387</v>
      </c>
      <c r="R2342" s="77">
        <v>1</v>
      </c>
      <c r="S2342" s="77">
        <v>2</v>
      </c>
      <c r="T2342" s="77">
        <v>0</v>
      </c>
      <c r="U2342" s="77">
        <v>0</v>
      </c>
      <c r="V2342" s="77">
        <v>147</v>
      </c>
      <c r="W2342" s="82" t="s">
        <v>5561</v>
      </c>
      <c r="X2342" s="80" t="str">
        <f>HYPERLINK("https://bit.ly/inqueritosobreindicadordeexpectativadeinflação")</f>
        <v>https://bit.ly/inqueritosobreindicadordeexpectativadeinflação</v>
      </c>
      <c r="Y2342" s="77" t="s">
        <v>6004</v>
      </c>
      <c r="Z2342" s="77"/>
      <c r="AA2342" s="77" t="s">
        <v>7458</v>
      </c>
      <c r="AB2342" s="77" t="s">
        <v>7701</v>
      </c>
      <c r="AC2342" s="82" t="s">
        <v>7705</v>
      </c>
      <c r="AD2342" s="77" t="s">
        <v>7745</v>
      </c>
      <c r="AE2342" s="80" t="str">
        <f>HYPERLINK("https://twitter.com/oficialbna/status/1675918158241079308")</f>
        <v>https://twitter.com/oficialbna/status/1675918158241079308</v>
      </c>
      <c r="AF2342" s="79">
        <v>45110.724537037036</v>
      </c>
      <c r="AG2342" s="85">
        <v>45110</v>
      </c>
      <c r="AH2342" s="82" t="s">
        <v>9839</v>
      </c>
      <c r="AI2342" s="77" t="b">
        <v>0</v>
      </c>
      <c r="AJ2342" s="77"/>
      <c r="AK2342" s="77"/>
      <c r="AL2342" s="77"/>
      <c r="AM2342" s="77"/>
      <c r="AN2342" s="77"/>
      <c r="AO2342" s="77"/>
      <c r="AP2342" s="77"/>
      <c r="AQ2342" s="77" t="s">
        <v>11965</v>
      </c>
      <c r="AR2342" s="77"/>
      <c r="AS2342" s="77"/>
      <c r="AT2342" s="77"/>
      <c r="AU2342" s="77"/>
      <c r="AV2342" s="80" t="str">
        <f>HYPERLINK("https://pbs.twimg.com/media/F0IOq13acAErIFU.jpg")</f>
        <v>https://pbs.twimg.com/media/F0IOq13acAErIFU.jpg</v>
      </c>
      <c r="AW2342" s="82" t="s">
        <v>14500</v>
      </c>
      <c r="AX2342" s="82" t="s">
        <v>14500</v>
      </c>
      <c r="AY2342" s="77"/>
      <c r="AZ2342" s="82" t="s">
        <v>15804</v>
      </c>
      <c r="BA2342" s="82" t="s">
        <v>15804</v>
      </c>
      <c r="BB2342" s="82" t="s">
        <v>15804</v>
      </c>
      <c r="BC2342" s="82" t="s">
        <v>14500</v>
      </c>
      <c r="BD2342" s="82" t="s">
        <v>16532</v>
      </c>
      <c r="BE2342" s="77"/>
      <c r="BF2342" s="77"/>
      <c r="BG2342" s="77"/>
      <c r="BH2342" s="77"/>
      <c r="BI2342" s="77"/>
    </row>
    <row r="2343" spans="1:61" x14ac:dyDescent="0.25">
      <c r="A2343" s="62" t="s">
        <v>913</v>
      </c>
      <c r="B2343" s="62" t="s">
        <v>913</v>
      </c>
      <c r="C2343" s="63"/>
      <c r="D2343" s="64"/>
      <c r="E2343" s="65"/>
      <c r="F2343" s="66"/>
      <c r="G2343" s="63"/>
      <c r="H2343" s="67"/>
      <c r="I2343" s="68"/>
      <c r="J2343" s="68"/>
      <c r="K2343" s="32"/>
      <c r="L2343" s="75">
        <v>2343</v>
      </c>
      <c r="M2343" s="75"/>
      <c r="N2343" s="70"/>
      <c r="O2343" s="77" t="s">
        <v>179</v>
      </c>
      <c r="P2343" s="79">
        <v>44966.584305555552</v>
      </c>
      <c r="Q2343" s="77" t="s">
        <v>3388</v>
      </c>
      <c r="R2343" s="77">
        <v>1</v>
      </c>
      <c r="S2343" s="77">
        <v>1</v>
      </c>
      <c r="T2343" s="77">
        <v>0</v>
      </c>
      <c r="U2343" s="77">
        <v>0</v>
      </c>
      <c r="V2343" s="77">
        <v>17</v>
      </c>
      <c r="W2343" s="82" t="s">
        <v>5562</v>
      </c>
      <c r="X2343" s="80" t="str">
        <f>HYPERLINK("http://www.synerhgon.com.br")</f>
        <v>http://www.synerhgon.com.br</v>
      </c>
      <c r="Y2343" s="77" t="s">
        <v>6002</v>
      </c>
      <c r="Z2343" s="77"/>
      <c r="AA2343" s="77" t="s">
        <v>7459</v>
      </c>
      <c r="AB2343" s="77" t="s">
        <v>7696</v>
      </c>
      <c r="AC2343" s="82" t="s">
        <v>7708</v>
      </c>
      <c r="AD2343" s="77" t="s">
        <v>7745</v>
      </c>
      <c r="AE2343" s="80" t="str">
        <f>HYPERLINK("https://twitter.com/synerhgon/status/1623683486811844609")</f>
        <v>https://twitter.com/synerhgon/status/1623683486811844609</v>
      </c>
      <c r="AF2343" s="79">
        <v>44966.584305555552</v>
      </c>
      <c r="AG2343" s="85">
        <v>44966</v>
      </c>
      <c r="AH2343" s="82" t="s">
        <v>9840</v>
      </c>
      <c r="AI2343" s="77" t="b">
        <v>0</v>
      </c>
      <c r="AJ2343" s="77"/>
      <c r="AK2343" s="77"/>
      <c r="AL2343" s="77"/>
      <c r="AM2343" s="77"/>
      <c r="AN2343" s="77"/>
      <c r="AO2343" s="77"/>
      <c r="AP2343" s="77"/>
      <c r="AQ2343" s="77" t="s">
        <v>11966</v>
      </c>
      <c r="AR2343" s="77"/>
      <c r="AS2343" s="77"/>
      <c r="AT2343" s="77"/>
      <c r="AU2343" s="77"/>
      <c r="AV2343" s="80" t="str">
        <f>HYPERLINK("https://pbs.twimg.com/media/Foh7hrfWcAIjM8m.jpg")</f>
        <v>https://pbs.twimg.com/media/Foh7hrfWcAIjM8m.jpg</v>
      </c>
      <c r="AW2343" s="82" t="s">
        <v>14501</v>
      </c>
      <c r="AX2343" s="82" t="s">
        <v>14501</v>
      </c>
      <c r="AY2343" s="77"/>
      <c r="AZ2343" s="82" t="s">
        <v>15804</v>
      </c>
      <c r="BA2343" s="82" t="s">
        <v>15804</v>
      </c>
      <c r="BB2343" s="82" t="s">
        <v>15804</v>
      </c>
      <c r="BC2343" s="82" t="s">
        <v>14501</v>
      </c>
      <c r="BD2343" s="77">
        <v>630500666</v>
      </c>
      <c r="BE2343" s="77"/>
      <c r="BF2343" s="77"/>
      <c r="BG2343" s="77"/>
      <c r="BH2343" s="77"/>
      <c r="BI2343" s="77"/>
    </row>
    <row r="2344" spans="1:61" x14ac:dyDescent="0.25">
      <c r="A2344" s="62" t="s">
        <v>914</v>
      </c>
      <c r="B2344" s="62" t="s">
        <v>914</v>
      </c>
      <c r="C2344" s="63"/>
      <c r="D2344" s="64"/>
      <c r="E2344" s="65"/>
      <c r="F2344" s="66"/>
      <c r="G2344" s="63"/>
      <c r="H2344" s="67"/>
      <c r="I2344" s="68"/>
      <c r="J2344" s="68"/>
      <c r="K2344" s="32"/>
      <c r="L2344" s="75">
        <v>2344</v>
      </c>
      <c r="M2344" s="75"/>
      <c r="N2344" s="70"/>
      <c r="O2344" s="77" t="s">
        <v>179</v>
      </c>
      <c r="P2344" s="79">
        <v>44960.005162037036</v>
      </c>
      <c r="Q2344" s="77" t="s">
        <v>3389</v>
      </c>
      <c r="R2344" s="77">
        <v>0</v>
      </c>
      <c r="S2344" s="77">
        <v>0</v>
      </c>
      <c r="T2344" s="77">
        <v>0</v>
      </c>
      <c r="U2344" s="77">
        <v>0</v>
      </c>
      <c r="V2344" s="77">
        <v>35</v>
      </c>
      <c r="W2344" s="82" t="s">
        <v>5563</v>
      </c>
      <c r="X2344" s="77"/>
      <c r="Y2344" s="77"/>
      <c r="Z2344" s="77"/>
      <c r="AA2344" s="77" t="s">
        <v>7460</v>
      </c>
      <c r="AB2344" s="77" t="s">
        <v>7697</v>
      </c>
      <c r="AC2344" s="82" t="s">
        <v>7707</v>
      </c>
      <c r="AD2344" s="77" t="s">
        <v>7745</v>
      </c>
      <c r="AE2344" s="80" t="str">
        <f>HYPERLINK("https://twitter.com/partiuinvestir_/status/1621299286766936064")</f>
        <v>https://twitter.com/partiuinvestir_/status/1621299286766936064</v>
      </c>
      <c r="AF2344" s="79">
        <v>44960.005162037036</v>
      </c>
      <c r="AG2344" s="85">
        <v>44960</v>
      </c>
      <c r="AH2344" s="82" t="s">
        <v>9841</v>
      </c>
      <c r="AI2344" s="77" t="b">
        <v>0</v>
      </c>
      <c r="AJ2344" s="77" t="s">
        <v>10547</v>
      </c>
      <c r="AK2344" s="77" t="s">
        <v>10552</v>
      </c>
      <c r="AL2344" s="77" t="s">
        <v>10555</v>
      </c>
      <c r="AM2344" s="77" t="s">
        <v>10584</v>
      </c>
      <c r="AN2344" s="77" t="s">
        <v>10614</v>
      </c>
      <c r="AO2344" s="77" t="s">
        <v>10645</v>
      </c>
      <c r="AP2344" s="77" t="s">
        <v>10649</v>
      </c>
      <c r="AQ2344" s="77" t="s">
        <v>11967</v>
      </c>
      <c r="AR2344" s="77">
        <v>44866</v>
      </c>
      <c r="AS2344" s="77"/>
      <c r="AT2344" s="77"/>
      <c r="AU2344" s="77">
        <v>12</v>
      </c>
      <c r="AV2344" s="80" t="str">
        <f>HYPERLINK("https://pbs.twimg.com/ext_tw_video_thumb/1621299156361822208/pu/img/dWkeg8y4ELUBIMGN.jpg")</f>
        <v>https://pbs.twimg.com/ext_tw_video_thumb/1621299156361822208/pu/img/dWkeg8y4ELUBIMGN.jpg</v>
      </c>
      <c r="AW2344" s="82" t="s">
        <v>14502</v>
      </c>
      <c r="AX2344" s="82" t="s">
        <v>14502</v>
      </c>
      <c r="AY2344" s="77"/>
      <c r="AZ2344" s="82" t="s">
        <v>15804</v>
      </c>
      <c r="BA2344" s="82" t="s">
        <v>15804</v>
      </c>
      <c r="BB2344" s="82" t="s">
        <v>15804</v>
      </c>
      <c r="BC2344" s="82" t="s">
        <v>14502</v>
      </c>
      <c r="BD2344" s="77">
        <v>1340389045</v>
      </c>
      <c r="BE2344" s="77"/>
      <c r="BF2344" s="77"/>
      <c r="BG2344" s="77"/>
      <c r="BH2344" s="77"/>
      <c r="BI2344" s="77"/>
    </row>
    <row r="2345" spans="1:61" x14ac:dyDescent="0.25">
      <c r="A2345" s="62" t="s">
        <v>915</v>
      </c>
      <c r="B2345" s="62" t="s">
        <v>915</v>
      </c>
      <c r="C2345" s="63"/>
      <c r="D2345" s="64"/>
      <c r="E2345" s="65"/>
      <c r="F2345" s="66"/>
      <c r="G2345" s="63"/>
      <c r="H2345" s="67"/>
      <c r="I2345" s="68"/>
      <c r="J2345" s="68"/>
      <c r="K2345" s="32"/>
      <c r="L2345" s="75">
        <v>2345</v>
      </c>
      <c r="M2345" s="75"/>
      <c r="N2345" s="70"/>
      <c r="O2345" s="77" t="s">
        <v>179</v>
      </c>
      <c r="P2345" s="79">
        <v>45101.1018287037</v>
      </c>
      <c r="Q2345" s="77" t="s">
        <v>3390</v>
      </c>
      <c r="R2345" s="77">
        <v>0</v>
      </c>
      <c r="S2345" s="77">
        <v>0</v>
      </c>
      <c r="T2345" s="77">
        <v>0</v>
      </c>
      <c r="U2345" s="77">
        <v>0</v>
      </c>
      <c r="V2345" s="77">
        <v>124</v>
      </c>
      <c r="W2345" s="82" t="s">
        <v>5564</v>
      </c>
      <c r="X2345" s="77"/>
      <c r="Y2345" s="77"/>
      <c r="Z2345" s="77"/>
      <c r="AA2345" s="77" t="s">
        <v>7461</v>
      </c>
      <c r="AB2345" s="77" t="s">
        <v>7697</v>
      </c>
      <c r="AC2345" s="82" t="s">
        <v>7705</v>
      </c>
      <c r="AD2345" s="77" t="s">
        <v>7751</v>
      </c>
      <c r="AE2345" s="80" t="str">
        <f>HYPERLINK("https://twitter.com/xymenezb/status/1672431004680699905")</f>
        <v>https://twitter.com/xymenezb/status/1672431004680699905</v>
      </c>
      <c r="AF2345" s="79">
        <v>45101.1018287037</v>
      </c>
      <c r="AG2345" s="85">
        <v>45101</v>
      </c>
      <c r="AH2345" s="82" t="s">
        <v>9842</v>
      </c>
      <c r="AI2345" s="77" t="b">
        <v>0</v>
      </c>
      <c r="AJ2345" s="77"/>
      <c r="AK2345" s="77"/>
      <c r="AL2345" s="77"/>
      <c r="AM2345" s="77"/>
      <c r="AN2345" s="77"/>
      <c r="AO2345" s="77"/>
      <c r="AP2345" s="77"/>
      <c r="AQ2345" s="77" t="s">
        <v>11968</v>
      </c>
      <c r="AR2345" s="77">
        <v>73900</v>
      </c>
      <c r="AS2345" s="77"/>
      <c r="AT2345" s="77"/>
      <c r="AU2345" s="77">
        <v>13</v>
      </c>
      <c r="AV2345" s="80" t="str">
        <f>HYPERLINK("https://pbs.twimg.com/ext_tw_video_thumb/1672430839966187520/pu/img/kFnVSnq2PrCMYX2D.jpg")</f>
        <v>https://pbs.twimg.com/ext_tw_video_thumb/1672430839966187520/pu/img/kFnVSnq2PrCMYX2D.jpg</v>
      </c>
      <c r="AW2345" s="82" t="s">
        <v>14503</v>
      </c>
      <c r="AX2345" s="82" t="s">
        <v>14503</v>
      </c>
      <c r="AY2345" s="77"/>
      <c r="AZ2345" s="82" t="s">
        <v>15804</v>
      </c>
      <c r="BA2345" s="82" t="s">
        <v>15804</v>
      </c>
      <c r="BB2345" s="82" t="s">
        <v>15804</v>
      </c>
      <c r="BC2345" s="82" t="s">
        <v>14503</v>
      </c>
      <c r="BD2345" s="82" t="s">
        <v>16533</v>
      </c>
      <c r="BE2345" s="77"/>
      <c r="BF2345" s="77"/>
      <c r="BG2345" s="77"/>
      <c r="BH2345" s="77"/>
      <c r="BI2345" s="77"/>
    </row>
    <row r="2346" spans="1:61" x14ac:dyDescent="0.25">
      <c r="A2346" s="62" t="s">
        <v>916</v>
      </c>
      <c r="B2346" s="62" t="s">
        <v>916</v>
      </c>
      <c r="C2346" s="63"/>
      <c r="D2346" s="64"/>
      <c r="E2346" s="65"/>
      <c r="F2346" s="66"/>
      <c r="G2346" s="63"/>
      <c r="H2346" s="67"/>
      <c r="I2346" s="68"/>
      <c r="J2346" s="68"/>
      <c r="K2346" s="32"/>
      <c r="L2346" s="75">
        <v>2346</v>
      </c>
      <c r="M2346" s="75"/>
      <c r="N2346" s="70"/>
      <c r="O2346" s="77" t="s">
        <v>179</v>
      </c>
      <c r="P2346" s="79">
        <v>44942.76122685185</v>
      </c>
      <c r="Q2346" s="77" t="s">
        <v>3391</v>
      </c>
      <c r="R2346" s="77">
        <v>0</v>
      </c>
      <c r="S2346" s="77">
        <v>1</v>
      </c>
      <c r="T2346" s="77">
        <v>0</v>
      </c>
      <c r="U2346" s="77">
        <v>0</v>
      </c>
      <c r="V2346" s="77">
        <v>30</v>
      </c>
      <c r="W2346" s="82" t="s">
        <v>5565</v>
      </c>
      <c r="X2346" s="77"/>
      <c r="Y2346" s="77"/>
      <c r="Z2346" s="77"/>
      <c r="AA2346" s="77"/>
      <c r="AB2346" s="77"/>
      <c r="AC2346" s="82" t="s">
        <v>7705</v>
      </c>
      <c r="AD2346" s="77" t="s">
        <v>7745</v>
      </c>
      <c r="AE2346" s="80" t="str">
        <f>HYPERLINK("https://twitter.com/info_smarty/status/1615050292260704278")</f>
        <v>https://twitter.com/info_smarty/status/1615050292260704278</v>
      </c>
      <c r="AF2346" s="79">
        <v>44942.76122685185</v>
      </c>
      <c r="AG2346" s="85">
        <v>44942</v>
      </c>
      <c r="AH2346" s="82" t="s">
        <v>9843</v>
      </c>
      <c r="AI2346" s="77"/>
      <c r="AJ2346" s="77"/>
      <c r="AK2346" s="77"/>
      <c r="AL2346" s="77"/>
      <c r="AM2346" s="77"/>
      <c r="AN2346" s="77"/>
      <c r="AO2346" s="77"/>
      <c r="AP2346" s="77"/>
      <c r="AQ2346" s="77"/>
      <c r="AR2346" s="77"/>
      <c r="AS2346" s="77"/>
      <c r="AT2346" s="77"/>
      <c r="AU2346" s="77"/>
      <c r="AV2346" s="80" t="str">
        <f>HYPERLINK("https://pbs.twimg.com/profile_images/1556046767900266499/S6LgDlks_normal.jpg")</f>
        <v>https://pbs.twimg.com/profile_images/1556046767900266499/S6LgDlks_normal.jpg</v>
      </c>
      <c r="AW2346" s="82" t="s">
        <v>14504</v>
      </c>
      <c r="AX2346" s="82" t="s">
        <v>14504</v>
      </c>
      <c r="AY2346" s="77"/>
      <c r="AZ2346" s="82" t="s">
        <v>15804</v>
      </c>
      <c r="BA2346" s="82" t="s">
        <v>15804</v>
      </c>
      <c r="BB2346" s="82" t="s">
        <v>15804</v>
      </c>
      <c r="BC2346" s="82" t="s">
        <v>14504</v>
      </c>
      <c r="BD2346" s="82" t="s">
        <v>16534</v>
      </c>
      <c r="BE2346" s="77"/>
      <c r="BF2346" s="77"/>
      <c r="BG2346" s="77"/>
      <c r="BH2346" s="77"/>
      <c r="BI2346" s="77"/>
    </row>
    <row r="2347" spans="1:61" x14ac:dyDescent="0.25">
      <c r="A2347" s="62" t="s">
        <v>917</v>
      </c>
      <c r="B2347" s="62" t="s">
        <v>917</v>
      </c>
      <c r="C2347" s="63"/>
      <c r="D2347" s="64"/>
      <c r="E2347" s="65"/>
      <c r="F2347" s="66"/>
      <c r="G2347" s="63"/>
      <c r="H2347" s="67"/>
      <c r="I2347" s="68"/>
      <c r="J2347" s="68"/>
      <c r="K2347" s="32"/>
      <c r="L2347" s="75">
        <v>2347</v>
      </c>
      <c r="M2347" s="75"/>
      <c r="N2347" s="70"/>
      <c r="O2347" s="77" t="s">
        <v>179</v>
      </c>
      <c r="P2347" s="79">
        <v>44967.912905092591</v>
      </c>
      <c r="Q2347" s="77" t="s">
        <v>3392</v>
      </c>
      <c r="R2347" s="77">
        <v>0</v>
      </c>
      <c r="S2347" s="77">
        <v>0</v>
      </c>
      <c r="T2347" s="77">
        <v>0</v>
      </c>
      <c r="U2347" s="77">
        <v>0</v>
      </c>
      <c r="V2347" s="77">
        <v>16</v>
      </c>
      <c r="W2347" s="82" t="s">
        <v>5566</v>
      </c>
      <c r="X2347" s="80" t="str">
        <f>HYPERLINK("https://educacao.uol.com.br/noticias/2023/02/10/material-professores-parana-educacao-financeira.htm")</f>
        <v>https://educacao.uol.com.br/noticias/2023/02/10/material-professores-parana-educacao-financeira.htm</v>
      </c>
      <c r="Y2347" s="77" t="s">
        <v>6002</v>
      </c>
      <c r="Z2347" s="77"/>
      <c r="AA2347" s="77"/>
      <c r="AB2347" s="77"/>
      <c r="AC2347" s="82" t="s">
        <v>7706</v>
      </c>
      <c r="AD2347" s="77" t="s">
        <v>7745</v>
      </c>
      <c r="AE2347" s="80" t="str">
        <f>HYPERLINK("https://twitter.com/newsgames/status/1624164954344415255")</f>
        <v>https://twitter.com/newsgames/status/1624164954344415255</v>
      </c>
      <c r="AF2347" s="79">
        <v>44967.912905092591</v>
      </c>
      <c r="AG2347" s="85">
        <v>44967</v>
      </c>
      <c r="AH2347" s="82" t="s">
        <v>9298</v>
      </c>
      <c r="AI2347" s="77" t="b">
        <v>0</v>
      </c>
      <c r="AJ2347" s="77"/>
      <c r="AK2347" s="77"/>
      <c r="AL2347" s="77"/>
      <c r="AM2347" s="77"/>
      <c r="AN2347" s="77"/>
      <c r="AO2347" s="77"/>
      <c r="AP2347" s="77"/>
      <c r="AQ2347" s="77"/>
      <c r="AR2347" s="77"/>
      <c r="AS2347" s="77"/>
      <c r="AT2347" s="77"/>
      <c r="AU2347" s="77"/>
      <c r="AV2347" s="80" t="str">
        <f>HYPERLINK("https://pbs.twimg.com/profile_images/80316621/Marca_radio_normal.jpg")</f>
        <v>https://pbs.twimg.com/profile_images/80316621/Marca_radio_normal.jpg</v>
      </c>
      <c r="AW2347" s="82" t="s">
        <v>14505</v>
      </c>
      <c r="AX2347" s="82" t="s">
        <v>14505</v>
      </c>
      <c r="AY2347" s="77"/>
      <c r="AZ2347" s="82" t="s">
        <v>15804</v>
      </c>
      <c r="BA2347" s="82" t="s">
        <v>15804</v>
      </c>
      <c r="BB2347" s="82" t="s">
        <v>15804</v>
      </c>
      <c r="BC2347" s="82" t="s">
        <v>14505</v>
      </c>
      <c r="BD2347" s="77">
        <v>16403372</v>
      </c>
      <c r="BE2347" s="77"/>
      <c r="BF2347" s="77"/>
      <c r="BG2347" s="77"/>
      <c r="BH2347" s="77"/>
      <c r="BI2347" s="77"/>
    </row>
    <row r="2348" spans="1:61" x14ac:dyDescent="0.25">
      <c r="A2348" s="62" t="s">
        <v>918</v>
      </c>
      <c r="B2348" s="62" t="s">
        <v>918</v>
      </c>
      <c r="C2348" s="63"/>
      <c r="D2348" s="64"/>
      <c r="E2348" s="65"/>
      <c r="F2348" s="66"/>
      <c r="G2348" s="63"/>
      <c r="H2348" s="67"/>
      <c r="I2348" s="68"/>
      <c r="J2348" s="68"/>
      <c r="K2348" s="32"/>
      <c r="L2348" s="75">
        <v>2348</v>
      </c>
      <c r="M2348" s="75"/>
      <c r="N2348" s="70"/>
      <c r="O2348" s="77" t="s">
        <v>179</v>
      </c>
      <c r="P2348" s="79">
        <v>45065.766643518517</v>
      </c>
      <c r="Q2348" s="77" t="s">
        <v>3393</v>
      </c>
      <c r="R2348" s="77">
        <v>8</v>
      </c>
      <c r="S2348" s="77">
        <v>237</v>
      </c>
      <c r="T2348" s="77">
        <v>0</v>
      </c>
      <c r="U2348" s="77">
        <v>17</v>
      </c>
      <c r="V2348" s="77">
        <v>149811</v>
      </c>
      <c r="W2348" s="82" t="s">
        <v>5567</v>
      </c>
      <c r="X2348" s="80" t="str">
        <f>HYPERLINK("https://bit.ly/3BHvZNG")</f>
        <v>https://bit.ly/3BHvZNG</v>
      </c>
      <c r="Y2348" s="77" t="s">
        <v>6004</v>
      </c>
      <c r="Z2348" s="77"/>
      <c r="AA2348" s="77"/>
      <c r="AB2348" s="77"/>
      <c r="AC2348" s="82" t="s">
        <v>7706</v>
      </c>
      <c r="AD2348" s="77" t="s">
        <v>7745</v>
      </c>
      <c r="AE2348" s="80" t="str">
        <f>HYPERLINK("https://twitter.com/sicoob/status/1659625964278562836")</f>
        <v>https://twitter.com/sicoob/status/1659625964278562836</v>
      </c>
      <c r="AF2348" s="79">
        <v>45065.766643518517</v>
      </c>
      <c r="AG2348" s="85">
        <v>45065</v>
      </c>
      <c r="AH2348" s="82" t="s">
        <v>9844</v>
      </c>
      <c r="AI2348" s="77" t="b">
        <v>0</v>
      </c>
      <c r="AJ2348" s="77"/>
      <c r="AK2348" s="77"/>
      <c r="AL2348" s="77"/>
      <c r="AM2348" s="77"/>
      <c r="AN2348" s="77"/>
      <c r="AO2348" s="77"/>
      <c r="AP2348" s="77"/>
      <c r="AQ2348" s="77"/>
      <c r="AR2348" s="77"/>
      <c r="AS2348" s="77"/>
      <c r="AT2348" s="77"/>
      <c r="AU2348" s="77"/>
      <c r="AV2348" s="80" t="str">
        <f>HYPERLINK("https://pbs.twimg.com/profile_images/1085217737591402496/h2ieouZN_normal.jpg")</f>
        <v>https://pbs.twimg.com/profile_images/1085217737591402496/h2ieouZN_normal.jpg</v>
      </c>
      <c r="AW2348" s="82" t="s">
        <v>14506</v>
      </c>
      <c r="AX2348" s="82" t="s">
        <v>14506</v>
      </c>
      <c r="AY2348" s="77"/>
      <c r="AZ2348" s="82" t="s">
        <v>15804</v>
      </c>
      <c r="BA2348" s="82" t="s">
        <v>15804</v>
      </c>
      <c r="BB2348" s="82" t="s">
        <v>15804</v>
      </c>
      <c r="BC2348" s="82" t="s">
        <v>14506</v>
      </c>
      <c r="BD2348" s="77">
        <v>154117181</v>
      </c>
      <c r="BE2348" s="77"/>
      <c r="BF2348" s="77"/>
      <c r="BG2348" s="77"/>
      <c r="BH2348" s="77"/>
      <c r="BI2348" s="77"/>
    </row>
    <row r="2349" spans="1:61" x14ac:dyDescent="0.25">
      <c r="A2349" s="62" t="s">
        <v>918</v>
      </c>
      <c r="B2349" s="62" t="s">
        <v>918</v>
      </c>
      <c r="C2349" s="63"/>
      <c r="D2349" s="64"/>
      <c r="E2349" s="65"/>
      <c r="F2349" s="66"/>
      <c r="G2349" s="63"/>
      <c r="H2349" s="67"/>
      <c r="I2349" s="68"/>
      <c r="J2349" s="68"/>
      <c r="K2349" s="32"/>
      <c r="L2349" s="75">
        <v>2349</v>
      </c>
      <c r="M2349" s="75"/>
      <c r="N2349" s="70"/>
      <c r="O2349" s="77" t="s">
        <v>1132</v>
      </c>
      <c r="P2349" s="79">
        <v>45064.516284722224</v>
      </c>
      <c r="Q2349" s="77" t="s">
        <v>3394</v>
      </c>
      <c r="R2349" s="77">
        <v>1</v>
      </c>
      <c r="S2349" s="77">
        <v>3</v>
      </c>
      <c r="T2349" s="77">
        <v>1</v>
      </c>
      <c r="U2349" s="77">
        <v>0</v>
      </c>
      <c r="V2349" s="77">
        <v>828</v>
      </c>
      <c r="W2349" s="82" t="s">
        <v>5568</v>
      </c>
      <c r="X2349" s="80" t="str">
        <f>HYPERLINK("http://seligafinancas.institutosicoob.org.br")</f>
        <v>http://seligafinancas.institutosicoob.org.br</v>
      </c>
      <c r="Y2349" s="77" t="s">
        <v>6007</v>
      </c>
      <c r="Z2349" s="77"/>
      <c r="AA2349" s="77"/>
      <c r="AB2349" s="77"/>
      <c r="AC2349" s="82" t="s">
        <v>7706</v>
      </c>
      <c r="AD2349" s="77" t="s">
        <v>7745</v>
      </c>
      <c r="AE2349" s="80" t="str">
        <f>HYPERLINK("https://twitter.com/sicoob/status/1659172848424960000")</f>
        <v>https://twitter.com/sicoob/status/1659172848424960000</v>
      </c>
      <c r="AF2349" s="79">
        <v>45064.516284722224</v>
      </c>
      <c r="AG2349" s="85">
        <v>45064</v>
      </c>
      <c r="AH2349" s="82" t="s">
        <v>9845</v>
      </c>
      <c r="AI2349" s="77" t="b">
        <v>0</v>
      </c>
      <c r="AJ2349" s="77"/>
      <c r="AK2349" s="77"/>
      <c r="AL2349" s="77"/>
      <c r="AM2349" s="77"/>
      <c r="AN2349" s="77"/>
      <c r="AO2349" s="77"/>
      <c r="AP2349" s="77"/>
      <c r="AQ2349" s="77"/>
      <c r="AR2349" s="77"/>
      <c r="AS2349" s="77"/>
      <c r="AT2349" s="77"/>
      <c r="AU2349" s="77"/>
      <c r="AV2349" s="80" t="str">
        <f>HYPERLINK("https://pbs.twimg.com/profile_images/1085217737591402496/h2ieouZN_normal.jpg")</f>
        <v>https://pbs.twimg.com/profile_images/1085217737591402496/h2ieouZN_normal.jpg</v>
      </c>
      <c r="AW2349" s="82" t="s">
        <v>14507</v>
      </c>
      <c r="AX2349" s="82" t="s">
        <v>15555</v>
      </c>
      <c r="AY2349" s="82" t="s">
        <v>15783</v>
      </c>
      <c r="AZ2349" s="82" t="s">
        <v>16074</v>
      </c>
      <c r="BA2349" s="82" t="s">
        <v>15804</v>
      </c>
      <c r="BB2349" s="82" t="s">
        <v>15804</v>
      </c>
      <c r="BC2349" s="82" t="s">
        <v>16074</v>
      </c>
      <c r="BD2349" s="77">
        <v>154117181</v>
      </c>
      <c r="BE2349" s="77"/>
      <c r="BF2349" s="77"/>
      <c r="BG2349" s="77"/>
      <c r="BH2349" s="77"/>
      <c r="BI2349" s="77"/>
    </row>
    <row r="2350" spans="1:61" x14ac:dyDescent="0.25">
      <c r="A2350" s="62" t="s">
        <v>918</v>
      </c>
      <c r="B2350" s="62" t="s">
        <v>918</v>
      </c>
      <c r="C2350" s="63"/>
      <c r="D2350" s="64"/>
      <c r="E2350" s="65"/>
      <c r="F2350" s="66"/>
      <c r="G2350" s="63"/>
      <c r="H2350" s="67"/>
      <c r="I2350" s="68"/>
      <c r="J2350" s="68"/>
      <c r="K2350" s="32"/>
      <c r="L2350" s="75">
        <v>2350</v>
      </c>
      <c r="M2350" s="75"/>
      <c r="N2350" s="70"/>
      <c r="O2350" s="77" t="s">
        <v>1132</v>
      </c>
      <c r="P2350" s="79">
        <v>45063.549490740741</v>
      </c>
      <c r="Q2350" s="77" t="s">
        <v>3395</v>
      </c>
      <c r="R2350" s="77">
        <v>0</v>
      </c>
      <c r="S2350" s="77">
        <v>2</v>
      </c>
      <c r="T2350" s="77">
        <v>0</v>
      </c>
      <c r="U2350" s="77">
        <v>0</v>
      </c>
      <c r="V2350" s="77">
        <v>1129</v>
      </c>
      <c r="W2350" s="82" t="s">
        <v>4114</v>
      </c>
      <c r="X2350" s="80" t="str">
        <f>HYPERLINK("http://seligafinancas.institutosicoob.org.br")</f>
        <v>http://seligafinancas.institutosicoob.org.br</v>
      </c>
      <c r="Y2350" s="77" t="s">
        <v>6007</v>
      </c>
      <c r="Z2350" s="77"/>
      <c r="AA2350" s="77"/>
      <c r="AB2350" s="77"/>
      <c r="AC2350" s="82" t="s">
        <v>7706</v>
      </c>
      <c r="AD2350" s="77" t="s">
        <v>7745</v>
      </c>
      <c r="AE2350" s="80" t="str">
        <f>HYPERLINK("https://twitter.com/sicoob/status/1658822494709600260")</f>
        <v>https://twitter.com/sicoob/status/1658822494709600260</v>
      </c>
      <c r="AF2350" s="79">
        <v>45063.549490740741</v>
      </c>
      <c r="AG2350" s="85">
        <v>45063</v>
      </c>
      <c r="AH2350" s="82" t="s">
        <v>9846</v>
      </c>
      <c r="AI2350" s="77" t="b">
        <v>0</v>
      </c>
      <c r="AJ2350" s="77"/>
      <c r="AK2350" s="77"/>
      <c r="AL2350" s="77"/>
      <c r="AM2350" s="77"/>
      <c r="AN2350" s="77"/>
      <c r="AO2350" s="77"/>
      <c r="AP2350" s="77"/>
      <c r="AQ2350" s="77"/>
      <c r="AR2350" s="77"/>
      <c r="AS2350" s="77"/>
      <c r="AT2350" s="77"/>
      <c r="AU2350" s="77"/>
      <c r="AV2350" s="80" t="str">
        <f>HYPERLINK("https://pbs.twimg.com/profile_images/1085217737591402496/h2ieouZN_normal.jpg")</f>
        <v>https://pbs.twimg.com/profile_images/1085217737591402496/h2ieouZN_normal.jpg</v>
      </c>
      <c r="AW2350" s="82" t="s">
        <v>14508</v>
      </c>
      <c r="AX2350" s="82" t="s">
        <v>15556</v>
      </c>
      <c r="AY2350" s="82" t="s">
        <v>15783</v>
      </c>
      <c r="AZ2350" s="82" t="s">
        <v>15556</v>
      </c>
      <c r="BA2350" s="82" t="s">
        <v>15804</v>
      </c>
      <c r="BB2350" s="82" t="s">
        <v>15804</v>
      </c>
      <c r="BC2350" s="82" t="s">
        <v>15556</v>
      </c>
      <c r="BD2350" s="77">
        <v>154117181</v>
      </c>
      <c r="BE2350" s="77"/>
      <c r="BF2350" s="77"/>
      <c r="BG2350" s="77"/>
      <c r="BH2350" s="77"/>
      <c r="BI2350" s="77"/>
    </row>
    <row r="2351" spans="1:61" x14ac:dyDescent="0.25">
      <c r="A2351" s="62" t="s">
        <v>918</v>
      </c>
      <c r="B2351" s="62" t="s">
        <v>918</v>
      </c>
      <c r="C2351" s="63"/>
      <c r="D2351" s="64"/>
      <c r="E2351" s="65"/>
      <c r="F2351" s="66"/>
      <c r="G2351" s="63"/>
      <c r="H2351" s="67"/>
      <c r="I2351" s="68"/>
      <c r="J2351" s="68"/>
      <c r="K2351" s="32"/>
      <c r="L2351" s="75">
        <v>2351</v>
      </c>
      <c r="M2351" s="75"/>
      <c r="N2351" s="70"/>
      <c r="O2351" s="77" t="s">
        <v>179</v>
      </c>
      <c r="P2351" s="79">
        <v>45061.831585648149</v>
      </c>
      <c r="Q2351" s="77" t="s">
        <v>3396</v>
      </c>
      <c r="R2351" s="77">
        <v>8</v>
      </c>
      <c r="S2351" s="77">
        <v>193</v>
      </c>
      <c r="T2351" s="77">
        <v>2</v>
      </c>
      <c r="U2351" s="77">
        <v>19</v>
      </c>
      <c r="V2351" s="77">
        <v>187095</v>
      </c>
      <c r="W2351" s="82" t="s">
        <v>5569</v>
      </c>
      <c r="X2351" s="77"/>
      <c r="Y2351" s="77"/>
      <c r="Z2351" s="77"/>
      <c r="AA2351" s="77" t="s">
        <v>7462</v>
      </c>
      <c r="AB2351" s="77" t="s">
        <v>7696</v>
      </c>
      <c r="AC2351" s="82" t="s">
        <v>7706</v>
      </c>
      <c r="AD2351" s="77" t="s">
        <v>7745</v>
      </c>
      <c r="AE2351" s="80" t="str">
        <f>HYPERLINK("https://twitter.com/sicoob/status/1658199946967805952")</f>
        <v>https://twitter.com/sicoob/status/1658199946967805952</v>
      </c>
      <c r="AF2351" s="79">
        <v>45061.831585648149</v>
      </c>
      <c r="AG2351" s="85">
        <v>45061</v>
      </c>
      <c r="AH2351" s="82" t="s">
        <v>9847</v>
      </c>
      <c r="AI2351" s="77" t="b">
        <v>0</v>
      </c>
      <c r="AJ2351" s="77"/>
      <c r="AK2351" s="77"/>
      <c r="AL2351" s="77"/>
      <c r="AM2351" s="77"/>
      <c r="AN2351" s="77"/>
      <c r="AO2351" s="77"/>
      <c r="AP2351" s="77"/>
      <c r="AQ2351" s="77" t="s">
        <v>11969</v>
      </c>
      <c r="AR2351" s="77"/>
      <c r="AS2351" s="77"/>
      <c r="AT2351" s="77"/>
      <c r="AU2351" s="77"/>
      <c r="AV2351" s="80" t="str">
        <f>HYPERLINK("https://pbs.twimg.com/media/FwMbna_WcAA0XaP.jpg")</f>
        <v>https://pbs.twimg.com/media/FwMbna_WcAA0XaP.jpg</v>
      </c>
      <c r="AW2351" s="82" t="s">
        <v>14509</v>
      </c>
      <c r="AX2351" s="82" t="s">
        <v>14509</v>
      </c>
      <c r="AY2351" s="77"/>
      <c r="AZ2351" s="82" t="s">
        <v>15804</v>
      </c>
      <c r="BA2351" s="82" t="s">
        <v>15804</v>
      </c>
      <c r="BB2351" s="82" t="s">
        <v>15804</v>
      </c>
      <c r="BC2351" s="82" t="s">
        <v>14509</v>
      </c>
      <c r="BD2351" s="77">
        <v>154117181</v>
      </c>
      <c r="BE2351" s="77"/>
      <c r="BF2351" s="77"/>
      <c r="BG2351" s="77"/>
      <c r="BH2351" s="77"/>
      <c r="BI2351" s="77"/>
    </row>
    <row r="2352" spans="1:61" x14ac:dyDescent="0.25">
      <c r="A2352" s="62" t="s">
        <v>919</v>
      </c>
      <c r="B2352" s="62" t="s">
        <v>919</v>
      </c>
      <c r="C2352" s="63"/>
      <c r="D2352" s="64"/>
      <c r="E2352" s="65"/>
      <c r="F2352" s="66"/>
      <c r="G2352" s="63"/>
      <c r="H2352" s="67"/>
      <c r="I2352" s="68"/>
      <c r="J2352" s="68"/>
      <c r="K2352" s="32"/>
      <c r="L2352" s="75">
        <v>2352</v>
      </c>
      <c r="M2352" s="75"/>
      <c r="N2352" s="70"/>
      <c r="O2352" s="77" t="s">
        <v>179</v>
      </c>
      <c r="P2352" s="79">
        <v>44999.864131944443</v>
      </c>
      <c r="Q2352" s="77" t="s">
        <v>3397</v>
      </c>
      <c r="R2352" s="77">
        <v>0</v>
      </c>
      <c r="S2352" s="77">
        <v>0</v>
      </c>
      <c r="T2352" s="77">
        <v>0</v>
      </c>
      <c r="U2352" s="77">
        <v>0</v>
      </c>
      <c r="V2352" s="77">
        <v>10</v>
      </c>
      <c r="W2352" s="82" t="s">
        <v>5570</v>
      </c>
      <c r="X2352" s="80" t="str">
        <f>HYPERLINK("https://www.youtube.com/watch?v=_kLdesWu-oc")</f>
        <v>https://www.youtube.com/watch?v=_kLdesWu-oc</v>
      </c>
      <c r="Y2352" s="77" t="s">
        <v>6006</v>
      </c>
      <c r="Z2352" s="77"/>
      <c r="AA2352" s="77"/>
      <c r="AB2352" s="77"/>
      <c r="AC2352" s="82" t="s">
        <v>7718</v>
      </c>
      <c r="AD2352" s="77" t="s">
        <v>7745</v>
      </c>
      <c r="AE2352" s="80" t="str">
        <f>HYPERLINK("https://twitter.com/investspace3/status/1635743694056816641")</f>
        <v>https://twitter.com/investspace3/status/1635743694056816641</v>
      </c>
      <c r="AF2352" s="79">
        <v>44999.864131944443</v>
      </c>
      <c r="AG2352" s="85">
        <v>44999</v>
      </c>
      <c r="AH2352" s="82" t="s">
        <v>9848</v>
      </c>
      <c r="AI2352" s="77" t="b">
        <v>0</v>
      </c>
      <c r="AJ2352" s="77"/>
      <c r="AK2352" s="77"/>
      <c r="AL2352" s="77"/>
      <c r="AM2352" s="77"/>
      <c r="AN2352" s="77"/>
      <c r="AO2352" s="77"/>
      <c r="AP2352" s="77"/>
      <c r="AQ2352" s="77"/>
      <c r="AR2352" s="77"/>
      <c r="AS2352" s="77"/>
      <c r="AT2352" s="77"/>
      <c r="AU2352" s="77"/>
      <c r="AV2352" s="80" t="str">
        <f>HYPERLINK("https://pbs.twimg.com/profile_images/1658616631122186243/ytPOxRv2_normal.jpg")</f>
        <v>https://pbs.twimg.com/profile_images/1658616631122186243/ytPOxRv2_normal.jpg</v>
      </c>
      <c r="AW2352" s="82" t="s">
        <v>14510</v>
      </c>
      <c r="AX2352" s="82" t="s">
        <v>14510</v>
      </c>
      <c r="AY2352" s="77"/>
      <c r="AZ2352" s="82" t="s">
        <v>15804</v>
      </c>
      <c r="BA2352" s="82" t="s">
        <v>15804</v>
      </c>
      <c r="BB2352" s="82" t="s">
        <v>15804</v>
      </c>
      <c r="BC2352" s="82" t="s">
        <v>14510</v>
      </c>
      <c r="BD2352" s="82" t="s">
        <v>16535</v>
      </c>
      <c r="BE2352" s="77"/>
      <c r="BF2352" s="77"/>
      <c r="BG2352" s="77"/>
      <c r="BH2352" s="77"/>
      <c r="BI2352" s="77"/>
    </row>
    <row r="2353" spans="1:61" x14ac:dyDescent="0.25">
      <c r="A2353" s="62" t="s">
        <v>919</v>
      </c>
      <c r="B2353" s="62" t="s">
        <v>919</v>
      </c>
      <c r="C2353" s="63"/>
      <c r="D2353" s="64"/>
      <c r="E2353" s="65"/>
      <c r="F2353" s="66"/>
      <c r="G2353" s="63"/>
      <c r="H2353" s="67"/>
      <c r="I2353" s="68"/>
      <c r="J2353" s="68"/>
      <c r="K2353" s="32"/>
      <c r="L2353" s="75">
        <v>2353</v>
      </c>
      <c r="M2353" s="75"/>
      <c r="N2353" s="70"/>
      <c r="O2353" s="77" t="s">
        <v>179</v>
      </c>
      <c r="P2353" s="79">
        <v>44999.663518518515</v>
      </c>
      <c r="Q2353" s="77" t="s">
        <v>3398</v>
      </c>
      <c r="R2353" s="77">
        <v>0</v>
      </c>
      <c r="S2353" s="77">
        <v>0</v>
      </c>
      <c r="T2353" s="77">
        <v>0</v>
      </c>
      <c r="U2353" s="77">
        <v>0</v>
      </c>
      <c r="V2353" s="77">
        <v>21</v>
      </c>
      <c r="W2353" s="82" t="s">
        <v>5571</v>
      </c>
      <c r="X2353" s="77"/>
      <c r="Y2353" s="77"/>
      <c r="Z2353" s="77"/>
      <c r="AA2353" s="77" t="s">
        <v>7463</v>
      </c>
      <c r="AB2353" s="77" t="s">
        <v>7697</v>
      </c>
      <c r="AC2353" s="82" t="s">
        <v>7716</v>
      </c>
      <c r="AD2353" s="77" t="s">
        <v>7745</v>
      </c>
      <c r="AE2353" s="80" t="str">
        <f>HYPERLINK("https://twitter.com/investspace3/status/1635670994147848192")</f>
        <v>https://twitter.com/investspace3/status/1635670994147848192</v>
      </c>
      <c r="AF2353" s="79">
        <v>44999.663518518515</v>
      </c>
      <c r="AG2353" s="85">
        <v>44999</v>
      </c>
      <c r="AH2353" s="82" t="s">
        <v>9849</v>
      </c>
      <c r="AI2353" s="77" t="b">
        <v>0</v>
      </c>
      <c r="AJ2353" s="77"/>
      <c r="AK2353" s="77"/>
      <c r="AL2353" s="77"/>
      <c r="AM2353" s="77"/>
      <c r="AN2353" s="77"/>
      <c r="AO2353" s="77"/>
      <c r="AP2353" s="77"/>
      <c r="AQ2353" s="77" t="s">
        <v>11970</v>
      </c>
      <c r="AR2353" s="77">
        <v>24833</v>
      </c>
      <c r="AS2353" s="77"/>
      <c r="AT2353" s="77"/>
      <c r="AU2353" s="77">
        <v>7</v>
      </c>
      <c r="AV2353" s="80" t="str">
        <f>HYPERLINK("https://pbs.twimg.com/ext_tw_video_thumb/1635670948257955841/pu/img/wY8uroAKah4bIgtv.jpg")</f>
        <v>https://pbs.twimg.com/ext_tw_video_thumb/1635670948257955841/pu/img/wY8uroAKah4bIgtv.jpg</v>
      </c>
      <c r="AW2353" s="82" t="s">
        <v>14511</v>
      </c>
      <c r="AX2353" s="82" t="s">
        <v>14511</v>
      </c>
      <c r="AY2353" s="77"/>
      <c r="AZ2353" s="82" t="s">
        <v>15804</v>
      </c>
      <c r="BA2353" s="82" t="s">
        <v>15804</v>
      </c>
      <c r="BB2353" s="82" t="s">
        <v>15804</v>
      </c>
      <c r="BC2353" s="82" t="s">
        <v>14511</v>
      </c>
      <c r="BD2353" s="82" t="s">
        <v>16535</v>
      </c>
      <c r="BE2353" s="77"/>
      <c r="BF2353" s="77"/>
      <c r="BG2353" s="77"/>
      <c r="BH2353" s="77"/>
      <c r="BI2353" s="77"/>
    </row>
    <row r="2354" spans="1:61" x14ac:dyDescent="0.25">
      <c r="A2354" s="62" t="s">
        <v>919</v>
      </c>
      <c r="B2354" s="62" t="s">
        <v>919</v>
      </c>
      <c r="C2354" s="63"/>
      <c r="D2354" s="64"/>
      <c r="E2354" s="65"/>
      <c r="F2354" s="66"/>
      <c r="G2354" s="63"/>
      <c r="H2354" s="67"/>
      <c r="I2354" s="68"/>
      <c r="J2354" s="68"/>
      <c r="K2354" s="32"/>
      <c r="L2354" s="75">
        <v>2354</v>
      </c>
      <c r="M2354" s="75"/>
      <c r="N2354" s="70"/>
      <c r="O2354" s="77" t="s">
        <v>179</v>
      </c>
      <c r="P2354" s="79">
        <v>44993.71292824074</v>
      </c>
      <c r="Q2354" s="77" t="s">
        <v>3399</v>
      </c>
      <c r="R2354" s="77">
        <v>0</v>
      </c>
      <c r="S2354" s="77">
        <v>0</v>
      </c>
      <c r="T2354" s="77">
        <v>0</v>
      </c>
      <c r="U2354" s="77">
        <v>0</v>
      </c>
      <c r="V2354" s="77">
        <v>1</v>
      </c>
      <c r="W2354" s="82" t="s">
        <v>5572</v>
      </c>
      <c r="X2354" s="80" t="str">
        <f>HYPERLINK("https://www.youtube.com/watch?v=rJpYAP41Rh8")</f>
        <v>https://www.youtube.com/watch?v=rJpYAP41Rh8</v>
      </c>
      <c r="Y2354" s="77" t="s">
        <v>6006</v>
      </c>
      <c r="Z2354" s="77"/>
      <c r="AA2354" s="77"/>
      <c r="AB2354" s="77"/>
      <c r="AC2354" s="82" t="s">
        <v>7718</v>
      </c>
      <c r="AD2354" s="77" t="s">
        <v>7745</v>
      </c>
      <c r="AE2354" s="80" t="str">
        <f>HYPERLINK("https://twitter.com/investspace3/status/1633514569669951488")</f>
        <v>https://twitter.com/investspace3/status/1633514569669951488</v>
      </c>
      <c r="AF2354" s="79">
        <v>44993.71292824074</v>
      </c>
      <c r="AG2354" s="85">
        <v>44993</v>
      </c>
      <c r="AH2354" s="82" t="s">
        <v>9850</v>
      </c>
      <c r="AI2354" s="77" t="b">
        <v>0</v>
      </c>
      <c r="AJ2354" s="77"/>
      <c r="AK2354" s="77"/>
      <c r="AL2354" s="77"/>
      <c r="AM2354" s="77"/>
      <c r="AN2354" s="77"/>
      <c r="AO2354" s="77"/>
      <c r="AP2354" s="77"/>
      <c r="AQ2354" s="77"/>
      <c r="AR2354" s="77"/>
      <c r="AS2354" s="77"/>
      <c r="AT2354" s="77"/>
      <c r="AU2354" s="77"/>
      <c r="AV2354" s="80" t="str">
        <f>HYPERLINK("https://pbs.twimg.com/profile_images/1658616631122186243/ytPOxRv2_normal.jpg")</f>
        <v>https://pbs.twimg.com/profile_images/1658616631122186243/ytPOxRv2_normal.jpg</v>
      </c>
      <c r="AW2354" s="82" t="s">
        <v>14512</v>
      </c>
      <c r="AX2354" s="82" t="s">
        <v>14512</v>
      </c>
      <c r="AY2354" s="77"/>
      <c r="AZ2354" s="82" t="s">
        <v>15804</v>
      </c>
      <c r="BA2354" s="82" t="s">
        <v>15804</v>
      </c>
      <c r="BB2354" s="82" t="s">
        <v>15804</v>
      </c>
      <c r="BC2354" s="82" t="s">
        <v>14512</v>
      </c>
      <c r="BD2354" s="82" t="s">
        <v>16535</v>
      </c>
      <c r="BE2354" s="77"/>
      <c r="BF2354" s="77"/>
      <c r="BG2354" s="77"/>
      <c r="BH2354" s="77"/>
      <c r="BI2354" s="77"/>
    </row>
    <row r="2355" spans="1:61" x14ac:dyDescent="0.25">
      <c r="A2355" s="62" t="s">
        <v>919</v>
      </c>
      <c r="B2355" s="62" t="s">
        <v>919</v>
      </c>
      <c r="C2355" s="63"/>
      <c r="D2355" s="64"/>
      <c r="E2355" s="65"/>
      <c r="F2355" s="66"/>
      <c r="G2355" s="63"/>
      <c r="H2355" s="67"/>
      <c r="I2355" s="68"/>
      <c r="J2355" s="68"/>
      <c r="K2355" s="32"/>
      <c r="L2355" s="75">
        <v>2355</v>
      </c>
      <c r="M2355" s="75"/>
      <c r="N2355" s="70"/>
      <c r="O2355" s="77" t="s">
        <v>179</v>
      </c>
      <c r="P2355" s="79">
        <v>44992.839803240742</v>
      </c>
      <c r="Q2355" s="77" t="s">
        <v>3400</v>
      </c>
      <c r="R2355" s="77">
        <v>0</v>
      </c>
      <c r="S2355" s="77">
        <v>0</v>
      </c>
      <c r="T2355" s="77">
        <v>0</v>
      </c>
      <c r="U2355" s="77">
        <v>0</v>
      </c>
      <c r="V2355" s="77"/>
      <c r="W2355" s="82" t="s">
        <v>5573</v>
      </c>
      <c r="X2355" s="80" t="str">
        <f>HYPERLINK("https://www.youtube.com/watch?v=Vq3HNRGy8vw")</f>
        <v>https://www.youtube.com/watch?v=Vq3HNRGy8vw</v>
      </c>
      <c r="Y2355" s="77" t="s">
        <v>6006</v>
      </c>
      <c r="Z2355" s="77"/>
      <c r="AA2355" s="77"/>
      <c r="AB2355" s="77"/>
      <c r="AC2355" s="82" t="s">
        <v>7718</v>
      </c>
      <c r="AD2355" s="77" t="s">
        <v>7745</v>
      </c>
      <c r="AE2355" s="80" t="str">
        <f>HYPERLINK("https://twitter.com/investspace3/status/1633198159714451456")</f>
        <v>https://twitter.com/investspace3/status/1633198159714451456</v>
      </c>
      <c r="AF2355" s="79">
        <v>44992.839803240742</v>
      </c>
      <c r="AG2355" s="85">
        <v>44992</v>
      </c>
      <c r="AH2355" s="82" t="s">
        <v>9851</v>
      </c>
      <c r="AI2355" s="77" t="b">
        <v>0</v>
      </c>
      <c r="AJ2355" s="77"/>
      <c r="AK2355" s="77"/>
      <c r="AL2355" s="77"/>
      <c r="AM2355" s="77"/>
      <c r="AN2355" s="77"/>
      <c r="AO2355" s="77"/>
      <c r="AP2355" s="77"/>
      <c r="AQ2355" s="77"/>
      <c r="AR2355" s="77"/>
      <c r="AS2355" s="77"/>
      <c r="AT2355" s="77"/>
      <c r="AU2355" s="77"/>
      <c r="AV2355" s="80" t="str">
        <f>HYPERLINK("https://pbs.twimg.com/profile_images/1658616631122186243/ytPOxRv2_normal.jpg")</f>
        <v>https://pbs.twimg.com/profile_images/1658616631122186243/ytPOxRv2_normal.jpg</v>
      </c>
      <c r="AW2355" s="82" t="s">
        <v>14513</v>
      </c>
      <c r="AX2355" s="82" t="s">
        <v>14513</v>
      </c>
      <c r="AY2355" s="77"/>
      <c r="AZ2355" s="82" t="s">
        <v>15804</v>
      </c>
      <c r="BA2355" s="82" t="s">
        <v>15804</v>
      </c>
      <c r="BB2355" s="82" t="s">
        <v>15804</v>
      </c>
      <c r="BC2355" s="82" t="s">
        <v>14513</v>
      </c>
      <c r="BD2355" s="82" t="s">
        <v>16535</v>
      </c>
      <c r="BE2355" s="77"/>
      <c r="BF2355" s="77"/>
      <c r="BG2355" s="77"/>
      <c r="BH2355" s="77"/>
      <c r="BI2355" s="77"/>
    </row>
    <row r="2356" spans="1:61" x14ac:dyDescent="0.25">
      <c r="A2356" s="62" t="s">
        <v>919</v>
      </c>
      <c r="B2356" s="62" t="s">
        <v>919</v>
      </c>
      <c r="C2356" s="63"/>
      <c r="D2356" s="64"/>
      <c r="E2356" s="65"/>
      <c r="F2356" s="66"/>
      <c r="G2356" s="63"/>
      <c r="H2356" s="67"/>
      <c r="I2356" s="68"/>
      <c r="J2356" s="68"/>
      <c r="K2356" s="32"/>
      <c r="L2356" s="75">
        <v>2356</v>
      </c>
      <c r="M2356" s="75"/>
      <c r="N2356" s="70"/>
      <c r="O2356" s="77" t="s">
        <v>179</v>
      </c>
      <c r="P2356" s="79">
        <v>44992.633067129631</v>
      </c>
      <c r="Q2356" s="77" t="s">
        <v>3401</v>
      </c>
      <c r="R2356" s="77">
        <v>0</v>
      </c>
      <c r="S2356" s="77">
        <v>0</v>
      </c>
      <c r="T2356" s="77">
        <v>0</v>
      </c>
      <c r="U2356" s="77">
        <v>0</v>
      </c>
      <c r="V2356" s="77">
        <v>32</v>
      </c>
      <c r="W2356" s="82" t="s">
        <v>5574</v>
      </c>
      <c r="X2356" s="77"/>
      <c r="Y2356" s="77"/>
      <c r="Z2356" s="77"/>
      <c r="AA2356" s="77" t="s">
        <v>7464</v>
      </c>
      <c r="AB2356" s="77" t="s">
        <v>7697</v>
      </c>
      <c r="AC2356" s="82" t="s">
        <v>7716</v>
      </c>
      <c r="AD2356" s="77" t="s">
        <v>7745</v>
      </c>
      <c r="AE2356" s="80" t="str">
        <f>HYPERLINK("https://twitter.com/investspace3/status/1633123241433890820")</f>
        <v>https://twitter.com/investspace3/status/1633123241433890820</v>
      </c>
      <c r="AF2356" s="79">
        <v>44992.633067129631</v>
      </c>
      <c r="AG2356" s="85">
        <v>44992</v>
      </c>
      <c r="AH2356" s="82" t="s">
        <v>9852</v>
      </c>
      <c r="AI2356" s="77" t="b">
        <v>0</v>
      </c>
      <c r="AJ2356" s="77"/>
      <c r="AK2356" s="77"/>
      <c r="AL2356" s="77"/>
      <c r="AM2356" s="77"/>
      <c r="AN2356" s="77"/>
      <c r="AO2356" s="77"/>
      <c r="AP2356" s="77"/>
      <c r="AQ2356" s="77" t="s">
        <v>11971</v>
      </c>
      <c r="AR2356" s="77">
        <v>38433</v>
      </c>
      <c r="AS2356" s="77"/>
      <c r="AT2356" s="77"/>
      <c r="AU2356" s="77">
        <v>8</v>
      </c>
      <c r="AV2356" s="80" t="str">
        <f>HYPERLINK("https://pbs.twimg.com/ext_tw_video_thumb/1633123193182474241/pu/img/3YDX5O_BVr9w4JVH.jpg")</f>
        <v>https://pbs.twimg.com/ext_tw_video_thumb/1633123193182474241/pu/img/3YDX5O_BVr9w4JVH.jpg</v>
      </c>
      <c r="AW2356" s="82" t="s">
        <v>14514</v>
      </c>
      <c r="AX2356" s="82" t="s">
        <v>14514</v>
      </c>
      <c r="AY2356" s="77"/>
      <c r="AZ2356" s="82" t="s">
        <v>15804</v>
      </c>
      <c r="BA2356" s="82" t="s">
        <v>15804</v>
      </c>
      <c r="BB2356" s="82" t="s">
        <v>15804</v>
      </c>
      <c r="BC2356" s="82" t="s">
        <v>14514</v>
      </c>
      <c r="BD2356" s="82" t="s">
        <v>16535</v>
      </c>
      <c r="BE2356" s="77"/>
      <c r="BF2356" s="77"/>
      <c r="BG2356" s="77"/>
      <c r="BH2356" s="77"/>
      <c r="BI2356" s="77"/>
    </row>
    <row r="2357" spans="1:61" x14ac:dyDescent="0.25">
      <c r="A2357" s="62" t="s">
        <v>919</v>
      </c>
      <c r="B2357" s="62" t="s">
        <v>919</v>
      </c>
      <c r="C2357" s="63"/>
      <c r="D2357" s="64"/>
      <c r="E2357" s="65"/>
      <c r="F2357" s="66"/>
      <c r="G2357" s="63"/>
      <c r="H2357" s="67"/>
      <c r="I2357" s="68"/>
      <c r="J2357" s="68"/>
      <c r="K2357" s="32"/>
      <c r="L2357" s="75">
        <v>2357</v>
      </c>
      <c r="M2357" s="75"/>
      <c r="N2357" s="70"/>
      <c r="O2357" s="77" t="s">
        <v>179</v>
      </c>
      <c r="P2357" s="79">
        <v>44987.834456018521</v>
      </c>
      <c r="Q2357" s="77" t="s">
        <v>3402</v>
      </c>
      <c r="R2357" s="77">
        <v>0</v>
      </c>
      <c r="S2357" s="77">
        <v>0</v>
      </c>
      <c r="T2357" s="77">
        <v>0</v>
      </c>
      <c r="U2357" s="77">
        <v>0</v>
      </c>
      <c r="V2357" s="77">
        <v>6</v>
      </c>
      <c r="W2357" s="82" t="s">
        <v>5575</v>
      </c>
      <c r="X2357" s="77"/>
      <c r="Y2357" s="77"/>
      <c r="Z2357" s="77"/>
      <c r="AA2357" s="77" t="s">
        <v>7465</v>
      </c>
      <c r="AB2357" s="77" t="s">
        <v>7697</v>
      </c>
      <c r="AC2357" s="82" t="s">
        <v>7716</v>
      </c>
      <c r="AD2357" s="77" t="s">
        <v>7745</v>
      </c>
      <c r="AE2357" s="80" t="str">
        <f>HYPERLINK("https://twitter.com/investspace3/status/1631384284660375581")</f>
        <v>https://twitter.com/investspace3/status/1631384284660375581</v>
      </c>
      <c r="AF2357" s="79">
        <v>44987.834456018521</v>
      </c>
      <c r="AG2357" s="85">
        <v>44987</v>
      </c>
      <c r="AH2357" s="82" t="s">
        <v>9853</v>
      </c>
      <c r="AI2357" s="77" t="b">
        <v>0</v>
      </c>
      <c r="AJ2357" s="77"/>
      <c r="AK2357" s="77"/>
      <c r="AL2357" s="77"/>
      <c r="AM2357" s="77"/>
      <c r="AN2357" s="77"/>
      <c r="AO2357" s="77"/>
      <c r="AP2357" s="77"/>
      <c r="AQ2357" s="77" t="s">
        <v>11972</v>
      </c>
      <c r="AR2357" s="77">
        <v>53800</v>
      </c>
      <c r="AS2357" s="77"/>
      <c r="AT2357" s="77"/>
      <c r="AU2357" s="77">
        <v>1</v>
      </c>
      <c r="AV2357" s="80" t="str">
        <f>HYPERLINK("https://pbs.twimg.com/ext_tw_video_thumb/1631384235331166213/pu/img/ZsDELt2ELoIYiS9D.jpg")</f>
        <v>https://pbs.twimg.com/ext_tw_video_thumb/1631384235331166213/pu/img/ZsDELt2ELoIYiS9D.jpg</v>
      </c>
      <c r="AW2357" s="82" t="s">
        <v>14515</v>
      </c>
      <c r="AX2357" s="82" t="s">
        <v>14515</v>
      </c>
      <c r="AY2357" s="77"/>
      <c r="AZ2357" s="82" t="s">
        <v>15804</v>
      </c>
      <c r="BA2357" s="82" t="s">
        <v>15804</v>
      </c>
      <c r="BB2357" s="82" t="s">
        <v>15804</v>
      </c>
      <c r="BC2357" s="82" t="s">
        <v>14515</v>
      </c>
      <c r="BD2357" s="82" t="s">
        <v>16535</v>
      </c>
      <c r="BE2357" s="77"/>
      <c r="BF2357" s="77"/>
      <c r="BG2357" s="77"/>
      <c r="BH2357" s="77"/>
      <c r="BI2357" s="77"/>
    </row>
    <row r="2358" spans="1:61" x14ac:dyDescent="0.25">
      <c r="A2358" s="62" t="s">
        <v>919</v>
      </c>
      <c r="B2358" s="62" t="s">
        <v>919</v>
      </c>
      <c r="C2358" s="63"/>
      <c r="D2358" s="64"/>
      <c r="E2358" s="65"/>
      <c r="F2358" s="66"/>
      <c r="G2358" s="63"/>
      <c r="H2358" s="67"/>
      <c r="I2358" s="68"/>
      <c r="J2358" s="68"/>
      <c r="K2358" s="32"/>
      <c r="L2358" s="75">
        <v>2358</v>
      </c>
      <c r="M2358" s="75"/>
      <c r="N2358" s="70"/>
      <c r="O2358" s="77" t="s">
        <v>179</v>
      </c>
      <c r="P2358" s="79">
        <v>44985.844201388885</v>
      </c>
      <c r="Q2358" s="77" t="s">
        <v>3403</v>
      </c>
      <c r="R2358" s="77">
        <v>0</v>
      </c>
      <c r="S2358" s="77">
        <v>0</v>
      </c>
      <c r="T2358" s="77">
        <v>0</v>
      </c>
      <c r="U2358" s="77">
        <v>0</v>
      </c>
      <c r="V2358" s="77">
        <v>11</v>
      </c>
      <c r="W2358" s="82" t="s">
        <v>5576</v>
      </c>
      <c r="X2358" s="77"/>
      <c r="Y2358" s="77"/>
      <c r="Z2358" s="77"/>
      <c r="AA2358" s="77" t="s">
        <v>7466</v>
      </c>
      <c r="AB2358" s="77" t="s">
        <v>7697</v>
      </c>
      <c r="AC2358" s="82" t="s">
        <v>7716</v>
      </c>
      <c r="AD2358" s="77" t="s">
        <v>7745</v>
      </c>
      <c r="AE2358" s="80" t="str">
        <f>HYPERLINK("https://twitter.com/investspace3/status/1630663038721314816")</f>
        <v>https://twitter.com/investspace3/status/1630663038721314816</v>
      </c>
      <c r="AF2358" s="79">
        <v>44985.844201388885</v>
      </c>
      <c r="AG2358" s="85">
        <v>44985</v>
      </c>
      <c r="AH2358" s="82" t="s">
        <v>9854</v>
      </c>
      <c r="AI2358" s="77" t="b">
        <v>0</v>
      </c>
      <c r="AJ2358" s="77"/>
      <c r="AK2358" s="77"/>
      <c r="AL2358" s="77"/>
      <c r="AM2358" s="77"/>
      <c r="AN2358" s="77"/>
      <c r="AO2358" s="77"/>
      <c r="AP2358" s="77"/>
      <c r="AQ2358" s="77" t="s">
        <v>11973</v>
      </c>
      <c r="AR2358" s="77">
        <v>51500</v>
      </c>
      <c r="AS2358" s="77"/>
      <c r="AT2358" s="77"/>
      <c r="AU2358" s="77">
        <v>0</v>
      </c>
      <c r="AV2358" s="80" t="str">
        <f>HYPERLINK("https://pbs.twimg.com/ext_tw_video_thumb/1630662990914527252/pu/img/-FlKF0jySPnkLjbH.jpg")</f>
        <v>https://pbs.twimg.com/ext_tw_video_thumb/1630662990914527252/pu/img/-FlKF0jySPnkLjbH.jpg</v>
      </c>
      <c r="AW2358" s="82" t="s">
        <v>14516</v>
      </c>
      <c r="AX2358" s="82" t="s">
        <v>14516</v>
      </c>
      <c r="AY2358" s="77"/>
      <c r="AZ2358" s="82" t="s">
        <v>15804</v>
      </c>
      <c r="BA2358" s="82" t="s">
        <v>15804</v>
      </c>
      <c r="BB2358" s="82" t="s">
        <v>15804</v>
      </c>
      <c r="BC2358" s="82" t="s">
        <v>14516</v>
      </c>
      <c r="BD2358" s="82" t="s">
        <v>16535</v>
      </c>
      <c r="BE2358" s="77"/>
      <c r="BF2358" s="77"/>
      <c r="BG2358" s="77"/>
      <c r="BH2358" s="77"/>
      <c r="BI2358" s="77"/>
    </row>
    <row r="2359" spans="1:61" x14ac:dyDescent="0.25">
      <c r="A2359" s="62" t="s">
        <v>919</v>
      </c>
      <c r="B2359" s="62" t="s">
        <v>919</v>
      </c>
      <c r="C2359" s="63"/>
      <c r="D2359" s="64"/>
      <c r="E2359" s="65"/>
      <c r="F2359" s="66"/>
      <c r="G2359" s="63"/>
      <c r="H2359" s="67"/>
      <c r="I2359" s="68"/>
      <c r="J2359" s="68"/>
      <c r="K2359" s="32"/>
      <c r="L2359" s="75">
        <v>2359</v>
      </c>
      <c r="M2359" s="75"/>
      <c r="N2359" s="70"/>
      <c r="O2359" s="77" t="s">
        <v>179</v>
      </c>
      <c r="P2359" s="79">
        <v>44985.840752314813</v>
      </c>
      <c r="Q2359" s="77" t="s">
        <v>3404</v>
      </c>
      <c r="R2359" s="77">
        <v>0</v>
      </c>
      <c r="S2359" s="77">
        <v>0</v>
      </c>
      <c r="T2359" s="77">
        <v>0</v>
      </c>
      <c r="U2359" s="77">
        <v>0</v>
      </c>
      <c r="V2359" s="77">
        <v>3</v>
      </c>
      <c r="W2359" s="82" t="s">
        <v>5577</v>
      </c>
      <c r="X2359" s="80" t="str">
        <f>HYPERLINK("https://www.youtube.com/watch?v=RkCvN_406KA")</f>
        <v>https://www.youtube.com/watch?v=RkCvN_406KA</v>
      </c>
      <c r="Y2359" s="77" t="s">
        <v>6006</v>
      </c>
      <c r="Z2359" s="77"/>
      <c r="AA2359" s="77"/>
      <c r="AB2359" s="77"/>
      <c r="AC2359" s="82" t="s">
        <v>7718</v>
      </c>
      <c r="AD2359" s="77" t="s">
        <v>7745</v>
      </c>
      <c r="AE2359" s="80" t="str">
        <f>HYPERLINK("https://twitter.com/investspace3/status/1630661790609580056")</f>
        <v>https://twitter.com/investspace3/status/1630661790609580056</v>
      </c>
      <c r="AF2359" s="79">
        <v>44985.840752314813</v>
      </c>
      <c r="AG2359" s="85">
        <v>44985</v>
      </c>
      <c r="AH2359" s="82" t="s">
        <v>9855</v>
      </c>
      <c r="AI2359" s="77" t="b">
        <v>0</v>
      </c>
      <c r="AJ2359" s="77"/>
      <c r="AK2359" s="77"/>
      <c r="AL2359" s="77"/>
      <c r="AM2359" s="77"/>
      <c r="AN2359" s="77"/>
      <c r="AO2359" s="77"/>
      <c r="AP2359" s="77"/>
      <c r="AQ2359" s="77"/>
      <c r="AR2359" s="77"/>
      <c r="AS2359" s="77"/>
      <c r="AT2359" s="77"/>
      <c r="AU2359" s="77"/>
      <c r="AV2359" s="80" t="str">
        <f>HYPERLINK("https://pbs.twimg.com/profile_images/1658616631122186243/ytPOxRv2_normal.jpg")</f>
        <v>https://pbs.twimg.com/profile_images/1658616631122186243/ytPOxRv2_normal.jpg</v>
      </c>
      <c r="AW2359" s="82" t="s">
        <v>14517</v>
      </c>
      <c r="AX2359" s="82" t="s">
        <v>14517</v>
      </c>
      <c r="AY2359" s="77"/>
      <c r="AZ2359" s="82" t="s">
        <v>15804</v>
      </c>
      <c r="BA2359" s="82" t="s">
        <v>15804</v>
      </c>
      <c r="BB2359" s="82" t="s">
        <v>15804</v>
      </c>
      <c r="BC2359" s="82" t="s">
        <v>14517</v>
      </c>
      <c r="BD2359" s="82" t="s">
        <v>16535</v>
      </c>
      <c r="BE2359" s="77"/>
      <c r="BF2359" s="77"/>
      <c r="BG2359" s="77"/>
      <c r="BH2359" s="77"/>
      <c r="BI2359" s="77"/>
    </row>
    <row r="2360" spans="1:61" x14ac:dyDescent="0.25">
      <c r="A2360" s="62" t="s">
        <v>919</v>
      </c>
      <c r="B2360" s="62" t="s">
        <v>919</v>
      </c>
      <c r="C2360" s="63"/>
      <c r="D2360" s="64"/>
      <c r="E2360" s="65"/>
      <c r="F2360" s="66"/>
      <c r="G2360" s="63"/>
      <c r="H2360" s="67"/>
      <c r="I2360" s="68"/>
      <c r="J2360" s="68"/>
      <c r="K2360" s="32"/>
      <c r="L2360" s="75">
        <v>2360</v>
      </c>
      <c r="M2360" s="75"/>
      <c r="N2360" s="70"/>
      <c r="O2360" s="77" t="s">
        <v>179</v>
      </c>
      <c r="P2360" s="79">
        <v>44985.82916666667</v>
      </c>
      <c r="Q2360" s="77" t="s">
        <v>3405</v>
      </c>
      <c r="R2360" s="77">
        <v>0</v>
      </c>
      <c r="S2360" s="77">
        <v>0</v>
      </c>
      <c r="T2360" s="77">
        <v>0</v>
      </c>
      <c r="U2360" s="77">
        <v>0</v>
      </c>
      <c r="V2360" s="77">
        <v>3</v>
      </c>
      <c r="W2360" s="82" t="s">
        <v>5578</v>
      </c>
      <c r="X2360" s="80" t="str">
        <f>HYPERLINK("https://www.youtube.com/watch?v=zTsVrS-clk8")</f>
        <v>https://www.youtube.com/watch?v=zTsVrS-clk8</v>
      </c>
      <c r="Y2360" s="77" t="s">
        <v>6006</v>
      </c>
      <c r="Z2360" s="77"/>
      <c r="AA2360" s="77"/>
      <c r="AB2360" s="77"/>
      <c r="AC2360" s="82" t="s">
        <v>7718</v>
      </c>
      <c r="AD2360" s="77" t="s">
        <v>7745</v>
      </c>
      <c r="AE2360" s="80" t="str">
        <f>HYPERLINK("https://twitter.com/investspace3/status/1630657589452087296")</f>
        <v>https://twitter.com/investspace3/status/1630657589452087296</v>
      </c>
      <c r="AF2360" s="79">
        <v>44985.82916666667</v>
      </c>
      <c r="AG2360" s="85">
        <v>44985</v>
      </c>
      <c r="AH2360" s="82" t="s">
        <v>9856</v>
      </c>
      <c r="AI2360" s="77" t="b">
        <v>0</v>
      </c>
      <c r="AJ2360" s="77"/>
      <c r="AK2360" s="77"/>
      <c r="AL2360" s="77"/>
      <c r="AM2360" s="77"/>
      <c r="AN2360" s="77"/>
      <c r="AO2360" s="77"/>
      <c r="AP2360" s="77"/>
      <c r="AQ2360" s="77"/>
      <c r="AR2360" s="77"/>
      <c r="AS2360" s="77"/>
      <c r="AT2360" s="77"/>
      <c r="AU2360" s="77"/>
      <c r="AV2360" s="80" t="str">
        <f>HYPERLINK("https://pbs.twimg.com/profile_images/1658616631122186243/ytPOxRv2_normal.jpg")</f>
        <v>https://pbs.twimg.com/profile_images/1658616631122186243/ytPOxRv2_normal.jpg</v>
      </c>
      <c r="AW2360" s="82" t="s">
        <v>14518</v>
      </c>
      <c r="AX2360" s="82" t="s">
        <v>14518</v>
      </c>
      <c r="AY2360" s="77"/>
      <c r="AZ2360" s="82" t="s">
        <v>15804</v>
      </c>
      <c r="BA2360" s="82" t="s">
        <v>15804</v>
      </c>
      <c r="BB2360" s="82" t="s">
        <v>15804</v>
      </c>
      <c r="BC2360" s="82" t="s">
        <v>14518</v>
      </c>
      <c r="BD2360" s="82" t="s">
        <v>16535</v>
      </c>
      <c r="BE2360" s="77"/>
      <c r="BF2360" s="77"/>
      <c r="BG2360" s="77"/>
      <c r="BH2360" s="77"/>
      <c r="BI2360" s="77"/>
    </row>
    <row r="2361" spans="1:61" x14ac:dyDescent="0.25">
      <c r="A2361" s="62" t="s">
        <v>919</v>
      </c>
      <c r="B2361" s="62" t="s">
        <v>919</v>
      </c>
      <c r="C2361" s="63"/>
      <c r="D2361" s="64"/>
      <c r="E2361" s="65"/>
      <c r="F2361" s="66"/>
      <c r="G2361" s="63"/>
      <c r="H2361" s="67"/>
      <c r="I2361" s="68"/>
      <c r="J2361" s="68"/>
      <c r="K2361" s="32"/>
      <c r="L2361" s="75">
        <v>2361</v>
      </c>
      <c r="M2361" s="75"/>
      <c r="N2361" s="70"/>
      <c r="O2361" s="77" t="s">
        <v>179</v>
      </c>
      <c r="P2361" s="79">
        <v>44984.959467592591</v>
      </c>
      <c r="Q2361" s="77" t="s">
        <v>3406</v>
      </c>
      <c r="R2361" s="77">
        <v>0</v>
      </c>
      <c r="S2361" s="77">
        <v>0</v>
      </c>
      <c r="T2361" s="77">
        <v>0</v>
      </c>
      <c r="U2361" s="77">
        <v>0</v>
      </c>
      <c r="V2361" s="77">
        <v>18</v>
      </c>
      <c r="W2361" s="82" t="s">
        <v>5579</v>
      </c>
      <c r="X2361" s="77"/>
      <c r="Y2361" s="77"/>
      <c r="Z2361" s="77"/>
      <c r="AA2361" s="77" t="s">
        <v>7467</v>
      </c>
      <c r="AB2361" s="77" t="s">
        <v>7697</v>
      </c>
      <c r="AC2361" s="82" t="s">
        <v>7716</v>
      </c>
      <c r="AD2361" s="77" t="s">
        <v>7745</v>
      </c>
      <c r="AE2361" s="80" t="str">
        <f>HYPERLINK("https://twitter.com/investspace3/status/1630342421367103490")</f>
        <v>https://twitter.com/investspace3/status/1630342421367103490</v>
      </c>
      <c r="AF2361" s="79">
        <v>44984.959467592591</v>
      </c>
      <c r="AG2361" s="85">
        <v>44984</v>
      </c>
      <c r="AH2361" s="82" t="s">
        <v>9857</v>
      </c>
      <c r="AI2361" s="77" t="b">
        <v>0</v>
      </c>
      <c r="AJ2361" s="77"/>
      <c r="AK2361" s="77"/>
      <c r="AL2361" s="77"/>
      <c r="AM2361" s="77"/>
      <c r="AN2361" s="77"/>
      <c r="AO2361" s="77"/>
      <c r="AP2361" s="77"/>
      <c r="AQ2361" s="77" t="s">
        <v>11974</v>
      </c>
      <c r="AR2361" s="77">
        <v>20833</v>
      </c>
      <c r="AS2361" s="77"/>
      <c r="AT2361" s="77"/>
      <c r="AU2361" s="77">
        <v>6</v>
      </c>
      <c r="AV2361" s="80" t="str">
        <f>HYPERLINK("https://pbs.twimg.com/ext_tw_video_thumb/1630342376521703424/pu/img/cecbaLe_8EQxG3xv.jpg")</f>
        <v>https://pbs.twimg.com/ext_tw_video_thumb/1630342376521703424/pu/img/cecbaLe_8EQxG3xv.jpg</v>
      </c>
      <c r="AW2361" s="82" t="s">
        <v>14519</v>
      </c>
      <c r="AX2361" s="82" t="s">
        <v>14519</v>
      </c>
      <c r="AY2361" s="77"/>
      <c r="AZ2361" s="82" t="s">
        <v>15804</v>
      </c>
      <c r="BA2361" s="82" t="s">
        <v>15804</v>
      </c>
      <c r="BB2361" s="82" t="s">
        <v>15804</v>
      </c>
      <c r="BC2361" s="82" t="s">
        <v>14519</v>
      </c>
      <c r="BD2361" s="82" t="s">
        <v>16535</v>
      </c>
      <c r="BE2361" s="77"/>
      <c r="BF2361" s="77"/>
      <c r="BG2361" s="77"/>
      <c r="BH2361" s="77"/>
      <c r="BI2361" s="77"/>
    </row>
    <row r="2362" spans="1:61" x14ac:dyDescent="0.25">
      <c r="A2362" s="62" t="s">
        <v>919</v>
      </c>
      <c r="B2362" s="62" t="s">
        <v>919</v>
      </c>
      <c r="C2362" s="63"/>
      <c r="D2362" s="64"/>
      <c r="E2362" s="65"/>
      <c r="F2362" s="66"/>
      <c r="G2362" s="63"/>
      <c r="H2362" s="67"/>
      <c r="I2362" s="68"/>
      <c r="J2362" s="68"/>
      <c r="K2362" s="32"/>
      <c r="L2362" s="75">
        <v>2362</v>
      </c>
      <c r="M2362" s="75"/>
      <c r="N2362" s="70"/>
      <c r="O2362" s="77" t="s">
        <v>179</v>
      </c>
      <c r="P2362" s="79">
        <v>44998.628958333335</v>
      </c>
      <c r="Q2362" s="77" t="s">
        <v>3407</v>
      </c>
      <c r="R2362" s="77">
        <v>0</v>
      </c>
      <c r="S2362" s="77">
        <v>0</v>
      </c>
      <c r="T2362" s="77">
        <v>0</v>
      </c>
      <c r="U2362" s="77">
        <v>0</v>
      </c>
      <c r="V2362" s="77">
        <v>58</v>
      </c>
      <c r="W2362" s="82" t="s">
        <v>5580</v>
      </c>
      <c r="X2362" s="77"/>
      <c r="Y2362" s="77"/>
      <c r="Z2362" s="77"/>
      <c r="AA2362" s="77" t="s">
        <v>7468</v>
      </c>
      <c r="AB2362" s="77" t="s">
        <v>7697</v>
      </c>
      <c r="AC2362" s="82" t="s">
        <v>7716</v>
      </c>
      <c r="AD2362" s="77" t="s">
        <v>7745</v>
      </c>
      <c r="AE2362" s="80" t="str">
        <f>HYPERLINK("https://twitter.com/investspace3/status/1635296079989321728")</f>
        <v>https://twitter.com/investspace3/status/1635296079989321728</v>
      </c>
      <c r="AF2362" s="79">
        <v>44998.628958333335</v>
      </c>
      <c r="AG2362" s="85">
        <v>44998</v>
      </c>
      <c r="AH2362" s="82" t="s">
        <v>9858</v>
      </c>
      <c r="AI2362" s="77" t="b">
        <v>0</v>
      </c>
      <c r="AJ2362" s="77"/>
      <c r="AK2362" s="77"/>
      <c r="AL2362" s="77"/>
      <c r="AM2362" s="77"/>
      <c r="AN2362" s="77"/>
      <c r="AO2362" s="77"/>
      <c r="AP2362" s="77"/>
      <c r="AQ2362" s="77" t="s">
        <v>11975</v>
      </c>
      <c r="AR2362" s="77">
        <v>51800</v>
      </c>
      <c r="AS2362" s="77"/>
      <c r="AT2362" s="77"/>
      <c r="AU2362" s="77">
        <v>18</v>
      </c>
      <c r="AV2362" s="80" t="str">
        <f>HYPERLINK("https://pbs.twimg.com/ext_tw_video_thumb/1635295938012123136/pu/img/uXcj8GAQv27KCa-x.jpg")</f>
        <v>https://pbs.twimg.com/ext_tw_video_thumb/1635295938012123136/pu/img/uXcj8GAQv27KCa-x.jpg</v>
      </c>
      <c r="AW2362" s="82" t="s">
        <v>14520</v>
      </c>
      <c r="AX2362" s="82" t="s">
        <v>14520</v>
      </c>
      <c r="AY2362" s="77"/>
      <c r="AZ2362" s="82" t="s">
        <v>15804</v>
      </c>
      <c r="BA2362" s="82" t="s">
        <v>15804</v>
      </c>
      <c r="BB2362" s="82" t="s">
        <v>15804</v>
      </c>
      <c r="BC2362" s="82" t="s">
        <v>14520</v>
      </c>
      <c r="BD2362" s="82" t="s">
        <v>16535</v>
      </c>
      <c r="BE2362" s="77"/>
      <c r="BF2362" s="77"/>
      <c r="BG2362" s="77"/>
      <c r="BH2362" s="77"/>
      <c r="BI2362" s="77"/>
    </row>
    <row r="2363" spans="1:61" x14ac:dyDescent="0.25">
      <c r="A2363" s="62" t="s">
        <v>919</v>
      </c>
      <c r="B2363" s="62" t="s">
        <v>919</v>
      </c>
      <c r="C2363" s="63"/>
      <c r="D2363" s="64"/>
      <c r="E2363" s="65"/>
      <c r="F2363" s="66"/>
      <c r="G2363" s="63"/>
      <c r="H2363" s="67"/>
      <c r="I2363" s="68"/>
      <c r="J2363" s="68"/>
      <c r="K2363" s="32"/>
      <c r="L2363" s="75">
        <v>2363</v>
      </c>
      <c r="M2363" s="75"/>
      <c r="N2363" s="70"/>
      <c r="O2363" s="77" t="s">
        <v>179</v>
      </c>
      <c r="P2363" s="79">
        <v>44997.755555555559</v>
      </c>
      <c r="Q2363" s="77" t="s">
        <v>3408</v>
      </c>
      <c r="R2363" s="77">
        <v>0</v>
      </c>
      <c r="S2363" s="77">
        <v>0</v>
      </c>
      <c r="T2363" s="77">
        <v>0</v>
      </c>
      <c r="U2363" s="77">
        <v>0</v>
      </c>
      <c r="V2363" s="77">
        <v>2</v>
      </c>
      <c r="W2363" s="82" t="s">
        <v>5581</v>
      </c>
      <c r="X2363" s="80" t="str">
        <f>HYPERLINK("https://www.youtube.com/watch?v=FgVfsIJUU5o")</f>
        <v>https://www.youtube.com/watch?v=FgVfsIJUU5o</v>
      </c>
      <c r="Y2363" s="77" t="s">
        <v>6006</v>
      </c>
      <c r="Z2363" s="77"/>
      <c r="AA2363" s="77"/>
      <c r="AB2363" s="77"/>
      <c r="AC2363" s="82" t="s">
        <v>7718</v>
      </c>
      <c r="AD2363" s="77" t="s">
        <v>7745</v>
      </c>
      <c r="AE2363" s="80" t="str">
        <f>HYPERLINK("https://twitter.com/investspace3/status/1634979571442352131")</f>
        <v>https://twitter.com/investspace3/status/1634979571442352131</v>
      </c>
      <c r="AF2363" s="79">
        <v>44997.755555555559</v>
      </c>
      <c r="AG2363" s="85">
        <v>44997</v>
      </c>
      <c r="AH2363" s="82" t="s">
        <v>9859</v>
      </c>
      <c r="AI2363" s="77" t="b">
        <v>0</v>
      </c>
      <c r="AJ2363" s="77"/>
      <c r="AK2363" s="77"/>
      <c r="AL2363" s="77"/>
      <c r="AM2363" s="77"/>
      <c r="AN2363" s="77"/>
      <c r="AO2363" s="77"/>
      <c r="AP2363" s="77"/>
      <c r="AQ2363" s="77"/>
      <c r="AR2363" s="77"/>
      <c r="AS2363" s="77"/>
      <c r="AT2363" s="77"/>
      <c r="AU2363" s="77"/>
      <c r="AV2363" s="80" t="str">
        <f>HYPERLINK("https://pbs.twimg.com/profile_images/1658616631122186243/ytPOxRv2_normal.jpg")</f>
        <v>https://pbs.twimg.com/profile_images/1658616631122186243/ytPOxRv2_normal.jpg</v>
      </c>
      <c r="AW2363" s="82" t="s">
        <v>14521</v>
      </c>
      <c r="AX2363" s="82" t="s">
        <v>14521</v>
      </c>
      <c r="AY2363" s="77"/>
      <c r="AZ2363" s="82" t="s">
        <v>15804</v>
      </c>
      <c r="BA2363" s="82" t="s">
        <v>15804</v>
      </c>
      <c r="BB2363" s="82" t="s">
        <v>15804</v>
      </c>
      <c r="BC2363" s="82" t="s">
        <v>14521</v>
      </c>
      <c r="BD2363" s="82" t="s">
        <v>16535</v>
      </c>
      <c r="BE2363" s="77"/>
      <c r="BF2363" s="77"/>
      <c r="BG2363" s="77"/>
      <c r="BH2363" s="77"/>
      <c r="BI2363" s="77"/>
    </row>
    <row r="2364" spans="1:61" x14ac:dyDescent="0.25">
      <c r="A2364" s="62" t="s">
        <v>919</v>
      </c>
      <c r="B2364" s="62" t="s">
        <v>919</v>
      </c>
      <c r="C2364" s="63"/>
      <c r="D2364" s="64"/>
      <c r="E2364" s="65"/>
      <c r="F2364" s="66"/>
      <c r="G2364" s="63"/>
      <c r="H2364" s="67"/>
      <c r="I2364" s="68"/>
      <c r="J2364" s="68"/>
      <c r="K2364" s="32"/>
      <c r="L2364" s="75">
        <v>2364</v>
      </c>
      <c r="M2364" s="75"/>
      <c r="N2364" s="70"/>
      <c r="O2364" s="77" t="s">
        <v>179</v>
      </c>
      <c r="P2364" s="79">
        <v>44997.751203703701</v>
      </c>
      <c r="Q2364" s="77" t="s">
        <v>3409</v>
      </c>
      <c r="R2364" s="77">
        <v>0</v>
      </c>
      <c r="S2364" s="77">
        <v>0</v>
      </c>
      <c r="T2364" s="77">
        <v>0</v>
      </c>
      <c r="U2364" s="77">
        <v>0</v>
      </c>
      <c r="V2364" s="77">
        <v>24</v>
      </c>
      <c r="W2364" s="82" t="s">
        <v>5582</v>
      </c>
      <c r="X2364" s="77"/>
      <c r="Y2364" s="77"/>
      <c r="Z2364" s="77"/>
      <c r="AA2364" s="77" t="s">
        <v>7469</v>
      </c>
      <c r="AB2364" s="77" t="s">
        <v>7697</v>
      </c>
      <c r="AC2364" s="82" t="s">
        <v>7716</v>
      </c>
      <c r="AD2364" s="77" t="s">
        <v>7745</v>
      </c>
      <c r="AE2364" s="80" t="str">
        <f>HYPERLINK("https://twitter.com/investspace3/status/1634977991339003906")</f>
        <v>https://twitter.com/investspace3/status/1634977991339003906</v>
      </c>
      <c r="AF2364" s="79">
        <v>44997.751203703701</v>
      </c>
      <c r="AG2364" s="85">
        <v>44997</v>
      </c>
      <c r="AH2364" s="82" t="s">
        <v>9860</v>
      </c>
      <c r="AI2364" s="77" t="b">
        <v>0</v>
      </c>
      <c r="AJ2364" s="77"/>
      <c r="AK2364" s="77"/>
      <c r="AL2364" s="77"/>
      <c r="AM2364" s="77"/>
      <c r="AN2364" s="77"/>
      <c r="AO2364" s="77"/>
      <c r="AP2364" s="77"/>
      <c r="AQ2364" s="77" t="s">
        <v>11976</v>
      </c>
      <c r="AR2364" s="77">
        <v>37333</v>
      </c>
      <c r="AS2364" s="77"/>
      <c r="AT2364" s="77"/>
      <c r="AU2364" s="77">
        <v>5</v>
      </c>
      <c r="AV2364" s="80" t="str">
        <f>HYPERLINK("https://pbs.twimg.com/ext_tw_video_thumb/1634977943242915850/pu/img/QyG2bTfsFOFCjcG0.jpg")</f>
        <v>https://pbs.twimg.com/ext_tw_video_thumb/1634977943242915850/pu/img/QyG2bTfsFOFCjcG0.jpg</v>
      </c>
      <c r="AW2364" s="82" t="s">
        <v>14522</v>
      </c>
      <c r="AX2364" s="82" t="s">
        <v>14522</v>
      </c>
      <c r="AY2364" s="77"/>
      <c r="AZ2364" s="82" t="s">
        <v>15804</v>
      </c>
      <c r="BA2364" s="82" t="s">
        <v>15804</v>
      </c>
      <c r="BB2364" s="82" t="s">
        <v>15804</v>
      </c>
      <c r="BC2364" s="82" t="s">
        <v>14522</v>
      </c>
      <c r="BD2364" s="82" t="s">
        <v>16535</v>
      </c>
      <c r="BE2364" s="77"/>
      <c r="BF2364" s="77"/>
      <c r="BG2364" s="77"/>
      <c r="BH2364" s="77"/>
      <c r="BI2364" s="77"/>
    </row>
    <row r="2365" spans="1:61" x14ac:dyDescent="0.25">
      <c r="A2365" s="62" t="s">
        <v>919</v>
      </c>
      <c r="B2365" s="62" t="s">
        <v>919</v>
      </c>
      <c r="C2365" s="63"/>
      <c r="D2365" s="64"/>
      <c r="E2365" s="65"/>
      <c r="F2365" s="66"/>
      <c r="G2365" s="63"/>
      <c r="H2365" s="67"/>
      <c r="I2365" s="68"/>
      <c r="J2365" s="68"/>
      <c r="K2365" s="32"/>
      <c r="L2365" s="75">
        <v>2365</v>
      </c>
      <c r="M2365" s="75"/>
      <c r="N2365" s="70"/>
      <c r="O2365" s="77" t="s">
        <v>179</v>
      </c>
      <c r="P2365" s="79">
        <v>44996.833854166667</v>
      </c>
      <c r="Q2365" s="77" t="s">
        <v>3410</v>
      </c>
      <c r="R2365" s="77">
        <v>0</v>
      </c>
      <c r="S2365" s="77">
        <v>0</v>
      </c>
      <c r="T2365" s="77">
        <v>0</v>
      </c>
      <c r="U2365" s="77">
        <v>0</v>
      </c>
      <c r="V2365" s="77">
        <v>17</v>
      </c>
      <c r="W2365" s="82" t="s">
        <v>5583</v>
      </c>
      <c r="X2365" s="80" t="str">
        <f>HYPERLINK("https://www.youtube.com/watch?v=Bnd04mdIKxo")</f>
        <v>https://www.youtube.com/watch?v=Bnd04mdIKxo</v>
      </c>
      <c r="Y2365" s="77" t="s">
        <v>6006</v>
      </c>
      <c r="Z2365" s="77"/>
      <c r="AA2365" s="77"/>
      <c r="AB2365" s="77"/>
      <c r="AC2365" s="82" t="s">
        <v>7718</v>
      </c>
      <c r="AD2365" s="77" t="s">
        <v>7745</v>
      </c>
      <c r="AE2365" s="80" t="str">
        <f>HYPERLINK("https://twitter.com/investspace3/status/1634645556910800904")</f>
        <v>https://twitter.com/investspace3/status/1634645556910800904</v>
      </c>
      <c r="AF2365" s="79">
        <v>44996.833854166667</v>
      </c>
      <c r="AG2365" s="85">
        <v>44996</v>
      </c>
      <c r="AH2365" s="82" t="s">
        <v>9861</v>
      </c>
      <c r="AI2365" s="77" t="b">
        <v>0</v>
      </c>
      <c r="AJ2365" s="77"/>
      <c r="AK2365" s="77"/>
      <c r="AL2365" s="77"/>
      <c r="AM2365" s="77"/>
      <c r="AN2365" s="77"/>
      <c r="AO2365" s="77"/>
      <c r="AP2365" s="77"/>
      <c r="AQ2365" s="77"/>
      <c r="AR2365" s="77"/>
      <c r="AS2365" s="77"/>
      <c r="AT2365" s="77"/>
      <c r="AU2365" s="77"/>
      <c r="AV2365" s="80" t="str">
        <f>HYPERLINK("https://pbs.twimg.com/profile_images/1658616631122186243/ytPOxRv2_normal.jpg")</f>
        <v>https://pbs.twimg.com/profile_images/1658616631122186243/ytPOxRv2_normal.jpg</v>
      </c>
      <c r="AW2365" s="82" t="s">
        <v>14523</v>
      </c>
      <c r="AX2365" s="82" t="s">
        <v>14523</v>
      </c>
      <c r="AY2365" s="77"/>
      <c r="AZ2365" s="82" t="s">
        <v>15804</v>
      </c>
      <c r="BA2365" s="82" t="s">
        <v>15804</v>
      </c>
      <c r="BB2365" s="82" t="s">
        <v>15804</v>
      </c>
      <c r="BC2365" s="82" t="s">
        <v>14523</v>
      </c>
      <c r="BD2365" s="82" t="s">
        <v>16535</v>
      </c>
      <c r="BE2365" s="77"/>
      <c r="BF2365" s="77"/>
      <c r="BG2365" s="77"/>
      <c r="BH2365" s="77"/>
      <c r="BI2365" s="77"/>
    </row>
    <row r="2366" spans="1:61" x14ac:dyDescent="0.25">
      <c r="A2366" s="62" t="s">
        <v>919</v>
      </c>
      <c r="B2366" s="62" t="s">
        <v>919</v>
      </c>
      <c r="C2366" s="63"/>
      <c r="D2366" s="64"/>
      <c r="E2366" s="65"/>
      <c r="F2366" s="66"/>
      <c r="G2366" s="63"/>
      <c r="H2366" s="67"/>
      <c r="I2366" s="68"/>
      <c r="J2366" s="68"/>
      <c r="K2366" s="32"/>
      <c r="L2366" s="75">
        <v>2366</v>
      </c>
      <c r="M2366" s="75"/>
      <c r="N2366" s="70"/>
      <c r="O2366" s="77" t="s">
        <v>179</v>
      </c>
      <c r="P2366" s="79">
        <v>44996.751145833332</v>
      </c>
      <c r="Q2366" s="77" t="s">
        <v>3411</v>
      </c>
      <c r="R2366" s="77">
        <v>0</v>
      </c>
      <c r="S2366" s="77">
        <v>0</v>
      </c>
      <c r="T2366" s="77">
        <v>0</v>
      </c>
      <c r="U2366" s="77">
        <v>0</v>
      </c>
      <c r="V2366" s="77">
        <v>57</v>
      </c>
      <c r="W2366" s="82" t="s">
        <v>5584</v>
      </c>
      <c r="X2366" s="77"/>
      <c r="Y2366" s="77"/>
      <c r="Z2366" s="77"/>
      <c r="AA2366" s="77" t="s">
        <v>7470</v>
      </c>
      <c r="AB2366" s="77" t="s">
        <v>7697</v>
      </c>
      <c r="AC2366" s="82" t="s">
        <v>7716</v>
      </c>
      <c r="AD2366" s="77" t="s">
        <v>7745</v>
      </c>
      <c r="AE2366" s="80" t="str">
        <f>HYPERLINK("https://twitter.com/investspace3/status/1634615582799667205")</f>
        <v>https://twitter.com/investspace3/status/1634615582799667205</v>
      </c>
      <c r="AF2366" s="79">
        <v>44996.751145833332</v>
      </c>
      <c r="AG2366" s="85">
        <v>44996</v>
      </c>
      <c r="AH2366" s="82" t="s">
        <v>9862</v>
      </c>
      <c r="AI2366" s="77" t="b">
        <v>0</v>
      </c>
      <c r="AJ2366" s="77"/>
      <c r="AK2366" s="77"/>
      <c r="AL2366" s="77"/>
      <c r="AM2366" s="77"/>
      <c r="AN2366" s="77"/>
      <c r="AO2366" s="77"/>
      <c r="AP2366" s="77"/>
      <c r="AQ2366" s="77" t="s">
        <v>11977</v>
      </c>
      <c r="AR2366" s="77">
        <v>30066</v>
      </c>
      <c r="AS2366" s="77"/>
      <c r="AT2366" s="77"/>
      <c r="AU2366" s="77">
        <v>21</v>
      </c>
      <c r="AV2366" s="80" t="str">
        <f>HYPERLINK("https://pbs.twimg.com/ext_tw_video_thumb/1634615535873785857/pu/img/2rnquwb0CCwblxp8.jpg")</f>
        <v>https://pbs.twimg.com/ext_tw_video_thumb/1634615535873785857/pu/img/2rnquwb0CCwblxp8.jpg</v>
      </c>
      <c r="AW2366" s="82" t="s">
        <v>14524</v>
      </c>
      <c r="AX2366" s="82" t="s">
        <v>14524</v>
      </c>
      <c r="AY2366" s="77"/>
      <c r="AZ2366" s="82" t="s">
        <v>15804</v>
      </c>
      <c r="BA2366" s="82" t="s">
        <v>15804</v>
      </c>
      <c r="BB2366" s="82" t="s">
        <v>15804</v>
      </c>
      <c r="BC2366" s="82" t="s">
        <v>14524</v>
      </c>
      <c r="BD2366" s="82" t="s">
        <v>16535</v>
      </c>
      <c r="BE2366" s="77"/>
      <c r="BF2366" s="77"/>
      <c r="BG2366" s="77"/>
      <c r="BH2366" s="77"/>
      <c r="BI2366" s="77"/>
    </row>
    <row r="2367" spans="1:61" x14ac:dyDescent="0.25">
      <c r="A2367" s="62" t="s">
        <v>919</v>
      </c>
      <c r="B2367" s="62" t="s">
        <v>919</v>
      </c>
      <c r="C2367" s="63"/>
      <c r="D2367" s="64"/>
      <c r="E2367" s="65"/>
      <c r="F2367" s="66"/>
      <c r="G2367" s="63"/>
      <c r="H2367" s="67"/>
      <c r="I2367" s="68"/>
      <c r="J2367" s="68"/>
      <c r="K2367" s="32"/>
      <c r="L2367" s="75">
        <v>2367</v>
      </c>
      <c r="M2367" s="75"/>
      <c r="N2367" s="70"/>
      <c r="O2367" s="77" t="s">
        <v>179</v>
      </c>
      <c r="P2367" s="79">
        <v>45007.626064814816</v>
      </c>
      <c r="Q2367" s="77" t="s">
        <v>3412</v>
      </c>
      <c r="R2367" s="77">
        <v>0</v>
      </c>
      <c r="S2367" s="77">
        <v>0</v>
      </c>
      <c r="T2367" s="77">
        <v>0</v>
      </c>
      <c r="U2367" s="77">
        <v>0</v>
      </c>
      <c r="V2367" s="77">
        <v>26</v>
      </c>
      <c r="W2367" s="82" t="s">
        <v>5585</v>
      </c>
      <c r="X2367" s="77"/>
      <c r="Y2367" s="77"/>
      <c r="Z2367" s="77"/>
      <c r="AA2367" s="77" t="s">
        <v>7471</v>
      </c>
      <c r="AB2367" s="77" t="s">
        <v>7697</v>
      </c>
      <c r="AC2367" s="82" t="s">
        <v>7716</v>
      </c>
      <c r="AD2367" s="77" t="s">
        <v>7745</v>
      </c>
      <c r="AE2367" s="80" t="str">
        <f>HYPERLINK("https://twitter.com/investspace3/status/1638556523289882628")</f>
        <v>https://twitter.com/investspace3/status/1638556523289882628</v>
      </c>
      <c r="AF2367" s="79">
        <v>45007.626064814816</v>
      </c>
      <c r="AG2367" s="85">
        <v>45007</v>
      </c>
      <c r="AH2367" s="82" t="s">
        <v>9863</v>
      </c>
      <c r="AI2367" s="77" t="b">
        <v>0</v>
      </c>
      <c r="AJ2367" s="77"/>
      <c r="AK2367" s="77"/>
      <c r="AL2367" s="77"/>
      <c r="AM2367" s="77"/>
      <c r="AN2367" s="77"/>
      <c r="AO2367" s="77"/>
      <c r="AP2367" s="77"/>
      <c r="AQ2367" s="77" t="s">
        <v>11978</v>
      </c>
      <c r="AR2367" s="77">
        <v>67433</v>
      </c>
      <c r="AS2367" s="77"/>
      <c r="AT2367" s="77"/>
      <c r="AU2367" s="77">
        <v>7</v>
      </c>
      <c r="AV2367" s="80" t="str">
        <f>HYPERLINK("https://pbs.twimg.com/ext_tw_video_thumb/1638556472513556483/pu/img/g2IHM_9vxTVGiqbV.jpg")</f>
        <v>https://pbs.twimg.com/ext_tw_video_thumb/1638556472513556483/pu/img/g2IHM_9vxTVGiqbV.jpg</v>
      </c>
      <c r="AW2367" s="82" t="s">
        <v>14525</v>
      </c>
      <c r="AX2367" s="82" t="s">
        <v>14525</v>
      </c>
      <c r="AY2367" s="77"/>
      <c r="AZ2367" s="82" t="s">
        <v>15804</v>
      </c>
      <c r="BA2367" s="82" t="s">
        <v>15804</v>
      </c>
      <c r="BB2367" s="82" t="s">
        <v>15804</v>
      </c>
      <c r="BC2367" s="82" t="s">
        <v>14525</v>
      </c>
      <c r="BD2367" s="82" t="s">
        <v>16535</v>
      </c>
      <c r="BE2367" s="77"/>
      <c r="BF2367" s="77"/>
      <c r="BG2367" s="77"/>
      <c r="BH2367" s="77"/>
      <c r="BI2367" s="77"/>
    </row>
    <row r="2368" spans="1:61" x14ac:dyDescent="0.25">
      <c r="A2368" s="62" t="s">
        <v>919</v>
      </c>
      <c r="B2368" s="62" t="s">
        <v>919</v>
      </c>
      <c r="C2368" s="63"/>
      <c r="D2368" s="64"/>
      <c r="E2368" s="65"/>
      <c r="F2368" s="66"/>
      <c r="G2368" s="63"/>
      <c r="H2368" s="67"/>
      <c r="I2368" s="68"/>
      <c r="J2368" s="68"/>
      <c r="K2368" s="32"/>
      <c r="L2368" s="75">
        <v>2368</v>
      </c>
      <c r="M2368" s="75"/>
      <c r="N2368" s="70"/>
      <c r="O2368" s="77" t="s">
        <v>179</v>
      </c>
      <c r="P2368" s="79">
        <v>45006.839687500003</v>
      </c>
      <c r="Q2368" s="77" t="s">
        <v>3413</v>
      </c>
      <c r="R2368" s="77">
        <v>0</v>
      </c>
      <c r="S2368" s="77">
        <v>0</v>
      </c>
      <c r="T2368" s="77">
        <v>0</v>
      </c>
      <c r="U2368" s="77">
        <v>0</v>
      </c>
      <c r="V2368" s="77">
        <v>2</v>
      </c>
      <c r="W2368" s="82" t="s">
        <v>5586</v>
      </c>
      <c r="X2368" s="80" t="str">
        <f>HYPERLINK("https://www.youtube.com/watch?v=kuYSAG3qKzA")</f>
        <v>https://www.youtube.com/watch?v=kuYSAG3qKzA</v>
      </c>
      <c r="Y2368" s="77" t="s">
        <v>6006</v>
      </c>
      <c r="Z2368" s="77"/>
      <c r="AA2368" s="77"/>
      <c r="AB2368" s="77"/>
      <c r="AC2368" s="82" t="s">
        <v>7718</v>
      </c>
      <c r="AD2368" s="77" t="s">
        <v>7745</v>
      </c>
      <c r="AE2368" s="80" t="str">
        <f>HYPERLINK("https://twitter.com/investspace3/status/1638271547025641488")</f>
        <v>https://twitter.com/investspace3/status/1638271547025641488</v>
      </c>
      <c r="AF2368" s="79">
        <v>45006.839687500003</v>
      </c>
      <c r="AG2368" s="85">
        <v>45006</v>
      </c>
      <c r="AH2368" s="82" t="s">
        <v>9864</v>
      </c>
      <c r="AI2368" s="77" t="b">
        <v>0</v>
      </c>
      <c r="AJ2368" s="77"/>
      <c r="AK2368" s="77"/>
      <c r="AL2368" s="77"/>
      <c r="AM2368" s="77"/>
      <c r="AN2368" s="77"/>
      <c r="AO2368" s="77"/>
      <c r="AP2368" s="77"/>
      <c r="AQ2368" s="77"/>
      <c r="AR2368" s="77"/>
      <c r="AS2368" s="77"/>
      <c r="AT2368" s="77"/>
      <c r="AU2368" s="77"/>
      <c r="AV2368" s="80" t="str">
        <f>HYPERLINK("https://pbs.twimg.com/profile_images/1658616631122186243/ytPOxRv2_normal.jpg")</f>
        <v>https://pbs.twimg.com/profile_images/1658616631122186243/ytPOxRv2_normal.jpg</v>
      </c>
      <c r="AW2368" s="82" t="s">
        <v>14526</v>
      </c>
      <c r="AX2368" s="82" t="s">
        <v>14526</v>
      </c>
      <c r="AY2368" s="77"/>
      <c r="AZ2368" s="82" t="s">
        <v>15804</v>
      </c>
      <c r="BA2368" s="82" t="s">
        <v>15804</v>
      </c>
      <c r="BB2368" s="82" t="s">
        <v>15804</v>
      </c>
      <c r="BC2368" s="82" t="s">
        <v>14526</v>
      </c>
      <c r="BD2368" s="82" t="s">
        <v>16535</v>
      </c>
      <c r="BE2368" s="77"/>
      <c r="BF2368" s="77"/>
      <c r="BG2368" s="77"/>
      <c r="BH2368" s="77"/>
      <c r="BI2368" s="77"/>
    </row>
    <row r="2369" spans="1:61" x14ac:dyDescent="0.25">
      <c r="A2369" s="62" t="s">
        <v>919</v>
      </c>
      <c r="B2369" s="62" t="s">
        <v>919</v>
      </c>
      <c r="C2369" s="63"/>
      <c r="D2369" s="64"/>
      <c r="E2369" s="65"/>
      <c r="F2369" s="66"/>
      <c r="G2369" s="63"/>
      <c r="H2369" s="67"/>
      <c r="I2369" s="68"/>
      <c r="J2369" s="68"/>
      <c r="K2369" s="32"/>
      <c r="L2369" s="75">
        <v>2369</v>
      </c>
      <c r="M2369" s="75"/>
      <c r="N2369" s="70"/>
      <c r="O2369" s="77" t="s">
        <v>179</v>
      </c>
      <c r="P2369" s="79">
        <v>45006.625428240739</v>
      </c>
      <c r="Q2369" s="77" t="s">
        <v>3414</v>
      </c>
      <c r="R2369" s="77">
        <v>0</v>
      </c>
      <c r="S2369" s="77">
        <v>0</v>
      </c>
      <c r="T2369" s="77">
        <v>0</v>
      </c>
      <c r="U2369" s="77">
        <v>0</v>
      </c>
      <c r="V2369" s="77">
        <v>43</v>
      </c>
      <c r="W2369" s="82" t="s">
        <v>5585</v>
      </c>
      <c r="X2369" s="77"/>
      <c r="Y2369" s="77"/>
      <c r="Z2369" s="77"/>
      <c r="AA2369" s="77" t="s">
        <v>7472</v>
      </c>
      <c r="AB2369" s="77" t="s">
        <v>7697</v>
      </c>
      <c r="AC2369" s="82" t="s">
        <v>7716</v>
      </c>
      <c r="AD2369" s="77" t="s">
        <v>7745</v>
      </c>
      <c r="AE2369" s="80" t="str">
        <f>HYPERLINK("https://twitter.com/investspace3/status/1638193903563075588")</f>
        <v>https://twitter.com/investspace3/status/1638193903563075588</v>
      </c>
      <c r="AF2369" s="79">
        <v>45006.625428240739</v>
      </c>
      <c r="AG2369" s="85">
        <v>45006</v>
      </c>
      <c r="AH2369" s="82" t="s">
        <v>9865</v>
      </c>
      <c r="AI2369" s="77" t="b">
        <v>0</v>
      </c>
      <c r="AJ2369" s="77"/>
      <c r="AK2369" s="77"/>
      <c r="AL2369" s="77"/>
      <c r="AM2369" s="77"/>
      <c r="AN2369" s="77"/>
      <c r="AO2369" s="77"/>
      <c r="AP2369" s="77"/>
      <c r="AQ2369" s="77" t="s">
        <v>11979</v>
      </c>
      <c r="AR2369" s="77">
        <v>52833</v>
      </c>
      <c r="AS2369" s="77"/>
      <c r="AT2369" s="77"/>
      <c r="AU2369" s="77">
        <v>9</v>
      </c>
      <c r="AV2369" s="80" t="str">
        <f>HYPERLINK("https://pbs.twimg.com/ext_tw_video_thumb/1638193855693553664/pu/img/MEi9_VuHq3ts7VWj.jpg")</f>
        <v>https://pbs.twimg.com/ext_tw_video_thumb/1638193855693553664/pu/img/MEi9_VuHq3ts7VWj.jpg</v>
      </c>
      <c r="AW2369" s="82" t="s">
        <v>14527</v>
      </c>
      <c r="AX2369" s="82" t="s">
        <v>14527</v>
      </c>
      <c r="AY2369" s="77"/>
      <c r="AZ2369" s="82" t="s">
        <v>15804</v>
      </c>
      <c r="BA2369" s="82" t="s">
        <v>15804</v>
      </c>
      <c r="BB2369" s="82" t="s">
        <v>15804</v>
      </c>
      <c r="BC2369" s="82" t="s">
        <v>14527</v>
      </c>
      <c r="BD2369" s="82" t="s">
        <v>16535</v>
      </c>
      <c r="BE2369" s="77"/>
      <c r="BF2369" s="77"/>
      <c r="BG2369" s="77"/>
      <c r="BH2369" s="77"/>
      <c r="BI2369" s="77"/>
    </row>
    <row r="2370" spans="1:61" x14ac:dyDescent="0.25">
      <c r="A2370" s="62" t="s">
        <v>919</v>
      </c>
      <c r="B2370" s="62" t="s">
        <v>919</v>
      </c>
      <c r="C2370" s="63"/>
      <c r="D2370" s="64"/>
      <c r="E2370" s="65"/>
      <c r="F2370" s="66"/>
      <c r="G2370" s="63"/>
      <c r="H2370" s="67"/>
      <c r="I2370" s="68"/>
      <c r="J2370" s="68"/>
      <c r="K2370" s="32"/>
      <c r="L2370" s="75">
        <v>2370</v>
      </c>
      <c r="M2370" s="75"/>
      <c r="N2370" s="70"/>
      <c r="O2370" s="77" t="s">
        <v>179</v>
      </c>
      <c r="P2370" s="79">
        <v>45003.857881944445</v>
      </c>
      <c r="Q2370" s="77" t="s">
        <v>3415</v>
      </c>
      <c r="R2370" s="77">
        <v>0</v>
      </c>
      <c r="S2370" s="77">
        <v>0</v>
      </c>
      <c r="T2370" s="77">
        <v>0</v>
      </c>
      <c r="U2370" s="77">
        <v>0</v>
      </c>
      <c r="V2370" s="77">
        <v>3</v>
      </c>
      <c r="W2370" s="82" t="s">
        <v>5587</v>
      </c>
      <c r="X2370" s="80" t="str">
        <f>HYPERLINK("https://www.youtube.com/watch?v=47oZRTCkdrU")</f>
        <v>https://www.youtube.com/watch?v=47oZRTCkdrU</v>
      </c>
      <c r="Y2370" s="77" t="s">
        <v>6006</v>
      </c>
      <c r="Z2370" s="77"/>
      <c r="AA2370" s="77"/>
      <c r="AB2370" s="77"/>
      <c r="AC2370" s="82" t="s">
        <v>7718</v>
      </c>
      <c r="AD2370" s="77" t="s">
        <v>7745</v>
      </c>
      <c r="AE2370" s="80" t="str">
        <f>HYPERLINK("https://twitter.com/investspace3/status/1637190979789758464")</f>
        <v>https://twitter.com/investspace3/status/1637190979789758464</v>
      </c>
      <c r="AF2370" s="79">
        <v>45003.857881944445</v>
      </c>
      <c r="AG2370" s="85">
        <v>45003</v>
      </c>
      <c r="AH2370" s="82" t="s">
        <v>9866</v>
      </c>
      <c r="AI2370" s="77" t="b">
        <v>0</v>
      </c>
      <c r="AJ2370" s="77"/>
      <c r="AK2370" s="77"/>
      <c r="AL2370" s="77"/>
      <c r="AM2370" s="77"/>
      <c r="AN2370" s="77"/>
      <c r="AO2370" s="77"/>
      <c r="AP2370" s="77"/>
      <c r="AQ2370" s="77"/>
      <c r="AR2370" s="77"/>
      <c r="AS2370" s="77"/>
      <c r="AT2370" s="77"/>
      <c r="AU2370" s="77"/>
      <c r="AV2370" s="80" t="str">
        <f>HYPERLINK("https://pbs.twimg.com/profile_images/1658616631122186243/ytPOxRv2_normal.jpg")</f>
        <v>https://pbs.twimg.com/profile_images/1658616631122186243/ytPOxRv2_normal.jpg</v>
      </c>
      <c r="AW2370" s="82" t="s">
        <v>14528</v>
      </c>
      <c r="AX2370" s="82" t="s">
        <v>14528</v>
      </c>
      <c r="AY2370" s="77"/>
      <c r="AZ2370" s="82" t="s">
        <v>15804</v>
      </c>
      <c r="BA2370" s="82" t="s">
        <v>15804</v>
      </c>
      <c r="BB2370" s="82" t="s">
        <v>15804</v>
      </c>
      <c r="BC2370" s="82" t="s">
        <v>14528</v>
      </c>
      <c r="BD2370" s="82" t="s">
        <v>16535</v>
      </c>
      <c r="BE2370" s="77"/>
      <c r="BF2370" s="77"/>
      <c r="BG2370" s="77"/>
      <c r="BH2370" s="77"/>
      <c r="BI2370" s="77"/>
    </row>
    <row r="2371" spans="1:61" x14ac:dyDescent="0.25">
      <c r="A2371" s="62" t="s">
        <v>919</v>
      </c>
      <c r="B2371" s="62" t="s">
        <v>919</v>
      </c>
      <c r="C2371" s="63"/>
      <c r="D2371" s="64"/>
      <c r="E2371" s="65"/>
      <c r="F2371" s="66"/>
      <c r="G2371" s="63"/>
      <c r="H2371" s="67"/>
      <c r="I2371" s="68"/>
      <c r="J2371" s="68"/>
      <c r="K2371" s="32"/>
      <c r="L2371" s="75">
        <v>2371</v>
      </c>
      <c r="M2371" s="75"/>
      <c r="N2371" s="70"/>
      <c r="O2371" s="77" t="s">
        <v>179</v>
      </c>
      <c r="P2371" s="79">
        <v>45003.625335648147</v>
      </c>
      <c r="Q2371" s="77" t="s">
        <v>3416</v>
      </c>
      <c r="R2371" s="77">
        <v>0</v>
      </c>
      <c r="S2371" s="77">
        <v>0</v>
      </c>
      <c r="T2371" s="77">
        <v>0</v>
      </c>
      <c r="U2371" s="77">
        <v>0</v>
      </c>
      <c r="V2371" s="77">
        <v>38</v>
      </c>
      <c r="W2371" s="82" t="s">
        <v>5588</v>
      </c>
      <c r="X2371" s="77"/>
      <c r="Y2371" s="77"/>
      <c r="Z2371" s="77"/>
      <c r="AA2371" s="77" t="s">
        <v>7473</v>
      </c>
      <c r="AB2371" s="77" t="s">
        <v>7697</v>
      </c>
      <c r="AC2371" s="82" t="s">
        <v>7716</v>
      </c>
      <c r="AD2371" s="77" t="s">
        <v>7745</v>
      </c>
      <c r="AE2371" s="80" t="str">
        <f>HYPERLINK("https://twitter.com/investspace3/status/1637106708525854720")</f>
        <v>https://twitter.com/investspace3/status/1637106708525854720</v>
      </c>
      <c r="AF2371" s="79">
        <v>45003.625335648147</v>
      </c>
      <c r="AG2371" s="85">
        <v>45003</v>
      </c>
      <c r="AH2371" s="82" t="s">
        <v>9867</v>
      </c>
      <c r="AI2371" s="77" t="b">
        <v>0</v>
      </c>
      <c r="AJ2371" s="77"/>
      <c r="AK2371" s="77"/>
      <c r="AL2371" s="77"/>
      <c r="AM2371" s="77"/>
      <c r="AN2371" s="77"/>
      <c r="AO2371" s="77"/>
      <c r="AP2371" s="77"/>
      <c r="AQ2371" s="77" t="s">
        <v>11980</v>
      </c>
      <c r="AR2371" s="77">
        <v>33566</v>
      </c>
      <c r="AS2371" s="77"/>
      <c r="AT2371" s="77"/>
      <c r="AU2371" s="77">
        <v>9</v>
      </c>
      <c r="AV2371" s="80" t="str">
        <f>HYPERLINK("https://pbs.twimg.com/ext_tw_video_thumb/1637106660656259075/pu/img/1exYd7iDlM1TqpFB.jpg")</f>
        <v>https://pbs.twimg.com/ext_tw_video_thumb/1637106660656259075/pu/img/1exYd7iDlM1TqpFB.jpg</v>
      </c>
      <c r="AW2371" s="82" t="s">
        <v>14529</v>
      </c>
      <c r="AX2371" s="82" t="s">
        <v>14529</v>
      </c>
      <c r="AY2371" s="77"/>
      <c r="AZ2371" s="82" t="s">
        <v>15804</v>
      </c>
      <c r="BA2371" s="82" t="s">
        <v>15804</v>
      </c>
      <c r="BB2371" s="82" t="s">
        <v>15804</v>
      </c>
      <c r="BC2371" s="82" t="s">
        <v>14529</v>
      </c>
      <c r="BD2371" s="82" t="s">
        <v>16535</v>
      </c>
      <c r="BE2371" s="77"/>
      <c r="BF2371" s="77"/>
      <c r="BG2371" s="77"/>
      <c r="BH2371" s="77"/>
      <c r="BI2371" s="77"/>
    </row>
    <row r="2372" spans="1:61" x14ac:dyDescent="0.25">
      <c r="A2372" s="62" t="s">
        <v>919</v>
      </c>
      <c r="B2372" s="62" t="s">
        <v>919</v>
      </c>
      <c r="C2372" s="63"/>
      <c r="D2372" s="64"/>
      <c r="E2372" s="65"/>
      <c r="F2372" s="66"/>
      <c r="G2372" s="63"/>
      <c r="H2372" s="67"/>
      <c r="I2372" s="68"/>
      <c r="J2372" s="68"/>
      <c r="K2372" s="32"/>
      <c r="L2372" s="75">
        <v>2372</v>
      </c>
      <c r="M2372" s="75"/>
      <c r="N2372" s="70"/>
      <c r="O2372" s="77" t="s">
        <v>179</v>
      </c>
      <c r="P2372" s="79">
        <v>44994.835046296299</v>
      </c>
      <c r="Q2372" s="77" t="s">
        <v>3417</v>
      </c>
      <c r="R2372" s="77">
        <v>0</v>
      </c>
      <c r="S2372" s="77">
        <v>0</v>
      </c>
      <c r="T2372" s="77">
        <v>0</v>
      </c>
      <c r="U2372" s="77">
        <v>0</v>
      </c>
      <c r="V2372" s="77">
        <v>2</v>
      </c>
      <c r="W2372" s="82" t="s">
        <v>5589</v>
      </c>
      <c r="X2372" s="80" t="str">
        <f>HYPERLINK("https://www.youtube.com/watch?v=-sGuw0SPGTM")</f>
        <v>https://www.youtube.com/watch?v=-sGuw0SPGTM</v>
      </c>
      <c r="Y2372" s="77" t="s">
        <v>6006</v>
      </c>
      <c r="Z2372" s="77"/>
      <c r="AA2372" s="77"/>
      <c r="AB2372" s="77"/>
      <c r="AC2372" s="82" t="s">
        <v>7718</v>
      </c>
      <c r="AD2372" s="77" t="s">
        <v>7745</v>
      </c>
      <c r="AE2372" s="80" t="str">
        <f>HYPERLINK("https://twitter.com/investspace3/status/1633921212584988672")</f>
        <v>https://twitter.com/investspace3/status/1633921212584988672</v>
      </c>
      <c r="AF2372" s="79">
        <v>44994.835046296299</v>
      </c>
      <c r="AG2372" s="85">
        <v>44994</v>
      </c>
      <c r="AH2372" s="82" t="s">
        <v>9868</v>
      </c>
      <c r="AI2372" s="77" t="b">
        <v>0</v>
      </c>
      <c r="AJ2372" s="77"/>
      <c r="AK2372" s="77"/>
      <c r="AL2372" s="77"/>
      <c r="AM2372" s="77"/>
      <c r="AN2372" s="77"/>
      <c r="AO2372" s="77"/>
      <c r="AP2372" s="77"/>
      <c r="AQ2372" s="77"/>
      <c r="AR2372" s="77"/>
      <c r="AS2372" s="77"/>
      <c r="AT2372" s="77"/>
      <c r="AU2372" s="77"/>
      <c r="AV2372" s="80" t="str">
        <f>HYPERLINK("https://pbs.twimg.com/profile_images/1658616631122186243/ytPOxRv2_normal.jpg")</f>
        <v>https://pbs.twimg.com/profile_images/1658616631122186243/ytPOxRv2_normal.jpg</v>
      </c>
      <c r="AW2372" s="82" t="s">
        <v>14530</v>
      </c>
      <c r="AX2372" s="82" t="s">
        <v>14530</v>
      </c>
      <c r="AY2372" s="77"/>
      <c r="AZ2372" s="82" t="s">
        <v>15804</v>
      </c>
      <c r="BA2372" s="82" t="s">
        <v>15804</v>
      </c>
      <c r="BB2372" s="82" t="s">
        <v>15804</v>
      </c>
      <c r="BC2372" s="82" t="s">
        <v>14530</v>
      </c>
      <c r="BD2372" s="82" t="s">
        <v>16535</v>
      </c>
      <c r="BE2372" s="77"/>
      <c r="BF2372" s="77"/>
      <c r="BG2372" s="77"/>
      <c r="BH2372" s="77"/>
      <c r="BI2372" s="77"/>
    </row>
    <row r="2373" spans="1:61" x14ac:dyDescent="0.25">
      <c r="A2373" s="62" t="s">
        <v>920</v>
      </c>
      <c r="B2373" s="62" t="s">
        <v>920</v>
      </c>
      <c r="C2373" s="63"/>
      <c r="D2373" s="64"/>
      <c r="E2373" s="65"/>
      <c r="F2373" s="66"/>
      <c r="G2373" s="63"/>
      <c r="H2373" s="67"/>
      <c r="I2373" s="68"/>
      <c r="J2373" s="68"/>
      <c r="K2373" s="32"/>
      <c r="L2373" s="75">
        <v>2373</v>
      </c>
      <c r="M2373" s="75"/>
      <c r="N2373" s="70"/>
      <c r="O2373" s="77" t="s">
        <v>179</v>
      </c>
      <c r="P2373" s="79">
        <v>45055.823182870372</v>
      </c>
      <c r="Q2373" s="77" t="s">
        <v>3418</v>
      </c>
      <c r="R2373" s="77">
        <v>0</v>
      </c>
      <c r="S2373" s="77">
        <v>0</v>
      </c>
      <c r="T2373" s="77">
        <v>0</v>
      </c>
      <c r="U2373" s="77">
        <v>0</v>
      </c>
      <c r="V2373" s="77">
        <v>19</v>
      </c>
      <c r="W2373" s="82" t="s">
        <v>5590</v>
      </c>
      <c r="X2373" s="77"/>
      <c r="Y2373" s="77"/>
      <c r="Z2373" s="77"/>
      <c r="AA2373" s="77"/>
      <c r="AB2373" s="77"/>
      <c r="AC2373" s="82" t="s">
        <v>7706</v>
      </c>
      <c r="AD2373" s="77" t="s">
        <v>7745</v>
      </c>
      <c r="AE2373" s="80" t="str">
        <f>HYPERLINK("https://twitter.com/pablodesanctis/status/1656022574667636779")</f>
        <v>https://twitter.com/pablodesanctis/status/1656022574667636779</v>
      </c>
      <c r="AF2373" s="79">
        <v>45055.823182870372</v>
      </c>
      <c r="AG2373" s="85">
        <v>45055</v>
      </c>
      <c r="AH2373" s="82" t="s">
        <v>9869</v>
      </c>
      <c r="AI2373" s="77"/>
      <c r="AJ2373" s="77"/>
      <c r="AK2373" s="77"/>
      <c r="AL2373" s="77"/>
      <c r="AM2373" s="77"/>
      <c r="AN2373" s="77"/>
      <c r="AO2373" s="77"/>
      <c r="AP2373" s="77"/>
      <c r="AQ2373" s="77"/>
      <c r="AR2373" s="77"/>
      <c r="AS2373" s="77"/>
      <c r="AT2373" s="77"/>
      <c r="AU2373" s="77"/>
      <c r="AV2373" s="80" t="str">
        <f>HYPERLINK("https://pbs.twimg.com/profile_images/1634163850965659651/LAOxMFcJ_normal.jpg")</f>
        <v>https://pbs.twimg.com/profile_images/1634163850965659651/LAOxMFcJ_normal.jpg</v>
      </c>
      <c r="AW2373" s="82" t="s">
        <v>14531</v>
      </c>
      <c r="AX2373" s="82" t="s">
        <v>14531</v>
      </c>
      <c r="AY2373" s="77"/>
      <c r="AZ2373" s="82" t="s">
        <v>15804</v>
      </c>
      <c r="BA2373" s="82" t="s">
        <v>15804</v>
      </c>
      <c r="BB2373" s="82" t="s">
        <v>15804</v>
      </c>
      <c r="BC2373" s="82" t="s">
        <v>14531</v>
      </c>
      <c r="BD2373" s="77">
        <v>151288771</v>
      </c>
      <c r="BE2373" s="77"/>
      <c r="BF2373" s="77"/>
      <c r="BG2373" s="77"/>
      <c r="BH2373" s="77"/>
      <c r="BI2373" s="77"/>
    </row>
    <row r="2374" spans="1:61" x14ac:dyDescent="0.25">
      <c r="A2374" s="62" t="s">
        <v>921</v>
      </c>
      <c r="B2374" s="62" t="s">
        <v>921</v>
      </c>
      <c r="C2374" s="63"/>
      <c r="D2374" s="64"/>
      <c r="E2374" s="65"/>
      <c r="F2374" s="66"/>
      <c r="G2374" s="63"/>
      <c r="H2374" s="67"/>
      <c r="I2374" s="68"/>
      <c r="J2374" s="68"/>
      <c r="K2374" s="32"/>
      <c r="L2374" s="75">
        <v>2374</v>
      </c>
      <c r="M2374" s="75"/>
      <c r="N2374" s="70"/>
      <c r="O2374" s="77" t="s">
        <v>1132</v>
      </c>
      <c r="P2374" s="79">
        <v>45003.789143518516</v>
      </c>
      <c r="Q2374" s="77" t="s">
        <v>3419</v>
      </c>
      <c r="R2374" s="77">
        <v>0</v>
      </c>
      <c r="S2374" s="77">
        <v>1</v>
      </c>
      <c r="T2374" s="77">
        <v>0</v>
      </c>
      <c r="U2374" s="77">
        <v>0</v>
      </c>
      <c r="V2374" s="77">
        <v>39</v>
      </c>
      <c r="W2374" s="82" t="s">
        <v>5591</v>
      </c>
      <c r="X2374" s="77"/>
      <c r="Y2374" s="77"/>
      <c r="Z2374" s="77"/>
      <c r="AA2374" s="77"/>
      <c r="AB2374" s="77"/>
      <c r="AC2374" s="82" t="s">
        <v>7705</v>
      </c>
      <c r="AD2374" s="77" t="s">
        <v>7745</v>
      </c>
      <c r="AE2374" s="80" t="str">
        <f>HYPERLINK("https://twitter.com/dompotiguaroct/status/1637166070392926210")</f>
        <v>https://twitter.com/dompotiguaroct/status/1637166070392926210</v>
      </c>
      <c r="AF2374" s="79">
        <v>45003.789143518516</v>
      </c>
      <c r="AG2374" s="85">
        <v>45003</v>
      </c>
      <c r="AH2374" s="82" t="s">
        <v>9870</v>
      </c>
      <c r="AI2374" s="77"/>
      <c r="AJ2374" s="77"/>
      <c r="AK2374" s="77"/>
      <c r="AL2374" s="77"/>
      <c r="AM2374" s="77"/>
      <c r="AN2374" s="77"/>
      <c r="AO2374" s="77"/>
      <c r="AP2374" s="77"/>
      <c r="AQ2374" s="77"/>
      <c r="AR2374" s="77"/>
      <c r="AS2374" s="77"/>
      <c r="AT2374" s="77"/>
      <c r="AU2374" s="77"/>
      <c r="AV2374" s="80" t="str">
        <f>HYPERLINK("https://pbs.twimg.com/profile_images/1695968794198282240/Tr2tPUjn_normal.jpg")</f>
        <v>https://pbs.twimg.com/profile_images/1695968794198282240/Tr2tPUjn_normal.jpg</v>
      </c>
      <c r="AW2374" s="82" t="s">
        <v>14532</v>
      </c>
      <c r="AX2374" s="82" t="s">
        <v>15557</v>
      </c>
      <c r="AY2374" s="82" t="s">
        <v>15784</v>
      </c>
      <c r="AZ2374" s="82" t="s">
        <v>16075</v>
      </c>
      <c r="BA2374" s="82" t="s">
        <v>15804</v>
      </c>
      <c r="BB2374" s="82" t="s">
        <v>15804</v>
      </c>
      <c r="BC2374" s="82" t="s">
        <v>16075</v>
      </c>
      <c r="BD2374" s="82" t="s">
        <v>15784</v>
      </c>
      <c r="BE2374" s="77"/>
      <c r="BF2374" s="77"/>
      <c r="BG2374" s="77"/>
      <c r="BH2374" s="77"/>
      <c r="BI2374" s="77"/>
    </row>
    <row r="2375" spans="1:61" x14ac:dyDescent="0.25">
      <c r="A2375" s="62" t="s">
        <v>922</v>
      </c>
      <c r="B2375" s="62" t="s">
        <v>1101</v>
      </c>
      <c r="C2375" s="63"/>
      <c r="D2375" s="64"/>
      <c r="E2375" s="65"/>
      <c r="F2375" s="66"/>
      <c r="G2375" s="63"/>
      <c r="H2375" s="67"/>
      <c r="I2375" s="68"/>
      <c r="J2375" s="68"/>
      <c r="K2375" s="32"/>
      <c r="L2375" s="75">
        <v>2375</v>
      </c>
      <c r="M2375" s="75"/>
      <c r="N2375" s="70"/>
      <c r="O2375" s="77" t="s">
        <v>1133</v>
      </c>
      <c r="P2375" s="79">
        <v>44995.85019675926</v>
      </c>
      <c r="Q2375" s="77" t="s">
        <v>3420</v>
      </c>
      <c r="R2375" s="77">
        <v>10</v>
      </c>
      <c r="S2375" s="77">
        <v>73</v>
      </c>
      <c r="T2375" s="77">
        <v>7</v>
      </c>
      <c r="U2375" s="77">
        <v>4</v>
      </c>
      <c r="V2375" s="77">
        <v>9897</v>
      </c>
      <c r="W2375" s="77"/>
      <c r="X2375" s="77"/>
      <c r="Y2375" s="77"/>
      <c r="Z2375" s="77" t="s">
        <v>1101</v>
      </c>
      <c r="AA2375" s="77" t="s">
        <v>7474</v>
      </c>
      <c r="AB2375" s="77" t="s">
        <v>7696</v>
      </c>
      <c r="AC2375" s="82" t="s">
        <v>7706</v>
      </c>
      <c r="AD2375" s="77" t="s">
        <v>7745</v>
      </c>
      <c r="AE2375" s="80" t="str">
        <f>HYPERLINK("https://twitter.com/bancocentralbr/status/1634289089364086806")</f>
        <v>https://twitter.com/bancocentralbr/status/1634289089364086806</v>
      </c>
      <c r="AF2375" s="79">
        <v>44995.85019675926</v>
      </c>
      <c r="AG2375" s="85">
        <v>44995</v>
      </c>
      <c r="AH2375" s="82" t="s">
        <v>9871</v>
      </c>
      <c r="AI2375" s="77" t="b">
        <v>0</v>
      </c>
      <c r="AJ2375" s="77"/>
      <c r="AK2375" s="77"/>
      <c r="AL2375" s="77"/>
      <c r="AM2375" s="77"/>
      <c r="AN2375" s="77"/>
      <c r="AO2375" s="77"/>
      <c r="AP2375" s="77"/>
      <c r="AQ2375" s="77" t="s">
        <v>11981</v>
      </c>
      <c r="AR2375" s="77"/>
      <c r="AS2375" s="77"/>
      <c r="AT2375" s="77"/>
      <c r="AU2375" s="77"/>
      <c r="AV2375" s="80" t="str">
        <f>HYPERLINK("https://pbs.twimg.com/media/Fq4nbjCWwAAeIlx.jpg")</f>
        <v>https://pbs.twimg.com/media/Fq4nbjCWwAAeIlx.jpg</v>
      </c>
      <c r="AW2375" s="82" t="s">
        <v>14533</v>
      </c>
      <c r="AX2375" s="82" t="s">
        <v>14533</v>
      </c>
      <c r="AY2375" s="77"/>
      <c r="AZ2375" s="82" t="s">
        <v>15804</v>
      </c>
      <c r="BA2375" s="82" t="s">
        <v>15804</v>
      </c>
      <c r="BB2375" s="82" t="s">
        <v>15804</v>
      </c>
      <c r="BC2375" s="82" t="s">
        <v>14533</v>
      </c>
      <c r="BD2375" s="77">
        <v>222157159</v>
      </c>
      <c r="BE2375" s="77"/>
      <c r="BF2375" s="77"/>
      <c r="BG2375" s="77"/>
      <c r="BH2375" s="77"/>
      <c r="BI2375" s="77"/>
    </row>
    <row r="2376" spans="1:61" x14ac:dyDescent="0.25">
      <c r="A2376" s="62" t="s">
        <v>922</v>
      </c>
      <c r="B2376" s="62" t="s">
        <v>1059</v>
      </c>
      <c r="C2376" s="63"/>
      <c r="D2376" s="64"/>
      <c r="E2376" s="65"/>
      <c r="F2376" s="66"/>
      <c r="G2376" s="63"/>
      <c r="H2376" s="67"/>
      <c r="I2376" s="68"/>
      <c r="J2376" s="68"/>
      <c r="K2376" s="32"/>
      <c r="L2376" s="75">
        <v>2376</v>
      </c>
      <c r="M2376" s="75"/>
      <c r="N2376" s="70"/>
      <c r="O2376" s="77" t="s">
        <v>1136</v>
      </c>
      <c r="P2376" s="79">
        <v>45007.750706018516</v>
      </c>
      <c r="Q2376" s="77" t="s">
        <v>3421</v>
      </c>
      <c r="R2376" s="77">
        <v>1</v>
      </c>
      <c r="S2376" s="77">
        <v>4</v>
      </c>
      <c r="T2376" s="77">
        <v>1</v>
      </c>
      <c r="U2376" s="77">
        <v>0</v>
      </c>
      <c r="V2376" s="77">
        <v>1949</v>
      </c>
      <c r="W2376" s="82" t="s">
        <v>4259</v>
      </c>
      <c r="X2376" s="77"/>
      <c r="Y2376" s="77"/>
      <c r="Z2376" s="77" t="s">
        <v>6121</v>
      </c>
      <c r="AA2376" s="77"/>
      <c r="AB2376" s="77"/>
      <c r="AC2376" s="82" t="s">
        <v>7706</v>
      </c>
      <c r="AD2376" s="77" t="s">
        <v>7745</v>
      </c>
      <c r="AE2376" s="80" t="str">
        <f>HYPERLINK("https://twitter.com/bancocentralbr/status/1638601690067640332")</f>
        <v>https://twitter.com/bancocentralbr/status/1638601690067640332</v>
      </c>
      <c r="AF2376" s="79">
        <v>45007.750706018516</v>
      </c>
      <c r="AG2376" s="85">
        <v>45007</v>
      </c>
      <c r="AH2376" s="82" t="s">
        <v>9680</v>
      </c>
      <c r="AI2376" s="77"/>
      <c r="AJ2376" s="77"/>
      <c r="AK2376" s="77"/>
      <c r="AL2376" s="77"/>
      <c r="AM2376" s="77"/>
      <c r="AN2376" s="77"/>
      <c r="AO2376" s="77"/>
      <c r="AP2376" s="77"/>
      <c r="AQ2376" s="77"/>
      <c r="AR2376" s="77"/>
      <c r="AS2376" s="77"/>
      <c r="AT2376" s="77"/>
      <c r="AU2376" s="77"/>
      <c r="AV2376" s="80" t="str">
        <f>HYPERLINK("https://pbs.twimg.com/profile_images/1674371511996628993/reGcyxoU_normal.jpg")</f>
        <v>https://pbs.twimg.com/profile_images/1674371511996628993/reGcyxoU_normal.jpg</v>
      </c>
      <c r="AW2376" s="82" t="s">
        <v>14534</v>
      </c>
      <c r="AX2376" s="82" t="s">
        <v>15558</v>
      </c>
      <c r="AY2376" s="82" t="s">
        <v>15785</v>
      </c>
      <c r="AZ2376" s="82" t="s">
        <v>16076</v>
      </c>
      <c r="BA2376" s="82" t="s">
        <v>15804</v>
      </c>
      <c r="BB2376" s="82" t="s">
        <v>15804</v>
      </c>
      <c r="BC2376" s="82" t="s">
        <v>16076</v>
      </c>
      <c r="BD2376" s="77">
        <v>222157159</v>
      </c>
      <c r="BE2376" s="77"/>
      <c r="BF2376" s="77"/>
      <c r="BG2376" s="77"/>
      <c r="BH2376" s="77"/>
      <c r="BI2376" s="77"/>
    </row>
    <row r="2377" spans="1:61" x14ac:dyDescent="0.25">
      <c r="A2377" s="62" t="s">
        <v>922</v>
      </c>
      <c r="B2377" s="62" t="s">
        <v>1059</v>
      </c>
      <c r="C2377" s="63"/>
      <c r="D2377" s="64"/>
      <c r="E2377" s="65"/>
      <c r="F2377" s="66"/>
      <c r="G2377" s="63"/>
      <c r="H2377" s="67"/>
      <c r="I2377" s="68"/>
      <c r="J2377" s="68"/>
      <c r="K2377" s="32"/>
      <c r="L2377" s="75">
        <v>2377</v>
      </c>
      <c r="M2377" s="75"/>
      <c r="N2377" s="70"/>
      <c r="O2377" s="77" t="s">
        <v>1136</v>
      </c>
      <c r="P2377" s="79">
        <v>45161.8437037037</v>
      </c>
      <c r="Q2377" s="77" t="s">
        <v>3422</v>
      </c>
      <c r="R2377" s="77">
        <v>0</v>
      </c>
      <c r="S2377" s="77">
        <v>7</v>
      </c>
      <c r="T2377" s="77">
        <v>1</v>
      </c>
      <c r="U2377" s="77">
        <v>0</v>
      </c>
      <c r="V2377" s="77">
        <v>1420</v>
      </c>
      <c r="W2377" s="82" t="s">
        <v>5592</v>
      </c>
      <c r="X2377" s="77"/>
      <c r="Y2377" s="77"/>
      <c r="Z2377" s="77" t="s">
        <v>6144</v>
      </c>
      <c r="AA2377" s="77"/>
      <c r="AB2377" s="77"/>
      <c r="AC2377" s="82" t="s">
        <v>7706</v>
      </c>
      <c r="AD2377" s="77" t="s">
        <v>7745</v>
      </c>
      <c r="AE2377" s="80" t="str">
        <f>HYPERLINK("https://twitter.com/bancocentralbr/status/1694443122195853562")</f>
        <v>https://twitter.com/bancocentralbr/status/1694443122195853562</v>
      </c>
      <c r="AF2377" s="79">
        <v>45161.8437037037</v>
      </c>
      <c r="AG2377" s="85">
        <v>45161</v>
      </c>
      <c r="AH2377" s="82" t="s">
        <v>9872</v>
      </c>
      <c r="AI2377" s="77"/>
      <c r="AJ2377" s="77"/>
      <c r="AK2377" s="77"/>
      <c r="AL2377" s="77"/>
      <c r="AM2377" s="77"/>
      <c r="AN2377" s="77"/>
      <c r="AO2377" s="77"/>
      <c r="AP2377" s="77"/>
      <c r="AQ2377" s="77"/>
      <c r="AR2377" s="77"/>
      <c r="AS2377" s="77"/>
      <c r="AT2377" s="77"/>
      <c r="AU2377" s="77"/>
      <c r="AV2377" s="80" t="str">
        <f>HYPERLINK("https://pbs.twimg.com/profile_images/1674371511996628993/reGcyxoU_normal.jpg")</f>
        <v>https://pbs.twimg.com/profile_images/1674371511996628993/reGcyxoU_normal.jpg</v>
      </c>
      <c r="AW2377" s="82" t="s">
        <v>14535</v>
      </c>
      <c r="AX2377" s="82" t="s">
        <v>15559</v>
      </c>
      <c r="AY2377" s="82" t="s">
        <v>15785</v>
      </c>
      <c r="AZ2377" s="82" t="s">
        <v>15559</v>
      </c>
      <c r="BA2377" s="82" t="s">
        <v>15804</v>
      </c>
      <c r="BB2377" s="82" t="s">
        <v>15804</v>
      </c>
      <c r="BC2377" s="82" t="s">
        <v>15559</v>
      </c>
      <c r="BD2377" s="77">
        <v>222157159</v>
      </c>
      <c r="BE2377" s="77"/>
      <c r="BF2377" s="77"/>
      <c r="BG2377" s="77"/>
      <c r="BH2377" s="77"/>
      <c r="BI2377" s="77"/>
    </row>
    <row r="2378" spans="1:61" x14ac:dyDescent="0.25">
      <c r="A2378" s="62" t="s">
        <v>922</v>
      </c>
      <c r="B2378" s="62" t="s">
        <v>922</v>
      </c>
      <c r="C2378" s="63"/>
      <c r="D2378" s="64"/>
      <c r="E2378" s="65"/>
      <c r="F2378" s="66"/>
      <c r="G2378" s="63"/>
      <c r="H2378" s="67"/>
      <c r="I2378" s="68"/>
      <c r="J2378" s="68"/>
      <c r="K2378" s="32"/>
      <c r="L2378" s="75">
        <v>2378</v>
      </c>
      <c r="M2378" s="75"/>
      <c r="N2378" s="70"/>
      <c r="O2378" s="77" t="s">
        <v>179</v>
      </c>
      <c r="P2378" s="79">
        <v>44935.482557870368</v>
      </c>
      <c r="Q2378" s="77" t="s">
        <v>3423</v>
      </c>
      <c r="R2378" s="77">
        <v>28</v>
      </c>
      <c r="S2378" s="77">
        <v>114</v>
      </c>
      <c r="T2378" s="77">
        <v>4</v>
      </c>
      <c r="U2378" s="77">
        <v>5</v>
      </c>
      <c r="V2378" s="77">
        <v>14245</v>
      </c>
      <c r="W2378" s="77"/>
      <c r="X2378" s="80" t="str">
        <f>HYPERLINK("https://www.bcb.gov.br/content/focus/focus/R20230106.pdf")</f>
        <v>https://www.bcb.gov.br/content/focus/focus/R20230106.pdf</v>
      </c>
      <c r="Y2378" s="77" t="s">
        <v>6074</v>
      </c>
      <c r="Z2378" s="77"/>
      <c r="AA2378" s="77" t="s">
        <v>7475</v>
      </c>
      <c r="AB2378" s="77" t="s">
        <v>7696</v>
      </c>
      <c r="AC2378" s="82" t="s">
        <v>7706</v>
      </c>
      <c r="AD2378" s="77" t="s">
        <v>7745</v>
      </c>
      <c r="AE2378" s="80" t="str">
        <f>HYPERLINK("https://twitter.com/bancocentralbr/status/1612412591359381505")</f>
        <v>https://twitter.com/bancocentralbr/status/1612412591359381505</v>
      </c>
      <c r="AF2378" s="79">
        <v>44935.482557870368</v>
      </c>
      <c r="AG2378" s="85">
        <v>44935</v>
      </c>
      <c r="AH2378" s="82" t="s">
        <v>9873</v>
      </c>
      <c r="AI2378" s="77" t="b">
        <v>0</v>
      </c>
      <c r="AJ2378" s="77"/>
      <c r="AK2378" s="77"/>
      <c r="AL2378" s="77"/>
      <c r="AM2378" s="77"/>
      <c r="AN2378" s="77"/>
      <c r="AO2378" s="77"/>
      <c r="AP2378" s="77"/>
      <c r="AQ2378" s="77" t="s">
        <v>11982</v>
      </c>
      <c r="AR2378" s="77"/>
      <c r="AS2378" s="77"/>
      <c r="AT2378" s="77"/>
      <c r="AU2378" s="77"/>
      <c r="AV2378" s="80" t="str">
        <f>HYPERLINK("https://pbs.twimg.com/media/FmBwsjvX0AE7l0G.png")</f>
        <v>https://pbs.twimg.com/media/FmBwsjvX0AE7l0G.png</v>
      </c>
      <c r="AW2378" s="82" t="s">
        <v>14536</v>
      </c>
      <c r="AX2378" s="82" t="s">
        <v>14536</v>
      </c>
      <c r="AY2378" s="77"/>
      <c r="AZ2378" s="82" t="s">
        <v>15804</v>
      </c>
      <c r="BA2378" s="82" t="s">
        <v>15804</v>
      </c>
      <c r="BB2378" s="82" t="s">
        <v>15804</v>
      </c>
      <c r="BC2378" s="82" t="s">
        <v>14536</v>
      </c>
      <c r="BD2378" s="77">
        <v>222157159</v>
      </c>
      <c r="BE2378" s="77"/>
      <c r="BF2378" s="77"/>
      <c r="BG2378" s="77"/>
      <c r="BH2378" s="77"/>
      <c r="BI2378" s="77"/>
    </row>
    <row r="2379" spans="1:61" x14ac:dyDescent="0.25">
      <c r="A2379" s="62" t="s">
        <v>922</v>
      </c>
      <c r="B2379" s="62" t="s">
        <v>922</v>
      </c>
      <c r="C2379" s="63"/>
      <c r="D2379" s="64"/>
      <c r="E2379" s="65"/>
      <c r="F2379" s="66"/>
      <c r="G2379" s="63"/>
      <c r="H2379" s="67"/>
      <c r="I2379" s="68"/>
      <c r="J2379" s="68"/>
      <c r="K2379" s="32"/>
      <c r="L2379" s="75">
        <v>2379</v>
      </c>
      <c r="M2379" s="75"/>
      <c r="N2379" s="70"/>
      <c r="O2379" s="77" t="s">
        <v>179</v>
      </c>
      <c r="P2379" s="79">
        <v>45054.627314814818</v>
      </c>
      <c r="Q2379" s="77" t="s">
        <v>3424</v>
      </c>
      <c r="R2379" s="77">
        <v>6</v>
      </c>
      <c r="S2379" s="77">
        <v>23</v>
      </c>
      <c r="T2379" s="77">
        <v>10</v>
      </c>
      <c r="U2379" s="77">
        <v>0</v>
      </c>
      <c r="V2379" s="77">
        <v>3323</v>
      </c>
      <c r="W2379" s="82" t="s">
        <v>5593</v>
      </c>
      <c r="X2379" s="80" t="str">
        <f>HYPERLINK("https://www.gov.br/semanaenef")</f>
        <v>https://www.gov.br/semanaenef</v>
      </c>
      <c r="Y2379" s="77" t="s">
        <v>6074</v>
      </c>
      <c r="Z2379" s="77"/>
      <c r="AA2379" s="77" t="s">
        <v>7476</v>
      </c>
      <c r="AB2379" s="77" t="s">
        <v>7696</v>
      </c>
      <c r="AC2379" s="82" t="s">
        <v>7706</v>
      </c>
      <c r="AD2379" s="77" t="s">
        <v>7745</v>
      </c>
      <c r="AE2379" s="80" t="str">
        <f>HYPERLINK("https://twitter.com/bancocentralbr/status/1655589203936174086")</f>
        <v>https://twitter.com/bancocentralbr/status/1655589203936174086</v>
      </c>
      <c r="AF2379" s="79">
        <v>45054.627314814818</v>
      </c>
      <c r="AG2379" s="85">
        <v>45054</v>
      </c>
      <c r="AH2379" s="82" t="s">
        <v>9874</v>
      </c>
      <c r="AI2379" s="77" t="b">
        <v>0</v>
      </c>
      <c r="AJ2379" s="77"/>
      <c r="AK2379" s="77"/>
      <c r="AL2379" s="77"/>
      <c r="AM2379" s="77"/>
      <c r="AN2379" s="77"/>
      <c r="AO2379" s="77"/>
      <c r="AP2379" s="77"/>
      <c r="AQ2379" s="77" t="s">
        <v>11983</v>
      </c>
      <c r="AR2379" s="77"/>
      <c r="AS2379" s="77"/>
      <c r="AT2379" s="77"/>
      <c r="AU2379" s="77"/>
      <c r="AV2379" s="80" t="str">
        <f>HYPERLINK("https://pbs.twimg.com/media/FvnVWppXsAIfKyZ.png")</f>
        <v>https://pbs.twimg.com/media/FvnVWppXsAIfKyZ.png</v>
      </c>
      <c r="AW2379" s="82" t="s">
        <v>14537</v>
      </c>
      <c r="AX2379" s="82" t="s">
        <v>14537</v>
      </c>
      <c r="AY2379" s="77"/>
      <c r="AZ2379" s="82" t="s">
        <v>15804</v>
      </c>
      <c r="BA2379" s="82" t="s">
        <v>15804</v>
      </c>
      <c r="BB2379" s="82" t="s">
        <v>15804</v>
      </c>
      <c r="BC2379" s="82" t="s">
        <v>14537</v>
      </c>
      <c r="BD2379" s="77">
        <v>222157159</v>
      </c>
      <c r="BE2379" s="77"/>
      <c r="BF2379" s="77"/>
      <c r="BG2379" s="77"/>
      <c r="BH2379" s="77"/>
      <c r="BI2379" s="77"/>
    </row>
    <row r="2380" spans="1:61" x14ac:dyDescent="0.25">
      <c r="A2380" s="62" t="s">
        <v>922</v>
      </c>
      <c r="B2380" s="62" t="s">
        <v>922</v>
      </c>
      <c r="C2380" s="63"/>
      <c r="D2380" s="64"/>
      <c r="E2380" s="65"/>
      <c r="F2380" s="66"/>
      <c r="G2380" s="63"/>
      <c r="H2380" s="67"/>
      <c r="I2380" s="68"/>
      <c r="J2380" s="68"/>
      <c r="K2380" s="32"/>
      <c r="L2380" s="75">
        <v>2380</v>
      </c>
      <c r="M2380" s="75"/>
      <c r="N2380" s="70"/>
      <c r="O2380" s="77" t="s">
        <v>1132</v>
      </c>
      <c r="P2380" s="79">
        <v>45007.750706018516</v>
      </c>
      <c r="Q2380" s="77" t="s">
        <v>3421</v>
      </c>
      <c r="R2380" s="77">
        <v>1</v>
      </c>
      <c r="S2380" s="77">
        <v>4</v>
      </c>
      <c r="T2380" s="77">
        <v>1</v>
      </c>
      <c r="U2380" s="77">
        <v>0</v>
      </c>
      <c r="V2380" s="77">
        <v>1949</v>
      </c>
      <c r="W2380" s="82" t="s">
        <v>4259</v>
      </c>
      <c r="X2380" s="77"/>
      <c r="Y2380" s="77"/>
      <c r="Z2380" s="77" t="s">
        <v>6121</v>
      </c>
      <c r="AA2380" s="77"/>
      <c r="AB2380" s="77"/>
      <c r="AC2380" s="82" t="s">
        <v>7706</v>
      </c>
      <c r="AD2380" s="77" t="s">
        <v>7745</v>
      </c>
      <c r="AE2380" s="80" t="str">
        <f>HYPERLINK("https://twitter.com/bancocentralbr/status/1638601690067640332")</f>
        <v>https://twitter.com/bancocentralbr/status/1638601690067640332</v>
      </c>
      <c r="AF2380" s="79">
        <v>45007.750706018516</v>
      </c>
      <c r="AG2380" s="85">
        <v>45007</v>
      </c>
      <c r="AH2380" s="82" t="s">
        <v>9680</v>
      </c>
      <c r="AI2380" s="77"/>
      <c r="AJ2380" s="77"/>
      <c r="AK2380" s="77"/>
      <c r="AL2380" s="77"/>
      <c r="AM2380" s="77"/>
      <c r="AN2380" s="77"/>
      <c r="AO2380" s="77"/>
      <c r="AP2380" s="77"/>
      <c r="AQ2380" s="77"/>
      <c r="AR2380" s="77"/>
      <c r="AS2380" s="77"/>
      <c r="AT2380" s="77"/>
      <c r="AU2380" s="77"/>
      <c r="AV2380" s="80" t="str">
        <f>HYPERLINK("https://pbs.twimg.com/profile_images/1674371511996628993/reGcyxoU_normal.jpg")</f>
        <v>https://pbs.twimg.com/profile_images/1674371511996628993/reGcyxoU_normal.jpg</v>
      </c>
      <c r="AW2380" s="82" t="s">
        <v>14534</v>
      </c>
      <c r="AX2380" s="82" t="s">
        <v>15558</v>
      </c>
      <c r="AY2380" s="82" t="s">
        <v>15785</v>
      </c>
      <c r="AZ2380" s="82" t="s">
        <v>16076</v>
      </c>
      <c r="BA2380" s="82" t="s">
        <v>15804</v>
      </c>
      <c r="BB2380" s="82" t="s">
        <v>15804</v>
      </c>
      <c r="BC2380" s="82" t="s">
        <v>16076</v>
      </c>
      <c r="BD2380" s="77">
        <v>222157159</v>
      </c>
      <c r="BE2380" s="77"/>
      <c r="BF2380" s="77"/>
      <c r="BG2380" s="77"/>
      <c r="BH2380" s="77"/>
      <c r="BI2380" s="77"/>
    </row>
    <row r="2381" spans="1:61" x14ac:dyDescent="0.25">
      <c r="A2381" s="62" t="s">
        <v>922</v>
      </c>
      <c r="B2381" s="62" t="s">
        <v>922</v>
      </c>
      <c r="C2381" s="63"/>
      <c r="D2381" s="64"/>
      <c r="E2381" s="65"/>
      <c r="F2381" s="66"/>
      <c r="G2381" s="63"/>
      <c r="H2381" s="67"/>
      <c r="I2381" s="68"/>
      <c r="J2381" s="68"/>
      <c r="K2381" s="32"/>
      <c r="L2381" s="75">
        <v>2381</v>
      </c>
      <c r="M2381" s="75"/>
      <c r="N2381" s="70"/>
      <c r="O2381" s="77" t="s">
        <v>1132</v>
      </c>
      <c r="P2381" s="79">
        <v>45091.805034722223</v>
      </c>
      <c r="Q2381" s="77" t="s">
        <v>3425</v>
      </c>
      <c r="R2381" s="77">
        <v>0</v>
      </c>
      <c r="S2381" s="77">
        <v>4</v>
      </c>
      <c r="T2381" s="77">
        <v>7</v>
      </c>
      <c r="U2381" s="77">
        <v>0</v>
      </c>
      <c r="V2381" s="77">
        <v>1963</v>
      </c>
      <c r="W2381" s="82" t="s">
        <v>4260</v>
      </c>
      <c r="X2381" s="80" t="str">
        <f>HYPERLINK("https://youtu.be/4sfeoqbiPo0")</f>
        <v>https://youtu.be/4sfeoqbiPo0</v>
      </c>
      <c r="Y2381" s="77" t="s">
        <v>6003</v>
      </c>
      <c r="Z2381" s="77"/>
      <c r="AA2381" s="77"/>
      <c r="AB2381" s="77"/>
      <c r="AC2381" s="82" t="s">
        <v>7706</v>
      </c>
      <c r="AD2381" s="77" t="s">
        <v>7745</v>
      </c>
      <c r="AE2381" s="80" t="str">
        <f>HYPERLINK("https://twitter.com/bancocentralbr/status/1669061961105960961")</f>
        <v>https://twitter.com/bancocentralbr/status/1669061961105960961</v>
      </c>
      <c r="AF2381" s="79">
        <v>45091.805034722223</v>
      </c>
      <c r="AG2381" s="85">
        <v>45091</v>
      </c>
      <c r="AH2381" s="82" t="s">
        <v>9875</v>
      </c>
      <c r="AI2381" s="77" t="b">
        <v>0</v>
      </c>
      <c r="AJ2381" s="77"/>
      <c r="AK2381" s="77"/>
      <c r="AL2381" s="77"/>
      <c r="AM2381" s="77"/>
      <c r="AN2381" s="77"/>
      <c r="AO2381" s="77"/>
      <c r="AP2381" s="77"/>
      <c r="AQ2381" s="77"/>
      <c r="AR2381" s="77"/>
      <c r="AS2381" s="77"/>
      <c r="AT2381" s="77"/>
      <c r="AU2381" s="77"/>
      <c r="AV2381" s="80" t="str">
        <f>HYPERLINK("https://pbs.twimg.com/profile_images/1674371511996628993/reGcyxoU_normal.jpg")</f>
        <v>https://pbs.twimg.com/profile_images/1674371511996628993/reGcyxoU_normal.jpg</v>
      </c>
      <c r="AW2381" s="82" t="s">
        <v>14538</v>
      </c>
      <c r="AX2381" s="82" t="s">
        <v>15560</v>
      </c>
      <c r="AY2381" s="82" t="s">
        <v>15785</v>
      </c>
      <c r="AZ2381" s="82" t="s">
        <v>15560</v>
      </c>
      <c r="BA2381" s="82" t="s">
        <v>15804</v>
      </c>
      <c r="BB2381" s="82" t="s">
        <v>15804</v>
      </c>
      <c r="BC2381" s="82" t="s">
        <v>15560</v>
      </c>
      <c r="BD2381" s="77">
        <v>222157159</v>
      </c>
      <c r="BE2381" s="77"/>
      <c r="BF2381" s="77"/>
      <c r="BG2381" s="77"/>
      <c r="BH2381" s="77"/>
      <c r="BI2381" s="77"/>
    </row>
    <row r="2382" spans="1:61" x14ac:dyDescent="0.25">
      <c r="A2382" s="62" t="s">
        <v>922</v>
      </c>
      <c r="B2382" s="62" t="s">
        <v>922</v>
      </c>
      <c r="C2382" s="63"/>
      <c r="D2382" s="64"/>
      <c r="E2382" s="65"/>
      <c r="F2382" s="66"/>
      <c r="G2382" s="63"/>
      <c r="H2382" s="67"/>
      <c r="I2382" s="68"/>
      <c r="J2382" s="68"/>
      <c r="K2382" s="32"/>
      <c r="L2382" s="75">
        <v>2382</v>
      </c>
      <c r="M2382" s="75"/>
      <c r="N2382" s="70"/>
      <c r="O2382" s="77" t="s">
        <v>1132</v>
      </c>
      <c r="P2382" s="79">
        <v>45092.800162037034</v>
      </c>
      <c r="Q2382" s="77" t="s">
        <v>3426</v>
      </c>
      <c r="R2382" s="77">
        <v>2</v>
      </c>
      <c r="S2382" s="77">
        <v>9</v>
      </c>
      <c r="T2382" s="77">
        <v>0</v>
      </c>
      <c r="U2382" s="77">
        <v>0</v>
      </c>
      <c r="V2382" s="77">
        <v>2618</v>
      </c>
      <c r="W2382" s="82" t="s">
        <v>5594</v>
      </c>
      <c r="X2382" s="80" t="str">
        <f>HYPERLINK("https://youtu.be/4sfeoqbiPo0")</f>
        <v>https://youtu.be/4sfeoqbiPo0</v>
      </c>
      <c r="Y2382" s="77" t="s">
        <v>6003</v>
      </c>
      <c r="Z2382" s="77"/>
      <c r="AA2382" s="77"/>
      <c r="AB2382" s="77"/>
      <c r="AC2382" s="82" t="s">
        <v>7706</v>
      </c>
      <c r="AD2382" s="77" t="s">
        <v>7745</v>
      </c>
      <c r="AE2382" s="80" t="str">
        <f>HYPERLINK("https://twitter.com/bancocentralbr/status/1669422580820856838")</f>
        <v>https://twitter.com/bancocentralbr/status/1669422580820856838</v>
      </c>
      <c r="AF2382" s="79">
        <v>45092.800162037034</v>
      </c>
      <c r="AG2382" s="85">
        <v>45092</v>
      </c>
      <c r="AH2382" s="82" t="s">
        <v>9876</v>
      </c>
      <c r="AI2382" s="77" t="b">
        <v>0</v>
      </c>
      <c r="AJ2382" s="77"/>
      <c r="AK2382" s="77"/>
      <c r="AL2382" s="77"/>
      <c r="AM2382" s="77"/>
      <c r="AN2382" s="77"/>
      <c r="AO2382" s="77"/>
      <c r="AP2382" s="77"/>
      <c r="AQ2382" s="77"/>
      <c r="AR2382" s="77"/>
      <c r="AS2382" s="77"/>
      <c r="AT2382" s="77"/>
      <c r="AU2382" s="77"/>
      <c r="AV2382" s="80" t="str">
        <f>HYPERLINK("https://pbs.twimg.com/profile_images/1674371511996628993/reGcyxoU_normal.jpg")</f>
        <v>https://pbs.twimg.com/profile_images/1674371511996628993/reGcyxoU_normal.jpg</v>
      </c>
      <c r="AW2382" s="82" t="s">
        <v>14539</v>
      </c>
      <c r="AX2382" s="82" t="s">
        <v>15561</v>
      </c>
      <c r="AY2382" s="82" t="s">
        <v>15785</v>
      </c>
      <c r="AZ2382" s="82" t="s">
        <v>15561</v>
      </c>
      <c r="BA2382" s="82" t="s">
        <v>15804</v>
      </c>
      <c r="BB2382" s="82" t="s">
        <v>15804</v>
      </c>
      <c r="BC2382" s="82" t="s">
        <v>15561</v>
      </c>
      <c r="BD2382" s="77">
        <v>222157159</v>
      </c>
      <c r="BE2382" s="77"/>
      <c r="BF2382" s="77"/>
      <c r="BG2382" s="77"/>
      <c r="BH2382" s="77"/>
      <c r="BI2382" s="77"/>
    </row>
    <row r="2383" spans="1:61" x14ac:dyDescent="0.25">
      <c r="A2383" s="62" t="s">
        <v>922</v>
      </c>
      <c r="B2383" s="62" t="s">
        <v>922</v>
      </c>
      <c r="C2383" s="63"/>
      <c r="D2383" s="64"/>
      <c r="E2383" s="65"/>
      <c r="F2383" s="66"/>
      <c r="G2383" s="63"/>
      <c r="H2383" s="67"/>
      <c r="I2383" s="68"/>
      <c r="J2383" s="68"/>
      <c r="K2383" s="32"/>
      <c r="L2383" s="75">
        <v>2383</v>
      </c>
      <c r="M2383" s="75"/>
      <c r="N2383" s="70"/>
      <c r="O2383" s="77" t="s">
        <v>1132</v>
      </c>
      <c r="P2383" s="79">
        <v>45096.54755787037</v>
      </c>
      <c r="Q2383" s="77" t="s">
        <v>3427</v>
      </c>
      <c r="R2383" s="77">
        <v>1</v>
      </c>
      <c r="S2383" s="77">
        <v>9</v>
      </c>
      <c r="T2383" s="77">
        <v>3</v>
      </c>
      <c r="U2383" s="77">
        <v>0</v>
      </c>
      <c r="V2383" s="77">
        <v>2104</v>
      </c>
      <c r="W2383" s="82" t="s">
        <v>5595</v>
      </c>
      <c r="X2383" s="80" t="str">
        <f>HYPERLINK("https://www.youtube.com/watch?v=gvzOIu_bX54")</f>
        <v>https://www.youtube.com/watch?v=gvzOIu_bX54</v>
      </c>
      <c r="Y2383" s="77" t="s">
        <v>6006</v>
      </c>
      <c r="Z2383" s="77"/>
      <c r="AA2383" s="77"/>
      <c r="AB2383" s="77"/>
      <c r="AC2383" s="82" t="s">
        <v>7706</v>
      </c>
      <c r="AD2383" s="77" t="s">
        <v>7745</v>
      </c>
      <c r="AE2383" s="80" t="str">
        <f>HYPERLINK("https://twitter.com/bancocentralbr/status/1670780594026868745")</f>
        <v>https://twitter.com/bancocentralbr/status/1670780594026868745</v>
      </c>
      <c r="AF2383" s="79">
        <v>45096.54755787037</v>
      </c>
      <c r="AG2383" s="85">
        <v>45096</v>
      </c>
      <c r="AH2383" s="82" t="s">
        <v>9877</v>
      </c>
      <c r="AI2383" s="77" t="b">
        <v>0</v>
      </c>
      <c r="AJ2383" s="77"/>
      <c r="AK2383" s="77"/>
      <c r="AL2383" s="77"/>
      <c r="AM2383" s="77"/>
      <c r="AN2383" s="77"/>
      <c r="AO2383" s="77"/>
      <c r="AP2383" s="77"/>
      <c r="AQ2383" s="77"/>
      <c r="AR2383" s="77"/>
      <c r="AS2383" s="77"/>
      <c r="AT2383" s="77"/>
      <c r="AU2383" s="77"/>
      <c r="AV2383" s="80" t="str">
        <f>HYPERLINK("https://pbs.twimg.com/profile_images/1674371511996628993/reGcyxoU_normal.jpg")</f>
        <v>https://pbs.twimg.com/profile_images/1674371511996628993/reGcyxoU_normal.jpg</v>
      </c>
      <c r="AW2383" s="82" t="s">
        <v>14540</v>
      </c>
      <c r="AX2383" s="82" t="s">
        <v>15562</v>
      </c>
      <c r="AY2383" s="82" t="s">
        <v>15785</v>
      </c>
      <c r="AZ2383" s="82" t="s">
        <v>15562</v>
      </c>
      <c r="BA2383" s="82" t="s">
        <v>15804</v>
      </c>
      <c r="BB2383" s="82" t="s">
        <v>15804</v>
      </c>
      <c r="BC2383" s="82" t="s">
        <v>15562</v>
      </c>
      <c r="BD2383" s="77">
        <v>222157159</v>
      </c>
      <c r="BE2383" s="77"/>
      <c r="BF2383" s="77"/>
      <c r="BG2383" s="77"/>
      <c r="BH2383" s="77"/>
      <c r="BI2383" s="77"/>
    </row>
    <row r="2384" spans="1:61" x14ac:dyDescent="0.25">
      <c r="A2384" s="62" t="s">
        <v>922</v>
      </c>
      <c r="B2384" s="62" t="s">
        <v>922</v>
      </c>
      <c r="C2384" s="63"/>
      <c r="D2384" s="64"/>
      <c r="E2384" s="65"/>
      <c r="F2384" s="66"/>
      <c r="G2384" s="63"/>
      <c r="H2384" s="67"/>
      <c r="I2384" s="68"/>
      <c r="J2384" s="68"/>
      <c r="K2384" s="32"/>
      <c r="L2384" s="75">
        <v>2384</v>
      </c>
      <c r="M2384" s="75"/>
      <c r="N2384" s="70"/>
      <c r="O2384" s="77" t="s">
        <v>1132</v>
      </c>
      <c r="P2384" s="79">
        <v>45093.834027777775</v>
      </c>
      <c r="Q2384" s="77" t="s">
        <v>3428</v>
      </c>
      <c r="R2384" s="77">
        <v>1</v>
      </c>
      <c r="S2384" s="77">
        <v>7</v>
      </c>
      <c r="T2384" s="77">
        <v>1</v>
      </c>
      <c r="U2384" s="77">
        <v>1</v>
      </c>
      <c r="V2384" s="77">
        <v>1951</v>
      </c>
      <c r="W2384" s="82" t="s">
        <v>5596</v>
      </c>
      <c r="X2384" s="77"/>
      <c r="Y2384" s="77"/>
      <c r="Z2384" s="77"/>
      <c r="AA2384" s="77"/>
      <c r="AB2384" s="77"/>
      <c r="AC2384" s="82" t="s">
        <v>7706</v>
      </c>
      <c r="AD2384" s="77" t="s">
        <v>7745</v>
      </c>
      <c r="AE2384" s="80" t="str">
        <f>HYPERLINK("https://twitter.com/bancocentralbr/status/1669797241731657728")</f>
        <v>https://twitter.com/bancocentralbr/status/1669797241731657728</v>
      </c>
      <c r="AF2384" s="79">
        <v>45093.834027777775</v>
      </c>
      <c r="AG2384" s="85">
        <v>45093</v>
      </c>
      <c r="AH2384" s="82" t="s">
        <v>9878</v>
      </c>
      <c r="AI2384" s="77"/>
      <c r="AJ2384" s="77"/>
      <c r="AK2384" s="77"/>
      <c r="AL2384" s="77"/>
      <c r="AM2384" s="77"/>
      <c r="AN2384" s="77"/>
      <c r="AO2384" s="77"/>
      <c r="AP2384" s="77"/>
      <c r="AQ2384" s="77"/>
      <c r="AR2384" s="77"/>
      <c r="AS2384" s="77"/>
      <c r="AT2384" s="77"/>
      <c r="AU2384" s="77"/>
      <c r="AV2384" s="80" t="str">
        <f>HYPERLINK("https://pbs.twimg.com/profile_images/1674371511996628993/reGcyxoU_normal.jpg")</f>
        <v>https://pbs.twimg.com/profile_images/1674371511996628993/reGcyxoU_normal.jpg</v>
      </c>
      <c r="AW2384" s="82" t="s">
        <v>14541</v>
      </c>
      <c r="AX2384" s="82" t="s">
        <v>15563</v>
      </c>
      <c r="AY2384" s="82" t="s">
        <v>15785</v>
      </c>
      <c r="AZ2384" s="82" t="s">
        <v>15563</v>
      </c>
      <c r="BA2384" s="82" t="s">
        <v>15804</v>
      </c>
      <c r="BB2384" s="82" t="s">
        <v>15804</v>
      </c>
      <c r="BC2384" s="82" t="s">
        <v>15563</v>
      </c>
      <c r="BD2384" s="77">
        <v>222157159</v>
      </c>
      <c r="BE2384" s="77"/>
      <c r="BF2384" s="77"/>
      <c r="BG2384" s="77"/>
      <c r="BH2384" s="77"/>
      <c r="BI2384" s="77"/>
    </row>
    <row r="2385" spans="1:61" x14ac:dyDescent="0.25">
      <c r="A2385" s="62" t="s">
        <v>922</v>
      </c>
      <c r="B2385" s="62" t="s">
        <v>922</v>
      </c>
      <c r="C2385" s="63"/>
      <c r="D2385" s="64"/>
      <c r="E2385" s="65"/>
      <c r="F2385" s="66"/>
      <c r="G2385" s="63"/>
      <c r="H2385" s="67"/>
      <c r="I2385" s="68"/>
      <c r="J2385" s="68"/>
      <c r="K2385" s="32"/>
      <c r="L2385" s="75">
        <v>2385</v>
      </c>
      <c r="M2385" s="75"/>
      <c r="N2385" s="70"/>
      <c r="O2385" s="77" t="s">
        <v>1132</v>
      </c>
      <c r="P2385" s="79">
        <v>45015.860219907408</v>
      </c>
      <c r="Q2385" s="77" t="s">
        <v>3429</v>
      </c>
      <c r="R2385" s="77">
        <v>0</v>
      </c>
      <c r="S2385" s="77">
        <v>4</v>
      </c>
      <c r="T2385" s="77">
        <v>3</v>
      </c>
      <c r="U2385" s="77">
        <v>1</v>
      </c>
      <c r="V2385" s="77">
        <v>1981</v>
      </c>
      <c r="W2385" s="82" t="s">
        <v>5597</v>
      </c>
      <c r="X2385" s="77"/>
      <c r="Y2385" s="77"/>
      <c r="Z2385" s="77"/>
      <c r="AA2385" s="77"/>
      <c r="AB2385" s="77"/>
      <c r="AC2385" s="82" t="s">
        <v>7706</v>
      </c>
      <c r="AD2385" s="77" t="s">
        <v>7748</v>
      </c>
      <c r="AE2385" s="80" t="str">
        <f>HYPERLINK("https://twitter.com/bancocentralbr/status/1641540480403148803")</f>
        <v>https://twitter.com/bancocentralbr/status/1641540480403148803</v>
      </c>
      <c r="AF2385" s="79">
        <v>45015.860219907408</v>
      </c>
      <c r="AG2385" s="85">
        <v>45015</v>
      </c>
      <c r="AH2385" s="82" t="s">
        <v>9879</v>
      </c>
      <c r="AI2385" s="77"/>
      <c r="AJ2385" s="77"/>
      <c r="AK2385" s="77"/>
      <c r="AL2385" s="77"/>
      <c r="AM2385" s="77"/>
      <c r="AN2385" s="77"/>
      <c r="AO2385" s="77"/>
      <c r="AP2385" s="77"/>
      <c r="AQ2385" s="77"/>
      <c r="AR2385" s="77"/>
      <c r="AS2385" s="77"/>
      <c r="AT2385" s="77"/>
      <c r="AU2385" s="77"/>
      <c r="AV2385" s="80" t="str">
        <f>HYPERLINK("https://pbs.twimg.com/profile_images/1674371511996628993/reGcyxoU_normal.jpg")</f>
        <v>https://pbs.twimg.com/profile_images/1674371511996628993/reGcyxoU_normal.jpg</v>
      </c>
      <c r="AW2385" s="82" t="s">
        <v>14542</v>
      </c>
      <c r="AX2385" s="82" t="s">
        <v>15564</v>
      </c>
      <c r="AY2385" s="82" t="s">
        <v>15785</v>
      </c>
      <c r="AZ2385" s="82" t="s">
        <v>16077</v>
      </c>
      <c r="BA2385" s="82" t="s">
        <v>15804</v>
      </c>
      <c r="BB2385" s="82" t="s">
        <v>15804</v>
      </c>
      <c r="BC2385" s="82" t="s">
        <v>16077</v>
      </c>
      <c r="BD2385" s="77">
        <v>222157159</v>
      </c>
      <c r="BE2385" s="77"/>
      <c r="BF2385" s="77"/>
      <c r="BG2385" s="77"/>
      <c r="BH2385" s="77"/>
      <c r="BI2385" s="77"/>
    </row>
    <row r="2386" spans="1:61" x14ac:dyDescent="0.25">
      <c r="A2386" s="62" t="s">
        <v>922</v>
      </c>
      <c r="B2386" s="62" t="s">
        <v>922</v>
      </c>
      <c r="C2386" s="63"/>
      <c r="D2386" s="64"/>
      <c r="E2386" s="65"/>
      <c r="F2386" s="66"/>
      <c r="G2386" s="63"/>
      <c r="H2386" s="67"/>
      <c r="I2386" s="68"/>
      <c r="J2386" s="68"/>
      <c r="K2386" s="32"/>
      <c r="L2386" s="75">
        <v>2386</v>
      </c>
      <c r="M2386" s="75"/>
      <c r="N2386" s="70"/>
      <c r="O2386" s="77" t="s">
        <v>1132</v>
      </c>
      <c r="P2386" s="79">
        <v>45161.8437037037</v>
      </c>
      <c r="Q2386" s="77" t="s">
        <v>3422</v>
      </c>
      <c r="R2386" s="77">
        <v>0</v>
      </c>
      <c r="S2386" s="77">
        <v>7</v>
      </c>
      <c r="T2386" s="77">
        <v>1</v>
      </c>
      <c r="U2386" s="77">
        <v>0</v>
      </c>
      <c r="V2386" s="77">
        <v>1420</v>
      </c>
      <c r="W2386" s="82" t="s">
        <v>5592</v>
      </c>
      <c r="X2386" s="77"/>
      <c r="Y2386" s="77"/>
      <c r="Z2386" s="77" t="s">
        <v>6144</v>
      </c>
      <c r="AA2386" s="77"/>
      <c r="AB2386" s="77"/>
      <c r="AC2386" s="82" t="s">
        <v>7706</v>
      </c>
      <c r="AD2386" s="77" t="s">
        <v>7745</v>
      </c>
      <c r="AE2386" s="80" t="str">
        <f>HYPERLINK("https://twitter.com/bancocentralbr/status/1694443122195853562")</f>
        <v>https://twitter.com/bancocentralbr/status/1694443122195853562</v>
      </c>
      <c r="AF2386" s="79">
        <v>45161.8437037037</v>
      </c>
      <c r="AG2386" s="85">
        <v>45161</v>
      </c>
      <c r="AH2386" s="82" t="s">
        <v>9872</v>
      </c>
      <c r="AI2386" s="77"/>
      <c r="AJ2386" s="77"/>
      <c r="AK2386" s="77"/>
      <c r="AL2386" s="77"/>
      <c r="AM2386" s="77"/>
      <c r="AN2386" s="77"/>
      <c r="AO2386" s="77"/>
      <c r="AP2386" s="77"/>
      <c r="AQ2386" s="77"/>
      <c r="AR2386" s="77"/>
      <c r="AS2386" s="77"/>
      <c r="AT2386" s="77"/>
      <c r="AU2386" s="77"/>
      <c r="AV2386" s="80" t="str">
        <f>HYPERLINK("https://pbs.twimg.com/profile_images/1674371511996628993/reGcyxoU_normal.jpg")</f>
        <v>https://pbs.twimg.com/profile_images/1674371511996628993/reGcyxoU_normal.jpg</v>
      </c>
      <c r="AW2386" s="82" t="s">
        <v>14535</v>
      </c>
      <c r="AX2386" s="82" t="s">
        <v>15559</v>
      </c>
      <c r="AY2386" s="82" t="s">
        <v>15785</v>
      </c>
      <c r="AZ2386" s="82" t="s">
        <v>15559</v>
      </c>
      <c r="BA2386" s="82" t="s">
        <v>15804</v>
      </c>
      <c r="BB2386" s="82" t="s">
        <v>15804</v>
      </c>
      <c r="BC2386" s="82" t="s">
        <v>15559</v>
      </c>
      <c r="BD2386" s="77">
        <v>222157159</v>
      </c>
      <c r="BE2386" s="77"/>
      <c r="BF2386" s="77"/>
      <c r="BG2386" s="77"/>
      <c r="BH2386" s="77"/>
      <c r="BI2386" s="77"/>
    </row>
    <row r="2387" spans="1:61" x14ac:dyDescent="0.25">
      <c r="A2387" s="62" t="s">
        <v>922</v>
      </c>
      <c r="B2387" s="62" t="s">
        <v>922</v>
      </c>
      <c r="C2387" s="63"/>
      <c r="D2387" s="64"/>
      <c r="E2387" s="65"/>
      <c r="F2387" s="66"/>
      <c r="G2387" s="63"/>
      <c r="H2387" s="67"/>
      <c r="I2387" s="68"/>
      <c r="J2387" s="68"/>
      <c r="K2387" s="32"/>
      <c r="L2387" s="75">
        <v>2387</v>
      </c>
      <c r="M2387" s="75"/>
      <c r="N2387" s="70"/>
      <c r="O2387" s="77" t="s">
        <v>179</v>
      </c>
      <c r="P2387" s="79">
        <v>45161.750393518516</v>
      </c>
      <c r="Q2387" s="77" t="s">
        <v>3430</v>
      </c>
      <c r="R2387" s="77">
        <v>2</v>
      </c>
      <c r="S2387" s="77">
        <v>57</v>
      </c>
      <c r="T2387" s="77">
        <v>4</v>
      </c>
      <c r="U2387" s="77">
        <v>1</v>
      </c>
      <c r="V2387" s="77">
        <v>3977</v>
      </c>
      <c r="W2387" s="77"/>
      <c r="X2387" s="77"/>
      <c r="Y2387" s="77"/>
      <c r="Z2387" s="77"/>
      <c r="AA2387" s="77" t="s">
        <v>7477</v>
      </c>
      <c r="AB2387" s="77" t="s">
        <v>7696</v>
      </c>
      <c r="AC2387" s="82" t="s">
        <v>7706</v>
      </c>
      <c r="AD2387" s="77" t="s">
        <v>7745</v>
      </c>
      <c r="AE2387" s="80" t="str">
        <f>HYPERLINK("https://twitter.com/bancocentralbr/status/1694409308283244790")</f>
        <v>https://twitter.com/bancocentralbr/status/1694409308283244790</v>
      </c>
      <c r="AF2387" s="79">
        <v>45161.750393518516</v>
      </c>
      <c r="AG2387" s="85">
        <v>45161</v>
      </c>
      <c r="AH2387" s="82" t="s">
        <v>9880</v>
      </c>
      <c r="AI2387" s="77" t="b">
        <v>0</v>
      </c>
      <c r="AJ2387" s="77"/>
      <c r="AK2387" s="77"/>
      <c r="AL2387" s="77"/>
      <c r="AM2387" s="77"/>
      <c r="AN2387" s="77"/>
      <c r="AO2387" s="77"/>
      <c r="AP2387" s="77"/>
      <c r="AQ2387" s="77" t="s">
        <v>11984</v>
      </c>
      <c r="AR2387" s="77"/>
      <c r="AS2387" s="77"/>
      <c r="AT2387" s="77"/>
      <c r="AU2387" s="77"/>
      <c r="AV2387" s="80" t="str">
        <f>HYPERLINK("https://pbs.twimg.com/media/F4O8wprWAAES5EY.jpg")</f>
        <v>https://pbs.twimg.com/media/F4O8wprWAAES5EY.jpg</v>
      </c>
      <c r="AW2387" s="82" t="s">
        <v>14543</v>
      </c>
      <c r="AX2387" s="82" t="s">
        <v>14543</v>
      </c>
      <c r="AY2387" s="77"/>
      <c r="AZ2387" s="82" t="s">
        <v>15804</v>
      </c>
      <c r="BA2387" s="82" t="s">
        <v>15804</v>
      </c>
      <c r="BB2387" s="82" t="s">
        <v>15804</v>
      </c>
      <c r="BC2387" s="82" t="s">
        <v>14543</v>
      </c>
      <c r="BD2387" s="77">
        <v>222157159</v>
      </c>
      <c r="BE2387" s="77"/>
      <c r="BF2387" s="77"/>
      <c r="BG2387" s="77"/>
      <c r="BH2387" s="77"/>
      <c r="BI2387" s="77"/>
    </row>
    <row r="2388" spans="1:61" x14ac:dyDescent="0.25">
      <c r="A2388" s="62" t="s">
        <v>922</v>
      </c>
      <c r="B2388" s="62" t="s">
        <v>922</v>
      </c>
      <c r="C2388" s="63"/>
      <c r="D2388" s="64"/>
      <c r="E2388" s="65"/>
      <c r="F2388" s="66"/>
      <c r="G2388" s="63"/>
      <c r="H2388" s="67"/>
      <c r="I2388" s="68"/>
      <c r="J2388" s="68"/>
      <c r="K2388" s="32"/>
      <c r="L2388" s="75">
        <v>2388</v>
      </c>
      <c r="M2388" s="75"/>
      <c r="N2388" s="70"/>
      <c r="O2388" s="77" t="s">
        <v>1132</v>
      </c>
      <c r="P2388" s="79">
        <v>45134.873483796298</v>
      </c>
      <c r="Q2388" s="77" t="s">
        <v>3431</v>
      </c>
      <c r="R2388" s="77">
        <v>1</v>
      </c>
      <c r="S2388" s="77">
        <v>2</v>
      </c>
      <c r="T2388" s="77">
        <v>0</v>
      </c>
      <c r="U2388" s="77">
        <v>0</v>
      </c>
      <c r="V2388" s="77">
        <v>1627</v>
      </c>
      <c r="W2388" s="82" t="s">
        <v>5598</v>
      </c>
      <c r="X2388" s="77"/>
      <c r="Y2388" s="77"/>
      <c r="Z2388" s="77"/>
      <c r="AA2388" s="77"/>
      <c r="AB2388" s="77"/>
      <c r="AC2388" s="82" t="s">
        <v>7706</v>
      </c>
      <c r="AD2388" s="77" t="s">
        <v>7745</v>
      </c>
      <c r="AE2388" s="80" t="str">
        <f>HYPERLINK("https://twitter.com/bancocentralbr/status/1684669443337527296")</f>
        <v>https://twitter.com/bancocentralbr/status/1684669443337527296</v>
      </c>
      <c r="AF2388" s="79">
        <v>45134.873483796298</v>
      </c>
      <c r="AG2388" s="85">
        <v>45134</v>
      </c>
      <c r="AH2388" s="82" t="s">
        <v>9881</v>
      </c>
      <c r="AI2388" s="77"/>
      <c r="AJ2388" s="77"/>
      <c r="AK2388" s="77"/>
      <c r="AL2388" s="77"/>
      <c r="AM2388" s="77"/>
      <c r="AN2388" s="77"/>
      <c r="AO2388" s="77"/>
      <c r="AP2388" s="77"/>
      <c r="AQ2388" s="77"/>
      <c r="AR2388" s="77"/>
      <c r="AS2388" s="77"/>
      <c r="AT2388" s="77"/>
      <c r="AU2388" s="77"/>
      <c r="AV2388" s="80" t="str">
        <f>HYPERLINK("https://pbs.twimg.com/profile_images/1674371511996628993/reGcyxoU_normal.jpg")</f>
        <v>https://pbs.twimg.com/profile_images/1674371511996628993/reGcyxoU_normal.jpg</v>
      </c>
      <c r="AW2388" s="82" t="s">
        <v>14544</v>
      </c>
      <c r="AX2388" s="82" t="s">
        <v>15565</v>
      </c>
      <c r="AY2388" s="82" t="s">
        <v>15785</v>
      </c>
      <c r="AZ2388" s="82" t="s">
        <v>16078</v>
      </c>
      <c r="BA2388" s="82" t="s">
        <v>15804</v>
      </c>
      <c r="BB2388" s="82" t="s">
        <v>15804</v>
      </c>
      <c r="BC2388" s="82" t="s">
        <v>16078</v>
      </c>
      <c r="BD2388" s="77">
        <v>222157159</v>
      </c>
      <c r="BE2388" s="77"/>
      <c r="BF2388" s="77"/>
      <c r="BG2388" s="77"/>
      <c r="BH2388" s="77"/>
      <c r="BI2388" s="77"/>
    </row>
    <row r="2389" spans="1:61" x14ac:dyDescent="0.25">
      <c r="A2389" s="62" t="s">
        <v>922</v>
      </c>
      <c r="B2389" s="62" t="s">
        <v>922</v>
      </c>
      <c r="C2389" s="63"/>
      <c r="D2389" s="64"/>
      <c r="E2389" s="65"/>
      <c r="F2389" s="66"/>
      <c r="G2389" s="63"/>
      <c r="H2389" s="67"/>
      <c r="I2389" s="68"/>
      <c r="J2389" s="68"/>
      <c r="K2389" s="32"/>
      <c r="L2389" s="75">
        <v>2389</v>
      </c>
      <c r="M2389" s="75"/>
      <c r="N2389" s="70"/>
      <c r="O2389" s="77" t="s">
        <v>1132</v>
      </c>
      <c r="P2389" s="79">
        <v>45161.750405092593</v>
      </c>
      <c r="Q2389" s="77" t="s">
        <v>3432</v>
      </c>
      <c r="R2389" s="77">
        <v>1</v>
      </c>
      <c r="S2389" s="77">
        <v>6</v>
      </c>
      <c r="T2389" s="77">
        <v>1</v>
      </c>
      <c r="U2389" s="77">
        <v>0</v>
      </c>
      <c r="V2389" s="77">
        <v>1434</v>
      </c>
      <c r="W2389" s="82" t="s">
        <v>5599</v>
      </c>
      <c r="X2389" s="77"/>
      <c r="Y2389" s="77"/>
      <c r="Z2389" s="77"/>
      <c r="AA2389" s="77"/>
      <c r="AB2389" s="77"/>
      <c r="AC2389" s="82" t="s">
        <v>7706</v>
      </c>
      <c r="AD2389" s="77" t="s">
        <v>7745</v>
      </c>
      <c r="AE2389" s="80" t="str">
        <f>HYPERLINK("https://twitter.com/bancocentralbr/status/1694409311101841652")</f>
        <v>https://twitter.com/bancocentralbr/status/1694409311101841652</v>
      </c>
      <c r="AF2389" s="79">
        <v>45161.750405092593</v>
      </c>
      <c r="AG2389" s="85">
        <v>45161</v>
      </c>
      <c r="AH2389" s="82" t="s">
        <v>9882</v>
      </c>
      <c r="AI2389" s="77"/>
      <c r="AJ2389" s="77"/>
      <c r="AK2389" s="77"/>
      <c r="AL2389" s="77"/>
      <c r="AM2389" s="77"/>
      <c r="AN2389" s="77"/>
      <c r="AO2389" s="77"/>
      <c r="AP2389" s="77"/>
      <c r="AQ2389" s="77"/>
      <c r="AR2389" s="77"/>
      <c r="AS2389" s="77"/>
      <c r="AT2389" s="77"/>
      <c r="AU2389" s="77"/>
      <c r="AV2389" s="80" t="str">
        <f>HYPERLINK("https://pbs.twimg.com/profile_images/1674371511996628993/reGcyxoU_normal.jpg")</f>
        <v>https://pbs.twimg.com/profile_images/1674371511996628993/reGcyxoU_normal.jpg</v>
      </c>
      <c r="AW2389" s="82" t="s">
        <v>14545</v>
      </c>
      <c r="AX2389" s="82" t="s">
        <v>14543</v>
      </c>
      <c r="AY2389" s="82" t="s">
        <v>15785</v>
      </c>
      <c r="AZ2389" s="82" t="s">
        <v>14543</v>
      </c>
      <c r="BA2389" s="82" t="s">
        <v>15804</v>
      </c>
      <c r="BB2389" s="82" t="s">
        <v>15804</v>
      </c>
      <c r="BC2389" s="82" t="s">
        <v>14543</v>
      </c>
      <c r="BD2389" s="77">
        <v>222157159</v>
      </c>
      <c r="BE2389" s="77"/>
      <c r="BF2389" s="77"/>
      <c r="BG2389" s="77"/>
      <c r="BH2389" s="77"/>
      <c r="BI2389" s="77"/>
    </row>
    <row r="2390" spans="1:61" x14ac:dyDescent="0.25">
      <c r="A2390" s="62" t="s">
        <v>922</v>
      </c>
      <c r="B2390" s="62" t="s">
        <v>922</v>
      </c>
      <c r="C2390" s="63"/>
      <c r="D2390" s="64"/>
      <c r="E2390" s="65"/>
      <c r="F2390" s="66"/>
      <c r="G2390" s="63"/>
      <c r="H2390" s="67"/>
      <c r="I2390" s="68"/>
      <c r="J2390" s="68"/>
      <c r="K2390" s="32"/>
      <c r="L2390" s="75">
        <v>2390</v>
      </c>
      <c r="M2390" s="75"/>
      <c r="N2390" s="70"/>
      <c r="O2390" s="77" t="s">
        <v>1132</v>
      </c>
      <c r="P2390" s="79">
        <v>45160.785555555558</v>
      </c>
      <c r="Q2390" s="77" t="s">
        <v>3433</v>
      </c>
      <c r="R2390" s="77">
        <v>0</v>
      </c>
      <c r="S2390" s="77">
        <v>0</v>
      </c>
      <c r="T2390" s="77">
        <v>1</v>
      </c>
      <c r="U2390" s="77">
        <v>0</v>
      </c>
      <c r="V2390" s="77">
        <v>1553</v>
      </c>
      <c r="W2390" s="82" t="s">
        <v>5597</v>
      </c>
      <c r="X2390" s="77"/>
      <c r="Y2390" s="77"/>
      <c r="Z2390" s="77"/>
      <c r="AA2390" s="77"/>
      <c r="AB2390" s="77"/>
      <c r="AC2390" s="82" t="s">
        <v>7706</v>
      </c>
      <c r="AD2390" s="77" t="s">
        <v>7748</v>
      </c>
      <c r="AE2390" s="80" t="str">
        <f>HYPERLINK("https://twitter.com/bancocentralbr/status/1694059662511947908")</f>
        <v>https://twitter.com/bancocentralbr/status/1694059662511947908</v>
      </c>
      <c r="AF2390" s="79">
        <v>45160.785555555558</v>
      </c>
      <c r="AG2390" s="85">
        <v>45160</v>
      </c>
      <c r="AH2390" s="82" t="s">
        <v>9883</v>
      </c>
      <c r="AI2390" s="77"/>
      <c r="AJ2390" s="77"/>
      <c r="AK2390" s="77"/>
      <c r="AL2390" s="77"/>
      <c r="AM2390" s="77"/>
      <c r="AN2390" s="77"/>
      <c r="AO2390" s="77"/>
      <c r="AP2390" s="77"/>
      <c r="AQ2390" s="77"/>
      <c r="AR2390" s="77"/>
      <c r="AS2390" s="77"/>
      <c r="AT2390" s="77"/>
      <c r="AU2390" s="77"/>
      <c r="AV2390" s="80" t="str">
        <f>HYPERLINK("https://pbs.twimg.com/profile_images/1674371511996628993/reGcyxoU_normal.jpg")</f>
        <v>https://pbs.twimg.com/profile_images/1674371511996628993/reGcyxoU_normal.jpg</v>
      </c>
      <c r="AW2390" s="82" t="s">
        <v>14546</v>
      </c>
      <c r="AX2390" s="82" t="s">
        <v>15566</v>
      </c>
      <c r="AY2390" s="82" t="s">
        <v>15785</v>
      </c>
      <c r="AZ2390" s="82" t="s">
        <v>15566</v>
      </c>
      <c r="BA2390" s="82" t="s">
        <v>15804</v>
      </c>
      <c r="BB2390" s="82" t="s">
        <v>15804</v>
      </c>
      <c r="BC2390" s="82" t="s">
        <v>15566</v>
      </c>
      <c r="BD2390" s="77">
        <v>222157159</v>
      </c>
      <c r="BE2390" s="77"/>
      <c r="BF2390" s="77"/>
      <c r="BG2390" s="77"/>
      <c r="BH2390" s="77"/>
      <c r="BI2390" s="77"/>
    </row>
    <row r="2391" spans="1:61" x14ac:dyDescent="0.25">
      <c r="A2391" s="62" t="s">
        <v>922</v>
      </c>
      <c r="B2391" s="62" t="s">
        <v>922</v>
      </c>
      <c r="C2391" s="63"/>
      <c r="D2391" s="64"/>
      <c r="E2391" s="65"/>
      <c r="F2391" s="66"/>
      <c r="G2391" s="63"/>
      <c r="H2391" s="67"/>
      <c r="I2391" s="68"/>
      <c r="J2391" s="68"/>
      <c r="K2391" s="32"/>
      <c r="L2391" s="75">
        <v>2391</v>
      </c>
      <c r="M2391" s="75"/>
      <c r="N2391" s="70"/>
      <c r="O2391" s="77" t="s">
        <v>1132</v>
      </c>
      <c r="P2391" s="79">
        <v>45140.682430555556</v>
      </c>
      <c r="Q2391" s="77" t="s">
        <v>3433</v>
      </c>
      <c r="R2391" s="77">
        <v>1</v>
      </c>
      <c r="S2391" s="77">
        <v>6</v>
      </c>
      <c r="T2391" s="77">
        <v>0</v>
      </c>
      <c r="U2391" s="77">
        <v>0</v>
      </c>
      <c r="V2391" s="77">
        <v>2430</v>
      </c>
      <c r="W2391" s="82" t="s">
        <v>5597</v>
      </c>
      <c r="X2391" s="77"/>
      <c r="Y2391" s="77"/>
      <c r="Z2391" s="77"/>
      <c r="AA2391" s="77"/>
      <c r="AB2391" s="77"/>
      <c r="AC2391" s="82" t="s">
        <v>7706</v>
      </c>
      <c r="AD2391" s="77" t="s">
        <v>7748</v>
      </c>
      <c r="AE2391" s="80" t="str">
        <f>HYPERLINK("https://twitter.com/bancocentralbr/status/1686774532982411264")</f>
        <v>https://twitter.com/bancocentralbr/status/1686774532982411264</v>
      </c>
      <c r="AF2391" s="79">
        <v>45140.682430555556</v>
      </c>
      <c r="AG2391" s="85">
        <v>45140</v>
      </c>
      <c r="AH2391" s="82" t="s">
        <v>9884</v>
      </c>
      <c r="AI2391" s="77"/>
      <c r="AJ2391" s="77"/>
      <c r="AK2391" s="77"/>
      <c r="AL2391" s="77"/>
      <c r="AM2391" s="77"/>
      <c r="AN2391" s="77"/>
      <c r="AO2391" s="77"/>
      <c r="AP2391" s="77"/>
      <c r="AQ2391" s="77"/>
      <c r="AR2391" s="77"/>
      <c r="AS2391" s="77"/>
      <c r="AT2391" s="77"/>
      <c r="AU2391" s="77"/>
      <c r="AV2391" s="80" t="str">
        <f>HYPERLINK("https://pbs.twimg.com/profile_images/1674371511996628993/reGcyxoU_normal.jpg")</f>
        <v>https://pbs.twimg.com/profile_images/1674371511996628993/reGcyxoU_normal.jpg</v>
      </c>
      <c r="AW2391" s="82" t="s">
        <v>14547</v>
      </c>
      <c r="AX2391" s="82" t="s">
        <v>15567</v>
      </c>
      <c r="AY2391" s="82" t="s">
        <v>15785</v>
      </c>
      <c r="AZ2391" s="82" t="s">
        <v>16079</v>
      </c>
      <c r="BA2391" s="82" t="s">
        <v>15804</v>
      </c>
      <c r="BB2391" s="82" t="s">
        <v>15804</v>
      </c>
      <c r="BC2391" s="82" t="s">
        <v>16079</v>
      </c>
      <c r="BD2391" s="77">
        <v>222157159</v>
      </c>
      <c r="BE2391" s="77"/>
      <c r="BF2391" s="77"/>
      <c r="BG2391" s="77"/>
      <c r="BH2391" s="77"/>
      <c r="BI2391" s="77"/>
    </row>
    <row r="2392" spans="1:61" x14ac:dyDescent="0.25">
      <c r="A2392" s="62" t="s">
        <v>922</v>
      </c>
      <c r="B2392" s="62" t="s">
        <v>922</v>
      </c>
      <c r="C2392" s="63"/>
      <c r="D2392" s="64"/>
      <c r="E2392" s="65"/>
      <c r="F2392" s="66"/>
      <c r="G2392" s="63"/>
      <c r="H2392" s="67"/>
      <c r="I2392" s="68"/>
      <c r="J2392" s="68"/>
      <c r="K2392" s="32"/>
      <c r="L2392" s="75">
        <v>2392</v>
      </c>
      <c r="M2392" s="75"/>
      <c r="N2392" s="70"/>
      <c r="O2392" s="77" t="s">
        <v>179</v>
      </c>
      <c r="P2392" s="79">
        <v>45061.834120370368</v>
      </c>
      <c r="Q2392" s="77" t="s">
        <v>3434</v>
      </c>
      <c r="R2392" s="77">
        <v>4</v>
      </c>
      <c r="S2392" s="77">
        <v>19</v>
      </c>
      <c r="T2392" s="77">
        <v>0</v>
      </c>
      <c r="U2392" s="77">
        <v>0</v>
      </c>
      <c r="V2392" s="77">
        <v>3448</v>
      </c>
      <c r="W2392" s="82" t="s">
        <v>4983</v>
      </c>
      <c r="X2392" s="80" t="str">
        <f>HYPERLINK("https://www.gov.br/semanaenef/pt-br")</f>
        <v>https://www.gov.br/semanaenef/pt-br</v>
      </c>
      <c r="Y2392" s="77" t="s">
        <v>6074</v>
      </c>
      <c r="Z2392" s="77"/>
      <c r="AA2392" s="77" t="s">
        <v>7478</v>
      </c>
      <c r="AB2392" s="77" t="s">
        <v>7696</v>
      </c>
      <c r="AC2392" s="82" t="s">
        <v>7706</v>
      </c>
      <c r="AD2392" s="77" t="s">
        <v>7745</v>
      </c>
      <c r="AE2392" s="80" t="str">
        <f>HYPERLINK("https://twitter.com/bancocentralbr/status/1658200864967000066")</f>
        <v>https://twitter.com/bancocentralbr/status/1658200864967000066</v>
      </c>
      <c r="AF2392" s="79">
        <v>45061.834120370368</v>
      </c>
      <c r="AG2392" s="85">
        <v>45061</v>
      </c>
      <c r="AH2392" s="82" t="s">
        <v>9885</v>
      </c>
      <c r="AI2392" s="77" t="b">
        <v>0</v>
      </c>
      <c r="AJ2392" s="77"/>
      <c r="AK2392" s="77"/>
      <c r="AL2392" s="77"/>
      <c r="AM2392" s="77"/>
      <c r="AN2392" s="77"/>
      <c r="AO2392" s="77"/>
      <c r="AP2392" s="77"/>
      <c r="AQ2392" s="77" t="s">
        <v>11985</v>
      </c>
      <c r="AR2392" s="77"/>
      <c r="AS2392" s="77"/>
      <c r="AT2392" s="77"/>
      <c r="AU2392" s="77"/>
      <c r="AV2392" s="80" t="str">
        <f>HYPERLINK("https://pbs.twimg.com/media/FwMciksWIAcWjUN.jpg")</f>
        <v>https://pbs.twimg.com/media/FwMciksWIAcWjUN.jpg</v>
      </c>
      <c r="AW2392" s="82" t="s">
        <v>14548</v>
      </c>
      <c r="AX2392" s="82" t="s">
        <v>14548</v>
      </c>
      <c r="AY2392" s="77"/>
      <c r="AZ2392" s="82" t="s">
        <v>15804</v>
      </c>
      <c r="BA2392" s="82" t="s">
        <v>15804</v>
      </c>
      <c r="BB2392" s="82" t="s">
        <v>15804</v>
      </c>
      <c r="BC2392" s="82" t="s">
        <v>14548</v>
      </c>
      <c r="BD2392" s="77">
        <v>222157159</v>
      </c>
      <c r="BE2392" s="77"/>
      <c r="BF2392" s="77"/>
      <c r="BG2392" s="77"/>
      <c r="BH2392" s="77"/>
      <c r="BI2392" s="77"/>
    </row>
    <row r="2393" spans="1:61" x14ac:dyDescent="0.25">
      <c r="A2393" s="62" t="s">
        <v>923</v>
      </c>
      <c r="B2393" s="62" t="s">
        <v>923</v>
      </c>
      <c r="C2393" s="63"/>
      <c r="D2393" s="64"/>
      <c r="E2393" s="65"/>
      <c r="F2393" s="66"/>
      <c r="G2393" s="63"/>
      <c r="H2393" s="67"/>
      <c r="I2393" s="68"/>
      <c r="J2393" s="68"/>
      <c r="K2393" s="32"/>
      <c r="L2393" s="75">
        <v>2393</v>
      </c>
      <c r="M2393" s="75"/>
      <c r="N2393" s="70"/>
      <c r="O2393" s="77" t="s">
        <v>1132</v>
      </c>
      <c r="P2393" s="79">
        <v>45058.605821759258</v>
      </c>
      <c r="Q2393" s="77" t="s">
        <v>3435</v>
      </c>
      <c r="R2393" s="77">
        <v>0</v>
      </c>
      <c r="S2393" s="77">
        <v>0</v>
      </c>
      <c r="T2393" s="77">
        <v>1</v>
      </c>
      <c r="U2393" s="77">
        <v>0</v>
      </c>
      <c r="V2393" s="77">
        <v>26</v>
      </c>
      <c r="W2393" s="82" t="s">
        <v>4097</v>
      </c>
      <c r="X2393" s="77"/>
      <c r="Y2393" s="77"/>
      <c r="Z2393" s="77"/>
      <c r="AA2393" s="77"/>
      <c r="AB2393" s="77"/>
      <c r="AC2393" s="82" t="s">
        <v>7705</v>
      </c>
      <c r="AD2393" s="77" t="s">
        <v>7745</v>
      </c>
      <c r="AE2393" s="80" t="str">
        <f>HYPERLINK("https://twitter.com/napoleaoadv/status/1657030967737851905")</f>
        <v>https://twitter.com/napoleaoadv/status/1657030967737851905</v>
      </c>
      <c r="AF2393" s="79">
        <v>45058.605821759258</v>
      </c>
      <c r="AG2393" s="85">
        <v>45058</v>
      </c>
      <c r="AH2393" s="82" t="s">
        <v>9886</v>
      </c>
      <c r="AI2393" s="77"/>
      <c r="AJ2393" s="77" t="s">
        <v>10548</v>
      </c>
      <c r="AK2393" s="77" t="s">
        <v>10552</v>
      </c>
      <c r="AL2393" s="77" t="s">
        <v>10555</v>
      </c>
      <c r="AM2393" s="77" t="s">
        <v>10552</v>
      </c>
      <c r="AN2393" s="77" t="s">
        <v>10615</v>
      </c>
      <c r="AO2393" s="77" t="s">
        <v>10552</v>
      </c>
      <c r="AP2393" s="77" t="s">
        <v>10652</v>
      </c>
      <c r="AQ2393" s="77"/>
      <c r="AR2393" s="77"/>
      <c r="AS2393" s="77"/>
      <c r="AT2393" s="77"/>
      <c r="AU2393" s="77"/>
      <c r="AV2393" s="80" t="str">
        <f>HYPERLINK("https://pbs.twimg.com/profile_images/1503890146986541066/0aL4a0xD_normal.jpg")</f>
        <v>https://pbs.twimg.com/profile_images/1503890146986541066/0aL4a0xD_normal.jpg</v>
      </c>
      <c r="AW2393" s="82" t="s">
        <v>14549</v>
      </c>
      <c r="AX2393" s="82" t="s">
        <v>15568</v>
      </c>
      <c r="AY2393" s="82" t="s">
        <v>15786</v>
      </c>
      <c r="AZ2393" s="82" t="s">
        <v>16080</v>
      </c>
      <c r="BA2393" s="82" t="s">
        <v>15804</v>
      </c>
      <c r="BB2393" s="82" t="s">
        <v>15804</v>
      </c>
      <c r="BC2393" s="82" t="s">
        <v>16080</v>
      </c>
      <c r="BD2393" s="77">
        <v>370629670</v>
      </c>
      <c r="BE2393" s="77"/>
      <c r="BF2393" s="77"/>
      <c r="BG2393" s="77"/>
      <c r="BH2393" s="77"/>
      <c r="BI2393" s="77"/>
    </row>
    <row r="2394" spans="1:61" x14ac:dyDescent="0.25">
      <c r="A2394" s="62" t="s">
        <v>924</v>
      </c>
      <c r="B2394" s="62" t="s">
        <v>924</v>
      </c>
      <c r="C2394" s="63"/>
      <c r="D2394" s="64"/>
      <c r="E2394" s="65"/>
      <c r="F2394" s="66"/>
      <c r="G2394" s="63"/>
      <c r="H2394" s="67"/>
      <c r="I2394" s="68"/>
      <c r="J2394" s="68"/>
      <c r="K2394" s="32"/>
      <c r="L2394" s="75">
        <v>2394</v>
      </c>
      <c r="M2394" s="75"/>
      <c r="N2394" s="70"/>
      <c r="O2394" s="77" t="s">
        <v>179</v>
      </c>
      <c r="P2394" s="79">
        <v>44944.659201388888</v>
      </c>
      <c r="Q2394" s="77" t="s">
        <v>3436</v>
      </c>
      <c r="R2394" s="77">
        <v>0</v>
      </c>
      <c r="S2394" s="77">
        <v>0</v>
      </c>
      <c r="T2394" s="77">
        <v>0</v>
      </c>
      <c r="U2394" s="77">
        <v>0</v>
      </c>
      <c r="V2394" s="77">
        <v>12</v>
      </c>
      <c r="W2394" s="82" t="s">
        <v>5600</v>
      </c>
      <c r="X2394" s="80" t="str">
        <f>HYPERLINK("https://www.instagram.com/p/Cnj-ejhuSKd/?igshid=YTgzYjQ4ZTY=")</f>
        <v>https://www.instagram.com/p/Cnj-ejhuSKd/?igshid=YTgzYjQ4ZTY=</v>
      </c>
      <c r="Y2394" s="77" t="s">
        <v>6000</v>
      </c>
      <c r="Z2394" s="77"/>
      <c r="AA2394" s="77"/>
      <c r="AB2394" s="77"/>
      <c r="AC2394" s="82" t="s">
        <v>7704</v>
      </c>
      <c r="AD2394" s="77" t="s">
        <v>7745</v>
      </c>
      <c r="AE2394" s="80" t="str">
        <f>HYPERLINK("https://twitter.com/robertojb22/status/1615738095923597314")</f>
        <v>https://twitter.com/robertojb22/status/1615738095923597314</v>
      </c>
      <c r="AF2394" s="79">
        <v>44944.659201388888</v>
      </c>
      <c r="AG2394" s="85">
        <v>44944</v>
      </c>
      <c r="AH2394" s="82" t="s">
        <v>9887</v>
      </c>
      <c r="AI2394" s="77" t="b">
        <v>0</v>
      </c>
      <c r="AJ2394" s="77"/>
      <c r="AK2394" s="77"/>
      <c r="AL2394" s="77"/>
      <c r="AM2394" s="77"/>
      <c r="AN2394" s="77"/>
      <c r="AO2394" s="77"/>
      <c r="AP2394" s="77"/>
      <c r="AQ2394" s="77"/>
      <c r="AR2394" s="77"/>
      <c r="AS2394" s="77"/>
      <c r="AT2394" s="77"/>
      <c r="AU2394" s="77"/>
      <c r="AV2394" s="80" t="str">
        <f>HYPERLINK("https://pbs.twimg.com/profile_images/1581719229493018629/DuBci318_normal.jpg")</f>
        <v>https://pbs.twimg.com/profile_images/1581719229493018629/DuBci318_normal.jpg</v>
      </c>
      <c r="AW2394" s="82" t="s">
        <v>14550</v>
      </c>
      <c r="AX2394" s="82" t="s">
        <v>14550</v>
      </c>
      <c r="AY2394" s="77"/>
      <c r="AZ2394" s="82" t="s">
        <v>15804</v>
      </c>
      <c r="BA2394" s="82" t="s">
        <v>15804</v>
      </c>
      <c r="BB2394" s="82" t="s">
        <v>15804</v>
      </c>
      <c r="BC2394" s="82" t="s">
        <v>14550</v>
      </c>
      <c r="BD2394" s="82" t="s">
        <v>16536</v>
      </c>
      <c r="BE2394" s="77"/>
      <c r="BF2394" s="77"/>
      <c r="BG2394" s="77"/>
      <c r="BH2394" s="77"/>
      <c r="BI2394" s="77"/>
    </row>
    <row r="2395" spans="1:61" x14ac:dyDescent="0.25">
      <c r="A2395" s="62" t="s">
        <v>925</v>
      </c>
      <c r="B2395" s="62" t="s">
        <v>1102</v>
      </c>
      <c r="C2395" s="63"/>
      <c r="D2395" s="64"/>
      <c r="E2395" s="65"/>
      <c r="F2395" s="66"/>
      <c r="G2395" s="63"/>
      <c r="H2395" s="67"/>
      <c r="I2395" s="68"/>
      <c r="J2395" s="68"/>
      <c r="K2395" s="32"/>
      <c r="L2395" s="75">
        <v>2395</v>
      </c>
      <c r="M2395" s="75"/>
      <c r="N2395" s="70"/>
      <c r="O2395" s="77" t="s">
        <v>1133</v>
      </c>
      <c r="P2395" s="79">
        <v>45026.434259259258</v>
      </c>
      <c r="Q2395" s="77" t="s">
        <v>3437</v>
      </c>
      <c r="R2395" s="77">
        <v>0</v>
      </c>
      <c r="S2395" s="77">
        <v>3</v>
      </c>
      <c r="T2395" s="77">
        <v>0</v>
      </c>
      <c r="U2395" s="77">
        <v>0</v>
      </c>
      <c r="V2395" s="77">
        <v>37</v>
      </c>
      <c r="W2395" s="82" t="s">
        <v>5601</v>
      </c>
      <c r="X2395" s="80" t="str">
        <f>HYPERLINK("https://valor.globo.com/financas/consultorio-financeiro/coluna/morar-de-aluguel-e-investir-ou-comprar-imovel-a-vista-o-que-vale-mais-a-pena.ghtml")</f>
        <v>https://valor.globo.com/financas/consultorio-financeiro/coluna/morar-de-aluguel-e-investir-ou-comprar-imovel-a-vista-o-que-vale-mais-a-pena.ghtml</v>
      </c>
      <c r="Y2395" s="77" t="s">
        <v>6037</v>
      </c>
      <c r="Z2395" s="77" t="s">
        <v>1102</v>
      </c>
      <c r="AA2395" s="77"/>
      <c r="AB2395" s="77"/>
      <c r="AC2395" s="82" t="s">
        <v>7707</v>
      </c>
      <c r="AD2395" s="77" t="s">
        <v>7745</v>
      </c>
      <c r="AE2395" s="80" t="str">
        <f>HYPERLINK("https://twitter.com/adrianadelucca/status/1645372385116446720")</f>
        <v>https://twitter.com/adrianadelucca/status/1645372385116446720</v>
      </c>
      <c r="AF2395" s="79">
        <v>45026.434259259258</v>
      </c>
      <c r="AG2395" s="85">
        <v>45026</v>
      </c>
      <c r="AH2395" s="82" t="s">
        <v>9888</v>
      </c>
      <c r="AI2395" s="77" t="b">
        <v>0</v>
      </c>
      <c r="AJ2395" s="77"/>
      <c r="AK2395" s="77"/>
      <c r="AL2395" s="77"/>
      <c r="AM2395" s="77"/>
      <c r="AN2395" s="77"/>
      <c r="AO2395" s="77"/>
      <c r="AP2395" s="77"/>
      <c r="AQ2395" s="77"/>
      <c r="AR2395" s="77"/>
      <c r="AS2395" s="77"/>
      <c r="AT2395" s="77"/>
      <c r="AU2395" s="77"/>
      <c r="AV2395" s="80" t="str">
        <f>HYPERLINK("https://pbs.twimg.com/profile_images/1157457344336465920/rNRUUP4S_normal.jpg")</f>
        <v>https://pbs.twimg.com/profile_images/1157457344336465920/rNRUUP4S_normal.jpg</v>
      </c>
      <c r="AW2395" s="82" t="s">
        <v>14551</v>
      </c>
      <c r="AX2395" s="82" t="s">
        <v>14551</v>
      </c>
      <c r="AY2395" s="77"/>
      <c r="AZ2395" s="82" t="s">
        <v>15804</v>
      </c>
      <c r="BA2395" s="82" t="s">
        <v>15804</v>
      </c>
      <c r="BB2395" s="82" t="s">
        <v>15804</v>
      </c>
      <c r="BC2395" s="82" t="s">
        <v>14551</v>
      </c>
      <c r="BD2395" s="77">
        <v>213998056</v>
      </c>
      <c r="BE2395" s="77"/>
      <c r="BF2395" s="77"/>
      <c r="BG2395" s="77"/>
      <c r="BH2395" s="77"/>
      <c r="BI2395" s="77"/>
    </row>
    <row r="2396" spans="1:61" x14ac:dyDescent="0.25">
      <c r="A2396" s="62" t="s">
        <v>926</v>
      </c>
      <c r="B2396" s="62" t="s">
        <v>1121</v>
      </c>
      <c r="C2396" s="63"/>
      <c r="D2396" s="64"/>
      <c r="E2396" s="65"/>
      <c r="F2396" s="66"/>
      <c r="G2396" s="63"/>
      <c r="H2396" s="67"/>
      <c r="I2396" s="68"/>
      <c r="J2396" s="68"/>
      <c r="K2396" s="32"/>
      <c r="L2396" s="75">
        <v>2396</v>
      </c>
      <c r="M2396" s="75"/>
      <c r="N2396" s="70"/>
      <c r="O2396" s="77" t="s">
        <v>1133</v>
      </c>
      <c r="P2396" s="79">
        <v>45111.744745370372</v>
      </c>
      <c r="Q2396" s="77" t="s">
        <v>3438</v>
      </c>
      <c r="R2396" s="77">
        <v>0</v>
      </c>
      <c r="S2396" s="77">
        <v>0</v>
      </c>
      <c r="T2396" s="77">
        <v>0</v>
      </c>
      <c r="U2396" s="77">
        <v>0</v>
      </c>
      <c r="V2396" s="77">
        <v>25</v>
      </c>
      <c r="W2396" s="82" t="s">
        <v>5590</v>
      </c>
      <c r="X2396" s="80" t="str">
        <f>HYPERLINK("https://cryptic.pt/noticia/corretora-de-criptomoedas-do-btg-lanca-curso-de-bitcoin/")</f>
        <v>https://cryptic.pt/noticia/corretora-de-criptomoedas-do-btg-lanca-curso-de-bitcoin/</v>
      </c>
      <c r="Y2396" s="77" t="s">
        <v>6103</v>
      </c>
      <c r="Z2396" s="77" t="s">
        <v>1121</v>
      </c>
      <c r="AA2396" s="77"/>
      <c r="AB2396" s="77"/>
      <c r="AC2396" s="82" t="s">
        <v>7706</v>
      </c>
      <c r="AD2396" s="77" t="s">
        <v>7745</v>
      </c>
      <c r="AE2396" s="80" t="str">
        <f>HYPERLINK("https://twitter.com/domingosvascon/status/1676287867859902472")</f>
        <v>https://twitter.com/domingosvascon/status/1676287867859902472</v>
      </c>
      <c r="AF2396" s="79">
        <v>45111.744745370372</v>
      </c>
      <c r="AG2396" s="85">
        <v>45111</v>
      </c>
      <c r="AH2396" s="82" t="s">
        <v>9889</v>
      </c>
      <c r="AI2396" s="77" t="b">
        <v>0</v>
      </c>
      <c r="AJ2396" s="77"/>
      <c r="AK2396" s="77"/>
      <c r="AL2396" s="77"/>
      <c r="AM2396" s="77"/>
      <c r="AN2396" s="77"/>
      <c r="AO2396" s="77"/>
      <c r="AP2396" s="77"/>
      <c r="AQ2396" s="77"/>
      <c r="AR2396" s="77"/>
      <c r="AS2396" s="77"/>
      <c r="AT2396" s="77"/>
      <c r="AU2396" s="77"/>
      <c r="AV2396" s="80" t="str">
        <f>HYPERLINK("https://pbs.twimg.com/profile_images/895329953750896640/m2LyIdRg_normal.jpg")</f>
        <v>https://pbs.twimg.com/profile_images/895329953750896640/m2LyIdRg_normal.jpg</v>
      </c>
      <c r="AW2396" s="82" t="s">
        <v>14552</v>
      </c>
      <c r="AX2396" s="82" t="s">
        <v>14552</v>
      </c>
      <c r="AY2396" s="77"/>
      <c r="AZ2396" s="82" t="s">
        <v>15804</v>
      </c>
      <c r="BA2396" s="82" t="s">
        <v>15804</v>
      </c>
      <c r="BB2396" s="82" t="s">
        <v>15804</v>
      </c>
      <c r="BC2396" s="82" t="s">
        <v>14552</v>
      </c>
      <c r="BD2396" s="82" t="s">
        <v>16537</v>
      </c>
      <c r="BE2396" s="77"/>
      <c r="BF2396" s="77"/>
      <c r="BG2396" s="77"/>
      <c r="BH2396" s="77"/>
      <c r="BI2396" s="77"/>
    </row>
    <row r="2397" spans="1:61" x14ac:dyDescent="0.25">
      <c r="A2397" s="62" t="s">
        <v>927</v>
      </c>
      <c r="B2397" s="62" t="s">
        <v>927</v>
      </c>
      <c r="C2397" s="63"/>
      <c r="D2397" s="64"/>
      <c r="E2397" s="65"/>
      <c r="F2397" s="66"/>
      <c r="G2397" s="63"/>
      <c r="H2397" s="67"/>
      <c r="I2397" s="68"/>
      <c r="J2397" s="68"/>
      <c r="K2397" s="32"/>
      <c r="L2397" s="75">
        <v>2397</v>
      </c>
      <c r="M2397" s="75"/>
      <c r="N2397" s="70"/>
      <c r="O2397" s="77" t="s">
        <v>179</v>
      </c>
      <c r="P2397" s="79">
        <v>45056.648668981485</v>
      </c>
      <c r="Q2397" s="77" t="s">
        <v>3439</v>
      </c>
      <c r="R2397" s="77">
        <v>0</v>
      </c>
      <c r="S2397" s="77">
        <v>0</v>
      </c>
      <c r="T2397" s="77">
        <v>0</v>
      </c>
      <c r="U2397" s="77">
        <v>0</v>
      </c>
      <c r="V2397" s="77">
        <v>12</v>
      </c>
      <c r="W2397" s="82" t="s">
        <v>5264</v>
      </c>
      <c r="X2397" s="80" t="str">
        <f>HYPERLINK("http://dlvr.it/Snqglz")</f>
        <v>http://dlvr.it/Snqglz</v>
      </c>
      <c r="Y2397" s="77" t="s">
        <v>6089</v>
      </c>
      <c r="Z2397" s="77"/>
      <c r="AA2397" s="77" t="s">
        <v>7479</v>
      </c>
      <c r="AB2397" s="77" t="s">
        <v>7696</v>
      </c>
      <c r="AC2397" s="82" t="s">
        <v>6089</v>
      </c>
      <c r="AD2397" s="77" t="s">
        <v>7745</v>
      </c>
      <c r="AE2397" s="80" t="str">
        <f>HYPERLINK("https://twitter.com/against_state/status/1656321721174212609")</f>
        <v>https://twitter.com/against_state/status/1656321721174212609</v>
      </c>
      <c r="AF2397" s="79">
        <v>45056.648668981485</v>
      </c>
      <c r="AG2397" s="85">
        <v>45056</v>
      </c>
      <c r="AH2397" s="82" t="s">
        <v>9890</v>
      </c>
      <c r="AI2397" s="77" t="b">
        <v>0</v>
      </c>
      <c r="AJ2397" s="77"/>
      <c r="AK2397" s="77"/>
      <c r="AL2397" s="77"/>
      <c r="AM2397" s="77"/>
      <c r="AN2397" s="77"/>
      <c r="AO2397" s="77"/>
      <c r="AP2397" s="77"/>
      <c r="AQ2397" s="77" t="s">
        <v>11986</v>
      </c>
      <c r="AR2397" s="77"/>
      <c r="AS2397" s="77"/>
      <c r="AT2397" s="77"/>
      <c r="AU2397" s="77"/>
      <c r="AV2397" s="80" t="str">
        <f>HYPERLINK("https://pbs.twimg.com/media/Fvxv1A6aMAETcGY.jpg")</f>
        <v>https://pbs.twimg.com/media/Fvxv1A6aMAETcGY.jpg</v>
      </c>
      <c r="AW2397" s="82" t="s">
        <v>14553</v>
      </c>
      <c r="AX2397" s="82" t="s">
        <v>14553</v>
      </c>
      <c r="AY2397" s="77"/>
      <c r="AZ2397" s="82" t="s">
        <v>15804</v>
      </c>
      <c r="BA2397" s="82" t="s">
        <v>15804</v>
      </c>
      <c r="BB2397" s="82" t="s">
        <v>15804</v>
      </c>
      <c r="BC2397" s="82" t="s">
        <v>14553</v>
      </c>
      <c r="BD2397" s="82" t="s">
        <v>16538</v>
      </c>
      <c r="BE2397" s="77"/>
      <c r="BF2397" s="77"/>
      <c r="BG2397" s="77"/>
      <c r="BH2397" s="77"/>
      <c r="BI2397" s="77"/>
    </row>
    <row r="2398" spans="1:61" x14ac:dyDescent="0.25">
      <c r="A2398" s="62" t="s">
        <v>928</v>
      </c>
      <c r="B2398" s="62" t="s">
        <v>928</v>
      </c>
      <c r="C2398" s="63"/>
      <c r="D2398" s="64"/>
      <c r="E2398" s="65"/>
      <c r="F2398" s="66"/>
      <c r="G2398" s="63"/>
      <c r="H2398" s="67"/>
      <c r="I2398" s="68"/>
      <c r="J2398" s="68"/>
      <c r="K2398" s="32"/>
      <c r="L2398" s="75">
        <v>2398</v>
      </c>
      <c r="M2398" s="75"/>
      <c r="N2398" s="70"/>
      <c r="O2398" s="77" t="s">
        <v>179</v>
      </c>
      <c r="P2398" s="79">
        <v>45116.610856481479</v>
      </c>
      <c r="Q2398" s="77" t="s">
        <v>3440</v>
      </c>
      <c r="R2398" s="77">
        <v>0</v>
      </c>
      <c r="S2398" s="77">
        <v>0</v>
      </c>
      <c r="T2398" s="77">
        <v>0</v>
      </c>
      <c r="U2398" s="77">
        <v>0</v>
      </c>
      <c r="V2398" s="77">
        <v>13</v>
      </c>
      <c r="W2398" s="82" t="s">
        <v>4080</v>
      </c>
      <c r="X2398" s="77"/>
      <c r="Y2398" s="77"/>
      <c r="Z2398" s="77"/>
      <c r="AA2398" s="77"/>
      <c r="AB2398" s="77"/>
      <c r="AC2398" s="82" t="s">
        <v>7705</v>
      </c>
      <c r="AD2398" s="77" t="s">
        <v>7745</v>
      </c>
      <c r="AE2398" s="80" t="str">
        <f>HYPERLINK("https://twitter.com/rodrigo_sivieri/status/1678051290327273473")</f>
        <v>https://twitter.com/rodrigo_sivieri/status/1678051290327273473</v>
      </c>
      <c r="AF2398" s="79">
        <v>45116.610856481479</v>
      </c>
      <c r="AG2398" s="85">
        <v>45116</v>
      </c>
      <c r="AH2398" s="82" t="s">
        <v>9891</v>
      </c>
      <c r="AI2398" s="77"/>
      <c r="AJ2398" s="77"/>
      <c r="AK2398" s="77"/>
      <c r="AL2398" s="77"/>
      <c r="AM2398" s="77"/>
      <c r="AN2398" s="77"/>
      <c r="AO2398" s="77"/>
      <c r="AP2398" s="77"/>
      <c r="AQ2398" s="77"/>
      <c r="AR2398" s="77"/>
      <c r="AS2398" s="77"/>
      <c r="AT2398" s="77"/>
      <c r="AU2398" s="77"/>
      <c r="AV2398" s="80" t="str">
        <f>HYPERLINK("https://pbs.twimg.com/profile_images/1678049466195083264/8s3OgNV5_normal.jpg")</f>
        <v>https://pbs.twimg.com/profile_images/1678049466195083264/8s3OgNV5_normal.jpg</v>
      </c>
      <c r="AW2398" s="82" t="s">
        <v>14554</v>
      </c>
      <c r="AX2398" s="82" t="s">
        <v>14554</v>
      </c>
      <c r="AY2398" s="77"/>
      <c r="AZ2398" s="82" t="s">
        <v>15804</v>
      </c>
      <c r="BA2398" s="82" t="s">
        <v>15804</v>
      </c>
      <c r="BB2398" s="82" t="s">
        <v>15804</v>
      </c>
      <c r="BC2398" s="82" t="s">
        <v>14554</v>
      </c>
      <c r="BD2398" s="82" t="s">
        <v>16539</v>
      </c>
      <c r="BE2398" s="77"/>
      <c r="BF2398" s="77"/>
      <c r="BG2398" s="77"/>
      <c r="BH2398" s="77"/>
      <c r="BI2398" s="77"/>
    </row>
    <row r="2399" spans="1:61" x14ac:dyDescent="0.25">
      <c r="A2399" s="62" t="s">
        <v>929</v>
      </c>
      <c r="B2399" s="62" t="s">
        <v>929</v>
      </c>
      <c r="C2399" s="63"/>
      <c r="D2399" s="64"/>
      <c r="E2399" s="65"/>
      <c r="F2399" s="66"/>
      <c r="G2399" s="63"/>
      <c r="H2399" s="67"/>
      <c r="I2399" s="68"/>
      <c r="J2399" s="68"/>
      <c r="K2399" s="32"/>
      <c r="L2399" s="75">
        <v>2399</v>
      </c>
      <c r="M2399" s="75"/>
      <c r="N2399" s="70"/>
      <c r="O2399" s="77" t="s">
        <v>1132</v>
      </c>
      <c r="P2399" s="79">
        <v>45109.667858796296</v>
      </c>
      <c r="Q2399" s="77" t="s">
        <v>3441</v>
      </c>
      <c r="R2399" s="77">
        <v>0</v>
      </c>
      <c r="S2399" s="77">
        <v>0</v>
      </c>
      <c r="T2399" s="77">
        <v>0</v>
      </c>
      <c r="U2399" s="77">
        <v>0</v>
      </c>
      <c r="V2399" s="77">
        <v>6</v>
      </c>
      <c r="W2399" s="82" t="s">
        <v>5602</v>
      </c>
      <c r="X2399" s="80" t="str">
        <f>HYPERLINK("https://kiwify.app/EZJ9oHd")</f>
        <v>https://kiwify.app/EZJ9oHd</v>
      </c>
      <c r="Y2399" s="77" t="s">
        <v>6104</v>
      </c>
      <c r="Z2399" s="77"/>
      <c r="AA2399" s="77"/>
      <c r="AB2399" s="77"/>
      <c r="AC2399" s="82" t="s">
        <v>7707</v>
      </c>
      <c r="AD2399" s="77" t="s">
        <v>7746</v>
      </c>
      <c r="AE2399" s="80" t="str">
        <f>HYPERLINK("https://twitter.com/achadosdomark/status/1675535229837082625")</f>
        <v>https://twitter.com/achadosdomark/status/1675535229837082625</v>
      </c>
      <c r="AF2399" s="79">
        <v>45109.667858796296</v>
      </c>
      <c r="AG2399" s="85">
        <v>45109</v>
      </c>
      <c r="AH2399" s="82" t="s">
        <v>9892</v>
      </c>
      <c r="AI2399" s="77" t="b">
        <v>0</v>
      </c>
      <c r="AJ2399" s="77"/>
      <c r="AK2399" s="77"/>
      <c r="AL2399" s="77"/>
      <c r="AM2399" s="77"/>
      <c r="AN2399" s="77"/>
      <c r="AO2399" s="77"/>
      <c r="AP2399" s="77"/>
      <c r="AQ2399" s="77"/>
      <c r="AR2399" s="77"/>
      <c r="AS2399" s="77"/>
      <c r="AT2399" s="77"/>
      <c r="AU2399" s="77"/>
      <c r="AV2399" s="80" t="str">
        <f>HYPERLINK("https://pbs.twimg.com/profile_images/1672324531053010948/ZGQMaENz_normal.jpg")</f>
        <v>https://pbs.twimg.com/profile_images/1672324531053010948/ZGQMaENz_normal.jpg</v>
      </c>
      <c r="AW2399" s="82" t="s">
        <v>14555</v>
      </c>
      <c r="AX2399" s="82" t="s">
        <v>15569</v>
      </c>
      <c r="AY2399" s="82" t="s">
        <v>15787</v>
      </c>
      <c r="AZ2399" s="82" t="s">
        <v>16081</v>
      </c>
      <c r="BA2399" s="82" t="s">
        <v>15804</v>
      </c>
      <c r="BB2399" s="82" t="s">
        <v>15804</v>
      </c>
      <c r="BC2399" s="82" t="s">
        <v>16081</v>
      </c>
      <c r="BD2399" s="82" t="s">
        <v>15787</v>
      </c>
      <c r="BE2399" s="77"/>
      <c r="BF2399" s="77"/>
      <c r="BG2399" s="77"/>
      <c r="BH2399" s="77"/>
      <c r="BI2399" s="77"/>
    </row>
    <row r="2400" spans="1:61" x14ac:dyDescent="0.25">
      <c r="A2400" s="62" t="s">
        <v>930</v>
      </c>
      <c r="B2400" s="62" t="s">
        <v>930</v>
      </c>
      <c r="C2400" s="63"/>
      <c r="D2400" s="64"/>
      <c r="E2400" s="65"/>
      <c r="F2400" s="66"/>
      <c r="G2400" s="63"/>
      <c r="H2400" s="67"/>
      <c r="I2400" s="68"/>
      <c r="J2400" s="68"/>
      <c r="K2400" s="32"/>
      <c r="L2400" s="75">
        <v>2400</v>
      </c>
      <c r="M2400" s="75"/>
      <c r="N2400" s="70"/>
      <c r="O2400" s="77" t="s">
        <v>179</v>
      </c>
      <c r="P2400" s="79">
        <v>44978.573287037034</v>
      </c>
      <c r="Q2400" s="77" t="s">
        <v>3442</v>
      </c>
      <c r="R2400" s="77">
        <v>0</v>
      </c>
      <c r="S2400" s="77">
        <v>0</v>
      </c>
      <c r="T2400" s="77">
        <v>0</v>
      </c>
      <c r="U2400" s="77">
        <v>0</v>
      </c>
      <c r="V2400" s="77">
        <v>24</v>
      </c>
      <c r="W2400" s="82" t="s">
        <v>5590</v>
      </c>
      <c r="X2400" s="77"/>
      <c r="Y2400" s="77"/>
      <c r="Z2400" s="77"/>
      <c r="AA2400" s="77"/>
      <c r="AB2400" s="77"/>
      <c r="AC2400" s="82" t="s">
        <v>7706</v>
      </c>
      <c r="AD2400" s="77" t="s">
        <v>7745</v>
      </c>
      <c r="AE2400" s="80" t="str">
        <f>HYPERLINK("https://twitter.com/infobolsainvest/status/1628028146179096576")</f>
        <v>https://twitter.com/infobolsainvest/status/1628028146179096576</v>
      </c>
      <c r="AF2400" s="79">
        <v>44978.573287037034</v>
      </c>
      <c r="AG2400" s="85">
        <v>44978</v>
      </c>
      <c r="AH2400" s="82" t="s">
        <v>9893</v>
      </c>
      <c r="AI2400" s="77"/>
      <c r="AJ2400" s="77"/>
      <c r="AK2400" s="77"/>
      <c r="AL2400" s="77"/>
      <c r="AM2400" s="77"/>
      <c r="AN2400" s="77"/>
      <c r="AO2400" s="77"/>
      <c r="AP2400" s="77"/>
      <c r="AQ2400" s="77"/>
      <c r="AR2400" s="77"/>
      <c r="AS2400" s="77"/>
      <c r="AT2400" s="77"/>
      <c r="AU2400" s="77"/>
      <c r="AV2400" s="80" t="str">
        <f>HYPERLINK("https://pbs.twimg.com/profile_images/1512473757767585800/s9bsGnn2_normal.jpg")</f>
        <v>https://pbs.twimg.com/profile_images/1512473757767585800/s9bsGnn2_normal.jpg</v>
      </c>
      <c r="AW2400" s="82" t="s">
        <v>14556</v>
      </c>
      <c r="AX2400" s="82" t="s">
        <v>14556</v>
      </c>
      <c r="AY2400" s="77"/>
      <c r="AZ2400" s="82" t="s">
        <v>15804</v>
      </c>
      <c r="BA2400" s="82" t="s">
        <v>15804</v>
      </c>
      <c r="BB2400" s="82" t="s">
        <v>15804</v>
      </c>
      <c r="BC2400" s="82" t="s">
        <v>14556</v>
      </c>
      <c r="BD2400" s="82" t="s">
        <v>16540</v>
      </c>
      <c r="BE2400" s="77"/>
      <c r="BF2400" s="77"/>
      <c r="BG2400" s="77"/>
      <c r="BH2400" s="77"/>
      <c r="BI2400" s="77"/>
    </row>
    <row r="2401" spans="1:61" x14ac:dyDescent="0.25">
      <c r="A2401" s="62" t="s">
        <v>931</v>
      </c>
      <c r="B2401" s="62" t="s">
        <v>931</v>
      </c>
      <c r="C2401" s="63"/>
      <c r="D2401" s="64"/>
      <c r="E2401" s="65"/>
      <c r="F2401" s="66"/>
      <c r="G2401" s="63"/>
      <c r="H2401" s="67"/>
      <c r="I2401" s="68"/>
      <c r="J2401" s="68"/>
      <c r="K2401" s="32"/>
      <c r="L2401" s="75">
        <v>2401</v>
      </c>
      <c r="M2401" s="75"/>
      <c r="N2401" s="70"/>
      <c r="O2401" s="77" t="s">
        <v>179</v>
      </c>
      <c r="P2401" s="79">
        <v>44975.592928240738</v>
      </c>
      <c r="Q2401" s="77" t="s">
        <v>3443</v>
      </c>
      <c r="R2401" s="77">
        <v>0</v>
      </c>
      <c r="S2401" s="77">
        <v>0</v>
      </c>
      <c r="T2401" s="77">
        <v>0</v>
      </c>
      <c r="U2401" s="77">
        <v>0</v>
      </c>
      <c r="V2401" s="77">
        <v>14</v>
      </c>
      <c r="W2401" s="82" t="s">
        <v>5603</v>
      </c>
      <c r="X2401" s="77"/>
      <c r="Y2401" s="77"/>
      <c r="Z2401" s="77"/>
      <c r="AA2401" s="77"/>
      <c r="AB2401" s="77"/>
      <c r="AC2401" s="82" t="s">
        <v>7707</v>
      </c>
      <c r="AD2401" s="77" t="s">
        <v>7745</v>
      </c>
      <c r="AE2401" s="80" t="str">
        <f>HYPERLINK("https://twitter.com/jeo1oficial/status/1626948102602035200")</f>
        <v>https://twitter.com/jeo1oficial/status/1626948102602035200</v>
      </c>
      <c r="AF2401" s="79">
        <v>44975.592928240738</v>
      </c>
      <c r="AG2401" s="85">
        <v>44975</v>
      </c>
      <c r="AH2401" s="82" t="s">
        <v>9894</v>
      </c>
      <c r="AI2401" s="77"/>
      <c r="AJ2401" s="77"/>
      <c r="AK2401" s="77"/>
      <c r="AL2401" s="77"/>
      <c r="AM2401" s="77"/>
      <c r="AN2401" s="77"/>
      <c r="AO2401" s="77"/>
      <c r="AP2401" s="77"/>
      <c r="AQ2401" s="77"/>
      <c r="AR2401" s="77"/>
      <c r="AS2401" s="77"/>
      <c r="AT2401" s="77"/>
      <c r="AU2401" s="77"/>
      <c r="AV2401" s="80" t="str">
        <f>HYPERLINK("https://pbs.twimg.com/profile_images/1390521067974836229/puagunqQ_normal.jpg")</f>
        <v>https://pbs.twimg.com/profile_images/1390521067974836229/puagunqQ_normal.jpg</v>
      </c>
      <c r="AW2401" s="82" t="s">
        <v>14557</v>
      </c>
      <c r="AX2401" s="82" t="s">
        <v>14557</v>
      </c>
      <c r="AY2401" s="77"/>
      <c r="AZ2401" s="82" t="s">
        <v>15804</v>
      </c>
      <c r="BA2401" s="82" t="s">
        <v>15804</v>
      </c>
      <c r="BB2401" s="82" t="s">
        <v>15804</v>
      </c>
      <c r="BC2401" s="82" t="s">
        <v>14557</v>
      </c>
      <c r="BD2401" s="77">
        <v>610171401</v>
      </c>
      <c r="BE2401" s="77"/>
      <c r="BF2401" s="77"/>
      <c r="BG2401" s="77"/>
      <c r="BH2401" s="77"/>
      <c r="BI2401" s="77"/>
    </row>
    <row r="2402" spans="1:61" x14ac:dyDescent="0.25">
      <c r="A2402" s="62" t="s">
        <v>932</v>
      </c>
      <c r="B2402" s="62" t="s">
        <v>932</v>
      </c>
      <c r="C2402" s="63"/>
      <c r="D2402" s="64"/>
      <c r="E2402" s="65"/>
      <c r="F2402" s="66"/>
      <c r="G2402" s="63"/>
      <c r="H2402" s="67"/>
      <c r="I2402" s="68"/>
      <c r="J2402" s="68"/>
      <c r="K2402" s="32"/>
      <c r="L2402" s="75">
        <v>2402</v>
      </c>
      <c r="M2402" s="75"/>
      <c r="N2402" s="70"/>
      <c r="O2402" s="77" t="s">
        <v>179</v>
      </c>
      <c r="P2402" s="79">
        <v>45131.729710648149</v>
      </c>
      <c r="Q2402" s="77" t="s">
        <v>3444</v>
      </c>
      <c r="R2402" s="77">
        <v>0</v>
      </c>
      <c r="S2402" s="77">
        <v>0</v>
      </c>
      <c r="T2402" s="77">
        <v>0</v>
      </c>
      <c r="U2402" s="77">
        <v>0</v>
      </c>
      <c r="V2402" s="77">
        <v>17</v>
      </c>
      <c r="W2402" s="82" t="s">
        <v>5604</v>
      </c>
      <c r="X2402" s="77"/>
      <c r="Y2402" s="77"/>
      <c r="Z2402" s="77"/>
      <c r="AA2402" s="77"/>
      <c r="AB2402" s="77"/>
      <c r="AC2402" s="82" t="s">
        <v>7744</v>
      </c>
      <c r="AD2402" s="77" t="s">
        <v>7745</v>
      </c>
      <c r="AE2402" s="80" t="str">
        <f>HYPERLINK("https://twitter.com/giovaniaandre/status/1683530176670384139")</f>
        <v>https://twitter.com/giovaniaandre/status/1683530176670384139</v>
      </c>
      <c r="AF2402" s="79">
        <v>45131.729710648149</v>
      </c>
      <c r="AG2402" s="85">
        <v>45131</v>
      </c>
      <c r="AH2402" s="82" t="s">
        <v>9895</v>
      </c>
      <c r="AI2402" s="77"/>
      <c r="AJ2402" s="77"/>
      <c r="AK2402" s="77"/>
      <c r="AL2402" s="77"/>
      <c r="AM2402" s="77"/>
      <c r="AN2402" s="77"/>
      <c r="AO2402" s="77"/>
      <c r="AP2402" s="77"/>
      <c r="AQ2402" s="77"/>
      <c r="AR2402" s="77"/>
      <c r="AS2402" s="77"/>
      <c r="AT2402" s="77"/>
      <c r="AU2402" s="77"/>
      <c r="AV2402" s="80" t="str">
        <f>HYPERLINK("https://pbs.twimg.com/profile_images/1599968473505038339/Tlfu66HJ_normal.jpg")</f>
        <v>https://pbs.twimg.com/profile_images/1599968473505038339/Tlfu66HJ_normal.jpg</v>
      </c>
      <c r="AW2402" s="82" t="s">
        <v>14558</v>
      </c>
      <c r="AX2402" s="82" t="s">
        <v>14558</v>
      </c>
      <c r="AY2402" s="77"/>
      <c r="AZ2402" s="82" t="s">
        <v>15804</v>
      </c>
      <c r="BA2402" s="82" t="s">
        <v>15804</v>
      </c>
      <c r="BB2402" s="82" t="s">
        <v>15804</v>
      </c>
      <c r="BC2402" s="82" t="s">
        <v>14558</v>
      </c>
      <c r="BD2402" s="82" t="s">
        <v>16541</v>
      </c>
      <c r="BE2402" s="77"/>
      <c r="BF2402" s="77"/>
      <c r="BG2402" s="77"/>
      <c r="BH2402" s="77"/>
      <c r="BI2402" s="77"/>
    </row>
    <row r="2403" spans="1:61" x14ac:dyDescent="0.25">
      <c r="A2403" s="62" t="s">
        <v>933</v>
      </c>
      <c r="B2403" s="62" t="s">
        <v>933</v>
      </c>
      <c r="C2403" s="63"/>
      <c r="D2403" s="64"/>
      <c r="E2403" s="65"/>
      <c r="F2403" s="66"/>
      <c r="G2403" s="63"/>
      <c r="H2403" s="67"/>
      <c r="I2403" s="68"/>
      <c r="J2403" s="68"/>
      <c r="K2403" s="32"/>
      <c r="L2403" s="75">
        <v>2403</v>
      </c>
      <c r="M2403" s="75"/>
      <c r="N2403" s="70"/>
      <c r="O2403" s="77" t="s">
        <v>1132</v>
      </c>
      <c r="P2403" s="79">
        <v>44975.696782407409</v>
      </c>
      <c r="Q2403" s="77" t="s">
        <v>3445</v>
      </c>
      <c r="R2403" s="77">
        <v>0</v>
      </c>
      <c r="S2403" s="77">
        <v>2</v>
      </c>
      <c r="T2403" s="77">
        <v>0</v>
      </c>
      <c r="U2403" s="77">
        <v>2</v>
      </c>
      <c r="V2403" s="77">
        <v>105</v>
      </c>
      <c r="W2403" s="82" t="s">
        <v>5605</v>
      </c>
      <c r="X2403" s="77"/>
      <c r="Y2403" s="77"/>
      <c r="Z2403" s="77"/>
      <c r="AA2403" s="77"/>
      <c r="AB2403" s="77"/>
      <c r="AC2403" s="82" t="s">
        <v>7706</v>
      </c>
      <c r="AD2403" s="77" t="s">
        <v>7748</v>
      </c>
      <c r="AE2403" s="80" t="str">
        <f>HYPERLINK("https://twitter.com/webtcoficial/status/1626985739316502529")</f>
        <v>https://twitter.com/webtcoficial/status/1626985739316502529</v>
      </c>
      <c r="AF2403" s="79">
        <v>44975.696782407409</v>
      </c>
      <c r="AG2403" s="85">
        <v>44975</v>
      </c>
      <c r="AH2403" s="82" t="s">
        <v>9896</v>
      </c>
      <c r="AI2403" s="77"/>
      <c r="AJ2403" s="77"/>
      <c r="AK2403" s="77"/>
      <c r="AL2403" s="77"/>
      <c r="AM2403" s="77"/>
      <c r="AN2403" s="77"/>
      <c r="AO2403" s="77"/>
      <c r="AP2403" s="77"/>
      <c r="AQ2403" s="77"/>
      <c r="AR2403" s="77"/>
      <c r="AS2403" s="77"/>
      <c r="AT2403" s="77"/>
      <c r="AU2403" s="77"/>
      <c r="AV2403" s="80" t="str">
        <f>HYPERLINK("https://pbs.twimg.com/profile_images/1533150462186295300/XvsnzVW9_normal.jpg")</f>
        <v>https://pbs.twimg.com/profile_images/1533150462186295300/XvsnzVW9_normal.jpg</v>
      </c>
      <c r="AW2403" s="82" t="s">
        <v>14559</v>
      </c>
      <c r="AX2403" s="82" t="s">
        <v>15570</v>
      </c>
      <c r="AY2403" s="82" t="s">
        <v>15788</v>
      </c>
      <c r="AZ2403" s="82" t="s">
        <v>16082</v>
      </c>
      <c r="BA2403" s="82" t="s">
        <v>15804</v>
      </c>
      <c r="BB2403" s="82" t="s">
        <v>15804</v>
      </c>
      <c r="BC2403" s="82" t="s">
        <v>16082</v>
      </c>
      <c r="BD2403" s="82" t="s">
        <v>15788</v>
      </c>
      <c r="BE2403" s="77"/>
      <c r="BF2403" s="77"/>
      <c r="BG2403" s="77"/>
      <c r="BH2403" s="77"/>
      <c r="BI2403" s="77"/>
    </row>
    <row r="2404" spans="1:61" x14ac:dyDescent="0.25">
      <c r="A2404" s="62" t="s">
        <v>933</v>
      </c>
      <c r="B2404" s="62" t="s">
        <v>933</v>
      </c>
      <c r="C2404" s="63"/>
      <c r="D2404" s="64"/>
      <c r="E2404" s="65"/>
      <c r="F2404" s="66"/>
      <c r="G2404" s="63"/>
      <c r="H2404" s="67"/>
      <c r="I2404" s="68"/>
      <c r="J2404" s="68"/>
      <c r="K2404" s="32"/>
      <c r="L2404" s="75">
        <v>2404</v>
      </c>
      <c r="M2404" s="75"/>
      <c r="N2404" s="70"/>
      <c r="O2404" s="77" t="s">
        <v>1132</v>
      </c>
      <c r="P2404" s="79">
        <v>45001.873356481483</v>
      </c>
      <c r="Q2404" s="77" t="s">
        <v>3446</v>
      </c>
      <c r="R2404" s="77">
        <v>0</v>
      </c>
      <c r="S2404" s="77">
        <v>0</v>
      </c>
      <c r="T2404" s="77">
        <v>0</v>
      </c>
      <c r="U2404" s="77">
        <v>0</v>
      </c>
      <c r="V2404" s="77">
        <v>86</v>
      </c>
      <c r="W2404" s="82" t="s">
        <v>5606</v>
      </c>
      <c r="X2404" s="77"/>
      <c r="Y2404" s="77"/>
      <c r="Z2404" s="77"/>
      <c r="AA2404" s="77"/>
      <c r="AB2404" s="77"/>
      <c r="AC2404" s="82" t="s">
        <v>7706</v>
      </c>
      <c r="AD2404" s="77" t="s">
        <v>7748</v>
      </c>
      <c r="AE2404" s="80" t="str">
        <f>HYPERLINK("https://twitter.com/webtcoficial/status/1636471812069416960")</f>
        <v>https://twitter.com/webtcoficial/status/1636471812069416960</v>
      </c>
      <c r="AF2404" s="79">
        <v>45001.873356481483</v>
      </c>
      <c r="AG2404" s="85">
        <v>45001</v>
      </c>
      <c r="AH2404" s="82" t="s">
        <v>9897</v>
      </c>
      <c r="AI2404" s="77"/>
      <c r="AJ2404" s="77"/>
      <c r="AK2404" s="77"/>
      <c r="AL2404" s="77"/>
      <c r="AM2404" s="77"/>
      <c r="AN2404" s="77"/>
      <c r="AO2404" s="77"/>
      <c r="AP2404" s="77"/>
      <c r="AQ2404" s="77"/>
      <c r="AR2404" s="77"/>
      <c r="AS2404" s="77"/>
      <c r="AT2404" s="77"/>
      <c r="AU2404" s="77"/>
      <c r="AV2404" s="80" t="str">
        <f>HYPERLINK("https://pbs.twimg.com/profile_images/1533150462186295300/XvsnzVW9_normal.jpg")</f>
        <v>https://pbs.twimg.com/profile_images/1533150462186295300/XvsnzVW9_normal.jpg</v>
      </c>
      <c r="AW2404" s="82" t="s">
        <v>14560</v>
      </c>
      <c r="AX2404" s="82" t="s">
        <v>15571</v>
      </c>
      <c r="AY2404" s="82" t="s">
        <v>15788</v>
      </c>
      <c r="AZ2404" s="82" t="s">
        <v>16083</v>
      </c>
      <c r="BA2404" s="82" t="s">
        <v>15804</v>
      </c>
      <c r="BB2404" s="82" t="s">
        <v>15804</v>
      </c>
      <c r="BC2404" s="82" t="s">
        <v>16083</v>
      </c>
      <c r="BD2404" s="82" t="s">
        <v>15788</v>
      </c>
      <c r="BE2404" s="77"/>
      <c r="BF2404" s="77"/>
      <c r="BG2404" s="77"/>
      <c r="BH2404" s="77"/>
      <c r="BI2404" s="77"/>
    </row>
    <row r="2405" spans="1:61" x14ac:dyDescent="0.25">
      <c r="A2405" s="62" t="s">
        <v>933</v>
      </c>
      <c r="B2405" s="62" t="s">
        <v>933</v>
      </c>
      <c r="C2405" s="63"/>
      <c r="D2405" s="64"/>
      <c r="E2405" s="65"/>
      <c r="F2405" s="66"/>
      <c r="G2405" s="63"/>
      <c r="H2405" s="67"/>
      <c r="I2405" s="68"/>
      <c r="J2405" s="68"/>
      <c r="K2405" s="32"/>
      <c r="L2405" s="75">
        <v>2405</v>
      </c>
      <c r="M2405" s="75"/>
      <c r="N2405" s="70"/>
      <c r="O2405" s="77" t="s">
        <v>1132</v>
      </c>
      <c r="P2405" s="79">
        <v>45154.970752314817</v>
      </c>
      <c r="Q2405" s="77" t="s">
        <v>3447</v>
      </c>
      <c r="R2405" s="77">
        <v>0</v>
      </c>
      <c r="S2405" s="77">
        <v>0</v>
      </c>
      <c r="T2405" s="77">
        <v>0</v>
      </c>
      <c r="U2405" s="77">
        <v>0</v>
      </c>
      <c r="V2405" s="77">
        <v>46</v>
      </c>
      <c r="W2405" s="82" t="s">
        <v>5607</v>
      </c>
      <c r="X2405" s="77"/>
      <c r="Y2405" s="77"/>
      <c r="Z2405" s="77"/>
      <c r="AA2405" s="77"/>
      <c r="AB2405" s="77"/>
      <c r="AC2405" s="82" t="s">
        <v>7706</v>
      </c>
      <c r="AD2405" s="77" t="s">
        <v>7745</v>
      </c>
      <c r="AE2405" s="80" t="str">
        <f>HYPERLINK("https://twitter.com/webtcoficial/status/1691952447856521451")</f>
        <v>https://twitter.com/webtcoficial/status/1691952447856521451</v>
      </c>
      <c r="AF2405" s="79">
        <v>45154.970752314817</v>
      </c>
      <c r="AG2405" s="85">
        <v>45154</v>
      </c>
      <c r="AH2405" s="82" t="s">
        <v>9898</v>
      </c>
      <c r="AI2405" s="77"/>
      <c r="AJ2405" s="77"/>
      <c r="AK2405" s="77"/>
      <c r="AL2405" s="77"/>
      <c r="AM2405" s="77"/>
      <c r="AN2405" s="77"/>
      <c r="AO2405" s="77"/>
      <c r="AP2405" s="77"/>
      <c r="AQ2405" s="77"/>
      <c r="AR2405" s="77"/>
      <c r="AS2405" s="77"/>
      <c r="AT2405" s="77"/>
      <c r="AU2405" s="77"/>
      <c r="AV2405" s="80" t="str">
        <f>HYPERLINK("https://pbs.twimg.com/profile_images/1533150462186295300/XvsnzVW9_normal.jpg")</f>
        <v>https://pbs.twimg.com/profile_images/1533150462186295300/XvsnzVW9_normal.jpg</v>
      </c>
      <c r="AW2405" s="82" t="s">
        <v>14561</v>
      </c>
      <c r="AX2405" s="82" t="s">
        <v>15572</v>
      </c>
      <c r="AY2405" s="82" t="s">
        <v>15788</v>
      </c>
      <c r="AZ2405" s="82" t="s">
        <v>16084</v>
      </c>
      <c r="BA2405" s="82" t="s">
        <v>15804</v>
      </c>
      <c r="BB2405" s="82" t="s">
        <v>15804</v>
      </c>
      <c r="BC2405" s="82" t="s">
        <v>16084</v>
      </c>
      <c r="BD2405" s="82" t="s">
        <v>15788</v>
      </c>
      <c r="BE2405" s="77"/>
      <c r="BF2405" s="77"/>
      <c r="BG2405" s="77"/>
      <c r="BH2405" s="77"/>
      <c r="BI2405" s="77"/>
    </row>
    <row r="2406" spans="1:61" x14ac:dyDescent="0.25">
      <c r="A2406" s="62" t="s">
        <v>933</v>
      </c>
      <c r="B2406" s="62" t="s">
        <v>933</v>
      </c>
      <c r="C2406" s="63"/>
      <c r="D2406" s="64"/>
      <c r="E2406" s="65"/>
      <c r="F2406" s="66"/>
      <c r="G2406" s="63"/>
      <c r="H2406" s="67"/>
      <c r="I2406" s="68"/>
      <c r="J2406" s="68"/>
      <c r="K2406" s="32"/>
      <c r="L2406" s="75">
        <v>2406</v>
      </c>
      <c r="M2406" s="75"/>
      <c r="N2406" s="70"/>
      <c r="O2406" s="77" t="s">
        <v>1132</v>
      </c>
      <c r="P2406" s="79">
        <v>45099.522881944446</v>
      </c>
      <c r="Q2406" s="77" t="s">
        <v>3448</v>
      </c>
      <c r="R2406" s="77">
        <v>0</v>
      </c>
      <c r="S2406" s="77">
        <v>1</v>
      </c>
      <c r="T2406" s="77">
        <v>0</v>
      </c>
      <c r="U2406" s="77">
        <v>0</v>
      </c>
      <c r="V2406" s="77">
        <v>45</v>
      </c>
      <c r="W2406" s="82" t="s">
        <v>5608</v>
      </c>
      <c r="X2406" s="77"/>
      <c r="Y2406" s="77"/>
      <c r="Z2406" s="77"/>
      <c r="AA2406" s="77"/>
      <c r="AB2406" s="77"/>
      <c r="AC2406" s="82" t="s">
        <v>7706</v>
      </c>
      <c r="AD2406" s="77" t="s">
        <v>7748</v>
      </c>
      <c r="AE2406" s="80" t="str">
        <f>HYPERLINK("https://twitter.com/webtcoficial/status/1671858814960783361")</f>
        <v>https://twitter.com/webtcoficial/status/1671858814960783361</v>
      </c>
      <c r="AF2406" s="79">
        <v>45099.522881944446</v>
      </c>
      <c r="AG2406" s="85">
        <v>45099</v>
      </c>
      <c r="AH2406" s="82" t="s">
        <v>9899</v>
      </c>
      <c r="AI2406" s="77"/>
      <c r="AJ2406" s="77"/>
      <c r="AK2406" s="77"/>
      <c r="AL2406" s="77"/>
      <c r="AM2406" s="77"/>
      <c r="AN2406" s="77"/>
      <c r="AO2406" s="77"/>
      <c r="AP2406" s="77"/>
      <c r="AQ2406" s="77"/>
      <c r="AR2406" s="77"/>
      <c r="AS2406" s="77"/>
      <c r="AT2406" s="77"/>
      <c r="AU2406" s="77"/>
      <c r="AV2406" s="80" t="str">
        <f>HYPERLINK("https://pbs.twimg.com/profile_images/1533150462186295300/XvsnzVW9_normal.jpg")</f>
        <v>https://pbs.twimg.com/profile_images/1533150462186295300/XvsnzVW9_normal.jpg</v>
      </c>
      <c r="AW2406" s="82" t="s">
        <v>14562</v>
      </c>
      <c r="AX2406" s="82" t="s">
        <v>15573</v>
      </c>
      <c r="AY2406" s="82" t="s">
        <v>15788</v>
      </c>
      <c r="AZ2406" s="82" t="s">
        <v>16085</v>
      </c>
      <c r="BA2406" s="82" t="s">
        <v>15804</v>
      </c>
      <c r="BB2406" s="82" t="s">
        <v>15804</v>
      </c>
      <c r="BC2406" s="82" t="s">
        <v>16085</v>
      </c>
      <c r="BD2406" s="82" t="s">
        <v>15788</v>
      </c>
      <c r="BE2406" s="77"/>
      <c r="BF2406" s="77"/>
      <c r="BG2406" s="77"/>
      <c r="BH2406" s="77"/>
      <c r="BI2406" s="77"/>
    </row>
    <row r="2407" spans="1:61" x14ac:dyDescent="0.25">
      <c r="A2407" s="62" t="s">
        <v>934</v>
      </c>
      <c r="B2407" s="62" t="s">
        <v>933</v>
      </c>
      <c r="C2407" s="63"/>
      <c r="D2407" s="64"/>
      <c r="E2407" s="65"/>
      <c r="F2407" s="66"/>
      <c r="G2407" s="63"/>
      <c r="H2407" s="67"/>
      <c r="I2407" s="68"/>
      <c r="J2407" s="68"/>
      <c r="K2407" s="32"/>
      <c r="L2407" s="75">
        <v>2407</v>
      </c>
      <c r="M2407" s="75"/>
      <c r="N2407" s="70"/>
      <c r="O2407" s="77" t="s">
        <v>1133</v>
      </c>
      <c r="P2407" s="79">
        <v>45027.847187500003</v>
      </c>
      <c r="Q2407" s="77" t="s">
        <v>3449</v>
      </c>
      <c r="R2407" s="77">
        <v>23</v>
      </c>
      <c r="S2407" s="77">
        <v>67</v>
      </c>
      <c r="T2407" s="77">
        <v>47</v>
      </c>
      <c r="U2407" s="77">
        <v>1</v>
      </c>
      <c r="V2407" s="77">
        <v>1358</v>
      </c>
      <c r="W2407" s="82" t="s">
        <v>5609</v>
      </c>
      <c r="X2407" s="80" t="str">
        <f>HYPERLINK("https://webitcoin.com.br/leve-invest-auditoria-exchanges-listagem-token/")</f>
        <v>https://webitcoin.com.br/leve-invest-auditoria-exchanges-listagem-token/</v>
      </c>
      <c r="Y2407" s="77" t="s">
        <v>6002</v>
      </c>
      <c r="Z2407" s="77" t="s">
        <v>933</v>
      </c>
      <c r="AA2407" s="77" t="s">
        <v>7480</v>
      </c>
      <c r="AB2407" s="77" t="s">
        <v>7696</v>
      </c>
      <c r="AC2407" s="82" t="s">
        <v>7706</v>
      </c>
      <c r="AD2407" s="77" t="s">
        <v>7747</v>
      </c>
      <c r="AE2407" s="80" t="str">
        <f>HYPERLINK("https://twitter.com/leveappbr/status/1645884411655729155")</f>
        <v>https://twitter.com/leveappbr/status/1645884411655729155</v>
      </c>
      <c r="AF2407" s="79">
        <v>45027.847187500003</v>
      </c>
      <c r="AG2407" s="85">
        <v>45027</v>
      </c>
      <c r="AH2407" s="82" t="s">
        <v>9900</v>
      </c>
      <c r="AI2407" s="77" t="b">
        <v>0</v>
      </c>
      <c r="AJ2407" s="77"/>
      <c r="AK2407" s="77"/>
      <c r="AL2407" s="77"/>
      <c r="AM2407" s="77"/>
      <c r="AN2407" s="77"/>
      <c r="AO2407" s="77"/>
      <c r="AP2407" s="77"/>
      <c r="AQ2407" s="77" t="s">
        <v>11987</v>
      </c>
      <c r="AR2407" s="77"/>
      <c r="AS2407" s="77"/>
      <c r="AT2407" s="77"/>
      <c r="AU2407" s="77"/>
      <c r="AV2407" s="80" t="str">
        <f>HYPERLINK("https://pbs.twimg.com/media/FtdaU3CWwAA0Y1C.jpg")</f>
        <v>https://pbs.twimg.com/media/FtdaU3CWwAA0Y1C.jpg</v>
      </c>
      <c r="AW2407" s="82" t="s">
        <v>14563</v>
      </c>
      <c r="AX2407" s="82" t="s">
        <v>14563</v>
      </c>
      <c r="AY2407" s="77"/>
      <c r="AZ2407" s="82" t="s">
        <v>15804</v>
      </c>
      <c r="BA2407" s="82" t="s">
        <v>15804</v>
      </c>
      <c r="BB2407" s="82" t="s">
        <v>15804</v>
      </c>
      <c r="BC2407" s="82" t="s">
        <v>14563</v>
      </c>
      <c r="BD2407" s="82" t="s">
        <v>16542</v>
      </c>
      <c r="BE2407" s="77"/>
      <c r="BF2407" s="77"/>
      <c r="BG2407" s="77"/>
      <c r="BH2407" s="77"/>
      <c r="BI2407" s="77"/>
    </row>
    <row r="2408" spans="1:61" x14ac:dyDescent="0.25">
      <c r="A2408" s="62" t="s">
        <v>934</v>
      </c>
      <c r="B2408" s="62" t="s">
        <v>1122</v>
      </c>
      <c r="C2408" s="63"/>
      <c r="D2408" s="64"/>
      <c r="E2408" s="65"/>
      <c r="F2408" s="66"/>
      <c r="G2408" s="63"/>
      <c r="H2408" s="67"/>
      <c r="I2408" s="68"/>
      <c r="J2408" s="68"/>
      <c r="K2408" s="32"/>
      <c r="L2408" s="75">
        <v>2408</v>
      </c>
      <c r="M2408" s="75"/>
      <c r="N2408" s="70"/>
      <c r="O2408" s="77" t="s">
        <v>1133</v>
      </c>
      <c r="P2408" s="79">
        <v>45041.501516203702</v>
      </c>
      <c r="Q2408" s="77" t="s">
        <v>3450</v>
      </c>
      <c r="R2408" s="77">
        <v>16</v>
      </c>
      <c r="S2408" s="77">
        <v>53</v>
      </c>
      <c r="T2408" s="77">
        <v>35</v>
      </c>
      <c r="U2408" s="77">
        <v>0</v>
      </c>
      <c r="V2408" s="77">
        <v>3493</v>
      </c>
      <c r="W2408" s="82" t="s">
        <v>5610</v>
      </c>
      <c r="X2408" s="80" t="str">
        <f>HYPERLINK("https://twitter.com/i/spaces/1BdxYyorjpyxX")</f>
        <v>https://twitter.com/i/spaces/1BdxYyorjpyxX</v>
      </c>
      <c r="Y2408" s="77" t="s">
        <v>6062</v>
      </c>
      <c r="Z2408" s="77" t="s">
        <v>1122</v>
      </c>
      <c r="AA2408" s="77" t="s">
        <v>7481</v>
      </c>
      <c r="AB2408" s="77" t="s">
        <v>7696</v>
      </c>
      <c r="AC2408" s="82" t="s">
        <v>7706</v>
      </c>
      <c r="AD2408" s="77" t="s">
        <v>7747</v>
      </c>
      <c r="AE2408" s="80" t="str">
        <f>HYPERLINK("https://twitter.com/leveappbr/status/1650832574774759430")</f>
        <v>https://twitter.com/leveappbr/status/1650832574774759430</v>
      </c>
      <c r="AF2408" s="79">
        <v>45041.501516203702</v>
      </c>
      <c r="AG2408" s="85">
        <v>45041</v>
      </c>
      <c r="AH2408" s="82" t="s">
        <v>9901</v>
      </c>
      <c r="AI2408" s="77" t="b">
        <v>0</v>
      </c>
      <c r="AJ2408" s="77"/>
      <c r="AK2408" s="77"/>
      <c r="AL2408" s="77"/>
      <c r="AM2408" s="77"/>
      <c r="AN2408" s="77"/>
      <c r="AO2408" s="77"/>
      <c r="AP2408" s="77"/>
      <c r="AQ2408" s="77" t="s">
        <v>11988</v>
      </c>
      <c r="AR2408" s="77"/>
      <c r="AS2408" s="77"/>
      <c r="AT2408" s="77"/>
      <c r="AU2408" s="77"/>
      <c r="AV2408" s="80" t="str">
        <f>HYPERLINK("https://pbs.twimg.com/media/FujvQSNXsAQuT9C.jpg")</f>
        <v>https://pbs.twimg.com/media/FujvQSNXsAQuT9C.jpg</v>
      </c>
      <c r="AW2408" s="82" t="s">
        <v>14564</v>
      </c>
      <c r="AX2408" s="82" t="s">
        <v>14564</v>
      </c>
      <c r="AY2408" s="77"/>
      <c r="AZ2408" s="82" t="s">
        <v>15804</v>
      </c>
      <c r="BA2408" s="82" t="s">
        <v>15804</v>
      </c>
      <c r="BB2408" s="82" t="s">
        <v>15804</v>
      </c>
      <c r="BC2408" s="82" t="s">
        <v>14564</v>
      </c>
      <c r="BD2408" s="82" t="s">
        <v>16542</v>
      </c>
      <c r="BE2408" s="77"/>
      <c r="BF2408" s="77"/>
      <c r="BG2408" s="77"/>
      <c r="BH2408" s="77"/>
      <c r="BI2408" s="77"/>
    </row>
    <row r="2409" spans="1:61" x14ac:dyDescent="0.25">
      <c r="A2409" s="62" t="s">
        <v>934</v>
      </c>
      <c r="B2409" s="62" t="s">
        <v>934</v>
      </c>
      <c r="C2409" s="63"/>
      <c r="D2409" s="64"/>
      <c r="E2409" s="65"/>
      <c r="F2409" s="66"/>
      <c r="G2409" s="63"/>
      <c r="H2409" s="67"/>
      <c r="I2409" s="68"/>
      <c r="J2409" s="68"/>
      <c r="K2409" s="32"/>
      <c r="L2409" s="75">
        <v>2409</v>
      </c>
      <c r="M2409" s="75"/>
      <c r="N2409" s="70"/>
      <c r="O2409" s="77" t="s">
        <v>179</v>
      </c>
      <c r="P2409" s="79">
        <v>44991.609224537038</v>
      </c>
      <c r="Q2409" s="77" t="s">
        <v>3451</v>
      </c>
      <c r="R2409" s="77">
        <v>17</v>
      </c>
      <c r="S2409" s="77">
        <v>53</v>
      </c>
      <c r="T2409" s="77">
        <v>34</v>
      </c>
      <c r="U2409" s="77">
        <v>3</v>
      </c>
      <c r="V2409" s="77">
        <v>624</v>
      </c>
      <c r="W2409" s="82" t="s">
        <v>5611</v>
      </c>
      <c r="X2409" s="77"/>
      <c r="Y2409" s="77"/>
      <c r="Z2409" s="77"/>
      <c r="AA2409" s="77" t="s">
        <v>7482</v>
      </c>
      <c r="AB2409" s="77" t="s">
        <v>7698</v>
      </c>
      <c r="AC2409" s="82" t="s">
        <v>7706</v>
      </c>
      <c r="AD2409" s="77" t="s">
        <v>7747</v>
      </c>
      <c r="AE2409" s="80" t="str">
        <f>HYPERLINK("https://twitter.com/leveappbr/status/1632752214136463360")</f>
        <v>https://twitter.com/leveappbr/status/1632752214136463360</v>
      </c>
      <c r="AF2409" s="79">
        <v>44991.609224537038</v>
      </c>
      <c r="AG2409" s="85">
        <v>44991</v>
      </c>
      <c r="AH2409" s="82" t="s">
        <v>9902</v>
      </c>
      <c r="AI2409" s="77" t="b">
        <v>0</v>
      </c>
      <c r="AJ2409" s="77"/>
      <c r="AK2409" s="77"/>
      <c r="AL2409" s="77"/>
      <c r="AM2409" s="77"/>
      <c r="AN2409" s="77"/>
      <c r="AO2409" s="77"/>
      <c r="AP2409" s="77"/>
      <c r="AQ2409" s="77" t="s">
        <v>11989</v>
      </c>
      <c r="AR2409" s="77"/>
      <c r="AS2409" s="77"/>
      <c r="AT2409" s="77"/>
      <c r="AU2409" s="77"/>
      <c r="AV2409" s="80" t="str">
        <f>HYPERLINK("https://pbs.twimg.com/media/FqizVH3WcAIJ_IH.jpg")</f>
        <v>https://pbs.twimg.com/media/FqizVH3WcAIJ_IH.jpg</v>
      </c>
      <c r="AW2409" s="82" t="s">
        <v>14565</v>
      </c>
      <c r="AX2409" s="82" t="s">
        <v>14565</v>
      </c>
      <c r="AY2409" s="77"/>
      <c r="AZ2409" s="82" t="s">
        <v>15804</v>
      </c>
      <c r="BA2409" s="82" t="s">
        <v>15804</v>
      </c>
      <c r="BB2409" s="82" t="s">
        <v>15804</v>
      </c>
      <c r="BC2409" s="82" t="s">
        <v>14565</v>
      </c>
      <c r="BD2409" s="82" t="s">
        <v>16542</v>
      </c>
      <c r="BE2409" s="77"/>
      <c r="BF2409" s="77"/>
      <c r="BG2409" s="77"/>
      <c r="BH2409" s="77"/>
      <c r="BI2409" s="77"/>
    </row>
    <row r="2410" spans="1:61" x14ac:dyDescent="0.25">
      <c r="A2410" s="62" t="s">
        <v>934</v>
      </c>
      <c r="B2410" s="62" t="s">
        <v>934</v>
      </c>
      <c r="C2410" s="63"/>
      <c r="D2410" s="64"/>
      <c r="E2410" s="65"/>
      <c r="F2410" s="66"/>
      <c r="G2410" s="63"/>
      <c r="H2410" s="67"/>
      <c r="I2410" s="68"/>
      <c r="J2410" s="68"/>
      <c r="K2410" s="32"/>
      <c r="L2410" s="75">
        <v>2410</v>
      </c>
      <c r="M2410" s="75"/>
      <c r="N2410" s="70"/>
      <c r="O2410" s="77" t="s">
        <v>179</v>
      </c>
      <c r="P2410" s="79">
        <v>45021.499699074076</v>
      </c>
      <c r="Q2410" s="77" t="s">
        <v>3452</v>
      </c>
      <c r="R2410" s="77">
        <v>15</v>
      </c>
      <c r="S2410" s="77">
        <v>57</v>
      </c>
      <c r="T2410" s="77">
        <v>27</v>
      </c>
      <c r="U2410" s="77">
        <v>1</v>
      </c>
      <c r="V2410" s="77">
        <v>742</v>
      </c>
      <c r="W2410" s="82" t="s">
        <v>5612</v>
      </c>
      <c r="X2410" s="77"/>
      <c r="Y2410" s="77"/>
      <c r="Z2410" s="77"/>
      <c r="AA2410" s="77" t="s">
        <v>7483</v>
      </c>
      <c r="AB2410" s="77" t="s">
        <v>7698</v>
      </c>
      <c r="AC2410" s="82" t="s">
        <v>7706</v>
      </c>
      <c r="AD2410" s="77" t="s">
        <v>7747</v>
      </c>
      <c r="AE2410" s="80" t="str">
        <f>HYPERLINK("https://twitter.com/leveappbr/status/1643584157744857090")</f>
        <v>https://twitter.com/leveappbr/status/1643584157744857090</v>
      </c>
      <c r="AF2410" s="79">
        <v>45021.499699074076</v>
      </c>
      <c r="AG2410" s="85">
        <v>45021</v>
      </c>
      <c r="AH2410" s="82" t="s">
        <v>9903</v>
      </c>
      <c r="AI2410" s="77" t="b">
        <v>0</v>
      </c>
      <c r="AJ2410" s="77"/>
      <c r="AK2410" s="77"/>
      <c r="AL2410" s="77"/>
      <c r="AM2410" s="77"/>
      <c r="AN2410" s="77"/>
      <c r="AO2410" s="77"/>
      <c r="AP2410" s="77"/>
      <c r="AQ2410" s="77" t="s">
        <v>11990</v>
      </c>
      <c r="AR2410" s="77"/>
      <c r="AS2410" s="77"/>
      <c r="AT2410" s="77"/>
      <c r="AU2410" s="77"/>
      <c r="AV2410" s="80" t="str">
        <f>HYPERLINK("https://pbs.twimg.com/media/Fs8u1J6WYAExsy8.jpg")</f>
        <v>https://pbs.twimg.com/media/Fs8u1J6WYAExsy8.jpg</v>
      </c>
      <c r="AW2410" s="82" t="s">
        <v>14566</v>
      </c>
      <c r="AX2410" s="82" t="s">
        <v>14566</v>
      </c>
      <c r="AY2410" s="77"/>
      <c r="AZ2410" s="82" t="s">
        <v>15804</v>
      </c>
      <c r="BA2410" s="82" t="s">
        <v>15804</v>
      </c>
      <c r="BB2410" s="82" t="s">
        <v>15804</v>
      </c>
      <c r="BC2410" s="82" t="s">
        <v>14566</v>
      </c>
      <c r="BD2410" s="82" t="s">
        <v>16542</v>
      </c>
      <c r="BE2410" s="77"/>
      <c r="BF2410" s="77"/>
      <c r="BG2410" s="77"/>
      <c r="BH2410" s="77"/>
      <c r="BI2410" s="77"/>
    </row>
    <row r="2411" spans="1:61" x14ac:dyDescent="0.25">
      <c r="A2411" s="62" t="s">
        <v>934</v>
      </c>
      <c r="B2411" s="62" t="s">
        <v>934</v>
      </c>
      <c r="C2411" s="63"/>
      <c r="D2411" s="64"/>
      <c r="E2411" s="65"/>
      <c r="F2411" s="66"/>
      <c r="G2411" s="63"/>
      <c r="H2411" s="67"/>
      <c r="I2411" s="68"/>
      <c r="J2411" s="68"/>
      <c r="K2411" s="32"/>
      <c r="L2411" s="75">
        <v>2411</v>
      </c>
      <c r="M2411" s="75"/>
      <c r="N2411" s="70"/>
      <c r="O2411" s="77" t="s">
        <v>179</v>
      </c>
      <c r="P2411" s="79">
        <v>45021.498298611114</v>
      </c>
      <c r="Q2411" s="77" t="s">
        <v>3453</v>
      </c>
      <c r="R2411" s="77">
        <v>19</v>
      </c>
      <c r="S2411" s="77">
        <v>57</v>
      </c>
      <c r="T2411" s="77">
        <v>30</v>
      </c>
      <c r="U2411" s="77">
        <v>0</v>
      </c>
      <c r="V2411" s="77">
        <v>595</v>
      </c>
      <c r="W2411" s="82" t="s">
        <v>5612</v>
      </c>
      <c r="X2411" s="77"/>
      <c r="Y2411" s="77"/>
      <c r="Z2411" s="77"/>
      <c r="AA2411" s="77" t="s">
        <v>7484</v>
      </c>
      <c r="AB2411" s="77" t="s">
        <v>7698</v>
      </c>
      <c r="AC2411" s="82" t="s">
        <v>7706</v>
      </c>
      <c r="AD2411" s="77" t="s">
        <v>7747</v>
      </c>
      <c r="AE2411" s="80" t="str">
        <f>HYPERLINK("https://twitter.com/leveappbr/status/1643583653463695363")</f>
        <v>https://twitter.com/leveappbr/status/1643583653463695363</v>
      </c>
      <c r="AF2411" s="79">
        <v>45021.498298611114</v>
      </c>
      <c r="AG2411" s="85">
        <v>45021</v>
      </c>
      <c r="AH2411" s="82" t="s">
        <v>9904</v>
      </c>
      <c r="AI2411" s="77" t="b">
        <v>0</v>
      </c>
      <c r="AJ2411" s="77"/>
      <c r="AK2411" s="77"/>
      <c r="AL2411" s="77"/>
      <c r="AM2411" s="77"/>
      <c r="AN2411" s="77"/>
      <c r="AO2411" s="77"/>
      <c r="AP2411" s="77"/>
      <c r="AQ2411" s="77" t="s">
        <v>11991</v>
      </c>
      <c r="AR2411" s="77"/>
      <c r="AS2411" s="77"/>
      <c r="AT2411" s="77"/>
      <c r="AU2411" s="77"/>
      <c r="AV2411" s="80" t="str">
        <f>HYPERLINK("https://pbs.twimg.com/media/Fs8uIt9WcAQzmIT.jpg")</f>
        <v>https://pbs.twimg.com/media/Fs8uIt9WcAQzmIT.jpg</v>
      </c>
      <c r="AW2411" s="82" t="s">
        <v>14567</v>
      </c>
      <c r="AX2411" s="82" t="s">
        <v>14567</v>
      </c>
      <c r="AY2411" s="77"/>
      <c r="AZ2411" s="82" t="s">
        <v>15804</v>
      </c>
      <c r="BA2411" s="82" t="s">
        <v>15804</v>
      </c>
      <c r="BB2411" s="82" t="s">
        <v>15804</v>
      </c>
      <c r="BC2411" s="82" t="s">
        <v>14567</v>
      </c>
      <c r="BD2411" s="82" t="s">
        <v>16542</v>
      </c>
      <c r="BE2411" s="77"/>
      <c r="BF2411" s="77"/>
      <c r="BG2411" s="77"/>
      <c r="BH2411" s="77"/>
      <c r="BI2411" s="77"/>
    </row>
    <row r="2412" spans="1:61" x14ac:dyDescent="0.25">
      <c r="A2412" s="62" t="s">
        <v>934</v>
      </c>
      <c r="B2412" s="62" t="s">
        <v>934</v>
      </c>
      <c r="C2412" s="63"/>
      <c r="D2412" s="64"/>
      <c r="E2412" s="65"/>
      <c r="F2412" s="66"/>
      <c r="G2412" s="63"/>
      <c r="H2412" s="67"/>
      <c r="I2412" s="68"/>
      <c r="J2412" s="68"/>
      <c r="K2412" s="32"/>
      <c r="L2412" s="75">
        <v>2412</v>
      </c>
      <c r="M2412" s="75"/>
      <c r="N2412" s="70"/>
      <c r="O2412" s="77" t="s">
        <v>179</v>
      </c>
      <c r="P2412" s="79">
        <v>45016.905868055554</v>
      </c>
      <c r="Q2412" s="77" t="s">
        <v>3454</v>
      </c>
      <c r="R2412" s="77">
        <v>22</v>
      </c>
      <c r="S2412" s="77">
        <v>68</v>
      </c>
      <c r="T2412" s="77">
        <v>40</v>
      </c>
      <c r="U2412" s="77">
        <v>1</v>
      </c>
      <c r="V2412" s="77">
        <v>785</v>
      </c>
      <c r="W2412" s="82" t="s">
        <v>5613</v>
      </c>
      <c r="X2412" s="80" t="str">
        <f>HYPERLINK("https://www.spacemoney.com.br/geral/bitcoin-cash-e-leve-invest-cooperacao-para-agregar-aos-ecossistemas/191356/")</f>
        <v>https://www.spacemoney.com.br/geral/bitcoin-cash-e-leve-invest-cooperacao-para-agregar-aos-ecossistemas/191356/</v>
      </c>
      <c r="Y2412" s="77" t="s">
        <v>6002</v>
      </c>
      <c r="Z2412" s="77"/>
      <c r="AA2412" s="77" t="s">
        <v>7485</v>
      </c>
      <c r="AB2412" s="77" t="s">
        <v>7696</v>
      </c>
      <c r="AC2412" s="82" t="s">
        <v>7706</v>
      </c>
      <c r="AD2412" s="77" t="s">
        <v>7747</v>
      </c>
      <c r="AE2412" s="80" t="str">
        <f>HYPERLINK("https://twitter.com/leveappbr/status/1641919410804801536")</f>
        <v>https://twitter.com/leveappbr/status/1641919410804801536</v>
      </c>
      <c r="AF2412" s="79">
        <v>45016.905868055554</v>
      </c>
      <c r="AG2412" s="85">
        <v>45016</v>
      </c>
      <c r="AH2412" s="82" t="s">
        <v>9905</v>
      </c>
      <c r="AI2412" s="77" t="b">
        <v>0</v>
      </c>
      <c r="AJ2412" s="77"/>
      <c r="AK2412" s="77"/>
      <c r="AL2412" s="77"/>
      <c r="AM2412" s="77"/>
      <c r="AN2412" s="77"/>
      <c r="AO2412" s="77"/>
      <c r="AP2412" s="77"/>
      <c r="AQ2412" s="77" t="s">
        <v>11992</v>
      </c>
      <c r="AR2412" s="77"/>
      <c r="AS2412" s="77"/>
      <c r="AT2412" s="77"/>
      <c r="AU2412" s="77"/>
      <c r="AV2412" s="80" t="str">
        <f>HYPERLINK("https://pbs.twimg.com/media/FslE4TaWcAcmLlo.jpg")</f>
        <v>https://pbs.twimg.com/media/FslE4TaWcAcmLlo.jpg</v>
      </c>
      <c r="AW2412" s="82" t="s">
        <v>14568</v>
      </c>
      <c r="AX2412" s="82" t="s">
        <v>14568</v>
      </c>
      <c r="AY2412" s="77"/>
      <c r="AZ2412" s="82" t="s">
        <v>15804</v>
      </c>
      <c r="BA2412" s="82" t="s">
        <v>15804</v>
      </c>
      <c r="BB2412" s="82" t="s">
        <v>15804</v>
      </c>
      <c r="BC2412" s="82" t="s">
        <v>14568</v>
      </c>
      <c r="BD2412" s="82" t="s">
        <v>16542</v>
      </c>
      <c r="BE2412" s="77"/>
      <c r="BF2412" s="77"/>
      <c r="BG2412" s="77"/>
      <c r="BH2412" s="77"/>
      <c r="BI2412" s="77"/>
    </row>
    <row r="2413" spans="1:61" x14ac:dyDescent="0.25">
      <c r="A2413" s="62" t="s">
        <v>934</v>
      </c>
      <c r="B2413" s="62" t="s">
        <v>934</v>
      </c>
      <c r="C2413" s="63"/>
      <c r="D2413" s="64"/>
      <c r="E2413" s="65"/>
      <c r="F2413" s="66"/>
      <c r="G2413" s="63"/>
      <c r="H2413" s="67"/>
      <c r="I2413" s="68"/>
      <c r="J2413" s="68"/>
      <c r="K2413" s="32"/>
      <c r="L2413" s="75">
        <v>2413</v>
      </c>
      <c r="M2413" s="75"/>
      <c r="N2413" s="70"/>
      <c r="O2413" s="77" t="s">
        <v>179</v>
      </c>
      <c r="P2413" s="79">
        <v>45015.840289351851</v>
      </c>
      <c r="Q2413" s="77" t="s">
        <v>3455</v>
      </c>
      <c r="R2413" s="77">
        <v>22</v>
      </c>
      <c r="S2413" s="77">
        <v>63</v>
      </c>
      <c r="T2413" s="77">
        <v>48</v>
      </c>
      <c r="U2413" s="77">
        <v>1</v>
      </c>
      <c r="V2413" s="77">
        <v>673</v>
      </c>
      <c r="W2413" s="82" t="s">
        <v>5614</v>
      </c>
      <c r="X2413" s="80" t="str">
        <f>HYPERLINK("https://portalcripto.com.br/bitcoin-cash-apoia-token-brasileiro-que-pretende-desmistify-investimentos-seja-no-defi-ou-no-tradicional/")</f>
        <v>https://portalcripto.com.br/bitcoin-cash-apoia-token-brasileiro-que-pretende-desmistify-investimentos-seja-no-defi-ou-no-tradicional/</v>
      </c>
      <c r="Y2413" s="77" t="s">
        <v>6002</v>
      </c>
      <c r="Z2413" s="77"/>
      <c r="AA2413" s="77" t="s">
        <v>7486</v>
      </c>
      <c r="AB2413" s="77" t="s">
        <v>7696</v>
      </c>
      <c r="AC2413" s="82" t="s">
        <v>7706</v>
      </c>
      <c r="AD2413" s="77" t="s">
        <v>7747</v>
      </c>
      <c r="AE2413" s="80" t="str">
        <f>HYPERLINK("https://twitter.com/leveappbr/status/1641533259296153603")</f>
        <v>https://twitter.com/leveappbr/status/1641533259296153603</v>
      </c>
      <c r="AF2413" s="79">
        <v>45015.840289351851</v>
      </c>
      <c r="AG2413" s="85">
        <v>45015</v>
      </c>
      <c r="AH2413" s="82" t="s">
        <v>9906</v>
      </c>
      <c r="AI2413" s="77" t="b">
        <v>0</v>
      </c>
      <c r="AJ2413" s="77"/>
      <c r="AK2413" s="77"/>
      <c r="AL2413" s="77"/>
      <c r="AM2413" s="77"/>
      <c r="AN2413" s="77"/>
      <c r="AO2413" s="77"/>
      <c r="AP2413" s="77"/>
      <c r="AQ2413" s="77" t="s">
        <v>11993</v>
      </c>
      <c r="AR2413" s="77"/>
      <c r="AS2413" s="77"/>
      <c r="AT2413" s="77"/>
      <c r="AU2413" s="77"/>
      <c r="AV2413" s="80" t="str">
        <f>HYPERLINK("https://pbs.twimg.com/media/FsflpC2WIAQ1IYc.jpg")</f>
        <v>https://pbs.twimg.com/media/FsflpC2WIAQ1IYc.jpg</v>
      </c>
      <c r="AW2413" s="82" t="s">
        <v>14569</v>
      </c>
      <c r="AX2413" s="82" t="s">
        <v>14569</v>
      </c>
      <c r="AY2413" s="77"/>
      <c r="AZ2413" s="82" t="s">
        <v>15804</v>
      </c>
      <c r="BA2413" s="82" t="s">
        <v>15804</v>
      </c>
      <c r="BB2413" s="82" t="s">
        <v>15804</v>
      </c>
      <c r="BC2413" s="82" t="s">
        <v>14569</v>
      </c>
      <c r="BD2413" s="82" t="s">
        <v>16542</v>
      </c>
      <c r="BE2413" s="77"/>
      <c r="BF2413" s="77"/>
      <c r="BG2413" s="77"/>
      <c r="BH2413" s="77"/>
      <c r="BI2413" s="77"/>
    </row>
    <row r="2414" spans="1:61" x14ac:dyDescent="0.25">
      <c r="A2414" s="62" t="s">
        <v>934</v>
      </c>
      <c r="B2414" s="62" t="s">
        <v>934</v>
      </c>
      <c r="C2414" s="63"/>
      <c r="D2414" s="64"/>
      <c r="E2414" s="65"/>
      <c r="F2414" s="66"/>
      <c r="G2414" s="63"/>
      <c r="H2414" s="67"/>
      <c r="I2414" s="68"/>
      <c r="J2414" s="68"/>
      <c r="K2414" s="32"/>
      <c r="L2414" s="75">
        <v>2414</v>
      </c>
      <c r="M2414" s="75"/>
      <c r="N2414" s="70"/>
      <c r="O2414" s="77" t="s">
        <v>179</v>
      </c>
      <c r="P2414" s="79">
        <v>44928.563958333332</v>
      </c>
      <c r="Q2414" s="77" t="s">
        <v>3456</v>
      </c>
      <c r="R2414" s="77">
        <v>19</v>
      </c>
      <c r="S2414" s="77">
        <v>50</v>
      </c>
      <c r="T2414" s="77">
        <v>18</v>
      </c>
      <c r="U2414" s="77">
        <v>0</v>
      </c>
      <c r="V2414" s="77">
        <v>726</v>
      </c>
      <c r="W2414" s="82" t="s">
        <v>5615</v>
      </c>
      <c r="X2414" s="77"/>
      <c r="Y2414" s="77"/>
      <c r="Z2414" s="77"/>
      <c r="AA2414" s="77" t="s">
        <v>7487</v>
      </c>
      <c r="AB2414" s="77" t="s">
        <v>7696</v>
      </c>
      <c r="AC2414" s="82" t="s">
        <v>7706</v>
      </c>
      <c r="AD2414" s="77" t="s">
        <v>7745</v>
      </c>
      <c r="AE2414" s="80" t="str">
        <f>HYPERLINK("https://twitter.com/leveappbr/status/1609905375117017088")</f>
        <v>https://twitter.com/leveappbr/status/1609905375117017088</v>
      </c>
      <c r="AF2414" s="79">
        <v>44928.563958333332</v>
      </c>
      <c r="AG2414" s="85">
        <v>44928</v>
      </c>
      <c r="AH2414" s="82" t="s">
        <v>9907</v>
      </c>
      <c r="AI2414" s="77" t="b">
        <v>0</v>
      </c>
      <c r="AJ2414" s="77"/>
      <c r="AK2414" s="77"/>
      <c r="AL2414" s="77"/>
      <c r="AM2414" s="77"/>
      <c r="AN2414" s="77"/>
      <c r="AO2414" s="77"/>
      <c r="AP2414" s="77"/>
      <c r="AQ2414" s="77" t="s">
        <v>11994</v>
      </c>
      <c r="AR2414" s="77"/>
      <c r="AS2414" s="77"/>
      <c r="AT2414" s="77"/>
      <c r="AU2414" s="77"/>
      <c r="AV2414" s="80" t="str">
        <f>HYPERLINK("https://pbs.twimg.com/media/FleIRozWAAIOIEu.jpg")</f>
        <v>https://pbs.twimg.com/media/FleIRozWAAIOIEu.jpg</v>
      </c>
      <c r="AW2414" s="82" t="s">
        <v>14570</v>
      </c>
      <c r="AX2414" s="82" t="s">
        <v>14570</v>
      </c>
      <c r="AY2414" s="77"/>
      <c r="AZ2414" s="82" t="s">
        <v>15804</v>
      </c>
      <c r="BA2414" s="82" t="s">
        <v>15804</v>
      </c>
      <c r="BB2414" s="82" t="s">
        <v>15804</v>
      </c>
      <c r="BC2414" s="82" t="s">
        <v>14570</v>
      </c>
      <c r="BD2414" s="82" t="s">
        <v>16542</v>
      </c>
      <c r="BE2414" s="77"/>
      <c r="BF2414" s="77"/>
      <c r="BG2414" s="77"/>
      <c r="BH2414" s="77"/>
      <c r="BI2414" s="77"/>
    </row>
    <row r="2415" spans="1:61" x14ac:dyDescent="0.25">
      <c r="A2415" s="62" t="s">
        <v>934</v>
      </c>
      <c r="B2415" s="62" t="s">
        <v>934</v>
      </c>
      <c r="C2415" s="63"/>
      <c r="D2415" s="64"/>
      <c r="E2415" s="65"/>
      <c r="F2415" s="66"/>
      <c r="G2415" s="63"/>
      <c r="H2415" s="67"/>
      <c r="I2415" s="68"/>
      <c r="J2415" s="68"/>
      <c r="K2415" s="32"/>
      <c r="L2415" s="75">
        <v>2415</v>
      </c>
      <c r="M2415" s="75"/>
      <c r="N2415" s="70"/>
      <c r="O2415" s="77" t="s">
        <v>179</v>
      </c>
      <c r="P2415" s="79">
        <v>44928.563483796293</v>
      </c>
      <c r="Q2415" s="77" t="s">
        <v>3457</v>
      </c>
      <c r="R2415" s="77">
        <v>14</v>
      </c>
      <c r="S2415" s="77">
        <v>53</v>
      </c>
      <c r="T2415" s="77">
        <v>19</v>
      </c>
      <c r="U2415" s="77">
        <v>1</v>
      </c>
      <c r="V2415" s="77">
        <v>706</v>
      </c>
      <c r="W2415" s="82" t="s">
        <v>5616</v>
      </c>
      <c r="X2415" s="77"/>
      <c r="Y2415" s="77"/>
      <c r="Z2415" s="77"/>
      <c r="AA2415" s="77" t="s">
        <v>7488</v>
      </c>
      <c r="AB2415" s="77" t="s">
        <v>7697</v>
      </c>
      <c r="AC2415" s="82" t="s">
        <v>7706</v>
      </c>
      <c r="AD2415" s="77" t="s">
        <v>7747</v>
      </c>
      <c r="AE2415" s="80" t="str">
        <f>HYPERLINK("https://twitter.com/leveappbr/status/1609905200944513024")</f>
        <v>https://twitter.com/leveappbr/status/1609905200944513024</v>
      </c>
      <c r="AF2415" s="79">
        <v>44928.563483796293</v>
      </c>
      <c r="AG2415" s="85">
        <v>44928</v>
      </c>
      <c r="AH2415" s="82" t="s">
        <v>9908</v>
      </c>
      <c r="AI2415" s="77" t="b">
        <v>0</v>
      </c>
      <c r="AJ2415" s="77"/>
      <c r="AK2415" s="77"/>
      <c r="AL2415" s="77"/>
      <c r="AM2415" s="77"/>
      <c r="AN2415" s="77"/>
      <c r="AO2415" s="77"/>
      <c r="AP2415" s="77"/>
      <c r="AQ2415" s="77" t="s">
        <v>11995</v>
      </c>
      <c r="AR2415" s="77">
        <v>32208</v>
      </c>
      <c r="AS2415" s="77"/>
      <c r="AT2415" s="77"/>
      <c r="AU2415" s="77">
        <v>192</v>
      </c>
      <c r="AV2415" s="80" t="str">
        <f>HYPERLINK("https://pbs.twimg.com/ext_tw_video_thumb/1609904580745207809/pu/img/LQ234SxsWXrSPLJA.jpg")</f>
        <v>https://pbs.twimg.com/ext_tw_video_thumb/1609904580745207809/pu/img/LQ234SxsWXrSPLJA.jpg</v>
      </c>
      <c r="AW2415" s="82" t="s">
        <v>14571</v>
      </c>
      <c r="AX2415" s="82" t="s">
        <v>14571</v>
      </c>
      <c r="AY2415" s="77"/>
      <c r="AZ2415" s="82" t="s">
        <v>15804</v>
      </c>
      <c r="BA2415" s="82" t="s">
        <v>15804</v>
      </c>
      <c r="BB2415" s="82" t="s">
        <v>15804</v>
      </c>
      <c r="BC2415" s="82" t="s">
        <v>14571</v>
      </c>
      <c r="BD2415" s="82" t="s">
        <v>16542</v>
      </c>
      <c r="BE2415" s="77"/>
      <c r="BF2415" s="77"/>
      <c r="BG2415" s="77"/>
      <c r="BH2415" s="77"/>
      <c r="BI2415" s="77"/>
    </row>
    <row r="2416" spans="1:61" x14ac:dyDescent="0.25">
      <c r="A2416" s="62" t="s">
        <v>934</v>
      </c>
      <c r="B2416" s="62" t="s">
        <v>934</v>
      </c>
      <c r="C2416" s="63"/>
      <c r="D2416" s="64"/>
      <c r="E2416" s="65"/>
      <c r="F2416" s="66"/>
      <c r="G2416" s="63"/>
      <c r="H2416" s="67"/>
      <c r="I2416" s="68"/>
      <c r="J2416" s="68"/>
      <c r="K2416" s="32"/>
      <c r="L2416" s="75">
        <v>2416</v>
      </c>
      <c r="M2416" s="75"/>
      <c r="N2416" s="70"/>
      <c r="O2416" s="77" t="s">
        <v>179</v>
      </c>
      <c r="P2416" s="79">
        <v>45045.909930555557</v>
      </c>
      <c r="Q2416" s="77" t="s">
        <v>3458</v>
      </c>
      <c r="R2416" s="77">
        <v>17</v>
      </c>
      <c r="S2416" s="77">
        <v>43</v>
      </c>
      <c r="T2416" s="77">
        <v>36</v>
      </c>
      <c r="U2416" s="77">
        <v>0</v>
      </c>
      <c r="V2416" s="77">
        <v>738</v>
      </c>
      <c r="W2416" s="82" t="s">
        <v>5617</v>
      </c>
      <c r="X2416" s="77" t="s">
        <v>5998</v>
      </c>
      <c r="Y2416" s="77" t="s">
        <v>6105</v>
      </c>
      <c r="Z2416" s="77"/>
      <c r="AA2416" s="77" t="s">
        <v>7489</v>
      </c>
      <c r="AB2416" s="77" t="s">
        <v>7696</v>
      </c>
      <c r="AC2416" s="82" t="s">
        <v>7706</v>
      </c>
      <c r="AD2416" s="77" t="s">
        <v>7747</v>
      </c>
      <c r="AE2416" s="80" t="str">
        <f>HYPERLINK("https://twitter.com/leveappbr/status/1652430132827627522")</f>
        <v>https://twitter.com/leveappbr/status/1652430132827627522</v>
      </c>
      <c r="AF2416" s="79">
        <v>45045.909930555557</v>
      </c>
      <c r="AG2416" s="85">
        <v>45045</v>
      </c>
      <c r="AH2416" s="82" t="s">
        <v>9909</v>
      </c>
      <c r="AI2416" s="77" t="b">
        <v>0</v>
      </c>
      <c r="AJ2416" s="77"/>
      <c r="AK2416" s="77"/>
      <c r="AL2416" s="77"/>
      <c r="AM2416" s="77"/>
      <c r="AN2416" s="77"/>
      <c r="AO2416" s="77"/>
      <c r="AP2416" s="77"/>
      <c r="AQ2416" s="77" t="s">
        <v>11996</v>
      </c>
      <c r="AR2416" s="77"/>
      <c r="AS2416" s="77"/>
      <c r="AT2416" s="77"/>
      <c r="AU2416" s="77"/>
      <c r="AV2416" s="80" t="str">
        <f>HYPERLINK("https://pbs.twimg.com/media/Fu6cTV8XsAIbXb9.jpg")</f>
        <v>https://pbs.twimg.com/media/Fu6cTV8XsAIbXb9.jpg</v>
      </c>
      <c r="AW2416" s="82" t="s">
        <v>14572</v>
      </c>
      <c r="AX2416" s="82" t="s">
        <v>14572</v>
      </c>
      <c r="AY2416" s="77"/>
      <c r="AZ2416" s="82" t="s">
        <v>15804</v>
      </c>
      <c r="BA2416" s="82" t="s">
        <v>15804</v>
      </c>
      <c r="BB2416" s="82" t="s">
        <v>15804</v>
      </c>
      <c r="BC2416" s="82" t="s">
        <v>14572</v>
      </c>
      <c r="BD2416" s="82" t="s">
        <v>16542</v>
      </c>
      <c r="BE2416" s="77"/>
      <c r="BF2416" s="77"/>
      <c r="BG2416" s="77"/>
      <c r="BH2416" s="77"/>
      <c r="BI2416" s="77"/>
    </row>
    <row r="2417" spans="1:61" x14ac:dyDescent="0.25">
      <c r="A2417" s="62" t="s">
        <v>934</v>
      </c>
      <c r="B2417" s="62" t="s">
        <v>934</v>
      </c>
      <c r="C2417" s="63"/>
      <c r="D2417" s="64"/>
      <c r="E2417" s="65"/>
      <c r="F2417" s="66"/>
      <c r="G2417" s="63"/>
      <c r="H2417" s="67"/>
      <c r="I2417" s="68"/>
      <c r="J2417" s="68"/>
      <c r="K2417" s="32"/>
      <c r="L2417" s="75">
        <v>2417</v>
      </c>
      <c r="M2417" s="75"/>
      <c r="N2417" s="70"/>
      <c r="O2417" s="77" t="s">
        <v>179</v>
      </c>
      <c r="P2417" s="79">
        <v>45002.736944444441</v>
      </c>
      <c r="Q2417" s="77" t="s">
        <v>3459</v>
      </c>
      <c r="R2417" s="77">
        <v>25</v>
      </c>
      <c r="S2417" s="77">
        <v>89</v>
      </c>
      <c r="T2417" s="77">
        <v>42</v>
      </c>
      <c r="U2417" s="77">
        <v>3</v>
      </c>
      <c r="V2417" s="77">
        <v>3289</v>
      </c>
      <c r="W2417" s="82" t="s">
        <v>5618</v>
      </c>
      <c r="X2417" s="77"/>
      <c r="Y2417" s="77"/>
      <c r="Z2417" s="77"/>
      <c r="AA2417" s="77" t="s">
        <v>7490</v>
      </c>
      <c r="AB2417" s="77" t="s">
        <v>7697</v>
      </c>
      <c r="AC2417" s="82" t="s">
        <v>7706</v>
      </c>
      <c r="AD2417" s="77" t="s">
        <v>7747</v>
      </c>
      <c r="AE2417" s="80" t="str">
        <f>HYPERLINK("https://twitter.com/leveappbr/status/1636784765696081929")</f>
        <v>https://twitter.com/leveappbr/status/1636784765696081929</v>
      </c>
      <c r="AF2417" s="79">
        <v>45002.736944444441</v>
      </c>
      <c r="AG2417" s="85">
        <v>45002</v>
      </c>
      <c r="AH2417" s="82" t="s">
        <v>9910</v>
      </c>
      <c r="AI2417" s="77" t="b">
        <v>0</v>
      </c>
      <c r="AJ2417" s="77"/>
      <c r="AK2417" s="77"/>
      <c r="AL2417" s="77"/>
      <c r="AM2417" s="77"/>
      <c r="AN2417" s="77"/>
      <c r="AO2417" s="77"/>
      <c r="AP2417" s="77"/>
      <c r="AQ2417" s="77" t="s">
        <v>11997</v>
      </c>
      <c r="AR2417" s="77">
        <v>107933</v>
      </c>
      <c r="AS2417" s="77"/>
      <c r="AT2417" s="77"/>
      <c r="AU2417" s="77">
        <v>992</v>
      </c>
      <c r="AV2417" s="80" t="str">
        <f>HYPERLINK("https://pbs.twimg.com/ext_tw_video_thumb/1636784038189973517/pu/img/gxK0jDgN28cOCgXT.jpg")</f>
        <v>https://pbs.twimg.com/ext_tw_video_thumb/1636784038189973517/pu/img/gxK0jDgN28cOCgXT.jpg</v>
      </c>
      <c r="AW2417" s="82" t="s">
        <v>14573</v>
      </c>
      <c r="AX2417" s="82" t="s">
        <v>14573</v>
      </c>
      <c r="AY2417" s="77"/>
      <c r="AZ2417" s="82" t="s">
        <v>15804</v>
      </c>
      <c r="BA2417" s="82" t="s">
        <v>15804</v>
      </c>
      <c r="BB2417" s="82" t="s">
        <v>15804</v>
      </c>
      <c r="BC2417" s="82" t="s">
        <v>14573</v>
      </c>
      <c r="BD2417" s="82" t="s">
        <v>16542</v>
      </c>
      <c r="BE2417" s="77"/>
      <c r="BF2417" s="77"/>
      <c r="BG2417" s="77"/>
      <c r="BH2417" s="77"/>
      <c r="BI2417" s="77"/>
    </row>
    <row r="2418" spans="1:61" x14ac:dyDescent="0.25">
      <c r="A2418" s="62" t="s">
        <v>934</v>
      </c>
      <c r="B2418" s="62" t="s">
        <v>934</v>
      </c>
      <c r="C2418" s="63"/>
      <c r="D2418" s="64"/>
      <c r="E2418" s="65"/>
      <c r="F2418" s="66"/>
      <c r="G2418" s="63"/>
      <c r="H2418" s="67"/>
      <c r="I2418" s="68"/>
      <c r="J2418" s="68"/>
      <c r="K2418" s="32"/>
      <c r="L2418" s="75">
        <v>2418</v>
      </c>
      <c r="M2418" s="75"/>
      <c r="N2418" s="70"/>
      <c r="O2418" s="77" t="s">
        <v>179</v>
      </c>
      <c r="P2418" s="79">
        <v>44937.754895833335</v>
      </c>
      <c r="Q2418" s="77" t="s">
        <v>3460</v>
      </c>
      <c r="R2418" s="77">
        <v>16</v>
      </c>
      <c r="S2418" s="77">
        <v>58</v>
      </c>
      <c r="T2418" s="77">
        <v>16</v>
      </c>
      <c r="U2418" s="77">
        <v>0</v>
      </c>
      <c r="V2418" s="77">
        <v>423</v>
      </c>
      <c r="W2418" s="82" t="s">
        <v>5619</v>
      </c>
      <c r="X2418" s="77"/>
      <c r="Y2418" s="77"/>
      <c r="Z2418" s="77"/>
      <c r="AA2418" s="77" t="s">
        <v>7491</v>
      </c>
      <c r="AB2418" s="77" t="s">
        <v>7697</v>
      </c>
      <c r="AC2418" s="82" t="s">
        <v>7706</v>
      </c>
      <c r="AD2418" s="77" t="s">
        <v>7747</v>
      </c>
      <c r="AE2418" s="80" t="str">
        <f>HYPERLINK("https://twitter.com/leveappbr/status/1613236058069549056")</f>
        <v>https://twitter.com/leveappbr/status/1613236058069549056</v>
      </c>
      <c r="AF2418" s="79">
        <v>44937.754895833335</v>
      </c>
      <c r="AG2418" s="85">
        <v>44937</v>
      </c>
      <c r="AH2418" s="82" t="s">
        <v>9911</v>
      </c>
      <c r="AI2418" s="77" t="b">
        <v>0</v>
      </c>
      <c r="AJ2418" s="77"/>
      <c r="AK2418" s="77"/>
      <c r="AL2418" s="77"/>
      <c r="AM2418" s="77"/>
      <c r="AN2418" s="77"/>
      <c r="AO2418" s="77"/>
      <c r="AP2418" s="77"/>
      <c r="AQ2418" s="77" t="s">
        <v>11998</v>
      </c>
      <c r="AR2418" s="77">
        <v>42112</v>
      </c>
      <c r="AS2418" s="77"/>
      <c r="AT2418" s="77"/>
      <c r="AU2418" s="77">
        <v>112</v>
      </c>
      <c r="AV2418" s="80" t="str">
        <f>HYPERLINK("https://pbs.twimg.com/ext_tw_video_thumb/1613235779051872258/pu/img/c6Mw82mITEatMbp-.jpg")</f>
        <v>https://pbs.twimg.com/ext_tw_video_thumb/1613235779051872258/pu/img/c6Mw82mITEatMbp-.jpg</v>
      </c>
      <c r="AW2418" s="82" t="s">
        <v>14574</v>
      </c>
      <c r="AX2418" s="82" t="s">
        <v>14574</v>
      </c>
      <c r="AY2418" s="77"/>
      <c r="AZ2418" s="82" t="s">
        <v>15804</v>
      </c>
      <c r="BA2418" s="82" t="s">
        <v>15804</v>
      </c>
      <c r="BB2418" s="82" t="s">
        <v>15804</v>
      </c>
      <c r="BC2418" s="82" t="s">
        <v>14574</v>
      </c>
      <c r="BD2418" s="82" t="s">
        <v>16542</v>
      </c>
      <c r="BE2418" s="77"/>
      <c r="BF2418" s="77"/>
      <c r="BG2418" s="77"/>
      <c r="BH2418" s="77"/>
      <c r="BI2418" s="77"/>
    </row>
    <row r="2419" spans="1:61" x14ac:dyDescent="0.25">
      <c r="A2419" s="62" t="s">
        <v>934</v>
      </c>
      <c r="B2419" s="62" t="s">
        <v>934</v>
      </c>
      <c r="C2419" s="63"/>
      <c r="D2419" s="64"/>
      <c r="E2419" s="65"/>
      <c r="F2419" s="66"/>
      <c r="G2419" s="63"/>
      <c r="H2419" s="67"/>
      <c r="I2419" s="68"/>
      <c r="J2419" s="68"/>
      <c r="K2419" s="32"/>
      <c r="L2419" s="75">
        <v>2419</v>
      </c>
      <c r="M2419" s="75"/>
      <c r="N2419" s="70"/>
      <c r="O2419" s="77" t="s">
        <v>179</v>
      </c>
      <c r="P2419" s="79">
        <v>45176.570428240739</v>
      </c>
      <c r="Q2419" s="77" t="s">
        <v>3461</v>
      </c>
      <c r="R2419" s="77">
        <v>4</v>
      </c>
      <c r="S2419" s="77">
        <v>19</v>
      </c>
      <c r="T2419" s="77">
        <v>14</v>
      </c>
      <c r="U2419" s="77">
        <v>0</v>
      </c>
      <c r="V2419" s="77">
        <v>181</v>
      </c>
      <c r="W2419" s="82" t="s">
        <v>5620</v>
      </c>
      <c r="X2419" s="77"/>
      <c r="Y2419" s="77"/>
      <c r="Z2419" s="77"/>
      <c r="AA2419" s="77" t="s">
        <v>7492</v>
      </c>
      <c r="AB2419" s="77" t="s">
        <v>7696</v>
      </c>
      <c r="AC2419" s="82" t="s">
        <v>7706</v>
      </c>
      <c r="AD2419" s="77" t="s">
        <v>7747</v>
      </c>
      <c r="AE2419" s="80" t="str">
        <f>HYPERLINK("https://twitter.com/leveappbr/status/1699779908740981197")</f>
        <v>https://twitter.com/leveappbr/status/1699779908740981197</v>
      </c>
      <c r="AF2419" s="79">
        <v>45176.570428240739</v>
      </c>
      <c r="AG2419" s="85">
        <v>45176</v>
      </c>
      <c r="AH2419" s="82" t="s">
        <v>9912</v>
      </c>
      <c r="AI2419" s="77" t="b">
        <v>0</v>
      </c>
      <c r="AJ2419" s="77"/>
      <c r="AK2419" s="77"/>
      <c r="AL2419" s="77"/>
      <c r="AM2419" s="77"/>
      <c r="AN2419" s="77"/>
      <c r="AO2419" s="77"/>
      <c r="AP2419" s="77"/>
      <c r="AQ2419" s="77" t="s">
        <v>11999</v>
      </c>
      <c r="AR2419" s="77"/>
      <c r="AS2419" s="77"/>
      <c r="AT2419" s="77"/>
      <c r="AU2419" s="77"/>
      <c r="AV2419" s="80" t="str">
        <f>HYPERLINK("https://pbs.twimg.com/media/F5bUpHlaQAAdPPI.jpg")</f>
        <v>https://pbs.twimg.com/media/F5bUpHlaQAAdPPI.jpg</v>
      </c>
      <c r="AW2419" s="82" t="s">
        <v>14575</v>
      </c>
      <c r="AX2419" s="82" t="s">
        <v>14575</v>
      </c>
      <c r="AY2419" s="77"/>
      <c r="AZ2419" s="82" t="s">
        <v>15804</v>
      </c>
      <c r="BA2419" s="82" t="s">
        <v>15804</v>
      </c>
      <c r="BB2419" s="82" t="s">
        <v>15804</v>
      </c>
      <c r="BC2419" s="82" t="s">
        <v>14575</v>
      </c>
      <c r="BD2419" s="82" t="s">
        <v>16542</v>
      </c>
      <c r="BE2419" s="77"/>
      <c r="BF2419" s="77"/>
      <c r="BG2419" s="77"/>
      <c r="BH2419" s="77"/>
      <c r="BI2419" s="77"/>
    </row>
    <row r="2420" spans="1:61" x14ac:dyDescent="0.25">
      <c r="A2420" s="62" t="s">
        <v>934</v>
      </c>
      <c r="B2420" s="62" t="s">
        <v>934</v>
      </c>
      <c r="C2420" s="63"/>
      <c r="D2420" s="64"/>
      <c r="E2420" s="65"/>
      <c r="F2420" s="66"/>
      <c r="G2420" s="63"/>
      <c r="H2420" s="67"/>
      <c r="I2420" s="68"/>
      <c r="J2420" s="68"/>
      <c r="K2420" s="32"/>
      <c r="L2420" s="75">
        <v>2420</v>
      </c>
      <c r="M2420" s="75"/>
      <c r="N2420" s="70"/>
      <c r="O2420" s="77" t="s">
        <v>179</v>
      </c>
      <c r="P2420" s="79">
        <v>45005.766412037039</v>
      </c>
      <c r="Q2420" s="77" t="s">
        <v>3462</v>
      </c>
      <c r="R2420" s="77">
        <v>15</v>
      </c>
      <c r="S2420" s="77">
        <v>48</v>
      </c>
      <c r="T2420" s="77">
        <v>28</v>
      </c>
      <c r="U2420" s="77">
        <v>0</v>
      </c>
      <c r="V2420" s="77">
        <v>503</v>
      </c>
      <c r="W2420" s="82" t="s">
        <v>5611</v>
      </c>
      <c r="X2420" s="77"/>
      <c r="Y2420" s="77"/>
      <c r="Z2420" s="77"/>
      <c r="AA2420" s="77" t="s">
        <v>7493</v>
      </c>
      <c r="AB2420" s="77" t="s">
        <v>7698</v>
      </c>
      <c r="AC2420" s="82" t="s">
        <v>7706</v>
      </c>
      <c r="AD2420" s="77" t="s">
        <v>7747</v>
      </c>
      <c r="AE2420" s="80" t="str">
        <f>HYPERLINK("https://twitter.com/leveappbr/status/1637882606132887552")</f>
        <v>https://twitter.com/leveappbr/status/1637882606132887552</v>
      </c>
      <c r="AF2420" s="79">
        <v>45005.766412037039</v>
      </c>
      <c r="AG2420" s="85">
        <v>45005</v>
      </c>
      <c r="AH2420" s="82" t="s">
        <v>9913</v>
      </c>
      <c r="AI2420" s="77" t="b">
        <v>0</v>
      </c>
      <c r="AJ2420" s="77"/>
      <c r="AK2420" s="77"/>
      <c r="AL2420" s="77"/>
      <c r="AM2420" s="77"/>
      <c r="AN2420" s="77"/>
      <c r="AO2420" s="77"/>
      <c r="AP2420" s="77"/>
      <c r="AQ2420" s="77" t="s">
        <v>12000</v>
      </c>
      <c r="AR2420" s="77"/>
      <c r="AS2420" s="77"/>
      <c r="AT2420" s="77"/>
      <c r="AU2420" s="77"/>
      <c r="AV2420" s="80" t="str">
        <f>HYPERLINK("https://pbs.twimg.com/media/FrrtbL4XgAICNvV.jpg")</f>
        <v>https://pbs.twimg.com/media/FrrtbL4XgAICNvV.jpg</v>
      </c>
      <c r="AW2420" s="82" t="s">
        <v>14576</v>
      </c>
      <c r="AX2420" s="82" t="s">
        <v>14576</v>
      </c>
      <c r="AY2420" s="77"/>
      <c r="AZ2420" s="82" t="s">
        <v>15804</v>
      </c>
      <c r="BA2420" s="82" t="s">
        <v>15804</v>
      </c>
      <c r="BB2420" s="82" t="s">
        <v>15804</v>
      </c>
      <c r="BC2420" s="82" t="s">
        <v>14576</v>
      </c>
      <c r="BD2420" s="82" t="s">
        <v>16542</v>
      </c>
      <c r="BE2420" s="77"/>
      <c r="BF2420" s="77"/>
      <c r="BG2420" s="77"/>
      <c r="BH2420" s="77"/>
      <c r="BI2420" s="77"/>
    </row>
    <row r="2421" spans="1:61" x14ac:dyDescent="0.25">
      <c r="A2421" s="62" t="s">
        <v>935</v>
      </c>
      <c r="B2421" s="62" t="s">
        <v>1123</v>
      </c>
      <c r="C2421" s="63"/>
      <c r="D2421" s="64"/>
      <c r="E2421" s="65"/>
      <c r="F2421" s="66"/>
      <c r="G2421" s="63"/>
      <c r="H2421" s="67"/>
      <c r="I2421" s="68"/>
      <c r="J2421" s="68"/>
      <c r="K2421" s="32"/>
      <c r="L2421" s="75">
        <v>2421</v>
      </c>
      <c r="M2421" s="75"/>
      <c r="N2421" s="70"/>
      <c r="O2421" s="77" t="s">
        <v>1133</v>
      </c>
      <c r="P2421" s="79">
        <v>45059.125011574077</v>
      </c>
      <c r="Q2421" s="77" t="s">
        <v>3463</v>
      </c>
      <c r="R2421" s="77">
        <v>583</v>
      </c>
      <c r="S2421" s="77">
        <v>2897</v>
      </c>
      <c r="T2421" s="77">
        <v>680</v>
      </c>
      <c r="U2421" s="77">
        <v>121</v>
      </c>
      <c r="V2421" s="77">
        <v>203875</v>
      </c>
      <c r="W2421" s="77"/>
      <c r="X2421" s="80" t="str">
        <f>HYPERLINK("https://www.estadao.com.br/economia/supermercados-queda-renda-consumidor-alta-endividamento-setor/?utm_source=twitter:newsfeed&amp;utm_medium=social-organic&amp;utm_campaign=redes-sociais:052023:e&amp;utm_content=:::&amp;utm_term=")</f>
        <v>https://www.estadao.com.br/economia/supermercados-queda-renda-consumidor-alta-endividamento-setor/?utm_source=twitter:newsfeed&amp;utm_medium=social-organic&amp;utm_campaign=redes-sociais:052023:e&amp;utm_content=:::&amp;utm_term=</v>
      </c>
      <c r="Y2421" s="77" t="s">
        <v>6002</v>
      </c>
      <c r="Z2421" s="77" t="s">
        <v>1123</v>
      </c>
      <c r="AA2421" s="77"/>
      <c r="AB2421" s="77"/>
      <c r="AC2421" s="82" t="s">
        <v>7713</v>
      </c>
      <c r="AD2421" s="77" t="s">
        <v>7745</v>
      </c>
      <c r="AE2421" s="80" t="str">
        <f>HYPERLINK("https://twitter.com/estadao/status/1657219116409798657")</f>
        <v>https://twitter.com/estadao/status/1657219116409798657</v>
      </c>
      <c r="AF2421" s="79">
        <v>45059.125011574077</v>
      </c>
      <c r="AG2421" s="85">
        <v>45059</v>
      </c>
      <c r="AH2421" s="82" t="s">
        <v>9914</v>
      </c>
      <c r="AI2421" s="77" t="b">
        <v>0</v>
      </c>
      <c r="AJ2421" s="77"/>
      <c r="AK2421" s="77"/>
      <c r="AL2421" s="77"/>
      <c r="AM2421" s="77"/>
      <c r="AN2421" s="77"/>
      <c r="AO2421" s="77"/>
      <c r="AP2421" s="77"/>
      <c r="AQ2421" s="77"/>
      <c r="AR2421" s="77"/>
      <c r="AS2421" s="77"/>
      <c r="AT2421" s="77"/>
      <c r="AU2421" s="77"/>
      <c r="AV2421" s="80" t="str">
        <f>HYPERLINK("https://pbs.twimg.com/profile_images/1297827081791905795/H4qtFpQ-_normal.jpg")</f>
        <v>https://pbs.twimg.com/profile_images/1297827081791905795/H4qtFpQ-_normal.jpg</v>
      </c>
      <c r="AW2421" s="82" t="s">
        <v>14577</v>
      </c>
      <c r="AX2421" s="82" t="s">
        <v>14577</v>
      </c>
      <c r="AY2421" s="77"/>
      <c r="AZ2421" s="82" t="s">
        <v>15804</v>
      </c>
      <c r="BA2421" s="82" t="s">
        <v>15804</v>
      </c>
      <c r="BB2421" s="82" t="s">
        <v>15804</v>
      </c>
      <c r="BC2421" s="82" t="s">
        <v>14577</v>
      </c>
      <c r="BD2421" s="77">
        <v>9317502</v>
      </c>
      <c r="BE2421" s="77"/>
      <c r="BF2421" s="77"/>
      <c r="BG2421" s="77"/>
      <c r="BH2421" s="77"/>
      <c r="BI2421" s="77"/>
    </row>
    <row r="2422" spans="1:61" x14ac:dyDescent="0.25">
      <c r="A2422" s="62" t="s">
        <v>936</v>
      </c>
      <c r="B2422" s="62" t="s">
        <v>936</v>
      </c>
      <c r="C2422" s="63"/>
      <c r="D2422" s="64"/>
      <c r="E2422" s="65"/>
      <c r="F2422" s="66"/>
      <c r="G2422" s="63"/>
      <c r="H2422" s="67"/>
      <c r="I2422" s="68"/>
      <c r="J2422" s="68"/>
      <c r="K2422" s="32"/>
      <c r="L2422" s="75">
        <v>2422</v>
      </c>
      <c r="M2422" s="75"/>
      <c r="N2422" s="70"/>
      <c r="O2422" s="77" t="s">
        <v>179</v>
      </c>
      <c r="P2422" s="79">
        <v>44998.930150462962</v>
      </c>
      <c r="Q2422" s="77" t="s">
        <v>3464</v>
      </c>
      <c r="R2422" s="77">
        <v>0</v>
      </c>
      <c r="S2422" s="77">
        <v>1</v>
      </c>
      <c r="T2422" s="77">
        <v>0</v>
      </c>
      <c r="U2422" s="77">
        <v>0</v>
      </c>
      <c r="V2422" s="77">
        <v>56</v>
      </c>
      <c r="W2422" s="82" t="s">
        <v>5621</v>
      </c>
      <c r="X2422" s="80" t="str">
        <f>HYPERLINK("https://youtu.be/CoF3-A8BLq8")</f>
        <v>https://youtu.be/CoF3-A8BLq8</v>
      </c>
      <c r="Y2422" s="77" t="s">
        <v>6003</v>
      </c>
      <c r="Z2422" s="77"/>
      <c r="AA2422" s="77" t="s">
        <v>7494</v>
      </c>
      <c r="AB2422" s="77" t="s">
        <v>7696</v>
      </c>
      <c r="AC2422" s="82" t="s">
        <v>7707</v>
      </c>
      <c r="AD2422" s="77" t="s">
        <v>7745</v>
      </c>
      <c r="AE2422" s="80" t="str">
        <f>HYPERLINK("https://twitter.com/etopsaber/status/1635405230170062848")</f>
        <v>https://twitter.com/etopsaber/status/1635405230170062848</v>
      </c>
      <c r="AF2422" s="79">
        <v>44998.930150462962</v>
      </c>
      <c r="AG2422" s="85">
        <v>44998</v>
      </c>
      <c r="AH2422" s="82" t="s">
        <v>9915</v>
      </c>
      <c r="AI2422" s="77" t="b">
        <v>0</v>
      </c>
      <c r="AJ2422" s="77"/>
      <c r="AK2422" s="77"/>
      <c r="AL2422" s="77"/>
      <c r="AM2422" s="77"/>
      <c r="AN2422" s="77"/>
      <c r="AO2422" s="77"/>
      <c r="AP2422" s="77"/>
      <c r="AQ2422" s="77" t="s">
        <v>12001</v>
      </c>
      <c r="AR2422" s="77"/>
      <c r="AS2422" s="77"/>
      <c r="AT2422" s="77"/>
      <c r="AU2422" s="77"/>
      <c r="AV2422" s="80" t="str">
        <f>HYPERLINK("https://pbs.twimg.com/media/FrIgY77XsAEGtjL.jpg")</f>
        <v>https://pbs.twimg.com/media/FrIgY77XsAEGtjL.jpg</v>
      </c>
      <c r="AW2422" s="82" t="s">
        <v>14578</v>
      </c>
      <c r="AX2422" s="82" t="s">
        <v>14578</v>
      </c>
      <c r="AY2422" s="77"/>
      <c r="AZ2422" s="82" t="s">
        <v>15804</v>
      </c>
      <c r="BA2422" s="82" t="s">
        <v>15804</v>
      </c>
      <c r="BB2422" s="82" t="s">
        <v>15804</v>
      </c>
      <c r="BC2422" s="82" t="s">
        <v>14578</v>
      </c>
      <c r="BD2422" s="82" t="s">
        <v>16543</v>
      </c>
      <c r="BE2422" s="77"/>
      <c r="BF2422" s="77"/>
      <c r="BG2422" s="77"/>
      <c r="BH2422" s="77"/>
      <c r="BI2422" s="77"/>
    </row>
    <row r="2423" spans="1:61" x14ac:dyDescent="0.25">
      <c r="A2423" s="62" t="s">
        <v>937</v>
      </c>
      <c r="B2423" s="62" t="s">
        <v>937</v>
      </c>
      <c r="C2423" s="63"/>
      <c r="D2423" s="64"/>
      <c r="E2423" s="65"/>
      <c r="F2423" s="66"/>
      <c r="G2423" s="63"/>
      <c r="H2423" s="67"/>
      <c r="I2423" s="68"/>
      <c r="J2423" s="68"/>
      <c r="K2423" s="32"/>
      <c r="L2423" s="75">
        <v>2423</v>
      </c>
      <c r="M2423" s="75"/>
      <c r="N2423" s="70"/>
      <c r="O2423" s="77" t="s">
        <v>179</v>
      </c>
      <c r="P2423" s="79">
        <v>45054.335555555554</v>
      </c>
      <c r="Q2423" s="77" t="s">
        <v>3465</v>
      </c>
      <c r="R2423" s="77">
        <v>0</v>
      </c>
      <c r="S2423" s="77">
        <v>1</v>
      </c>
      <c r="T2423" s="77">
        <v>0</v>
      </c>
      <c r="U2423" s="77">
        <v>0</v>
      </c>
      <c r="V2423" s="77">
        <v>59</v>
      </c>
      <c r="W2423" s="82" t="s">
        <v>5622</v>
      </c>
      <c r="X2423" s="80" t="str">
        <f>HYPERLINK("https://youtu.be/kqex0d0rIrs")</f>
        <v>https://youtu.be/kqex0d0rIrs</v>
      </c>
      <c r="Y2423" s="77" t="s">
        <v>6003</v>
      </c>
      <c r="Z2423" s="77"/>
      <c r="AA2423" s="77"/>
      <c r="AB2423" s="77"/>
      <c r="AC2423" s="82" t="s">
        <v>7706</v>
      </c>
      <c r="AD2423" s="77" t="s">
        <v>7745</v>
      </c>
      <c r="AE2423" s="80" t="str">
        <f>HYPERLINK("https://twitter.com/ubamoz/status/1655483474487427072")</f>
        <v>https://twitter.com/ubamoz/status/1655483474487427072</v>
      </c>
      <c r="AF2423" s="79">
        <v>45054.335555555554</v>
      </c>
      <c r="AG2423" s="85">
        <v>45054</v>
      </c>
      <c r="AH2423" s="82" t="s">
        <v>9916</v>
      </c>
      <c r="AI2423" s="77" t="b">
        <v>0</v>
      </c>
      <c r="AJ2423" s="77"/>
      <c r="AK2423" s="77"/>
      <c r="AL2423" s="77"/>
      <c r="AM2423" s="77"/>
      <c r="AN2423" s="77"/>
      <c r="AO2423" s="77"/>
      <c r="AP2423" s="77"/>
      <c r="AQ2423" s="77"/>
      <c r="AR2423" s="77"/>
      <c r="AS2423" s="77"/>
      <c r="AT2423" s="77"/>
      <c r="AU2423" s="77"/>
      <c r="AV2423" s="80" t="str">
        <f>HYPERLINK("https://pbs.twimg.com/profile_images/1113339417664675840/jxtnAYRW_normal.jpg")</f>
        <v>https://pbs.twimg.com/profile_images/1113339417664675840/jxtnAYRW_normal.jpg</v>
      </c>
      <c r="AW2423" s="82" t="s">
        <v>14579</v>
      </c>
      <c r="AX2423" s="82" t="s">
        <v>14579</v>
      </c>
      <c r="AY2423" s="77"/>
      <c r="AZ2423" s="82" t="s">
        <v>15804</v>
      </c>
      <c r="BA2423" s="82" t="s">
        <v>15804</v>
      </c>
      <c r="BB2423" s="82" t="s">
        <v>15804</v>
      </c>
      <c r="BC2423" s="82" t="s">
        <v>14579</v>
      </c>
      <c r="BD2423" s="82" t="s">
        <v>16544</v>
      </c>
      <c r="BE2423" s="77"/>
      <c r="BF2423" s="77"/>
      <c r="BG2423" s="77"/>
      <c r="BH2423" s="77"/>
      <c r="BI2423" s="77"/>
    </row>
    <row r="2424" spans="1:61" x14ac:dyDescent="0.25">
      <c r="A2424" s="62" t="s">
        <v>938</v>
      </c>
      <c r="B2424" s="62" t="s">
        <v>938</v>
      </c>
      <c r="C2424" s="63"/>
      <c r="D2424" s="64"/>
      <c r="E2424" s="65"/>
      <c r="F2424" s="66"/>
      <c r="G2424" s="63"/>
      <c r="H2424" s="67"/>
      <c r="I2424" s="68"/>
      <c r="J2424" s="68"/>
      <c r="K2424" s="32"/>
      <c r="L2424" s="75">
        <v>2424</v>
      </c>
      <c r="M2424" s="75"/>
      <c r="N2424" s="70"/>
      <c r="O2424" s="77" t="s">
        <v>179</v>
      </c>
      <c r="P2424" s="79">
        <v>45145.708460648151</v>
      </c>
      <c r="Q2424" s="77" t="s">
        <v>3466</v>
      </c>
      <c r="R2424" s="77">
        <v>0</v>
      </c>
      <c r="S2424" s="77">
        <v>0</v>
      </c>
      <c r="T2424" s="77">
        <v>0</v>
      </c>
      <c r="U2424" s="77">
        <v>0</v>
      </c>
      <c r="V2424" s="77">
        <v>21</v>
      </c>
      <c r="W2424" s="82" t="s">
        <v>4418</v>
      </c>
      <c r="X2424" s="77"/>
      <c r="Y2424" s="77"/>
      <c r="Z2424" s="77"/>
      <c r="AA2424" s="77"/>
      <c r="AB2424" s="77"/>
      <c r="AC2424" s="82" t="s">
        <v>7705</v>
      </c>
      <c r="AD2424" s="77" t="s">
        <v>7745</v>
      </c>
      <c r="AE2424" s="80" t="str">
        <f>HYPERLINK("https://twitter.com/alvdlima/status/1688595908336795677")</f>
        <v>https://twitter.com/alvdlima/status/1688595908336795677</v>
      </c>
      <c r="AF2424" s="79">
        <v>45145.708460648151</v>
      </c>
      <c r="AG2424" s="85">
        <v>45145</v>
      </c>
      <c r="AH2424" s="82" t="s">
        <v>9917</v>
      </c>
      <c r="AI2424" s="77"/>
      <c r="AJ2424" s="77"/>
      <c r="AK2424" s="77"/>
      <c r="AL2424" s="77"/>
      <c r="AM2424" s="77"/>
      <c r="AN2424" s="77"/>
      <c r="AO2424" s="77"/>
      <c r="AP2424" s="77"/>
      <c r="AQ2424" s="77"/>
      <c r="AR2424" s="77"/>
      <c r="AS2424" s="77"/>
      <c r="AT2424" s="77"/>
      <c r="AU2424" s="77"/>
      <c r="AV2424" s="80" t="str">
        <f>HYPERLINK("https://pbs.twimg.com/profile_images/1673537530220691456/pjQWo1MT_normal.jpg")</f>
        <v>https://pbs.twimg.com/profile_images/1673537530220691456/pjQWo1MT_normal.jpg</v>
      </c>
      <c r="AW2424" s="82" t="s">
        <v>14580</v>
      </c>
      <c r="AX2424" s="82" t="s">
        <v>14580</v>
      </c>
      <c r="AY2424" s="77"/>
      <c r="AZ2424" s="82" t="s">
        <v>15804</v>
      </c>
      <c r="BA2424" s="82" t="s">
        <v>15804</v>
      </c>
      <c r="BB2424" s="82" t="s">
        <v>15804</v>
      </c>
      <c r="BC2424" s="82" t="s">
        <v>14580</v>
      </c>
      <c r="BD2424" s="82" t="s">
        <v>16545</v>
      </c>
      <c r="BE2424" s="77"/>
      <c r="BF2424" s="77"/>
      <c r="BG2424" s="77"/>
      <c r="BH2424" s="77"/>
      <c r="BI2424" s="77"/>
    </row>
    <row r="2425" spans="1:61" x14ac:dyDescent="0.25">
      <c r="A2425" s="62" t="s">
        <v>939</v>
      </c>
      <c r="B2425" s="62" t="s">
        <v>939</v>
      </c>
      <c r="C2425" s="63"/>
      <c r="D2425" s="64"/>
      <c r="E2425" s="65"/>
      <c r="F2425" s="66"/>
      <c r="G2425" s="63"/>
      <c r="H2425" s="67"/>
      <c r="I2425" s="68"/>
      <c r="J2425" s="68"/>
      <c r="K2425" s="32"/>
      <c r="L2425" s="75">
        <v>2425</v>
      </c>
      <c r="M2425" s="75"/>
      <c r="N2425" s="70"/>
      <c r="O2425" s="77" t="s">
        <v>179</v>
      </c>
      <c r="P2425" s="79">
        <v>45035.091435185182</v>
      </c>
      <c r="Q2425" s="77" t="s">
        <v>3467</v>
      </c>
      <c r="R2425" s="77">
        <v>0</v>
      </c>
      <c r="S2425" s="77">
        <v>0</v>
      </c>
      <c r="T2425" s="77">
        <v>0</v>
      </c>
      <c r="U2425" s="77">
        <v>0</v>
      </c>
      <c r="V2425" s="77">
        <v>58</v>
      </c>
      <c r="W2425" s="82" t="s">
        <v>5623</v>
      </c>
      <c r="X2425" s="80" t="str">
        <f>HYPERLINK("https://pay.hotmart.com/J64442581M?off=lpn5vfvm")</f>
        <v>https://pay.hotmart.com/J64442581M?off=lpn5vfvm</v>
      </c>
      <c r="Y2425" s="77" t="s">
        <v>6023</v>
      </c>
      <c r="Z2425" s="77"/>
      <c r="AA2425" s="77" t="s">
        <v>7495</v>
      </c>
      <c r="AB2425" s="77" t="s">
        <v>7697</v>
      </c>
      <c r="AC2425" s="82" t="s">
        <v>7707</v>
      </c>
      <c r="AD2425" s="77" t="s">
        <v>7745</v>
      </c>
      <c r="AE2425" s="80" t="str">
        <f>HYPERLINK("https://twitter.com/ludinharosa/status/1648509640437817346")</f>
        <v>https://twitter.com/ludinharosa/status/1648509640437817346</v>
      </c>
      <c r="AF2425" s="79">
        <v>45035.091435185182</v>
      </c>
      <c r="AG2425" s="85">
        <v>45035</v>
      </c>
      <c r="AH2425" s="82" t="s">
        <v>9918</v>
      </c>
      <c r="AI2425" s="77" t="b">
        <v>0</v>
      </c>
      <c r="AJ2425" s="77"/>
      <c r="AK2425" s="77"/>
      <c r="AL2425" s="77"/>
      <c r="AM2425" s="77"/>
      <c r="AN2425" s="77"/>
      <c r="AO2425" s="77"/>
      <c r="AP2425" s="77"/>
      <c r="AQ2425" s="77" t="s">
        <v>12002</v>
      </c>
      <c r="AR2425" s="77">
        <v>15033</v>
      </c>
      <c r="AS2425" s="77"/>
      <c r="AT2425" s="77"/>
      <c r="AU2425" s="77">
        <v>16</v>
      </c>
      <c r="AV2425" s="80" t="str">
        <f>HYPERLINK("https://pbs.twimg.com/ext_tw_video_thumb/1648509607701270529/pu/img/y_ecv5G_JQK6kl_s.jpg")</f>
        <v>https://pbs.twimg.com/ext_tw_video_thumb/1648509607701270529/pu/img/y_ecv5G_JQK6kl_s.jpg</v>
      </c>
      <c r="AW2425" s="82" t="s">
        <v>14581</v>
      </c>
      <c r="AX2425" s="82" t="s">
        <v>14581</v>
      </c>
      <c r="AY2425" s="77"/>
      <c r="AZ2425" s="82" t="s">
        <v>15804</v>
      </c>
      <c r="BA2425" s="82" t="s">
        <v>15804</v>
      </c>
      <c r="BB2425" s="82" t="s">
        <v>15804</v>
      </c>
      <c r="BC2425" s="82" t="s">
        <v>14581</v>
      </c>
      <c r="BD2425" s="82" t="s">
        <v>16546</v>
      </c>
      <c r="BE2425" s="77"/>
      <c r="BF2425" s="77"/>
      <c r="BG2425" s="77"/>
      <c r="BH2425" s="77"/>
      <c r="BI2425" s="77"/>
    </row>
    <row r="2426" spans="1:61" x14ac:dyDescent="0.25">
      <c r="A2426" s="62" t="s">
        <v>940</v>
      </c>
      <c r="B2426" s="62" t="s">
        <v>940</v>
      </c>
      <c r="C2426" s="63"/>
      <c r="D2426" s="64"/>
      <c r="E2426" s="65"/>
      <c r="F2426" s="66"/>
      <c r="G2426" s="63"/>
      <c r="H2426" s="67"/>
      <c r="I2426" s="68"/>
      <c r="J2426" s="68"/>
      <c r="K2426" s="32"/>
      <c r="L2426" s="75">
        <v>2426</v>
      </c>
      <c r="M2426" s="75"/>
      <c r="N2426" s="70"/>
      <c r="O2426" s="77" t="s">
        <v>179</v>
      </c>
      <c r="P2426" s="79">
        <v>44958.565300925926</v>
      </c>
      <c r="Q2426" s="77" t="s">
        <v>3468</v>
      </c>
      <c r="R2426" s="77">
        <v>0</v>
      </c>
      <c r="S2426" s="77">
        <v>0</v>
      </c>
      <c r="T2426" s="77">
        <v>0</v>
      </c>
      <c r="U2426" s="77">
        <v>0</v>
      </c>
      <c r="V2426" s="77">
        <v>11</v>
      </c>
      <c r="W2426" s="82" t="s">
        <v>5624</v>
      </c>
      <c r="X2426" s="80" t="str">
        <f>HYPERLINK("https://tmblr.co/Z-38sSdJYA88eW00")</f>
        <v>https://tmblr.co/Z-38sSdJYA88eW00</v>
      </c>
      <c r="Y2426" s="77" t="s">
        <v>6060</v>
      </c>
      <c r="Z2426" s="77"/>
      <c r="AA2426" s="77"/>
      <c r="AB2426" s="77"/>
      <c r="AC2426" s="82" t="s">
        <v>7729</v>
      </c>
      <c r="AD2426" s="77" t="s">
        <v>7745</v>
      </c>
      <c r="AE2426" s="80" t="str">
        <f>HYPERLINK("https://twitter.com/lucialmeida17/status/1620777494935740418")</f>
        <v>https://twitter.com/lucialmeida17/status/1620777494935740418</v>
      </c>
      <c r="AF2426" s="79">
        <v>44958.565300925926</v>
      </c>
      <c r="AG2426" s="85">
        <v>44958</v>
      </c>
      <c r="AH2426" s="82" t="s">
        <v>9919</v>
      </c>
      <c r="AI2426" s="77" t="b">
        <v>0</v>
      </c>
      <c r="AJ2426" s="77"/>
      <c r="AK2426" s="77"/>
      <c r="AL2426" s="77"/>
      <c r="AM2426" s="77"/>
      <c r="AN2426" s="77"/>
      <c r="AO2426" s="77"/>
      <c r="AP2426" s="77"/>
      <c r="AQ2426" s="77"/>
      <c r="AR2426" s="77"/>
      <c r="AS2426" s="77"/>
      <c r="AT2426" s="77"/>
      <c r="AU2426" s="77"/>
      <c r="AV2426" s="80" t="str">
        <f>HYPERLINK("https://pbs.twimg.com/profile_images/1211870560940167169/R41g8uWJ_normal.jpg")</f>
        <v>https://pbs.twimg.com/profile_images/1211870560940167169/R41g8uWJ_normal.jpg</v>
      </c>
      <c r="AW2426" s="82" t="s">
        <v>14582</v>
      </c>
      <c r="AX2426" s="82" t="s">
        <v>14582</v>
      </c>
      <c r="AY2426" s="77"/>
      <c r="AZ2426" s="82" t="s">
        <v>15804</v>
      </c>
      <c r="BA2426" s="82" t="s">
        <v>15804</v>
      </c>
      <c r="BB2426" s="82" t="s">
        <v>15804</v>
      </c>
      <c r="BC2426" s="82" t="s">
        <v>14582</v>
      </c>
      <c r="BD2426" s="82" t="s">
        <v>16547</v>
      </c>
      <c r="BE2426" s="77"/>
      <c r="BF2426" s="77"/>
      <c r="BG2426" s="77"/>
      <c r="BH2426" s="77"/>
      <c r="BI2426" s="77"/>
    </row>
    <row r="2427" spans="1:61" x14ac:dyDescent="0.25">
      <c r="A2427" s="62" t="s">
        <v>940</v>
      </c>
      <c r="B2427" s="62" t="s">
        <v>940</v>
      </c>
      <c r="C2427" s="63"/>
      <c r="D2427" s="64"/>
      <c r="E2427" s="65"/>
      <c r="F2427" s="66"/>
      <c r="G2427" s="63"/>
      <c r="H2427" s="67"/>
      <c r="I2427" s="68"/>
      <c r="J2427" s="68"/>
      <c r="K2427" s="32"/>
      <c r="L2427" s="75">
        <v>2427</v>
      </c>
      <c r="M2427" s="75"/>
      <c r="N2427" s="70"/>
      <c r="O2427" s="77" t="s">
        <v>179</v>
      </c>
      <c r="P2427" s="79">
        <v>44948.973657407405</v>
      </c>
      <c r="Q2427" s="77" t="s">
        <v>3469</v>
      </c>
      <c r="R2427" s="77">
        <v>0</v>
      </c>
      <c r="S2427" s="77">
        <v>0</v>
      </c>
      <c r="T2427" s="77">
        <v>0</v>
      </c>
      <c r="U2427" s="77">
        <v>0</v>
      </c>
      <c r="V2427" s="77">
        <v>11</v>
      </c>
      <c r="W2427" s="82" t="s">
        <v>5624</v>
      </c>
      <c r="X2427" s="80" t="str">
        <f>HYPERLINK("https://tmblr.co/Z-38sSdGSauj4y00")</f>
        <v>https://tmblr.co/Z-38sSdGSauj4y00</v>
      </c>
      <c r="Y2427" s="77" t="s">
        <v>6060</v>
      </c>
      <c r="Z2427" s="77"/>
      <c r="AA2427" s="77"/>
      <c r="AB2427" s="77"/>
      <c r="AC2427" s="82" t="s">
        <v>7729</v>
      </c>
      <c r="AD2427" s="77" t="s">
        <v>7745</v>
      </c>
      <c r="AE2427" s="80" t="str">
        <f>HYPERLINK("https://twitter.com/lucialmeida17/status/1617301599583346691")</f>
        <v>https://twitter.com/lucialmeida17/status/1617301599583346691</v>
      </c>
      <c r="AF2427" s="79">
        <v>44948.973657407405</v>
      </c>
      <c r="AG2427" s="85">
        <v>44948</v>
      </c>
      <c r="AH2427" s="82" t="s">
        <v>9920</v>
      </c>
      <c r="AI2427" s="77" t="b">
        <v>0</v>
      </c>
      <c r="AJ2427" s="77"/>
      <c r="AK2427" s="77"/>
      <c r="AL2427" s="77"/>
      <c r="AM2427" s="77"/>
      <c r="AN2427" s="77"/>
      <c r="AO2427" s="77"/>
      <c r="AP2427" s="77"/>
      <c r="AQ2427" s="77"/>
      <c r="AR2427" s="77"/>
      <c r="AS2427" s="77"/>
      <c r="AT2427" s="77"/>
      <c r="AU2427" s="77"/>
      <c r="AV2427" s="80" t="str">
        <f>HYPERLINK("https://pbs.twimg.com/profile_images/1211870560940167169/R41g8uWJ_normal.jpg")</f>
        <v>https://pbs.twimg.com/profile_images/1211870560940167169/R41g8uWJ_normal.jpg</v>
      </c>
      <c r="AW2427" s="82" t="s">
        <v>14583</v>
      </c>
      <c r="AX2427" s="82" t="s">
        <v>14583</v>
      </c>
      <c r="AY2427" s="77"/>
      <c r="AZ2427" s="82" t="s">
        <v>15804</v>
      </c>
      <c r="BA2427" s="82" t="s">
        <v>15804</v>
      </c>
      <c r="BB2427" s="82" t="s">
        <v>15804</v>
      </c>
      <c r="BC2427" s="82" t="s">
        <v>14583</v>
      </c>
      <c r="BD2427" s="82" t="s">
        <v>16547</v>
      </c>
      <c r="BE2427" s="77"/>
      <c r="BF2427" s="77"/>
      <c r="BG2427" s="77"/>
      <c r="BH2427" s="77"/>
      <c r="BI2427" s="77"/>
    </row>
    <row r="2428" spans="1:61" x14ac:dyDescent="0.25">
      <c r="A2428" s="62" t="s">
        <v>940</v>
      </c>
      <c r="B2428" s="62" t="s">
        <v>940</v>
      </c>
      <c r="C2428" s="63"/>
      <c r="D2428" s="64"/>
      <c r="E2428" s="65"/>
      <c r="F2428" s="66"/>
      <c r="G2428" s="63"/>
      <c r="H2428" s="67"/>
      <c r="I2428" s="68"/>
      <c r="J2428" s="68"/>
      <c r="K2428" s="32"/>
      <c r="L2428" s="75">
        <v>2428</v>
      </c>
      <c r="M2428" s="75"/>
      <c r="N2428" s="70"/>
      <c r="O2428" s="77" t="s">
        <v>179</v>
      </c>
      <c r="P2428" s="79">
        <v>44947.999027777776</v>
      </c>
      <c r="Q2428" s="77" t="s">
        <v>3470</v>
      </c>
      <c r="R2428" s="77">
        <v>0</v>
      </c>
      <c r="S2428" s="77">
        <v>0</v>
      </c>
      <c r="T2428" s="77">
        <v>0</v>
      </c>
      <c r="U2428" s="77">
        <v>0</v>
      </c>
      <c r="V2428" s="77">
        <v>11</v>
      </c>
      <c r="W2428" s="82" t="s">
        <v>5624</v>
      </c>
      <c r="X2428" s="80" t="str">
        <f>HYPERLINK("https://tmblr.co/Z-38sSdG8V_puy00")</f>
        <v>https://tmblr.co/Z-38sSdG8V_puy00</v>
      </c>
      <c r="Y2428" s="77" t="s">
        <v>6060</v>
      </c>
      <c r="Z2428" s="77"/>
      <c r="AA2428" s="77"/>
      <c r="AB2428" s="77"/>
      <c r="AC2428" s="82" t="s">
        <v>7729</v>
      </c>
      <c r="AD2428" s="77" t="s">
        <v>7745</v>
      </c>
      <c r="AE2428" s="80" t="str">
        <f>HYPERLINK("https://twitter.com/lucialmeida17/status/1616948405904834560")</f>
        <v>https://twitter.com/lucialmeida17/status/1616948405904834560</v>
      </c>
      <c r="AF2428" s="79">
        <v>44947.999027777776</v>
      </c>
      <c r="AG2428" s="85">
        <v>44947</v>
      </c>
      <c r="AH2428" s="82" t="s">
        <v>9921</v>
      </c>
      <c r="AI2428" s="77" t="b">
        <v>0</v>
      </c>
      <c r="AJ2428" s="77"/>
      <c r="AK2428" s="77"/>
      <c r="AL2428" s="77"/>
      <c r="AM2428" s="77"/>
      <c r="AN2428" s="77"/>
      <c r="AO2428" s="77"/>
      <c r="AP2428" s="77"/>
      <c r="AQ2428" s="77"/>
      <c r="AR2428" s="77"/>
      <c r="AS2428" s="77"/>
      <c r="AT2428" s="77"/>
      <c r="AU2428" s="77"/>
      <c r="AV2428" s="80" t="str">
        <f>HYPERLINK("https://pbs.twimg.com/profile_images/1211870560940167169/R41g8uWJ_normal.jpg")</f>
        <v>https://pbs.twimg.com/profile_images/1211870560940167169/R41g8uWJ_normal.jpg</v>
      </c>
      <c r="AW2428" s="82" t="s">
        <v>14584</v>
      </c>
      <c r="AX2428" s="82" t="s">
        <v>14584</v>
      </c>
      <c r="AY2428" s="77"/>
      <c r="AZ2428" s="82" t="s">
        <v>15804</v>
      </c>
      <c r="BA2428" s="82" t="s">
        <v>15804</v>
      </c>
      <c r="BB2428" s="82" t="s">
        <v>15804</v>
      </c>
      <c r="BC2428" s="82" t="s">
        <v>14584</v>
      </c>
      <c r="BD2428" s="82" t="s">
        <v>16547</v>
      </c>
      <c r="BE2428" s="77"/>
      <c r="BF2428" s="77"/>
      <c r="BG2428" s="77"/>
      <c r="BH2428" s="77"/>
      <c r="BI2428" s="77"/>
    </row>
    <row r="2429" spans="1:61" x14ac:dyDescent="0.25">
      <c r="A2429" s="62" t="s">
        <v>941</v>
      </c>
      <c r="B2429" s="62" t="s">
        <v>941</v>
      </c>
      <c r="C2429" s="63"/>
      <c r="D2429" s="64"/>
      <c r="E2429" s="65"/>
      <c r="F2429" s="66"/>
      <c r="G2429" s="63"/>
      <c r="H2429" s="67"/>
      <c r="I2429" s="68"/>
      <c r="J2429" s="68"/>
      <c r="K2429" s="32"/>
      <c r="L2429" s="75">
        <v>2429</v>
      </c>
      <c r="M2429" s="75"/>
      <c r="N2429" s="70"/>
      <c r="O2429" s="77" t="s">
        <v>179</v>
      </c>
      <c r="P2429" s="79">
        <v>45159.627835648149</v>
      </c>
      <c r="Q2429" s="77" t="s">
        <v>3471</v>
      </c>
      <c r="R2429" s="77">
        <v>0</v>
      </c>
      <c r="S2429" s="77">
        <v>0</v>
      </c>
      <c r="T2429" s="77">
        <v>0</v>
      </c>
      <c r="U2429" s="77">
        <v>0</v>
      </c>
      <c r="V2429" s="77">
        <v>11</v>
      </c>
      <c r="W2429" s="82" t="s">
        <v>5625</v>
      </c>
      <c r="X2429" s="77"/>
      <c r="Y2429" s="77"/>
      <c r="Z2429" s="77"/>
      <c r="AA2429" s="77" t="s">
        <v>7496</v>
      </c>
      <c r="AB2429" s="77" t="s">
        <v>7696</v>
      </c>
      <c r="AC2429" s="82" t="s">
        <v>7706</v>
      </c>
      <c r="AD2429" s="77" t="s">
        <v>7745</v>
      </c>
      <c r="AE2429" s="80" t="str">
        <f>HYPERLINK("https://twitter.com/iconeeditora/status/1693640117850619974")</f>
        <v>https://twitter.com/iconeeditora/status/1693640117850619974</v>
      </c>
      <c r="AF2429" s="79">
        <v>45159.627835648149</v>
      </c>
      <c r="AG2429" s="85">
        <v>45159</v>
      </c>
      <c r="AH2429" s="82" t="s">
        <v>9922</v>
      </c>
      <c r="AI2429" s="77" t="b">
        <v>0</v>
      </c>
      <c r="AJ2429" s="77"/>
      <c r="AK2429" s="77"/>
      <c r="AL2429" s="77"/>
      <c r="AM2429" s="77"/>
      <c r="AN2429" s="77"/>
      <c r="AO2429" s="77"/>
      <c r="AP2429" s="77"/>
      <c r="AQ2429" s="77" t="s">
        <v>12003</v>
      </c>
      <c r="AR2429" s="77"/>
      <c r="AS2429" s="77"/>
      <c r="AT2429" s="77"/>
      <c r="AU2429" s="77"/>
      <c r="AV2429" s="80" t="str">
        <f>HYPERLINK("https://pbs.twimg.com/media/F4EEsMBWkAE6AKU.jpg")</f>
        <v>https://pbs.twimg.com/media/F4EEsMBWkAE6AKU.jpg</v>
      </c>
      <c r="AW2429" s="82" t="s">
        <v>14585</v>
      </c>
      <c r="AX2429" s="82" t="s">
        <v>14585</v>
      </c>
      <c r="AY2429" s="77"/>
      <c r="AZ2429" s="82" t="s">
        <v>15804</v>
      </c>
      <c r="BA2429" s="82" t="s">
        <v>15804</v>
      </c>
      <c r="BB2429" s="82" t="s">
        <v>15804</v>
      </c>
      <c r="BC2429" s="82" t="s">
        <v>14585</v>
      </c>
      <c r="BD2429" s="77">
        <v>48799494</v>
      </c>
      <c r="BE2429" s="77"/>
      <c r="BF2429" s="77"/>
      <c r="BG2429" s="77"/>
      <c r="BH2429" s="77"/>
      <c r="BI2429" s="77"/>
    </row>
    <row r="2430" spans="1:61" x14ac:dyDescent="0.25">
      <c r="A2430" s="62" t="s">
        <v>942</v>
      </c>
      <c r="B2430" s="62" t="s">
        <v>942</v>
      </c>
      <c r="C2430" s="63"/>
      <c r="D2430" s="64"/>
      <c r="E2430" s="65"/>
      <c r="F2430" s="66"/>
      <c r="G2430" s="63"/>
      <c r="H2430" s="67"/>
      <c r="I2430" s="68"/>
      <c r="J2430" s="68"/>
      <c r="K2430" s="32"/>
      <c r="L2430" s="75">
        <v>2430</v>
      </c>
      <c r="M2430" s="75"/>
      <c r="N2430" s="70"/>
      <c r="O2430" s="77" t="s">
        <v>179</v>
      </c>
      <c r="P2430" s="79">
        <v>44998.650555555556</v>
      </c>
      <c r="Q2430" s="77" t="s">
        <v>3472</v>
      </c>
      <c r="R2430" s="77">
        <v>0</v>
      </c>
      <c r="S2430" s="77">
        <v>0</v>
      </c>
      <c r="T2430" s="77">
        <v>0</v>
      </c>
      <c r="U2430" s="77">
        <v>0</v>
      </c>
      <c r="V2430" s="77">
        <v>5</v>
      </c>
      <c r="W2430" s="82" t="s">
        <v>5626</v>
      </c>
      <c r="X2430" s="80" t="str">
        <f>HYPERLINK("https://economiaefinancas.pt/economia/economia-o-que-e/")</f>
        <v>https://economiaefinancas.pt/economia/economia-o-que-e/</v>
      </c>
      <c r="Y2430" s="77" t="s">
        <v>6106</v>
      </c>
      <c r="Z2430" s="77"/>
      <c r="AA2430" s="77"/>
      <c r="AB2430" s="77"/>
      <c r="AC2430" s="82" t="s">
        <v>7707</v>
      </c>
      <c r="AD2430" s="77" t="s">
        <v>7746</v>
      </c>
      <c r="AE2430" s="80" t="str">
        <f>HYPERLINK("https://twitter.com/econefinancas/status/1635303907613351936")</f>
        <v>https://twitter.com/econefinancas/status/1635303907613351936</v>
      </c>
      <c r="AF2430" s="79">
        <v>44998.650555555556</v>
      </c>
      <c r="AG2430" s="85">
        <v>44998</v>
      </c>
      <c r="AH2430" s="82" t="s">
        <v>9923</v>
      </c>
      <c r="AI2430" s="77" t="b">
        <v>0</v>
      </c>
      <c r="AJ2430" s="77"/>
      <c r="AK2430" s="77"/>
      <c r="AL2430" s="77"/>
      <c r="AM2430" s="77"/>
      <c r="AN2430" s="77"/>
      <c r="AO2430" s="77"/>
      <c r="AP2430" s="77"/>
      <c r="AQ2430" s="77"/>
      <c r="AR2430" s="77"/>
      <c r="AS2430" s="77"/>
      <c r="AT2430" s="77"/>
      <c r="AU2430" s="77"/>
      <c r="AV2430" s="80" t="str">
        <f>HYPERLINK("https://pbs.twimg.com/profile_images/1635301428506902529/8WHupNfJ_normal.jpg")</f>
        <v>https://pbs.twimg.com/profile_images/1635301428506902529/8WHupNfJ_normal.jpg</v>
      </c>
      <c r="AW2430" s="82" t="s">
        <v>14586</v>
      </c>
      <c r="AX2430" s="82" t="s">
        <v>14586</v>
      </c>
      <c r="AY2430" s="77"/>
      <c r="AZ2430" s="82" t="s">
        <v>15804</v>
      </c>
      <c r="BA2430" s="82" t="s">
        <v>15804</v>
      </c>
      <c r="BB2430" s="82" t="s">
        <v>15804</v>
      </c>
      <c r="BC2430" s="82" t="s">
        <v>14586</v>
      </c>
      <c r="BD2430" s="82" t="s">
        <v>16548</v>
      </c>
      <c r="BE2430" s="77"/>
      <c r="BF2430" s="77"/>
      <c r="BG2430" s="77"/>
      <c r="BH2430" s="77"/>
      <c r="BI2430" s="77"/>
    </row>
    <row r="2431" spans="1:61" x14ac:dyDescent="0.25">
      <c r="A2431" s="62" t="s">
        <v>943</v>
      </c>
      <c r="B2431" s="62" t="s">
        <v>943</v>
      </c>
      <c r="C2431" s="63"/>
      <c r="D2431" s="64"/>
      <c r="E2431" s="65"/>
      <c r="F2431" s="66"/>
      <c r="G2431" s="63"/>
      <c r="H2431" s="67"/>
      <c r="I2431" s="68"/>
      <c r="J2431" s="68"/>
      <c r="K2431" s="32"/>
      <c r="L2431" s="75">
        <v>2431</v>
      </c>
      <c r="M2431" s="75"/>
      <c r="N2431" s="70"/>
      <c r="O2431" s="77" t="s">
        <v>179</v>
      </c>
      <c r="P2431" s="79">
        <v>44962.579039351855</v>
      </c>
      <c r="Q2431" s="77" t="s">
        <v>3473</v>
      </c>
      <c r="R2431" s="77">
        <v>0</v>
      </c>
      <c r="S2431" s="77">
        <v>0</v>
      </c>
      <c r="T2431" s="77">
        <v>2</v>
      </c>
      <c r="U2431" s="77">
        <v>0</v>
      </c>
      <c r="V2431" s="77">
        <v>11</v>
      </c>
      <c r="W2431" s="82" t="s">
        <v>5627</v>
      </c>
      <c r="X2431" s="77"/>
      <c r="Y2431" s="77"/>
      <c r="Z2431" s="77"/>
      <c r="AA2431" s="77" t="s">
        <v>7497</v>
      </c>
      <c r="AB2431" s="77" t="s">
        <v>7696</v>
      </c>
      <c r="AC2431" s="82" t="s">
        <v>7706</v>
      </c>
      <c r="AD2431" s="77" t="s">
        <v>7745</v>
      </c>
      <c r="AE2431" s="80" t="str">
        <f>HYPERLINK("https://twitter.com/wanderdossant11/status/1622232026907656192")</f>
        <v>https://twitter.com/wanderdossant11/status/1622232026907656192</v>
      </c>
      <c r="AF2431" s="79">
        <v>44962.579039351855</v>
      </c>
      <c r="AG2431" s="85">
        <v>44962</v>
      </c>
      <c r="AH2431" s="82" t="s">
        <v>9924</v>
      </c>
      <c r="AI2431" s="77" t="b">
        <v>1</v>
      </c>
      <c r="AJ2431" s="77"/>
      <c r="AK2431" s="77"/>
      <c r="AL2431" s="77"/>
      <c r="AM2431" s="77"/>
      <c r="AN2431" s="77"/>
      <c r="AO2431" s="77"/>
      <c r="AP2431" s="77"/>
      <c r="AQ2431" s="77" t="s">
        <v>12004</v>
      </c>
      <c r="AR2431" s="77"/>
      <c r="AS2431" s="77"/>
      <c r="AT2431" s="77"/>
      <c r="AU2431" s="77"/>
      <c r="AV2431" s="80" t="str">
        <f>HYPERLINK("https://pbs.twimg.com/media/FoNTVPwXwAE2hYn.jpg")</f>
        <v>https://pbs.twimg.com/media/FoNTVPwXwAE2hYn.jpg</v>
      </c>
      <c r="AW2431" s="82" t="s">
        <v>14587</v>
      </c>
      <c r="AX2431" s="82" t="s">
        <v>14587</v>
      </c>
      <c r="AY2431" s="77"/>
      <c r="AZ2431" s="82" t="s">
        <v>15804</v>
      </c>
      <c r="BA2431" s="82" t="s">
        <v>15804</v>
      </c>
      <c r="BB2431" s="82" t="s">
        <v>15804</v>
      </c>
      <c r="BC2431" s="82" t="s">
        <v>14587</v>
      </c>
      <c r="BD2431" s="82" t="s">
        <v>16549</v>
      </c>
      <c r="BE2431" s="77"/>
      <c r="BF2431" s="77"/>
      <c r="BG2431" s="77"/>
      <c r="BH2431" s="77"/>
      <c r="BI2431" s="77"/>
    </row>
    <row r="2432" spans="1:61" x14ac:dyDescent="0.25">
      <c r="A2432" s="62" t="s">
        <v>944</v>
      </c>
      <c r="B2432" s="62" t="s">
        <v>944</v>
      </c>
      <c r="C2432" s="63"/>
      <c r="D2432" s="64"/>
      <c r="E2432" s="65"/>
      <c r="F2432" s="66"/>
      <c r="G2432" s="63"/>
      <c r="H2432" s="67"/>
      <c r="I2432" s="68"/>
      <c r="J2432" s="68"/>
      <c r="K2432" s="32"/>
      <c r="L2432" s="75">
        <v>2432</v>
      </c>
      <c r="M2432" s="75"/>
      <c r="N2432" s="70"/>
      <c r="O2432" s="77" t="s">
        <v>1132</v>
      </c>
      <c r="P2432" s="79">
        <v>44968.843356481484</v>
      </c>
      <c r="Q2432" s="77" t="s">
        <v>3474</v>
      </c>
      <c r="R2432" s="77">
        <v>0</v>
      </c>
      <c r="S2432" s="77">
        <v>6</v>
      </c>
      <c r="T2432" s="77">
        <v>0</v>
      </c>
      <c r="U2432" s="77">
        <v>0</v>
      </c>
      <c r="V2432" s="77">
        <v>702</v>
      </c>
      <c r="W2432" s="82" t="s">
        <v>5628</v>
      </c>
      <c r="X2432" s="77"/>
      <c r="Y2432" s="77"/>
      <c r="Z2432" s="77"/>
      <c r="AA2432" s="77"/>
      <c r="AB2432" s="77"/>
      <c r="AC2432" s="82" t="s">
        <v>7705</v>
      </c>
      <c r="AD2432" s="77" t="s">
        <v>7745</v>
      </c>
      <c r="AE2432" s="80" t="str">
        <f>HYPERLINK("https://twitter.com/andreynousi/status/1624502139757203458")</f>
        <v>https://twitter.com/andreynousi/status/1624502139757203458</v>
      </c>
      <c r="AF2432" s="79">
        <v>44968.843356481484</v>
      </c>
      <c r="AG2432" s="85">
        <v>44968</v>
      </c>
      <c r="AH2432" s="82" t="s">
        <v>9925</v>
      </c>
      <c r="AI2432" s="77"/>
      <c r="AJ2432" s="77"/>
      <c r="AK2432" s="77"/>
      <c r="AL2432" s="77"/>
      <c r="AM2432" s="77"/>
      <c r="AN2432" s="77"/>
      <c r="AO2432" s="77"/>
      <c r="AP2432" s="77"/>
      <c r="AQ2432" s="77"/>
      <c r="AR2432" s="77"/>
      <c r="AS2432" s="77"/>
      <c r="AT2432" s="77"/>
      <c r="AU2432" s="77"/>
      <c r="AV2432" s="80" t="str">
        <f>HYPERLINK("https://pbs.twimg.com/profile_images/1394560389283733504/fXVSfDJN_normal.jpg")</f>
        <v>https://pbs.twimg.com/profile_images/1394560389283733504/fXVSfDJN_normal.jpg</v>
      </c>
      <c r="AW2432" s="82" t="s">
        <v>14588</v>
      </c>
      <c r="AX2432" s="82" t="s">
        <v>15574</v>
      </c>
      <c r="AY2432" s="82" t="s">
        <v>15789</v>
      </c>
      <c r="AZ2432" s="82" t="s">
        <v>16086</v>
      </c>
      <c r="BA2432" s="82" t="s">
        <v>15804</v>
      </c>
      <c r="BB2432" s="82" t="s">
        <v>15804</v>
      </c>
      <c r="BC2432" s="82" t="s">
        <v>16086</v>
      </c>
      <c r="BD2432" s="82" t="s">
        <v>15789</v>
      </c>
      <c r="BE2432" s="77"/>
      <c r="BF2432" s="77"/>
      <c r="BG2432" s="77"/>
      <c r="BH2432" s="77"/>
      <c r="BI2432" s="77"/>
    </row>
    <row r="2433" spans="1:61" x14ac:dyDescent="0.25">
      <c r="A2433" s="62" t="s">
        <v>944</v>
      </c>
      <c r="B2433" s="62" t="s">
        <v>944</v>
      </c>
      <c r="C2433" s="63"/>
      <c r="D2433" s="64"/>
      <c r="E2433" s="65"/>
      <c r="F2433" s="66"/>
      <c r="G2433" s="63"/>
      <c r="H2433" s="67"/>
      <c r="I2433" s="68"/>
      <c r="J2433" s="68"/>
      <c r="K2433" s="32"/>
      <c r="L2433" s="75">
        <v>2433</v>
      </c>
      <c r="M2433" s="75"/>
      <c r="N2433" s="70"/>
      <c r="O2433" s="77" t="s">
        <v>179</v>
      </c>
      <c r="P2433" s="79">
        <v>44944.568043981482</v>
      </c>
      <c r="Q2433" s="77" t="s">
        <v>3475</v>
      </c>
      <c r="R2433" s="77">
        <v>0</v>
      </c>
      <c r="S2433" s="77">
        <v>10</v>
      </c>
      <c r="T2433" s="77">
        <v>1</v>
      </c>
      <c r="U2433" s="77">
        <v>0</v>
      </c>
      <c r="V2433" s="77">
        <v>938</v>
      </c>
      <c r="W2433" s="82" t="s">
        <v>5254</v>
      </c>
      <c r="X2433" s="77"/>
      <c r="Y2433" s="77"/>
      <c r="Z2433" s="77"/>
      <c r="AA2433" s="77"/>
      <c r="AB2433" s="77"/>
      <c r="AC2433" s="82" t="s">
        <v>7706</v>
      </c>
      <c r="AD2433" s="77" t="s">
        <v>7745</v>
      </c>
      <c r="AE2433" s="80" t="str">
        <f>HYPERLINK("https://twitter.com/andreynousi/status/1615705062734438401")</f>
        <v>https://twitter.com/andreynousi/status/1615705062734438401</v>
      </c>
      <c r="AF2433" s="79">
        <v>44944.568043981482</v>
      </c>
      <c r="AG2433" s="85">
        <v>44944</v>
      </c>
      <c r="AH2433" s="82" t="s">
        <v>9926</v>
      </c>
      <c r="AI2433" s="77"/>
      <c r="AJ2433" s="77"/>
      <c r="AK2433" s="77"/>
      <c r="AL2433" s="77"/>
      <c r="AM2433" s="77"/>
      <c r="AN2433" s="77"/>
      <c r="AO2433" s="77"/>
      <c r="AP2433" s="77"/>
      <c r="AQ2433" s="77"/>
      <c r="AR2433" s="77"/>
      <c r="AS2433" s="77"/>
      <c r="AT2433" s="77"/>
      <c r="AU2433" s="77"/>
      <c r="AV2433" s="80" t="str">
        <f>HYPERLINK("https://pbs.twimg.com/profile_images/1394560389283733504/fXVSfDJN_normal.jpg")</f>
        <v>https://pbs.twimg.com/profile_images/1394560389283733504/fXVSfDJN_normal.jpg</v>
      </c>
      <c r="AW2433" s="82" t="s">
        <v>14589</v>
      </c>
      <c r="AX2433" s="82" t="s">
        <v>14589</v>
      </c>
      <c r="AY2433" s="77"/>
      <c r="AZ2433" s="82" t="s">
        <v>15804</v>
      </c>
      <c r="BA2433" s="82" t="s">
        <v>15804</v>
      </c>
      <c r="BB2433" s="82" t="s">
        <v>15804</v>
      </c>
      <c r="BC2433" s="82" t="s">
        <v>14589</v>
      </c>
      <c r="BD2433" s="82" t="s">
        <v>15789</v>
      </c>
      <c r="BE2433" s="77"/>
      <c r="BF2433" s="77"/>
      <c r="BG2433" s="77"/>
      <c r="BH2433" s="77"/>
      <c r="BI2433" s="77"/>
    </row>
    <row r="2434" spans="1:61" x14ac:dyDescent="0.25">
      <c r="A2434" s="62" t="s">
        <v>945</v>
      </c>
      <c r="B2434" s="62" t="s">
        <v>945</v>
      </c>
      <c r="C2434" s="63"/>
      <c r="D2434" s="64"/>
      <c r="E2434" s="65"/>
      <c r="F2434" s="66"/>
      <c r="G2434" s="63"/>
      <c r="H2434" s="67"/>
      <c r="I2434" s="68"/>
      <c r="J2434" s="68"/>
      <c r="K2434" s="32"/>
      <c r="L2434" s="75">
        <v>2434</v>
      </c>
      <c r="M2434" s="75"/>
      <c r="N2434" s="70"/>
      <c r="O2434" s="77" t="s">
        <v>179</v>
      </c>
      <c r="P2434" s="79">
        <v>45067.558530092596</v>
      </c>
      <c r="Q2434" s="77" t="s">
        <v>3476</v>
      </c>
      <c r="R2434" s="77">
        <v>0</v>
      </c>
      <c r="S2434" s="77">
        <v>0</v>
      </c>
      <c r="T2434" s="77">
        <v>0</v>
      </c>
      <c r="U2434" s="77">
        <v>0</v>
      </c>
      <c r="V2434" s="77">
        <v>26</v>
      </c>
      <c r="W2434" s="82" t="s">
        <v>5629</v>
      </c>
      <c r="X2434" s="77"/>
      <c r="Y2434" s="77"/>
      <c r="Z2434" s="77"/>
      <c r="AA2434" s="77"/>
      <c r="AB2434" s="77"/>
      <c r="AC2434" s="82" t="s">
        <v>7706</v>
      </c>
      <c r="AD2434" s="77" t="s">
        <v>7747</v>
      </c>
      <c r="AE2434" s="80" t="str">
        <f>HYPERLINK("https://twitter.com/sageousthoughts/status/1660275319176331266")</f>
        <v>https://twitter.com/sageousthoughts/status/1660275319176331266</v>
      </c>
      <c r="AF2434" s="79">
        <v>45067.558530092596</v>
      </c>
      <c r="AG2434" s="85">
        <v>45067</v>
      </c>
      <c r="AH2434" s="82" t="s">
        <v>9927</v>
      </c>
      <c r="AI2434" s="77"/>
      <c r="AJ2434" s="77"/>
      <c r="AK2434" s="77"/>
      <c r="AL2434" s="77"/>
      <c r="AM2434" s="77"/>
      <c r="AN2434" s="77"/>
      <c r="AO2434" s="77"/>
      <c r="AP2434" s="77"/>
      <c r="AQ2434" s="77"/>
      <c r="AR2434" s="77"/>
      <c r="AS2434" s="77"/>
      <c r="AT2434" s="77"/>
      <c r="AU2434" s="77"/>
      <c r="AV2434" s="80" t="str">
        <f>HYPERLINK("https://pbs.twimg.com/profile_images/1561266924667162624/pXvjyAYE_normal.jpg")</f>
        <v>https://pbs.twimg.com/profile_images/1561266924667162624/pXvjyAYE_normal.jpg</v>
      </c>
      <c r="AW2434" s="82" t="s">
        <v>14590</v>
      </c>
      <c r="AX2434" s="82" t="s">
        <v>14590</v>
      </c>
      <c r="AY2434" s="77"/>
      <c r="AZ2434" s="82" t="s">
        <v>15804</v>
      </c>
      <c r="BA2434" s="82" t="s">
        <v>15804</v>
      </c>
      <c r="BB2434" s="82" t="s">
        <v>15804</v>
      </c>
      <c r="BC2434" s="82" t="s">
        <v>14590</v>
      </c>
      <c r="BD2434" s="82" t="s">
        <v>16550</v>
      </c>
      <c r="BE2434" s="77"/>
      <c r="BF2434" s="77"/>
      <c r="BG2434" s="77"/>
      <c r="BH2434" s="77"/>
      <c r="BI2434" s="77"/>
    </row>
    <row r="2435" spans="1:61" x14ac:dyDescent="0.25">
      <c r="A2435" s="62" t="s">
        <v>946</v>
      </c>
      <c r="B2435" s="62" t="s">
        <v>946</v>
      </c>
      <c r="C2435" s="63"/>
      <c r="D2435" s="64"/>
      <c r="E2435" s="65"/>
      <c r="F2435" s="66"/>
      <c r="G2435" s="63"/>
      <c r="H2435" s="67"/>
      <c r="I2435" s="68"/>
      <c r="J2435" s="68"/>
      <c r="K2435" s="32"/>
      <c r="L2435" s="75">
        <v>2435</v>
      </c>
      <c r="M2435" s="75"/>
      <c r="N2435" s="70"/>
      <c r="O2435" s="77" t="s">
        <v>179</v>
      </c>
      <c r="P2435" s="79">
        <v>45137.973680555559</v>
      </c>
      <c r="Q2435" s="77" t="s">
        <v>3477</v>
      </c>
      <c r="R2435" s="77">
        <v>0</v>
      </c>
      <c r="S2435" s="77">
        <v>0</v>
      </c>
      <c r="T2435" s="77">
        <v>0</v>
      </c>
      <c r="U2435" s="77">
        <v>0</v>
      </c>
      <c r="V2435" s="77">
        <v>4</v>
      </c>
      <c r="W2435" s="82" t="s">
        <v>5630</v>
      </c>
      <c r="X2435" s="80" t="str">
        <f>HYPERLINK("https://nakatanis.wordpress.com/2023/07/30/educacao-financeira-para-criancas/")</f>
        <v>https://nakatanis.wordpress.com/2023/07/30/educacao-financeira-para-criancas/</v>
      </c>
      <c r="Y2435" s="77" t="s">
        <v>6029</v>
      </c>
      <c r="Z2435" s="77"/>
      <c r="AA2435" s="77"/>
      <c r="AB2435" s="77"/>
      <c r="AC2435" s="82" t="s">
        <v>7706</v>
      </c>
      <c r="AD2435" s="77" t="s">
        <v>7745</v>
      </c>
      <c r="AE2435" s="80" t="str">
        <f>HYPERLINK("https://twitter.com/shnakatani/status/1685792918072680448")</f>
        <v>https://twitter.com/shnakatani/status/1685792918072680448</v>
      </c>
      <c r="AF2435" s="79">
        <v>45137.973680555559</v>
      </c>
      <c r="AG2435" s="85">
        <v>45137</v>
      </c>
      <c r="AH2435" s="82" t="s">
        <v>9928</v>
      </c>
      <c r="AI2435" s="77" t="b">
        <v>0</v>
      </c>
      <c r="AJ2435" s="77"/>
      <c r="AK2435" s="77"/>
      <c r="AL2435" s="77"/>
      <c r="AM2435" s="77"/>
      <c r="AN2435" s="77"/>
      <c r="AO2435" s="77"/>
      <c r="AP2435" s="77"/>
      <c r="AQ2435" s="77"/>
      <c r="AR2435" s="77"/>
      <c r="AS2435" s="77"/>
      <c r="AT2435" s="77"/>
      <c r="AU2435" s="77"/>
      <c r="AV2435" s="80"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2435" s="82" t="s">
        <v>14591</v>
      </c>
      <c r="AX2435" s="82" t="s">
        <v>14591</v>
      </c>
      <c r="AY2435" s="77"/>
      <c r="AZ2435" s="82" t="s">
        <v>15804</v>
      </c>
      <c r="BA2435" s="82" t="s">
        <v>15804</v>
      </c>
      <c r="BB2435" s="82" t="s">
        <v>15804</v>
      </c>
      <c r="BC2435" s="82" t="s">
        <v>14591</v>
      </c>
      <c r="BD2435" s="77">
        <v>114651521</v>
      </c>
      <c r="BE2435" s="77"/>
      <c r="BF2435" s="77"/>
      <c r="BG2435" s="77"/>
      <c r="BH2435" s="77"/>
      <c r="BI2435" s="77"/>
    </row>
    <row r="2436" spans="1:61" x14ac:dyDescent="0.25">
      <c r="A2436" s="62" t="s">
        <v>946</v>
      </c>
      <c r="B2436" s="62" t="s">
        <v>946</v>
      </c>
      <c r="C2436" s="63"/>
      <c r="D2436" s="64"/>
      <c r="E2436" s="65"/>
      <c r="F2436" s="66"/>
      <c r="G2436" s="63"/>
      <c r="H2436" s="67"/>
      <c r="I2436" s="68"/>
      <c r="J2436" s="68"/>
      <c r="K2436" s="32"/>
      <c r="L2436" s="75">
        <v>2436</v>
      </c>
      <c r="M2436" s="75"/>
      <c r="N2436" s="70"/>
      <c r="O2436" s="77" t="s">
        <v>179</v>
      </c>
      <c r="P2436" s="79">
        <v>45137.97351851852</v>
      </c>
      <c r="Q2436" s="77" t="s">
        <v>3478</v>
      </c>
      <c r="R2436" s="77">
        <v>0</v>
      </c>
      <c r="S2436" s="77">
        <v>0</v>
      </c>
      <c r="T2436" s="77">
        <v>0</v>
      </c>
      <c r="U2436" s="77">
        <v>0</v>
      </c>
      <c r="V2436" s="77">
        <v>5</v>
      </c>
      <c r="W2436" s="82" t="s">
        <v>5630</v>
      </c>
      <c r="X2436" s="80" t="str">
        <f>HYPERLINK("https://nakafin.netlify.app/posts/edFinCriancas")</f>
        <v>https://nakafin.netlify.app/posts/edFinCriancas</v>
      </c>
      <c r="Y2436" s="77" t="s">
        <v>6107</v>
      </c>
      <c r="Z2436" s="77"/>
      <c r="AA2436" s="77"/>
      <c r="AB2436" s="77"/>
      <c r="AC2436" s="82" t="s">
        <v>7706</v>
      </c>
      <c r="AD2436" s="77" t="s">
        <v>7745</v>
      </c>
      <c r="AE2436" s="80" t="str">
        <f>HYPERLINK("https://twitter.com/shnakatani/status/1685792856873504768")</f>
        <v>https://twitter.com/shnakatani/status/1685792856873504768</v>
      </c>
      <c r="AF2436" s="79">
        <v>45137.97351851852</v>
      </c>
      <c r="AG2436" s="85">
        <v>45137</v>
      </c>
      <c r="AH2436" s="82" t="s">
        <v>9929</v>
      </c>
      <c r="AI2436" s="77" t="b">
        <v>0</v>
      </c>
      <c r="AJ2436" s="77"/>
      <c r="AK2436" s="77"/>
      <c r="AL2436" s="77"/>
      <c r="AM2436" s="77"/>
      <c r="AN2436" s="77"/>
      <c r="AO2436" s="77"/>
      <c r="AP2436" s="77"/>
      <c r="AQ2436" s="77"/>
      <c r="AR2436" s="77"/>
      <c r="AS2436" s="77"/>
      <c r="AT2436" s="77"/>
      <c r="AU2436" s="77"/>
      <c r="AV2436" s="80"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2436" s="82" t="s">
        <v>14592</v>
      </c>
      <c r="AX2436" s="82" t="s">
        <v>14592</v>
      </c>
      <c r="AY2436" s="77"/>
      <c r="AZ2436" s="82" t="s">
        <v>15804</v>
      </c>
      <c r="BA2436" s="82" t="s">
        <v>15804</v>
      </c>
      <c r="BB2436" s="82" t="s">
        <v>15804</v>
      </c>
      <c r="BC2436" s="82" t="s">
        <v>14592</v>
      </c>
      <c r="BD2436" s="77">
        <v>114651521</v>
      </c>
      <c r="BE2436" s="77"/>
      <c r="BF2436" s="77"/>
      <c r="BG2436" s="77"/>
      <c r="BH2436" s="77"/>
      <c r="BI2436" s="77"/>
    </row>
    <row r="2437" spans="1:61" x14ac:dyDescent="0.25">
      <c r="A2437" s="62" t="s">
        <v>947</v>
      </c>
      <c r="B2437" s="62" t="s">
        <v>947</v>
      </c>
      <c r="C2437" s="63"/>
      <c r="D2437" s="64"/>
      <c r="E2437" s="65"/>
      <c r="F2437" s="66"/>
      <c r="G2437" s="63"/>
      <c r="H2437" s="67"/>
      <c r="I2437" s="68"/>
      <c r="J2437" s="68"/>
      <c r="K2437" s="32"/>
      <c r="L2437" s="75">
        <v>2437</v>
      </c>
      <c r="M2437" s="75"/>
      <c r="N2437" s="70"/>
      <c r="O2437" s="77" t="s">
        <v>179</v>
      </c>
      <c r="P2437" s="79">
        <v>44940.668668981481</v>
      </c>
      <c r="Q2437" s="77" t="s">
        <v>3479</v>
      </c>
      <c r="R2437" s="77">
        <v>0</v>
      </c>
      <c r="S2437" s="77">
        <v>0</v>
      </c>
      <c r="T2437" s="77">
        <v>0</v>
      </c>
      <c r="U2437" s="77">
        <v>0</v>
      </c>
      <c r="V2437" s="77">
        <v>14</v>
      </c>
      <c r="W2437" s="82" t="s">
        <v>5631</v>
      </c>
      <c r="X2437" s="77"/>
      <c r="Y2437" s="77"/>
      <c r="Z2437" s="77"/>
      <c r="AA2437" s="77" t="s">
        <v>7498</v>
      </c>
      <c r="AB2437" s="77" t="s">
        <v>7696</v>
      </c>
      <c r="AC2437" s="82" t="s">
        <v>7707</v>
      </c>
      <c r="AD2437" s="77" t="s">
        <v>7745</v>
      </c>
      <c r="AE2437" s="80" t="str">
        <f>HYPERLINK("https://twitter.com/nitiele_finance/status/1614291976685322240")</f>
        <v>https://twitter.com/nitiele_finance/status/1614291976685322240</v>
      </c>
      <c r="AF2437" s="79">
        <v>44940.668668981481</v>
      </c>
      <c r="AG2437" s="85">
        <v>44940</v>
      </c>
      <c r="AH2437" s="82" t="s">
        <v>9930</v>
      </c>
      <c r="AI2437" s="77" t="b">
        <v>0</v>
      </c>
      <c r="AJ2437" s="77"/>
      <c r="AK2437" s="77"/>
      <c r="AL2437" s="77"/>
      <c r="AM2437" s="77"/>
      <c r="AN2437" s="77"/>
      <c r="AO2437" s="77"/>
      <c r="AP2437" s="77"/>
      <c r="AQ2437" s="77" t="s">
        <v>12005</v>
      </c>
      <c r="AR2437" s="77"/>
      <c r="AS2437" s="77"/>
      <c r="AT2437" s="77"/>
      <c r="AU2437" s="77"/>
      <c r="AV2437" s="80" t="str">
        <f>HYPERLINK("https://pbs.twimg.com/media/Fmcd_2wXwAA3Dgx.jpg")</f>
        <v>https://pbs.twimg.com/media/Fmcd_2wXwAA3Dgx.jpg</v>
      </c>
      <c r="AW2437" s="82" t="s">
        <v>14593</v>
      </c>
      <c r="AX2437" s="82" t="s">
        <v>14593</v>
      </c>
      <c r="AY2437" s="77"/>
      <c r="AZ2437" s="82" t="s">
        <v>15804</v>
      </c>
      <c r="BA2437" s="82" t="s">
        <v>15804</v>
      </c>
      <c r="BB2437" s="82" t="s">
        <v>15804</v>
      </c>
      <c r="BC2437" s="82" t="s">
        <v>14593</v>
      </c>
      <c r="BD2437" s="82" t="s">
        <v>16551</v>
      </c>
      <c r="BE2437" s="77"/>
      <c r="BF2437" s="77"/>
      <c r="BG2437" s="77"/>
      <c r="BH2437" s="77"/>
      <c r="BI2437" s="77"/>
    </row>
    <row r="2438" spans="1:61" x14ac:dyDescent="0.25">
      <c r="A2438" s="62" t="s">
        <v>948</v>
      </c>
      <c r="B2438" s="62" t="s">
        <v>948</v>
      </c>
      <c r="C2438" s="63"/>
      <c r="D2438" s="64"/>
      <c r="E2438" s="65"/>
      <c r="F2438" s="66"/>
      <c r="G2438" s="63"/>
      <c r="H2438" s="67"/>
      <c r="I2438" s="68"/>
      <c r="J2438" s="68"/>
      <c r="K2438" s="32"/>
      <c r="L2438" s="75">
        <v>2438</v>
      </c>
      <c r="M2438" s="75"/>
      <c r="N2438" s="70"/>
      <c r="O2438" s="77" t="s">
        <v>179</v>
      </c>
      <c r="P2438" s="79">
        <v>45178.91679398148</v>
      </c>
      <c r="Q2438" s="77" t="s">
        <v>3480</v>
      </c>
      <c r="R2438" s="77">
        <v>0</v>
      </c>
      <c r="S2438" s="77">
        <v>0</v>
      </c>
      <c r="T2438" s="77">
        <v>0</v>
      </c>
      <c r="U2438" s="77">
        <v>0</v>
      </c>
      <c r="V2438" s="77">
        <v>23</v>
      </c>
      <c r="W2438" s="82" t="s">
        <v>5632</v>
      </c>
      <c r="X2438" s="80" t="str">
        <f>HYPERLINK("https://sun.eduzz.com/2084641")</f>
        <v>https://sun.eduzz.com/2084641</v>
      </c>
      <c r="Y2438" s="77" t="s">
        <v>6051</v>
      </c>
      <c r="Z2438" s="77"/>
      <c r="AA2438" s="77" t="s">
        <v>7499</v>
      </c>
      <c r="AB2438" s="77" t="s">
        <v>7696</v>
      </c>
      <c r="AC2438" s="82" t="s">
        <v>7707</v>
      </c>
      <c r="AD2438" s="77" t="s">
        <v>7745</v>
      </c>
      <c r="AE2438" s="80" t="str">
        <f>HYPERLINK("https://twitter.com/manderlinyde/status/1700630202701771115")</f>
        <v>https://twitter.com/manderlinyde/status/1700630202701771115</v>
      </c>
      <c r="AF2438" s="79">
        <v>45178.91679398148</v>
      </c>
      <c r="AG2438" s="85">
        <v>45178</v>
      </c>
      <c r="AH2438" s="82" t="s">
        <v>9931</v>
      </c>
      <c r="AI2438" s="77" t="b">
        <v>0</v>
      </c>
      <c r="AJ2438" s="77"/>
      <c r="AK2438" s="77"/>
      <c r="AL2438" s="77"/>
      <c r="AM2438" s="77"/>
      <c r="AN2438" s="77"/>
      <c r="AO2438" s="77"/>
      <c r="AP2438" s="77"/>
      <c r="AQ2438" s="77" t="s">
        <v>12006</v>
      </c>
      <c r="AR2438" s="77"/>
      <c r="AS2438" s="77"/>
      <c r="AT2438" s="77"/>
      <c r="AU2438" s="77"/>
      <c r="AV2438" s="80" t="str">
        <f>HYPERLINK("https://pbs.twimg.com/media/F5naKBQXQAAP9BK.jpg")</f>
        <v>https://pbs.twimg.com/media/F5naKBQXQAAP9BK.jpg</v>
      </c>
      <c r="AW2438" s="82" t="s">
        <v>14594</v>
      </c>
      <c r="AX2438" s="82" t="s">
        <v>14594</v>
      </c>
      <c r="AY2438" s="77"/>
      <c r="AZ2438" s="82" t="s">
        <v>15804</v>
      </c>
      <c r="BA2438" s="82" t="s">
        <v>15804</v>
      </c>
      <c r="BB2438" s="82" t="s">
        <v>15804</v>
      </c>
      <c r="BC2438" s="82" t="s">
        <v>14594</v>
      </c>
      <c r="BD2438" s="77">
        <v>4274761517</v>
      </c>
      <c r="BE2438" s="77"/>
      <c r="BF2438" s="77"/>
      <c r="BG2438" s="77"/>
      <c r="BH2438" s="77"/>
      <c r="BI2438" s="77"/>
    </row>
    <row r="2439" spans="1:61" x14ac:dyDescent="0.25">
      <c r="A2439" s="62" t="s">
        <v>949</v>
      </c>
      <c r="B2439" s="62" t="s">
        <v>949</v>
      </c>
      <c r="C2439" s="63"/>
      <c r="D2439" s="64"/>
      <c r="E2439" s="65"/>
      <c r="F2439" s="66"/>
      <c r="G2439" s="63"/>
      <c r="H2439" s="67"/>
      <c r="I2439" s="68"/>
      <c r="J2439" s="68"/>
      <c r="K2439" s="32"/>
      <c r="L2439" s="75">
        <v>2439</v>
      </c>
      <c r="M2439" s="75"/>
      <c r="N2439" s="70"/>
      <c r="O2439" s="77" t="s">
        <v>179</v>
      </c>
      <c r="P2439" s="79">
        <v>45121.417546296296</v>
      </c>
      <c r="Q2439" s="77" t="s">
        <v>3481</v>
      </c>
      <c r="R2439" s="77">
        <v>0</v>
      </c>
      <c r="S2439" s="77">
        <v>0</v>
      </c>
      <c r="T2439" s="77">
        <v>0</v>
      </c>
      <c r="U2439" s="77">
        <v>0</v>
      </c>
      <c r="V2439" s="77">
        <v>14</v>
      </c>
      <c r="W2439" s="82" t="s">
        <v>5633</v>
      </c>
      <c r="X2439" s="77"/>
      <c r="Y2439" s="77"/>
      <c r="Z2439" s="77"/>
      <c r="AA2439" s="77" t="s">
        <v>7500</v>
      </c>
      <c r="AB2439" s="77" t="s">
        <v>7696</v>
      </c>
      <c r="AC2439" s="82" t="s">
        <v>7705</v>
      </c>
      <c r="AD2439" s="77" t="s">
        <v>7745</v>
      </c>
      <c r="AE2439" s="80" t="str">
        <f>HYPERLINK("https://twitter.com/rodrigo_asena/status/1679793174217195520")</f>
        <v>https://twitter.com/rodrigo_asena/status/1679793174217195520</v>
      </c>
      <c r="AF2439" s="79">
        <v>45121.417546296296</v>
      </c>
      <c r="AG2439" s="85">
        <v>45121</v>
      </c>
      <c r="AH2439" s="82" t="s">
        <v>9932</v>
      </c>
      <c r="AI2439" s="77" t="b">
        <v>0</v>
      </c>
      <c r="AJ2439" s="77" t="s">
        <v>10549</v>
      </c>
      <c r="AK2439" s="77" t="s">
        <v>10552</v>
      </c>
      <c r="AL2439" s="77" t="s">
        <v>10555</v>
      </c>
      <c r="AM2439" s="77" t="s">
        <v>10585</v>
      </c>
      <c r="AN2439" s="77" t="s">
        <v>10616</v>
      </c>
      <c r="AO2439" s="77" t="s">
        <v>10646</v>
      </c>
      <c r="AP2439" s="77" t="s">
        <v>10649</v>
      </c>
      <c r="AQ2439" s="77" t="s">
        <v>12007</v>
      </c>
      <c r="AR2439" s="77"/>
      <c r="AS2439" s="77"/>
      <c r="AT2439" s="77"/>
      <c r="AU2439" s="77"/>
      <c r="AV2439" s="80" t="str">
        <f>HYPERLINK("https://pbs.twimg.com/media/F0_S-6FWYAABd9w.jpg")</f>
        <v>https://pbs.twimg.com/media/F0_S-6FWYAABd9w.jpg</v>
      </c>
      <c r="AW2439" s="82" t="s">
        <v>14595</v>
      </c>
      <c r="AX2439" s="82" t="s">
        <v>14595</v>
      </c>
      <c r="AY2439" s="77"/>
      <c r="AZ2439" s="82" t="s">
        <v>15804</v>
      </c>
      <c r="BA2439" s="82" t="s">
        <v>15804</v>
      </c>
      <c r="BB2439" s="82" t="s">
        <v>15804</v>
      </c>
      <c r="BC2439" s="82" t="s">
        <v>14595</v>
      </c>
      <c r="BD2439" s="82" t="s">
        <v>15790</v>
      </c>
      <c r="BE2439" s="77"/>
      <c r="BF2439" s="77"/>
      <c r="BG2439" s="77"/>
      <c r="BH2439" s="77"/>
      <c r="BI2439" s="77"/>
    </row>
    <row r="2440" spans="1:61" x14ac:dyDescent="0.25">
      <c r="A2440" s="62" t="s">
        <v>949</v>
      </c>
      <c r="B2440" s="62" t="s">
        <v>949</v>
      </c>
      <c r="C2440" s="63"/>
      <c r="D2440" s="64"/>
      <c r="E2440" s="65"/>
      <c r="F2440" s="66"/>
      <c r="G2440" s="63"/>
      <c r="H2440" s="67"/>
      <c r="I2440" s="68"/>
      <c r="J2440" s="68"/>
      <c r="K2440" s="32"/>
      <c r="L2440" s="75">
        <v>2440</v>
      </c>
      <c r="M2440" s="75"/>
      <c r="N2440" s="70"/>
      <c r="O2440" s="77" t="s">
        <v>1132</v>
      </c>
      <c r="P2440" s="79">
        <v>45121.08898148148</v>
      </c>
      <c r="Q2440" s="77" t="s">
        <v>3482</v>
      </c>
      <c r="R2440" s="77">
        <v>0</v>
      </c>
      <c r="S2440" s="77">
        <v>0</v>
      </c>
      <c r="T2440" s="77">
        <v>1</v>
      </c>
      <c r="U2440" s="77">
        <v>0</v>
      </c>
      <c r="V2440" s="77">
        <v>4</v>
      </c>
      <c r="W2440" s="82" t="s">
        <v>4097</v>
      </c>
      <c r="X2440" s="77"/>
      <c r="Y2440" s="77"/>
      <c r="Z2440" s="77"/>
      <c r="AA2440" s="77"/>
      <c r="AB2440" s="77"/>
      <c r="AC2440" s="82" t="s">
        <v>7706</v>
      </c>
      <c r="AD2440" s="77" t="s">
        <v>7745</v>
      </c>
      <c r="AE2440" s="80" t="str">
        <f>HYPERLINK("https://twitter.com/rodrigo_asena/status/1679674104717221890")</f>
        <v>https://twitter.com/rodrigo_asena/status/1679674104717221890</v>
      </c>
      <c r="AF2440" s="79">
        <v>45121.08898148148</v>
      </c>
      <c r="AG2440" s="85">
        <v>45121</v>
      </c>
      <c r="AH2440" s="82" t="s">
        <v>9933</v>
      </c>
      <c r="AI2440" s="77"/>
      <c r="AJ2440" s="77"/>
      <c r="AK2440" s="77"/>
      <c r="AL2440" s="77"/>
      <c r="AM2440" s="77"/>
      <c r="AN2440" s="77"/>
      <c r="AO2440" s="77"/>
      <c r="AP2440" s="77"/>
      <c r="AQ2440" s="77"/>
      <c r="AR2440" s="77"/>
      <c r="AS2440" s="77"/>
      <c r="AT2440" s="77"/>
      <c r="AU2440" s="77"/>
      <c r="AV2440" s="80" t="str">
        <f>HYPERLINK("https://pbs.twimg.com/profile_images/1608917072813121536/WqFpVaL7_normal.jpg")</f>
        <v>https://pbs.twimg.com/profile_images/1608917072813121536/WqFpVaL7_normal.jpg</v>
      </c>
      <c r="AW2440" s="82" t="s">
        <v>14596</v>
      </c>
      <c r="AX2440" s="82" t="s">
        <v>14597</v>
      </c>
      <c r="AY2440" s="82" t="s">
        <v>15790</v>
      </c>
      <c r="AZ2440" s="82" t="s">
        <v>16087</v>
      </c>
      <c r="BA2440" s="82" t="s">
        <v>15804</v>
      </c>
      <c r="BB2440" s="82" t="s">
        <v>15804</v>
      </c>
      <c r="BC2440" s="82" t="s">
        <v>16087</v>
      </c>
      <c r="BD2440" s="82" t="s">
        <v>15790</v>
      </c>
      <c r="BE2440" s="77"/>
      <c r="BF2440" s="77"/>
      <c r="BG2440" s="77"/>
      <c r="BH2440" s="77"/>
      <c r="BI2440" s="77"/>
    </row>
    <row r="2441" spans="1:61" x14ac:dyDescent="0.25">
      <c r="A2441" s="62" t="s">
        <v>949</v>
      </c>
      <c r="B2441" s="62" t="s">
        <v>949</v>
      </c>
      <c r="C2441" s="63"/>
      <c r="D2441" s="64"/>
      <c r="E2441" s="65"/>
      <c r="F2441" s="66"/>
      <c r="G2441" s="63"/>
      <c r="H2441" s="67"/>
      <c r="I2441" s="68"/>
      <c r="J2441" s="68"/>
      <c r="K2441" s="32"/>
      <c r="L2441" s="75">
        <v>2441</v>
      </c>
      <c r="M2441" s="75"/>
      <c r="N2441" s="70"/>
      <c r="O2441" s="77" t="s">
        <v>179</v>
      </c>
      <c r="P2441" s="79">
        <v>45121.088935185187</v>
      </c>
      <c r="Q2441" s="77" t="s">
        <v>3483</v>
      </c>
      <c r="R2441" s="77">
        <v>0</v>
      </c>
      <c r="S2441" s="77">
        <v>0</v>
      </c>
      <c r="T2441" s="77">
        <v>1</v>
      </c>
      <c r="U2441" s="77">
        <v>0</v>
      </c>
      <c r="V2441" s="77">
        <v>15</v>
      </c>
      <c r="W2441" s="82" t="s">
        <v>5634</v>
      </c>
      <c r="X2441" s="77"/>
      <c r="Y2441" s="77"/>
      <c r="Z2441" s="77"/>
      <c r="AA2441" s="77"/>
      <c r="AB2441" s="77"/>
      <c r="AC2441" s="82" t="s">
        <v>7706</v>
      </c>
      <c r="AD2441" s="77" t="s">
        <v>7745</v>
      </c>
      <c r="AE2441" s="80" t="str">
        <f>HYPERLINK("https://twitter.com/rodrigo_asena/status/1679674091186405377")</f>
        <v>https://twitter.com/rodrigo_asena/status/1679674091186405377</v>
      </c>
      <c r="AF2441" s="79">
        <v>45121.088935185187</v>
      </c>
      <c r="AG2441" s="85">
        <v>45121</v>
      </c>
      <c r="AH2441" s="82" t="s">
        <v>9934</v>
      </c>
      <c r="AI2441" s="77"/>
      <c r="AJ2441" s="77"/>
      <c r="AK2441" s="77"/>
      <c r="AL2441" s="77"/>
      <c r="AM2441" s="77"/>
      <c r="AN2441" s="77"/>
      <c r="AO2441" s="77"/>
      <c r="AP2441" s="77"/>
      <c r="AQ2441" s="77"/>
      <c r="AR2441" s="77"/>
      <c r="AS2441" s="77"/>
      <c r="AT2441" s="77"/>
      <c r="AU2441" s="77"/>
      <c r="AV2441" s="80" t="str">
        <f>HYPERLINK("https://pbs.twimg.com/profile_images/1608917072813121536/WqFpVaL7_normal.jpg")</f>
        <v>https://pbs.twimg.com/profile_images/1608917072813121536/WqFpVaL7_normal.jpg</v>
      </c>
      <c r="AW2441" s="82" t="s">
        <v>14597</v>
      </c>
      <c r="AX2441" s="82" t="s">
        <v>14597</v>
      </c>
      <c r="AY2441" s="77"/>
      <c r="AZ2441" s="82" t="s">
        <v>15804</v>
      </c>
      <c r="BA2441" s="82" t="s">
        <v>15804</v>
      </c>
      <c r="BB2441" s="82" t="s">
        <v>15804</v>
      </c>
      <c r="BC2441" s="82" t="s">
        <v>14597</v>
      </c>
      <c r="BD2441" s="82" t="s">
        <v>15790</v>
      </c>
      <c r="BE2441" s="77"/>
      <c r="BF2441" s="77"/>
      <c r="BG2441" s="77"/>
      <c r="BH2441" s="77"/>
      <c r="BI2441" s="77"/>
    </row>
    <row r="2442" spans="1:61" x14ac:dyDescent="0.25">
      <c r="A2442" s="62" t="s">
        <v>950</v>
      </c>
      <c r="B2442" s="62" t="s">
        <v>1058</v>
      </c>
      <c r="C2442" s="63"/>
      <c r="D2442" s="64"/>
      <c r="E2442" s="65"/>
      <c r="F2442" s="66"/>
      <c r="G2442" s="63"/>
      <c r="H2442" s="67"/>
      <c r="I2442" s="68"/>
      <c r="J2442" s="68"/>
      <c r="K2442" s="32"/>
      <c r="L2442" s="75">
        <v>2442</v>
      </c>
      <c r="M2442" s="75"/>
      <c r="N2442" s="70"/>
      <c r="O2442" s="77" t="s">
        <v>1133</v>
      </c>
      <c r="P2442" s="79">
        <v>45059.063958333332</v>
      </c>
      <c r="Q2442" s="77" t="s">
        <v>3484</v>
      </c>
      <c r="R2442" s="77">
        <v>0</v>
      </c>
      <c r="S2442" s="77">
        <v>0</v>
      </c>
      <c r="T2442" s="77">
        <v>0</v>
      </c>
      <c r="U2442" s="77">
        <v>0</v>
      </c>
      <c r="V2442" s="77">
        <v>4</v>
      </c>
      <c r="W2442" s="82" t="s">
        <v>4097</v>
      </c>
      <c r="X2442" s="80" t="str">
        <f>HYPERLINK("https://youtube.com/shorts/PujbcY5Ms3U?feature=share")</f>
        <v>https://youtube.com/shorts/PujbcY5Ms3U?feature=share</v>
      </c>
      <c r="Y2442" s="77" t="s">
        <v>6006</v>
      </c>
      <c r="Z2442" s="77" t="s">
        <v>1058</v>
      </c>
      <c r="AA2442" s="77"/>
      <c r="AB2442" s="77"/>
      <c r="AC2442" s="82" t="s">
        <v>7706</v>
      </c>
      <c r="AD2442" s="77" t="s">
        <v>7745</v>
      </c>
      <c r="AE2442" s="80" t="str">
        <f>HYPERLINK("https://twitter.com/paschefrederico/status/1657196990281687043")</f>
        <v>https://twitter.com/paschefrederico/status/1657196990281687043</v>
      </c>
      <c r="AF2442" s="79">
        <v>45059.063958333332</v>
      </c>
      <c r="AG2442" s="85">
        <v>45059</v>
      </c>
      <c r="AH2442" s="82" t="s">
        <v>9935</v>
      </c>
      <c r="AI2442" s="77" t="b">
        <v>0</v>
      </c>
      <c r="AJ2442" s="77"/>
      <c r="AK2442" s="77"/>
      <c r="AL2442" s="77"/>
      <c r="AM2442" s="77"/>
      <c r="AN2442" s="77"/>
      <c r="AO2442" s="77"/>
      <c r="AP2442" s="77"/>
      <c r="AQ2442" s="77"/>
      <c r="AR2442" s="77"/>
      <c r="AS2442" s="77"/>
      <c r="AT2442" s="77"/>
      <c r="AU2442" s="77"/>
      <c r="AV2442" s="80" t="str">
        <f>HYPERLINK("https://abs.twimg.com/sticky/default_profile_images/default_profile_normal.png")</f>
        <v>https://abs.twimg.com/sticky/default_profile_images/default_profile_normal.png</v>
      </c>
      <c r="AW2442" s="82" t="s">
        <v>14598</v>
      </c>
      <c r="AX2442" s="82" t="s">
        <v>14598</v>
      </c>
      <c r="AY2442" s="77"/>
      <c r="AZ2442" s="82" t="s">
        <v>15804</v>
      </c>
      <c r="BA2442" s="82" t="s">
        <v>15804</v>
      </c>
      <c r="BB2442" s="82" t="s">
        <v>15804</v>
      </c>
      <c r="BC2442" s="82" t="s">
        <v>14598</v>
      </c>
      <c r="BD2442" s="82" t="s">
        <v>16552</v>
      </c>
      <c r="BE2442" s="77"/>
      <c r="BF2442" s="77"/>
      <c r="BG2442" s="77"/>
      <c r="BH2442" s="77"/>
      <c r="BI2442" s="77"/>
    </row>
    <row r="2443" spans="1:61" x14ac:dyDescent="0.25">
      <c r="A2443" s="62" t="s">
        <v>951</v>
      </c>
      <c r="B2443" s="62" t="s">
        <v>951</v>
      </c>
      <c r="C2443" s="63"/>
      <c r="D2443" s="64"/>
      <c r="E2443" s="65"/>
      <c r="F2443" s="66"/>
      <c r="G2443" s="63"/>
      <c r="H2443" s="67"/>
      <c r="I2443" s="68"/>
      <c r="J2443" s="68"/>
      <c r="K2443" s="32"/>
      <c r="L2443" s="75">
        <v>2443</v>
      </c>
      <c r="M2443" s="75"/>
      <c r="N2443" s="70"/>
      <c r="O2443" s="77" t="s">
        <v>179</v>
      </c>
      <c r="P2443" s="79">
        <v>44930.920162037037</v>
      </c>
      <c r="Q2443" s="77" t="s">
        <v>3485</v>
      </c>
      <c r="R2443" s="77">
        <v>0</v>
      </c>
      <c r="S2443" s="77">
        <v>0</v>
      </c>
      <c r="T2443" s="77">
        <v>0</v>
      </c>
      <c r="U2443" s="77">
        <v>0</v>
      </c>
      <c r="V2443" s="77">
        <v>52</v>
      </c>
      <c r="W2443" s="82" t="s">
        <v>5635</v>
      </c>
      <c r="X2443" s="80" t="str">
        <f>HYPERLINK("http://www.fido.com.vc")</f>
        <v>http://www.fido.com.vc</v>
      </c>
      <c r="Y2443" s="77" t="s">
        <v>6108</v>
      </c>
      <c r="Z2443" s="77"/>
      <c r="AA2443" s="77" t="s">
        <v>7501</v>
      </c>
      <c r="AB2443" s="77" t="s">
        <v>7701</v>
      </c>
      <c r="AC2443" s="82" t="s">
        <v>7708</v>
      </c>
      <c r="AD2443" s="77" t="s">
        <v>7745</v>
      </c>
      <c r="AE2443" s="80" t="str">
        <f>HYPERLINK("https://twitter.com/fidocomvc/status/1610759233661706240")</f>
        <v>https://twitter.com/fidocomvc/status/1610759233661706240</v>
      </c>
      <c r="AF2443" s="79">
        <v>44930.920162037037</v>
      </c>
      <c r="AG2443" s="85">
        <v>44930</v>
      </c>
      <c r="AH2443" s="82" t="s">
        <v>9936</v>
      </c>
      <c r="AI2443" s="77" t="b">
        <v>0</v>
      </c>
      <c r="AJ2443" s="77"/>
      <c r="AK2443" s="77"/>
      <c r="AL2443" s="77"/>
      <c r="AM2443" s="77"/>
      <c r="AN2443" s="77"/>
      <c r="AO2443" s="77"/>
      <c r="AP2443" s="77"/>
      <c r="AQ2443" s="77" t="s">
        <v>12008</v>
      </c>
      <c r="AR2443" s="77"/>
      <c r="AS2443" s="77"/>
      <c r="AT2443" s="77"/>
      <c r="AU2443" s="77"/>
      <c r="AV2443" s="80" t="str">
        <f>HYPERLINK("https://pbs.twimg.com/media/FlqQ_KHWAAA9P04.jpg")</f>
        <v>https://pbs.twimg.com/media/FlqQ_KHWAAA9P04.jpg</v>
      </c>
      <c r="AW2443" s="82" t="s">
        <v>14599</v>
      </c>
      <c r="AX2443" s="82" t="s">
        <v>14599</v>
      </c>
      <c r="AY2443" s="77"/>
      <c r="AZ2443" s="82" t="s">
        <v>15804</v>
      </c>
      <c r="BA2443" s="82" t="s">
        <v>15804</v>
      </c>
      <c r="BB2443" s="82" t="s">
        <v>15804</v>
      </c>
      <c r="BC2443" s="82" t="s">
        <v>14599</v>
      </c>
      <c r="BD2443" s="82" t="s">
        <v>16553</v>
      </c>
      <c r="BE2443" s="77"/>
      <c r="BF2443" s="77"/>
      <c r="BG2443" s="77"/>
      <c r="BH2443" s="77"/>
      <c r="BI2443" s="77"/>
    </row>
    <row r="2444" spans="1:61" x14ac:dyDescent="0.25">
      <c r="A2444" s="62" t="s">
        <v>951</v>
      </c>
      <c r="B2444" s="62" t="s">
        <v>951</v>
      </c>
      <c r="C2444" s="63"/>
      <c r="D2444" s="64"/>
      <c r="E2444" s="65"/>
      <c r="F2444" s="66"/>
      <c r="G2444" s="63"/>
      <c r="H2444" s="67"/>
      <c r="I2444" s="68"/>
      <c r="J2444" s="68"/>
      <c r="K2444" s="32"/>
      <c r="L2444" s="75">
        <v>2444</v>
      </c>
      <c r="M2444" s="75"/>
      <c r="N2444" s="70"/>
      <c r="O2444" s="77" t="s">
        <v>179</v>
      </c>
      <c r="P2444" s="79">
        <v>44942.521018518521</v>
      </c>
      <c r="Q2444" s="77" t="s">
        <v>3486</v>
      </c>
      <c r="R2444" s="77">
        <v>0</v>
      </c>
      <c r="S2444" s="77">
        <v>0</v>
      </c>
      <c r="T2444" s="77">
        <v>0</v>
      </c>
      <c r="U2444" s="77">
        <v>0</v>
      </c>
      <c r="V2444" s="77">
        <v>27</v>
      </c>
      <c r="W2444" s="82" t="s">
        <v>5636</v>
      </c>
      <c r="X2444" s="80" t="str">
        <f>HYPERLINK("http://www.fido.com.vc")</f>
        <v>http://www.fido.com.vc</v>
      </c>
      <c r="Y2444" s="77" t="s">
        <v>6108</v>
      </c>
      <c r="Z2444" s="77"/>
      <c r="AA2444" s="77" t="s">
        <v>7502</v>
      </c>
      <c r="AB2444" s="77" t="s">
        <v>7701</v>
      </c>
      <c r="AC2444" s="82" t="s">
        <v>7708</v>
      </c>
      <c r="AD2444" s="77" t="s">
        <v>7745</v>
      </c>
      <c r="AE2444" s="80" t="str">
        <f>HYPERLINK("https://twitter.com/fidocomvc/status/1614963242069114885")</f>
        <v>https://twitter.com/fidocomvc/status/1614963242069114885</v>
      </c>
      <c r="AF2444" s="79">
        <v>44942.521018518521</v>
      </c>
      <c r="AG2444" s="85">
        <v>44942</v>
      </c>
      <c r="AH2444" s="82" t="s">
        <v>9937</v>
      </c>
      <c r="AI2444" s="77" t="b">
        <v>0</v>
      </c>
      <c r="AJ2444" s="77"/>
      <c r="AK2444" s="77"/>
      <c r="AL2444" s="77"/>
      <c r="AM2444" s="77"/>
      <c r="AN2444" s="77"/>
      <c r="AO2444" s="77"/>
      <c r="AP2444" s="77"/>
      <c r="AQ2444" s="77" t="s">
        <v>12009</v>
      </c>
      <c r="AR2444" s="77"/>
      <c r="AS2444" s="77"/>
      <c r="AT2444" s="77"/>
      <c r="AU2444" s="77"/>
      <c r="AV2444" s="80" t="str">
        <f>HYPERLINK("https://pbs.twimg.com/media/FmmAgp-XEAQX_h2.jpg")</f>
        <v>https://pbs.twimg.com/media/FmmAgp-XEAQX_h2.jpg</v>
      </c>
      <c r="AW2444" s="82" t="s">
        <v>14600</v>
      </c>
      <c r="AX2444" s="82" t="s">
        <v>14600</v>
      </c>
      <c r="AY2444" s="77"/>
      <c r="AZ2444" s="82" t="s">
        <v>15804</v>
      </c>
      <c r="BA2444" s="82" t="s">
        <v>15804</v>
      </c>
      <c r="BB2444" s="82" t="s">
        <v>15804</v>
      </c>
      <c r="BC2444" s="82" t="s">
        <v>14600</v>
      </c>
      <c r="BD2444" s="82" t="s">
        <v>16553</v>
      </c>
      <c r="BE2444" s="77"/>
      <c r="BF2444" s="77"/>
      <c r="BG2444" s="77"/>
      <c r="BH2444" s="77"/>
      <c r="BI2444" s="77"/>
    </row>
    <row r="2445" spans="1:61" x14ac:dyDescent="0.25">
      <c r="A2445" s="62" t="s">
        <v>952</v>
      </c>
      <c r="B2445" s="62" t="s">
        <v>952</v>
      </c>
      <c r="C2445" s="63"/>
      <c r="D2445" s="64"/>
      <c r="E2445" s="65"/>
      <c r="F2445" s="66"/>
      <c r="G2445" s="63"/>
      <c r="H2445" s="67"/>
      <c r="I2445" s="68"/>
      <c r="J2445" s="68"/>
      <c r="K2445" s="32"/>
      <c r="L2445" s="75">
        <v>2445</v>
      </c>
      <c r="M2445" s="75"/>
      <c r="N2445" s="70"/>
      <c r="O2445" s="77" t="s">
        <v>179</v>
      </c>
      <c r="P2445" s="79">
        <v>45105.854097222225</v>
      </c>
      <c r="Q2445" s="77" t="s">
        <v>3487</v>
      </c>
      <c r="R2445" s="77">
        <v>0</v>
      </c>
      <c r="S2445" s="77">
        <v>2</v>
      </c>
      <c r="T2445" s="77">
        <v>0</v>
      </c>
      <c r="U2445" s="77">
        <v>0</v>
      </c>
      <c r="V2445" s="77">
        <v>72</v>
      </c>
      <c r="W2445" s="82" t="s">
        <v>5637</v>
      </c>
      <c r="X2445" s="77"/>
      <c r="Y2445" s="77"/>
      <c r="Z2445" s="77"/>
      <c r="AA2445" s="77" t="s">
        <v>7503</v>
      </c>
      <c r="AB2445" s="77" t="s">
        <v>7697</v>
      </c>
      <c r="AC2445" s="82" t="s">
        <v>7705</v>
      </c>
      <c r="AD2445" s="77" t="s">
        <v>7745</v>
      </c>
      <c r="AE2445" s="80" t="str">
        <f>HYPERLINK("https://twitter.com/vokininvest/status/1674153170048540676")</f>
        <v>https://twitter.com/vokininvest/status/1674153170048540676</v>
      </c>
      <c r="AF2445" s="79">
        <v>45105.854097222225</v>
      </c>
      <c r="AG2445" s="85">
        <v>45105</v>
      </c>
      <c r="AH2445" s="82" t="s">
        <v>9938</v>
      </c>
      <c r="AI2445" s="77" t="b">
        <v>0</v>
      </c>
      <c r="AJ2445" s="77"/>
      <c r="AK2445" s="77"/>
      <c r="AL2445" s="77"/>
      <c r="AM2445" s="77"/>
      <c r="AN2445" s="77"/>
      <c r="AO2445" s="77"/>
      <c r="AP2445" s="77"/>
      <c r="AQ2445" s="77" t="s">
        <v>12010</v>
      </c>
      <c r="AR2445" s="77">
        <v>131233</v>
      </c>
      <c r="AS2445" s="77"/>
      <c r="AT2445" s="77"/>
      <c r="AU2445" s="77">
        <v>27</v>
      </c>
      <c r="AV2445" s="80" t="str">
        <f>HYPERLINK("https://pbs.twimg.com/ext_tw_video_thumb/1674153058161377283/pu/img/ofT-SsOgaHcAIsdv.jpg")</f>
        <v>https://pbs.twimg.com/ext_tw_video_thumb/1674153058161377283/pu/img/ofT-SsOgaHcAIsdv.jpg</v>
      </c>
      <c r="AW2445" s="82" t="s">
        <v>14601</v>
      </c>
      <c r="AX2445" s="82" t="s">
        <v>14601</v>
      </c>
      <c r="AY2445" s="77"/>
      <c r="AZ2445" s="82" t="s">
        <v>15804</v>
      </c>
      <c r="BA2445" s="82" t="s">
        <v>15804</v>
      </c>
      <c r="BB2445" s="82" t="s">
        <v>15804</v>
      </c>
      <c r="BC2445" s="82" t="s">
        <v>14601</v>
      </c>
      <c r="BD2445" s="82" t="s">
        <v>16554</v>
      </c>
      <c r="BE2445" s="77"/>
      <c r="BF2445" s="77"/>
      <c r="BG2445" s="77"/>
      <c r="BH2445" s="77"/>
      <c r="BI2445" s="77"/>
    </row>
    <row r="2446" spans="1:61" x14ac:dyDescent="0.25">
      <c r="A2446" s="62" t="s">
        <v>952</v>
      </c>
      <c r="B2446" s="62" t="s">
        <v>952</v>
      </c>
      <c r="C2446" s="63"/>
      <c r="D2446" s="64"/>
      <c r="E2446" s="65"/>
      <c r="F2446" s="66"/>
      <c r="G2446" s="63"/>
      <c r="H2446" s="67"/>
      <c r="I2446" s="68"/>
      <c r="J2446" s="68"/>
      <c r="K2446" s="32"/>
      <c r="L2446" s="75">
        <v>2446</v>
      </c>
      <c r="M2446" s="75"/>
      <c r="N2446" s="70"/>
      <c r="O2446" s="77" t="s">
        <v>179</v>
      </c>
      <c r="P2446" s="79">
        <v>45181.839548611111</v>
      </c>
      <c r="Q2446" s="77" t="s">
        <v>3488</v>
      </c>
      <c r="R2446" s="77">
        <v>1</v>
      </c>
      <c r="S2446" s="77">
        <v>2</v>
      </c>
      <c r="T2446" s="77">
        <v>0</v>
      </c>
      <c r="U2446" s="77">
        <v>0</v>
      </c>
      <c r="V2446" s="77">
        <v>109</v>
      </c>
      <c r="W2446" s="82" t="s">
        <v>5638</v>
      </c>
      <c r="X2446" s="77"/>
      <c r="Y2446" s="77"/>
      <c r="Z2446" s="77"/>
      <c r="AA2446" s="77" t="s">
        <v>7504</v>
      </c>
      <c r="AB2446" s="77" t="s">
        <v>7697</v>
      </c>
      <c r="AC2446" s="82" t="s">
        <v>7705</v>
      </c>
      <c r="AD2446" s="77" t="s">
        <v>7745</v>
      </c>
      <c r="AE2446" s="80" t="str">
        <f>HYPERLINK("https://twitter.com/vokininvest/status/1701689375975743501")</f>
        <v>https://twitter.com/vokininvest/status/1701689375975743501</v>
      </c>
      <c r="AF2446" s="79">
        <v>45181.839548611111</v>
      </c>
      <c r="AG2446" s="85">
        <v>45181</v>
      </c>
      <c r="AH2446" s="82" t="s">
        <v>9939</v>
      </c>
      <c r="AI2446" s="77" t="b">
        <v>0</v>
      </c>
      <c r="AJ2446" s="77"/>
      <c r="AK2446" s="77"/>
      <c r="AL2446" s="77"/>
      <c r="AM2446" s="77"/>
      <c r="AN2446" s="77"/>
      <c r="AO2446" s="77"/>
      <c r="AP2446" s="77"/>
      <c r="AQ2446" s="77" t="s">
        <v>12011</v>
      </c>
      <c r="AR2446" s="77">
        <v>83461</v>
      </c>
      <c r="AS2446" s="77"/>
      <c r="AT2446" s="77"/>
      <c r="AU2446" s="77">
        <v>28</v>
      </c>
      <c r="AV2446" s="80" t="str">
        <f>HYPERLINK("https://pbs.twimg.com/ext_tw_video_thumb/1701689301145141248/pu/img/NWIQNHtQtcK7OQdL.jpg")</f>
        <v>https://pbs.twimg.com/ext_tw_video_thumb/1701689301145141248/pu/img/NWIQNHtQtcK7OQdL.jpg</v>
      </c>
      <c r="AW2446" s="82" t="s">
        <v>14602</v>
      </c>
      <c r="AX2446" s="82" t="s">
        <v>14602</v>
      </c>
      <c r="AY2446" s="77"/>
      <c r="AZ2446" s="82" t="s">
        <v>15804</v>
      </c>
      <c r="BA2446" s="82" t="s">
        <v>15804</v>
      </c>
      <c r="BB2446" s="82" t="s">
        <v>15804</v>
      </c>
      <c r="BC2446" s="82" t="s">
        <v>14602</v>
      </c>
      <c r="BD2446" s="82" t="s">
        <v>16554</v>
      </c>
      <c r="BE2446" s="77"/>
      <c r="BF2446" s="77"/>
      <c r="BG2446" s="77"/>
      <c r="BH2446" s="77"/>
      <c r="BI2446" s="77"/>
    </row>
    <row r="2447" spans="1:61" x14ac:dyDescent="0.25">
      <c r="A2447" s="62" t="s">
        <v>953</v>
      </c>
      <c r="B2447" s="62" t="s">
        <v>953</v>
      </c>
      <c r="C2447" s="63"/>
      <c r="D2447" s="64"/>
      <c r="E2447" s="65"/>
      <c r="F2447" s="66"/>
      <c r="G2447" s="63"/>
      <c r="H2447" s="67"/>
      <c r="I2447" s="68"/>
      <c r="J2447" s="68"/>
      <c r="K2447" s="32"/>
      <c r="L2447" s="75">
        <v>2447</v>
      </c>
      <c r="M2447" s="75"/>
      <c r="N2447" s="70"/>
      <c r="O2447" s="77" t="s">
        <v>179</v>
      </c>
      <c r="P2447" s="79">
        <v>44991.926562499997</v>
      </c>
      <c r="Q2447" s="77" t="s">
        <v>3489</v>
      </c>
      <c r="R2447" s="77">
        <v>0</v>
      </c>
      <c r="S2447" s="77">
        <v>0</v>
      </c>
      <c r="T2447" s="77">
        <v>0</v>
      </c>
      <c r="U2447" s="77">
        <v>0</v>
      </c>
      <c r="V2447" s="77">
        <v>20</v>
      </c>
      <c r="W2447" s="82" t="s">
        <v>5639</v>
      </c>
      <c r="X2447" s="77"/>
      <c r="Y2447" s="77"/>
      <c r="Z2447" s="77"/>
      <c r="AA2447" s="77" t="s">
        <v>7505</v>
      </c>
      <c r="AB2447" s="77" t="s">
        <v>7697</v>
      </c>
      <c r="AC2447" s="82" t="s">
        <v>7706</v>
      </c>
      <c r="AD2447" s="77" t="s">
        <v>7745</v>
      </c>
      <c r="AE2447" s="80" t="str">
        <f>HYPERLINK("https://twitter.com/oabprevrs/status/1632867211336470528")</f>
        <v>https://twitter.com/oabprevrs/status/1632867211336470528</v>
      </c>
      <c r="AF2447" s="79">
        <v>44991.926562499997</v>
      </c>
      <c r="AG2447" s="85">
        <v>44991</v>
      </c>
      <c r="AH2447" s="82" t="s">
        <v>9940</v>
      </c>
      <c r="AI2447" s="77" t="b">
        <v>0</v>
      </c>
      <c r="AJ2447" s="77"/>
      <c r="AK2447" s="77"/>
      <c r="AL2447" s="77"/>
      <c r="AM2447" s="77"/>
      <c r="AN2447" s="77"/>
      <c r="AO2447" s="77"/>
      <c r="AP2447" s="77"/>
      <c r="AQ2447" s="77" t="s">
        <v>12012</v>
      </c>
      <c r="AR2447" s="77">
        <v>37000</v>
      </c>
      <c r="AS2447" s="77"/>
      <c r="AT2447" s="77"/>
      <c r="AU2447" s="77">
        <v>6</v>
      </c>
      <c r="AV2447" s="80" t="str">
        <f>HYPERLINK("https://pbs.twimg.com/ext_tw_video_thumb/1632866220058738694/pu/img/rp3_3Mes5mSt17aL.jpg")</f>
        <v>https://pbs.twimg.com/ext_tw_video_thumb/1632866220058738694/pu/img/rp3_3Mes5mSt17aL.jpg</v>
      </c>
      <c r="AW2447" s="82" t="s">
        <v>14603</v>
      </c>
      <c r="AX2447" s="82" t="s">
        <v>14603</v>
      </c>
      <c r="AY2447" s="77"/>
      <c r="AZ2447" s="82" t="s">
        <v>15804</v>
      </c>
      <c r="BA2447" s="82" t="s">
        <v>15804</v>
      </c>
      <c r="BB2447" s="82" t="s">
        <v>15804</v>
      </c>
      <c r="BC2447" s="82" t="s">
        <v>14603</v>
      </c>
      <c r="BD2447" s="77">
        <v>1620631531</v>
      </c>
      <c r="BE2447" s="77"/>
      <c r="BF2447" s="77"/>
      <c r="BG2447" s="77"/>
      <c r="BH2447" s="77"/>
      <c r="BI2447" s="77"/>
    </row>
    <row r="2448" spans="1:61" x14ac:dyDescent="0.25">
      <c r="A2448" s="62" t="s">
        <v>954</v>
      </c>
      <c r="B2448" s="62" t="s">
        <v>954</v>
      </c>
      <c r="C2448" s="63"/>
      <c r="D2448" s="64"/>
      <c r="E2448" s="65"/>
      <c r="F2448" s="66"/>
      <c r="G2448" s="63"/>
      <c r="H2448" s="67"/>
      <c r="I2448" s="68"/>
      <c r="J2448" s="68"/>
      <c r="K2448" s="32"/>
      <c r="L2448" s="75">
        <v>2448</v>
      </c>
      <c r="M2448" s="75"/>
      <c r="N2448" s="70"/>
      <c r="O2448" s="77" t="s">
        <v>1132</v>
      </c>
      <c r="P2448" s="79">
        <v>45156.581064814818</v>
      </c>
      <c r="Q2448" s="77" t="s">
        <v>3490</v>
      </c>
      <c r="R2448" s="77">
        <v>1</v>
      </c>
      <c r="S2448" s="77">
        <v>2</v>
      </c>
      <c r="T2448" s="77">
        <v>0</v>
      </c>
      <c r="U2448" s="77">
        <v>0</v>
      </c>
      <c r="V2448" s="77">
        <v>65</v>
      </c>
      <c r="W2448" s="82" t="s">
        <v>5640</v>
      </c>
      <c r="X2448" s="77"/>
      <c r="Y2448" s="77"/>
      <c r="Z2448" s="77"/>
      <c r="AA2448" s="77"/>
      <c r="AB2448" s="77"/>
      <c r="AC2448" s="82" t="s">
        <v>7706</v>
      </c>
      <c r="AD2448" s="77" t="s">
        <v>7745</v>
      </c>
      <c r="AE2448" s="80" t="str">
        <f>HYPERLINK("https://twitter.com/wiboocria_/status/1692536005822193954")</f>
        <v>https://twitter.com/wiboocria_/status/1692536005822193954</v>
      </c>
      <c r="AF2448" s="79">
        <v>45156.581064814818</v>
      </c>
      <c r="AG2448" s="85">
        <v>45156</v>
      </c>
      <c r="AH2448" s="82" t="s">
        <v>9941</v>
      </c>
      <c r="AI2448" s="77"/>
      <c r="AJ2448" s="77"/>
      <c r="AK2448" s="77"/>
      <c r="AL2448" s="77"/>
      <c r="AM2448" s="77"/>
      <c r="AN2448" s="77"/>
      <c r="AO2448" s="77"/>
      <c r="AP2448" s="77"/>
      <c r="AQ2448" s="77"/>
      <c r="AR2448" s="77"/>
      <c r="AS2448" s="77"/>
      <c r="AT2448" s="77"/>
      <c r="AU2448" s="77"/>
      <c r="AV2448" s="80" t="str">
        <f>HYPERLINK("https://pbs.twimg.com/profile_images/1695129903639691264/MB_x005F_xbDC6_normal.jpg")</f>
        <v>https://pbs.twimg.com/profile_images/1695129903639691264/MB_x005F_xbDC6_normal.jpg</v>
      </c>
      <c r="AW2448" s="82" t="s">
        <v>14604</v>
      </c>
      <c r="AX2448" s="82" t="s">
        <v>15575</v>
      </c>
      <c r="AY2448" s="82" t="s">
        <v>15791</v>
      </c>
      <c r="AZ2448" s="82" t="s">
        <v>16088</v>
      </c>
      <c r="BA2448" s="82" t="s">
        <v>15804</v>
      </c>
      <c r="BB2448" s="82" t="s">
        <v>15804</v>
      </c>
      <c r="BC2448" s="82" t="s">
        <v>16088</v>
      </c>
      <c r="BD2448" s="77">
        <v>3292442302</v>
      </c>
      <c r="BE2448" s="77"/>
      <c r="BF2448" s="77"/>
      <c r="BG2448" s="77"/>
      <c r="BH2448" s="77"/>
      <c r="BI2448" s="77"/>
    </row>
    <row r="2449" spans="1:61" x14ac:dyDescent="0.25">
      <c r="A2449" s="62" t="s">
        <v>955</v>
      </c>
      <c r="B2449" s="62" t="s">
        <v>955</v>
      </c>
      <c r="C2449" s="63"/>
      <c r="D2449" s="64"/>
      <c r="E2449" s="65"/>
      <c r="F2449" s="66"/>
      <c r="G2449" s="63"/>
      <c r="H2449" s="67"/>
      <c r="I2449" s="68"/>
      <c r="J2449" s="68"/>
      <c r="K2449" s="32"/>
      <c r="L2449" s="75">
        <v>2449</v>
      </c>
      <c r="M2449" s="75"/>
      <c r="N2449" s="70"/>
      <c r="O2449" s="77" t="s">
        <v>179</v>
      </c>
      <c r="P2449" s="79">
        <v>45007.604247685187</v>
      </c>
      <c r="Q2449" s="77" t="s">
        <v>3491</v>
      </c>
      <c r="R2449" s="77">
        <v>0</v>
      </c>
      <c r="S2449" s="77">
        <v>2</v>
      </c>
      <c r="T2449" s="77">
        <v>0</v>
      </c>
      <c r="U2449" s="77">
        <v>0</v>
      </c>
      <c r="V2449" s="77">
        <v>40</v>
      </c>
      <c r="W2449" s="82" t="s">
        <v>4097</v>
      </c>
      <c r="X2449" s="77"/>
      <c r="Y2449" s="77"/>
      <c r="Z2449" s="77"/>
      <c r="AA2449" s="77" t="s">
        <v>7506</v>
      </c>
      <c r="AB2449" s="77" t="s">
        <v>7701</v>
      </c>
      <c r="AC2449" s="82" t="s">
        <v>7706</v>
      </c>
      <c r="AD2449" s="77" t="s">
        <v>7745</v>
      </c>
      <c r="AE2449" s="80" t="str">
        <f>HYPERLINK("https://twitter.com/previdencianeos/status/1638548616112492544")</f>
        <v>https://twitter.com/previdencianeos/status/1638548616112492544</v>
      </c>
      <c r="AF2449" s="79">
        <v>45007.604247685187</v>
      </c>
      <c r="AG2449" s="85">
        <v>45007</v>
      </c>
      <c r="AH2449" s="82" t="s">
        <v>9942</v>
      </c>
      <c r="AI2449" s="77" t="b">
        <v>0</v>
      </c>
      <c r="AJ2449" s="77"/>
      <c r="AK2449" s="77"/>
      <c r="AL2449" s="77"/>
      <c r="AM2449" s="77"/>
      <c r="AN2449" s="77"/>
      <c r="AO2449" s="77"/>
      <c r="AP2449" s="77"/>
      <c r="AQ2449" s="77" t="s">
        <v>12013</v>
      </c>
      <c r="AR2449" s="77"/>
      <c r="AS2449" s="77"/>
      <c r="AT2449" s="77"/>
      <c r="AU2449" s="77"/>
      <c r="AV2449" s="80" t="str">
        <f>HYPERLINK("https://pbs.twimg.com/media/Fr1LP_rWcAQeHoX.jpg")</f>
        <v>https://pbs.twimg.com/media/Fr1LP_rWcAQeHoX.jpg</v>
      </c>
      <c r="AW2449" s="82" t="s">
        <v>14605</v>
      </c>
      <c r="AX2449" s="82" t="s">
        <v>14605</v>
      </c>
      <c r="AY2449" s="77"/>
      <c r="AZ2449" s="82" t="s">
        <v>15804</v>
      </c>
      <c r="BA2449" s="82" t="s">
        <v>15804</v>
      </c>
      <c r="BB2449" s="82" t="s">
        <v>15804</v>
      </c>
      <c r="BC2449" s="82" t="s">
        <v>14605</v>
      </c>
      <c r="BD2449" s="82" t="s">
        <v>16555</v>
      </c>
      <c r="BE2449" s="77"/>
      <c r="BF2449" s="77"/>
      <c r="BG2449" s="77"/>
      <c r="BH2449" s="77"/>
      <c r="BI2449" s="77"/>
    </row>
    <row r="2450" spans="1:61" x14ac:dyDescent="0.25">
      <c r="A2450" s="62" t="s">
        <v>955</v>
      </c>
      <c r="B2450" s="62" t="s">
        <v>955</v>
      </c>
      <c r="C2450" s="63"/>
      <c r="D2450" s="64"/>
      <c r="E2450" s="65"/>
      <c r="F2450" s="66"/>
      <c r="G2450" s="63"/>
      <c r="H2450" s="67"/>
      <c r="I2450" s="68"/>
      <c r="J2450" s="68"/>
      <c r="K2450" s="32"/>
      <c r="L2450" s="75">
        <v>2450</v>
      </c>
      <c r="M2450" s="75"/>
      <c r="N2450" s="70"/>
      <c r="O2450" s="77" t="s">
        <v>179</v>
      </c>
      <c r="P2450" s="79">
        <v>44956.852233796293</v>
      </c>
      <c r="Q2450" s="77" t="s">
        <v>3492</v>
      </c>
      <c r="R2450" s="77">
        <v>0</v>
      </c>
      <c r="S2450" s="77">
        <v>0</v>
      </c>
      <c r="T2450" s="77">
        <v>0</v>
      </c>
      <c r="U2450" s="77">
        <v>0</v>
      </c>
      <c r="V2450" s="77">
        <v>26</v>
      </c>
      <c r="W2450" s="82" t="s">
        <v>4097</v>
      </c>
      <c r="X2450" s="77"/>
      <c r="Y2450" s="77"/>
      <c r="Z2450" s="77"/>
      <c r="AA2450" s="77" t="s">
        <v>7507</v>
      </c>
      <c r="AB2450" s="77" t="s">
        <v>7700</v>
      </c>
      <c r="AC2450" s="82" t="s">
        <v>7706</v>
      </c>
      <c r="AD2450" s="77" t="s">
        <v>7745</v>
      </c>
      <c r="AE2450" s="80" t="str">
        <f>HYPERLINK("https://twitter.com/previdencianeos/status/1620156702573355008")</f>
        <v>https://twitter.com/previdencianeos/status/1620156702573355008</v>
      </c>
      <c r="AF2450" s="79">
        <v>44956.852233796293</v>
      </c>
      <c r="AG2450" s="85">
        <v>44956</v>
      </c>
      <c r="AH2450" s="82" t="s">
        <v>9943</v>
      </c>
      <c r="AI2450" s="77" t="b">
        <v>0</v>
      </c>
      <c r="AJ2450" s="77"/>
      <c r="AK2450" s="77"/>
      <c r="AL2450" s="77"/>
      <c r="AM2450" s="77"/>
      <c r="AN2450" s="77"/>
      <c r="AO2450" s="77"/>
      <c r="AP2450" s="77"/>
      <c r="AQ2450" s="77" t="s">
        <v>12014</v>
      </c>
      <c r="AR2450" s="77"/>
      <c r="AS2450" s="77"/>
      <c r="AT2450" s="77"/>
      <c r="AU2450" s="77"/>
      <c r="AV2450" s="80" t="str">
        <f>HYPERLINK("https://pbs.twimg.com/media/Fnvz6QaXoAcIzxy.jpg")</f>
        <v>https://pbs.twimg.com/media/Fnvz6QaXoAcIzxy.jpg</v>
      </c>
      <c r="AW2450" s="82" t="s">
        <v>14606</v>
      </c>
      <c r="AX2450" s="82" t="s">
        <v>14606</v>
      </c>
      <c r="AY2450" s="77"/>
      <c r="AZ2450" s="82" t="s">
        <v>15804</v>
      </c>
      <c r="BA2450" s="82" t="s">
        <v>15804</v>
      </c>
      <c r="BB2450" s="82" t="s">
        <v>15804</v>
      </c>
      <c r="BC2450" s="82" t="s">
        <v>14606</v>
      </c>
      <c r="BD2450" s="82" t="s">
        <v>16555</v>
      </c>
      <c r="BE2450" s="77"/>
      <c r="BF2450" s="77"/>
      <c r="BG2450" s="77"/>
      <c r="BH2450" s="77"/>
      <c r="BI2450" s="77"/>
    </row>
    <row r="2451" spans="1:61" x14ac:dyDescent="0.25">
      <c r="A2451" s="62" t="s">
        <v>955</v>
      </c>
      <c r="B2451" s="62" t="s">
        <v>955</v>
      </c>
      <c r="C2451" s="63"/>
      <c r="D2451" s="64"/>
      <c r="E2451" s="65"/>
      <c r="F2451" s="66"/>
      <c r="G2451" s="63"/>
      <c r="H2451" s="67"/>
      <c r="I2451" s="68"/>
      <c r="J2451" s="68"/>
      <c r="K2451" s="32"/>
      <c r="L2451" s="75">
        <v>2451</v>
      </c>
      <c r="M2451" s="75"/>
      <c r="N2451" s="70"/>
      <c r="O2451" s="77" t="s">
        <v>179</v>
      </c>
      <c r="P2451" s="79">
        <v>45035.790393518517</v>
      </c>
      <c r="Q2451" s="77" t="s">
        <v>3493</v>
      </c>
      <c r="R2451" s="77">
        <v>0</v>
      </c>
      <c r="S2451" s="77">
        <v>0</v>
      </c>
      <c r="T2451" s="77">
        <v>0</v>
      </c>
      <c r="U2451" s="77">
        <v>0</v>
      </c>
      <c r="V2451" s="77">
        <v>35</v>
      </c>
      <c r="W2451" s="82" t="s">
        <v>5641</v>
      </c>
      <c r="X2451" s="80" t="str">
        <f>HYPERLINK("http://www.neosprevidencia.com.br")</f>
        <v>http://www.neosprevidencia.com.br</v>
      </c>
      <c r="Y2451" s="77" t="s">
        <v>6002</v>
      </c>
      <c r="Z2451" s="77"/>
      <c r="AA2451" s="77" t="s">
        <v>7508</v>
      </c>
      <c r="AB2451" s="77" t="s">
        <v>7696</v>
      </c>
      <c r="AC2451" s="82" t="s">
        <v>7706</v>
      </c>
      <c r="AD2451" s="77" t="s">
        <v>7745</v>
      </c>
      <c r="AE2451" s="80" t="str">
        <f>HYPERLINK("https://twitter.com/previdencianeos/status/1648762933659197451")</f>
        <v>https://twitter.com/previdencianeos/status/1648762933659197451</v>
      </c>
      <c r="AF2451" s="79">
        <v>45035.790393518517</v>
      </c>
      <c r="AG2451" s="85">
        <v>45035</v>
      </c>
      <c r="AH2451" s="82" t="s">
        <v>9944</v>
      </c>
      <c r="AI2451" s="77" t="b">
        <v>0</v>
      </c>
      <c r="AJ2451" s="77"/>
      <c r="AK2451" s="77"/>
      <c r="AL2451" s="77"/>
      <c r="AM2451" s="77"/>
      <c r="AN2451" s="77"/>
      <c r="AO2451" s="77"/>
      <c r="AP2451" s="77"/>
      <c r="AQ2451" s="77" t="s">
        <v>12015</v>
      </c>
      <c r="AR2451" s="77"/>
      <c r="AS2451" s="77"/>
      <c r="AT2451" s="77"/>
      <c r="AU2451" s="77"/>
      <c r="AV2451" s="80" t="str">
        <f>HYPERLINK("https://pbs.twimg.com/media/FuGVIm9XsAEanRo.jpg")</f>
        <v>https://pbs.twimg.com/media/FuGVIm9XsAEanRo.jpg</v>
      </c>
      <c r="AW2451" s="82" t="s">
        <v>14607</v>
      </c>
      <c r="AX2451" s="82" t="s">
        <v>14607</v>
      </c>
      <c r="AY2451" s="77"/>
      <c r="AZ2451" s="82" t="s">
        <v>15804</v>
      </c>
      <c r="BA2451" s="82" t="s">
        <v>15804</v>
      </c>
      <c r="BB2451" s="82" t="s">
        <v>15804</v>
      </c>
      <c r="BC2451" s="82" t="s">
        <v>14607</v>
      </c>
      <c r="BD2451" s="82" t="s">
        <v>16555</v>
      </c>
      <c r="BE2451" s="77"/>
      <c r="BF2451" s="77"/>
      <c r="BG2451" s="77"/>
      <c r="BH2451" s="77"/>
      <c r="BI2451" s="77"/>
    </row>
    <row r="2452" spans="1:61" x14ac:dyDescent="0.25">
      <c r="A2452" s="62" t="s">
        <v>955</v>
      </c>
      <c r="B2452" s="62" t="s">
        <v>955</v>
      </c>
      <c r="C2452" s="63"/>
      <c r="D2452" s="64"/>
      <c r="E2452" s="65"/>
      <c r="F2452" s="66"/>
      <c r="G2452" s="63"/>
      <c r="H2452" s="67"/>
      <c r="I2452" s="68"/>
      <c r="J2452" s="68"/>
      <c r="K2452" s="32"/>
      <c r="L2452" s="75">
        <v>2452</v>
      </c>
      <c r="M2452" s="75"/>
      <c r="N2452" s="70"/>
      <c r="O2452" s="77" t="s">
        <v>179</v>
      </c>
      <c r="P2452" s="79">
        <v>45035.79010416667</v>
      </c>
      <c r="Q2452" s="77" t="s">
        <v>3494</v>
      </c>
      <c r="R2452" s="77">
        <v>0</v>
      </c>
      <c r="S2452" s="77">
        <v>0</v>
      </c>
      <c r="T2452" s="77">
        <v>0</v>
      </c>
      <c r="U2452" s="77">
        <v>0</v>
      </c>
      <c r="V2452" s="77">
        <v>23</v>
      </c>
      <c r="W2452" s="82" t="s">
        <v>5642</v>
      </c>
      <c r="X2452" s="80" t="str">
        <f>HYPERLINK("http://www.neosprevidencia.com.br")</f>
        <v>http://www.neosprevidencia.com.br</v>
      </c>
      <c r="Y2452" s="77" t="s">
        <v>6002</v>
      </c>
      <c r="Z2452" s="77"/>
      <c r="AA2452" s="77"/>
      <c r="AB2452" s="77"/>
      <c r="AC2452" s="82" t="s">
        <v>7706</v>
      </c>
      <c r="AD2452" s="77" t="s">
        <v>7745</v>
      </c>
      <c r="AE2452" s="80" t="str">
        <f>HYPERLINK("https://twitter.com/previdencianeos/status/1648762826436010030")</f>
        <v>https://twitter.com/previdencianeos/status/1648762826436010030</v>
      </c>
      <c r="AF2452" s="79">
        <v>45035.79010416667</v>
      </c>
      <c r="AG2452" s="85">
        <v>45035</v>
      </c>
      <c r="AH2452" s="82" t="s">
        <v>9945</v>
      </c>
      <c r="AI2452" s="77" t="b">
        <v>0</v>
      </c>
      <c r="AJ2452" s="77"/>
      <c r="AK2452" s="77"/>
      <c r="AL2452" s="77"/>
      <c r="AM2452" s="77"/>
      <c r="AN2452" s="77"/>
      <c r="AO2452" s="77"/>
      <c r="AP2452" s="77"/>
      <c r="AQ2452" s="77"/>
      <c r="AR2452" s="77"/>
      <c r="AS2452" s="77"/>
      <c r="AT2452" s="77"/>
      <c r="AU2452" s="77"/>
      <c r="AV2452" s="80" t="str">
        <f>HYPERLINK("https://pbs.twimg.com/profile_images/1259946623880347650/-yovfrjh_normal.png")</f>
        <v>https://pbs.twimg.com/profile_images/1259946623880347650/-yovfrjh_normal.png</v>
      </c>
      <c r="AW2452" s="82" t="s">
        <v>14608</v>
      </c>
      <c r="AX2452" s="82" t="s">
        <v>14608</v>
      </c>
      <c r="AY2452" s="77"/>
      <c r="AZ2452" s="82" t="s">
        <v>15804</v>
      </c>
      <c r="BA2452" s="82" t="s">
        <v>15804</v>
      </c>
      <c r="BB2452" s="82" t="s">
        <v>15804</v>
      </c>
      <c r="BC2452" s="82" t="s">
        <v>14608</v>
      </c>
      <c r="BD2452" s="82" t="s">
        <v>16555</v>
      </c>
      <c r="BE2452" s="77"/>
      <c r="BF2452" s="77"/>
      <c r="BG2452" s="77"/>
      <c r="BH2452" s="77"/>
      <c r="BI2452" s="77"/>
    </row>
    <row r="2453" spans="1:61" x14ac:dyDescent="0.25">
      <c r="A2453" s="62" t="s">
        <v>955</v>
      </c>
      <c r="B2453" s="62" t="s">
        <v>955</v>
      </c>
      <c r="C2453" s="63"/>
      <c r="D2453" s="64"/>
      <c r="E2453" s="65"/>
      <c r="F2453" s="66"/>
      <c r="G2453" s="63"/>
      <c r="H2453" s="67"/>
      <c r="I2453" s="68"/>
      <c r="J2453" s="68"/>
      <c r="K2453" s="32"/>
      <c r="L2453" s="75">
        <v>2453</v>
      </c>
      <c r="M2453" s="75"/>
      <c r="N2453" s="70"/>
      <c r="O2453" s="77" t="s">
        <v>179</v>
      </c>
      <c r="P2453" s="79">
        <v>45084.879872685182</v>
      </c>
      <c r="Q2453" s="77" t="s">
        <v>3495</v>
      </c>
      <c r="R2453" s="77">
        <v>0</v>
      </c>
      <c r="S2453" s="77">
        <v>0</v>
      </c>
      <c r="T2453" s="77">
        <v>0</v>
      </c>
      <c r="U2453" s="77">
        <v>0</v>
      </c>
      <c r="V2453" s="77">
        <v>34</v>
      </c>
      <c r="W2453" s="82" t="s">
        <v>4219</v>
      </c>
      <c r="X2453" s="77"/>
      <c r="Y2453" s="77"/>
      <c r="Z2453" s="77"/>
      <c r="AA2453" s="77" t="s">
        <v>7509</v>
      </c>
      <c r="AB2453" s="77" t="s">
        <v>7698</v>
      </c>
      <c r="AC2453" s="82" t="s">
        <v>7706</v>
      </c>
      <c r="AD2453" s="77" t="s">
        <v>7745</v>
      </c>
      <c r="AE2453" s="80" t="str">
        <f>HYPERLINK("https://twitter.com/previdencianeos/status/1666552363778297857")</f>
        <v>https://twitter.com/previdencianeos/status/1666552363778297857</v>
      </c>
      <c r="AF2453" s="79">
        <v>45084.879872685182</v>
      </c>
      <c r="AG2453" s="85">
        <v>45084</v>
      </c>
      <c r="AH2453" s="82" t="s">
        <v>9946</v>
      </c>
      <c r="AI2453" s="77" t="b">
        <v>0</v>
      </c>
      <c r="AJ2453" s="77"/>
      <c r="AK2453" s="77"/>
      <c r="AL2453" s="77"/>
      <c r="AM2453" s="77"/>
      <c r="AN2453" s="77"/>
      <c r="AO2453" s="77"/>
      <c r="AP2453" s="77"/>
      <c r="AQ2453" s="77" t="s">
        <v>12016</v>
      </c>
      <c r="AR2453" s="77"/>
      <c r="AS2453" s="77"/>
      <c r="AT2453" s="77"/>
      <c r="AU2453" s="77"/>
      <c r="AV2453" s="80" t="str">
        <f>HYPERLINK("https://pbs.twimg.com/media/FyDIhdfWYAIVheh.jpg")</f>
        <v>https://pbs.twimg.com/media/FyDIhdfWYAIVheh.jpg</v>
      </c>
      <c r="AW2453" s="82" t="s">
        <v>14609</v>
      </c>
      <c r="AX2453" s="82" t="s">
        <v>14609</v>
      </c>
      <c r="AY2453" s="77"/>
      <c r="AZ2453" s="82" t="s">
        <v>15804</v>
      </c>
      <c r="BA2453" s="82" t="s">
        <v>15804</v>
      </c>
      <c r="BB2453" s="82" t="s">
        <v>15804</v>
      </c>
      <c r="BC2453" s="82" t="s">
        <v>14609</v>
      </c>
      <c r="BD2453" s="82" t="s">
        <v>16555</v>
      </c>
      <c r="BE2453" s="77"/>
      <c r="BF2453" s="77"/>
      <c r="BG2453" s="77"/>
      <c r="BH2453" s="77"/>
      <c r="BI2453" s="77"/>
    </row>
    <row r="2454" spans="1:61" x14ac:dyDescent="0.25">
      <c r="A2454" s="62" t="s">
        <v>956</v>
      </c>
      <c r="B2454" s="62" t="s">
        <v>956</v>
      </c>
      <c r="C2454" s="63"/>
      <c r="D2454" s="64"/>
      <c r="E2454" s="65"/>
      <c r="F2454" s="66"/>
      <c r="G2454" s="63"/>
      <c r="H2454" s="67"/>
      <c r="I2454" s="68"/>
      <c r="J2454" s="68"/>
      <c r="K2454" s="32"/>
      <c r="L2454" s="75">
        <v>2454</v>
      </c>
      <c r="M2454" s="75"/>
      <c r="N2454" s="70"/>
      <c r="O2454" s="77" t="s">
        <v>179</v>
      </c>
      <c r="P2454" s="79">
        <v>45014.525057870371</v>
      </c>
      <c r="Q2454" s="77" t="s">
        <v>3496</v>
      </c>
      <c r="R2454" s="77">
        <v>0</v>
      </c>
      <c r="S2454" s="77">
        <v>0</v>
      </c>
      <c r="T2454" s="77">
        <v>0</v>
      </c>
      <c r="U2454" s="77">
        <v>0</v>
      </c>
      <c r="V2454" s="77">
        <v>46</v>
      </c>
      <c r="W2454" s="82" t="s">
        <v>5643</v>
      </c>
      <c r="X2454" s="77"/>
      <c r="Y2454" s="77"/>
      <c r="Z2454" s="77"/>
      <c r="AA2454" s="77" t="s">
        <v>7510</v>
      </c>
      <c r="AB2454" s="77" t="s">
        <v>7697</v>
      </c>
      <c r="AC2454" s="82" t="s">
        <v>7706</v>
      </c>
      <c r="AD2454" s="77" t="s">
        <v>7745</v>
      </c>
      <c r="AE2454" s="80" t="str">
        <f>HYPERLINK("https://twitter.com/jotaoliver_/status/1641056634041401344")</f>
        <v>https://twitter.com/jotaoliver_/status/1641056634041401344</v>
      </c>
      <c r="AF2454" s="79">
        <v>45014.525057870371</v>
      </c>
      <c r="AG2454" s="85">
        <v>45014</v>
      </c>
      <c r="AH2454" s="82" t="s">
        <v>9947</v>
      </c>
      <c r="AI2454" s="77" t="b">
        <v>0</v>
      </c>
      <c r="AJ2454" s="77"/>
      <c r="AK2454" s="77"/>
      <c r="AL2454" s="77"/>
      <c r="AM2454" s="77"/>
      <c r="AN2454" s="77"/>
      <c r="AO2454" s="77"/>
      <c r="AP2454" s="77"/>
      <c r="AQ2454" s="77" t="s">
        <v>12017</v>
      </c>
      <c r="AR2454" s="77">
        <v>88277</v>
      </c>
      <c r="AS2454" s="77"/>
      <c r="AT2454" s="77"/>
      <c r="AU2454" s="77">
        <v>18</v>
      </c>
      <c r="AV2454" s="80" t="str">
        <f>HYPERLINK("https://pbs.twimg.com/ext_tw_video_thumb/1641056362615517188/pu/img/b_wW0UVkyUBRMsD7.jpg")</f>
        <v>https://pbs.twimg.com/ext_tw_video_thumb/1641056362615517188/pu/img/b_wW0UVkyUBRMsD7.jpg</v>
      </c>
      <c r="AW2454" s="82" t="s">
        <v>14610</v>
      </c>
      <c r="AX2454" s="82" t="s">
        <v>14610</v>
      </c>
      <c r="AY2454" s="77"/>
      <c r="AZ2454" s="82" t="s">
        <v>15804</v>
      </c>
      <c r="BA2454" s="82" t="s">
        <v>15804</v>
      </c>
      <c r="BB2454" s="82" t="s">
        <v>15804</v>
      </c>
      <c r="BC2454" s="82" t="s">
        <v>14610</v>
      </c>
      <c r="BD2454" s="82" t="s">
        <v>16556</v>
      </c>
      <c r="BE2454" s="77"/>
      <c r="BF2454" s="77"/>
      <c r="BG2454" s="77"/>
      <c r="BH2454" s="77"/>
      <c r="BI2454" s="77"/>
    </row>
    <row r="2455" spans="1:61" x14ac:dyDescent="0.25">
      <c r="A2455" s="62" t="s">
        <v>957</v>
      </c>
      <c r="B2455" s="62" t="s">
        <v>957</v>
      </c>
      <c r="C2455" s="63"/>
      <c r="D2455" s="64"/>
      <c r="E2455" s="65"/>
      <c r="F2455" s="66"/>
      <c r="G2455" s="63"/>
      <c r="H2455" s="67"/>
      <c r="I2455" s="68"/>
      <c r="J2455" s="68"/>
      <c r="K2455" s="32"/>
      <c r="L2455" s="75">
        <v>2455</v>
      </c>
      <c r="M2455" s="75"/>
      <c r="N2455" s="70"/>
      <c r="O2455" s="77" t="s">
        <v>179</v>
      </c>
      <c r="P2455" s="79">
        <v>45088.723321759258</v>
      </c>
      <c r="Q2455" s="77" t="s">
        <v>3497</v>
      </c>
      <c r="R2455" s="77">
        <v>0</v>
      </c>
      <c r="S2455" s="77">
        <v>0</v>
      </c>
      <c r="T2455" s="77">
        <v>0</v>
      </c>
      <c r="U2455" s="77">
        <v>0</v>
      </c>
      <c r="V2455" s="77">
        <v>21</v>
      </c>
      <c r="W2455" s="82" t="s">
        <v>5644</v>
      </c>
      <c r="X2455" s="77"/>
      <c r="Y2455" s="77"/>
      <c r="Z2455" s="77"/>
      <c r="AA2455" s="77"/>
      <c r="AB2455" s="77"/>
      <c r="AC2455" s="82" t="s">
        <v>7706</v>
      </c>
      <c r="AD2455" s="77" t="s">
        <v>7745</v>
      </c>
      <c r="AE2455" s="80" t="str">
        <f>HYPERLINK("https://twitter.com/streladomar/status/1667945185467146241")</f>
        <v>https://twitter.com/streladomar/status/1667945185467146241</v>
      </c>
      <c r="AF2455" s="79">
        <v>45088.723321759258</v>
      </c>
      <c r="AG2455" s="85">
        <v>45088</v>
      </c>
      <c r="AH2455" s="82" t="s">
        <v>9948</v>
      </c>
      <c r="AI2455" s="77" t="b">
        <v>0</v>
      </c>
      <c r="AJ2455" s="77"/>
      <c r="AK2455" s="77"/>
      <c r="AL2455" s="77"/>
      <c r="AM2455" s="77"/>
      <c r="AN2455" s="77"/>
      <c r="AO2455" s="77"/>
      <c r="AP2455" s="77"/>
      <c r="AQ2455" s="77"/>
      <c r="AR2455" s="77"/>
      <c r="AS2455" s="77"/>
      <c r="AT2455" s="77"/>
      <c r="AU2455" s="77"/>
      <c r="AV2455" s="80" t="str">
        <f>HYPERLINK("https://pbs.twimg.com/profile_images/1456336633003921409/NyCJliLS_normal.jpg")</f>
        <v>https://pbs.twimg.com/profile_images/1456336633003921409/NyCJliLS_normal.jpg</v>
      </c>
      <c r="AW2455" s="82" t="s">
        <v>14611</v>
      </c>
      <c r="AX2455" s="82" t="s">
        <v>14611</v>
      </c>
      <c r="AY2455" s="77"/>
      <c r="AZ2455" s="82" t="s">
        <v>15804</v>
      </c>
      <c r="BA2455" s="82" t="s">
        <v>15804</v>
      </c>
      <c r="BB2455" s="82" t="s">
        <v>15804</v>
      </c>
      <c r="BC2455" s="82" t="s">
        <v>14611</v>
      </c>
      <c r="BD2455" s="77">
        <v>141030680</v>
      </c>
      <c r="BE2455" s="77" t="s">
        <v>16597</v>
      </c>
      <c r="BF2455" s="77" t="s">
        <v>16600</v>
      </c>
      <c r="BG2455" s="77">
        <v>10080</v>
      </c>
      <c r="BH2455" s="77" t="s">
        <v>16602</v>
      </c>
      <c r="BI2455" s="77" t="s">
        <v>16604</v>
      </c>
    </row>
    <row r="2456" spans="1:61" x14ac:dyDescent="0.25">
      <c r="A2456" s="62" t="s">
        <v>957</v>
      </c>
      <c r="B2456" s="62" t="s">
        <v>957</v>
      </c>
      <c r="C2456" s="63"/>
      <c r="D2456" s="64"/>
      <c r="E2456" s="65"/>
      <c r="F2456" s="66"/>
      <c r="G2456" s="63"/>
      <c r="H2456" s="67"/>
      <c r="I2456" s="68"/>
      <c r="J2456" s="68"/>
      <c r="K2456" s="32"/>
      <c r="L2456" s="75">
        <v>2456</v>
      </c>
      <c r="M2456" s="75"/>
      <c r="N2456" s="70"/>
      <c r="O2456" s="77" t="s">
        <v>179</v>
      </c>
      <c r="P2456" s="79">
        <v>45088.722291666665</v>
      </c>
      <c r="Q2456" s="77" t="s">
        <v>3498</v>
      </c>
      <c r="R2456" s="77">
        <v>0</v>
      </c>
      <c r="S2456" s="77">
        <v>0</v>
      </c>
      <c r="T2456" s="77">
        <v>0</v>
      </c>
      <c r="U2456" s="77">
        <v>0</v>
      </c>
      <c r="V2456" s="77">
        <v>24</v>
      </c>
      <c r="W2456" s="82" t="s">
        <v>5644</v>
      </c>
      <c r="X2456" s="77"/>
      <c r="Y2456" s="77"/>
      <c r="Z2456" s="77"/>
      <c r="AA2456" s="77"/>
      <c r="AB2456" s="77"/>
      <c r="AC2456" s="82" t="s">
        <v>7706</v>
      </c>
      <c r="AD2456" s="77" t="s">
        <v>7745</v>
      </c>
      <c r="AE2456" s="80" t="str">
        <f>HYPERLINK("https://twitter.com/streladomar/status/1667944812836794368")</f>
        <v>https://twitter.com/streladomar/status/1667944812836794368</v>
      </c>
      <c r="AF2456" s="79">
        <v>45088.722291666665</v>
      </c>
      <c r="AG2456" s="85">
        <v>45088</v>
      </c>
      <c r="AH2456" s="82" t="s">
        <v>9949</v>
      </c>
      <c r="AI2456" s="77" t="b">
        <v>0</v>
      </c>
      <c r="AJ2456" s="77"/>
      <c r="AK2456" s="77"/>
      <c r="AL2456" s="77"/>
      <c r="AM2456" s="77"/>
      <c r="AN2456" s="77"/>
      <c r="AO2456" s="77"/>
      <c r="AP2456" s="77"/>
      <c r="AQ2456" s="77"/>
      <c r="AR2456" s="77"/>
      <c r="AS2456" s="77"/>
      <c r="AT2456" s="77"/>
      <c r="AU2456" s="77"/>
      <c r="AV2456" s="80" t="str">
        <f>HYPERLINK("https://pbs.twimg.com/profile_images/1456336633003921409/NyCJliLS_normal.jpg")</f>
        <v>https://pbs.twimg.com/profile_images/1456336633003921409/NyCJliLS_normal.jpg</v>
      </c>
      <c r="AW2456" s="82" t="s">
        <v>14612</v>
      </c>
      <c r="AX2456" s="82" t="s">
        <v>14612</v>
      </c>
      <c r="AY2456" s="77"/>
      <c r="AZ2456" s="82" t="s">
        <v>15804</v>
      </c>
      <c r="BA2456" s="82" t="s">
        <v>15804</v>
      </c>
      <c r="BB2456" s="82" t="s">
        <v>15804</v>
      </c>
      <c r="BC2456" s="82" t="s">
        <v>14612</v>
      </c>
      <c r="BD2456" s="77">
        <v>141030680</v>
      </c>
      <c r="BE2456" s="77" t="s">
        <v>16598</v>
      </c>
      <c r="BF2456" s="77" t="s">
        <v>16600</v>
      </c>
      <c r="BG2456" s="77">
        <v>10080</v>
      </c>
      <c r="BH2456" s="77" t="s">
        <v>16603</v>
      </c>
      <c r="BI2456" s="77" t="s">
        <v>16604</v>
      </c>
    </row>
    <row r="2457" spans="1:61" x14ac:dyDescent="0.25">
      <c r="A2457" s="62" t="s">
        <v>958</v>
      </c>
      <c r="B2457" s="62" t="s">
        <v>1058</v>
      </c>
      <c r="C2457" s="63"/>
      <c r="D2457" s="64"/>
      <c r="E2457" s="65"/>
      <c r="F2457" s="66"/>
      <c r="G2457" s="63"/>
      <c r="H2457" s="67"/>
      <c r="I2457" s="68"/>
      <c r="J2457" s="68"/>
      <c r="K2457" s="32"/>
      <c r="L2457" s="75">
        <v>2457</v>
      </c>
      <c r="M2457" s="75"/>
      <c r="N2457" s="70"/>
      <c r="O2457" s="77" t="s">
        <v>1133</v>
      </c>
      <c r="P2457" s="79">
        <v>45033.0237037037</v>
      </c>
      <c r="Q2457" s="77" t="s">
        <v>3499</v>
      </c>
      <c r="R2457" s="77">
        <v>0</v>
      </c>
      <c r="S2457" s="77">
        <v>0</v>
      </c>
      <c r="T2457" s="77">
        <v>0</v>
      </c>
      <c r="U2457" s="77">
        <v>0</v>
      </c>
      <c r="V2457" s="77">
        <v>14</v>
      </c>
      <c r="W2457" s="82" t="s">
        <v>5645</v>
      </c>
      <c r="X2457" s="80" t="str">
        <f>HYPERLINK("https://youtu.be/qSv_malYY9I")</f>
        <v>https://youtu.be/qSv_malYY9I</v>
      </c>
      <c r="Y2457" s="77" t="s">
        <v>6003</v>
      </c>
      <c r="Z2457" s="77" t="s">
        <v>1058</v>
      </c>
      <c r="AA2457" s="77"/>
      <c r="AB2457" s="77"/>
      <c r="AC2457" s="82" t="s">
        <v>7706</v>
      </c>
      <c r="AD2457" s="77" t="s">
        <v>7745</v>
      </c>
      <c r="AE2457" s="80" t="str">
        <f>HYPERLINK("https://twitter.com/lucaspereira_ef/status/1647760318049681409")</f>
        <v>https://twitter.com/lucaspereira_ef/status/1647760318049681409</v>
      </c>
      <c r="AF2457" s="79">
        <v>45033.0237037037</v>
      </c>
      <c r="AG2457" s="85">
        <v>45033</v>
      </c>
      <c r="AH2457" s="82" t="s">
        <v>9950</v>
      </c>
      <c r="AI2457" s="77" t="b">
        <v>0</v>
      </c>
      <c r="AJ2457" s="77"/>
      <c r="AK2457" s="77"/>
      <c r="AL2457" s="77"/>
      <c r="AM2457" s="77"/>
      <c r="AN2457" s="77"/>
      <c r="AO2457" s="77"/>
      <c r="AP2457" s="77"/>
      <c r="AQ2457" s="77"/>
      <c r="AR2457" s="77"/>
      <c r="AS2457" s="77"/>
      <c r="AT2457" s="77"/>
      <c r="AU2457" s="77"/>
      <c r="AV2457" s="80" t="str">
        <f>HYPERLINK("https://pbs.twimg.com/profile_images/1628185029837832193/Qb7BI_Jj_normal.jpg")</f>
        <v>https://pbs.twimg.com/profile_images/1628185029837832193/Qb7BI_Jj_normal.jpg</v>
      </c>
      <c r="AW2457" s="82" t="s">
        <v>14613</v>
      </c>
      <c r="AX2457" s="82" t="s">
        <v>14613</v>
      </c>
      <c r="AY2457" s="77"/>
      <c r="AZ2457" s="82" t="s">
        <v>15804</v>
      </c>
      <c r="BA2457" s="82" t="s">
        <v>15804</v>
      </c>
      <c r="BB2457" s="82" t="s">
        <v>15804</v>
      </c>
      <c r="BC2457" s="82" t="s">
        <v>14613</v>
      </c>
      <c r="BD2457" s="82" t="s">
        <v>16557</v>
      </c>
      <c r="BE2457" s="77"/>
      <c r="BF2457" s="77"/>
      <c r="BG2457" s="77"/>
      <c r="BH2457" s="77"/>
      <c r="BI2457" s="77"/>
    </row>
    <row r="2458" spans="1:61" x14ac:dyDescent="0.25">
      <c r="A2458" s="62" t="s">
        <v>958</v>
      </c>
      <c r="B2458" s="62" t="s">
        <v>958</v>
      </c>
      <c r="C2458" s="63"/>
      <c r="D2458" s="64"/>
      <c r="E2458" s="65"/>
      <c r="F2458" s="66"/>
      <c r="G2458" s="63"/>
      <c r="H2458" s="67"/>
      <c r="I2458" s="68"/>
      <c r="J2458" s="68"/>
      <c r="K2458" s="32"/>
      <c r="L2458" s="75">
        <v>2458</v>
      </c>
      <c r="M2458" s="75"/>
      <c r="N2458" s="70"/>
      <c r="O2458" s="77" t="s">
        <v>179</v>
      </c>
      <c r="P2458" s="79">
        <v>45004.9846875</v>
      </c>
      <c r="Q2458" s="77" t="s">
        <v>3500</v>
      </c>
      <c r="R2458" s="77">
        <v>0</v>
      </c>
      <c r="S2458" s="77">
        <v>2</v>
      </c>
      <c r="T2458" s="77">
        <v>0</v>
      </c>
      <c r="U2458" s="77">
        <v>0</v>
      </c>
      <c r="V2458" s="77">
        <v>91</v>
      </c>
      <c r="W2458" s="82" t="s">
        <v>5646</v>
      </c>
      <c r="X2458" s="80" t="str">
        <f>HYPERLINK("https://youtu.be/wHE-2Tkree4")</f>
        <v>https://youtu.be/wHE-2Tkree4</v>
      </c>
      <c r="Y2458" s="77" t="s">
        <v>6003</v>
      </c>
      <c r="Z2458" s="77"/>
      <c r="AA2458" s="77"/>
      <c r="AB2458" s="77"/>
      <c r="AC2458" s="82" t="s">
        <v>7706</v>
      </c>
      <c r="AD2458" s="77" t="s">
        <v>7745</v>
      </c>
      <c r="AE2458" s="80" t="str">
        <f>HYPERLINK("https://twitter.com/lucaspereira_ef/status/1637599320512909312")</f>
        <v>https://twitter.com/lucaspereira_ef/status/1637599320512909312</v>
      </c>
      <c r="AF2458" s="79">
        <v>45004.9846875</v>
      </c>
      <c r="AG2458" s="85">
        <v>45004</v>
      </c>
      <c r="AH2458" s="82" t="s">
        <v>9951</v>
      </c>
      <c r="AI2458" s="77" t="b">
        <v>0</v>
      </c>
      <c r="AJ2458" s="77"/>
      <c r="AK2458" s="77"/>
      <c r="AL2458" s="77"/>
      <c r="AM2458" s="77"/>
      <c r="AN2458" s="77"/>
      <c r="AO2458" s="77"/>
      <c r="AP2458" s="77"/>
      <c r="AQ2458" s="77"/>
      <c r="AR2458" s="77"/>
      <c r="AS2458" s="77"/>
      <c r="AT2458" s="77"/>
      <c r="AU2458" s="77"/>
      <c r="AV2458" s="80" t="str">
        <f>HYPERLINK("https://pbs.twimg.com/profile_images/1628185029837832193/Qb7BI_Jj_normal.jpg")</f>
        <v>https://pbs.twimg.com/profile_images/1628185029837832193/Qb7BI_Jj_normal.jpg</v>
      </c>
      <c r="AW2458" s="82" t="s">
        <v>14614</v>
      </c>
      <c r="AX2458" s="82" t="s">
        <v>14614</v>
      </c>
      <c r="AY2458" s="77"/>
      <c r="AZ2458" s="82" t="s">
        <v>15804</v>
      </c>
      <c r="BA2458" s="82" t="s">
        <v>15804</v>
      </c>
      <c r="BB2458" s="82" t="s">
        <v>15804</v>
      </c>
      <c r="BC2458" s="82" t="s">
        <v>14614</v>
      </c>
      <c r="BD2458" s="82" t="s">
        <v>16557</v>
      </c>
      <c r="BE2458" s="77"/>
      <c r="BF2458" s="77"/>
      <c r="BG2458" s="77"/>
      <c r="BH2458" s="77"/>
      <c r="BI2458" s="77"/>
    </row>
    <row r="2459" spans="1:61" x14ac:dyDescent="0.25">
      <c r="A2459" s="62" t="s">
        <v>958</v>
      </c>
      <c r="B2459" s="62" t="s">
        <v>958</v>
      </c>
      <c r="C2459" s="63"/>
      <c r="D2459" s="64"/>
      <c r="E2459" s="65"/>
      <c r="F2459" s="66"/>
      <c r="G2459" s="63"/>
      <c r="H2459" s="67"/>
      <c r="I2459" s="68"/>
      <c r="J2459" s="68"/>
      <c r="K2459" s="32"/>
      <c r="L2459" s="75">
        <v>2459</v>
      </c>
      <c r="M2459" s="75"/>
      <c r="N2459" s="70"/>
      <c r="O2459" s="77" t="s">
        <v>179</v>
      </c>
      <c r="P2459" s="79">
        <v>45002.675659722219</v>
      </c>
      <c r="Q2459" s="77" t="s">
        <v>3501</v>
      </c>
      <c r="R2459" s="77">
        <v>0</v>
      </c>
      <c r="S2459" s="77">
        <v>1</v>
      </c>
      <c r="T2459" s="77">
        <v>0</v>
      </c>
      <c r="U2459" s="77">
        <v>0</v>
      </c>
      <c r="V2459" s="77">
        <v>34</v>
      </c>
      <c r="W2459" s="82" t="s">
        <v>5647</v>
      </c>
      <c r="X2459" s="80" t="str">
        <f>HYPERLINK("https://www.instagram.com/p/Cp5XIDbhAvD/?igshid=MDJmNzVkMjY=")</f>
        <v>https://www.instagram.com/p/Cp5XIDbhAvD/?igshid=MDJmNzVkMjY=</v>
      </c>
      <c r="Y2459" s="77" t="s">
        <v>6000</v>
      </c>
      <c r="Z2459" s="77"/>
      <c r="AA2459" s="77"/>
      <c r="AB2459" s="77"/>
      <c r="AC2459" s="82" t="s">
        <v>7707</v>
      </c>
      <c r="AD2459" s="77" t="s">
        <v>7745</v>
      </c>
      <c r="AE2459" s="80" t="str">
        <f>HYPERLINK("https://twitter.com/lucaspereira_ef/status/1636762555522912257")</f>
        <v>https://twitter.com/lucaspereira_ef/status/1636762555522912257</v>
      </c>
      <c r="AF2459" s="79">
        <v>45002.675659722219</v>
      </c>
      <c r="AG2459" s="85">
        <v>45002</v>
      </c>
      <c r="AH2459" s="82" t="s">
        <v>9952</v>
      </c>
      <c r="AI2459" s="77" t="b">
        <v>0</v>
      </c>
      <c r="AJ2459" s="77"/>
      <c r="AK2459" s="77"/>
      <c r="AL2459" s="77"/>
      <c r="AM2459" s="77"/>
      <c r="AN2459" s="77"/>
      <c r="AO2459" s="77"/>
      <c r="AP2459" s="77"/>
      <c r="AQ2459" s="77"/>
      <c r="AR2459" s="77"/>
      <c r="AS2459" s="77"/>
      <c r="AT2459" s="77"/>
      <c r="AU2459" s="77"/>
      <c r="AV2459" s="80" t="str">
        <f>HYPERLINK("https://pbs.twimg.com/profile_images/1628185029837832193/Qb7BI_Jj_normal.jpg")</f>
        <v>https://pbs.twimg.com/profile_images/1628185029837832193/Qb7BI_Jj_normal.jpg</v>
      </c>
      <c r="AW2459" s="82" t="s">
        <v>14615</v>
      </c>
      <c r="AX2459" s="82" t="s">
        <v>14615</v>
      </c>
      <c r="AY2459" s="77"/>
      <c r="AZ2459" s="82" t="s">
        <v>15804</v>
      </c>
      <c r="BA2459" s="82" t="s">
        <v>15804</v>
      </c>
      <c r="BB2459" s="82" t="s">
        <v>15804</v>
      </c>
      <c r="BC2459" s="82" t="s">
        <v>14615</v>
      </c>
      <c r="BD2459" s="82" t="s">
        <v>16557</v>
      </c>
      <c r="BE2459" s="77"/>
      <c r="BF2459" s="77"/>
      <c r="BG2459" s="77"/>
      <c r="BH2459" s="77"/>
      <c r="BI2459" s="77"/>
    </row>
    <row r="2460" spans="1:61" x14ac:dyDescent="0.25">
      <c r="A2460" s="62" t="s">
        <v>958</v>
      </c>
      <c r="B2460" s="62" t="s">
        <v>1058</v>
      </c>
      <c r="C2460" s="63"/>
      <c r="D2460" s="64"/>
      <c r="E2460" s="65"/>
      <c r="F2460" s="66"/>
      <c r="G2460" s="63"/>
      <c r="H2460" s="67"/>
      <c r="I2460" s="68"/>
      <c r="J2460" s="68"/>
      <c r="K2460" s="32"/>
      <c r="L2460" s="75">
        <v>2460</v>
      </c>
      <c r="M2460" s="75"/>
      <c r="N2460" s="70"/>
      <c r="O2460" s="77" t="s">
        <v>1133</v>
      </c>
      <c r="P2460" s="79">
        <v>45054.001145833332</v>
      </c>
      <c r="Q2460" s="77" t="s">
        <v>3502</v>
      </c>
      <c r="R2460" s="77">
        <v>0</v>
      </c>
      <c r="S2460" s="77">
        <v>2</v>
      </c>
      <c r="T2460" s="77">
        <v>0</v>
      </c>
      <c r="U2460" s="77">
        <v>0</v>
      </c>
      <c r="V2460" s="77">
        <v>61</v>
      </c>
      <c r="W2460" s="82" t="s">
        <v>5648</v>
      </c>
      <c r="X2460" s="80" t="str">
        <f>HYPERLINK("https://youtu.be/j9nM0pUAmK0")</f>
        <v>https://youtu.be/j9nM0pUAmK0</v>
      </c>
      <c r="Y2460" s="77" t="s">
        <v>6003</v>
      </c>
      <c r="Z2460" s="77" t="s">
        <v>1058</v>
      </c>
      <c r="AA2460" s="77"/>
      <c r="AB2460" s="77"/>
      <c r="AC2460" s="82" t="s">
        <v>7706</v>
      </c>
      <c r="AD2460" s="77" t="s">
        <v>7745</v>
      </c>
      <c r="AE2460" s="80" t="str">
        <f>HYPERLINK("https://twitter.com/lucaspereira_ef/status/1655362287941611521")</f>
        <v>https://twitter.com/lucaspereira_ef/status/1655362287941611521</v>
      </c>
      <c r="AF2460" s="79">
        <v>45054.001145833332</v>
      </c>
      <c r="AG2460" s="85">
        <v>45054</v>
      </c>
      <c r="AH2460" s="82" t="s">
        <v>9953</v>
      </c>
      <c r="AI2460" s="77" t="b">
        <v>0</v>
      </c>
      <c r="AJ2460" s="77"/>
      <c r="AK2460" s="77"/>
      <c r="AL2460" s="77"/>
      <c r="AM2460" s="77"/>
      <c r="AN2460" s="77"/>
      <c r="AO2460" s="77"/>
      <c r="AP2460" s="77"/>
      <c r="AQ2460" s="77"/>
      <c r="AR2460" s="77"/>
      <c r="AS2460" s="77"/>
      <c r="AT2460" s="77"/>
      <c r="AU2460" s="77"/>
      <c r="AV2460" s="80" t="str">
        <f>HYPERLINK("https://pbs.twimg.com/profile_images/1628185029837832193/Qb7BI_Jj_normal.jpg")</f>
        <v>https://pbs.twimg.com/profile_images/1628185029837832193/Qb7BI_Jj_normal.jpg</v>
      </c>
      <c r="AW2460" s="82" t="s">
        <v>14616</v>
      </c>
      <c r="AX2460" s="82" t="s">
        <v>14616</v>
      </c>
      <c r="AY2460" s="77"/>
      <c r="AZ2460" s="82" t="s">
        <v>15804</v>
      </c>
      <c r="BA2460" s="82" t="s">
        <v>15804</v>
      </c>
      <c r="BB2460" s="82" t="s">
        <v>15804</v>
      </c>
      <c r="BC2460" s="82" t="s">
        <v>14616</v>
      </c>
      <c r="BD2460" s="82" t="s">
        <v>16557</v>
      </c>
      <c r="BE2460" s="77"/>
      <c r="BF2460" s="77"/>
      <c r="BG2460" s="77"/>
      <c r="BH2460" s="77"/>
      <c r="BI2460" s="77"/>
    </row>
    <row r="2461" spans="1:61" x14ac:dyDescent="0.25">
      <c r="A2461" s="62" t="s">
        <v>958</v>
      </c>
      <c r="B2461" s="62" t="s">
        <v>958</v>
      </c>
      <c r="C2461" s="63"/>
      <c r="D2461" s="64"/>
      <c r="E2461" s="65"/>
      <c r="F2461" s="66"/>
      <c r="G2461" s="63"/>
      <c r="H2461" s="67"/>
      <c r="I2461" s="68"/>
      <c r="J2461" s="68"/>
      <c r="K2461" s="32"/>
      <c r="L2461" s="75">
        <v>2461</v>
      </c>
      <c r="M2461" s="75"/>
      <c r="N2461" s="70"/>
      <c r="O2461" s="77" t="s">
        <v>179</v>
      </c>
      <c r="P2461" s="79">
        <v>45007.666655092595</v>
      </c>
      <c r="Q2461" s="77" t="s">
        <v>3503</v>
      </c>
      <c r="R2461" s="77">
        <v>0</v>
      </c>
      <c r="S2461" s="77">
        <v>1</v>
      </c>
      <c r="T2461" s="77">
        <v>0</v>
      </c>
      <c r="U2461" s="77">
        <v>0</v>
      </c>
      <c r="V2461" s="77">
        <v>37</v>
      </c>
      <c r="W2461" s="82" t="s">
        <v>5649</v>
      </c>
      <c r="X2461" s="77"/>
      <c r="Y2461" s="77"/>
      <c r="Z2461" s="77"/>
      <c r="AA2461" s="77"/>
      <c r="AB2461" s="77"/>
      <c r="AC2461" s="82" t="s">
        <v>7707</v>
      </c>
      <c r="AD2461" s="77" t="s">
        <v>7745</v>
      </c>
      <c r="AE2461" s="80" t="str">
        <f>HYPERLINK("https://twitter.com/lucaspereira_ef/status/1638571231036289025")</f>
        <v>https://twitter.com/lucaspereira_ef/status/1638571231036289025</v>
      </c>
      <c r="AF2461" s="79">
        <v>45007.666655092595</v>
      </c>
      <c r="AG2461" s="85">
        <v>45007</v>
      </c>
      <c r="AH2461" s="82" t="s">
        <v>9954</v>
      </c>
      <c r="AI2461" s="77"/>
      <c r="AJ2461" s="77"/>
      <c r="AK2461" s="77"/>
      <c r="AL2461" s="77"/>
      <c r="AM2461" s="77"/>
      <c r="AN2461" s="77"/>
      <c r="AO2461" s="77"/>
      <c r="AP2461" s="77"/>
      <c r="AQ2461" s="77"/>
      <c r="AR2461" s="77"/>
      <c r="AS2461" s="77"/>
      <c r="AT2461" s="77"/>
      <c r="AU2461" s="77"/>
      <c r="AV2461" s="80" t="str">
        <f>HYPERLINK("https://pbs.twimg.com/profile_images/1628185029837832193/Qb7BI_Jj_normal.jpg")</f>
        <v>https://pbs.twimg.com/profile_images/1628185029837832193/Qb7BI_Jj_normal.jpg</v>
      </c>
      <c r="AW2461" s="82" t="s">
        <v>14617</v>
      </c>
      <c r="AX2461" s="82" t="s">
        <v>14617</v>
      </c>
      <c r="AY2461" s="77"/>
      <c r="AZ2461" s="82" t="s">
        <v>15804</v>
      </c>
      <c r="BA2461" s="82" t="s">
        <v>15804</v>
      </c>
      <c r="BB2461" s="82" t="s">
        <v>15804</v>
      </c>
      <c r="BC2461" s="82" t="s">
        <v>14617</v>
      </c>
      <c r="BD2461" s="82" t="s">
        <v>16557</v>
      </c>
      <c r="BE2461" s="77"/>
      <c r="BF2461" s="77"/>
      <c r="BG2461" s="77"/>
      <c r="BH2461" s="77"/>
      <c r="BI2461" s="77"/>
    </row>
    <row r="2462" spans="1:61" x14ac:dyDescent="0.25">
      <c r="A2462" s="62" t="s">
        <v>958</v>
      </c>
      <c r="B2462" s="62" t="s">
        <v>1058</v>
      </c>
      <c r="C2462" s="63"/>
      <c r="D2462" s="64"/>
      <c r="E2462" s="65"/>
      <c r="F2462" s="66"/>
      <c r="G2462" s="63"/>
      <c r="H2462" s="67"/>
      <c r="I2462" s="68"/>
      <c r="J2462" s="68"/>
      <c r="K2462" s="32"/>
      <c r="L2462" s="75">
        <v>2462</v>
      </c>
      <c r="M2462" s="75"/>
      <c r="N2462" s="70"/>
      <c r="O2462" s="77" t="s">
        <v>1133</v>
      </c>
      <c r="P2462" s="79">
        <v>45086.007291666669</v>
      </c>
      <c r="Q2462" s="77" t="s">
        <v>3504</v>
      </c>
      <c r="R2462" s="77">
        <v>0</v>
      </c>
      <c r="S2462" s="77">
        <v>1</v>
      </c>
      <c r="T2462" s="77">
        <v>0</v>
      </c>
      <c r="U2462" s="77">
        <v>0</v>
      </c>
      <c r="V2462" s="77">
        <v>25</v>
      </c>
      <c r="W2462" s="82" t="s">
        <v>5650</v>
      </c>
      <c r="X2462" s="80" t="str">
        <f>HYPERLINK("https://youtu.be/8UQkA_uSFmA")</f>
        <v>https://youtu.be/8UQkA_uSFmA</v>
      </c>
      <c r="Y2462" s="77" t="s">
        <v>6003</v>
      </c>
      <c r="Z2462" s="77" t="s">
        <v>1058</v>
      </c>
      <c r="AA2462" s="77"/>
      <c r="AB2462" s="77"/>
      <c r="AC2462" s="82" t="s">
        <v>7706</v>
      </c>
      <c r="AD2462" s="77" t="s">
        <v>7745</v>
      </c>
      <c r="AE2462" s="80" t="str">
        <f>HYPERLINK("https://twitter.com/lucaspereira_ef/status/1666960927445381120")</f>
        <v>https://twitter.com/lucaspereira_ef/status/1666960927445381120</v>
      </c>
      <c r="AF2462" s="79">
        <v>45086.007291666669</v>
      </c>
      <c r="AG2462" s="85">
        <v>45086</v>
      </c>
      <c r="AH2462" s="82" t="s">
        <v>9955</v>
      </c>
      <c r="AI2462" s="77" t="b">
        <v>0</v>
      </c>
      <c r="AJ2462" s="77"/>
      <c r="AK2462" s="77"/>
      <c r="AL2462" s="77"/>
      <c r="AM2462" s="77"/>
      <c r="AN2462" s="77"/>
      <c r="AO2462" s="77"/>
      <c r="AP2462" s="77"/>
      <c r="AQ2462" s="77"/>
      <c r="AR2462" s="77"/>
      <c r="AS2462" s="77"/>
      <c r="AT2462" s="77"/>
      <c r="AU2462" s="77"/>
      <c r="AV2462" s="80" t="str">
        <f>HYPERLINK("https://pbs.twimg.com/profile_images/1628185029837832193/Qb7BI_Jj_normal.jpg")</f>
        <v>https://pbs.twimg.com/profile_images/1628185029837832193/Qb7BI_Jj_normal.jpg</v>
      </c>
      <c r="AW2462" s="82" t="s">
        <v>14618</v>
      </c>
      <c r="AX2462" s="82" t="s">
        <v>14618</v>
      </c>
      <c r="AY2462" s="77"/>
      <c r="AZ2462" s="82" t="s">
        <v>15804</v>
      </c>
      <c r="BA2462" s="82" t="s">
        <v>15804</v>
      </c>
      <c r="BB2462" s="82" t="s">
        <v>15804</v>
      </c>
      <c r="BC2462" s="82" t="s">
        <v>14618</v>
      </c>
      <c r="BD2462" s="82" t="s">
        <v>16557</v>
      </c>
      <c r="BE2462" s="77"/>
      <c r="BF2462" s="77"/>
      <c r="BG2462" s="77"/>
      <c r="BH2462" s="77"/>
      <c r="BI2462" s="77"/>
    </row>
    <row r="2463" spans="1:61" x14ac:dyDescent="0.25">
      <c r="A2463" s="62" t="s">
        <v>958</v>
      </c>
      <c r="B2463" s="62" t="s">
        <v>958</v>
      </c>
      <c r="C2463" s="63"/>
      <c r="D2463" s="64"/>
      <c r="E2463" s="65"/>
      <c r="F2463" s="66"/>
      <c r="G2463" s="63"/>
      <c r="H2463" s="67"/>
      <c r="I2463" s="68"/>
      <c r="J2463" s="68"/>
      <c r="K2463" s="32"/>
      <c r="L2463" s="75">
        <v>2463</v>
      </c>
      <c r="M2463" s="75"/>
      <c r="N2463" s="70"/>
      <c r="O2463" s="77" t="s">
        <v>179</v>
      </c>
      <c r="P2463" s="79">
        <v>45013.691550925927</v>
      </c>
      <c r="Q2463" s="77" t="s">
        <v>3505</v>
      </c>
      <c r="R2463" s="77">
        <v>0</v>
      </c>
      <c r="S2463" s="77">
        <v>0</v>
      </c>
      <c r="T2463" s="77">
        <v>0</v>
      </c>
      <c r="U2463" s="77">
        <v>0</v>
      </c>
      <c r="V2463" s="77">
        <v>11</v>
      </c>
      <c r="W2463" s="82" t="s">
        <v>5651</v>
      </c>
      <c r="X2463" s="80" t="str">
        <f>HYPERLINK("https://www.instagram.com/p/CqVuhYLh5t0/?igshid=MDJmNzVkMjY=")</f>
        <v>https://www.instagram.com/p/CqVuhYLh5t0/?igshid=MDJmNzVkMjY=</v>
      </c>
      <c r="Y2463" s="77" t="s">
        <v>6000</v>
      </c>
      <c r="Z2463" s="77"/>
      <c r="AA2463" s="77"/>
      <c r="AB2463" s="77"/>
      <c r="AC2463" s="82" t="s">
        <v>7707</v>
      </c>
      <c r="AD2463" s="77" t="s">
        <v>7745</v>
      </c>
      <c r="AE2463" s="80" t="str">
        <f>HYPERLINK("https://twitter.com/lucaspereira_ef/status/1640754581096341505")</f>
        <v>https://twitter.com/lucaspereira_ef/status/1640754581096341505</v>
      </c>
      <c r="AF2463" s="79">
        <v>45013.691550925927</v>
      </c>
      <c r="AG2463" s="85">
        <v>45013</v>
      </c>
      <c r="AH2463" s="82" t="s">
        <v>9956</v>
      </c>
      <c r="AI2463" s="77" t="b">
        <v>0</v>
      </c>
      <c r="AJ2463" s="77"/>
      <c r="AK2463" s="77"/>
      <c r="AL2463" s="77"/>
      <c r="AM2463" s="77"/>
      <c r="AN2463" s="77"/>
      <c r="AO2463" s="77"/>
      <c r="AP2463" s="77"/>
      <c r="AQ2463" s="77"/>
      <c r="AR2463" s="77"/>
      <c r="AS2463" s="77"/>
      <c r="AT2463" s="77"/>
      <c r="AU2463" s="77"/>
      <c r="AV2463" s="80" t="str">
        <f>HYPERLINK("https://pbs.twimg.com/profile_images/1628185029837832193/Qb7BI_Jj_normal.jpg")</f>
        <v>https://pbs.twimg.com/profile_images/1628185029837832193/Qb7BI_Jj_normal.jpg</v>
      </c>
      <c r="AW2463" s="82" t="s">
        <v>14619</v>
      </c>
      <c r="AX2463" s="82" t="s">
        <v>14619</v>
      </c>
      <c r="AY2463" s="77"/>
      <c r="AZ2463" s="82" t="s">
        <v>15804</v>
      </c>
      <c r="BA2463" s="82" t="s">
        <v>15804</v>
      </c>
      <c r="BB2463" s="82" t="s">
        <v>15804</v>
      </c>
      <c r="BC2463" s="82" t="s">
        <v>14619</v>
      </c>
      <c r="BD2463" s="82" t="s">
        <v>16557</v>
      </c>
      <c r="BE2463" s="77"/>
      <c r="BF2463" s="77"/>
      <c r="BG2463" s="77"/>
      <c r="BH2463" s="77"/>
      <c r="BI2463" s="77"/>
    </row>
    <row r="2464" spans="1:61" x14ac:dyDescent="0.25">
      <c r="A2464" s="62" t="s">
        <v>958</v>
      </c>
      <c r="B2464" s="62" t="s">
        <v>1058</v>
      </c>
      <c r="C2464" s="63"/>
      <c r="D2464" s="64"/>
      <c r="E2464" s="65"/>
      <c r="F2464" s="66"/>
      <c r="G2464" s="63"/>
      <c r="H2464" s="67"/>
      <c r="I2464" s="68"/>
      <c r="J2464" s="68"/>
      <c r="K2464" s="32"/>
      <c r="L2464" s="75">
        <v>2464</v>
      </c>
      <c r="M2464" s="75"/>
      <c r="N2464" s="70"/>
      <c r="O2464" s="77" t="s">
        <v>1133</v>
      </c>
      <c r="P2464" s="79">
        <v>45008.999027777776</v>
      </c>
      <c r="Q2464" s="77" t="s">
        <v>3506</v>
      </c>
      <c r="R2464" s="77">
        <v>0</v>
      </c>
      <c r="S2464" s="77">
        <v>2</v>
      </c>
      <c r="T2464" s="77">
        <v>0</v>
      </c>
      <c r="U2464" s="77">
        <v>0</v>
      </c>
      <c r="V2464" s="77">
        <v>20</v>
      </c>
      <c r="W2464" s="82" t="s">
        <v>5652</v>
      </c>
      <c r="X2464" s="80" t="str">
        <f>HYPERLINK("https://youtu.be/dXKU_vB9uLQ")</f>
        <v>https://youtu.be/dXKU_vB9uLQ</v>
      </c>
      <c r="Y2464" s="77" t="s">
        <v>6003</v>
      </c>
      <c r="Z2464" s="77" t="s">
        <v>1058</v>
      </c>
      <c r="AA2464" s="77"/>
      <c r="AB2464" s="77"/>
      <c r="AC2464" s="82" t="s">
        <v>7706</v>
      </c>
      <c r="AD2464" s="77" t="s">
        <v>7745</v>
      </c>
      <c r="AE2464" s="80" t="str">
        <f>HYPERLINK("https://twitter.com/lucaspereira_ef/status/1639054069498101764")</f>
        <v>https://twitter.com/lucaspereira_ef/status/1639054069498101764</v>
      </c>
      <c r="AF2464" s="79">
        <v>45008.999027777776</v>
      </c>
      <c r="AG2464" s="85">
        <v>45008</v>
      </c>
      <c r="AH2464" s="82" t="s">
        <v>9921</v>
      </c>
      <c r="AI2464" s="77" t="b">
        <v>0</v>
      </c>
      <c r="AJ2464" s="77"/>
      <c r="AK2464" s="77"/>
      <c r="AL2464" s="77"/>
      <c r="AM2464" s="77"/>
      <c r="AN2464" s="77"/>
      <c r="AO2464" s="77"/>
      <c r="AP2464" s="77"/>
      <c r="AQ2464" s="77"/>
      <c r="AR2464" s="77"/>
      <c r="AS2464" s="77"/>
      <c r="AT2464" s="77"/>
      <c r="AU2464" s="77"/>
      <c r="AV2464" s="80" t="str">
        <f>HYPERLINK("https://pbs.twimg.com/profile_images/1628185029837832193/Qb7BI_Jj_normal.jpg")</f>
        <v>https://pbs.twimg.com/profile_images/1628185029837832193/Qb7BI_Jj_normal.jpg</v>
      </c>
      <c r="AW2464" s="82" t="s">
        <v>14620</v>
      </c>
      <c r="AX2464" s="82" t="s">
        <v>14620</v>
      </c>
      <c r="AY2464" s="77"/>
      <c r="AZ2464" s="82" t="s">
        <v>15804</v>
      </c>
      <c r="BA2464" s="82" t="s">
        <v>15804</v>
      </c>
      <c r="BB2464" s="82" t="s">
        <v>15804</v>
      </c>
      <c r="BC2464" s="82" t="s">
        <v>14620</v>
      </c>
      <c r="BD2464" s="82" t="s">
        <v>16557</v>
      </c>
      <c r="BE2464" s="77"/>
      <c r="BF2464" s="77"/>
      <c r="BG2464" s="77"/>
      <c r="BH2464" s="77"/>
      <c r="BI2464" s="77"/>
    </row>
    <row r="2465" spans="1:61" x14ac:dyDescent="0.25">
      <c r="A2465" s="62" t="s">
        <v>958</v>
      </c>
      <c r="B2465" s="62" t="s">
        <v>958</v>
      </c>
      <c r="C2465" s="63"/>
      <c r="D2465" s="64"/>
      <c r="E2465" s="65"/>
      <c r="F2465" s="66"/>
      <c r="G2465" s="63"/>
      <c r="H2465" s="67"/>
      <c r="I2465" s="68"/>
      <c r="J2465" s="68"/>
      <c r="K2465" s="32"/>
      <c r="L2465" s="75">
        <v>2465</v>
      </c>
      <c r="M2465" s="75"/>
      <c r="N2465" s="70"/>
      <c r="O2465" s="77" t="s">
        <v>179</v>
      </c>
      <c r="P2465" s="79">
        <v>45008.689791666664</v>
      </c>
      <c r="Q2465" s="77" t="s">
        <v>3507</v>
      </c>
      <c r="R2465" s="77">
        <v>0</v>
      </c>
      <c r="S2465" s="77">
        <v>2</v>
      </c>
      <c r="T2465" s="77">
        <v>0</v>
      </c>
      <c r="U2465" s="77">
        <v>0</v>
      </c>
      <c r="V2465" s="77">
        <v>24</v>
      </c>
      <c r="W2465" s="82" t="s">
        <v>5653</v>
      </c>
      <c r="X2465" s="80" t="str">
        <f>HYPERLINK("https://www.instagram.com/p/CqI2OsOhQ9D/?igshid=ODRjNjljZGM=")</f>
        <v>https://www.instagram.com/p/CqI2OsOhQ9D/?igshid=ODRjNjljZGM=</v>
      </c>
      <c r="Y2465" s="77" t="s">
        <v>6000</v>
      </c>
      <c r="Z2465" s="77"/>
      <c r="AA2465" s="77"/>
      <c r="AB2465" s="77"/>
      <c r="AC2465" s="82" t="s">
        <v>7707</v>
      </c>
      <c r="AD2465" s="77" t="s">
        <v>7745</v>
      </c>
      <c r="AE2465" s="80" t="str">
        <f>HYPERLINK("https://twitter.com/lucaspereira_ef/status/1638942005110644748")</f>
        <v>https://twitter.com/lucaspereira_ef/status/1638942005110644748</v>
      </c>
      <c r="AF2465" s="79">
        <v>45008.689791666664</v>
      </c>
      <c r="AG2465" s="85">
        <v>45008</v>
      </c>
      <c r="AH2465" s="82" t="s">
        <v>9957</v>
      </c>
      <c r="AI2465" s="77" t="b">
        <v>0</v>
      </c>
      <c r="AJ2465" s="77"/>
      <c r="AK2465" s="77"/>
      <c r="AL2465" s="77"/>
      <c r="AM2465" s="77"/>
      <c r="AN2465" s="77"/>
      <c r="AO2465" s="77"/>
      <c r="AP2465" s="77"/>
      <c r="AQ2465" s="77"/>
      <c r="AR2465" s="77"/>
      <c r="AS2465" s="77"/>
      <c r="AT2465" s="77"/>
      <c r="AU2465" s="77"/>
      <c r="AV2465" s="80" t="str">
        <f>HYPERLINK("https://pbs.twimg.com/profile_images/1628185029837832193/Qb7BI_Jj_normal.jpg")</f>
        <v>https://pbs.twimg.com/profile_images/1628185029837832193/Qb7BI_Jj_normal.jpg</v>
      </c>
      <c r="AW2465" s="82" t="s">
        <v>14621</v>
      </c>
      <c r="AX2465" s="82" t="s">
        <v>14621</v>
      </c>
      <c r="AY2465" s="77"/>
      <c r="AZ2465" s="82" t="s">
        <v>15804</v>
      </c>
      <c r="BA2465" s="82" t="s">
        <v>15804</v>
      </c>
      <c r="BB2465" s="82" t="s">
        <v>15804</v>
      </c>
      <c r="BC2465" s="82" t="s">
        <v>14621</v>
      </c>
      <c r="BD2465" s="82" t="s">
        <v>16557</v>
      </c>
      <c r="BE2465" s="77"/>
      <c r="BF2465" s="77"/>
      <c r="BG2465" s="77"/>
      <c r="BH2465" s="77"/>
      <c r="BI2465" s="77"/>
    </row>
    <row r="2466" spans="1:61" x14ac:dyDescent="0.25">
      <c r="A2466" s="62" t="s">
        <v>958</v>
      </c>
      <c r="B2466" s="62" t="s">
        <v>1058</v>
      </c>
      <c r="C2466" s="63"/>
      <c r="D2466" s="64"/>
      <c r="E2466" s="65"/>
      <c r="F2466" s="66"/>
      <c r="G2466" s="63"/>
      <c r="H2466" s="67"/>
      <c r="I2466" s="68"/>
      <c r="J2466" s="68"/>
      <c r="K2466" s="32"/>
      <c r="L2466" s="75">
        <v>2466</v>
      </c>
      <c r="M2466" s="75"/>
      <c r="N2466" s="70"/>
      <c r="O2466" s="77" t="s">
        <v>1133</v>
      </c>
      <c r="P2466" s="79">
        <v>45093.042280092595</v>
      </c>
      <c r="Q2466" s="77" t="s">
        <v>3508</v>
      </c>
      <c r="R2466" s="77">
        <v>0</v>
      </c>
      <c r="S2466" s="77">
        <v>1</v>
      </c>
      <c r="T2466" s="77">
        <v>0</v>
      </c>
      <c r="U2466" s="77">
        <v>0</v>
      </c>
      <c r="V2466" s="77">
        <v>49</v>
      </c>
      <c r="W2466" s="82" t="s">
        <v>5654</v>
      </c>
      <c r="X2466" s="80" t="str">
        <f>HYPERLINK("https://youtu.be/DqFMnjfHn2w")</f>
        <v>https://youtu.be/DqFMnjfHn2w</v>
      </c>
      <c r="Y2466" s="77" t="s">
        <v>6003</v>
      </c>
      <c r="Z2466" s="77" t="s">
        <v>1058</v>
      </c>
      <c r="AA2466" s="77"/>
      <c r="AB2466" s="77"/>
      <c r="AC2466" s="82" t="s">
        <v>7706</v>
      </c>
      <c r="AD2466" s="77" t="s">
        <v>7745</v>
      </c>
      <c r="AE2466" s="80" t="str">
        <f>HYPERLINK("https://twitter.com/lucaspereira_ef/status/1669510324058243075")</f>
        <v>https://twitter.com/lucaspereira_ef/status/1669510324058243075</v>
      </c>
      <c r="AF2466" s="79">
        <v>45093.042280092595</v>
      </c>
      <c r="AG2466" s="85">
        <v>45093</v>
      </c>
      <c r="AH2466" s="82" t="s">
        <v>9958</v>
      </c>
      <c r="AI2466" s="77" t="b">
        <v>0</v>
      </c>
      <c r="AJ2466" s="77"/>
      <c r="AK2466" s="77"/>
      <c r="AL2466" s="77"/>
      <c r="AM2466" s="77"/>
      <c r="AN2466" s="77"/>
      <c r="AO2466" s="77"/>
      <c r="AP2466" s="77"/>
      <c r="AQ2466" s="77"/>
      <c r="AR2466" s="77"/>
      <c r="AS2466" s="77"/>
      <c r="AT2466" s="77"/>
      <c r="AU2466" s="77"/>
      <c r="AV2466" s="80" t="str">
        <f>HYPERLINK("https://pbs.twimg.com/profile_images/1628185029837832193/Qb7BI_Jj_normal.jpg")</f>
        <v>https://pbs.twimg.com/profile_images/1628185029837832193/Qb7BI_Jj_normal.jpg</v>
      </c>
      <c r="AW2466" s="82" t="s">
        <v>14622</v>
      </c>
      <c r="AX2466" s="82" t="s">
        <v>14622</v>
      </c>
      <c r="AY2466" s="77"/>
      <c r="AZ2466" s="82" t="s">
        <v>15804</v>
      </c>
      <c r="BA2466" s="82" t="s">
        <v>15804</v>
      </c>
      <c r="BB2466" s="82" t="s">
        <v>15804</v>
      </c>
      <c r="BC2466" s="82" t="s">
        <v>14622</v>
      </c>
      <c r="BD2466" s="82" t="s">
        <v>16557</v>
      </c>
      <c r="BE2466" s="77"/>
      <c r="BF2466" s="77"/>
      <c r="BG2466" s="77"/>
      <c r="BH2466" s="77"/>
      <c r="BI2466" s="77"/>
    </row>
    <row r="2467" spans="1:61" x14ac:dyDescent="0.25">
      <c r="A2467" s="62" t="s">
        <v>958</v>
      </c>
      <c r="B2467" s="62" t="s">
        <v>1058</v>
      </c>
      <c r="C2467" s="63"/>
      <c r="D2467" s="64"/>
      <c r="E2467" s="65"/>
      <c r="F2467" s="66"/>
      <c r="G2467" s="63"/>
      <c r="H2467" s="67"/>
      <c r="I2467" s="68"/>
      <c r="J2467" s="68"/>
      <c r="K2467" s="32"/>
      <c r="L2467" s="75">
        <v>2467</v>
      </c>
      <c r="M2467" s="75"/>
      <c r="N2467" s="70"/>
      <c r="O2467" s="77" t="s">
        <v>1133</v>
      </c>
      <c r="P2467" s="79">
        <v>45044.039282407408</v>
      </c>
      <c r="Q2467" s="77" t="s">
        <v>3509</v>
      </c>
      <c r="R2467" s="77">
        <v>0</v>
      </c>
      <c r="S2467" s="77">
        <v>1</v>
      </c>
      <c r="T2467" s="77">
        <v>0</v>
      </c>
      <c r="U2467" s="77">
        <v>0</v>
      </c>
      <c r="V2467" s="77">
        <v>3</v>
      </c>
      <c r="W2467" s="82" t="s">
        <v>5655</v>
      </c>
      <c r="X2467" s="80" t="str">
        <f>HYPERLINK("https://youtu.be/MRQh43ciGq8")</f>
        <v>https://youtu.be/MRQh43ciGq8</v>
      </c>
      <c r="Y2467" s="77" t="s">
        <v>6003</v>
      </c>
      <c r="Z2467" s="77" t="s">
        <v>1058</v>
      </c>
      <c r="AA2467" s="77"/>
      <c r="AB2467" s="77"/>
      <c r="AC2467" s="82" t="s">
        <v>7706</v>
      </c>
      <c r="AD2467" s="77" t="s">
        <v>7745</v>
      </c>
      <c r="AE2467" s="80" t="str">
        <f>HYPERLINK("https://twitter.com/lucaspereira_ef/status/1651752228603002881")</f>
        <v>https://twitter.com/lucaspereira_ef/status/1651752228603002881</v>
      </c>
      <c r="AF2467" s="79">
        <v>45044.039282407408</v>
      </c>
      <c r="AG2467" s="85">
        <v>45044</v>
      </c>
      <c r="AH2467" s="82" t="s">
        <v>9959</v>
      </c>
      <c r="AI2467" s="77" t="b">
        <v>0</v>
      </c>
      <c r="AJ2467" s="77"/>
      <c r="AK2467" s="77"/>
      <c r="AL2467" s="77"/>
      <c r="AM2467" s="77"/>
      <c r="AN2467" s="77"/>
      <c r="AO2467" s="77"/>
      <c r="AP2467" s="77"/>
      <c r="AQ2467" s="77"/>
      <c r="AR2467" s="77"/>
      <c r="AS2467" s="77"/>
      <c r="AT2467" s="77"/>
      <c r="AU2467" s="77"/>
      <c r="AV2467" s="80" t="str">
        <f>HYPERLINK("https://pbs.twimg.com/profile_images/1628185029837832193/Qb7BI_Jj_normal.jpg")</f>
        <v>https://pbs.twimg.com/profile_images/1628185029837832193/Qb7BI_Jj_normal.jpg</v>
      </c>
      <c r="AW2467" s="82" t="s">
        <v>14623</v>
      </c>
      <c r="AX2467" s="82" t="s">
        <v>14623</v>
      </c>
      <c r="AY2467" s="77"/>
      <c r="AZ2467" s="82" t="s">
        <v>15804</v>
      </c>
      <c r="BA2467" s="82" t="s">
        <v>15804</v>
      </c>
      <c r="BB2467" s="82" t="s">
        <v>15804</v>
      </c>
      <c r="BC2467" s="82" t="s">
        <v>14623</v>
      </c>
      <c r="BD2467" s="82" t="s">
        <v>16557</v>
      </c>
      <c r="BE2467" s="77"/>
      <c r="BF2467" s="77"/>
      <c r="BG2467" s="77"/>
      <c r="BH2467" s="77"/>
      <c r="BI2467" s="77"/>
    </row>
    <row r="2468" spans="1:61" x14ac:dyDescent="0.25">
      <c r="A2468" s="62" t="s">
        <v>958</v>
      </c>
      <c r="B2468" s="62" t="s">
        <v>1058</v>
      </c>
      <c r="C2468" s="63"/>
      <c r="D2468" s="64"/>
      <c r="E2468" s="65"/>
      <c r="F2468" s="66"/>
      <c r="G2468" s="63"/>
      <c r="H2468" s="67"/>
      <c r="I2468" s="68"/>
      <c r="J2468" s="68"/>
      <c r="K2468" s="32"/>
      <c r="L2468" s="75">
        <v>2468</v>
      </c>
      <c r="M2468" s="75"/>
      <c r="N2468" s="70"/>
      <c r="O2468" s="77" t="s">
        <v>1133</v>
      </c>
      <c r="P2468" s="79">
        <v>45030.056574074071</v>
      </c>
      <c r="Q2468" s="77" t="s">
        <v>3510</v>
      </c>
      <c r="R2468" s="77">
        <v>0</v>
      </c>
      <c r="S2468" s="77">
        <v>0</v>
      </c>
      <c r="T2468" s="77">
        <v>0</v>
      </c>
      <c r="U2468" s="77">
        <v>0</v>
      </c>
      <c r="V2468" s="77">
        <v>7</v>
      </c>
      <c r="W2468" s="82" t="s">
        <v>5656</v>
      </c>
      <c r="X2468" s="80" t="str">
        <f>HYPERLINK("https://youtu.be/T9Z4tyEbkZ0")</f>
        <v>https://youtu.be/T9Z4tyEbkZ0</v>
      </c>
      <c r="Y2468" s="77" t="s">
        <v>6003</v>
      </c>
      <c r="Z2468" s="77" t="s">
        <v>1058</v>
      </c>
      <c r="AA2468" s="77"/>
      <c r="AB2468" s="77"/>
      <c r="AC2468" s="82" t="s">
        <v>7706</v>
      </c>
      <c r="AD2468" s="77" t="s">
        <v>7745</v>
      </c>
      <c r="AE2468" s="80" t="str">
        <f>HYPERLINK("https://twitter.com/lucaspereira_ef/status/1646685065038921728")</f>
        <v>https://twitter.com/lucaspereira_ef/status/1646685065038921728</v>
      </c>
      <c r="AF2468" s="79">
        <v>45030.056574074071</v>
      </c>
      <c r="AG2468" s="85">
        <v>45030</v>
      </c>
      <c r="AH2468" s="82" t="s">
        <v>9960</v>
      </c>
      <c r="AI2468" s="77" t="b">
        <v>0</v>
      </c>
      <c r="AJ2468" s="77"/>
      <c r="AK2468" s="77"/>
      <c r="AL2468" s="77"/>
      <c r="AM2468" s="77"/>
      <c r="AN2468" s="77"/>
      <c r="AO2468" s="77"/>
      <c r="AP2468" s="77"/>
      <c r="AQ2468" s="77"/>
      <c r="AR2468" s="77"/>
      <c r="AS2468" s="77"/>
      <c r="AT2468" s="77"/>
      <c r="AU2468" s="77"/>
      <c r="AV2468" s="80" t="str">
        <f>HYPERLINK("https://pbs.twimg.com/profile_images/1628185029837832193/Qb7BI_Jj_normal.jpg")</f>
        <v>https://pbs.twimg.com/profile_images/1628185029837832193/Qb7BI_Jj_normal.jpg</v>
      </c>
      <c r="AW2468" s="82" t="s">
        <v>14624</v>
      </c>
      <c r="AX2468" s="82" t="s">
        <v>14624</v>
      </c>
      <c r="AY2468" s="77"/>
      <c r="AZ2468" s="82" t="s">
        <v>15804</v>
      </c>
      <c r="BA2468" s="82" t="s">
        <v>15804</v>
      </c>
      <c r="BB2468" s="82" t="s">
        <v>15804</v>
      </c>
      <c r="BC2468" s="82" t="s">
        <v>14624</v>
      </c>
      <c r="BD2468" s="82" t="s">
        <v>16557</v>
      </c>
      <c r="BE2468" s="77"/>
      <c r="BF2468" s="77"/>
      <c r="BG2468" s="77"/>
      <c r="BH2468" s="77"/>
      <c r="BI2468" s="77"/>
    </row>
    <row r="2469" spans="1:61" x14ac:dyDescent="0.25">
      <c r="A2469" s="62" t="s">
        <v>958</v>
      </c>
      <c r="B2469" s="62" t="s">
        <v>1058</v>
      </c>
      <c r="C2469" s="63"/>
      <c r="D2469" s="64"/>
      <c r="E2469" s="65"/>
      <c r="F2469" s="66"/>
      <c r="G2469" s="63"/>
      <c r="H2469" s="67"/>
      <c r="I2469" s="68"/>
      <c r="J2469" s="68"/>
      <c r="K2469" s="32"/>
      <c r="L2469" s="75">
        <v>2469</v>
      </c>
      <c r="M2469" s="75"/>
      <c r="N2469" s="70"/>
      <c r="O2469" s="77" t="s">
        <v>1133</v>
      </c>
      <c r="P2469" s="79">
        <v>44998.041608796295</v>
      </c>
      <c r="Q2469" s="77" t="s">
        <v>3511</v>
      </c>
      <c r="R2469" s="77">
        <v>0</v>
      </c>
      <c r="S2469" s="77">
        <v>1</v>
      </c>
      <c r="T2469" s="77">
        <v>0</v>
      </c>
      <c r="U2469" s="77">
        <v>0</v>
      </c>
      <c r="V2469" s="77">
        <v>38</v>
      </c>
      <c r="W2469" s="82" t="s">
        <v>5657</v>
      </c>
      <c r="X2469" s="80" t="str">
        <f>HYPERLINK("https://youtu.be/HLctFaXu_V4")</f>
        <v>https://youtu.be/HLctFaXu_V4</v>
      </c>
      <c r="Y2469" s="77" t="s">
        <v>6003</v>
      </c>
      <c r="Z2469" s="77" t="s">
        <v>1058</v>
      </c>
      <c r="AA2469" s="77"/>
      <c r="AB2469" s="77"/>
      <c r="AC2469" s="82" t="s">
        <v>7706</v>
      </c>
      <c r="AD2469" s="77" t="s">
        <v>7745</v>
      </c>
      <c r="AE2469" s="80" t="str">
        <f>HYPERLINK("https://twitter.com/lucaspereira_ef/status/1635083233741385728")</f>
        <v>https://twitter.com/lucaspereira_ef/status/1635083233741385728</v>
      </c>
      <c r="AF2469" s="79">
        <v>44998.041608796295</v>
      </c>
      <c r="AG2469" s="85">
        <v>44998</v>
      </c>
      <c r="AH2469" s="82" t="s">
        <v>9961</v>
      </c>
      <c r="AI2469" s="77" t="b">
        <v>0</v>
      </c>
      <c r="AJ2469" s="77"/>
      <c r="AK2469" s="77"/>
      <c r="AL2469" s="77"/>
      <c r="AM2469" s="77"/>
      <c r="AN2469" s="77"/>
      <c r="AO2469" s="77"/>
      <c r="AP2469" s="77"/>
      <c r="AQ2469" s="77"/>
      <c r="AR2469" s="77"/>
      <c r="AS2469" s="77"/>
      <c r="AT2469" s="77"/>
      <c r="AU2469" s="77"/>
      <c r="AV2469" s="80" t="str">
        <f>HYPERLINK("https://pbs.twimg.com/profile_images/1628185029837832193/Qb7BI_Jj_normal.jpg")</f>
        <v>https://pbs.twimg.com/profile_images/1628185029837832193/Qb7BI_Jj_normal.jpg</v>
      </c>
      <c r="AW2469" s="82" t="s">
        <v>14625</v>
      </c>
      <c r="AX2469" s="82" t="s">
        <v>14625</v>
      </c>
      <c r="AY2469" s="77"/>
      <c r="AZ2469" s="82" t="s">
        <v>15804</v>
      </c>
      <c r="BA2469" s="82" t="s">
        <v>15804</v>
      </c>
      <c r="BB2469" s="82" t="s">
        <v>15804</v>
      </c>
      <c r="BC2469" s="82" t="s">
        <v>14625</v>
      </c>
      <c r="BD2469" s="82" t="s">
        <v>16557</v>
      </c>
      <c r="BE2469" s="77"/>
      <c r="BF2469" s="77"/>
      <c r="BG2469" s="77"/>
      <c r="BH2469" s="77"/>
      <c r="BI2469" s="77"/>
    </row>
    <row r="2470" spans="1:61" x14ac:dyDescent="0.25">
      <c r="A2470" s="62" t="s">
        <v>958</v>
      </c>
      <c r="B2470" s="62" t="s">
        <v>958</v>
      </c>
      <c r="C2470" s="63"/>
      <c r="D2470" s="64"/>
      <c r="E2470" s="65"/>
      <c r="F2470" s="66"/>
      <c r="G2470" s="63"/>
      <c r="H2470" s="67"/>
      <c r="I2470" s="68"/>
      <c r="J2470" s="68"/>
      <c r="K2470" s="32"/>
      <c r="L2470" s="75">
        <v>2470</v>
      </c>
      <c r="M2470" s="75"/>
      <c r="N2470" s="70"/>
      <c r="O2470" s="77" t="s">
        <v>179</v>
      </c>
      <c r="P2470" s="79">
        <v>45152.010335648149</v>
      </c>
      <c r="Q2470" s="77" t="s">
        <v>3512</v>
      </c>
      <c r="R2470" s="77">
        <v>0</v>
      </c>
      <c r="S2470" s="77">
        <v>1</v>
      </c>
      <c r="T2470" s="77">
        <v>0</v>
      </c>
      <c r="U2470" s="77">
        <v>0</v>
      </c>
      <c r="V2470" s="77">
        <v>17</v>
      </c>
      <c r="W2470" s="82" t="s">
        <v>5658</v>
      </c>
      <c r="X2470" s="80" t="str">
        <f>HYPERLINK("https://youtu.be/oFRc8RROM0c")</f>
        <v>https://youtu.be/oFRc8RROM0c</v>
      </c>
      <c r="Y2470" s="77" t="s">
        <v>6003</v>
      </c>
      <c r="Z2470" s="77"/>
      <c r="AA2470" s="77"/>
      <c r="AB2470" s="77"/>
      <c r="AC2470" s="82" t="s">
        <v>7706</v>
      </c>
      <c r="AD2470" s="77" t="s">
        <v>7745</v>
      </c>
      <c r="AE2470" s="80" t="str">
        <f>HYPERLINK("https://twitter.com/lucaspereira_ef/status/1690879630956253184")</f>
        <v>https://twitter.com/lucaspereira_ef/status/1690879630956253184</v>
      </c>
      <c r="AF2470" s="79">
        <v>45152.010335648149</v>
      </c>
      <c r="AG2470" s="85">
        <v>45152</v>
      </c>
      <c r="AH2470" s="82" t="s">
        <v>9962</v>
      </c>
      <c r="AI2470" s="77" t="b">
        <v>0</v>
      </c>
      <c r="AJ2470" s="77"/>
      <c r="AK2470" s="77"/>
      <c r="AL2470" s="77"/>
      <c r="AM2470" s="77"/>
      <c r="AN2470" s="77"/>
      <c r="AO2470" s="77"/>
      <c r="AP2470" s="77"/>
      <c r="AQ2470" s="77"/>
      <c r="AR2470" s="77"/>
      <c r="AS2470" s="77"/>
      <c r="AT2470" s="77"/>
      <c r="AU2470" s="77"/>
      <c r="AV2470" s="80" t="str">
        <f>HYPERLINK("https://pbs.twimg.com/profile_images/1628185029837832193/Qb7BI_Jj_normal.jpg")</f>
        <v>https://pbs.twimg.com/profile_images/1628185029837832193/Qb7BI_Jj_normal.jpg</v>
      </c>
      <c r="AW2470" s="82" t="s">
        <v>14626</v>
      </c>
      <c r="AX2470" s="82" t="s">
        <v>14626</v>
      </c>
      <c r="AY2470" s="77"/>
      <c r="AZ2470" s="82" t="s">
        <v>15804</v>
      </c>
      <c r="BA2470" s="82" t="s">
        <v>15804</v>
      </c>
      <c r="BB2470" s="82" t="s">
        <v>15804</v>
      </c>
      <c r="BC2470" s="82" t="s">
        <v>14626</v>
      </c>
      <c r="BD2470" s="82" t="s">
        <v>16557</v>
      </c>
      <c r="BE2470" s="77"/>
      <c r="BF2470" s="77"/>
      <c r="BG2470" s="77"/>
      <c r="BH2470" s="77"/>
      <c r="BI2470" s="77"/>
    </row>
    <row r="2471" spans="1:61" x14ac:dyDescent="0.25">
      <c r="A2471" s="62" t="s">
        <v>958</v>
      </c>
      <c r="B2471" s="62" t="s">
        <v>1058</v>
      </c>
      <c r="C2471" s="63"/>
      <c r="D2471" s="64"/>
      <c r="E2471" s="65"/>
      <c r="F2471" s="66"/>
      <c r="G2471" s="63"/>
      <c r="H2471" s="67"/>
      <c r="I2471" s="68"/>
      <c r="J2471" s="68"/>
      <c r="K2471" s="32"/>
      <c r="L2471" s="75">
        <v>2471</v>
      </c>
      <c r="M2471" s="75"/>
      <c r="N2471" s="70"/>
      <c r="O2471" s="77" t="s">
        <v>1133</v>
      </c>
      <c r="P2471" s="79">
        <v>45081.99827546296</v>
      </c>
      <c r="Q2471" s="77" t="s">
        <v>3513</v>
      </c>
      <c r="R2471" s="77">
        <v>0</v>
      </c>
      <c r="S2471" s="77">
        <v>1</v>
      </c>
      <c r="T2471" s="77">
        <v>0</v>
      </c>
      <c r="U2471" s="77">
        <v>0</v>
      </c>
      <c r="V2471" s="77">
        <v>25</v>
      </c>
      <c r="W2471" s="82" t="s">
        <v>5659</v>
      </c>
      <c r="X2471" s="80" t="str">
        <f>HYPERLINK("https://youtu.be/jffXr_iWUiY")</f>
        <v>https://youtu.be/jffXr_iWUiY</v>
      </c>
      <c r="Y2471" s="77" t="s">
        <v>6003</v>
      </c>
      <c r="Z2471" s="77" t="s">
        <v>1058</v>
      </c>
      <c r="AA2471" s="77"/>
      <c r="AB2471" s="77"/>
      <c r="AC2471" s="82" t="s">
        <v>7706</v>
      </c>
      <c r="AD2471" s="77" t="s">
        <v>7745</v>
      </c>
      <c r="AE2471" s="80" t="str">
        <f>HYPERLINK("https://twitter.com/lucaspereira_ef/status/1665508110570594304")</f>
        <v>https://twitter.com/lucaspereira_ef/status/1665508110570594304</v>
      </c>
      <c r="AF2471" s="79">
        <v>45081.99827546296</v>
      </c>
      <c r="AG2471" s="85">
        <v>45081</v>
      </c>
      <c r="AH2471" s="82" t="s">
        <v>9963</v>
      </c>
      <c r="AI2471" s="77" t="b">
        <v>0</v>
      </c>
      <c r="AJ2471" s="77"/>
      <c r="AK2471" s="77"/>
      <c r="AL2471" s="77"/>
      <c r="AM2471" s="77"/>
      <c r="AN2471" s="77"/>
      <c r="AO2471" s="77"/>
      <c r="AP2471" s="77"/>
      <c r="AQ2471" s="77"/>
      <c r="AR2471" s="77"/>
      <c r="AS2471" s="77"/>
      <c r="AT2471" s="77"/>
      <c r="AU2471" s="77"/>
      <c r="AV2471" s="80" t="str">
        <f>HYPERLINK("https://pbs.twimg.com/profile_images/1628185029837832193/Qb7BI_Jj_normal.jpg")</f>
        <v>https://pbs.twimg.com/profile_images/1628185029837832193/Qb7BI_Jj_normal.jpg</v>
      </c>
      <c r="AW2471" s="82" t="s">
        <v>14627</v>
      </c>
      <c r="AX2471" s="82" t="s">
        <v>14627</v>
      </c>
      <c r="AY2471" s="77"/>
      <c r="AZ2471" s="82" t="s">
        <v>15804</v>
      </c>
      <c r="BA2471" s="82" t="s">
        <v>15804</v>
      </c>
      <c r="BB2471" s="82" t="s">
        <v>15804</v>
      </c>
      <c r="BC2471" s="82" t="s">
        <v>14627</v>
      </c>
      <c r="BD2471" s="82" t="s">
        <v>16557</v>
      </c>
      <c r="BE2471" s="77"/>
      <c r="BF2471" s="77"/>
      <c r="BG2471" s="77"/>
      <c r="BH2471" s="77"/>
      <c r="BI2471" s="77"/>
    </row>
    <row r="2472" spans="1:61" x14ac:dyDescent="0.25">
      <c r="A2472" s="62" t="s">
        <v>958</v>
      </c>
      <c r="B2472" s="62" t="s">
        <v>1058</v>
      </c>
      <c r="C2472" s="63"/>
      <c r="D2472" s="64"/>
      <c r="E2472" s="65"/>
      <c r="F2472" s="66"/>
      <c r="G2472" s="63"/>
      <c r="H2472" s="67"/>
      <c r="I2472" s="68"/>
      <c r="J2472" s="68"/>
      <c r="K2472" s="32"/>
      <c r="L2472" s="75">
        <v>2472</v>
      </c>
      <c r="M2472" s="75"/>
      <c r="N2472" s="70"/>
      <c r="O2472" s="77" t="s">
        <v>1133</v>
      </c>
      <c r="P2472" s="79">
        <v>45067.985879629632</v>
      </c>
      <c r="Q2472" s="77" t="s">
        <v>3514</v>
      </c>
      <c r="R2472" s="77">
        <v>0</v>
      </c>
      <c r="S2472" s="77">
        <v>0</v>
      </c>
      <c r="T2472" s="77">
        <v>0</v>
      </c>
      <c r="U2472" s="77">
        <v>0</v>
      </c>
      <c r="V2472" s="77">
        <v>29</v>
      </c>
      <c r="W2472" s="82" t="s">
        <v>5660</v>
      </c>
      <c r="X2472" s="80" t="str">
        <f>HYPERLINK("https://youtu.be/qqpE6GPeJBA")</f>
        <v>https://youtu.be/qqpE6GPeJBA</v>
      </c>
      <c r="Y2472" s="77" t="s">
        <v>6003</v>
      </c>
      <c r="Z2472" s="77" t="s">
        <v>1058</v>
      </c>
      <c r="AA2472" s="77"/>
      <c r="AB2472" s="77"/>
      <c r="AC2472" s="82" t="s">
        <v>7706</v>
      </c>
      <c r="AD2472" s="77" t="s">
        <v>7745</v>
      </c>
      <c r="AE2472" s="80" t="str">
        <f>HYPERLINK("https://twitter.com/lucaspereira_ef/status/1660430185248747520")</f>
        <v>https://twitter.com/lucaspereira_ef/status/1660430185248747520</v>
      </c>
      <c r="AF2472" s="79">
        <v>45067.985879629632</v>
      </c>
      <c r="AG2472" s="85">
        <v>45067</v>
      </c>
      <c r="AH2472" s="82" t="s">
        <v>9964</v>
      </c>
      <c r="AI2472" s="77" t="b">
        <v>0</v>
      </c>
      <c r="AJ2472" s="77"/>
      <c r="AK2472" s="77"/>
      <c r="AL2472" s="77"/>
      <c r="AM2472" s="77"/>
      <c r="AN2472" s="77"/>
      <c r="AO2472" s="77"/>
      <c r="AP2472" s="77"/>
      <c r="AQ2472" s="77"/>
      <c r="AR2472" s="77"/>
      <c r="AS2472" s="77"/>
      <c r="AT2472" s="77"/>
      <c r="AU2472" s="77"/>
      <c r="AV2472" s="80" t="str">
        <f>HYPERLINK("https://pbs.twimg.com/profile_images/1628185029837832193/Qb7BI_Jj_normal.jpg")</f>
        <v>https://pbs.twimg.com/profile_images/1628185029837832193/Qb7BI_Jj_normal.jpg</v>
      </c>
      <c r="AW2472" s="82" t="s">
        <v>14628</v>
      </c>
      <c r="AX2472" s="82" t="s">
        <v>14628</v>
      </c>
      <c r="AY2472" s="77"/>
      <c r="AZ2472" s="82" t="s">
        <v>15804</v>
      </c>
      <c r="BA2472" s="82" t="s">
        <v>15804</v>
      </c>
      <c r="BB2472" s="82" t="s">
        <v>15804</v>
      </c>
      <c r="BC2472" s="82" t="s">
        <v>14628</v>
      </c>
      <c r="BD2472" s="82" t="s">
        <v>16557</v>
      </c>
      <c r="BE2472" s="77"/>
      <c r="BF2472" s="77"/>
      <c r="BG2472" s="77"/>
      <c r="BH2472" s="77"/>
      <c r="BI2472" s="77"/>
    </row>
    <row r="2473" spans="1:61" x14ac:dyDescent="0.25">
      <c r="A2473" s="62" t="s">
        <v>958</v>
      </c>
      <c r="B2473" s="62" t="s">
        <v>1058</v>
      </c>
      <c r="C2473" s="63"/>
      <c r="D2473" s="64"/>
      <c r="E2473" s="65"/>
      <c r="F2473" s="66"/>
      <c r="G2473" s="63"/>
      <c r="H2473" s="67"/>
      <c r="I2473" s="68"/>
      <c r="J2473" s="68"/>
      <c r="K2473" s="32"/>
      <c r="L2473" s="75">
        <v>2473</v>
      </c>
      <c r="M2473" s="75"/>
      <c r="N2473" s="70"/>
      <c r="O2473" s="77" t="s">
        <v>1133</v>
      </c>
      <c r="P2473" s="79">
        <v>45064.98909722222</v>
      </c>
      <c r="Q2473" s="77" t="s">
        <v>3515</v>
      </c>
      <c r="R2473" s="77">
        <v>0</v>
      </c>
      <c r="S2473" s="77">
        <v>0</v>
      </c>
      <c r="T2473" s="77">
        <v>0</v>
      </c>
      <c r="U2473" s="77">
        <v>0</v>
      </c>
      <c r="V2473" s="77">
        <v>9</v>
      </c>
      <c r="W2473" s="82" t="s">
        <v>5661</v>
      </c>
      <c r="X2473" s="80" t="str">
        <f>HYPERLINK("https://youtu.be/9UzQ3NeIh60")</f>
        <v>https://youtu.be/9UzQ3NeIh60</v>
      </c>
      <c r="Y2473" s="77" t="s">
        <v>6003</v>
      </c>
      <c r="Z2473" s="77" t="s">
        <v>1058</v>
      </c>
      <c r="AA2473" s="77"/>
      <c r="AB2473" s="77"/>
      <c r="AC2473" s="82" t="s">
        <v>7706</v>
      </c>
      <c r="AD2473" s="77" t="s">
        <v>7745</v>
      </c>
      <c r="AE2473" s="80" t="str">
        <f>HYPERLINK("https://twitter.com/lucaspereira_ef/status/1659344188654211074")</f>
        <v>https://twitter.com/lucaspereira_ef/status/1659344188654211074</v>
      </c>
      <c r="AF2473" s="79">
        <v>45064.98909722222</v>
      </c>
      <c r="AG2473" s="85">
        <v>45064</v>
      </c>
      <c r="AH2473" s="82" t="s">
        <v>9965</v>
      </c>
      <c r="AI2473" s="77" t="b">
        <v>0</v>
      </c>
      <c r="AJ2473" s="77"/>
      <c r="AK2473" s="77"/>
      <c r="AL2473" s="77"/>
      <c r="AM2473" s="77"/>
      <c r="AN2473" s="77"/>
      <c r="AO2473" s="77"/>
      <c r="AP2473" s="77"/>
      <c r="AQ2473" s="77"/>
      <c r="AR2473" s="77"/>
      <c r="AS2473" s="77"/>
      <c r="AT2473" s="77"/>
      <c r="AU2473" s="77"/>
      <c r="AV2473" s="80" t="str">
        <f>HYPERLINK("https://pbs.twimg.com/profile_images/1628185029837832193/Qb7BI_Jj_normal.jpg")</f>
        <v>https://pbs.twimg.com/profile_images/1628185029837832193/Qb7BI_Jj_normal.jpg</v>
      </c>
      <c r="AW2473" s="82" t="s">
        <v>14629</v>
      </c>
      <c r="AX2473" s="82" t="s">
        <v>14629</v>
      </c>
      <c r="AY2473" s="77"/>
      <c r="AZ2473" s="82" t="s">
        <v>15804</v>
      </c>
      <c r="BA2473" s="82" t="s">
        <v>15804</v>
      </c>
      <c r="BB2473" s="82" t="s">
        <v>15804</v>
      </c>
      <c r="BC2473" s="82" t="s">
        <v>14629</v>
      </c>
      <c r="BD2473" s="82" t="s">
        <v>16557</v>
      </c>
      <c r="BE2473" s="77"/>
      <c r="BF2473" s="77"/>
      <c r="BG2473" s="77"/>
      <c r="BH2473" s="77"/>
      <c r="BI2473" s="77"/>
    </row>
    <row r="2474" spans="1:61" x14ac:dyDescent="0.25">
      <c r="A2474" s="62" t="s">
        <v>958</v>
      </c>
      <c r="B2474" s="62" t="s">
        <v>958</v>
      </c>
      <c r="C2474" s="63"/>
      <c r="D2474" s="64"/>
      <c r="E2474" s="65"/>
      <c r="F2474" s="66"/>
      <c r="G2474" s="63"/>
      <c r="H2474" s="67"/>
      <c r="I2474" s="68"/>
      <c r="J2474" s="68"/>
      <c r="K2474" s="32"/>
      <c r="L2474" s="75">
        <v>2474</v>
      </c>
      <c r="M2474" s="75"/>
      <c r="N2474" s="70"/>
      <c r="O2474" s="77" t="s">
        <v>179</v>
      </c>
      <c r="P2474" s="79">
        <v>45026.680960648147</v>
      </c>
      <c r="Q2474" s="77" t="s">
        <v>3516</v>
      </c>
      <c r="R2474" s="77">
        <v>0</v>
      </c>
      <c r="S2474" s="77">
        <v>1</v>
      </c>
      <c r="T2474" s="77">
        <v>0</v>
      </c>
      <c r="U2474" s="77">
        <v>0</v>
      </c>
      <c r="V2474" s="77">
        <v>8</v>
      </c>
      <c r="W2474" s="82" t="s">
        <v>5662</v>
      </c>
      <c r="X2474" s="80" t="str">
        <f>HYPERLINK("https://youtu.be/v7SCYDcTwvA")</f>
        <v>https://youtu.be/v7SCYDcTwvA</v>
      </c>
      <c r="Y2474" s="77" t="s">
        <v>6003</v>
      </c>
      <c r="Z2474" s="77"/>
      <c r="AA2474" s="77"/>
      <c r="AB2474" s="77"/>
      <c r="AC2474" s="82" t="s">
        <v>7707</v>
      </c>
      <c r="AD2474" s="77" t="s">
        <v>7745</v>
      </c>
      <c r="AE2474" s="80" t="str">
        <f>HYPERLINK("https://twitter.com/lucaspereira_ef/status/1645461784298389514")</f>
        <v>https://twitter.com/lucaspereira_ef/status/1645461784298389514</v>
      </c>
      <c r="AF2474" s="79">
        <v>45026.680960648147</v>
      </c>
      <c r="AG2474" s="85">
        <v>45026</v>
      </c>
      <c r="AH2474" s="82" t="s">
        <v>9966</v>
      </c>
      <c r="AI2474" s="77" t="b">
        <v>0</v>
      </c>
      <c r="AJ2474" s="77"/>
      <c r="AK2474" s="77"/>
      <c r="AL2474" s="77"/>
      <c r="AM2474" s="77"/>
      <c r="AN2474" s="77"/>
      <c r="AO2474" s="77"/>
      <c r="AP2474" s="77"/>
      <c r="AQ2474" s="77"/>
      <c r="AR2474" s="77"/>
      <c r="AS2474" s="77"/>
      <c r="AT2474" s="77"/>
      <c r="AU2474" s="77"/>
      <c r="AV2474" s="80" t="str">
        <f>HYPERLINK("https://pbs.twimg.com/profile_images/1628185029837832193/Qb7BI_Jj_normal.jpg")</f>
        <v>https://pbs.twimg.com/profile_images/1628185029837832193/Qb7BI_Jj_normal.jpg</v>
      </c>
      <c r="AW2474" s="82" t="s">
        <v>14630</v>
      </c>
      <c r="AX2474" s="82" t="s">
        <v>14630</v>
      </c>
      <c r="AY2474" s="77"/>
      <c r="AZ2474" s="82" t="s">
        <v>15804</v>
      </c>
      <c r="BA2474" s="82" t="s">
        <v>15804</v>
      </c>
      <c r="BB2474" s="82" t="s">
        <v>15804</v>
      </c>
      <c r="BC2474" s="82" t="s">
        <v>14630</v>
      </c>
      <c r="BD2474" s="82" t="s">
        <v>16557</v>
      </c>
      <c r="BE2474" s="77"/>
      <c r="BF2474" s="77"/>
      <c r="BG2474" s="77"/>
      <c r="BH2474" s="77"/>
      <c r="BI2474" s="77"/>
    </row>
    <row r="2475" spans="1:61" x14ac:dyDescent="0.25">
      <c r="A2475" s="62" t="s">
        <v>958</v>
      </c>
      <c r="B2475" s="62" t="s">
        <v>958</v>
      </c>
      <c r="C2475" s="63"/>
      <c r="D2475" s="64"/>
      <c r="E2475" s="65"/>
      <c r="F2475" s="66"/>
      <c r="G2475" s="63"/>
      <c r="H2475" s="67"/>
      <c r="I2475" s="68"/>
      <c r="J2475" s="68"/>
      <c r="K2475" s="32"/>
      <c r="L2475" s="75">
        <v>2475</v>
      </c>
      <c r="M2475" s="75"/>
      <c r="N2475" s="70"/>
      <c r="O2475" s="77" t="s">
        <v>179</v>
      </c>
      <c r="P2475" s="79">
        <v>45159.003506944442</v>
      </c>
      <c r="Q2475" s="77" t="s">
        <v>3517</v>
      </c>
      <c r="R2475" s="77">
        <v>0</v>
      </c>
      <c r="S2475" s="77">
        <v>1</v>
      </c>
      <c r="T2475" s="77">
        <v>0</v>
      </c>
      <c r="U2475" s="77">
        <v>0</v>
      </c>
      <c r="V2475" s="77">
        <v>66</v>
      </c>
      <c r="W2475" s="82" t="s">
        <v>5663</v>
      </c>
      <c r="X2475" s="77"/>
      <c r="Y2475" s="77"/>
      <c r="Z2475" s="77"/>
      <c r="AA2475" s="77"/>
      <c r="AB2475" s="77"/>
      <c r="AC2475" s="82" t="s">
        <v>7706</v>
      </c>
      <c r="AD2475" s="77" t="s">
        <v>7745</v>
      </c>
      <c r="AE2475" s="80" t="str">
        <f>HYPERLINK("https://twitter.com/lucaspereira_ef/status/1693413869996138684")</f>
        <v>https://twitter.com/lucaspereira_ef/status/1693413869996138684</v>
      </c>
      <c r="AF2475" s="79">
        <v>45159.003506944442</v>
      </c>
      <c r="AG2475" s="85">
        <v>45159</v>
      </c>
      <c r="AH2475" s="82" t="s">
        <v>9967</v>
      </c>
      <c r="AI2475" s="77"/>
      <c r="AJ2475" s="77"/>
      <c r="AK2475" s="77"/>
      <c r="AL2475" s="77"/>
      <c r="AM2475" s="77"/>
      <c r="AN2475" s="77"/>
      <c r="AO2475" s="77"/>
      <c r="AP2475" s="77"/>
      <c r="AQ2475" s="77"/>
      <c r="AR2475" s="77"/>
      <c r="AS2475" s="77"/>
      <c r="AT2475" s="77"/>
      <c r="AU2475" s="77"/>
      <c r="AV2475" s="80" t="str">
        <f>HYPERLINK("https://pbs.twimg.com/profile_images/1628185029837832193/Qb7BI_Jj_normal.jpg")</f>
        <v>https://pbs.twimg.com/profile_images/1628185029837832193/Qb7BI_Jj_normal.jpg</v>
      </c>
      <c r="AW2475" s="82" t="s">
        <v>14631</v>
      </c>
      <c r="AX2475" s="82" t="s">
        <v>14631</v>
      </c>
      <c r="AY2475" s="77"/>
      <c r="AZ2475" s="82" t="s">
        <v>15804</v>
      </c>
      <c r="BA2475" s="82" t="s">
        <v>15804</v>
      </c>
      <c r="BB2475" s="82" t="s">
        <v>15804</v>
      </c>
      <c r="BC2475" s="82" t="s">
        <v>14631</v>
      </c>
      <c r="BD2475" s="82" t="s">
        <v>16557</v>
      </c>
      <c r="BE2475" s="77"/>
      <c r="BF2475" s="77"/>
      <c r="BG2475" s="77"/>
      <c r="BH2475" s="77"/>
      <c r="BI2475" s="77"/>
    </row>
    <row r="2476" spans="1:61" x14ac:dyDescent="0.25">
      <c r="A2476" s="62" t="s">
        <v>958</v>
      </c>
      <c r="B2476" s="62" t="s">
        <v>958</v>
      </c>
      <c r="C2476" s="63"/>
      <c r="D2476" s="64"/>
      <c r="E2476" s="65"/>
      <c r="F2476" s="66"/>
      <c r="G2476" s="63"/>
      <c r="H2476" s="67"/>
      <c r="I2476" s="68"/>
      <c r="J2476" s="68"/>
      <c r="K2476" s="32"/>
      <c r="L2476" s="75">
        <v>2476</v>
      </c>
      <c r="M2476" s="75"/>
      <c r="N2476" s="70"/>
      <c r="O2476" s="77" t="s">
        <v>179</v>
      </c>
      <c r="P2476" s="79">
        <v>45117.01635416667</v>
      </c>
      <c r="Q2476" s="77" t="s">
        <v>3518</v>
      </c>
      <c r="R2476" s="77">
        <v>0</v>
      </c>
      <c r="S2476" s="77">
        <v>0</v>
      </c>
      <c r="T2476" s="77">
        <v>0</v>
      </c>
      <c r="U2476" s="77">
        <v>0</v>
      </c>
      <c r="V2476" s="77">
        <v>32</v>
      </c>
      <c r="W2476" s="82" t="s">
        <v>5664</v>
      </c>
      <c r="X2476" s="80" t="str">
        <f>HYPERLINK("https://youtu.be/xqJwQOMp5uY")</f>
        <v>https://youtu.be/xqJwQOMp5uY</v>
      </c>
      <c r="Y2476" s="77" t="s">
        <v>6003</v>
      </c>
      <c r="Z2476" s="77"/>
      <c r="AA2476" s="77"/>
      <c r="AB2476" s="77"/>
      <c r="AC2476" s="82" t="s">
        <v>7707</v>
      </c>
      <c r="AD2476" s="77" t="s">
        <v>7745</v>
      </c>
      <c r="AE2476" s="80" t="str">
        <f>HYPERLINK("https://twitter.com/lucaspereira_ef/status/1678198237105213441")</f>
        <v>https://twitter.com/lucaspereira_ef/status/1678198237105213441</v>
      </c>
      <c r="AF2476" s="79">
        <v>45117.01635416667</v>
      </c>
      <c r="AG2476" s="85">
        <v>45117</v>
      </c>
      <c r="AH2476" s="82" t="s">
        <v>9968</v>
      </c>
      <c r="AI2476" s="77" t="b">
        <v>0</v>
      </c>
      <c r="AJ2476" s="77"/>
      <c r="AK2476" s="77"/>
      <c r="AL2476" s="77"/>
      <c r="AM2476" s="77"/>
      <c r="AN2476" s="77"/>
      <c r="AO2476" s="77"/>
      <c r="AP2476" s="77"/>
      <c r="AQ2476" s="77"/>
      <c r="AR2476" s="77"/>
      <c r="AS2476" s="77"/>
      <c r="AT2476" s="77"/>
      <c r="AU2476" s="77"/>
      <c r="AV2476" s="80" t="str">
        <f>HYPERLINK("https://pbs.twimg.com/profile_images/1628185029837832193/Qb7BI_Jj_normal.jpg")</f>
        <v>https://pbs.twimg.com/profile_images/1628185029837832193/Qb7BI_Jj_normal.jpg</v>
      </c>
      <c r="AW2476" s="82" t="s">
        <v>14632</v>
      </c>
      <c r="AX2476" s="82" t="s">
        <v>14632</v>
      </c>
      <c r="AY2476" s="77"/>
      <c r="AZ2476" s="82" t="s">
        <v>15804</v>
      </c>
      <c r="BA2476" s="82" t="s">
        <v>15804</v>
      </c>
      <c r="BB2476" s="82" t="s">
        <v>15804</v>
      </c>
      <c r="BC2476" s="82" t="s">
        <v>14632</v>
      </c>
      <c r="BD2476" s="82" t="s">
        <v>16557</v>
      </c>
      <c r="BE2476" s="77"/>
      <c r="BF2476" s="77"/>
      <c r="BG2476" s="77"/>
      <c r="BH2476" s="77"/>
      <c r="BI2476" s="77"/>
    </row>
    <row r="2477" spans="1:61" x14ac:dyDescent="0.25">
      <c r="A2477" s="62" t="s">
        <v>958</v>
      </c>
      <c r="B2477" s="62" t="s">
        <v>1058</v>
      </c>
      <c r="C2477" s="63"/>
      <c r="D2477" s="64"/>
      <c r="E2477" s="65"/>
      <c r="F2477" s="66"/>
      <c r="G2477" s="63"/>
      <c r="H2477" s="67"/>
      <c r="I2477" s="68"/>
      <c r="J2477" s="68"/>
      <c r="K2477" s="32"/>
      <c r="L2477" s="75">
        <v>2477</v>
      </c>
      <c r="M2477" s="75"/>
      <c r="N2477" s="70"/>
      <c r="O2477" s="77" t="s">
        <v>1133</v>
      </c>
      <c r="P2477" s="79">
        <v>45095.999236111114</v>
      </c>
      <c r="Q2477" s="77" t="s">
        <v>3519</v>
      </c>
      <c r="R2477" s="77">
        <v>0</v>
      </c>
      <c r="S2477" s="77">
        <v>1</v>
      </c>
      <c r="T2477" s="77">
        <v>0</v>
      </c>
      <c r="U2477" s="77">
        <v>0</v>
      </c>
      <c r="V2477" s="77">
        <v>15</v>
      </c>
      <c r="W2477" s="82" t="s">
        <v>5665</v>
      </c>
      <c r="X2477" s="80" t="str">
        <f>HYPERLINK("https://youtu.be/VgmrRYMpIjk")</f>
        <v>https://youtu.be/VgmrRYMpIjk</v>
      </c>
      <c r="Y2477" s="77" t="s">
        <v>6003</v>
      </c>
      <c r="Z2477" s="77" t="s">
        <v>1058</v>
      </c>
      <c r="AA2477" s="77"/>
      <c r="AB2477" s="77"/>
      <c r="AC2477" s="82" t="s">
        <v>7706</v>
      </c>
      <c r="AD2477" s="77" t="s">
        <v>7745</v>
      </c>
      <c r="AE2477" s="80" t="str">
        <f>HYPERLINK("https://twitter.com/lucaspereira_ef/status/1670581888417685504")</f>
        <v>https://twitter.com/lucaspereira_ef/status/1670581888417685504</v>
      </c>
      <c r="AF2477" s="79">
        <v>45095.999236111114</v>
      </c>
      <c r="AG2477" s="85">
        <v>45095</v>
      </c>
      <c r="AH2477" s="82" t="s">
        <v>9969</v>
      </c>
      <c r="AI2477" s="77" t="b">
        <v>0</v>
      </c>
      <c r="AJ2477" s="77"/>
      <c r="AK2477" s="77"/>
      <c r="AL2477" s="77"/>
      <c r="AM2477" s="77"/>
      <c r="AN2477" s="77"/>
      <c r="AO2477" s="77"/>
      <c r="AP2477" s="77"/>
      <c r="AQ2477" s="77"/>
      <c r="AR2477" s="77"/>
      <c r="AS2477" s="77"/>
      <c r="AT2477" s="77"/>
      <c r="AU2477" s="77"/>
      <c r="AV2477" s="80" t="str">
        <f>HYPERLINK("https://pbs.twimg.com/profile_images/1628185029837832193/Qb7BI_Jj_normal.jpg")</f>
        <v>https://pbs.twimg.com/profile_images/1628185029837832193/Qb7BI_Jj_normal.jpg</v>
      </c>
      <c r="AW2477" s="82" t="s">
        <v>14633</v>
      </c>
      <c r="AX2477" s="82" t="s">
        <v>14633</v>
      </c>
      <c r="AY2477" s="77"/>
      <c r="AZ2477" s="82" t="s">
        <v>15804</v>
      </c>
      <c r="BA2477" s="82" t="s">
        <v>15804</v>
      </c>
      <c r="BB2477" s="82" t="s">
        <v>15804</v>
      </c>
      <c r="BC2477" s="82" t="s">
        <v>14633</v>
      </c>
      <c r="BD2477" s="82" t="s">
        <v>16557</v>
      </c>
      <c r="BE2477" s="77"/>
      <c r="BF2477" s="77"/>
      <c r="BG2477" s="77"/>
      <c r="BH2477" s="77"/>
      <c r="BI2477" s="77"/>
    </row>
    <row r="2478" spans="1:61" x14ac:dyDescent="0.25">
      <c r="A2478" s="62" t="s">
        <v>958</v>
      </c>
      <c r="B2478" s="62" t="s">
        <v>1058</v>
      </c>
      <c r="C2478" s="63"/>
      <c r="D2478" s="64"/>
      <c r="E2478" s="65"/>
      <c r="F2478" s="66"/>
      <c r="G2478" s="63"/>
      <c r="H2478" s="67"/>
      <c r="I2478" s="68"/>
      <c r="J2478" s="68"/>
      <c r="K2478" s="32"/>
      <c r="L2478" s="75">
        <v>2478</v>
      </c>
      <c r="M2478" s="75"/>
      <c r="N2478" s="70"/>
      <c r="O2478" s="77" t="s">
        <v>1133</v>
      </c>
      <c r="P2478" s="79">
        <v>45060.999131944445</v>
      </c>
      <c r="Q2478" s="77" t="s">
        <v>3520</v>
      </c>
      <c r="R2478" s="77">
        <v>0</v>
      </c>
      <c r="S2478" s="77">
        <v>1</v>
      </c>
      <c r="T2478" s="77">
        <v>0</v>
      </c>
      <c r="U2478" s="77">
        <v>0</v>
      </c>
      <c r="V2478" s="77">
        <v>16</v>
      </c>
      <c r="W2478" s="82" t="s">
        <v>5666</v>
      </c>
      <c r="X2478" s="80" t="str">
        <f>HYPERLINK("https://youtu.be/mhRRfZz9tek")</f>
        <v>https://youtu.be/mhRRfZz9tek</v>
      </c>
      <c r="Y2478" s="77" t="s">
        <v>6003</v>
      </c>
      <c r="Z2478" s="77" t="s">
        <v>1058</v>
      </c>
      <c r="AA2478" s="77"/>
      <c r="AB2478" s="77"/>
      <c r="AC2478" s="82" t="s">
        <v>7706</v>
      </c>
      <c r="AD2478" s="77" t="s">
        <v>7745</v>
      </c>
      <c r="AE2478" s="80" t="str">
        <f>HYPERLINK("https://twitter.com/lucaspereira_ef/status/1657898273284259840")</f>
        <v>https://twitter.com/lucaspereira_ef/status/1657898273284259840</v>
      </c>
      <c r="AF2478" s="79">
        <v>45060.999131944445</v>
      </c>
      <c r="AG2478" s="85">
        <v>45060</v>
      </c>
      <c r="AH2478" s="82" t="s">
        <v>9970</v>
      </c>
      <c r="AI2478" s="77" t="b">
        <v>0</v>
      </c>
      <c r="AJ2478" s="77"/>
      <c r="AK2478" s="77"/>
      <c r="AL2478" s="77"/>
      <c r="AM2478" s="77"/>
      <c r="AN2478" s="77"/>
      <c r="AO2478" s="77"/>
      <c r="AP2478" s="77"/>
      <c r="AQ2478" s="77"/>
      <c r="AR2478" s="77"/>
      <c r="AS2478" s="77"/>
      <c r="AT2478" s="77"/>
      <c r="AU2478" s="77"/>
      <c r="AV2478" s="80" t="str">
        <f>HYPERLINK("https://pbs.twimg.com/profile_images/1628185029837832193/Qb7BI_Jj_normal.jpg")</f>
        <v>https://pbs.twimg.com/profile_images/1628185029837832193/Qb7BI_Jj_normal.jpg</v>
      </c>
      <c r="AW2478" s="82" t="s">
        <v>14634</v>
      </c>
      <c r="AX2478" s="82" t="s">
        <v>14634</v>
      </c>
      <c r="AY2478" s="77"/>
      <c r="AZ2478" s="82" t="s">
        <v>15804</v>
      </c>
      <c r="BA2478" s="82" t="s">
        <v>15804</v>
      </c>
      <c r="BB2478" s="82" t="s">
        <v>15804</v>
      </c>
      <c r="BC2478" s="82" t="s">
        <v>14634</v>
      </c>
      <c r="BD2478" s="82" t="s">
        <v>16557</v>
      </c>
      <c r="BE2478" s="77"/>
      <c r="BF2478" s="77"/>
      <c r="BG2478" s="77"/>
      <c r="BH2478" s="77"/>
      <c r="BI2478" s="77"/>
    </row>
    <row r="2479" spans="1:61" x14ac:dyDescent="0.25">
      <c r="A2479" s="62" t="s">
        <v>958</v>
      </c>
      <c r="B2479" s="62" t="s">
        <v>958</v>
      </c>
      <c r="C2479" s="63"/>
      <c r="D2479" s="64"/>
      <c r="E2479" s="65"/>
      <c r="F2479" s="66"/>
      <c r="G2479" s="63"/>
      <c r="H2479" s="67"/>
      <c r="I2479" s="68"/>
      <c r="J2479" s="68"/>
      <c r="K2479" s="32"/>
      <c r="L2479" s="75">
        <v>2479</v>
      </c>
      <c r="M2479" s="75"/>
      <c r="N2479" s="70"/>
      <c r="O2479" s="77" t="s">
        <v>179</v>
      </c>
      <c r="P2479" s="79">
        <v>45019.041770833333</v>
      </c>
      <c r="Q2479" s="77" t="s">
        <v>3521</v>
      </c>
      <c r="R2479" s="77">
        <v>0</v>
      </c>
      <c r="S2479" s="77">
        <v>1</v>
      </c>
      <c r="T2479" s="77">
        <v>0</v>
      </c>
      <c r="U2479" s="77">
        <v>0</v>
      </c>
      <c r="V2479" s="77">
        <v>8</v>
      </c>
      <c r="W2479" s="82" t="s">
        <v>5667</v>
      </c>
      <c r="X2479" s="80" t="str">
        <f>HYPERLINK("https://youtu.be/KIAyMEJIyE0")</f>
        <v>https://youtu.be/KIAyMEJIyE0</v>
      </c>
      <c r="Y2479" s="77" t="s">
        <v>6003</v>
      </c>
      <c r="Z2479" s="77"/>
      <c r="AA2479" s="77"/>
      <c r="AB2479" s="77"/>
      <c r="AC2479" s="82" t="s">
        <v>7706</v>
      </c>
      <c r="AD2479" s="77" t="s">
        <v>7745</v>
      </c>
      <c r="AE2479" s="80" t="str">
        <f>HYPERLINK("https://twitter.com/lucaspereira_ef/status/1642693436120743941")</f>
        <v>https://twitter.com/lucaspereira_ef/status/1642693436120743941</v>
      </c>
      <c r="AF2479" s="79">
        <v>45019.041770833333</v>
      </c>
      <c r="AG2479" s="85">
        <v>45019</v>
      </c>
      <c r="AH2479" s="82" t="s">
        <v>9971</v>
      </c>
      <c r="AI2479" s="77" t="b">
        <v>0</v>
      </c>
      <c r="AJ2479" s="77"/>
      <c r="AK2479" s="77"/>
      <c r="AL2479" s="77"/>
      <c r="AM2479" s="77"/>
      <c r="AN2479" s="77"/>
      <c r="AO2479" s="77"/>
      <c r="AP2479" s="77"/>
      <c r="AQ2479" s="77"/>
      <c r="AR2479" s="77"/>
      <c r="AS2479" s="77"/>
      <c r="AT2479" s="77"/>
      <c r="AU2479" s="77"/>
      <c r="AV2479" s="80" t="str">
        <f>HYPERLINK("https://pbs.twimg.com/profile_images/1628185029837832193/Qb7BI_Jj_normal.jpg")</f>
        <v>https://pbs.twimg.com/profile_images/1628185029837832193/Qb7BI_Jj_normal.jpg</v>
      </c>
      <c r="AW2479" s="82" t="s">
        <v>14635</v>
      </c>
      <c r="AX2479" s="82" t="s">
        <v>14635</v>
      </c>
      <c r="AY2479" s="77"/>
      <c r="AZ2479" s="82" t="s">
        <v>15804</v>
      </c>
      <c r="BA2479" s="82" t="s">
        <v>15804</v>
      </c>
      <c r="BB2479" s="82" t="s">
        <v>15804</v>
      </c>
      <c r="BC2479" s="82" t="s">
        <v>14635</v>
      </c>
      <c r="BD2479" s="82" t="s">
        <v>16557</v>
      </c>
      <c r="BE2479" s="77"/>
      <c r="BF2479" s="77"/>
      <c r="BG2479" s="77"/>
      <c r="BH2479" s="77"/>
      <c r="BI2479" s="77"/>
    </row>
    <row r="2480" spans="1:61" x14ac:dyDescent="0.25">
      <c r="A2480" s="62" t="s">
        <v>958</v>
      </c>
      <c r="B2480" s="62" t="s">
        <v>958</v>
      </c>
      <c r="C2480" s="63"/>
      <c r="D2480" s="64"/>
      <c r="E2480" s="65"/>
      <c r="F2480" s="66"/>
      <c r="G2480" s="63"/>
      <c r="H2480" s="67"/>
      <c r="I2480" s="68"/>
      <c r="J2480" s="68"/>
      <c r="K2480" s="32"/>
      <c r="L2480" s="75">
        <v>2480</v>
      </c>
      <c r="M2480" s="75"/>
      <c r="N2480" s="70"/>
      <c r="O2480" s="77" t="s">
        <v>179</v>
      </c>
      <c r="P2480" s="79">
        <v>45180.012245370373</v>
      </c>
      <c r="Q2480" s="77" t="s">
        <v>3522</v>
      </c>
      <c r="R2480" s="77">
        <v>0</v>
      </c>
      <c r="S2480" s="77">
        <v>1</v>
      </c>
      <c r="T2480" s="77">
        <v>0</v>
      </c>
      <c r="U2480" s="77">
        <v>0</v>
      </c>
      <c r="V2480" s="77">
        <v>45</v>
      </c>
      <c r="W2480" s="82" t="s">
        <v>5668</v>
      </c>
      <c r="X2480" s="80" t="str">
        <f>HYPERLINK("https://youtu.be/-mU1zA5hmZ8?si=420QhbrmkAfWR8sp")</f>
        <v>https://youtu.be/-mU1zA5hmZ8?si=420QhbrmkAfWR8sp</v>
      </c>
      <c r="Y2480" s="77" t="s">
        <v>6003</v>
      </c>
      <c r="Z2480" s="77"/>
      <c r="AA2480" s="77"/>
      <c r="AB2480" s="77"/>
      <c r="AC2480" s="82" t="s">
        <v>7706</v>
      </c>
      <c r="AD2480" s="77" t="s">
        <v>7745</v>
      </c>
      <c r="AE2480" s="80" t="str">
        <f>HYPERLINK("https://twitter.com/lucaspereira_ef/status/1701027181499949466")</f>
        <v>https://twitter.com/lucaspereira_ef/status/1701027181499949466</v>
      </c>
      <c r="AF2480" s="79">
        <v>45180.012245370373</v>
      </c>
      <c r="AG2480" s="85">
        <v>45180</v>
      </c>
      <c r="AH2480" s="82" t="s">
        <v>9972</v>
      </c>
      <c r="AI2480" s="77" t="b">
        <v>0</v>
      </c>
      <c r="AJ2480" s="77"/>
      <c r="AK2480" s="77"/>
      <c r="AL2480" s="77"/>
      <c r="AM2480" s="77"/>
      <c r="AN2480" s="77"/>
      <c r="AO2480" s="77"/>
      <c r="AP2480" s="77"/>
      <c r="AQ2480" s="77"/>
      <c r="AR2480" s="77"/>
      <c r="AS2480" s="77"/>
      <c r="AT2480" s="77"/>
      <c r="AU2480" s="77"/>
      <c r="AV2480" s="80" t="str">
        <f>HYPERLINK("https://pbs.twimg.com/profile_images/1628185029837832193/Qb7BI_Jj_normal.jpg")</f>
        <v>https://pbs.twimg.com/profile_images/1628185029837832193/Qb7BI_Jj_normal.jpg</v>
      </c>
      <c r="AW2480" s="82" t="s">
        <v>14636</v>
      </c>
      <c r="AX2480" s="82" t="s">
        <v>14636</v>
      </c>
      <c r="AY2480" s="77"/>
      <c r="AZ2480" s="82" t="s">
        <v>15804</v>
      </c>
      <c r="BA2480" s="82" t="s">
        <v>15804</v>
      </c>
      <c r="BB2480" s="82" t="s">
        <v>15804</v>
      </c>
      <c r="BC2480" s="82" t="s">
        <v>14636</v>
      </c>
      <c r="BD2480" s="82" t="s">
        <v>16557</v>
      </c>
      <c r="BE2480" s="77"/>
      <c r="BF2480" s="77"/>
      <c r="BG2480" s="77"/>
      <c r="BH2480" s="77"/>
      <c r="BI2480" s="77"/>
    </row>
    <row r="2481" spans="1:61" x14ac:dyDescent="0.25">
      <c r="A2481" s="62" t="s">
        <v>958</v>
      </c>
      <c r="B2481" s="62" t="s">
        <v>958</v>
      </c>
      <c r="C2481" s="63"/>
      <c r="D2481" s="64"/>
      <c r="E2481" s="65"/>
      <c r="F2481" s="66"/>
      <c r="G2481" s="63"/>
      <c r="H2481" s="67"/>
      <c r="I2481" s="68"/>
      <c r="J2481" s="68"/>
      <c r="K2481" s="32"/>
      <c r="L2481" s="75">
        <v>2481</v>
      </c>
      <c r="M2481" s="75"/>
      <c r="N2481" s="70"/>
      <c r="O2481" s="77" t="s">
        <v>179</v>
      </c>
      <c r="P2481" s="79">
        <v>45170.006932870368</v>
      </c>
      <c r="Q2481" s="77" t="s">
        <v>3523</v>
      </c>
      <c r="R2481" s="77">
        <v>0</v>
      </c>
      <c r="S2481" s="77">
        <v>1</v>
      </c>
      <c r="T2481" s="77">
        <v>0</v>
      </c>
      <c r="U2481" s="77">
        <v>0</v>
      </c>
      <c r="V2481" s="77">
        <v>79</v>
      </c>
      <c r="W2481" s="82" t="s">
        <v>5669</v>
      </c>
      <c r="X2481" s="80" t="str">
        <f>HYPERLINK("https://youtu.be/2yMksG9IG1I?si=qjK1kU6OQq0LUXnW")</f>
        <v>https://youtu.be/2yMksG9IG1I?si=qjK1kU6OQq0LUXnW</v>
      </c>
      <c r="Y2481" s="77" t="s">
        <v>6003</v>
      </c>
      <c r="Z2481" s="77"/>
      <c r="AA2481" s="77"/>
      <c r="AB2481" s="77"/>
      <c r="AC2481" s="82" t="s">
        <v>7706</v>
      </c>
      <c r="AD2481" s="77" t="s">
        <v>7745</v>
      </c>
      <c r="AE2481" s="80" t="str">
        <f>HYPERLINK("https://twitter.com/lucaspereira_ef/status/1697401377784213622")</f>
        <v>https://twitter.com/lucaspereira_ef/status/1697401377784213622</v>
      </c>
      <c r="AF2481" s="79">
        <v>45170.006932870368</v>
      </c>
      <c r="AG2481" s="85">
        <v>45170</v>
      </c>
      <c r="AH2481" s="82" t="s">
        <v>9973</v>
      </c>
      <c r="AI2481" s="77" t="b">
        <v>0</v>
      </c>
      <c r="AJ2481" s="77"/>
      <c r="AK2481" s="77"/>
      <c r="AL2481" s="77"/>
      <c r="AM2481" s="77"/>
      <c r="AN2481" s="77"/>
      <c r="AO2481" s="77"/>
      <c r="AP2481" s="77"/>
      <c r="AQ2481" s="77"/>
      <c r="AR2481" s="77"/>
      <c r="AS2481" s="77"/>
      <c r="AT2481" s="77"/>
      <c r="AU2481" s="77"/>
      <c r="AV2481" s="80" t="str">
        <f>HYPERLINK("https://pbs.twimg.com/profile_images/1628185029837832193/Qb7BI_Jj_normal.jpg")</f>
        <v>https://pbs.twimg.com/profile_images/1628185029837832193/Qb7BI_Jj_normal.jpg</v>
      </c>
      <c r="AW2481" s="82" t="s">
        <v>14637</v>
      </c>
      <c r="AX2481" s="82" t="s">
        <v>14637</v>
      </c>
      <c r="AY2481" s="77"/>
      <c r="AZ2481" s="82" t="s">
        <v>15804</v>
      </c>
      <c r="BA2481" s="82" t="s">
        <v>15804</v>
      </c>
      <c r="BB2481" s="82" t="s">
        <v>15804</v>
      </c>
      <c r="BC2481" s="82" t="s">
        <v>14637</v>
      </c>
      <c r="BD2481" s="82" t="s">
        <v>16557</v>
      </c>
      <c r="BE2481" s="77"/>
      <c r="BF2481" s="77"/>
      <c r="BG2481" s="77"/>
      <c r="BH2481" s="77"/>
      <c r="BI2481" s="77"/>
    </row>
    <row r="2482" spans="1:61" x14ac:dyDescent="0.25">
      <c r="A2482" s="62" t="s">
        <v>958</v>
      </c>
      <c r="B2482" s="62" t="s">
        <v>958</v>
      </c>
      <c r="C2482" s="63"/>
      <c r="D2482" s="64"/>
      <c r="E2482" s="65"/>
      <c r="F2482" s="66"/>
      <c r="G2482" s="63"/>
      <c r="H2482" s="67"/>
      <c r="I2482" s="68"/>
      <c r="J2482" s="68"/>
      <c r="K2482" s="32"/>
      <c r="L2482" s="75">
        <v>2482</v>
      </c>
      <c r="M2482" s="75"/>
      <c r="N2482" s="70"/>
      <c r="O2482" s="77" t="s">
        <v>179</v>
      </c>
      <c r="P2482" s="79">
        <v>45163.01258101852</v>
      </c>
      <c r="Q2482" s="77" t="s">
        <v>3524</v>
      </c>
      <c r="R2482" s="77">
        <v>0</v>
      </c>
      <c r="S2482" s="77">
        <v>1</v>
      </c>
      <c r="T2482" s="77">
        <v>0</v>
      </c>
      <c r="U2482" s="77">
        <v>0</v>
      </c>
      <c r="V2482" s="77">
        <v>33</v>
      </c>
      <c r="W2482" s="82" t="s">
        <v>5670</v>
      </c>
      <c r="X2482" s="80" t="str">
        <f>HYPERLINK("https://youtu.be/uKX_ljPsFFE?si=9iLTdX6i8QLAb7dy")</f>
        <v>https://youtu.be/uKX_ljPsFFE?si=9iLTdX6i8QLAb7dy</v>
      </c>
      <c r="Y2482" s="77" t="s">
        <v>6003</v>
      </c>
      <c r="Z2482" s="77"/>
      <c r="AA2482" s="77"/>
      <c r="AB2482" s="77"/>
      <c r="AC2482" s="82" t="s">
        <v>7706</v>
      </c>
      <c r="AD2482" s="77" t="s">
        <v>7745</v>
      </c>
      <c r="AE2482" s="80" t="str">
        <f>HYPERLINK("https://twitter.com/lucaspereira_ef/status/1694866710019309643")</f>
        <v>https://twitter.com/lucaspereira_ef/status/1694866710019309643</v>
      </c>
      <c r="AF2482" s="79">
        <v>45163.01258101852</v>
      </c>
      <c r="AG2482" s="85">
        <v>45163</v>
      </c>
      <c r="AH2482" s="82" t="s">
        <v>9974</v>
      </c>
      <c r="AI2482" s="77" t="b">
        <v>0</v>
      </c>
      <c r="AJ2482" s="77"/>
      <c r="AK2482" s="77"/>
      <c r="AL2482" s="77"/>
      <c r="AM2482" s="77"/>
      <c r="AN2482" s="77"/>
      <c r="AO2482" s="77"/>
      <c r="AP2482" s="77"/>
      <c r="AQ2482" s="77"/>
      <c r="AR2482" s="77"/>
      <c r="AS2482" s="77"/>
      <c r="AT2482" s="77"/>
      <c r="AU2482" s="77"/>
      <c r="AV2482" s="80" t="str">
        <f>HYPERLINK("https://pbs.twimg.com/profile_images/1628185029837832193/Qb7BI_Jj_normal.jpg")</f>
        <v>https://pbs.twimg.com/profile_images/1628185029837832193/Qb7BI_Jj_normal.jpg</v>
      </c>
      <c r="AW2482" s="82" t="s">
        <v>14638</v>
      </c>
      <c r="AX2482" s="82" t="s">
        <v>14638</v>
      </c>
      <c r="AY2482" s="77"/>
      <c r="AZ2482" s="82" t="s">
        <v>15804</v>
      </c>
      <c r="BA2482" s="82" t="s">
        <v>15804</v>
      </c>
      <c r="BB2482" s="82" t="s">
        <v>15804</v>
      </c>
      <c r="BC2482" s="82" t="s">
        <v>14638</v>
      </c>
      <c r="BD2482" s="82" t="s">
        <v>16557</v>
      </c>
      <c r="BE2482" s="77"/>
      <c r="BF2482" s="77"/>
      <c r="BG2482" s="77"/>
      <c r="BH2482" s="77"/>
      <c r="BI2482" s="77"/>
    </row>
    <row r="2483" spans="1:61" x14ac:dyDescent="0.25">
      <c r="A2483" s="62" t="s">
        <v>958</v>
      </c>
      <c r="B2483" s="62" t="s">
        <v>1058</v>
      </c>
      <c r="C2483" s="63"/>
      <c r="D2483" s="64"/>
      <c r="E2483" s="65"/>
      <c r="F2483" s="66"/>
      <c r="G2483" s="63"/>
      <c r="H2483" s="67"/>
      <c r="I2483" s="68"/>
      <c r="J2483" s="68"/>
      <c r="K2483" s="32"/>
      <c r="L2483" s="75">
        <v>2483</v>
      </c>
      <c r="M2483" s="75"/>
      <c r="N2483" s="70"/>
      <c r="O2483" s="77" t="s">
        <v>1133</v>
      </c>
      <c r="P2483" s="79">
        <v>45075.0000462963</v>
      </c>
      <c r="Q2483" s="77" t="s">
        <v>3525</v>
      </c>
      <c r="R2483" s="77">
        <v>0</v>
      </c>
      <c r="S2483" s="77">
        <v>1</v>
      </c>
      <c r="T2483" s="77">
        <v>0</v>
      </c>
      <c r="U2483" s="77">
        <v>0</v>
      </c>
      <c r="V2483" s="77">
        <v>5</v>
      </c>
      <c r="W2483" s="82" t="s">
        <v>5671</v>
      </c>
      <c r="X2483" s="80" t="str">
        <f>HYPERLINK("https://youtu.be/EB0cYJQoqOk")</f>
        <v>https://youtu.be/EB0cYJQoqOk</v>
      </c>
      <c r="Y2483" s="77" t="s">
        <v>6003</v>
      </c>
      <c r="Z2483" s="77" t="s">
        <v>1058</v>
      </c>
      <c r="AA2483" s="77"/>
      <c r="AB2483" s="77"/>
      <c r="AC2483" s="82" t="s">
        <v>7706</v>
      </c>
      <c r="AD2483" s="77" t="s">
        <v>7751</v>
      </c>
      <c r="AE2483" s="80" t="str">
        <f>HYPERLINK("https://twitter.com/lucaspereira_ef/status/1662972033704099845")</f>
        <v>https://twitter.com/lucaspereira_ef/status/1662972033704099845</v>
      </c>
      <c r="AF2483" s="79">
        <v>45075.0000462963</v>
      </c>
      <c r="AG2483" s="85">
        <v>45075</v>
      </c>
      <c r="AH2483" s="82" t="s">
        <v>9975</v>
      </c>
      <c r="AI2483" s="77" t="b">
        <v>0</v>
      </c>
      <c r="AJ2483" s="77"/>
      <c r="AK2483" s="77"/>
      <c r="AL2483" s="77"/>
      <c r="AM2483" s="77"/>
      <c r="AN2483" s="77"/>
      <c r="AO2483" s="77"/>
      <c r="AP2483" s="77"/>
      <c r="AQ2483" s="77"/>
      <c r="AR2483" s="77"/>
      <c r="AS2483" s="77"/>
      <c r="AT2483" s="77"/>
      <c r="AU2483" s="77"/>
      <c r="AV2483" s="80" t="str">
        <f>HYPERLINK("https://pbs.twimg.com/profile_images/1628185029837832193/Qb7BI_Jj_normal.jpg")</f>
        <v>https://pbs.twimg.com/profile_images/1628185029837832193/Qb7BI_Jj_normal.jpg</v>
      </c>
      <c r="AW2483" s="82" t="s">
        <v>14639</v>
      </c>
      <c r="AX2483" s="82" t="s">
        <v>14639</v>
      </c>
      <c r="AY2483" s="77"/>
      <c r="AZ2483" s="82" t="s">
        <v>15804</v>
      </c>
      <c r="BA2483" s="82" t="s">
        <v>15804</v>
      </c>
      <c r="BB2483" s="82" t="s">
        <v>15804</v>
      </c>
      <c r="BC2483" s="82" t="s">
        <v>14639</v>
      </c>
      <c r="BD2483" s="82" t="s">
        <v>16557</v>
      </c>
      <c r="BE2483" s="77"/>
      <c r="BF2483" s="77"/>
      <c r="BG2483" s="77"/>
      <c r="BH2483" s="77"/>
      <c r="BI2483" s="77"/>
    </row>
    <row r="2484" spans="1:61" x14ac:dyDescent="0.25">
      <c r="A2484" s="62" t="s">
        <v>958</v>
      </c>
      <c r="B2484" s="62" t="s">
        <v>1058</v>
      </c>
      <c r="C2484" s="63"/>
      <c r="D2484" s="64"/>
      <c r="E2484" s="65"/>
      <c r="F2484" s="66"/>
      <c r="G2484" s="63"/>
      <c r="H2484" s="67"/>
      <c r="I2484" s="68"/>
      <c r="J2484" s="68"/>
      <c r="K2484" s="32"/>
      <c r="L2484" s="75">
        <v>2484</v>
      </c>
      <c r="M2484" s="75"/>
      <c r="N2484" s="70"/>
      <c r="O2484" s="77" t="s">
        <v>1133</v>
      </c>
      <c r="P2484" s="79">
        <v>45072.029803240737</v>
      </c>
      <c r="Q2484" s="77" t="s">
        <v>3526</v>
      </c>
      <c r="R2484" s="77">
        <v>0</v>
      </c>
      <c r="S2484" s="77">
        <v>0</v>
      </c>
      <c r="T2484" s="77">
        <v>0</v>
      </c>
      <c r="U2484" s="77">
        <v>0</v>
      </c>
      <c r="V2484" s="77">
        <v>12</v>
      </c>
      <c r="W2484" s="82" t="s">
        <v>5672</v>
      </c>
      <c r="X2484" s="80" t="str">
        <f>HYPERLINK("https://youtu.be/gM9yUmtD-Cw")</f>
        <v>https://youtu.be/gM9yUmtD-Cw</v>
      </c>
      <c r="Y2484" s="77" t="s">
        <v>6003</v>
      </c>
      <c r="Z2484" s="77" t="s">
        <v>1058</v>
      </c>
      <c r="AA2484" s="77"/>
      <c r="AB2484" s="77"/>
      <c r="AC2484" s="82" t="s">
        <v>7706</v>
      </c>
      <c r="AD2484" s="77" t="s">
        <v>7745</v>
      </c>
      <c r="AE2484" s="80" t="str">
        <f>HYPERLINK("https://twitter.com/lucaspereira_ef/status/1661895654661038080")</f>
        <v>https://twitter.com/lucaspereira_ef/status/1661895654661038080</v>
      </c>
      <c r="AF2484" s="79">
        <v>45072.029803240737</v>
      </c>
      <c r="AG2484" s="85">
        <v>45072</v>
      </c>
      <c r="AH2484" s="82" t="s">
        <v>9976</v>
      </c>
      <c r="AI2484" s="77" t="b">
        <v>0</v>
      </c>
      <c r="AJ2484" s="77"/>
      <c r="AK2484" s="77"/>
      <c r="AL2484" s="77"/>
      <c r="AM2484" s="77"/>
      <c r="AN2484" s="77"/>
      <c r="AO2484" s="77"/>
      <c r="AP2484" s="77"/>
      <c r="AQ2484" s="77"/>
      <c r="AR2484" s="77"/>
      <c r="AS2484" s="77"/>
      <c r="AT2484" s="77"/>
      <c r="AU2484" s="77"/>
      <c r="AV2484" s="80" t="str">
        <f>HYPERLINK("https://pbs.twimg.com/profile_images/1628185029837832193/Qb7BI_Jj_normal.jpg")</f>
        <v>https://pbs.twimg.com/profile_images/1628185029837832193/Qb7BI_Jj_normal.jpg</v>
      </c>
      <c r="AW2484" s="82" t="s">
        <v>14640</v>
      </c>
      <c r="AX2484" s="82" t="s">
        <v>14640</v>
      </c>
      <c r="AY2484" s="77"/>
      <c r="AZ2484" s="82" t="s">
        <v>15804</v>
      </c>
      <c r="BA2484" s="82" t="s">
        <v>15804</v>
      </c>
      <c r="BB2484" s="82" t="s">
        <v>15804</v>
      </c>
      <c r="BC2484" s="82" t="s">
        <v>14640</v>
      </c>
      <c r="BD2484" s="82" t="s">
        <v>16557</v>
      </c>
      <c r="BE2484" s="77"/>
      <c r="BF2484" s="77"/>
      <c r="BG2484" s="77"/>
      <c r="BH2484" s="77"/>
      <c r="BI2484" s="77"/>
    </row>
    <row r="2485" spans="1:61" x14ac:dyDescent="0.25">
      <c r="A2485" s="62" t="s">
        <v>958</v>
      </c>
      <c r="B2485" s="62" t="s">
        <v>958</v>
      </c>
      <c r="C2485" s="63"/>
      <c r="D2485" s="64"/>
      <c r="E2485" s="65"/>
      <c r="F2485" s="66"/>
      <c r="G2485" s="63"/>
      <c r="H2485" s="67"/>
      <c r="I2485" s="68"/>
      <c r="J2485" s="68"/>
      <c r="K2485" s="32"/>
      <c r="L2485" s="75">
        <v>2485</v>
      </c>
      <c r="M2485" s="75"/>
      <c r="N2485" s="70"/>
      <c r="O2485" s="77" t="s">
        <v>179</v>
      </c>
      <c r="P2485" s="79">
        <v>45035.670787037037</v>
      </c>
      <c r="Q2485" s="77" t="s">
        <v>3527</v>
      </c>
      <c r="R2485" s="77">
        <v>0</v>
      </c>
      <c r="S2485" s="77">
        <v>0</v>
      </c>
      <c r="T2485" s="77">
        <v>0</v>
      </c>
      <c r="U2485" s="77">
        <v>0</v>
      </c>
      <c r="V2485" s="77">
        <v>17</v>
      </c>
      <c r="W2485" s="82" t="s">
        <v>5673</v>
      </c>
      <c r="X2485" s="80" t="str">
        <f>HYPERLINK("https://www.instagram.com/p/CrOUhpeBlka/?igshid=YzcyNDA0Yzg3NA==")</f>
        <v>https://www.instagram.com/p/CrOUhpeBlka/?igshid=YzcyNDA0Yzg3NA==</v>
      </c>
      <c r="Y2485" s="77" t="s">
        <v>6000</v>
      </c>
      <c r="Z2485" s="77"/>
      <c r="AA2485" s="77"/>
      <c r="AB2485" s="77"/>
      <c r="AC2485" s="82" t="s">
        <v>7707</v>
      </c>
      <c r="AD2485" s="77" t="s">
        <v>7745</v>
      </c>
      <c r="AE2485" s="80" t="str">
        <f>HYPERLINK("https://twitter.com/lucaspereira_ef/status/1648719589570666509")</f>
        <v>https://twitter.com/lucaspereira_ef/status/1648719589570666509</v>
      </c>
      <c r="AF2485" s="79">
        <v>45035.670787037037</v>
      </c>
      <c r="AG2485" s="85">
        <v>45035</v>
      </c>
      <c r="AH2485" s="82" t="s">
        <v>9977</v>
      </c>
      <c r="AI2485" s="77" t="b">
        <v>0</v>
      </c>
      <c r="AJ2485" s="77"/>
      <c r="AK2485" s="77"/>
      <c r="AL2485" s="77"/>
      <c r="AM2485" s="77"/>
      <c r="AN2485" s="77"/>
      <c r="AO2485" s="77"/>
      <c r="AP2485" s="77"/>
      <c r="AQ2485" s="77"/>
      <c r="AR2485" s="77"/>
      <c r="AS2485" s="77"/>
      <c r="AT2485" s="77"/>
      <c r="AU2485" s="77"/>
      <c r="AV2485" s="80" t="str">
        <f>HYPERLINK("https://pbs.twimg.com/profile_images/1628185029837832193/Qb7BI_Jj_normal.jpg")</f>
        <v>https://pbs.twimg.com/profile_images/1628185029837832193/Qb7BI_Jj_normal.jpg</v>
      </c>
      <c r="AW2485" s="82" t="s">
        <v>14641</v>
      </c>
      <c r="AX2485" s="82" t="s">
        <v>14641</v>
      </c>
      <c r="AY2485" s="77"/>
      <c r="AZ2485" s="82" t="s">
        <v>15804</v>
      </c>
      <c r="BA2485" s="82" t="s">
        <v>15804</v>
      </c>
      <c r="BB2485" s="82" t="s">
        <v>15804</v>
      </c>
      <c r="BC2485" s="82" t="s">
        <v>14641</v>
      </c>
      <c r="BD2485" s="82" t="s">
        <v>16557</v>
      </c>
      <c r="BE2485" s="77"/>
      <c r="BF2485" s="77"/>
      <c r="BG2485" s="77"/>
      <c r="BH2485" s="77"/>
      <c r="BI2485" s="77"/>
    </row>
    <row r="2486" spans="1:61" x14ac:dyDescent="0.25">
      <c r="A2486" s="62" t="s">
        <v>958</v>
      </c>
      <c r="B2486" s="62" t="s">
        <v>1058</v>
      </c>
      <c r="C2486" s="63"/>
      <c r="D2486" s="64"/>
      <c r="E2486" s="65"/>
      <c r="F2486" s="66"/>
      <c r="G2486" s="63"/>
      <c r="H2486" s="67"/>
      <c r="I2486" s="68"/>
      <c r="J2486" s="68"/>
      <c r="K2486" s="32"/>
      <c r="L2486" s="75">
        <v>2486</v>
      </c>
      <c r="M2486" s="75"/>
      <c r="N2486" s="70"/>
      <c r="O2486" s="77" t="s">
        <v>1133</v>
      </c>
      <c r="P2486" s="79">
        <v>44991.023055555554</v>
      </c>
      <c r="Q2486" s="77" t="s">
        <v>3528</v>
      </c>
      <c r="R2486" s="77">
        <v>0</v>
      </c>
      <c r="S2486" s="77">
        <v>1</v>
      </c>
      <c r="T2486" s="77">
        <v>0</v>
      </c>
      <c r="U2486" s="77">
        <v>0</v>
      </c>
      <c r="V2486" s="77">
        <v>18</v>
      </c>
      <c r="W2486" s="82" t="s">
        <v>5674</v>
      </c>
      <c r="X2486" s="80" t="str">
        <f>HYPERLINK("https://youtu.be/bAS6L9XT6DI")</f>
        <v>https://youtu.be/bAS6L9XT6DI</v>
      </c>
      <c r="Y2486" s="77" t="s">
        <v>6003</v>
      </c>
      <c r="Z2486" s="77" t="s">
        <v>1058</v>
      </c>
      <c r="AA2486" s="77"/>
      <c r="AB2486" s="77"/>
      <c r="AC2486" s="82" t="s">
        <v>7706</v>
      </c>
      <c r="AD2486" s="77" t="s">
        <v>7745</v>
      </c>
      <c r="AE2486" s="80" t="str">
        <f>HYPERLINK("https://twitter.com/lucaspereira_ef/status/1632539794080235521")</f>
        <v>https://twitter.com/lucaspereira_ef/status/1632539794080235521</v>
      </c>
      <c r="AF2486" s="79">
        <v>44991.023055555554</v>
      </c>
      <c r="AG2486" s="85">
        <v>44991</v>
      </c>
      <c r="AH2486" s="82" t="s">
        <v>9978</v>
      </c>
      <c r="AI2486" s="77" t="b">
        <v>0</v>
      </c>
      <c r="AJ2486" s="77"/>
      <c r="AK2486" s="77"/>
      <c r="AL2486" s="77"/>
      <c r="AM2486" s="77"/>
      <c r="AN2486" s="77"/>
      <c r="AO2486" s="77"/>
      <c r="AP2486" s="77"/>
      <c r="AQ2486" s="77"/>
      <c r="AR2486" s="77"/>
      <c r="AS2486" s="77"/>
      <c r="AT2486" s="77"/>
      <c r="AU2486" s="77"/>
      <c r="AV2486" s="80" t="str">
        <f>HYPERLINK("https://pbs.twimg.com/profile_images/1628185029837832193/Qb7BI_Jj_normal.jpg")</f>
        <v>https://pbs.twimg.com/profile_images/1628185029837832193/Qb7BI_Jj_normal.jpg</v>
      </c>
      <c r="AW2486" s="82" t="s">
        <v>14642</v>
      </c>
      <c r="AX2486" s="82" t="s">
        <v>14642</v>
      </c>
      <c r="AY2486" s="77"/>
      <c r="AZ2486" s="82" t="s">
        <v>15804</v>
      </c>
      <c r="BA2486" s="82" t="s">
        <v>15804</v>
      </c>
      <c r="BB2486" s="82" t="s">
        <v>15804</v>
      </c>
      <c r="BC2486" s="82" t="s">
        <v>14642</v>
      </c>
      <c r="BD2486" s="82" t="s">
        <v>16557</v>
      </c>
      <c r="BE2486" s="77"/>
      <c r="BF2486" s="77"/>
      <c r="BG2486" s="77"/>
      <c r="BH2486" s="77"/>
      <c r="BI2486" s="77"/>
    </row>
    <row r="2487" spans="1:61" x14ac:dyDescent="0.25">
      <c r="A2487" s="62" t="s">
        <v>958</v>
      </c>
      <c r="B2487" s="62" t="s">
        <v>1058</v>
      </c>
      <c r="C2487" s="63"/>
      <c r="D2487" s="64"/>
      <c r="E2487" s="65"/>
      <c r="F2487" s="66"/>
      <c r="G2487" s="63"/>
      <c r="H2487" s="67"/>
      <c r="I2487" s="68"/>
      <c r="J2487" s="68"/>
      <c r="K2487" s="32"/>
      <c r="L2487" s="75">
        <v>2487</v>
      </c>
      <c r="M2487" s="75"/>
      <c r="N2487" s="70"/>
      <c r="O2487" s="77" t="s">
        <v>1133</v>
      </c>
      <c r="P2487" s="79">
        <v>44988.056979166664</v>
      </c>
      <c r="Q2487" s="77" t="s">
        <v>3529</v>
      </c>
      <c r="R2487" s="77">
        <v>1</v>
      </c>
      <c r="S2487" s="77">
        <v>1</v>
      </c>
      <c r="T2487" s="77">
        <v>0</v>
      </c>
      <c r="U2487" s="77">
        <v>0</v>
      </c>
      <c r="V2487" s="77">
        <v>38</v>
      </c>
      <c r="W2487" s="82" t="s">
        <v>5675</v>
      </c>
      <c r="X2487" s="80" t="str">
        <f>HYPERLINK("https://youtu.be/3GEof6cCJpI")</f>
        <v>https://youtu.be/3GEof6cCJpI</v>
      </c>
      <c r="Y2487" s="77" t="s">
        <v>6003</v>
      </c>
      <c r="Z2487" s="77" t="s">
        <v>1058</v>
      </c>
      <c r="AA2487" s="77"/>
      <c r="AB2487" s="77"/>
      <c r="AC2487" s="82" t="s">
        <v>7706</v>
      </c>
      <c r="AD2487" s="77" t="s">
        <v>7745</v>
      </c>
      <c r="AE2487" s="80" t="str">
        <f>HYPERLINK("https://twitter.com/lucaspereira_ef/status/1631464922788798466")</f>
        <v>https://twitter.com/lucaspereira_ef/status/1631464922788798466</v>
      </c>
      <c r="AF2487" s="79">
        <v>44988.056979166664</v>
      </c>
      <c r="AG2487" s="85">
        <v>44988</v>
      </c>
      <c r="AH2487" s="82" t="s">
        <v>9979</v>
      </c>
      <c r="AI2487" s="77" t="b">
        <v>0</v>
      </c>
      <c r="AJ2487" s="77"/>
      <c r="AK2487" s="77"/>
      <c r="AL2487" s="77"/>
      <c r="AM2487" s="77"/>
      <c r="AN2487" s="77"/>
      <c r="AO2487" s="77"/>
      <c r="AP2487" s="77"/>
      <c r="AQ2487" s="77"/>
      <c r="AR2487" s="77"/>
      <c r="AS2487" s="77"/>
      <c r="AT2487" s="77"/>
      <c r="AU2487" s="77"/>
      <c r="AV2487" s="80" t="str">
        <f>HYPERLINK("https://pbs.twimg.com/profile_images/1628185029837832193/Qb7BI_Jj_normal.jpg")</f>
        <v>https://pbs.twimg.com/profile_images/1628185029837832193/Qb7BI_Jj_normal.jpg</v>
      </c>
      <c r="AW2487" s="82" t="s">
        <v>14643</v>
      </c>
      <c r="AX2487" s="82" t="s">
        <v>14643</v>
      </c>
      <c r="AY2487" s="77"/>
      <c r="AZ2487" s="82" t="s">
        <v>15804</v>
      </c>
      <c r="BA2487" s="82" t="s">
        <v>15804</v>
      </c>
      <c r="BB2487" s="82" t="s">
        <v>15804</v>
      </c>
      <c r="BC2487" s="82" t="s">
        <v>14643</v>
      </c>
      <c r="BD2487" s="82" t="s">
        <v>16557</v>
      </c>
      <c r="BE2487" s="77"/>
      <c r="BF2487" s="77"/>
      <c r="BG2487" s="77"/>
      <c r="BH2487" s="77"/>
      <c r="BI2487" s="77"/>
    </row>
    <row r="2488" spans="1:61" x14ac:dyDescent="0.25">
      <c r="A2488" s="62" t="s">
        <v>959</v>
      </c>
      <c r="B2488" s="62" t="s">
        <v>959</v>
      </c>
      <c r="C2488" s="63"/>
      <c r="D2488" s="64"/>
      <c r="E2488" s="65"/>
      <c r="F2488" s="66"/>
      <c r="G2488" s="63"/>
      <c r="H2488" s="67"/>
      <c r="I2488" s="68"/>
      <c r="J2488" s="68"/>
      <c r="K2488" s="32"/>
      <c r="L2488" s="75">
        <v>2488</v>
      </c>
      <c r="M2488" s="75"/>
      <c r="N2488" s="70"/>
      <c r="O2488" s="77" t="s">
        <v>179</v>
      </c>
      <c r="P2488" s="79">
        <v>45140.91609953704</v>
      </c>
      <c r="Q2488" s="77" t="s">
        <v>3530</v>
      </c>
      <c r="R2488" s="77">
        <v>0</v>
      </c>
      <c r="S2488" s="77">
        <v>0</v>
      </c>
      <c r="T2488" s="77">
        <v>0</v>
      </c>
      <c r="U2488" s="77">
        <v>0</v>
      </c>
      <c r="V2488" s="77">
        <v>29</v>
      </c>
      <c r="W2488" s="82" t="s">
        <v>5676</v>
      </c>
      <c r="X2488" s="80" t="str">
        <f>HYPERLINK("https://shre.ink/aRmi")</f>
        <v>https://shre.ink/aRmi</v>
      </c>
      <c r="Y2488" s="77" t="s">
        <v>6069</v>
      </c>
      <c r="Z2488" s="77"/>
      <c r="AA2488" s="77" t="s">
        <v>7511</v>
      </c>
      <c r="AB2488" s="77" t="s">
        <v>7696</v>
      </c>
      <c r="AC2488" s="82" t="s">
        <v>7706</v>
      </c>
      <c r="AD2488" s="77" t="s">
        <v>7745</v>
      </c>
      <c r="AE2488" s="80" t="str">
        <f>HYPERLINK("https://twitter.com/assembleia_al/status/1686859213132169217")</f>
        <v>https://twitter.com/assembleia_al/status/1686859213132169217</v>
      </c>
      <c r="AF2488" s="79">
        <v>45140.91609953704</v>
      </c>
      <c r="AG2488" s="85">
        <v>45140</v>
      </c>
      <c r="AH2488" s="82" t="s">
        <v>9980</v>
      </c>
      <c r="AI2488" s="77" t="b">
        <v>0</v>
      </c>
      <c r="AJ2488" s="77"/>
      <c r="AK2488" s="77"/>
      <c r="AL2488" s="77"/>
      <c r="AM2488" s="77"/>
      <c r="AN2488" s="77"/>
      <c r="AO2488" s="77"/>
      <c r="AP2488" s="77"/>
      <c r="AQ2488" s="77" t="s">
        <v>12018</v>
      </c>
      <c r="AR2488" s="77"/>
      <c r="AS2488" s="77"/>
      <c r="AT2488" s="77"/>
      <c r="AU2488" s="77"/>
      <c r="AV2488" s="80" t="str">
        <f>HYPERLINK("https://pbs.twimg.com/media/F2jtc1qX0AArbcL.jpg")</f>
        <v>https://pbs.twimg.com/media/F2jtc1qX0AArbcL.jpg</v>
      </c>
      <c r="AW2488" s="82" t="s">
        <v>14644</v>
      </c>
      <c r="AX2488" s="82" t="s">
        <v>14644</v>
      </c>
      <c r="AY2488" s="77"/>
      <c r="AZ2488" s="82" t="s">
        <v>15804</v>
      </c>
      <c r="BA2488" s="82" t="s">
        <v>15804</v>
      </c>
      <c r="BB2488" s="82" t="s">
        <v>15804</v>
      </c>
      <c r="BC2488" s="82" t="s">
        <v>14644</v>
      </c>
      <c r="BD2488" s="77">
        <v>245778319</v>
      </c>
      <c r="BE2488" s="77"/>
      <c r="BF2488" s="77"/>
      <c r="BG2488" s="77"/>
      <c r="BH2488" s="77"/>
      <c r="BI2488" s="77"/>
    </row>
    <row r="2489" spans="1:61" x14ac:dyDescent="0.25">
      <c r="A2489" s="62" t="s">
        <v>960</v>
      </c>
      <c r="B2489" s="62" t="s">
        <v>960</v>
      </c>
      <c r="C2489" s="63"/>
      <c r="D2489" s="64"/>
      <c r="E2489" s="65"/>
      <c r="F2489" s="66"/>
      <c r="G2489" s="63"/>
      <c r="H2489" s="67"/>
      <c r="I2489" s="68"/>
      <c r="J2489" s="68"/>
      <c r="K2489" s="32"/>
      <c r="L2489" s="75">
        <v>2489</v>
      </c>
      <c r="M2489" s="75"/>
      <c r="N2489" s="70"/>
      <c r="O2489" s="77" t="s">
        <v>179</v>
      </c>
      <c r="P2489" s="79">
        <v>45028.85533564815</v>
      </c>
      <c r="Q2489" s="77" t="s">
        <v>3531</v>
      </c>
      <c r="R2489" s="77">
        <v>0</v>
      </c>
      <c r="S2489" s="77">
        <v>0</v>
      </c>
      <c r="T2489" s="77">
        <v>0</v>
      </c>
      <c r="U2489" s="77">
        <v>0</v>
      </c>
      <c r="V2489" s="77">
        <v>112</v>
      </c>
      <c r="W2489" s="82" t="s">
        <v>5677</v>
      </c>
      <c r="X2489" s="80" t="str">
        <f>HYPERLINK("https://youtu.be/kCSOZ-TnAwo")</f>
        <v>https://youtu.be/kCSOZ-TnAwo</v>
      </c>
      <c r="Y2489" s="77" t="s">
        <v>6003</v>
      </c>
      <c r="Z2489" s="77"/>
      <c r="AA2489" s="77"/>
      <c r="AB2489" s="77"/>
      <c r="AC2489" s="82" t="s">
        <v>7705</v>
      </c>
      <c r="AD2489" s="77" t="s">
        <v>7745</v>
      </c>
      <c r="AE2489" s="80" t="str">
        <f>HYPERLINK("https://twitter.com/fernandokobuti/status/1646249752630030337")</f>
        <v>https://twitter.com/fernandokobuti/status/1646249752630030337</v>
      </c>
      <c r="AF2489" s="79">
        <v>45028.85533564815</v>
      </c>
      <c r="AG2489" s="85">
        <v>45028</v>
      </c>
      <c r="AH2489" s="82" t="s">
        <v>9981</v>
      </c>
      <c r="AI2489" s="77" t="b">
        <v>0</v>
      </c>
      <c r="AJ2489" s="77"/>
      <c r="AK2489" s="77"/>
      <c r="AL2489" s="77"/>
      <c r="AM2489" s="77"/>
      <c r="AN2489" s="77"/>
      <c r="AO2489" s="77"/>
      <c r="AP2489" s="77"/>
      <c r="AQ2489" s="77"/>
      <c r="AR2489" s="77"/>
      <c r="AS2489" s="77"/>
      <c r="AT2489" s="77"/>
      <c r="AU2489" s="77"/>
      <c r="AV2489" s="80" t="str">
        <f>HYPERLINK("https://pbs.twimg.com/profile_images/1477817234873540609/wRcrE4mt_normal.jpg")</f>
        <v>https://pbs.twimg.com/profile_images/1477817234873540609/wRcrE4mt_normal.jpg</v>
      </c>
      <c r="AW2489" s="82" t="s">
        <v>14645</v>
      </c>
      <c r="AX2489" s="82" t="s">
        <v>14645</v>
      </c>
      <c r="AY2489" s="77"/>
      <c r="AZ2489" s="82" t="s">
        <v>15804</v>
      </c>
      <c r="BA2489" s="82" t="s">
        <v>15804</v>
      </c>
      <c r="BB2489" s="82" t="s">
        <v>15804</v>
      </c>
      <c r="BC2489" s="82" t="s">
        <v>14645</v>
      </c>
      <c r="BD2489" s="82" t="s">
        <v>16558</v>
      </c>
      <c r="BE2489" s="77"/>
      <c r="BF2489" s="77"/>
      <c r="BG2489" s="77"/>
      <c r="BH2489" s="77"/>
      <c r="BI2489" s="77"/>
    </row>
    <row r="2490" spans="1:61" x14ac:dyDescent="0.25">
      <c r="A2490" s="62" t="s">
        <v>961</v>
      </c>
      <c r="B2490" s="62" t="s">
        <v>961</v>
      </c>
      <c r="C2490" s="63"/>
      <c r="D2490" s="64"/>
      <c r="E2490" s="65"/>
      <c r="F2490" s="66"/>
      <c r="G2490" s="63"/>
      <c r="H2490" s="67"/>
      <c r="I2490" s="68"/>
      <c r="J2490" s="68"/>
      <c r="K2490" s="32"/>
      <c r="L2490" s="75">
        <v>2490</v>
      </c>
      <c r="M2490" s="75"/>
      <c r="N2490" s="70"/>
      <c r="O2490" s="77" t="s">
        <v>179</v>
      </c>
      <c r="P2490" s="79">
        <v>44971.063668981478</v>
      </c>
      <c r="Q2490" s="77" t="s">
        <v>3532</v>
      </c>
      <c r="R2490" s="77">
        <v>0</v>
      </c>
      <c r="S2490" s="77">
        <v>0</v>
      </c>
      <c r="T2490" s="77">
        <v>0</v>
      </c>
      <c r="U2490" s="77">
        <v>0</v>
      </c>
      <c r="V2490" s="77">
        <v>7</v>
      </c>
      <c r="W2490" s="82" t="s">
        <v>5678</v>
      </c>
      <c r="X2490" s="77"/>
      <c r="Y2490" s="77"/>
      <c r="Z2490" s="77"/>
      <c r="AA2490" s="77"/>
      <c r="AB2490" s="77"/>
      <c r="AC2490" s="82" t="s">
        <v>7705</v>
      </c>
      <c r="AD2490" s="77" t="s">
        <v>7745</v>
      </c>
      <c r="AE2490" s="80" t="str">
        <f>HYPERLINK("https://twitter.com/taniamariaces/status/1625306751703678976")</f>
        <v>https://twitter.com/taniamariaces/status/1625306751703678976</v>
      </c>
      <c r="AF2490" s="79">
        <v>44971.063668981478</v>
      </c>
      <c r="AG2490" s="85">
        <v>44971</v>
      </c>
      <c r="AH2490" s="82" t="s">
        <v>9982</v>
      </c>
      <c r="AI2490" s="77"/>
      <c r="AJ2490" s="77"/>
      <c r="AK2490" s="77"/>
      <c r="AL2490" s="77"/>
      <c r="AM2490" s="77"/>
      <c r="AN2490" s="77"/>
      <c r="AO2490" s="77"/>
      <c r="AP2490" s="77"/>
      <c r="AQ2490" s="77"/>
      <c r="AR2490" s="77"/>
      <c r="AS2490" s="77"/>
      <c r="AT2490" s="77"/>
      <c r="AU2490" s="77"/>
      <c r="AV2490" s="80" t="str">
        <f>HYPERLINK("https://pbs.twimg.com/profile_images/1403078693015146496/ZaIoEbh-_normal.jpg")</f>
        <v>https://pbs.twimg.com/profile_images/1403078693015146496/ZaIoEbh-_normal.jpg</v>
      </c>
      <c r="AW2490" s="82" t="s">
        <v>14646</v>
      </c>
      <c r="AX2490" s="82" t="s">
        <v>14646</v>
      </c>
      <c r="AY2490" s="77"/>
      <c r="AZ2490" s="82" t="s">
        <v>15804</v>
      </c>
      <c r="BA2490" s="82" t="s">
        <v>15804</v>
      </c>
      <c r="BB2490" s="82" t="s">
        <v>15804</v>
      </c>
      <c r="BC2490" s="82" t="s">
        <v>14646</v>
      </c>
      <c r="BD2490" s="82" t="s">
        <v>16559</v>
      </c>
      <c r="BE2490" s="77"/>
      <c r="BF2490" s="77"/>
      <c r="BG2490" s="77"/>
      <c r="BH2490" s="77"/>
      <c r="BI2490" s="77"/>
    </row>
    <row r="2491" spans="1:61" x14ac:dyDescent="0.25">
      <c r="A2491" s="62" t="s">
        <v>962</v>
      </c>
      <c r="B2491" s="62" t="s">
        <v>962</v>
      </c>
      <c r="C2491" s="63"/>
      <c r="D2491" s="64"/>
      <c r="E2491" s="65"/>
      <c r="F2491" s="66"/>
      <c r="G2491" s="63"/>
      <c r="H2491" s="67"/>
      <c r="I2491" s="68"/>
      <c r="J2491" s="68"/>
      <c r="K2491" s="32"/>
      <c r="L2491" s="75">
        <v>2491</v>
      </c>
      <c r="M2491" s="75"/>
      <c r="N2491" s="70"/>
      <c r="O2491" s="77" t="s">
        <v>179</v>
      </c>
      <c r="P2491" s="79">
        <v>44957.551365740743</v>
      </c>
      <c r="Q2491" s="77" t="s">
        <v>3533</v>
      </c>
      <c r="R2491" s="77">
        <v>0</v>
      </c>
      <c r="S2491" s="77">
        <v>0</v>
      </c>
      <c r="T2491" s="77">
        <v>0</v>
      </c>
      <c r="U2491" s="77">
        <v>0</v>
      </c>
      <c r="V2491" s="77">
        <v>1</v>
      </c>
      <c r="W2491" s="82" t="s">
        <v>5254</v>
      </c>
      <c r="X2491" s="77"/>
      <c r="Y2491" s="77"/>
      <c r="Z2491" s="77"/>
      <c r="AA2491" s="77"/>
      <c r="AB2491" s="77"/>
      <c r="AC2491" s="82" t="s">
        <v>7707</v>
      </c>
      <c r="AD2491" s="77" t="s">
        <v>7745</v>
      </c>
      <c r="AE2491" s="80" t="str">
        <f>HYPERLINK("https://twitter.com/tiagoam80/status/1620410057153449985")</f>
        <v>https://twitter.com/tiagoam80/status/1620410057153449985</v>
      </c>
      <c r="AF2491" s="79">
        <v>44957.551365740743</v>
      </c>
      <c r="AG2491" s="85">
        <v>44957</v>
      </c>
      <c r="AH2491" s="82" t="s">
        <v>9983</v>
      </c>
      <c r="AI2491" s="77"/>
      <c r="AJ2491" s="77"/>
      <c r="AK2491" s="77"/>
      <c r="AL2491" s="77"/>
      <c r="AM2491" s="77"/>
      <c r="AN2491" s="77"/>
      <c r="AO2491" s="77"/>
      <c r="AP2491" s="77"/>
      <c r="AQ2491" s="77"/>
      <c r="AR2491" s="77"/>
      <c r="AS2491" s="77"/>
      <c r="AT2491" s="77"/>
      <c r="AU2491" s="77"/>
      <c r="AV2491" s="80" t="str">
        <f>HYPERLINK("https://pbs.twimg.com/profile_images/1601675493593341952/5nwvoGdk_normal.jpg")</f>
        <v>https://pbs.twimg.com/profile_images/1601675493593341952/5nwvoGdk_normal.jpg</v>
      </c>
      <c r="AW2491" s="82" t="s">
        <v>14647</v>
      </c>
      <c r="AX2491" s="82" t="s">
        <v>14647</v>
      </c>
      <c r="AY2491" s="77"/>
      <c r="AZ2491" s="82" t="s">
        <v>15804</v>
      </c>
      <c r="BA2491" s="82" t="s">
        <v>15804</v>
      </c>
      <c r="BB2491" s="82" t="s">
        <v>15804</v>
      </c>
      <c r="BC2491" s="82" t="s">
        <v>14647</v>
      </c>
      <c r="BD2491" s="82" t="s">
        <v>16560</v>
      </c>
      <c r="BE2491" s="77"/>
      <c r="BF2491" s="77"/>
      <c r="BG2491" s="77"/>
      <c r="BH2491" s="77"/>
      <c r="BI2491" s="77"/>
    </row>
    <row r="2492" spans="1:61" x14ac:dyDescent="0.25">
      <c r="A2492" s="62" t="s">
        <v>963</v>
      </c>
      <c r="B2492" s="62" t="s">
        <v>963</v>
      </c>
      <c r="C2492" s="63"/>
      <c r="D2492" s="64"/>
      <c r="E2492" s="65"/>
      <c r="F2492" s="66"/>
      <c r="G2492" s="63"/>
      <c r="H2492" s="67"/>
      <c r="I2492" s="68"/>
      <c r="J2492" s="68"/>
      <c r="K2492" s="32"/>
      <c r="L2492" s="75">
        <v>2492</v>
      </c>
      <c r="M2492" s="75"/>
      <c r="N2492" s="70"/>
      <c r="O2492" s="77" t="s">
        <v>179</v>
      </c>
      <c r="P2492" s="79">
        <v>45012.872164351851</v>
      </c>
      <c r="Q2492" s="77" t="s">
        <v>3534</v>
      </c>
      <c r="R2492" s="77">
        <v>0</v>
      </c>
      <c r="S2492" s="77">
        <v>0</v>
      </c>
      <c r="T2492" s="77">
        <v>0</v>
      </c>
      <c r="U2492" s="77">
        <v>0</v>
      </c>
      <c r="V2492" s="77">
        <v>94</v>
      </c>
      <c r="W2492" s="82" t="s">
        <v>5679</v>
      </c>
      <c r="X2492" s="80" t="str">
        <f>HYPERLINK("https://lnkd.in/dncDKTz4")</f>
        <v>https://lnkd.in/dncDKTz4</v>
      </c>
      <c r="Y2492" s="77" t="s">
        <v>6014</v>
      </c>
      <c r="Z2492" s="77"/>
      <c r="AA2492" s="77"/>
      <c r="AB2492" s="77"/>
      <c r="AC2492" s="82" t="s">
        <v>7720</v>
      </c>
      <c r="AD2492" s="77" t="s">
        <v>7745</v>
      </c>
      <c r="AE2492" s="80" t="str">
        <f>HYPERLINK("https://twitter.com/_joseamaral/status/1640457644019253251")</f>
        <v>https://twitter.com/_joseamaral/status/1640457644019253251</v>
      </c>
      <c r="AF2492" s="79">
        <v>45012.872164351851</v>
      </c>
      <c r="AG2492" s="85">
        <v>45012</v>
      </c>
      <c r="AH2492" s="82" t="s">
        <v>9984</v>
      </c>
      <c r="AI2492" s="77" t="b">
        <v>0</v>
      </c>
      <c r="AJ2492" s="77"/>
      <c r="AK2492" s="77"/>
      <c r="AL2492" s="77"/>
      <c r="AM2492" s="77"/>
      <c r="AN2492" s="77"/>
      <c r="AO2492" s="77"/>
      <c r="AP2492" s="77"/>
      <c r="AQ2492" s="77"/>
      <c r="AR2492" s="77"/>
      <c r="AS2492" s="77"/>
      <c r="AT2492" s="77"/>
      <c r="AU2492" s="77"/>
      <c r="AV2492" s="80" t="str">
        <f>HYPERLINK("https://pbs.twimg.com/profile_images/1698703805238390784/jJXHaGT1_normal.jpg")</f>
        <v>https://pbs.twimg.com/profile_images/1698703805238390784/jJXHaGT1_normal.jpg</v>
      </c>
      <c r="AW2492" s="82" t="s">
        <v>14648</v>
      </c>
      <c r="AX2492" s="82" t="s">
        <v>14648</v>
      </c>
      <c r="AY2492" s="77"/>
      <c r="AZ2492" s="82" t="s">
        <v>15804</v>
      </c>
      <c r="BA2492" s="82" t="s">
        <v>15804</v>
      </c>
      <c r="BB2492" s="82" t="s">
        <v>15804</v>
      </c>
      <c r="BC2492" s="82" t="s">
        <v>14648</v>
      </c>
      <c r="BD2492" s="77">
        <v>49599520</v>
      </c>
      <c r="BE2492" s="77"/>
      <c r="BF2492" s="77"/>
      <c r="BG2492" s="77"/>
      <c r="BH2492" s="77"/>
      <c r="BI2492" s="77"/>
    </row>
    <row r="2493" spans="1:61" x14ac:dyDescent="0.25">
      <c r="A2493" s="62" t="s">
        <v>963</v>
      </c>
      <c r="B2493" s="62" t="s">
        <v>963</v>
      </c>
      <c r="C2493" s="63"/>
      <c r="D2493" s="64"/>
      <c r="E2493" s="65"/>
      <c r="F2493" s="66"/>
      <c r="G2493" s="63"/>
      <c r="H2493" s="67"/>
      <c r="I2493" s="68"/>
      <c r="J2493" s="68"/>
      <c r="K2493" s="32"/>
      <c r="L2493" s="75">
        <v>2493</v>
      </c>
      <c r="M2493" s="75"/>
      <c r="N2493" s="70"/>
      <c r="O2493" s="77" t="s">
        <v>179</v>
      </c>
      <c r="P2493" s="79">
        <v>45036.763692129629</v>
      </c>
      <c r="Q2493" s="77" t="s">
        <v>3535</v>
      </c>
      <c r="R2493" s="77">
        <v>0</v>
      </c>
      <c r="S2493" s="77">
        <v>0</v>
      </c>
      <c r="T2493" s="77">
        <v>0</v>
      </c>
      <c r="U2493" s="77">
        <v>0</v>
      </c>
      <c r="V2493" s="77">
        <v>8</v>
      </c>
      <c r="W2493" s="82" t="s">
        <v>5680</v>
      </c>
      <c r="X2493" s="80" t="str">
        <f>HYPERLINK("https://lnkd.in/dnnTnWtK")</f>
        <v>https://lnkd.in/dnnTnWtK</v>
      </c>
      <c r="Y2493" s="77" t="s">
        <v>6014</v>
      </c>
      <c r="Z2493" s="77"/>
      <c r="AA2493" s="77"/>
      <c r="AB2493" s="77"/>
      <c r="AC2493" s="82" t="s">
        <v>7720</v>
      </c>
      <c r="AD2493" s="77" t="s">
        <v>7751</v>
      </c>
      <c r="AE2493" s="80" t="str">
        <f>HYPERLINK("https://twitter.com/_joseamaral/status/1649115643965210635")</f>
        <v>https://twitter.com/_joseamaral/status/1649115643965210635</v>
      </c>
      <c r="AF2493" s="79">
        <v>45036.763692129629</v>
      </c>
      <c r="AG2493" s="85">
        <v>45036</v>
      </c>
      <c r="AH2493" s="82" t="s">
        <v>9985</v>
      </c>
      <c r="AI2493" s="77" t="b">
        <v>0</v>
      </c>
      <c r="AJ2493" s="77"/>
      <c r="AK2493" s="77"/>
      <c r="AL2493" s="77"/>
      <c r="AM2493" s="77"/>
      <c r="AN2493" s="77"/>
      <c r="AO2493" s="77"/>
      <c r="AP2493" s="77"/>
      <c r="AQ2493" s="77"/>
      <c r="AR2493" s="77"/>
      <c r="AS2493" s="77"/>
      <c r="AT2493" s="77"/>
      <c r="AU2493" s="77"/>
      <c r="AV2493" s="80" t="str">
        <f>HYPERLINK("https://pbs.twimg.com/profile_images/1698703805238390784/jJXHaGT1_normal.jpg")</f>
        <v>https://pbs.twimg.com/profile_images/1698703805238390784/jJXHaGT1_normal.jpg</v>
      </c>
      <c r="AW2493" s="82" t="s">
        <v>14649</v>
      </c>
      <c r="AX2493" s="82" t="s">
        <v>14649</v>
      </c>
      <c r="AY2493" s="77"/>
      <c r="AZ2493" s="82" t="s">
        <v>15804</v>
      </c>
      <c r="BA2493" s="82" t="s">
        <v>15804</v>
      </c>
      <c r="BB2493" s="82" t="s">
        <v>15804</v>
      </c>
      <c r="BC2493" s="82" t="s">
        <v>14649</v>
      </c>
      <c r="BD2493" s="77">
        <v>49599520</v>
      </c>
      <c r="BE2493" s="77"/>
      <c r="BF2493" s="77"/>
      <c r="BG2493" s="77"/>
      <c r="BH2493" s="77"/>
      <c r="BI2493" s="77"/>
    </row>
    <row r="2494" spans="1:61" x14ac:dyDescent="0.25">
      <c r="A2494" s="62" t="s">
        <v>963</v>
      </c>
      <c r="B2494" s="62" t="s">
        <v>963</v>
      </c>
      <c r="C2494" s="63"/>
      <c r="D2494" s="64"/>
      <c r="E2494" s="65"/>
      <c r="F2494" s="66"/>
      <c r="G2494" s="63"/>
      <c r="H2494" s="67"/>
      <c r="I2494" s="68"/>
      <c r="J2494" s="68"/>
      <c r="K2494" s="32"/>
      <c r="L2494" s="75">
        <v>2494</v>
      </c>
      <c r="M2494" s="75"/>
      <c r="N2494" s="70"/>
      <c r="O2494" s="77" t="s">
        <v>179</v>
      </c>
      <c r="P2494" s="79">
        <v>45049.739340277774</v>
      </c>
      <c r="Q2494" s="77" t="s">
        <v>3536</v>
      </c>
      <c r="R2494" s="77">
        <v>0</v>
      </c>
      <c r="S2494" s="77">
        <v>0</v>
      </c>
      <c r="T2494" s="77">
        <v>0</v>
      </c>
      <c r="U2494" s="77">
        <v>0</v>
      </c>
      <c r="V2494" s="77">
        <v>6</v>
      </c>
      <c r="W2494" s="82" t="s">
        <v>5681</v>
      </c>
      <c r="X2494" s="80" t="str">
        <f>HYPERLINK("https://lnkd.in/dPtd9BQ4")</f>
        <v>https://lnkd.in/dPtd9BQ4</v>
      </c>
      <c r="Y2494" s="77" t="s">
        <v>6014</v>
      </c>
      <c r="Z2494" s="77"/>
      <c r="AA2494" s="77"/>
      <c r="AB2494" s="77"/>
      <c r="AC2494" s="82" t="s">
        <v>7720</v>
      </c>
      <c r="AD2494" s="77" t="s">
        <v>7750</v>
      </c>
      <c r="AE2494" s="80" t="str">
        <f>HYPERLINK("https://twitter.com/_joseamaral/status/1653817864015552513")</f>
        <v>https://twitter.com/_joseamaral/status/1653817864015552513</v>
      </c>
      <c r="AF2494" s="79">
        <v>45049.739340277774</v>
      </c>
      <c r="AG2494" s="85">
        <v>45049</v>
      </c>
      <c r="AH2494" s="82" t="s">
        <v>9986</v>
      </c>
      <c r="AI2494" s="77" t="b">
        <v>0</v>
      </c>
      <c r="AJ2494" s="77"/>
      <c r="AK2494" s="77"/>
      <c r="AL2494" s="77"/>
      <c r="AM2494" s="77"/>
      <c r="AN2494" s="77"/>
      <c r="AO2494" s="77"/>
      <c r="AP2494" s="77"/>
      <c r="AQ2494" s="77"/>
      <c r="AR2494" s="77"/>
      <c r="AS2494" s="77"/>
      <c r="AT2494" s="77"/>
      <c r="AU2494" s="77"/>
      <c r="AV2494" s="80" t="str">
        <f>HYPERLINK("https://pbs.twimg.com/profile_images/1698703805238390784/jJXHaGT1_normal.jpg")</f>
        <v>https://pbs.twimg.com/profile_images/1698703805238390784/jJXHaGT1_normal.jpg</v>
      </c>
      <c r="AW2494" s="82" t="s">
        <v>14650</v>
      </c>
      <c r="AX2494" s="82" t="s">
        <v>14650</v>
      </c>
      <c r="AY2494" s="77"/>
      <c r="AZ2494" s="82" t="s">
        <v>15804</v>
      </c>
      <c r="BA2494" s="82" t="s">
        <v>15804</v>
      </c>
      <c r="BB2494" s="82" t="s">
        <v>15804</v>
      </c>
      <c r="BC2494" s="82" t="s">
        <v>14650</v>
      </c>
      <c r="BD2494" s="77">
        <v>49599520</v>
      </c>
      <c r="BE2494" s="77"/>
      <c r="BF2494" s="77"/>
      <c r="BG2494" s="77"/>
      <c r="BH2494" s="77"/>
      <c r="BI2494" s="77"/>
    </row>
    <row r="2495" spans="1:61" x14ac:dyDescent="0.25">
      <c r="A2495" s="62" t="s">
        <v>964</v>
      </c>
      <c r="B2495" s="62" t="s">
        <v>964</v>
      </c>
      <c r="C2495" s="63"/>
      <c r="D2495" s="64"/>
      <c r="E2495" s="65"/>
      <c r="F2495" s="66"/>
      <c r="G2495" s="63"/>
      <c r="H2495" s="67"/>
      <c r="I2495" s="68"/>
      <c r="J2495" s="68"/>
      <c r="K2495" s="32"/>
      <c r="L2495" s="75">
        <v>2495</v>
      </c>
      <c r="M2495" s="75"/>
      <c r="N2495" s="70"/>
      <c r="O2495" s="77" t="s">
        <v>179</v>
      </c>
      <c r="P2495" s="79">
        <v>45174.110567129632</v>
      </c>
      <c r="Q2495" s="77" t="s">
        <v>3537</v>
      </c>
      <c r="R2495" s="77">
        <v>1</v>
      </c>
      <c r="S2495" s="77">
        <v>0</v>
      </c>
      <c r="T2495" s="77">
        <v>0</v>
      </c>
      <c r="U2495" s="77">
        <v>0</v>
      </c>
      <c r="V2495" s="77">
        <v>53</v>
      </c>
      <c r="W2495" s="82" t="s">
        <v>5682</v>
      </c>
      <c r="X2495" s="80" t="str">
        <f>HYPERLINK("https://bit.ly/44Ik26u")</f>
        <v>https://bit.ly/44Ik26u</v>
      </c>
      <c r="Y2495" s="77" t="s">
        <v>6004</v>
      </c>
      <c r="Z2495" s="77"/>
      <c r="AA2495" s="77" t="s">
        <v>7512</v>
      </c>
      <c r="AB2495" s="77" t="s">
        <v>7696</v>
      </c>
      <c r="AC2495" s="82" t="s">
        <v>7706</v>
      </c>
      <c r="AD2495" s="77" t="s">
        <v>7745</v>
      </c>
      <c r="AE2495" s="80" t="str">
        <f>HYPERLINK("https://twitter.com/melhorrh/status/1698888486785364340")</f>
        <v>https://twitter.com/melhorrh/status/1698888486785364340</v>
      </c>
      <c r="AF2495" s="79">
        <v>45174.110567129632</v>
      </c>
      <c r="AG2495" s="85">
        <v>45174</v>
      </c>
      <c r="AH2495" s="82" t="s">
        <v>9987</v>
      </c>
      <c r="AI2495" s="77" t="b">
        <v>0</v>
      </c>
      <c r="AJ2495" s="77"/>
      <c r="AK2495" s="77"/>
      <c r="AL2495" s="77"/>
      <c r="AM2495" s="77"/>
      <c r="AN2495" s="77"/>
      <c r="AO2495" s="77"/>
      <c r="AP2495" s="77"/>
      <c r="AQ2495" s="77" t="s">
        <v>12019</v>
      </c>
      <c r="AR2495" s="77"/>
      <c r="AS2495" s="77"/>
      <c r="AT2495" s="77"/>
      <c r="AU2495" s="77"/>
      <c r="AV2495" s="80" t="str">
        <f>HYPERLINK("https://pbs.twimg.com/media/F5OqDwzW0AATT-D.jpg")</f>
        <v>https://pbs.twimg.com/media/F5OqDwzW0AATT-D.jpg</v>
      </c>
      <c r="AW2495" s="82" t="s">
        <v>14651</v>
      </c>
      <c r="AX2495" s="82" t="s">
        <v>14651</v>
      </c>
      <c r="AY2495" s="77"/>
      <c r="AZ2495" s="82" t="s">
        <v>15804</v>
      </c>
      <c r="BA2495" s="82" t="s">
        <v>15804</v>
      </c>
      <c r="BB2495" s="82" t="s">
        <v>15804</v>
      </c>
      <c r="BC2495" s="82" t="s">
        <v>14651</v>
      </c>
      <c r="BD2495" s="77">
        <v>24918659</v>
      </c>
      <c r="BE2495" s="77"/>
      <c r="BF2495" s="77"/>
      <c r="BG2495" s="77"/>
      <c r="BH2495" s="77"/>
      <c r="BI2495" s="77"/>
    </row>
    <row r="2496" spans="1:61" x14ac:dyDescent="0.25">
      <c r="A2496" s="62" t="s">
        <v>965</v>
      </c>
      <c r="B2496" s="62" t="s">
        <v>1058</v>
      </c>
      <c r="C2496" s="63"/>
      <c r="D2496" s="64"/>
      <c r="E2496" s="65"/>
      <c r="F2496" s="66"/>
      <c r="G2496" s="63"/>
      <c r="H2496" s="67"/>
      <c r="I2496" s="68"/>
      <c r="J2496" s="68"/>
      <c r="K2496" s="32"/>
      <c r="L2496" s="75">
        <v>2496</v>
      </c>
      <c r="M2496" s="75"/>
      <c r="N2496" s="70"/>
      <c r="O2496" s="77" t="s">
        <v>1133</v>
      </c>
      <c r="P2496" s="79">
        <v>45029.092303240737</v>
      </c>
      <c r="Q2496" s="77" t="s">
        <v>3538</v>
      </c>
      <c r="R2496" s="77">
        <v>0</v>
      </c>
      <c r="S2496" s="77">
        <v>0</v>
      </c>
      <c r="T2496" s="77">
        <v>1</v>
      </c>
      <c r="U2496" s="77">
        <v>0</v>
      </c>
      <c r="V2496" s="77">
        <v>33</v>
      </c>
      <c r="W2496" s="82" t="s">
        <v>5683</v>
      </c>
      <c r="X2496" s="80" t="str">
        <f>HYPERLINK("https://youtube.com/shorts/KC98aNYbmq4?feature=share")</f>
        <v>https://youtube.com/shorts/KC98aNYbmq4?feature=share</v>
      </c>
      <c r="Y2496" s="77" t="s">
        <v>6006</v>
      </c>
      <c r="Z2496" s="77" t="s">
        <v>1058</v>
      </c>
      <c r="AA2496" s="77"/>
      <c r="AB2496" s="77"/>
      <c r="AC2496" s="82" t="s">
        <v>7705</v>
      </c>
      <c r="AD2496" s="77" t="s">
        <v>7745</v>
      </c>
      <c r="AE2496" s="80" t="str">
        <f>HYPERLINK("https://twitter.com/israelpinveste/status/1646335628336943104")</f>
        <v>https://twitter.com/israelpinveste/status/1646335628336943104</v>
      </c>
      <c r="AF2496" s="79">
        <v>45029.092303240737</v>
      </c>
      <c r="AG2496" s="85">
        <v>45029</v>
      </c>
      <c r="AH2496" s="82" t="s">
        <v>9988</v>
      </c>
      <c r="AI2496" s="77" t="b">
        <v>0</v>
      </c>
      <c r="AJ2496" s="77"/>
      <c r="AK2496" s="77"/>
      <c r="AL2496" s="77"/>
      <c r="AM2496" s="77"/>
      <c r="AN2496" s="77"/>
      <c r="AO2496" s="77"/>
      <c r="AP2496" s="77"/>
      <c r="AQ2496" s="77"/>
      <c r="AR2496" s="77"/>
      <c r="AS2496" s="77"/>
      <c r="AT2496" s="77"/>
      <c r="AU2496" s="77"/>
      <c r="AV2496" s="80" t="str">
        <f>HYPERLINK("https://pbs.twimg.com/profile_images/1615508002567512064/72hXrP_U_normal.jpg")</f>
        <v>https://pbs.twimg.com/profile_images/1615508002567512064/72hXrP_U_normal.jpg</v>
      </c>
      <c r="AW2496" s="82" t="s">
        <v>14652</v>
      </c>
      <c r="AX2496" s="82" t="s">
        <v>14652</v>
      </c>
      <c r="AY2496" s="77"/>
      <c r="AZ2496" s="82" t="s">
        <v>15804</v>
      </c>
      <c r="BA2496" s="82" t="s">
        <v>15804</v>
      </c>
      <c r="BB2496" s="82" t="s">
        <v>15804</v>
      </c>
      <c r="BC2496" s="82" t="s">
        <v>14652</v>
      </c>
      <c r="BD2496" s="82" t="s">
        <v>16561</v>
      </c>
      <c r="BE2496" s="77"/>
      <c r="BF2496" s="77"/>
      <c r="BG2496" s="77"/>
      <c r="BH2496" s="77"/>
      <c r="BI2496" s="77"/>
    </row>
    <row r="2497" spans="1:61" x14ac:dyDescent="0.25">
      <c r="A2497" s="62" t="s">
        <v>965</v>
      </c>
      <c r="B2497" s="62" t="s">
        <v>965</v>
      </c>
      <c r="C2497" s="63"/>
      <c r="D2497" s="64"/>
      <c r="E2497" s="65"/>
      <c r="F2497" s="66"/>
      <c r="G2497" s="63"/>
      <c r="H2497" s="67"/>
      <c r="I2497" s="68"/>
      <c r="J2497" s="68"/>
      <c r="K2497" s="32"/>
      <c r="L2497" s="75">
        <v>2497</v>
      </c>
      <c r="M2497" s="75"/>
      <c r="N2497" s="70"/>
      <c r="O2497" s="77" t="s">
        <v>179</v>
      </c>
      <c r="P2497" s="79">
        <v>45039.935543981483</v>
      </c>
      <c r="Q2497" s="77" t="s">
        <v>3539</v>
      </c>
      <c r="R2497" s="77">
        <v>1</v>
      </c>
      <c r="S2497" s="77">
        <v>0</v>
      </c>
      <c r="T2497" s="77">
        <v>0</v>
      </c>
      <c r="U2497" s="77">
        <v>0</v>
      </c>
      <c r="V2497" s="77">
        <v>2670</v>
      </c>
      <c r="W2497" s="82" t="s">
        <v>5684</v>
      </c>
      <c r="X2497" s="77"/>
      <c r="Y2497" s="77"/>
      <c r="Z2497" s="77"/>
      <c r="AA2497" s="77" t="s">
        <v>7513</v>
      </c>
      <c r="AB2497" s="77" t="s">
        <v>7697</v>
      </c>
      <c r="AC2497" s="82" t="s">
        <v>7705</v>
      </c>
      <c r="AD2497" s="77" t="s">
        <v>7745</v>
      </c>
      <c r="AE2497" s="80" t="str">
        <f>HYPERLINK("https://twitter.com/israelpinveste/status/1650265086269718530")</f>
        <v>https://twitter.com/israelpinveste/status/1650265086269718530</v>
      </c>
      <c r="AF2497" s="79">
        <v>45039.935543981483</v>
      </c>
      <c r="AG2497" s="85">
        <v>45039</v>
      </c>
      <c r="AH2497" s="82" t="s">
        <v>9989</v>
      </c>
      <c r="AI2497" s="77" t="b">
        <v>0</v>
      </c>
      <c r="AJ2497" s="77"/>
      <c r="AK2497" s="77"/>
      <c r="AL2497" s="77"/>
      <c r="AM2497" s="77"/>
      <c r="AN2497" s="77"/>
      <c r="AO2497" s="77"/>
      <c r="AP2497" s="77"/>
      <c r="AQ2497" s="77" t="s">
        <v>12020</v>
      </c>
      <c r="AR2497" s="77">
        <v>11416</v>
      </c>
      <c r="AS2497" s="77"/>
      <c r="AT2497" s="77"/>
      <c r="AU2497" s="77">
        <v>2273</v>
      </c>
      <c r="AV2497" s="80" t="str">
        <f>HYPERLINK("https://pbs.twimg.com/amplify_video_thumb/1650264956233711616/img/HIrwLSVGOu6CLhf1.jpg")</f>
        <v>https://pbs.twimg.com/amplify_video_thumb/1650264956233711616/img/HIrwLSVGOu6CLhf1.jpg</v>
      </c>
      <c r="AW2497" s="82" t="s">
        <v>14653</v>
      </c>
      <c r="AX2497" s="82" t="s">
        <v>14653</v>
      </c>
      <c r="AY2497" s="77"/>
      <c r="AZ2497" s="82" t="s">
        <v>15804</v>
      </c>
      <c r="BA2497" s="82" t="s">
        <v>15804</v>
      </c>
      <c r="BB2497" s="82" t="s">
        <v>15804</v>
      </c>
      <c r="BC2497" s="82" t="s">
        <v>14653</v>
      </c>
      <c r="BD2497" s="82" t="s">
        <v>16561</v>
      </c>
      <c r="BE2497" s="77"/>
      <c r="BF2497" s="77"/>
      <c r="BG2497" s="77"/>
      <c r="BH2497" s="77"/>
      <c r="BI2497" s="77"/>
    </row>
    <row r="2498" spans="1:61" x14ac:dyDescent="0.25">
      <c r="A2498" s="62" t="s">
        <v>965</v>
      </c>
      <c r="B2498" s="62" t="s">
        <v>1058</v>
      </c>
      <c r="C2498" s="63"/>
      <c r="D2498" s="64"/>
      <c r="E2498" s="65"/>
      <c r="F2498" s="66"/>
      <c r="G2498" s="63"/>
      <c r="H2498" s="67"/>
      <c r="I2498" s="68"/>
      <c r="J2498" s="68"/>
      <c r="K2498" s="32"/>
      <c r="L2498" s="75">
        <v>2498</v>
      </c>
      <c r="M2498" s="75"/>
      <c r="N2498" s="70"/>
      <c r="O2498" s="77" t="s">
        <v>1133</v>
      </c>
      <c r="P2498" s="79">
        <v>45057.076921296299</v>
      </c>
      <c r="Q2498" s="77" t="s">
        <v>3540</v>
      </c>
      <c r="R2498" s="77">
        <v>0</v>
      </c>
      <c r="S2498" s="77">
        <v>2</v>
      </c>
      <c r="T2498" s="77">
        <v>1</v>
      </c>
      <c r="U2498" s="77">
        <v>0</v>
      </c>
      <c r="V2498" s="77">
        <v>59</v>
      </c>
      <c r="W2498" s="82" t="s">
        <v>5685</v>
      </c>
      <c r="X2498" s="80" t="str">
        <f>HYPERLINK("https://youtu.be/JgrFUlS-hNQ")</f>
        <v>https://youtu.be/JgrFUlS-hNQ</v>
      </c>
      <c r="Y2498" s="77" t="s">
        <v>6003</v>
      </c>
      <c r="Z2498" s="77" t="s">
        <v>1058</v>
      </c>
      <c r="AA2498" s="77" t="s">
        <v>7514</v>
      </c>
      <c r="AB2498" s="77" t="s">
        <v>7696</v>
      </c>
      <c r="AC2498" s="82" t="s">
        <v>7706</v>
      </c>
      <c r="AD2498" s="77" t="s">
        <v>7745</v>
      </c>
      <c r="AE2498" s="80" t="str">
        <f>HYPERLINK("https://twitter.com/israelpinveste/status/1656476911906828288")</f>
        <v>https://twitter.com/israelpinveste/status/1656476911906828288</v>
      </c>
      <c r="AF2498" s="79">
        <v>45057.076921296299</v>
      </c>
      <c r="AG2498" s="85">
        <v>45057</v>
      </c>
      <c r="AH2498" s="82" t="s">
        <v>9990</v>
      </c>
      <c r="AI2498" s="77" t="b">
        <v>0</v>
      </c>
      <c r="AJ2498" s="77"/>
      <c r="AK2498" s="77"/>
      <c r="AL2498" s="77"/>
      <c r="AM2498" s="77"/>
      <c r="AN2498" s="77"/>
      <c r="AO2498" s="77"/>
      <c r="AP2498" s="77"/>
      <c r="AQ2498" s="77" t="s">
        <v>12021</v>
      </c>
      <c r="AR2498" s="77"/>
      <c r="AS2498" s="77"/>
      <c r="AT2498" s="77"/>
      <c r="AU2498" s="77"/>
      <c r="AV2498" s="80" t="str">
        <f>HYPERLINK("https://pbs.twimg.com/media/Fvz85H2WAAEQ0fh.jpg")</f>
        <v>https://pbs.twimg.com/media/Fvz85H2WAAEQ0fh.jpg</v>
      </c>
      <c r="AW2498" s="82" t="s">
        <v>14654</v>
      </c>
      <c r="AX2498" s="82" t="s">
        <v>14654</v>
      </c>
      <c r="AY2498" s="77"/>
      <c r="AZ2498" s="82" t="s">
        <v>15804</v>
      </c>
      <c r="BA2498" s="82" t="s">
        <v>15804</v>
      </c>
      <c r="BB2498" s="82" t="s">
        <v>15804</v>
      </c>
      <c r="BC2498" s="82" t="s">
        <v>14654</v>
      </c>
      <c r="BD2498" s="82" t="s">
        <v>16561</v>
      </c>
      <c r="BE2498" s="77"/>
      <c r="BF2498" s="77"/>
      <c r="BG2498" s="77"/>
      <c r="BH2498" s="77"/>
      <c r="BI2498" s="77"/>
    </row>
    <row r="2499" spans="1:61" x14ac:dyDescent="0.25">
      <c r="A2499" s="62" t="s">
        <v>965</v>
      </c>
      <c r="B2499" s="62" t="s">
        <v>1058</v>
      </c>
      <c r="C2499" s="63"/>
      <c r="D2499" s="64"/>
      <c r="E2499" s="65"/>
      <c r="F2499" s="66"/>
      <c r="G2499" s="63"/>
      <c r="H2499" s="67"/>
      <c r="I2499" s="68"/>
      <c r="J2499" s="68"/>
      <c r="K2499" s="32"/>
      <c r="L2499" s="75">
        <v>2499</v>
      </c>
      <c r="M2499" s="75"/>
      <c r="N2499" s="70"/>
      <c r="O2499" s="77" t="s">
        <v>1133</v>
      </c>
      <c r="P2499" s="79">
        <v>45018.982060185182</v>
      </c>
      <c r="Q2499" s="77" t="s">
        <v>3541</v>
      </c>
      <c r="R2499" s="77">
        <v>0</v>
      </c>
      <c r="S2499" s="77">
        <v>0</v>
      </c>
      <c r="T2499" s="77">
        <v>0</v>
      </c>
      <c r="U2499" s="77">
        <v>0</v>
      </c>
      <c r="V2499" s="77">
        <v>31</v>
      </c>
      <c r="W2499" s="82" t="s">
        <v>5686</v>
      </c>
      <c r="X2499" s="80" t="str">
        <f>HYPERLINK("https://youtube.com/shorts/YhrblLdVPwA?feature=share")</f>
        <v>https://youtube.com/shorts/YhrblLdVPwA?feature=share</v>
      </c>
      <c r="Y2499" s="77" t="s">
        <v>6006</v>
      </c>
      <c r="Z2499" s="77" t="s">
        <v>1058</v>
      </c>
      <c r="AA2499" s="77"/>
      <c r="AB2499" s="77"/>
      <c r="AC2499" s="82" t="s">
        <v>7705</v>
      </c>
      <c r="AD2499" s="77" t="s">
        <v>7745</v>
      </c>
      <c r="AE2499" s="80" t="str">
        <f>HYPERLINK("https://twitter.com/israelpinveste/status/1642671799333789696")</f>
        <v>https://twitter.com/israelpinveste/status/1642671799333789696</v>
      </c>
      <c r="AF2499" s="79">
        <v>45018.982060185182</v>
      </c>
      <c r="AG2499" s="85">
        <v>45018</v>
      </c>
      <c r="AH2499" s="82" t="s">
        <v>9991</v>
      </c>
      <c r="AI2499" s="77" t="b">
        <v>0</v>
      </c>
      <c r="AJ2499" s="77"/>
      <c r="AK2499" s="77"/>
      <c r="AL2499" s="77"/>
      <c r="AM2499" s="77"/>
      <c r="AN2499" s="77"/>
      <c r="AO2499" s="77"/>
      <c r="AP2499" s="77"/>
      <c r="AQ2499" s="77"/>
      <c r="AR2499" s="77"/>
      <c r="AS2499" s="77"/>
      <c r="AT2499" s="77"/>
      <c r="AU2499" s="77"/>
      <c r="AV2499" s="80" t="str">
        <f>HYPERLINK("https://pbs.twimg.com/profile_images/1615508002567512064/72hXrP_U_normal.jpg")</f>
        <v>https://pbs.twimg.com/profile_images/1615508002567512064/72hXrP_U_normal.jpg</v>
      </c>
      <c r="AW2499" s="82" t="s">
        <v>14655</v>
      </c>
      <c r="AX2499" s="82" t="s">
        <v>14655</v>
      </c>
      <c r="AY2499" s="77"/>
      <c r="AZ2499" s="82" t="s">
        <v>15804</v>
      </c>
      <c r="BA2499" s="82" t="s">
        <v>15804</v>
      </c>
      <c r="BB2499" s="82" t="s">
        <v>15804</v>
      </c>
      <c r="BC2499" s="82" t="s">
        <v>14655</v>
      </c>
      <c r="BD2499" s="82" t="s">
        <v>16561</v>
      </c>
      <c r="BE2499" s="77"/>
      <c r="BF2499" s="77"/>
      <c r="BG2499" s="77"/>
      <c r="BH2499" s="77"/>
      <c r="BI2499" s="77"/>
    </row>
    <row r="2500" spans="1:61" x14ac:dyDescent="0.25">
      <c r="A2500" s="62" t="s">
        <v>965</v>
      </c>
      <c r="B2500" s="62" t="s">
        <v>965</v>
      </c>
      <c r="C2500" s="63"/>
      <c r="D2500" s="64"/>
      <c r="E2500" s="65"/>
      <c r="F2500" s="66"/>
      <c r="G2500" s="63"/>
      <c r="H2500" s="67"/>
      <c r="I2500" s="68"/>
      <c r="J2500" s="68"/>
      <c r="K2500" s="32"/>
      <c r="L2500" s="75">
        <v>2500</v>
      </c>
      <c r="M2500" s="75"/>
      <c r="N2500" s="70"/>
      <c r="O2500" s="77" t="s">
        <v>179</v>
      </c>
      <c r="P2500" s="79">
        <v>45042.092731481483</v>
      </c>
      <c r="Q2500" s="77" t="s">
        <v>3542</v>
      </c>
      <c r="R2500" s="77">
        <v>0</v>
      </c>
      <c r="S2500" s="77">
        <v>0</v>
      </c>
      <c r="T2500" s="77">
        <v>0</v>
      </c>
      <c r="U2500" s="77">
        <v>0</v>
      </c>
      <c r="V2500" s="77">
        <v>127</v>
      </c>
      <c r="W2500" s="82" t="s">
        <v>5687</v>
      </c>
      <c r="X2500" s="77"/>
      <c r="Y2500" s="77"/>
      <c r="Z2500" s="77"/>
      <c r="AA2500" s="77" t="s">
        <v>7515</v>
      </c>
      <c r="AB2500" s="77" t="s">
        <v>7697</v>
      </c>
      <c r="AC2500" s="82" t="s">
        <v>7705</v>
      </c>
      <c r="AD2500" s="77" t="s">
        <v>7745</v>
      </c>
      <c r="AE2500" s="80" t="str">
        <f>HYPERLINK("https://twitter.com/israelpinveste/status/1651046824604516355")</f>
        <v>https://twitter.com/israelpinveste/status/1651046824604516355</v>
      </c>
      <c r="AF2500" s="79">
        <v>45042.092731481483</v>
      </c>
      <c r="AG2500" s="85">
        <v>45042</v>
      </c>
      <c r="AH2500" s="82" t="s">
        <v>9992</v>
      </c>
      <c r="AI2500" s="77" t="b">
        <v>0</v>
      </c>
      <c r="AJ2500" s="77" t="s">
        <v>10524</v>
      </c>
      <c r="AK2500" s="77" t="s">
        <v>10552</v>
      </c>
      <c r="AL2500" s="77" t="s">
        <v>10555</v>
      </c>
      <c r="AM2500" s="77" t="s">
        <v>10561</v>
      </c>
      <c r="AN2500" s="77" t="s">
        <v>10591</v>
      </c>
      <c r="AO2500" s="77" t="s">
        <v>10622</v>
      </c>
      <c r="AP2500" s="77" t="s">
        <v>10649</v>
      </c>
      <c r="AQ2500" s="77" t="s">
        <v>12022</v>
      </c>
      <c r="AR2500" s="77">
        <v>40358</v>
      </c>
      <c r="AS2500" s="77"/>
      <c r="AT2500" s="77"/>
      <c r="AU2500" s="77">
        <v>43</v>
      </c>
      <c r="AV2500" s="80" t="str">
        <f>HYPERLINK("https://pbs.twimg.com/amplify_video_thumb/1651046591342452736/img/rVnH9gjuzHIGLjY6.jpg")</f>
        <v>https://pbs.twimg.com/amplify_video_thumb/1651046591342452736/img/rVnH9gjuzHIGLjY6.jpg</v>
      </c>
      <c r="AW2500" s="82" t="s">
        <v>14656</v>
      </c>
      <c r="AX2500" s="82" t="s">
        <v>14656</v>
      </c>
      <c r="AY2500" s="77"/>
      <c r="AZ2500" s="82" t="s">
        <v>15804</v>
      </c>
      <c r="BA2500" s="82" t="s">
        <v>15804</v>
      </c>
      <c r="BB2500" s="82" t="s">
        <v>15804</v>
      </c>
      <c r="BC2500" s="82" t="s">
        <v>14656</v>
      </c>
      <c r="BD2500" s="82" t="s">
        <v>16561</v>
      </c>
      <c r="BE2500" s="77"/>
      <c r="BF2500" s="77"/>
      <c r="BG2500" s="77"/>
      <c r="BH2500" s="77"/>
      <c r="BI2500" s="77"/>
    </row>
    <row r="2501" spans="1:61" x14ac:dyDescent="0.25">
      <c r="A2501" s="62" t="s">
        <v>965</v>
      </c>
      <c r="B2501" s="62" t="s">
        <v>965</v>
      </c>
      <c r="C2501" s="63"/>
      <c r="D2501" s="64"/>
      <c r="E2501" s="65"/>
      <c r="F2501" s="66"/>
      <c r="G2501" s="63"/>
      <c r="H2501" s="67"/>
      <c r="I2501" s="68"/>
      <c r="J2501" s="68"/>
      <c r="K2501" s="32"/>
      <c r="L2501" s="75">
        <v>2501</v>
      </c>
      <c r="M2501" s="75"/>
      <c r="N2501" s="70"/>
      <c r="O2501" s="77" t="s">
        <v>179</v>
      </c>
      <c r="P2501" s="79">
        <v>45042.092523148145</v>
      </c>
      <c r="Q2501" s="77" t="s">
        <v>3543</v>
      </c>
      <c r="R2501" s="77">
        <v>0</v>
      </c>
      <c r="S2501" s="77">
        <v>0</v>
      </c>
      <c r="T2501" s="77">
        <v>0</v>
      </c>
      <c r="U2501" s="77">
        <v>0</v>
      </c>
      <c r="V2501" s="77">
        <v>115</v>
      </c>
      <c r="W2501" s="82" t="s">
        <v>5687</v>
      </c>
      <c r="X2501" s="77"/>
      <c r="Y2501" s="77"/>
      <c r="Z2501" s="77"/>
      <c r="AA2501" s="77" t="s">
        <v>7516</v>
      </c>
      <c r="AB2501" s="77" t="s">
        <v>7697</v>
      </c>
      <c r="AC2501" s="82" t="s">
        <v>7705</v>
      </c>
      <c r="AD2501" s="77" t="s">
        <v>7745</v>
      </c>
      <c r="AE2501" s="80" t="str">
        <f>HYPERLINK("https://twitter.com/israelpinveste/status/1651046749727870981")</f>
        <v>https://twitter.com/israelpinveste/status/1651046749727870981</v>
      </c>
      <c r="AF2501" s="79">
        <v>45042.092523148145</v>
      </c>
      <c r="AG2501" s="85">
        <v>45042</v>
      </c>
      <c r="AH2501" s="82" t="s">
        <v>9993</v>
      </c>
      <c r="AI2501" s="77" t="b">
        <v>0</v>
      </c>
      <c r="AJ2501" s="77" t="s">
        <v>10524</v>
      </c>
      <c r="AK2501" s="77" t="s">
        <v>10552</v>
      </c>
      <c r="AL2501" s="77" t="s">
        <v>10555</v>
      </c>
      <c r="AM2501" s="77" t="s">
        <v>10561</v>
      </c>
      <c r="AN2501" s="77" t="s">
        <v>10591</v>
      </c>
      <c r="AO2501" s="77" t="s">
        <v>10622</v>
      </c>
      <c r="AP2501" s="77" t="s">
        <v>10649</v>
      </c>
      <c r="AQ2501" s="77" t="s">
        <v>12022</v>
      </c>
      <c r="AR2501" s="77">
        <v>40358</v>
      </c>
      <c r="AS2501" s="77"/>
      <c r="AT2501" s="77"/>
      <c r="AU2501" s="77">
        <v>43</v>
      </c>
      <c r="AV2501" s="80" t="str">
        <f>HYPERLINK("https://pbs.twimg.com/amplify_video_thumb/1651046591342452736/img/rVnH9gjuzHIGLjY6.jpg")</f>
        <v>https://pbs.twimg.com/amplify_video_thumb/1651046591342452736/img/rVnH9gjuzHIGLjY6.jpg</v>
      </c>
      <c r="AW2501" s="82" t="s">
        <v>14657</v>
      </c>
      <c r="AX2501" s="82" t="s">
        <v>14657</v>
      </c>
      <c r="AY2501" s="77"/>
      <c r="AZ2501" s="82" t="s">
        <v>15804</v>
      </c>
      <c r="BA2501" s="82" t="s">
        <v>15804</v>
      </c>
      <c r="BB2501" s="82" t="s">
        <v>15804</v>
      </c>
      <c r="BC2501" s="82" t="s">
        <v>14657</v>
      </c>
      <c r="BD2501" s="82" t="s">
        <v>16561</v>
      </c>
      <c r="BE2501" s="77"/>
      <c r="BF2501" s="77"/>
      <c r="BG2501" s="77"/>
      <c r="BH2501" s="77"/>
      <c r="BI2501" s="77"/>
    </row>
    <row r="2502" spans="1:61" x14ac:dyDescent="0.25">
      <c r="A2502" s="62" t="s">
        <v>965</v>
      </c>
      <c r="B2502" s="62" t="s">
        <v>965</v>
      </c>
      <c r="C2502" s="63"/>
      <c r="D2502" s="64"/>
      <c r="E2502" s="65"/>
      <c r="F2502" s="66"/>
      <c r="G2502" s="63"/>
      <c r="H2502" s="67"/>
      <c r="I2502" s="68"/>
      <c r="J2502" s="68"/>
      <c r="K2502" s="32"/>
      <c r="L2502" s="75">
        <v>2502</v>
      </c>
      <c r="M2502" s="75"/>
      <c r="N2502" s="70"/>
      <c r="O2502" s="77" t="s">
        <v>179</v>
      </c>
      <c r="P2502" s="79">
        <v>45064.071597222224</v>
      </c>
      <c r="Q2502" s="77" t="s">
        <v>3544</v>
      </c>
      <c r="R2502" s="77">
        <v>0</v>
      </c>
      <c r="S2502" s="77">
        <v>0</v>
      </c>
      <c r="T2502" s="77">
        <v>0</v>
      </c>
      <c r="U2502" s="77">
        <v>0</v>
      </c>
      <c r="V2502" s="77">
        <v>135</v>
      </c>
      <c r="W2502" s="82" t="s">
        <v>5688</v>
      </c>
      <c r="X2502" s="77"/>
      <c r="Y2502" s="77"/>
      <c r="Z2502" s="77"/>
      <c r="AA2502" s="77" t="s">
        <v>7517</v>
      </c>
      <c r="AB2502" s="77" t="s">
        <v>7697</v>
      </c>
      <c r="AC2502" s="82" t="s">
        <v>7705</v>
      </c>
      <c r="AD2502" s="77" t="s">
        <v>7745</v>
      </c>
      <c r="AE2502" s="80" t="str">
        <f>HYPERLINK("https://twitter.com/israelpinveste/status/1659011697594474496")</f>
        <v>https://twitter.com/israelpinveste/status/1659011697594474496</v>
      </c>
      <c r="AF2502" s="79">
        <v>45064.071597222224</v>
      </c>
      <c r="AG2502" s="85">
        <v>45064</v>
      </c>
      <c r="AH2502" s="82" t="s">
        <v>9994</v>
      </c>
      <c r="AI2502" s="77" t="b">
        <v>0</v>
      </c>
      <c r="AJ2502" s="77"/>
      <c r="AK2502" s="77"/>
      <c r="AL2502" s="77"/>
      <c r="AM2502" s="77"/>
      <c r="AN2502" s="77"/>
      <c r="AO2502" s="77"/>
      <c r="AP2502" s="77"/>
      <c r="AQ2502" s="77" t="s">
        <v>12023</v>
      </c>
      <c r="AR2502" s="77">
        <v>48133</v>
      </c>
      <c r="AS2502" s="77"/>
      <c r="AT2502" s="77"/>
      <c r="AU2502" s="77">
        <v>32</v>
      </c>
      <c r="AV2502" s="80" t="str">
        <f>HYPERLINK("https://pbs.twimg.com/amplify_video_thumb/1659011495068409856/img/GsKjhQVgZgq8Jkg2.jpg")</f>
        <v>https://pbs.twimg.com/amplify_video_thumb/1659011495068409856/img/GsKjhQVgZgq8Jkg2.jpg</v>
      </c>
      <c r="AW2502" s="82" t="s">
        <v>14658</v>
      </c>
      <c r="AX2502" s="82" t="s">
        <v>14658</v>
      </c>
      <c r="AY2502" s="77"/>
      <c r="AZ2502" s="82" t="s">
        <v>15804</v>
      </c>
      <c r="BA2502" s="82" t="s">
        <v>15804</v>
      </c>
      <c r="BB2502" s="82" t="s">
        <v>15804</v>
      </c>
      <c r="BC2502" s="82" t="s">
        <v>14658</v>
      </c>
      <c r="BD2502" s="82" t="s">
        <v>16561</v>
      </c>
      <c r="BE2502" s="77"/>
      <c r="BF2502" s="77"/>
      <c r="BG2502" s="77"/>
      <c r="BH2502" s="77"/>
      <c r="BI2502" s="77"/>
    </row>
    <row r="2503" spans="1:61" x14ac:dyDescent="0.25">
      <c r="A2503" s="62" t="s">
        <v>965</v>
      </c>
      <c r="B2503" s="62" t="s">
        <v>965</v>
      </c>
      <c r="C2503" s="63"/>
      <c r="D2503" s="64"/>
      <c r="E2503" s="65"/>
      <c r="F2503" s="66"/>
      <c r="G2503" s="63"/>
      <c r="H2503" s="67"/>
      <c r="I2503" s="68"/>
      <c r="J2503" s="68"/>
      <c r="K2503" s="32"/>
      <c r="L2503" s="75">
        <v>2503</v>
      </c>
      <c r="M2503" s="75"/>
      <c r="N2503" s="70"/>
      <c r="O2503" s="77" t="s">
        <v>179</v>
      </c>
      <c r="P2503" s="79">
        <v>45154.810266203705</v>
      </c>
      <c r="Q2503" s="77" t="s">
        <v>3545</v>
      </c>
      <c r="R2503" s="77">
        <v>0</v>
      </c>
      <c r="S2503" s="77">
        <v>1</v>
      </c>
      <c r="T2503" s="77">
        <v>0</v>
      </c>
      <c r="U2503" s="77">
        <v>0</v>
      </c>
      <c r="V2503" s="77">
        <v>1739</v>
      </c>
      <c r="W2503" s="82" t="s">
        <v>5689</v>
      </c>
      <c r="X2503" s="80" t="str">
        <f>HYPERLINK("https://www.youtube.com/watch?v=55lDBzi2Xzk")</f>
        <v>https://www.youtube.com/watch?v=55lDBzi2Xzk</v>
      </c>
      <c r="Y2503" s="77" t="s">
        <v>6006</v>
      </c>
      <c r="Z2503" s="77"/>
      <c r="AA2503" s="77"/>
      <c r="AB2503" s="77"/>
      <c r="AC2503" s="82" t="s">
        <v>7706</v>
      </c>
      <c r="AD2503" s="77" t="s">
        <v>7745</v>
      </c>
      <c r="AE2503" s="80" t="str">
        <f>HYPERLINK("https://twitter.com/israelpinveste/status/1691894289087730014")</f>
        <v>https://twitter.com/israelpinveste/status/1691894289087730014</v>
      </c>
      <c r="AF2503" s="79">
        <v>45154.810266203705</v>
      </c>
      <c r="AG2503" s="85">
        <v>45154</v>
      </c>
      <c r="AH2503" s="82" t="s">
        <v>9995</v>
      </c>
      <c r="AI2503" s="77" t="b">
        <v>0</v>
      </c>
      <c r="AJ2503" s="77"/>
      <c r="AK2503" s="77"/>
      <c r="AL2503" s="77"/>
      <c r="AM2503" s="77"/>
      <c r="AN2503" s="77"/>
      <c r="AO2503" s="77"/>
      <c r="AP2503" s="77"/>
      <c r="AQ2503" s="77"/>
      <c r="AR2503" s="77"/>
      <c r="AS2503" s="77"/>
      <c r="AT2503" s="77"/>
      <c r="AU2503" s="77"/>
      <c r="AV2503" s="80" t="str">
        <f>HYPERLINK("https://pbs.twimg.com/profile_images/1615508002567512064/72hXrP_U_normal.jpg")</f>
        <v>https://pbs.twimg.com/profile_images/1615508002567512064/72hXrP_U_normal.jpg</v>
      </c>
      <c r="AW2503" s="82" t="s">
        <v>14659</v>
      </c>
      <c r="AX2503" s="82" t="s">
        <v>14659</v>
      </c>
      <c r="AY2503" s="77"/>
      <c r="AZ2503" s="82" t="s">
        <v>15804</v>
      </c>
      <c r="BA2503" s="82" t="s">
        <v>15804</v>
      </c>
      <c r="BB2503" s="82" t="s">
        <v>15804</v>
      </c>
      <c r="BC2503" s="82" t="s">
        <v>14659</v>
      </c>
      <c r="BD2503" s="82" t="s">
        <v>16561</v>
      </c>
      <c r="BE2503" s="77"/>
      <c r="BF2503" s="77"/>
      <c r="BG2503" s="77"/>
      <c r="BH2503" s="77"/>
      <c r="BI2503" s="77"/>
    </row>
    <row r="2504" spans="1:61" x14ac:dyDescent="0.25">
      <c r="A2504" s="62" t="s">
        <v>965</v>
      </c>
      <c r="B2504" s="62" t="s">
        <v>1058</v>
      </c>
      <c r="C2504" s="63"/>
      <c r="D2504" s="64"/>
      <c r="E2504" s="65"/>
      <c r="F2504" s="66"/>
      <c r="G2504" s="63"/>
      <c r="H2504" s="67"/>
      <c r="I2504" s="68"/>
      <c r="J2504" s="68"/>
      <c r="K2504" s="32"/>
      <c r="L2504" s="75">
        <v>2504</v>
      </c>
      <c r="M2504" s="75"/>
      <c r="N2504" s="70"/>
      <c r="O2504" s="77" t="s">
        <v>1133</v>
      </c>
      <c r="P2504" s="79">
        <v>45099.991006944445</v>
      </c>
      <c r="Q2504" s="77" t="s">
        <v>3546</v>
      </c>
      <c r="R2504" s="77">
        <v>0</v>
      </c>
      <c r="S2504" s="77">
        <v>0</v>
      </c>
      <c r="T2504" s="77">
        <v>0</v>
      </c>
      <c r="U2504" s="77">
        <v>0</v>
      </c>
      <c r="V2504" s="77">
        <v>21</v>
      </c>
      <c r="W2504" s="82" t="s">
        <v>5690</v>
      </c>
      <c r="X2504" s="80" t="str">
        <f>HYPERLINK("https://youtube.com/shorts/0WKdIqtAHz8?feature=share")</f>
        <v>https://youtube.com/shorts/0WKdIqtAHz8?feature=share</v>
      </c>
      <c r="Y2504" s="77" t="s">
        <v>6006</v>
      </c>
      <c r="Z2504" s="77" t="s">
        <v>1058</v>
      </c>
      <c r="AA2504" s="77"/>
      <c r="AB2504" s="77"/>
      <c r="AC2504" s="82" t="s">
        <v>7705</v>
      </c>
      <c r="AD2504" s="77" t="s">
        <v>7745</v>
      </c>
      <c r="AE2504" s="80" t="str">
        <f>HYPERLINK("https://twitter.com/israelpinveste/status/1672028457641844737")</f>
        <v>https://twitter.com/israelpinveste/status/1672028457641844737</v>
      </c>
      <c r="AF2504" s="79">
        <v>45099.991006944445</v>
      </c>
      <c r="AG2504" s="85">
        <v>45099</v>
      </c>
      <c r="AH2504" s="82" t="s">
        <v>9996</v>
      </c>
      <c r="AI2504" s="77" t="b">
        <v>0</v>
      </c>
      <c r="AJ2504" s="77"/>
      <c r="AK2504" s="77"/>
      <c r="AL2504" s="77"/>
      <c r="AM2504" s="77"/>
      <c r="AN2504" s="77"/>
      <c r="AO2504" s="77"/>
      <c r="AP2504" s="77"/>
      <c r="AQ2504" s="77"/>
      <c r="AR2504" s="77"/>
      <c r="AS2504" s="77"/>
      <c r="AT2504" s="77"/>
      <c r="AU2504" s="77"/>
      <c r="AV2504" s="80" t="str">
        <f>HYPERLINK("https://pbs.twimg.com/profile_images/1615508002567512064/72hXrP_U_normal.jpg")</f>
        <v>https://pbs.twimg.com/profile_images/1615508002567512064/72hXrP_U_normal.jpg</v>
      </c>
      <c r="AW2504" s="82" t="s">
        <v>14660</v>
      </c>
      <c r="AX2504" s="82" t="s">
        <v>14660</v>
      </c>
      <c r="AY2504" s="77"/>
      <c r="AZ2504" s="82" t="s">
        <v>15804</v>
      </c>
      <c r="BA2504" s="82" t="s">
        <v>15804</v>
      </c>
      <c r="BB2504" s="82" t="s">
        <v>15804</v>
      </c>
      <c r="BC2504" s="82" t="s">
        <v>14660</v>
      </c>
      <c r="BD2504" s="82" t="s">
        <v>16561</v>
      </c>
      <c r="BE2504" s="77"/>
      <c r="BF2504" s="77"/>
      <c r="BG2504" s="77"/>
      <c r="BH2504" s="77"/>
      <c r="BI2504" s="77"/>
    </row>
    <row r="2505" spans="1:61" x14ac:dyDescent="0.25">
      <c r="A2505" s="62" t="s">
        <v>965</v>
      </c>
      <c r="B2505" s="62" t="s">
        <v>1058</v>
      </c>
      <c r="C2505" s="63"/>
      <c r="D2505" s="64"/>
      <c r="E2505" s="65"/>
      <c r="F2505" s="66"/>
      <c r="G2505" s="63"/>
      <c r="H2505" s="67"/>
      <c r="I2505" s="68"/>
      <c r="J2505" s="68"/>
      <c r="K2505" s="32"/>
      <c r="L2505" s="75">
        <v>2505</v>
      </c>
      <c r="M2505" s="75"/>
      <c r="N2505" s="70"/>
      <c r="O2505" s="77" t="s">
        <v>1133</v>
      </c>
      <c r="P2505" s="79">
        <v>45175.989965277775</v>
      </c>
      <c r="Q2505" s="77" t="s">
        <v>3547</v>
      </c>
      <c r="R2505" s="77">
        <v>0</v>
      </c>
      <c r="S2505" s="77">
        <v>1</v>
      </c>
      <c r="T2505" s="77">
        <v>0</v>
      </c>
      <c r="U2505" s="77">
        <v>0</v>
      </c>
      <c r="V2505" s="77">
        <v>397</v>
      </c>
      <c r="W2505" s="82" t="s">
        <v>5691</v>
      </c>
      <c r="X2505" s="80" t="str">
        <f>HYPERLINK("https://youtu.be/zjJqhFv_xDE?si=zhdi5N1go8XmGpw2")</f>
        <v>https://youtu.be/zjJqhFv_xDE?si=zhdi5N1go8XmGpw2</v>
      </c>
      <c r="Y2505" s="77" t="s">
        <v>6003</v>
      </c>
      <c r="Z2505" s="77" t="s">
        <v>1058</v>
      </c>
      <c r="AA2505" s="77"/>
      <c r="AB2505" s="77"/>
      <c r="AC2505" s="82" t="s">
        <v>7706</v>
      </c>
      <c r="AD2505" s="77" t="s">
        <v>7745</v>
      </c>
      <c r="AE2505" s="80" t="str">
        <f>HYPERLINK("https://twitter.com/israelpinveste/status/1699569557281583595")</f>
        <v>https://twitter.com/israelpinveste/status/1699569557281583595</v>
      </c>
      <c r="AF2505" s="79">
        <v>45175.989965277775</v>
      </c>
      <c r="AG2505" s="85">
        <v>45175</v>
      </c>
      <c r="AH2505" s="82" t="s">
        <v>9997</v>
      </c>
      <c r="AI2505" s="77" t="b">
        <v>0</v>
      </c>
      <c r="AJ2505" s="77"/>
      <c r="AK2505" s="77"/>
      <c r="AL2505" s="77"/>
      <c r="AM2505" s="77"/>
      <c r="AN2505" s="77"/>
      <c r="AO2505" s="77"/>
      <c r="AP2505" s="77"/>
      <c r="AQ2505" s="77"/>
      <c r="AR2505" s="77"/>
      <c r="AS2505" s="77"/>
      <c r="AT2505" s="77"/>
      <c r="AU2505" s="77"/>
      <c r="AV2505" s="80" t="str">
        <f>HYPERLINK("https://pbs.twimg.com/profile_images/1615508002567512064/72hXrP_U_normal.jpg")</f>
        <v>https://pbs.twimg.com/profile_images/1615508002567512064/72hXrP_U_normal.jpg</v>
      </c>
      <c r="AW2505" s="82" t="s">
        <v>14661</v>
      </c>
      <c r="AX2505" s="82" t="s">
        <v>14661</v>
      </c>
      <c r="AY2505" s="77"/>
      <c r="AZ2505" s="82" t="s">
        <v>15804</v>
      </c>
      <c r="BA2505" s="82" t="s">
        <v>15804</v>
      </c>
      <c r="BB2505" s="82" t="s">
        <v>15804</v>
      </c>
      <c r="BC2505" s="82" t="s">
        <v>14661</v>
      </c>
      <c r="BD2505" s="82" t="s">
        <v>16561</v>
      </c>
      <c r="BE2505" s="77"/>
      <c r="BF2505" s="77"/>
      <c r="BG2505" s="77"/>
      <c r="BH2505" s="77"/>
      <c r="BI2505" s="77"/>
    </row>
    <row r="2506" spans="1:61" x14ac:dyDescent="0.25">
      <c r="A2506" s="62" t="s">
        <v>965</v>
      </c>
      <c r="B2506" s="62" t="s">
        <v>965</v>
      </c>
      <c r="C2506" s="63"/>
      <c r="D2506" s="64"/>
      <c r="E2506" s="65"/>
      <c r="F2506" s="66"/>
      <c r="G2506" s="63"/>
      <c r="H2506" s="67"/>
      <c r="I2506" s="68"/>
      <c r="J2506" s="68"/>
      <c r="K2506" s="32"/>
      <c r="L2506" s="75">
        <v>2506</v>
      </c>
      <c r="M2506" s="75"/>
      <c r="N2506" s="70"/>
      <c r="O2506" s="77" t="s">
        <v>179</v>
      </c>
      <c r="P2506" s="79">
        <v>45170.059432870374</v>
      </c>
      <c r="Q2506" s="77" t="s">
        <v>3548</v>
      </c>
      <c r="R2506" s="77">
        <v>0</v>
      </c>
      <c r="S2506" s="77">
        <v>1</v>
      </c>
      <c r="T2506" s="77">
        <v>1</v>
      </c>
      <c r="U2506" s="77">
        <v>0</v>
      </c>
      <c r="V2506" s="77">
        <v>514</v>
      </c>
      <c r="W2506" s="82" t="s">
        <v>5692</v>
      </c>
      <c r="X2506" s="80" t="str">
        <f>HYPERLINK("https://www.youtube.com/watch?v=AxaYt5qn6VQ")</f>
        <v>https://www.youtube.com/watch?v=AxaYt5qn6VQ</v>
      </c>
      <c r="Y2506" s="77" t="s">
        <v>6006</v>
      </c>
      <c r="Z2506" s="77"/>
      <c r="AA2506" s="77"/>
      <c r="AB2506" s="77"/>
      <c r="AC2506" s="82" t="s">
        <v>7706</v>
      </c>
      <c r="AD2506" s="77" t="s">
        <v>7745</v>
      </c>
      <c r="AE2506" s="80" t="str">
        <f>HYPERLINK("https://twitter.com/israelpinveste/status/1697420403172426172")</f>
        <v>https://twitter.com/israelpinveste/status/1697420403172426172</v>
      </c>
      <c r="AF2506" s="79">
        <v>45170.059432870374</v>
      </c>
      <c r="AG2506" s="85">
        <v>45170</v>
      </c>
      <c r="AH2506" s="82" t="s">
        <v>9998</v>
      </c>
      <c r="AI2506" s="77" t="b">
        <v>0</v>
      </c>
      <c r="AJ2506" s="77"/>
      <c r="AK2506" s="77"/>
      <c r="AL2506" s="77"/>
      <c r="AM2506" s="77"/>
      <c r="AN2506" s="77"/>
      <c r="AO2506" s="77"/>
      <c r="AP2506" s="77"/>
      <c r="AQ2506" s="77"/>
      <c r="AR2506" s="77"/>
      <c r="AS2506" s="77"/>
      <c r="AT2506" s="77"/>
      <c r="AU2506" s="77"/>
      <c r="AV2506" s="80" t="str">
        <f>HYPERLINK("https://pbs.twimg.com/profile_images/1615508002567512064/72hXrP_U_normal.jpg")</f>
        <v>https://pbs.twimg.com/profile_images/1615508002567512064/72hXrP_U_normal.jpg</v>
      </c>
      <c r="AW2506" s="82" t="s">
        <v>14662</v>
      </c>
      <c r="AX2506" s="82" t="s">
        <v>14662</v>
      </c>
      <c r="AY2506" s="77"/>
      <c r="AZ2506" s="82" t="s">
        <v>15804</v>
      </c>
      <c r="BA2506" s="82" t="s">
        <v>15804</v>
      </c>
      <c r="BB2506" s="82" t="s">
        <v>15804</v>
      </c>
      <c r="BC2506" s="82" t="s">
        <v>14662</v>
      </c>
      <c r="BD2506" s="82" t="s">
        <v>16561</v>
      </c>
      <c r="BE2506" s="77"/>
      <c r="BF2506" s="77"/>
      <c r="BG2506" s="77"/>
      <c r="BH2506" s="77"/>
      <c r="BI2506" s="77"/>
    </row>
    <row r="2507" spans="1:61" x14ac:dyDescent="0.25">
      <c r="A2507" s="62" t="s">
        <v>965</v>
      </c>
      <c r="B2507" s="62" t="s">
        <v>965</v>
      </c>
      <c r="C2507" s="63"/>
      <c r="D2507" s="64"/>
      <c r="E2507" s="65"/>
      <c r="F2507" s="66"/>
      <c r="G2507" s="63"/>
      <c r="H2507" s="67"/>
      <c r="I2507" s="68"/>
      <c r="J2507" s="68"/>
      <c r="K2507" s="32"/>
      <c r="L2507" s="75">
        <v>2507</v>
      </c>
      <c r="M2507" s="75"/>
      <c r="N2507" s="70"/>
      <c r="O2507" s="77" t="s">
        <v>179</v>
      </c>
      <c r="P2507" s="79">
        <v>45148.70821759259</v>
      </c>
      <c r="Q2507" s="77" t="s">
        <v>3549</v>
      </c>
      <c r="R2507" s="77">
        <v>0</v>
      </c>
      <c r="S2507" s="77">
        <v>1</v>
      </c>
      <c r="T2507" s="77">
        <v>0</v>
      </c>
      <c r="U2507" s="77">
        <v>0</v>
      </c>
      <c r="V2507" s="77">
        <v>379</v>
      </c>
      <c r="W2507" s="82" t="s">
        <v>4080</v>
      </c>
      <c r="X2507" s="80" t="str">
        <f>HYPERLINK("https://www.youtube.com/watch?v=hTNCO_UDaLo")</f>
        <v>https://www.youtube.com/watch?v=hTNCO_UDaLo</v>
      </c>
      <c r="Y2507" s="77" t="s">
        <v>6006</v>
      </c>
      <c r="Z2507" s="77"/>
      <c r="AA2507" s="77"/>
      <c r="AB2507" s="77"/>
      <c r="AC2507" s="82" t="s">
        <v>7706</v>
      </c>
      <c r="AD2507" s="77" t="s">
        <v>7745</v>
      </c>
      <c r="AE2507" s="80" t="str">
        <f>HYPERLINK("https://twitter.com/israelpinveste/status/1689682981680554014")</f>
        <v>https://twitter.com/israelpinveste/status/1689682981680554014</v>
      </c>
      <c r="AF2507" s="79">
        <v>45148.70821759259</v>
      </c>
      <c r="AG2507" s="85">
        <v>45148</v>
      </c>
      <c r="AH2507" s="82" t="s">
        <v>9999</v>
      </c>
      <c r="AI2507" s="77" t="b">
        <v>0</v>
      </c>
      <c r="AJ2507" s="77"/>
      <c r="AK2507" s="77"/>
      <c r="AL2507" s="77"/>
      <c r="AM2507" s="77"/>
      <c r="AN2507" s="77"/>
      <c r="AO2507" s="77"/>
      <c r="AP2507" s="77"/>
      <c r="AQ2507" s="77"/>
      <c r="AR2507" s="77"/>
      <c r="AS2507" s="77"/>
      <c r="AT2507" s="77"/>
      <c r="AU2507" s="77"/>
      <c r="AV2507" s="80" t="str">
        <f>HYPERLINK("https://pbs.twimg.com/profile_images/1615508002567512064/72hXrP_U_normal.jpg")</f>
        <v>https://pbs.twimg.com/profile_images/1615508002567512064/72hXrP_U_normal.jpg</v>
      </c>
      <c r="AW2507" s="82" t="s">
        <v>14663</v>
      </c>
      <c r="AX2507" s="82" t="s">
        <v>14663</v>
      </c>
      <c r="AY2507" s="77"/>
      <c r="AZ2507" s="82" t="s">
        <v>15804</v>
      </c>
      <c r="BA2507" s="82" t="s">
        <v>15804</v>
      </c>
      <c r="BB2507" s="82" t="s">
        <v>15804</v>
      </c>
      <c r="BC2507" s="82" t="s">
        <v>14663</v>
      </c>
      <c r="BD2507" s="82" t="s">
        <v>16561</v>
      </c>
      <c r="BE2507" s="77"/>
      <c r="BF2507" s="77"/>
      <c r="BG2507" s="77"/>
      <c r="BH2507" s="77"/>
      <c r="BI2507" s="77"/>
    </row>
    <row r="2508" spans="1:61" x14ac:dyDescent="0.25">
      <c r="A2508" s="62" t="s">
        <v>965</v>
      </c>
      <c r="B2508" s="62" t="s">
        <v>965</v>
      </c>
      <c r="C2508" s="63"/>
      <c r="D2508" s="64"/>
      <c r="E2508" s="65"/>
      <c r="F2508" s="66"/>
      <c r="G2508" s="63"/>
      <c r="H2508" s="67"/>
      <c r="I2508" s="68"/>
      <c r="J2508" s="68"/>
      <c r="K2508" s="32"/>
      <c r="L2508" s="75">
        <v>2508</v>
      </c>
      <c r="M2508" s="75"/>
      <c r="N2508" s="70"/>
      <c r="O2508" s="77" t="s">
        <v>179</v>
      </c>
      <c r="P2508" s="79">
        <v>45072.993136574078</v>
      </c>
      <c r="Q2508" s="77" t="s">
        <v>3550</v>
      </c>
      <c r="R2508" s="77">
        <v>0</v>
      </c>
      <c r="S2508" s="77">
        <v>0</v>
      </c>
      <c r="T2508" s="77">
        <v>1</v>
      </c>
      <c r="U2508" s="77">
        <v>0</v>
      </c>
      <c r="V2508" s="77">
        <v>85</v>
      </c>
      <c r="W2508" s="82" t="s">
        <v>5693</v>
      </c>
      <c r="X2508" s="77"/>
      <c r="Y2508" s="77"/>
      <c r="Z2508" s="77"/>
      <c r="AA2508" s="77" t="s">
        <v>7518</v>
      </c>
      <c r="AB2508" s="77" t="s">
        <v>7697</v>
      </c>
      <c r="AC2508" s="82" t="s">
        <v>7705</v>
      </c>
      <c r="AD2508" s="77" t="s">
        <v>7745</v>
      </c>
      <c r="AE2508" s="80" t="str">
        <f>HYPERLINK("https://twitter.com/israelpinveste/status/1662244757576331271")</f>
        <v>https://twitter.com/israelpinveste/status/1662244757576331271</v>
      </c>
      <c r="AF2508" s="79">
        <v>45072.993136574078</v>
      </c>
      <c r="AG2508" s="85">
        <v>45072</v>
      </c>
      <c r="AH2508" s="82" t="s">
        <v>10000</v>
      </c>
      <c r="AI2508" s="77" t="b">
        <v>0</v>
      </c>
      <c r="AJ2508" s="77"/>
      <c r="AK2508" s="77"/>
      <c r="AL2508" s="77"/>
      <c r="AM2508" s="77"/>
      <c r="AN2508" s="77"/>
      <c r="AO2508" s="77"/>
      <c r="AP2508" s="77"/>
      <c r="AQ2508" s="77" t="s">
        <v>12024</v>
      </c>
      <c r="AR2508" s="77">
        <v>60400</v>
      </c>
      <c r="AS2508" s="77"/>
      <c r="AT2508" s="77"/>
      <c r="AU2508" s="77">
        <v>24</v>
      </c>
      <c r="AV2508" s="80" t="str">
        <f>HYPERLINK("https://pbs.twimg.com/ext_tw_video_thumb/1662244606593978370/pu/img/g4xnu_bHoNN7eTC_.jpg")</f>
        <v>https://pbs.twimg.com/ext_tw_video_thumb/1662244606593978370/pu/img/g4xnu_bHoNN7eTC_.jpg</v>
      </c>
      <c r="AW2508" s="82" t="s">
        <v>14664</v>
      </c>
      <c r="AX2508" s="82" t="s">
        <v>14664</v>
      </c>
      <c r="AY2508" s="77"/>
      <c r="AZ2508" s="82" t="s">
        <v>15804</v>
      </c>
      <c r="BA2508" s="82" t="s">
        <v>15804</v>
      </c>
      <c r="BB2508" s="82" t="s">
        <v>15804</v>
      </c>
      <c r="BC2508" s="82" t="s">
        <v>14664</v>
      </c>
      <c r="BD2508" s="82" t="s">
        <v>16561</v>
      </c>
      <c r="BE2508" s="77"/>
      <c r="BF2508" s="77"/>
      <c r="BG2508" s="77"/>
      <c r="BH2508" s="77"/>
      <c r="BI2508" s="77"/>
    </row>
    <row r="2509" spans="1:61" x14ac:dyDescent="0.25">
      <c r="A2509" s="62" t="s">
        <v>965</v>
      </c>
      <c r="B2509" s="62" t="s">
        <v>965</v>
      </c>
      <c r="C2509" s="63"/>
      <c r="D2509" s="64"/>
      <c r="E2509" s="65"/>
      <c r="F2509" s="66"/>
      <c r="G2509" s="63"/>
      <c r="H2509" s="67"/>
      <c r="I2509" s="68"/>
      <c r="J2509" s="68"/>
      <c r="K2509" s="32"/>
      <c r="L2509" s="75">
        <v>2509</v>
      </c>
      <c r="M2509" s="75"/>
      <c r="N2509" s="70"/>
      <c r="O2509" s="77" t="s">
        <v>179</v>
      </c>
      <c r="P2509" s="79">
        <v>44992.620046296295</v>
      </c>
      <c r="Q2509" s="77" t="s">
        <v>3551</v>
      </c>
      <c r="R2509" s="77">
        <v>0</v>
      </c>
      <c r="S2509" s="77">
        <v>0</v>
      </c>
      <c r="T2509" s="77">
        <v>0</v>
      </c>
      <c r="U2509" s="77">
        <v>0</v>
      </c>
      <c r="V2509" s="77">
        <v>128</v>
      </c>
      <c r="W2509" s="82" t="s">
        <v>5694</v>
      </c>
      <c r="X2509" s="77"/>
      <c r="Y2509" s="77"/>
      <c r="Z2509" s="77"/>
      <c r="AA2509" s="77" t="s">
        <v>7519</v>
      </c>
      <c r="AB2509" s="77" t="s">
        <v>7697</v>
      </c>
      <c r="AC2509" s="82" t="s">
        <v>7705</v>
      </c>
      <c r="AD2509" s="77" t="s">
        <v>7745</v>
      </c>
      <c r="AE2509" s="80" t="str">
        <f>HYPERLINK("https://twitter.com/israelpinveste/status/1633118523986722820")</f>
        <v>https://twitter.com/israelpinveste/status/1633118523986722820</v>
      </c>
      <c r="AF2509" s="79">
        <v>44992.620046296295</v>
      </c>
      <c r="AG2509" s="85">
        <v>44992</v>
      </c>
      <c r="AH2509" s="82" t="s">
        <v>10001</v>
      </c>
      <c r="AI2509" s="77" t="b">
        <v>0</v>
      </c>
      <c r="AJ2509" s="77" t="s">
        <v>10524</v>
      </c>
      <c r="AK2509" s="77" t="s">
        <v>10552</v>
      </c>
      <c r="AL2509" s="77" t="s">
        <v>10555</v>
      </c>
      <c r="AM2509" s="77" t="s">
        <v>10561</v>
      </c>
      <c r="AN2509" s="77" t="s">
        <v>10591</v>
      </c>
      <c r="AO2509" s="77" t="s">
        <v>10622</v>
      </c>
      <c r="AP2509" s="77" t="s">
        <v>10649</v>
      </c>
      <c r="AQ2509" s="77" t="s">
        <v>12025</v>
      </c>
      <c r="AR2509" s="77">
        <v>11348</v>
      </c>
      <c r="AS2509" s="77"/>
      <c r="AT2509" s="77"/>
      <c r="AU2509" s="77">
        <v>58</v>
      </c>
      <c r="AV2509" s="80" t="str">
        <f>HYPERLINK("https://pbs.twimg.com/amplify_video_thumb/1633118288677830658/img/aacE2lFlp03bR4NV.jpg")</f>
        <v>https://pbs.twimg.com/amplify_video_thumb/1633118288677830658/img/aacE2lFlp03bR4NV.jpg</v>
      </c>
      <c r="AW2509" s="82" t="s">
        <v>14665</v>
      </c>
      <c r="AX2509" s="82" t="s">
        <v>14665</v>
      </c>
      <c r="AY2509" s="77"/>
      <c r="AZ2509" s="82" t="s">
        <v>15804</v>
      </c>
      <c r="BA2509" s="82" t="s">
        <v>15804</v>
      </c>
      <c r="BB2509" s="82" t="s">
        <v>15804</v>
      </c>
      <c r="BC2509" s="82" t="s">
        <v>14665</v>
      </c>
      <c r="BD2509" s="82" t="s">
        <v>16561</v>
      </c>
      <c r="BE2509" s="77"/>
      <c r="BF2509" s="77"/>
      <c r="BG2509" s="77"/>
      <c r="BH2509" s="77"/>
      <c r="BI2509" s="77"/>
    </row>
    <row r="2510" spans="1:61" x14ac:dyDescent="0.25">
      <c r="A2510" s="62" t="s">
        <v>965</v>
      </c>
      <c r="B2510" s="62" t="s">
        <v>965</v>
      </c>
      <c r="C2510" s="63"/>
      <c r="D2510" s="64"/>
      <c r="E2510" s="65"/>
      <c r="F2510" s="66"/>
      <c r="G2510" s="63"/>
      <c r="H2510" s="67"/>
      <c r="I2510" s="68"/>
      <c r="J2510" s="68"/>
      <c r="K2510" s="32"/>
      <c r="L2510" s="75">
        <v>2510</v>
      </c>
      <c r="M2510" s="75"/>
      <c r="N2510" s="70"/>
      <c r="O2510" s="77" t="s">
        <v>179</v>
      </c>
      <c r="P2510" s="79">
        <v>44990.849664351852</v>
      </c>
      <c r="Q2510" s="77" t="s">
        <v>3552</v>
      </c>
      <c r="R2510" s="77">
        <v>0</v>
      </c>
      <c r="S2510" s="77">
        <v>0</v>
      </c>
      <c r="T2510" s="77">
        <v>0</v>
      </c>
      <c r="U2510" s="77">
        <v>0</v>
      </c>
      <c r="V2510" s="77">
        <v>10</v>
      </c>
      <c r="W2510" s="82" t="s">
        <v>5695</v>
      </c>
      <c r="X2510" s="80" t="str">
        <f>HYPERLINK("https://www.instagram.com/p/Cpa6bnVJu_9/?igshid=YTgzYjQ4ZTY=")</f>
        <v>https://www.instagram.com/p/Cpa6bnVJu_9/?igshid=YTgzYjQ4ZTY=</v>
      </c>
      <c r="Y2510" s="77" t="s">
        <v>6000</v>
      </c>
      <c r="Z2510" s="77"/>
      <c r="AA2510" s="77"/>
      <c r="AB2510" s="77"/>
      <c r="AC2510" s="82" t="s">
        <v>7704</v>
      </c>
      <c r="AD2510" s="77" t="s">
        <v>7745</v>
      </c>
      <c r="AE2510" s="80" t="str">
        <f>HYPERLINK("https://twitter.com/israelpinveste/status/1632476960466010112")</f>
        <v>https://twitter.com/israelpinveste/status/1632476960466010112</v>
      </c>
      <c r="AF2510" s="79">
        <v>44990.849664351852</v>
      </c>
      <c r="AG2510" s="85">
        <v>44990</v>
      </c>
      <c r="AH2510" s="82" t="s">
        <v>10002</v>
      </c>
      <c r="AI2510" s="77" t="b">
        <v>0</v>
      </c>
      <c r="AJ2510" s="77"/>
      <c r="AK2510" s="77"/>
      <c r="AL2510" s="77"/>
      <c r="AM2510" s="77"/>
      <c r="AN2510" s="77"/>
      <c r="AO2510" s="77"/>
      <c r="AP2510" s="77"/>
      <c r="AQ2510" s="77"/>
      <c r="AR2510" s="77"/>
      <c r="AS2510" s="77"/>
      <c r="AT2510" s="77"/>
      <c r="AU2510" s="77"/>
      <c r="AV2510" s="80" t="str">
        <f>HYPERLINK("https://pbs.twimg.com/profile_images/1615508002567512064/72hXrP_U_normal.jpg")</f>
        <v>https://pbs.twimg.com/profile_images/1615508002567512064/72hXrP_U_normal.jpg</v>
      </c>
      <c r="AW2510" s="82" t="s">
        <v>14666</v>
      </c>
      <c r="AX2510" s="82" t="s">
        <v>14666</v>
      </c>
      <c r="AY2510" s="77"/>
      <c r="AZ2510" s="82" t="s">
        <v>15804</v>
      </c>
      <c r="BA2510" s="82" t="s">
        <v>15804</v>
      </c>
      <c r="BB2510" s="82" t="s">
        <v>15804</v>
      </c>
      <c r="BC2510" s="82" t="s">
        <v>14666</v>
      </c>
      <c r="BD2510" s="82" t="s">
        <v>16561</v>
      </c>
      <c r="BE2510" s="77"/>
      <c r="BF2510" s="77"/>
      <c r="BG2510" s="77"/>
      <c r="BH2510" s="77"/>
      <c r="BI2510" s="77"/>
    </row>
    <row r="2511" spans="1:61" x14ac:dyDescent="0.25">
      <c r="A2511" s="62" t="s">
        <v>966</v>
      </c>
      <c r="B2511" s="62" t="s">
        <v>966</v>
      </c>
      <c r="C2511" s="63"/>
      <c r="D2511" s="64"/>
      <c r="E2511" s="65"/>
      <c r="F2511" s="66"/>
      <c r="G2511" s="63"/>
      <c r="H2511" s="67"/>
      <c r="I2511" s="68"/>
      <c r="J2511" s="68"/>
      <c r="K2511" s="32"/>
      <c r="L2511" s="75">
        <v>2511</v>
      </c>
      <c r="M2511" s="75"/>
      <c r="N2511" s="70"/>
      <c r="O2511" s="77" t="s">
        <v>179</v>
      </c>
      <c r="P2511" s="79">
        <v>45142.566736111112</v>
      </c>
      <c r="Q2511" s="77" t="s">
        <v>3553</v>
      </c>
      <c r="R2511" s="77">
        <v>0</v>
      </c>
      <c r="S2511" s="77">
        <v>1</v>
      </c>
      <c r="T2511" s="77">
        <v>0</v>
      </c>
      <c r="U2511" s="77">
        <v>0</v>
      </c>
      <c r="V2511" s="77">
        <v>26</v>
      </c>
      <c r="W2511" s="82" t="s">
        <v>5696</v>
      </c>
      <c r="X2511" s="77"/>
      <c r="Y2511" s="77"/>
      <c r="Z2511" s="77"/>
      <c r="AA2511" s="77" t="s">
        <v>7520</v>
      </c>
      <c r="AB2511" s="77" t="s">
        <v>7698</v>
      </c>
      <c r="AC2511" s="82" t="s">
        <v>7706</v>
      </c>
      <c r="AD2511" s="77" t="s">
        <v>7745</v>
      </c>
      <c r="AE2511" s="80" t="str">
        <f>HYPERLINK("https://twitter.com/rsm_mz/status/1687457383142850561")</f>
        <v>https://twitter.com/rsm_mz/status/1687457383142850561</v>
      </c>
      <c r="AF2511" s="79">
        <v>45142.566736111112</v>
      </c>
      <c r="AG2511" s="85">
        <v>45142</v>
      </c>
      <c r="AH2511" s="82" t="s">
        <v>10003</v>
      </c>
      <c r="AI2511" s="77" t="b">
        <v>0</v>
      </c>
      <c r="AJ2511" s="77"/>
      <c r="AK2511" s="77"/>
      <c r="AL2511" s="77"/>
      <c r="AM2511" s="77"/>
      <c r="AN2511" s="77"/>
      <c r="AO2511" s="77"/>
      <c r="AP2511" s="77"/>
      <c r="AQ2511" s="77" t="s">
        <v>12026</v>
      </c>
      <c r="AR2511" s="77"/>
      <c r="AS2511" s="77"/>
      <c r="AT2511" s="77"/>
      <c r="AU2511" s="77"/>
      <c r="AV2511" s="80" t="str">
        <f>HYPERLINK("https://pbs.twimg.com/media/F2sMm12XgAAjypT.jpg")</f>
        <v>https://pbs.twimg.com/media/F2sMm12XgAAjypT.jpg</v>
      </c>
      <c r="AW2511" s="82" t="s">
        <v>14667</v>
      </c>
      <c r="AX2511" s="82" t="s">
        <v>14667</v>
      </c>
      <c r="AY2511" s="77"/>
      <c r="AZ2511" s="82" t="s">
        <v>15804</v>
      </c>
      <c r="BA2511" s="82" t="s">
        <v>15804</v>
      </c>
      <c r="BB2511" s="82" t="s">
        <v>15804</v>
      </c>
      <c r="BC2511" s="82" t="s">
        <v>14667</v>
      </c>
      <c r="BD2511" s="82" t="s">
        <v>16562</v>
      </c>
      <c r="BE2511" s="77"/>
      <c r="BF2511" s="77"/>
      <c r="BG2511" s="77"/>
      <c r="BH2511" s="77"/>
      <c r="BI2511" s="77"/>
    </row>
    <row r="2512" spans="1:61" x14ac:dyDescent="0.25">
      <c r="A2512" s="62" t="s">
        <v>967</v>
      </c>
      <c r="B2512" s="62" t="s">
        <v>1124</v>
      </c>
      <c r="C2512" s="63"/>
      <c r="D2512" s="64"/>
      <c r="E2512" s="65"/>
      <c r="F2512" s="66"/>
      <c r="G2512" s="63"/>
      <c r="H2512" s="67"/>
      <c r="I2512" s="68"/>
      <c r="J2512" s="68"/>
      <c r="K2512" s="32"/>
      <c r="L2512" s="75">
        <v>2512</v>
      </c>
      <c r="M2512" s="75"/>
      <c r="N2512" s="70"/>
      <c r="O2512" s="77" t="s">
        <v>1133</v>
      </c>
      <c r="P2512" s="79">
        <v>44988.776192129626</v>
      </c>
      <c r="Q2512" s="77" t="s">
        <v>3554</v>
      </c>
      <c r="R2512" s="77">
        <v>0</v>
      </c>
      <c r="S2512" s="77">
        <v>1</v>
      </c>
      <c r="T2512" s="77">
        <v>0</v>
      </c>
      <c r="U2512" s="77">
        <v>0</v>
      </c>
      <c r="V2512" s="77">
        <v>49</v>
      </c>
      <c r="W2512" s="82" t="s">
        <v>5697</v>
      </c>
      <c r="X2512" s="80" t="str">
        <f>HYPERLINK("https://finsiders.com.br/2023/03/03/mozper-completa-1-ano-no-brasil-e-aposta-em-plano-gratuito-para-crescer/")</f>
        <v>https://finsiders.com.br/2023/03/03/mozper-completa-1-ano-no-brasil-e-aposta-em-plano-gratuito-para-crescer/</v>
      </c>
      <c r="Y2512" s="77" t="s">
        <v>6002</v>
      </c>
      <c r="Z2512" s="77" t="s">
        <v>1124</v>
      </c>
      <c r="AA2512" s="77"/>
      <c r="AB2512" s="77"/>
      <c r="AC2512" s="82" t="s">
        <v>7706</v>
      </c>
      <c r="AD2512" s="77" t="s">
        <v>7745</v>
      </c>
      <c r="AE2512" s="80" t="str">
        <f>HYPERLINK("https://twitter.com/finsiders2/status/1631725558076776470")</f>
        <v>https://twitter.com/finsiders2/status/1631725558076776470</v>
      </c>
      <c r="AF2512" s="79">
        <v>44988.776192129626</v>
      </c>
      <c r="AG2512" s="85">
        <v>44988</v>
      </c>
      <c r="AH2512" s="82" t="s">
        <v>10004</v>
      </c>
      <c r="AI2512" s="77" t="b">
        <v>0</v>
      </c>
      <c r="AJ2512" s="77"/>
      <c r="AK2512" s="77"/>
      <c r="AL2512" s="77"/>
      <c r="AM2512" s="77"/>
      <c r="AN2512" s="77"/>
      <c r="AO2512" s="77"/>
      <c r="AP2512" s="77"/>
      <c r="AQ2512" s="77"/>
      <c r="AR2512" s="77"/>
      <c r="AS2512" s="77"/>
      <c r="AT2512" s="77"/>
      <c r="AU2512" s="77"/>
      <c r="AV2512" s="80" t="str">
        <f>HYPERLINK("https://pbs.twimg.com/profile_images/1413209417185701888/aAF39qmN_normal.jpg")</f>
        <v>https://pbs.twimg.com/profile_images/1413209417185701888/aAF39qmN_normal.jpg</v>
      </c>
      <c r="AW2512" s="82" t="s">
        <v>14668</v>
      </c>
      <c r="AX2512" s="82" t="s">
        <v>14668</v>
      </c>
      <c r="AY2512" s="77"/>
      <c r="AZ2512" s="82" t="s">
        <v>15804</v>
      </c>
      <c r="BA2512" s="82" t="s">
        <v>15804</v>
      </c>
      <c r="BB2512" s="82" t="s">
        <v>15804</v>
      </c>
      <c r="BC2512" s="82" t="s">
        <v>14668</v>
      </c>
      <c r="BD2512" s="82" t="s">
        <v>16563</v>
      </c>
      <c r="BE2512" s="77"/>
      <c r="BF2512" s="77"/>
      <c r="BG2512" s="77"/>
      <c r="BH2512" s="77"/>
      <c r="BI2512" s="77"/>
    </row>
    <row r="2513" spans="1:61" x14ac:dyDescent="0.25">
      <c r="A2513" s="62" t="s">
        <v>968</v>
      </c>
      <c r="B2513" s="62" t="s">
        <v>968</v>
      </c>
      <c r="C2513" s="63"/>
      <c r="D2513" s="64"/>
      <c r="E2513" s="65"/>
      <c r="F2513" s="66"/>
      <c r="G2513" s="63"/>
      <c r="H2513" s="67"/>
      <c r="I2513" s="68"/>
      <c r="J2513" s="68"/>
      <c r="K2513" s="32"/>
      <c r="L2513" s="75">
        <v>2513</v>
      </c>
      <c r="M2513" s="75"/>
      <c r="N2513" s="70"/>
      <c r="O2513" s="77" t="s">
        <v>1132</v>
      </c>
      <c r="P2513" s="79">
        <v>45047.522893518515</v>
      </c>
      <c r="Q2513" s="77" t="s">
        <v>3555</v>
      </c>
      <c r="R2513" s="77">
        <v>0</v>
      </c>
      <c r="S2513" s="77">
        <v>0</v>
      </c>
      <c r="T2513" s="77">
        <v>0</v>
      </c>
      <c r="U2513" s="77">
        <v>0</v>
      </c>
      <c r="V2513" s="77">
        <v>6</v>
      </c>
      <c r="W2513" s="82" t="s">
        <v>5698</v>
      </c>
      <c r="X2513" s="77"/>
      <c r="Y2513" s="77"/>
      <c r="Z2513" s="77"/>
      <c r="AA2513" s="77"/>
      <c r="AB2513" s="77"/>
      <c r="AC2513" s="82" t="s">
        <v>7705</v>
      </c>
      <c r="AD2513" s="77" t="s">
        <v>7748</v>
      </c>
      <c r="AE2513" s="80" t="str">
        <f>HYPERLINK("https://twitter.com/ataorienta/status/1653014651003699200")</f>
        <v>https://twitter.com/ataorienta/status/1653014651003699200</v>
      </c>
      <c r="AF2513" s="79">
        <v>45047.522893518515</v>
      </c>
      <c r="AG2513" s="85">
        <v>45047</v>
      </c>
      <c r="AH2513" s="82" t="s">
        <v>10005</v>
      </c>
      <c r="AI2513" s="77"/>
      <c r="AJ2513" s="77"/>
      <c r="AK2513" s="77"/>
      <c r="AL2513" s="77"/>
      <c r="AM2513" s="77"/>
      <c r="AN2513" s="77"/>
      <c r="AO2513" s="77"/>
      <c r="AP2513" s="77"/>
      <c r="AQ2513" s="77"/>
      <c r="AR2513" s="77"/>
      <c r="AS2513" s="77"/>
      <c r="AT2513" s="77"/>
      <c r="AU2513" s="77"/>
      <c r="AV2513" s="80" t="str">
        <f>HYPERLINK("https://pbs.twimg.com/profile_images/1693679843404062720/q3ecO34__normal.png")</f>
        <v>https://pbs.twimg.com/profile_images/1693679843404062720/q3ecO34__normal.png</v>
      </c>
      <c r="AW2513" s="82" t="s">
        <v>14669</v>
      </c>
      <c r="AX2513" s="82" t="s">
        <v>15576</v>
      </c>
      <c r="AY2513" s="82" t="s">
        <v>15792</v>
      </c>
      <c r="AZ2513" s="82" t="s">
        <v>16089</v>
      </c>
      <c r="BA2513" s="82" t="s">
        <v>15804</v>
      </c>
      <c r="BB2513" s="82" t="s">
        <v>15804</v>
      </c>
      <c r="BC2513" s="82" t="s">
        <v>16089</v>
      </c>
      <c r="BD2513" s="82" t="s">
        <v>15792</v>
      </c>
      <c r="BE2513" s="77"/>
      <c r="BF2513" s="77"/>
      <c r="BG2513" s="77"/>
      <c r="BH2513" s="77"/>
      <c r="BI2513" s="77"/>
    </row>
    <row r="2514" spans="1:61" x14ac:dyDescent="0.25">
      <c r="A2514" s="62" t="s">
        <v>968</v>
      </c>
      <c r="B2514" s="62" t="s">
        <v>968</v>
      </c>
      <c r="C2514" s="63"/>
      <c r="D2514" s="64"/>
      <c r="E2514" s="65"/>
      <c r="F2514" s="66"/>
      <c r="G2514" s="63"/>
      <c r="H2514" s="67"/>
      <c r="I2514" s="68"/>
      <c r="J2514" s="68"/>
      <c r="K2514" s="32"/>
      <c r="L2514" s="75">
        <v>2514</v>
      </c>
      <c r="M2514" s="75"/>
      <c r="N2514" s="70"/>
      <c r="O2514" s="77" t="s">
        <v>1132</v>
      </c>
      <c r="P2514" s="79">
        <v>45050.572905092595</v>
      </c>
      <c r="Q2514" s="77" t="s">
        <v>3556</v>
      </c>
      <c r="R2514" s="77">
        <v>0</v>
      </c>
      <c r="S2514" s="77">
        <v>0</v>
      </c>
      <c r="T2514" s="77">
        <v>0</v>
      </c>
      <c r="U2514" s="77">
        <v>0</v>
      </c>
      <c r="V2514" s="77">
        <v>9</v>
      </c>
      <c r="W2514" s="82" t="s">
        <v>5699</v>
      </c>
      <c r="X2514" s="77"/>
      <c r="Y2514" s="77"/>
      <c r="Z2514" s="77"/>
      <c r="AA2514" s="77"/>
      <c r="AB2514" s="77"/>
      <c r="AC2514" s="82" t="s">
        <v>7705</v>
      </c>
      <c r="AD2514" s="77" t="s">
        <v>7748</v>
      </c>
      <c r="AE2514" s="80" t="str">
        <f>HYPERLINK("https://twitter.com/ataorienta/status/1654119935659102210")</f>
        <v>https://twitter.com/ataorienta/status/1654119935659102210</v>
      </c>
      <c r="AF2514" s="79">
        <v>45050.572905092595</v>
      </c>
      <c r="AG2514" s="85">
        <v>45050</v>
      </c>
      <c r="AH2514" s="82" t="s">
        <v>10006</v>
      </c>
      <c r="AI2514" s="77"/>
      <c r="AJ2514" s="77"/>
      <c r="AK2514" s="77"/>
      <c r="AL2514" s="77"/>
      <c r="AM2514" s="77"/>
      <c r="AN2514" s="77"/>
      <c r="AO2514" s="77"/>
      <c r="AP2514" s="77"/>
      <c r="AQ2514" s="77"/>
      <c r="AR2514" s="77"/>
      <c r="AS2514" s="77"/>
      <c r="AT2514" s="77"/>
      <c r="AU2514" s="77"/>
      <c r="AV2514" s="80" t="str">
        <f>HYPERLINK("https://pbs.twimg.com/profile_images/1693679843404062720/q3ecO34__normal.png")</f>
        <v>https://pbs.twimg.com/profile_images/1693679843404062720/q3ecO34__normal.png</v>
      </c>
      <c r="AW2514" s="82" t="s">
        <v>14670</v>
      </c>
      <c r="AX2514" s="82" t="s">
        <v>15577</v>
      </c>
      <c r="AY2514" s="82" t="s">
        <v>15792</v>
      </c>
      <c r="AZ2514" s="82" t="s">
        <v>16090</v>
      </c>
      <c r="BA2514" s="82" t="s">
        <v>15804</v>
      </c>
      <c r="BB2514" s="82" t="s">
        <v>15804</v>
      </c>
      <c r="BC2514" s="82" t="s">
        <v>16090</v>
      </c>
      <c r="BD2514" s="82" t="s">
        <v>15792</v>
      </c>
      <c r="BE2514" s="77"/>
      <c r="BF2514" s="77"/>
      <c r="BG2514" s="77"/>
      <c r="BH2514" s="77"/>
      <c r="BI2514" s="77"/>
    </row>
    <row r="2515" spans="1:61" x14ac:dyDescent="0.25">
      <c r="A2515" s="62" t="s">
        <v>968</v>
      </c>
      <c r="B2515" s="62" t="s">
        <v>968</v>
      </c>
      <c r="C2515" s="63"/>
      <c r="D2515" s="64"/>
      <c r="E2515" s="65"/>
      <c r="F2515" s="66"/>
      <c r="G2515" s="63"/>
      <c r="H2515" s="67"/>
      <c r="I2515" s="68"/>
      <c r="J2515" s="68"/>
      <c r="K2515" s="32"/>
      <c r="L2515" s="75">
        <v>2515</v>
      </c>
      <c r="M2515" s="75"/>
      <c r="N2515" s="70"/>
      <c r="O2515" s="77" t="s">
        <v>1132</v>
      </c>
      <c r="P2515" s="79">
        <v>45049.762696759259</v>
      </c>
      <c r="Q2515" s="77" t="s">
        <v>3556</v>
      </c>
      <c r="R2515" s="77">
        <v>0</v>
      </c>
      <c r="S2515" s="77">
        <v>0</v>
      </c>
      <c r="T2515" s="77">
        <v>0</v>
      </c>
      <c r="U2515" s="77">
        <v>0</v>
      </c>
      <c r="V2515" s="77">
        <v>2</v>
      </c>
      <c r="W2515" s="82" t="s">
        <v>5699</v>
      </c>
      <c r="X2515" s="77"/>
      <c r="Y2515" s="77"/>
      <c r="Z2515" s="77"/>
      <c r="AA2515" s="77"/>
      <c r="AB2515" s="77"/>
      <c r="AC2515" s="82" t="s">
        <v>7705</v>
      </c>
      <c r="AD2515" s="77" t="s">
        <v>7748</v>
      </c>
      <c r="AE2515" s="80" t="str">
        <f>HYPERLINK("https://twitter.com/ataorienta/status/1653826327437254660")</f>
        <v>https://twitter.com/ataorienta/status/1653826327437254660</v>
      </c>
      <c r="AF2515" s="79">
        <v>45049.762696759259</v>
      </c>
      <c r="AG2515" s="85">
        <v>45049</v>
      </c>
      <c r="AH2515" s="82" t="s">
        <v>10007</v>
      </c>
      <c r="AI2515" s="77"/>
      <c r="AJ2515" s="77"/>
      <c r="AK2515" s="77"/>
      <c r="AL2515" s="77"/>
      <c r="AM2515" s="77"/>
      <c r="AN2515" s="77"/>
      <c r="AO2515" s="77"/>
      <c r="AP2515" s="77"/>
      <c r="AQ2515" s="77"/>
      <c r="AR2515" s="77"/>
      <c r="AS2515" s="77"/>
      <c r="AT2515" s="77"/>
      <c r="AU2515" s="77"/>
      <c r="AV2515" s="80" t="str">
        <f>HYPERLINK("https://pbs.twimg.com/profile_images/1693679843404062720/q3ecO34__normal.png")</f>
        <v>https://pbs.twimg.com/profile_images/1693679843404062720/q3ecO34__normal.png</v>
      </c>
      <c r="AW2515" s="82" t="s">
        <v>14671</v>
      </c>
      <c r="AX2515" s="82" t="s">
        <v>15578</v>
      </c>
      <c r="AY2515" s="82" t="s">
        <v>15792</v>
      </c>
      <c r="AZ2515" s="82" t="s">
        <v>16091</v>
      </c>
      <c r="BA2515" s="82" t="s">
        <v>15804</v>
      </c>
      <c r="BB2515" s="82" t="s">
        <v>15804</v>
      </c>
      <c r="BC2515" s="82" t="s">
        <v>16091</v>
      </c>
      <c r="BD2515" s="82" t="s">
        <v>15792</v>
      </c>
      <c r="BE2515" s="77"/>
      <c r="BF2515" s="77"/>
      <c r="BG2515" s="77"/>
      <c r="BH2515" s="77"/>
      <c r="BI2515" s="77"/>
    </row>
    <row r="2516" spans="1:61" x14ac:dyDescent="0.25">
      <c r="A2516" s="62" t="s">
        <v>968</v>
      </c>
      <c r="B2516" s="62" t="s">
        <v>968</v>
      </c>
      <c r="C2516" s="63"/>
      <c r="D2516" s="64"/>
      <c r="E2516" s="65"/>
      <c r="F2516" s="66"/>
      <c r="G2516" s="63"/>
      <c r="H2516" s="67"/>
      <c r="I2516" s="68"/>
      <c r="J2516" s="68"/>
      <c r="K2516" s="32"/>
      <c r="L2516" s="75">
        <v>2516</v>
      </c>
      <c r="M2516" s="75"/>
      <c r="N2516" s="70"/>
      <c r="O2516" s="77" t="s">
        <v>1132</v>
      </c>
      <c r="P2516" s="79">
        <v>45115.486168981479</v>
      </c>
      <c r="Q2516" s="77" t="s">
        <v>3557</v>
      </c>
      <c r="R2516" s="77">
        <v>0</v>
      </c>
      <c r="S2516" s="77">
        <v>0</v>
      </c>
      <c r="T2516" s="77">
        <v>0</v>
      </c>
      <c r="U2516" s="77">
        <v>0</v>
      </c>
      <c r="V2516" s="77">
        <v>8</v>
      </c>
      <c r="W2516" s="82" t="s">
        <v>5700</v>
      </c>
      <c r="X2516" s="77"/>
      <c r="Y2516" s="77"/>
      <c r="Z2516" s="77"/>
      <c r="AA2516" s="77"/>
      <c r="AB2516" s="77"/>
      <c r="AC2516" s="82" t="s">
        <v>7705</v>
      </c>
      <c r="AD2516" s="77" t="s">
        <v>7748</v>
      </c>
      <c r="AE2516" s="80" t="str">
        <f>HYPERLINK("https://twitter.com/ataorienta/status/1677643716670939136")</f>
        <v>https://twitter.com/ataorienta/status/1677643716670939136</v>
      </c>
      <c r="AF2516" s="79">
        <v>45115.486168981479</v>
      </c>
      <c r="AG2516" s="85">
        <v>45115</v>
      </c>
      <c r="AH2516" s="82" t="s">
        <v>10008</v>
      </c>
      <c r="AI2516" s="77"/>
      <c r="AJ2516" s="77"/>
      <c r="AK2516" s="77"/>
      <c r="AL2516" s="77"/>
      <c r="AM2516" s="77"/>
      <c r="AN2516" s="77"/>
      <c r="AO2516" s="77"/>
      <c r="AP2516" s="77"/>
      <c r="AQ2516" s="77"/>
      <c r="AR2516" s="77"/>
      <c r="AS2516" s="77"/>
      <c r="AT2516" s="77"/>
      <c r="AU2516" s="77"/>
      <c r="AV2516" s="80" t="str">
        <f>HYPERLINK("https://pbs.twimg.com/profile_images/1693679843404062720/q3ecO34__normal.png")</f>
        <v>https://pbs.twimg.com/profile_images/1693679843404062720/q3ecO34__normal.png</v>
      </c>
      <c r="AW2516" s="82" t="s">
        <v>14672</v>
      </c>
      <c r="AX2516" s="82" t="s">
        <v>15579</v>
      </c>
      <c r="AY2516" s="82" t="s">
        <v>15792</v>
      </c>
      <c r="AZ2516" s="82" t="s">
        <v>16092</v>
      </c>
      <c r="BA2516" s="82" t="s">
        <v>15804</v>
      </c>
      <c r="BB2516" s="82" t="s">
        <v>15804</v>
      </c>
      <c r="BC2516" s="82" t="s">
        <v>16092</v>
      </c>
      <c r="BD2516" s="82" t="s">
        <v>15792</v>
      </c>
      <c r="BE2516" s="77"/>
      <c r="BF2516" s="77"/>
      <c r="BG2516" s="77"/>
      <c r="BH2516" s="77"/>
      <c r="BI2516" s="77"/>
    </row>
    <row r="2517" spans="1:61" x14ac:dyDescent="0.25">
      <c r="A2517" s="62" t="s">
        <v>968</v>
      </c>
      <c r="B2517" s="62" t="s">
        <v>968</v>
      </c>
      <c r="C2517" s="63"/>
      <c r="D2517" s="64"/>
      <c r="E2517" s="65"/>
      <c r="F2517" s="66"/>
      <c r="G2517" s="63"/>
      <c r="H2517" s="67"/>
      <c r="I2517" s="68"/>
      <c r="J2517" s="68"/>
      <c r="K2517" s="32"/>
      <c r="L2517" s="75">
        <v>2517</v>
      </c>
      <c r="M2517" s="75"/>
      <c r="N2517" s="70"/>
      <c r="O2517" s="77" t="s">
        <v>1132</v>
      </c>
      <c r="P2517" s="79">
        <v>45048.507430555554</v>
      </c>
      <c r="Q2517" s="77" t="s">
        <v>3556</v>
      </c>
      <c r="R2517" s="77">
        <v>0</v>
      </c>
      <c r="S2517" s="77">
        <v>0</v>
      </c>
      <c r="T2517" s="77">
        <v>0</v>
      </c>
      <c r="U2517" s="77">
        <v>0</v>
      </c>
      <c r="V2517" s="77">
        <v>3</v>
      </c>
      <c r="W2517" s="82" t="s">
        <v>5699</v>
      </c>
      <c r="X2517" s="77"/>
      <c r="Y2517" s="77"/>
      <c r="Z2517" s="77"/>
      <c r="AA2517" s="77"/>
      <c r="AB2517" s="77"/>
      <c r="AC2517" s="82" t="s">
        <v>7705</v>
      </c>
      <c r="AD2517" s="77" t="s">
        <v>7748</v>
      </c>
      <c r="AE2517" s="80" t="str">
        <f>HYPERLINK("https://twitter.com/ataorienta/status/1653371432171085828")</f>
        <v>https://twitter.com/ataorienta/status/1653371432171085828</v>
      </c>
      <c r="AF2517" s="79">
        <v>45048.507430555554</v>
      </c>
      <c r="AG2517" s="85">
        <v>45048</v>
      </c>
      <c r="AH2517" s="82" t="s">
        <v>10009</v>
      </c>
      <c r="AI2517" s="77"/>
      <c r="AJ2517" s="77"/>
      <c r="AK2517" s="77"/>
      <c r="AL2517" s="77"/>
      <c r="AM2517" s="77"/>
      <c r="AN2517" s="77"/>
      <c r="AO2517" s="77"/>
      <c r="AP2517" s="77"/>
      <c r="AQ2517" s="77"/>
      <c r="AR2517" s="77"/>
      <c r="AS2517" s="77"/>
      <c r="AT2517" s="77"/>
      <c r="AU2517" s="77"/>
      <c r="AV2517" s="80" t="str">
        <f>HYPERLINK("https://pbs.twimg.com/profile_images/1693679843404062720/q3ecO34__normal.png")</f>
        <v>https://pbs.twimg.com/profile_images/1693679843404062720/q3ecO34__normal.png</v>
      </c>
      <c r="AW2517" s="82" t="s">
        <v>14673</v>
      </c>
      <c r="AX2517" s="82" t="s">
        <v>15580</v>
      </c>
      <c r="AY2517" s="82" t="s">
        <v>15792</v>
      </c>
      <c r="AZ2517" s="82" t="s">
        <v>16093</v>
      </c>
      <c r="BA2517" s="82" t="s">
        <v>15804</v>
      </c>
      <c r="BB2517" s="82" t="s">
        <v>15804</v>
      </c>
      <c r="BC2517" s="82" t="s">
        <v>16093</v>
      </c>
      <c r="BD2517" s="82" t="s">
        <v>15792</v>
      </c>
      <c r="BE2517" s="77"/>
      <c r="BF2517" s="77"/>
      <c r="BG2517" s="77"/>
      <c r="BH2517" s="77"/>
      <c r="BI2517" s="77"/>
    </row>
    <row r="2518" spans="1:61" x14ac:dyDescent="0.25">
      <c r="A2518" s="62" t="s">
        <v>968</v>
      </c>
      <c r="B2518" s="62" t="s">
        <v>968</v>
      </c>
      <c r="C2518" s="63"/>
      <c r="D2518" s="64"/>
      <c r="E2518" s="65"/>
      <c r="F2518" s="66"/>
      <c r="G2518" s="63"/>
      <c r="H2518" s="67"/>
      <c r="I2518" s="68"/>
      <c r="J2518" s="68"/>
      <c r="K2518" s="32"/>
      <c r="L2518" s="75">
        <v>2518</v>
      </c>
      <c r="M2518" s="75"/>
      <c r="N2518" s="70"/>
      <c r="O2518" s="77" t="s">
        <v>1132</v>
      </c>
      <c r="P2518" s="79">
        <v>45048.005995370368</v>
      </c>
      <c r="Q2518" s="77" t="s">
        <v>3555</v>
      </c>
      <c r="R2518" s="77">
        <v>0</v>
      </c>
      <c r="S2518" s="77">
        <v>0</v>
      </c>
      <c r="T2518" s="77">
        <v>0</v>
      </c>
      <c r="U2518" s="77">
        <v>0</v>
      </c>
      <c r="V2518" s="77">
        <v>16</v>
      </c>
      <c r="W2518" s="82" t="s">
        <v>5698</v>
      </c>
      <c r="X2518" s="77"/>
      <c r="Y2518" s="77"/>
      <c r="Z2518" s="77"/>
      <c r="AA2518" s="77"/>
      <c r="AB2518" s="77"/>
      <c r="AC2518" s="82" t="s">
        <v>7705</v>
      </c>
      <c r="AD2518" s="77" t="s">
        <v>7748</v>
      </c>
      <c r="AE2518" s="80" t="str">
        <f>HYPERLINK("https://twitter.com/ataorienta/status/1653189718769541127")</f>
        <v>https://twitter.com/ataorienta/status/1653189718769541127</v>
      </c>
      <c r="AF2518" s="79">
        <v>45048.005995370368</v>
      </c>
      <c r="AG2518" s="85">
        <v>45048</v>
      </c>
      <c r="AH2518" s="82" t="s">
        <v>10010</v>
      </c>
      <c r="AI2518" s="77"/>
      <c r="AJ2518" s="77"/>
      <c r="AK2518" s="77"/>
      <c r="AL2518" s="77"/>
      <c r="AM2518" s="77"/>
      <c r="AN2518" s="77"/>
      <c r="AO2518" s="77"/>
      <c r="AP2518" s="77"/>
      <c r="AQ2518" s="77"/>
      <c r="AR2518" s="77"/>
      <c r="AS2518" s="77"/>
      <c r="AT2518" s="77"/>
      <c r="AU2518" s="77"/>
      <c r="AV2518" s="80" t="str">
        <f>HYPERLINK("https://pbs.twimg.com/profile_images/1693679843404062720/q3ecO34__normal.png")</f>
        <v>https://pbs.twimg.com/profile_images/1693679843404062720/q3ecO34__normal.png</v>
      </c>
      <c r="AW2518" s="82" t="s">
        <v>14674</v>
      </c>
      <c r="AX2518" s="82" t="s">
        <v>15581</v>
      </c>
      <c r="AY2518" s="82" t="s">
        <v>15792</v>
      </c>
      <c r="AZ2518" s="82" t="s">
        <v>16094</v>
      </c>
      <c r="BA2518" s="82" t="s">
        <v>15804</v>
      </c>
      <c r="BB2518" s="82" t="s">
        <v>15804</v>
      </c>
      <c r="BC2518" s="82" t="s">
        <v>16094</v>
      </c>
      <c r="BD2518" s="82" t="s">
        <v>15792</v>
      </c>
      <c r="BE2518" s="77"/>
      <c r="BF2518" s="77"/>
      <c r="BG2518" s="77"/>
      <c r="BH2518" s="77"/>
      <c r="BI2518" s="77"/>
    </row>
    <row r="2519" spans="1:61" x14ac:dyDescent="0.25">
      <c r="A2519" s="62" t="s">
        <v>968</v>
      </c>
      <c r="B2519" s="62" t="s">
        <v>968</v>
      </c>
      <c r="C2519" s="63"/>
      <c r="D2519" s="64"/>
      <c r="E2519" s="65"/>
      <c r="F2519" s="66"/>
      <c r="G2519" s="63"/>
      <c r="H2519" s="67"/>
      <c r="I2519" s="68"/>
      <c r="J2519" s="68"/>
      <c r="K2519" s="32"/>
      <c r="L2519" s="75">
        <v>2519</v>
      </c>
      <c r="M2519" s="75"/>
      <c r="N2519" s="70"/>
      <c r="O2519" s="77" t="s">
        <v>1132</v>
      </c>
      <c r="P2519" s="79">
        <v>45152.544062499997</v>
      </c>
      <c r="Q2519" s="77" t="s">
        <v>3558</v>
      </c>
      <c r="R2519" s="77">
        <v>0</v>
      </c>
      <c r="S2519" s="77">
        <v>0</v>
      </c>
      <c r="T2519" s="77">
        <v>0</v>
      </c>
      <c r="U2519" s="77">
        <v>0</v>
      </c>
      <c r="V2519" s="77">
        <v>6</v>
      </c>
      <c r="W2519" s="82" t="s">
        <v>5701</v>
      </c>
      <c r="X2519" s="77"/>
      <c r="Y2519" s="77"/>
      <c r="Z2519" s="77"/>
      <c r="AA2519" s="77"/>
      <c r="AB2519" s="77"/>
      <c r="AC2519" s="82" t="s">
        <v>7705</v>
      </c>
      <c r="AD2519" s="77" t="s">
        <v>7748</v>
      </c>
      <c r="AE2519" s="80" t="str">
        <f>HYPERLINK("https://twitter.com/ataorienta/status/1691073045392158720")</f>
        <v>https://twitter.com/ataorienta/status/1691073045392158720</v>
      </c>
      <c r="AF2519" s="79">
        <v>45152.544062499997</v>
      </c>
      <c r="AG2519" s="85">
        <v>45152</v>
      </c>
      <c r="AH2519" s="82" t="s">
        <v>10011</v>
      </c>
      <c r="AI2519" s="77"/>
      <c r="AJ2519" s="77"/>
      <c r="AK2519" s="77"/>
      <c r="AL2519" s="77"/>
      <c r="AM2519" s="77"/>
      <c r="AN2519" s="77"/>
      <c r="AO2519" s="77"/>
      <c r="AP2519" s="77"/>
      <c r="AQ2519" s="77"/>
      <c r="AR2519" s="77"/>
      <c r="AS2519" s="77"/>
      <c r="AT2519" s="77"/>
      <c r="AU2519" s="77"/>
      <c r="AV2519" s="80" t="str">
        <f>HYPERLINK("https://pbs.twimg.com/profile_images/1693679843404062720/q3ecO34__normal.png")</f>
        <v>https://pbs.twimg.com/profile_images/1693679843404062720/q3ecO34__normal.png</v>
      </c>
      <c r="AW2519" s="82" t="s">
        <v>14675</v>
      </c>
      <c r="AX2519" s="82" t="s">
        <v>15582</v>
      </c>
      <c r="AY2519" s="82" t="s">
        <v>15792</v>
      </c>
      <c r="AZ2519" s="82" t="s">
        <v>16095</v>
      </c>
      <c r="BA2519" s="82" t="s">
        <v>15804</v>
      </c>
      <c r="BB2519" s="82" t="s">
        <v>15804</v>
      </c>
      <c r="BC2519" s="82" t="s">
        <v>16095</v>
      </c>
      <c r="BD2519" s="82" t="s">
        <v>15792</v>
      </c>
      <c r="BE2519" s="77"/>
      <c r="BF2519" s="77"/>
      <c r="BG2519" s="77"/>
      <c r="BH2519" s="77"/>
      <c r="BI2519" s="77"/>
    </row>
    <row r="2520" spans="1:61" x14ac:dyDescent="0.25">
      <c r="A2520" s="62" t="s">
        <v>968</v>
      </c>
      <c r="B2520" s="62" t="s">
        <v>968</v>
      </c>
      <c r="C2520" s="63"/>
      <c r="D2520" s="64"/>
      <c r="E2520" s="65"/>
      <c r="F2520" s="66"/>
      <c r="G2520" s="63"/>
      <c r="H2520" s="67"/>
      <c r="I2520" s="68"/>
      <c r="J2520" s="68"/>
      <c r="K2520" s="32"/>
      <c r="L2520" s="75">
        <v>2520</v>
      </c>
      <c r="M2520" s="75"/>
      <c r="N2520" s="70"/>
      <c r="O2520" s="77" t="s">
        <v>1132</v>
      </c>
      <c r="P2520" s="79">
        <v>45124.503969907404</v>
      </c>
      <c r="Q2520" s="77" t="s">
        <v>3558</v>
      </c>
      <c r="R2520" s="77">
        <v>0</v>
      </c>
      <c r="S2520" s="77">
        <v>0</v>
      </c>
      <c r="T2520" s="77">
        <v>0</v>
      </c>
      <c r="U2520" s="77">
        <v>0</v>
      </c>
      <c r="V2520" s="77">
        <v>10</v>
      </c>
      <c r="W2520" s="82" t="s">
        <v>5701</v>
      </c>
      <c r="X2520" s="77"/>
      <c r="Y2520" s="77"/>
      <c r="Z2520" s="77"/>
      <c r="AA2520" s="77"/>
      <c r="AB2520" s="77"/>
      <c r="AC2520" s="82" t="s">
        <v>7705</v>
      </c>
      <c r="AD2520" s="77" t="s">
        <v>7748</v>
      </c>
      <c r="AE2520" s="80" t="str">
        <f>HYPERLINK("https://twitter.com/ataorienta/status/1680911655981531136")</f>
        <v>https://twitter.com/ataorienta/status/1680911655981531136</v>
      </c>
      <c r="AF2520" s="79">
        <v>45124.503969907404</v>
      </c>
      <c r="AG2520" s="85">
        <v>45124</v>
      </c>
      <c r="AH2520" s="82" t="s">
        <v>10012</v>
      </c>
      <c r="AI2520" s="77"/>
      <c r="AJ2520" s="77"/>
      <c r="AK2520" s="77"/>
      <c r="AL2520" s="77"/>
      <c r="AM2520" s="77"/>
      <c r="AN2520" s="77"/>
      <c r="AO2520" s="77"/>
      <c r="AP2520" s="77"/>
      <c r="AQ2520" s="77"/>
      <c r="AR2520" s="77"/>
      <c r="AS2520" s="77"/>
      <c r="AT2520" s="77"/>
      <c r="AU2520" s="77"/>
      <c r="AV2520" s="80" t="str">
        <f>HYPERLINK("https://pbs.twimg.com/profile_images/1693679843404062720/q3ecO34__normal.png")</f>
        <v>https://pbs.twimg.com/profile_images/1693679843404062720/q3ecO34__normal.png</v>
      </c>
      <c r="AW2520" s="82" t="s">
        <v>14676</v>
      </c>
      <c r="AX2520" s="82" t="s">
        <v>15583</v>
      </c>
      <c r="AY2520" s="82" t="s">
        <v>15792</v>
      </c>
      <c r="AZ2520" s="82" t="s">
        <v>16096</v>
      </c>
      <c r="BA2520" s="82" t="s">
        <v>15804</v>
      </c>
      <c r="BB2520" s="82" t="s">
        <v>15804</v>
      </c>
      <c r="BC2520" s="82" t="s">
        <v>16096</v>
      </c>
      <c r="BD2520" s="82" t="s">
        <v>15792</v>
      </c>
      <c r="BE2520" s="77"/>
      <c r="BF2520" s="77"/>
      <c r="BG2520" s="77"/>
      <c r="BH2520" s="77"/>
      <c r="BI2520" s="77"/>
    </row>
    <row r="2521" spans="1:61" x14ac:dyDescent="0.25">
      <c r="A2521" s="62" t="s">
        <v>968</v>
      </c>
      <c r="B2521" s="62" t="s">
        <v>968</v>
      </c>
      <c r="C2521" s="63"/>
      <c r="D2521" s="64"/>
      <c r="E2521" s="65"/>
      <c r="F2521" s="66"/>
      <c r="G2521" s="63"/>
      <c r="H2521" s="67"/>
      <c r="I2521" s="68"/>
      <c r="J2521" s="68"/>
      <c r="K2521" s="32"/>
      <c r="L2521" s="75">
        <v>2521</v>
      </c>
      <c r="M2521" s="75"/>
      <c r="N2521" s="70"/>
      <c r="O2521" s="77" t="s">
        <v>1132</v>
      </c>
      <c r="P2521" s="79">
        <v>45061.482118055559</v>
      </c>
      <c r="Q2521" s="77" t="s">
        <v>3556</v>
      </c>
      <c r="R2521" s="77">
        <v>0</v>
      </c>
      <c r="S2521" s="77">
        <v>0</v>
      </c>
      <c r="T2521" s="77">
        <v>0</v>
      </c>
      <c r="U2521" s="77">
        <v>0</v>
      </c>
      <c r="V2521" s="77">
        <v>6</v>
      </c>
      <c r="W2521" s="82" t="s">
        <v>5699</v>
      </c>
      <c r="X2521" s="77"/>
      <c r="Y2521" s="77"/>
      <c r="Z2521" s="77"/>
      <c r="AA2521" s="77"/>
      <c r="AB2521" s="77"/>
      <c r="AC2521" s="82" t="s">
        <v>7705</v>
      </c>
      <c r="AD2521" s="77" t="s">
        <v>7748</v>
      </c>
      <c r="AE2521" s="80" t="str">
        <f>HYPERLINK("https://twitter.com/ataorienta/status/1658073303481831426")</f>
        <v>https://twitter.com/ataorienta/status/1658073303481831426</v>
      </c>
      <c r="AF2521" s="79">
        <v>45061.482118055559</v>
      </c>
      <c r="AG2521" s="85">
        <v>45061</v>
      </c>
      <c r="AH2521" s="82" t="s">
        <v>10013</v>
      </c>
      <c r="AI2521" s="77"/>
      <c r="AJ2521" s="77"/>
      <c r="AK2521" s="77"/>
      <c r="AL2521" s="77"/>
      <c r="AM2521" s="77"/>
      <c r="AN2521" s="77"/>
      <c r="AO2521" s="77"/>
      <c r="AP2521" s="77"/>
      <c r="AQ2521" s="77"/>
      <c r="AR2521" s="77"/>
      <c r="AS2521" s="77"/>
      <c r="AT2521" s="77"/>
      <c r="AU2521" s="77"/>
      <c r="AV2521" s="80" t="str">
        <f>HYPERLINK("https://pbs.twimg.com/profile_images/1693679843404062720/q3ecO34__normal.png")</f>
        <v>https://pbs.twimg.com/profile_images/1693679843404062720/q3ecO34__normal.png</v>
      </c>
      <c r="AW2521" s="82" t="s">
        <v>14677</v>
      </c>
      <c r="AX2521" s="82" t="s">
        <v>15584</v>
      </c>
      <c r="AY2521" s="82" t="s">
        <v>15792</v>
      </c>
      <c r="AZ2521" s="82" t="s">
        <v>16097</v>
      </c>
      <c r="BA2521" s="82" t="s">
        <v>15804</v>
      </c>
      <c r="BB2521" s="82" t="s">
        <v>15804</v>
      </c>
      <c r="BC2521" s="82" t="s">
        <v>16097</v>
      </c>
      <c r="BD2521" s="82" t="s">
        <v>15792</v>
      </c>
      <c r="BE2521" s="77"/>
      <c r="BF2521" s="77"/>
      <c r="BG2521" s="77"/>
      <c r="BH2521" s="77"/>
      <c r="BI2521" s="77"/>
    </row>
    <row r="2522" spans="1:61" x14ac:dyDescent="0.25">
      <c r="A2522" s="62" t="s">
        <v>968</v>
      </c>
      <c r="B2522" s="62" t="s">
        <v>968</v>
      </c>
      <c r="C2522" s="63"/>
      <c r="D2522" s="64"/>
      <c r="E2522" s="65"/>
      <c r="F2522" s="66"/>
      <c r="G2522" s="63"/>
      <c r="H2522" s="67"/>
      <c r="I2522" s="68"/>
      <c r="J2522" s="68"/>
      <c r="K2522" s="32"/>
      <c r="L2522" s="75">
        <v>2522</v>
      </c>
      <c r="M2522" s="75"/>
      <c r="N2522" s="70"/>
      <c r="O2522" s="77" t="s">
        <v>1132</v>
      </c>
      <c r="P2522" s="79">
        <v>45164.539074074077</v>
      </c>
      <c r="Q2522" s="77" t="s">
        <v>3557</v>
      </c>
      <c r="R2522" s="77">
        <v>0</v>
      </c>
      <c r="S2522" s="77">
        <v>1</v>
      </c>
      <c r="T2522" s="77">
        <v>0</v>
      </c>
      <c r="U2522" s="77">
        <v>0</v>
      </c>
      <c r="V2522" s="77">
        <v>30</v>
      </c>
      <c r="W2522" s="82" t="s">
        <v>5700</v>
      </c>
      <c r="X2522" s="77"/>
      <c r="Y2522" s="77"/>
      <c r="Z2522" s="77"/>
      <c r="AA2522" s="77"/>
      <c r="AB2522" s="77"/>
      <c r="AC2522" s="82" t="s">
        <v>7705</v>
      </c>
      <c r="AD2522" s="77" t="s">
        <v>7748</v>
      </c>
      <c r="AE2522" s="80" t="str">
        <f>HYPERLINK("https://twitter.com/ataorienta/status/1695419892004954592")</f>
        <v>https://twitter.com/ataorienta/status/1695419892004954592</v>
      </c>
      <c r="AF2522" s="79">
        <v>45164.539074074077</v>
      </c>
      <c r="AG2522" s="85">
        <v>45164</v>
      </c>
      <c r="AH2522" s="82" t="s">
        <v>10014</v>
      </c>
      <c r="AI2522" s="77"/>
      <c r="AJ2522" s="77"/>
      <c r="AK2522" s="77"/>
      <c r="AL2522" s="77"/>
      <c r="AM2522" s="77"/>
      <c r="AN2522" s="77"/>
      <c r="AO2522" s="77"/>
      <c r="AP2522" s="77"/>
      <c r="AQ2522" s="77"/>
      <c r="AR2522" s="77"/>
      <c r="AS2522" s="77"/>
      <c r="AT2522" s="77"/>
      <c r="AU2522" s="77"/>
      <c r="AV2522" s="80" t="str">
        <f>HYPERLINK("https://pbs.twimg.com/profile_images/1693679843404062720/q3ecO34__normal.png")</f>
        <v>https://pbs.twimg.com/profile_images/1693679843404062720/q3ecO34__normal.png</v>
      </c>
      <c r="AW2522" s="82" t="s">
        <v>14678</v>
      </c>
      <c r="AX2522" s="82" t="s">
        <v>15585</v>
      </c>
      <c r="AY2522" s="82" t="s">
        <v>15792</v>
      </c>
      <c r="AZ2522" s="82" t="s">
        <v>16098</v>
      </c>
      <c r="BA2522" s="82" t="s">
        <v>15804</v>
      </c>
      <c r="BB2522" s="82" t="s">
        <v>15804</v>
      </c>
      <c r="BC2522" s="82" t="s">
        <v>16098</v>
      </c>
      <c r="BD2522" s="82" t="s">
        <v>15792</v>
      </c>
      <c r="BE2522" s="77"/>
      <c r="BF2522" s="77"/>
      <c r="BG2522" s="77"/>
      <c r="BH2522" s="77"/>
      <c r="BI2522" s="77"/>
    </row>
    <row r="2523" spans="1:61" x14ac:dyDescent="0.25">
      <c r="A2523" s="62" t="s">
        <v>968</v>
      </c>
      <c r="B2523" s="62" t="s">
        <v>968</v>
      </c>
      <c r="C2523" s="63"/>
      <c r="D2523" s="64"/>
      <c r="E2523" s="65"/>
      <c r="F2523" s="66"/>
      <c r="G2523" s="63"/>
      <c r="H2523" s="67"/>
      <c r="I2523" s="68"/>
      <c r="J2523" s="68"/>
      <c r="K2523" s="32"/>
      <c r="L2523" s="75">
        <v>2523</v>
      </c>
      <c r="M2523" s="75"/>
      <c r="N2523" s="70"/>
      <c r="O2523" s="77" t="s">
        <v>1132</v>
      </c>
      <c r="P2523" s="79">
        <v>45159.497372685182</v>
      </c>
      <c r="Q2523" s="77" t="s">
        <v>3558</v>
      </c>
      <c r="R2523" s="77">
        <v>0</v>
      </c>
      <c r="S2523" s="77">
        <v>0</v>
      </c>
      <c r="T2523" s="77">
        <v>0</v>
      </c>
      <c r="U2523" s="77">
        <v>0</v>
      </c>
      <c r="V2523" s="77">
        <v>7</v>
      </c>
      <c r="W2523" s="82" t="s">
        <v>5701</v>
      </c>
      <c r="X2523" s="77"/>
      <c r="Y2523" s="77"/>
      <c r="Z2523" s="77"/>
      <c r="AA2523" s="77"/>
      <c r="AB2523" s="77"/>
      <c r="AC2523" s="82" t="s">
        <v>7705</v>
      </c>
      <c r="AD2523" s="77" t="s">
        <v>7748</v>
      </c>
      <c r="AE2523" s="80" t="str">
        <f>HYPERLINK("https://twitter.com/ataorienta/status/1693592842336125287")</f>
        <v>https://twitter.com/ataorienta/status/1693592842336125287</v>
      </c>
      <c r="AF2523" s="79">
        <v>45159.497372685182</v>
      </c>
      <c r="AG2523" s="85">
        <v>45159</v>
      </c>
      <c r="AH2523" s="82" t="s">
        <v>10015</v>
      </c>
      <c r="AI2523" s="77"/>
      <c r="AJ2523" s="77"/>
      <c r="AK2523" s="77"/>
      <c r="AL2523" s="77"/>
      <c r="AM2523" s="77"/>
      <c r="AN2523" s="77"/>
      <c r="AO2523" s="77"/>
      <c r="AP2523" s="77"/>
      <c r="AQ2523" s="77"/>
      <c r="AR2523" s="77"/>
      <c r="AS2523" s="77"/>
      <c r="AT2523" s="77"/>
      <c r="AU2523" s="77"/>
      <c r="AV2523" s="80" t="str">
        <f>HYPERLINK("https://pbs.twimg.com/profile_images/1693679843404062720/q3ecO34__normal.png")</f>
        <v>https://pbs.twimg.com/profile_images/1693679843404062720/q3ecO34__normal.png</v>
      </c>
      <c r="AW2523" s="82" t="s">
        <v>14679</v>
      </c>
      <c r="AX2523" s="82" t="s">
        <v>15586</v>
      </c>
      <c r="AY2523" s="82" t="s">
        <v>15792</v>
      </c>
      <c r="AZ2523" s="82" t="s">
        <v>16099</v>
      </c>
      <c r="BA2523" s="82" t="s">
        <v>15804</v>
      </c>
      <c r="BB2523" s="82" t="s">
        <v>15804</v>
      </c>
      <c r="BC2523" s="82" t="s">
        <v>16099</v>
      </c>
      <c r="BD2523" s="82" t="s">
        <v>15792</v>
      </c>
      <c r="BE2523" s="77"/>
      <c r="BF2523" s="77"/>
      <c r="BG2523" s="77"/>
      <c r="BH2523" s="77"/>
      <c r="BI2523" s="77"/>
    </row>
    <row r="2524" spans="1:61" x14ac:dyDescent="0.25">
      <c r="A2524" s="62" t="s">
        <v>968</v>
      </c>
      <c r="B2524" s="62" t="s">
        <v>968</v>
      </c>
      <c r="C2524" s="63"/>
      <c r="D2524" s="64"/>
      <c r="E2524" s="65"/>
      <c r="F2524" s="66"/>
      <c r="G2524" s="63"/>
      <c r="H2524" s="67"/>
      <c r="I2524" s="68"/>
      <c r="J2524" s="68"/>
      <c r="K2524" s="32"/>
      <c r="L2524" s="75">
        <v>2524</v>
      </c>
      <c r="M2524" s="75"/>
      <c r="N2524" s="70"/>
      <c r="O2524" s="77" t="s">
        <v>1132</v>
      </c>
      <c r="P2524" s="79">
        <v>45153.510833333334</v>
      </c>
      <c r="Q2524" s="77" t="s">
        <v>3558</v>
      </c>
      <c r="R2524" s="77">
        <v>0</v>
      </c>
      <c r="S2524" s="77">
        <v>0</v>
      </c>
      <c r="T2524" s="77">
        <v>0</v>
      </c>
      <c r="U2524" s="77">
        <v>0</v>
      </c>
      <c r="V2524" s="77">
        <v>9</v>
      </c>
      <c r="W2524" s="82" t="s">
        <v>5701</v>
      </c>
      <c r="X2524" s="77"/>
      <c r="Y2524" s="77"/>
      <c r="Z2524" s="77"/>
      <c r="AA2524" s="77"/>
      <c r="AB2524" s="77"/>
      <c r="AC2524" s="82" t="s">
        <v>7705</v>
      </c>
      <c r="AD2524" s="77" t="s">
        <v>7748</v>
      </c>
      <c r="AE2524" s="80" t="str">
        <f>HYPERLINK("https://twitter.com/ataorienta/status/1691423393055121411")</f>
        <v>https://twitter.com/ataorienta/status/1691423393055121411</v>
      </c>
      <c r="AF2524" s="79">
        <v>45153.510833333334</v>
      </c>
      <c r="AG2524" s="85">
        <v>45153</v>
      </c>
      <c r="AH2524" s="82" t="s">
        <v>10016</v>
      </c>
      <c r="AI2524" s="77"/>
      <c r="AJ2524" s="77"/>
      <c r="AK2524" s="77"/>
      <c r="AL2524" s="77"/>
      <c r="AM2524" s="77"/>
      <c r="AN2524" s="77"/>
      <c r="AO2524" s="77"/>
      <c r="AP2524" s="77"/>
      <c r="AQ2524" s="77"/>
      <c r="AR2524" s="77"/>
      <c r="AS2524" s="77"/>
      <c r="AT2524" s="77"/>
      <c r="AU2524" s="77"/>
      <c r="AV2524" s="80" t="str">
        <f>HYPERLINK("https://pbs.twimg.com/profile_images/1693679843404062720/q3ecO34__normal.png")</f>
        <v>https://pbs.twimg.com/profile_images/1693679843404062720/q3ecO34__normal.png</v>
      </c>
      <c r="AW2524" s="82" t="s">
        <v>14680</v>
      </c>
      <c r="AX2524" s="82" t="s">
        <v>15587</v>
      </c>
      <c r="AY2524" s="82" t="s">
        <v>15792</v>
      </c>
      <c r="AZ2524" s="82" t="s">
        <v>16100</v>
      </c>
      <c r="BA2524" s="82" t="s">
        <v>15804</v>
      </c>
      <c r="BB2524" s="82" t="s">
        <v>15804</v>
      </c>
      <c r="BC2524" s="82" t="s">
        <v>16100</v>
      </c>
      <c r="BD2524" s="82" t="s">
        <v>15792</v>
      </c>
      <c r="BE2524" s="77"/>
      <c r="BF2524" s="77"/>
      <c r="BG2524" s="77"/>
      <c r="BH2524" s="77"/>
      <c r="BI2524" s="77"/>
    </row>
    <row r="2525" spans="1:61" x14ac:dyDescent="0.25">
      <c r="A2525" s="62" t="s">
        <v>968</v>
      </c>
      <c r="B2525" s="62" t="s">
        <v>968</v>
      </c>
      <c r="C2525" s="63"/>
      <c r="D2525" s="64"/>
      <c r="E2525" s="65"/>
      <c r="F2525" s="66"/>
      <c r="G2525" s="63"/>
      <c r="H2525" s="67"/>
      <c r="I2525" s="68"/>
      <c r="J2525" s="68"/>
      <c r="K2525" s="32"/>
      <c r="L2525" s="75">
        <v>2525</v>
      </c>
      <c r="M2525" s="75"/>
      <c r="N2525" s="70"/>
      <c r="O2525" s="77" t="s">
        <v>1132</v>
      </c>
      <c r="P2525" s="79">
        <v>45138.497789351852</v>
      </c>
      <c r="Q2525" s="77" t="s">
        <v>3558</v>
      </c>
      <c r="R2525" s="77">
        <v>0</v>
      </c>
      <c r="S2525" s="77">
        <v>0</v>
      </c>
      <c r="T2525" s="77">
        <v>0</v>
      </c>
      <c r="U2525" s="77">
        <v>0</v>
      </c>
      <c r="V2525" s="77">
        <v>10</v>
      </c>
      <c r="W2525" s="82" t="s">
        <v>5701</v>
      </c>
      <c r="X2525" s="77"/>
      <c r="Y2525" s="77"/>
      <c r="Z2525" s="77"/>
      <c r="AA2525" s="77"/>
      <c r="AB2525" s="77"/>
      <c r="AC2525" s="82" t="s">
        <v>7705</v>
      </c>
      <c r="AD2525" s="77" t="s">
        <v>7748</v>
      </c>
      <c r="AE2525" s="80" t="str">
        <f>HYPERLINK("https://twitter.com/ataorienta/status/1685982848778420224")</f>
        <v>https://twitter.com/ataorienta/status/1685982848778420224</v>
      </c>
      <c r="AF2525" s="79">
        <v>45138.497789351852</v>
      </c>
      <c r="AG2525" s="85">
        <v>45138</v>
      </c>
      <c r="AH2525" s="82" t="s">
        <v>10017</v>
      </c>
      <c r="AI2525" s="77"/>
      <c r="AJ2525" s="77"/>
      <c r="AK2525" s="77"/>
      <c r="AL2525" s="77"/>
      <c r="AM2525" s="77"/>
      <c r="AN2525" s="77"/>
      <c r="AO2525" s="77"/>
      <c r="AP2525" s="77"/>
      <c r="AQ2525" s="77"/>
      <c r="AR2525" s="77"/>
      <c r="AS2525" s="77"/>
      <c r="AT2525" s="77"/>
      <c r="AU2525" s="77"/>
      <c r="AV2525" s="80" t="str">
        <f>HYPERLINK("https://pbs.twimg.com/profile_images/1693679843404062720/q3ecO34__normal.png")</f>
        <v>https://pbs.twimg.com/profile_images/1693679843404062720/q3ecO34__normal.png</v>
      </c>
      <c r="AW2525" s="82" t="s">
        <v>14681</v>
      </c>
      <c r="AX2525" s="82" t="s">
        <v>15588</v>
      </c>
      <c r="AY2525" s="82" t="s">
        <v>15792</v>
      </c>
      <c r="AZ2525" s="82" t="s">
        <v>16101</v>
      </c>
      <c r="BA2525" s="82" t="s">
        <v>15804</v>
      </c>
      <c r="BB2525" s="82" t="s">
        <v>15804</v>
      </c>
      <c r="BC2525" s="82" t="s">
        <v>16101</v>
      </c>
      <c r="BD2525" s="82" t="s">
        <v>15792</v>
      </c>
      <c r="BE2525" s="77"/>
      <c r="BF2525" s="77"/>
      <c r="BG2525" s="77"/>
      <c r="BH2525" s="77"/>
      <c r="BI2525" s="77"/>
    </row>
    <row r="2526" spans="1:61" x14ac:dyDescent="0.25">
      <c r="A2526" s="62" t="s">
        <v>968</v>
      </c>
      <c r="B2526" s="62" t="s">
        <v>968</v>
      </c>
      <c r="C2526" s="63"/>
      <c r="D2526" s="64"/>
      <c r="E2526" s="65"/>
      <c r="F2526" s="66"/>
      <c r="G2526" s="63"/>
      <c r="H2526" s="67"/>
      <c r="I2526" s="68"/>
      <c r="J2526" s="68"/>
      <c r="K2526" s="32"/>
      <c r="L2526" s="75">
        <v>2526</v>
      </c>
      <c r="M2526" s="75"/>
      <c r="N2526" s="70"/>
      <c r="O2526" s="77" t="s">
        <v>1132</v>
      </c>
      <c r="P2526" s="79">
        <v>45137.493657407409</v>
      </c>
      <c r="Q2526" s="77" t="s">
        <v>3559</v>
      </c>
      <c r="R2526" s="77">
        <v>0</v>
      </c>
      <c r="S2526" s="77">
        <v>0</v>
      </c>
      <c r="T2526" s="77">
        <v>0</v>
      </c>
      <c r="U2526" s="77">
        <v>0</v>
      </c>
      <c r="V2526" s="77">
        <v>10</v>
      </c>
      <c r="W2526" s="82" t="s">
        <v>5702</v>
      </c>
      <c r="X2526" s="77"/>
      <c r="Y2526" s="77"/>
      <c r="Z2526" s="77"/>
      <c r="AA2526" s="77"/>
      <c r="AB2526" s="77"/>
      <c r="AC2526" s="82" t="s">
        <v>7705</v>
      </c>
      <c r="AD2526" s="77" t="s">
        <v>7748</v>
      </c>
      <c r="AE2526" s="80" t="str">
        <f>HYPERLINK("https://twitter.com/ataorienta/status/1685618963382718464")</f>
        <v>https://twitter.com/ataorienta/status/1685618963382718464</v>
      </c>
      <c r="AF2526" s="79">
        <v>45137.493657407409</v>
      </c>
      <c r="AG2526" s="85">
        <v>45137</v>
      </c>
      <c r="AH2526" s="82" t="s">
        <v>10018</v>
      </c>
      <c r="AI2526" s="77"/>
      <c r="AJ2526" s="77"/>
      <c r="AK2526" s="77"/>
      <c r="AL2526" s="77"/>
      <c r="AM2526" s="77"/>
      <c r="AN2526" s="77"/>
      <c r="AO2526" s="77"/>
      <c r="AP2526" s="77"/>
      <c r="AQ2526" s="77"/>
      <c r="AR2526" s="77"/>
      <c r="AS2526" s="77"/>
      <c r="AT2526" s="77"/>
      <c r="AU2526" s="77"/>
      <c r="AV2526" s="80" t="str">
        <f>HYPERLINK("https://pbs.twimg.com/profile_images/1693679843404062720/q3ecO34__normal.png")</f>
        <v>https://pbs.twimg.com/profile_images/1693679843404062720/q3ecO34__normal.png</v>
      </c>
      <c r="AW2526" s="82" t="s">
        <v>14682</v>
      </c>
      <c r="AX2526" s="82" t="s">
        <v>15589</v>
      </c>
      <c r="AY2526" s="82" t="s">
        <v>15792</v>
      </c>
      <c r="AZ2526" s="82" t="s">
        <v>16102</v>
      </c>
      <c r="BA2526" s="82" t="s">
        <v>15804</v>
      </c>
      <c r="BB2526" s="82" t="s">
        <v>15804</v>
      </c>
      <c r="BC2526" s="82" t="s">
        <v>16102</v>
      </c>
      <c r="BD2526" s="82" t="s">
        <v>15792</v>
      </c>
      <c r="BE2526" s="77"/>
      <c r="BF2526" s="77"/>
      <c r="BG2526" s="77"/>
      <c r="BH2526" s="77"/>
      <c r="BI2526" s="77"/>
    </row>
    <row r="2527" spans="1:61" x14ac:dyDescent="0.25">
      <c r="A2527" s="62" t="s">
        <v>968</v>
      </c>
      <c r="B2527" s="62" t="s">
        <v>968</v>
      </c>
      <c r="C2527" s="63"/>
      <c r="D2527" s="64"/>
      <c r="E2527" s="65"/>
      <c r="F2527" s="66"/>
      <c r="G2527" s="63"/>
      <c r="H2527" s="67"/>
      <c r="I2527" s="68"/>
      <c r="J2527" s="68"/>
      <c r="K2527" s="32"/>
      <c r="L2527" s="75">
        <v>2527</v>
      </c>
      <c r="M2527" s="75"/>
      <c r="N2527" s="70"/>
      <c r="O2527" s="77" t="s">
        <v>1132</v>
      </c>
      <c r="P2527" s="79">
        <v>45131.488206018519</v>
      </c>
      <c r="Q2527" s="77" t="s">
        <v>3558</v>
      </c>
      <c r="R2527" s="77">
        <v>0</v>
      </c>
      <c r="S2527" s="77">
        <v>0</v>
      </c>
      <c r="T2527" s="77">
        <v>0</v>
      </c>
      <c r="U2527" s="77">
        <v>0</v>
      </c>
      <c r="V2527" s="77">
        <v>12</v>
      </c>
      <c r="W2527" s="82" t="s">
        <v>5701</v>
      </c>
      <c r="X2527" s="77"/>
      <c r="Y2527" s="77"/>
      <c r="Z2527" s="77"/>
      <c r="AA2527" s="77"/>
      <c r="AB2527" s="77"/>
      <c r="AC2527" s="82" t="s">
        <v>7705</v>
      </c>
      <c r="AD2527" s="77" t="s">
        <v>7748</v>
      </c>
      <c r="AE2527" s="80" t="str">
        <f>HYPERLINK("https://twitter.com/ataorienta/status/1683442659560390656")</f>
        <v>https://twitter.com/ataorienta/status/1683442659560390656</v>
      </c>
      <c r="AF2527" s="79">
        <v>45131.488206018519</v>
      </c>
      <c r="AG2527" s="85">
        <v>45131</v>
      </c>
      <c r="AH2527" s="82" t="s">
        <v>10019</v>
      </c>
      <c r="AI2527" s="77"/>
      <c r="AJ2527" s="77"/>
      <c r="AK2527" s="77"/>
      <c r="AL2527" s="77"/>
      <c r="AM2527" s="77"/>
      <c r="AN2527" s="77"/>
      <c r="AO2527" s="77"/>
      <c r="AP2527" s="77"/>
      <c r="AQ2527" s="77"/>
      <c r="AR2527" s="77"/>
      <c r="AS2527" s="77"/>
      <c r="AT2527" s="77"/>
      <c r="AU2527" s="77"/>
      <c r="AV2527" s="80" t="str">
        <f>HYPERLINK("https://pbs.twimg.com/profile_images/1693679843404062720/q3ecO34__normal.png")</f>
        <v>https://pbs.twimg.com/profile_images/1693679843404062720/q3ecO34__normal.png</v>
      </c>
      <c r="AW2527" s="82" t="s">
        <v>14683</v>
      </c>
      <c r="AX2527" s="82" t="s">
        <v>15590</v>
      </c>
      <c r="AY2527" s="82" t="s">
        <v>15792</v>
      </c>
      <c r="AZ2527" s="82" t="s">
        <v>16103</v>
      </c>
      <c r="BA2527" s="82" t="s">
        <v>15804</v>
      </c>
      <c r="BB2527" s="82" t="s">
        <v>15804</v>
      </c>
      <c r="BC2527" s="82" t="s">
        <v>16103</v>
      </c>
      <c r="BD2527" s="82" t="s">
        <v>15792</v>
      </c>
      <c r="BE2527" s="77"/>
      <c r="BF2527" s="77"/>
      <c r="BG2527" s="77"/>
      <c r="BH2527" s="77"/>
      <c r="BI2527" s="77"/>
    </row>
    <row r="2528" spans="1:61" x14ac:dyDescent="0.25">
      <c r="A2528" s="62" t="s">
        <v>968</v>
      </c>
      <c r="B2528" s="62" t="s">
        <v>968</v>
      </c>
      <c r="C2528" s="63"/>
      <c r="D2528" s="64"/>
      <c r="E2528" s="65"/>
      <c r="F2528" s="66"/>
      <c r="G2528" s="63"/>
      <c r="H2528" s="67"/>
      <c r="I2528" s="68"/>
      <c r="J2528" s="68"/>
      <c r="K2528" s="32"/>
      <c r="L2528" s="75">
        <v>2528</v>
      </c>
      <c r="M2528" s="75"/>
      <c r="N2528" s="70"/>
      <c r="O2528" s="77" t="s">
        <v>1132</v>
      </c>
      <c r="P2528" s="79">
        <v>45130.508402777778</v>
      </c>
      <c r="Q2528" s="77" t="s">
        <v>3555</v>
      </c>
      <c r="R2528" s="77">
        <v>0</v>
      </c>
      <c r="S2528" s="77">
        <v>0</v>
      </c>
      <c r="T2528" s="77">
        <v>0</v>
      </c>
      <c r="U2528" s="77">
        <v>0</v>
      </c>
      <c r="V2528" s="77">
        <v>16</v>
      </c>
      <c r="W2528" s="82" t="s">
        <v>5698</v>
      </c>
      <c r="X2528" s="77"/>
      <c r="Y2528" s="77"/>
      <c r="Z2528" s="77"/>
      <c r="AA2528" s="77"/>
      <c r="AB2528" s="77"/>
      <c r="AC2528" s="82" t="s">
        <v>7705</v>
      </c>
      <c r="AD2528" s="77" t="s">
        <v>7748</v>
      </c>
      <c r="AE2528" s="80" t="str">
        <f>HYPERLINK("https://twitter.com/ataorienta/status/1683087589425774593")</f>
        <v>https://twitter.com/ataorienta/status/1683087589425774593</v>
      </c>
      <c r="AF2528" s="79">
        <v>45130.508402777778</v>
      </c>
      <c r="AG2528" s="85">
        <v>45130</v>
      </c>
      <c r="AH2528" s="82" t="s">
        <v>10020</v>
      </c>
      <c r="AI2528" s="77"/>
      <c r="AJ2528" s="77"/>
      <c r="AK2528" s="77"/>
      <c r="AL2528" s="77"/>
      <c r="AM2528" s="77"/>
      <c r="AN2528" s="77"/>
      <c r="AO2528" s="77"/>
      <c r="AP2528" s="77"/>
      <c r="AQ2528" s="77"/>
      <c r="AR2528" s="77"/>
      <c r="AS2528" s="77"/>
      <c r="AT2528" s="77"/>
      <c r="AU2528" s="77"/>
      <c r="AV2528" s="80" t="str">
        <f>HYPERLINK("https://pbs.twimg.com/profile_images/1693679843404062720/q3ecO34__normal.png")</f>
        <v>https://pbs.twimg.com/profile_images/1693679843404062720/q3ecO34__normal.png</v>
      </c>
      <c r="AW2528" s="82" t="s">
        <v>14684</v>
      </c>
      <c r="AX2528" s="82" t="s">
        <v>15591</v>
      </c>
      <c r="AY2528" s="82" t="s">
        <v>15792</v>
      </c>
      <c r="AZ2528" s="82" t="s">
        <v>16104</v>
      </c>
      <c r="BA2528" s="82" t="s">
        <v>15804</v>
      </c>
      <c r="BB2528" s="82" t="s">
        <v>15804</v>
      </c>
      <c r="BC2528" s="82" t="s">
        <v>16104</v>
      </c>
      <c r="BD2528" s="82" t="s">
        <v>15792</v>
      </c>
      <c r="BE2528" s="77"/>
      <c r="BF2528" s="77"/>
      <c r="BG2528" s="77"/>
      <c r="BH2528" s="77"/>
      <c r="BI2528" s="77"/>
    </row>
    <row r="2529" spans="1:61" x14ac:dyDescent="0.25">
      <c r="A2529" s="62" t="s">
        <v>968</v>
      </c>
      <c r="B2529" s="62" t="s">
        <v>968</v>
      </c>
      <c r="C2529" s="63"/>
      <c r="D2529" s="64"/>
      <c r="E2529" s="65"/>
      <c r="F2529" s="66"/>
      <c r="G2529" s="63"/>
      <c r="H2529" s="67"/>
      <c r="I2529" s="68"/>
      <c r="J2529" s="68"/>
      <c r="K2529" s="32"/>
      <c r="L2529" s="75">
        <v>2529</v>
      </c>
      <c r="M2529" s="75"/>
      <c r="N2529" s="70"/>
      <c r="O2529" s="77" t="s">
        <v>1132</v>
      </c>
      <c r="P2529" s="79">
        <v>45068.489699074074</v>
      </c>
      <c r="Q2529" s="77" t="s">
        <v>3560</v>
      </c>
      <c r="R2529" s="77">
        <v>0</v>
      </c>
      <c r="S2529" s="77">
        <v>0</v>
      </c>
      <c r="T2529" s="77">
        <v>0</v>
      </c>
      <c r="U2529" s="77">
        <v>0</v>
      </c>
      <c r="V2529" s="77">
        <v>6</v>
      </c>
      <c r="W2529" s="82" t="s">
        <v>5703</v>
      </c>
      <c r="X2529" s="77"/>
      <c r="Y2529" s="77"/>
      <c r="Z2529" s="77"/>
      <c r="AA2529" s="77"/>
      <c r="AB2529" s="77"/>
      <c r="AC2529" s="82" t="s">
        <v>7705</v>
      </c>
      <c r="AD2529" s="77" t="s">
        <v>7748</v>
      </c>
      <c r="AE2529" s="80" t="str">
        <f>HYPERLINK("https://twitter.com/ataorienta/status/1660612763461222400")</f>
        <v>https://twitter.com/ataorienta/status/1660612763461222400</v>
      </c>
      <c r="AF2529" s="79">
        <v>45068.489699074074</v>
      </c>
      <c r="AG2529" s="85">
        <v>45068</v>
      </c>
      <c r="AH2529" s="82" t="s">
        <v>10021</v>
      </c>
      <c r="AI2529" s="77"/>
      <c r="AJ2529" s="77"/>
      <c r="AK2529" s="77"/>
      <c r="AL2529" s="77"/>
      <c r="AM2529" s="77"/>
      <c r="AN2529" s="77"/>
      <c r="AO2529" s="77"/>
      <c r="AP2529" s="77"/>
      <c r="AQ2529" s="77"/>
      <c r="AR2529" s="77"/>
      <c r="AS2529" s="77"/>
      <c r="AT2529" s="77"/>
      <c r="AU2529" s="77"/>
      <c r="AV2529" s="80" t="str">
        <f>HYPERLINK("https://pbs.twimg.com/profile_images/1693679843404062720/q3ecO34__normal.png")</f>
        <v>https://pbs.twimg.com/profile_images/1693679843404062720/q3ecO34__normal.png</v>
      </c>
      <c r="AW2529" s="82" t="s">
        <v>14685</v>
      </c>
      <c r="AX2529" s="82" t="s">
        <v>15592</v>
      </c>
      <c r="AY2529" s="82" t="s">
        <v>15792</v>
      </c>
      <c r="AZ2529" s="82" t="s">
        <v>16105</v>
      </c>
      <c r="BA2529" s="82" t="s">
        <v>15804</v>
      </c>
      <c r="BB2529" s="82" t="s">
        <v>15804</v>
      </c>
      <c r="BC2529" s="82" t="s">
        <v>16105</v>
      </c>
      <c r="BD2529" s="82" t="s">
        <v>15792</v>
      </c>
      <c r="BE2529" s="77"/>
      <c r="BF2529" s="77"/>
      <c r="BG2529" s="77"/>
      <c r="BH2529" s="77"/>
      <c r="BI2529" s="77"/>
    </row>
    <row r="2530" spans="1:61" x14ac:dyDescent="0.25">
      <c r="A2530" s="62" t="s">
        <v>968</v>
      </c>
      <c r="B2530" s="62" t="s">
        <v>968</v>
      </c>
      <c r="C2530" s="63"/>
      <c r="D2530" s="64"/>
      <c r="E2530" s="65"/>
      <c r="F2530" s="66"/>
      <c r="G2530" s="63"/>
      <c r="H2530" s="67"/>
      <c r="I2530" s="68"/>
      <c r="J2530" s="68"/>
      <c r="K2530" s="32"/>
      <c r="L2530" s="75">
        <v>2530</v>
      </c>
      <c r="M2530" s="75"/>
      <c r="N2530" s="70"/>
      <c r="O2530" s="77" t="s">
        <v>1132</v>
      </c>
      <c r="P2530" s="79">
        <v>45067.509756944448</v>
      </c>
      <c r="Q2530" s="77" t="s">
        <v>3557</v>
      </c>
      <c r="R2530" s="77">
        <v>0</v>
      </c>
      <c r="S2530" s="77">
        <v>0</v>
      </c>
      <c r="T2530" s="77">
        <v>0</v>
      </c>
      <c r="U2530" s="77">
        <v>0</v>
      </c>
      <c r="V2530" s="77">
        <v>4</v>
      </c>
      <c r="W2530" s="82" t="s">
        <v>5700</v>
      </c>
      <c r="X2530" s="77"/>
      <c r="Y2530" s="77"/>
      <c r="Z2530" s="77"/>
      <c r="AA2530" s="77"/>
      <c r="AB2530" s="77"/>
      <c r="AC2530" s="82" t="s">
        <v>7705</v>
      </c>
      <c r="AD2530" s="77" t="s">
        <v>7748</v>
      </c>
      <c r="AE2530" s="80" t="str">
        <f>HYPERLINK("https://twitter.com/ataorienta/status/1660257647621185542")</f>
        <v>https://twitter.com/ataorienta/status/1660257647621185542</v>
      </c>
      <c r="AF2530" s="79">
        <v>45067.509756944448</v>
      </c>
      <c r="AG2530" s="85">
        <v>45067</v>
      </c>
      <c r="AH2530" s="82" t="s">
        <v>10022</v>
      </c>
      <c r="AI2530" s="77"/>
      <c r="AJ2530" s="77"/>
      <c r="AK2530" s="77"/>
      <c r="AL2530" s="77"/>
      <c r="AM2530" s="77"/>
      <c r="AN2530" s="77"/>
      <c r="AO2530" s="77"/>
      <c r="AP2530" s="77"/>
      <c r="AQ2530" s="77"/>
      <c r="AR2530" s="77"/>
      <c r="AS2530" s="77"/>
      <c r="AT2530" s="77"/>
      <c r="AU2530" s="77"/>
      <c r="AV2530" s="80" t="str">
        <f>HYPERLINK("https://pbs.twimg.com/profile_images/1693679843404062720/q3ecO34__normal.png")</f>
        <v>https://pbs.twimg.com/profile_images/1693679843404062720/q3ecO34__normal.png</v>
      </c>
      <c r="AW2530" s="82" t="s">
        <v>14686</v>
      </c>
      <c r="AX2530" s="82" t="s">
        <v>15593</v>
      </c>
      <c r="AY2530" s="82" t="s">
        <v>15792</v>
      </c>
      <c r="AZ2530" s="82" t="s">
        <v>16106</v>
      </c>
      <c r="BA2530" s="82" t="s">
        <v>15804</v>
      </c>
      <c r="BB2530" s="82" t="s">
        <v>15804</v>
      </c>
      <c r="BC2530" s="82" t="s">
        <v>16106</v>
      </c>
      <c r="BD2530" s="82" t="s">
        <v>15792</v>
      </c>
      <c r="BE2530" s="77"/>
      <c r="BF2530" s="77"/>
      <c r="BG2530" s="77"/>
      <c r="BH2530" s="77"/>
      <c r="BI2530" s="77"/>
    </row>
    <row r="2531" spans="1:61" x14ac:dyDescent="0.25">
      <c r="A2531" s="62" t="s">
        <v>968</v>
      </c>
      <c r="B2531" s="62" t="s">
        <v>968</v>
      </c>
      <c r="C2531" s="63"/>
      <c r="D2531" s="64"/>
      <c r="E2531" s="65"/>
      <c r="F2531" s="66"/>
      <c r="G2531" s="63"/>
      <c r="H2531" s="67"/>
      <c r="I2531" s="68"/>
      <c r="J2531" s="68"/>
      <c r="K2531" s="32"/>
      <c r="L2531" s="75">
        <v>2531</v>
      </c>
      <c r="M2531" s="75"/>
      <c r="N2531" s="70"/>
      <c r="O2531" s="77" t="s">
        <v>1132</v>
      </c>
      <c r="P2531" s="79">
        <v>45166.648576388892</v>
      </c>
      <c r="Q2531" s="77" t="s">
        <v>3558</v>
      </c>
      <c r="R2531" s="77">
        <v>0</v>
      </c>
      <c r="S2531" s="77">
        <v>0</v>
      </c>
      <c r="T2531" s="77">
        <v>0</v>
      </c>
      <c r="U2531" s="77">
        <v>0</v>
      </c>
      <c r="V2531" s="77">
        <v>18</v>
      </c>
      <c r="W2531" s="82" t="s">
        <v>5701</v>
      </c>
      <c r="X2531" s="77"/>
      <c r="Y2531" s="77"/>
      <c r="Z2531" s="77"/>
      <c r="AA2531" s="77"/>
      <c r="AB2531" s="77"/>
      <c r="AC2531" s="82" t="s">
        <v>7705</v>
      </c>
      <c r="AD2531" s="77" t="s">
        <v>7748</v>
      </c>
      <c r="AE2531" s="80" t="str">
        <f>HYPERLINK("https://twitter.com/ataorienta/status/1696184351862501424")</f>
        <v>https://twitter.com/ataorienta/status/1696184351862501424</v>
      </c>
      <c r="AF2531" s="79">
        <v>45166.648576388892</v>
      </c>
      <c r="AG2531" s="85">
        <v>45166</v>
      </c>
      <c r="AH2531" s="82" t="s">
        <v>10023</v>
      </c>
      <c r="AI2531" s="77"/>
      <c r="AJ2531" s="77"/>
      <c r="AK2531" s="77"/>
      <c r="AL2531" s="77"/>
      <c r="AM2531" s="77"/>
      <c r="AN2531" s="77"/>
      <c r="AO2531" s="77"/>
      <c r="AP2531" s="77"/>
      <c r="AQ2531" s="77"/>
      <c r="AR2531" s="77"/>
      <c r="AS2531" s="77"/>
      <c r="AT2531" s="77"/>
      <c r="AU2531" s="77"/>
      <c r="AV2531" s="80" t="str">
        <f>HYPERLINK("https://pbs.twimg.com/profile_images/1693679843404062720/q3ecO34__normal.png")</f>
        <v>https://pbs.twimg.com/profile_images/1693679843404062720/q3ecO34__normal.png</v>
      </c>
      <c r="AW2531" s="82" t="s">
        <v>14687</v>
      </c>
      <c r="AX2531" s="82" t="s">
        <v>15594</v>
      </c>
      <c r="AY2531" s="82" t="s">
        <v>15792</v>
      </c>
      <c r="AZ2531" s="82" t="s">
        <v>16107</v>
      </c>
      <c r="BA2531" s="82" t="s">
        <v>15804</v>
      </c>
      <c r="BB2531" s="82" t="s">
        <v>15804</v>
      </c>
      <c r="BC2531" s="82" t="s">
        <v>16107</v>
      </c>
      <c r="BD2531" s="82" t="s">
        <v>15792</v>
      </c>
      <c r="BE2531" s="77"/>
      <c r="BF2531" s="77"/>
      <c r="BG2531" s="77"/>
      <c r="BH2531" s="77"/>
      <c r="BI2531" s="77"/>
    </row>
    <row r="2532" spans="1:61" x14ac:dyDescent="0.25">
      <c r="A2532" s="62" t="s">
        <v>968</v>
      </c>
      <c r="B2532" s="62" t="s">
        <v>968</v>
      </c>
      <c r="C2532" s="63"/>
      <c r="D2532" s="64"/>
      <c r="E2532" s="65"/>
      <c r="F2532" s="66"/>
      <c r="G2532" s="63"/>
      <c r="H2532" s="67"/>
      <c r="I2532" s="68"/>
      <c r="J2532" s="68"/>
      <c r="K2532" s="32"/>
      <c r="L2532" s="75">
        <v>2532</v>
      </c>
      <c r="M2532" s="75"/>
      <c r="N2532" s="70"/>
      <c r="O2532" s="77" t="s">
        <v>1132</v>
      </c>
      <c r="P2532" s="79">
        <v>45151.590763888889</v>
      </c>
      <c r="Q2532" s="77" t="s">
        <v>3557</v>
      </c>
      <c r="R2532" s="77">
        <v>0</v>
      </c>
      <c r="S2532" s="77">
        <v>0</v>
      </c>
      <c r="T2532" s="77">
        <v>0</v>
      </c>
      <c r="U2532" s="77">
        <v>0</v>
      </c>
      <c r="V2532" s="77">
        <v>16</v>
      </c>
      <c r="W2532" s="82" t="s">
        <v>5700</v>
      </c>
      <c r="X2532" s="77"/>
      <c r="Y2532" s="77"/>
      <c r="Z2532" s="77"/>
      <c r="AA2532" s="77"/>
      <c r="AB2532" s="77"/>
      <c r="AC2532" s="82" t="s">
        <v>7705</v>
      </c>
      <c r="AD2532" s="77" t="s">
        <v>7748</v>
      </c>
      <c r="AE2532" s="80" t="str">
        <f>HYPERLINK("https://twitter.com/ataorienta/status/1690727584160530432")</f>
        <v>https://twitter.com/ataorienta/status/1690727584160530432</v>
      </c>
      <c r="AF2532" s="79">
        <v>45151.590763888889</v>
      </c>
      <c r="AG2532" s="85">
        <v>45151</v>
      </c>
      <c r="AH2532" s="82" t="s">
        <v>10024</v>
      </c>
      <c r="AI2532" s="77"/>
      <c r="AJ2532" s="77"/>
      <c r="AK2532" s="77"/>
      <c r="AL2532" s="77"/>
      <c r="AM2532" s="77"/>
      <c r="AN2532" s="77"/>
      <c r="AO2532" s="77"/>
      <c r="AP2532" s="77"/>
      <c r="AQ2532" s="77"/>
      <c r="AR2532" s="77"/>
      <c r="AS2532" s="77"/>
      <c r="AT2532" s="77"/>
      <c r="AU2532" s="77"/>
      <c r="AV2532" s="80" t="str">
        <f>HYPERLINK("https://pbs.twimg.com/profile_images/1693679843404062720/q3ecO34__normal.png")</f>
        <v>https://pbs.twimg.com/profile_images/1693679843404062720/q3ecO34__normal.png</v>
      </c>
      <c r="AW2532" s="82" t="s">
        <v>14688</v>
      </c>
      <c r="AX2532" s="82" t="s">
        <v>15595</v>
      </c>
      <c r="AY2532" s="82" t="s">
        <v>15792</v>
      </c>
      <c r="AZ2532" s="82" t="s">
        <v>16108</v>
      </c>
      <c r="BA2532" s="82" t="s">
        <v>15804</v>
      </c>
      <c r="BB2532" s="82" t="s">
        <v>15804</v>
      </c>
      <c r="BC2532" s="82" t="s">
        <v>16108</v>
      </c>
      <c r="BD2532" s="82" t="s">
        <v>15792</v>
      </c>
      <c r="BE2532" s="77"/>
      <c r="BF2532" s="77"/>
      <c r="BG2532" s="77"/>
      <c r="BH2532" s="77"/>
      <c r="BI2532" s="77"/>
    </row>
    <row r="2533" spans="1:61" x14ac:dyDescent="0.25">
      <c r="A2533" s="62" t="s">
        <v>968</v>
      </c>
      <c r="B2533" s="62" t="s">
        <v>968</v>
      </c>
      <c r="C2533" s="63"/>
      <c r="D2533" s="64"/>
      <c r="E2533" s="65"/>
      <c r="F2533" s="66"/>
      <c r="G2533" s="63"/>
      <c r="H2533" s="67"/>
      <c r="I2533" s="68"/>
      <c r="J2533" s="68"/>
      <c r="K2533" s="32"/>
      <c r="L2533" s="75">
        <v>2533</v>
      </c>
      <c r="M2533" s="75"/>
      <c r="N2533" s="70"/>
      <c r="O2533" s="77" t="s">
        <v>1132</v>
      </c>
      <c r="P2533" s="79">
        <v>45145.496967592589</v>
      </c>
      <c r="Q2533" s="77" t="s">
        <v>3561</v>
      </c>
      <c r="R2533" s="77">
        <v>0</v>
      </c>
      <c r="S2533" s="77">
        <v>0</v>
      </c>
      <c r="T2533" s="77">
        <v>0</v>
      </c>
      <c r="U2533" s="77">
        <v>0</v>
      </c>
      <c r="V2533" s="77">
        <v>3</v>
      </c>
      <c r="W2533" s="82" t="s">
        <v>5704</v>
      </c>
      <c r="X2533" s="77"/>
      <c r="Y2533" s="77"/>
      <c r="Z2533" s="77"/>
      <c r="AA2533" s="77"/>
      <c r="AB2533" s="77"/>
      <c r="AC2533" s="82" t="s">
        <v>7705</v>
      </c>
      <c r="AD2533" s="77" t="s">
        <v>7748</v>
      </c>
      <c r="AE2533" s="80" t="str">
        <f>HYPERLINK("https://twitter.com/ataorienta/status/1688519263865225216")</f>
        <v>https://twitter.com/ataorienta/status/1688519263865225216</v>
      </c>
      <c r="AF2533" s="79">
        <v>45145.496967592589</v>
      </c>
      <c r="AG2533" s="85">
        <v>45145</v>
      </c>
      <c r="AH2533" s="82" t="s">
        <v>10025</v>
      </c>
      <c r="AI2533" s="77"/>
      <c r="AJ2533" s="77"/>
      <c r="AK2533" s="77"/>
      <c r="AL2533" s="77"/>
      <c r="AM2533" s="77"/>
      <c r="AN2533" s="77"/>
      <c r="AO2533" s="77"/>
      <c r="AP2533" s="77"/>
      <c r="AQ2533" s="77"/>
      <c r="AR2533" s="77"/>
      <c r="AS2533" s="77"/>
      <c r="AT2533" s="77"/>
      <c r="AU2533" s="77"/>
      <c r="AV2533" s="80" t="str">
        <f>HYPERLINK("https://pbs.twimg.com/profile_images/1693679843404062720/q3ecO34__normal.png")</f>
        <v>https://pbs.twimg.com/profile_images/1693679843404062720/q3ecO34__normal.png</v>
      </c>
      <c r="AW2533" s="82" t="s">
        <v>14689</v>
      </c>
      <c r="AX2533" s="82" t="s">
        <v>15596</v>
      </c>
      <c r="AY2533" s="82" t="s">
        <v>15792</v>
      </c>
      <c r="AZ2533" s="82" t="s">
        <v>16109</v>
      </c>
      <c r="BA2533" s="82" t="s">
        <v>15804</v>
      </c>
      <c r="BB2533" s="82" t="s">
        <v>15804</v>
      </c>
      <c r="BC2533" s="82" t="s">
        <v>16109</v>
      </c>
      <c r="BD2533" s="82" t="s">
        <v>15792</v>
      </c>
      <c r="BE2533" s="77"/>
      <c r="BF2533" s="77"/>
      <c r="BG2533" s="77"/>
      <c r="BH2533" s="77"/>
      <c r="BI2533" s="77"/>
    </row>
    <row r="2534" spans="1:61" x14ac:dyDescent="0.25">
      <c r="A2534" s="62" t="s">
        <v>968</v>
      </c>
      <c r="B2534" s="62" t="s">
        <v>968</v>
      </c>
      <c r="C2534" s="63"/>
      <c r="D2534" s="64"/>
      <c r="E2534" s="65"/>
      <c r="F2534" s="66"/>
      <c r="G2534" s="63"/>
      <c r="H2534" s="67"/>
      <c r="I2534" s="68"/>
      <c r="J2534" s="68"/>
      <c r="K2534" s="32"/>
      <c r="L2534" s="75">
        <v>2534</v>
      </c>
      <c r="M2534" s="75"/>
      <c r="N2534" s="70"/>
      <c r="O2534" s="77" t="s">
        <v>1132</v>
      </c>
      <c r="P2534" s="79">
        <v>45117.486134259256</v>
      </c>
      <c r="Q2534" s="77" t="s">
        <v>3560</v>
      </c>
      <c r="R2534" s="77">
        <v>0</v>
      </c>
      <c r="S2534" s="77">
        <v>0</v>
      </c>
      <c r="T2534" s="77">
        <v>0</v>
      </c>
      <c r="U2534" s="77">
        <v>0</v>
      </c>
      <c r="V2534" s="77">
        <v>9</v>
      </c>
      <c r="W2534" s="82" t="s">
        <v>5703</v>
      </c>
      <c r="X2534" s="77"/>
      <c r="Y2534" s="77"/>
      <c r="Z2534" s="77"/>
      <c r="AA2534" s="77"/>
      <c r="AB2534" s="77"/>
      <c r="AC2534" s="82" t="s">
        <v>7705</v>
      </c>
      <c r="AD2534" s="77" t="s">
        <v>7748</v>
      </c>
      <c r="AE2534" s="80" t="str">
        <f>HYPERLINK("https://twitter.com/ataorienta/status/1678368477449428993")</f>
        <v>https://twitter.com/ataorienta/status/1678368477449428993</v>
      </c>
      <c r="AF2534" s="79">
        <v>45117.486134259256</v>
      </c>
      <c r="AG2534" s="85">
        <v>45117</v>
      </c>
      <c r="AH2534" s="82" t="s">
        <v>10026</v>
      </c>
      <c r="AI2534" s="77"/>
      <c r="AJ2534" s="77"/>
      <c r="AK2534" s="77"/>
      <c r="AL2534" s="77"/>
      <c r="AM2534" s="77"/>
      <c r="AN2534" s="77"/>
      <c r="AO2534" s="77"/>
      <c r="AP2534" s="77"/>
      <c r="AQ2534" s="77"/>
      <c r="AR2534" s="77"/>
      <c r="AS2534" s="77"/>
      <c r="AT2534" s="77"/>
      <c r="AU2534" s="77"/>
      <c r="AV2534" s="80" t="str">
        <f>HYPERLINK("https://pbs.twimg.com/profile_images/1693679843404062720/q3ecO34__normal.png")</f>
        <v>https://pbs.twimg.com/profile_images/1693679843404062720/q3ecO34__normal.png</v>
      </c>
      <c r="AW2534" s="82" t="s">
        <v>14690</v>
      </c>
      <c r="AX2534" s="82" t="s">
        <v>15597</v>
      </c>
      <c r="AY2534" s="82" t="s">
        <v>15792</v>
      </c>
      <c r="AZ2534" s="82" t="s">
        <v>16110</v>
      </c>
      <c r="BA2534" s="82" t="s">
        <v>15804</v>
      </c>
      <c r="BB2534" s="82" t="s">
        <v>15804</v>
      </c>
      <c r="BC2534" s="82" t="s">
        <v>16110</v>
      </c>
      <c r="BD2534" s="82" t="s">
        <v>15792</v>
      </c>
      <c r="BE2534" s="77"/>
      <c r="BF2534" s="77"/>
      <c r="BG2534" s="77"/>
      <c r="BH2534" s="77"/>
      <c r="BI2534" s="77"/>
    </row>
    <row r="2535" spans="1:61" x14ac:dyDescent="0.25">
      <c r="A2535" s="62" t="s">
        <v>968</v>
      </c>
      <c r="B2535" s="62" t="s">
        <v>968</v>
      </c>
      <c r="C2535" s="63"/>
      <c r="D2535" s="64"/>
      <c r="E2535" s="65"/>
      <c r="F2535" s="66"/>
      <c r="G2535" s="63"/>
      <c r="H2535" s="67"/>
      <c r="I2535" s="68"/>
      <c r="J2535" s="68"/>
      <c r="K2535" s="32"/>
      <c r="L2535" s="75">
        <v>2535</v>
      </c>
      <c r="M2535" s="75"/>
      <c r="N2535" s="70"/>
      <c r="O2535" s="77" t="s">
        <v>1132</v>
      </c>
      <c r="P2535" s="79">
        <v>45116.490081018521</v>
      </c>
      <c r="Q2535" s="77" t="s">
        <v>3559</v>
      </c>
      <c r="R2535" s="77">
        <v>0</v>
      </c>
      <c r="S2535" s="77">
        <v>0</v>
      </c>
      <c r="T2535" s="77">
        <v>0</v>
      </c>
      <c r="U2535" s="77">
        <v>0</v>
      </c>
      <c r="V2535" s="77">
        <v>4</v>
      </c>
      <c r="W2535" s="82" t="s">
        <v>5702</v>
      </c>
      <c r="X2535" s="77"/>
      <c r="Y2535" s="77"/>
      <c r="Z2535" s="77"/>
      <c r="AA2535" s="77"/>
      <c r="AB2535" s="77"/>
      <c r="AC2535" s="82" t="s">
        <v>7705</v>
      </c>
      <c r="AD2535" s="77" t="s">
        <v>7748</v>
      </c>
      <c r="AE2535" s="80" t="str">
        <f>HYPERLINK("https://twitter.com/ataorienta/status/1678007521422843910")</f>
        <v>https://twitter.com/ataorienta/status/1678007521422843910</v>
      </c>
      <c r="AF2535" s="79">
        <v>45116.490081018521</v>
      </c>
      <c r="AG2535" s="85">
        <v>45116</v>
      </c>
      <c r="AH2535" s="82" t="s">
        <v>10027</v>
      </c>
      <c r="AI2535" s="77"/>
      <c r="AJ2535" s="77"/>
      <c r="AK2535" s="77"/>
      <c r="AL2535" s="77"/>
      <c r="AM2535" s="77"/>
      <c r="AN2535" s="77"/>
      <c r="AO2535" s="77"/>
      <c r="AP2535" s="77"/>
      <c r="AQ2535" s="77"/>
      <c r="AR2535" s="77"/>
      <c r="AS2535" s="77"/>
      <c r="AT2535" s="77"/>
      <c r="AU2535" s="77"/>
      <c r="AV2535" s="80" t="str">
        <f>HYPERLINK("https://pbs.twimg.com/profile_images/1693679843404062720/q3ecO34__normal.png")</f>
        <v>https://pbs.twimg.com/profile_images/1693679843404062720/q3ecO34__normal.png</v>
      </c>
      <c r="AW2535" s="82" t="s">
        <v>14691</v>
      </c>
      <c r="AX2535" s="82" t="s">
        <v>15598</v>
      </c>
      <c r="AY2535" s="82" t="s">
        <v>15792</v>
      </c>
      <c r="AZ2535" s="82" t="s">
        <v>16111</v>
      </c>
      <c r="BA2535" s="82" t="s">
        <v>15804</v>
      </c>
      <c r="BB2535" s="82" t="s">
        <v>15804</v>
      </c>
      <c r="BC2535" s="82" t="s">
        <v>16111</v>
      </c>
      <c r="BD2535" s="82" t="s">
        <v>15792</v>
      </c>
      <c r="BE2535" s="77"/>
      <c r="BF2535" s="77"/>
      <c r="BG2535" s="77"/>
      <c r="BH2535" s="77"/>
      <c r="BI2535" s="77"/>
    </row>
    <row r="2536" spans="1:61" x14ac:dyDescent="0.25">
      <c r="A2536" s="62" t="s">
        <v>968</v>
      </c>
      <c r="B2536" s="62" t="s">
        <v>968</v>
      </c>
      <c r="C2536" s="63"/>
      <c r="D2536" s="64"/>
      <c r="E2536" s="65"/>
      <c r="F2536" s="66"/>
      <c r="G2536" s="63"/>
      <c r="H2536" s="67"/>
      <c r="I2536" s="68"/>
      <c r="J2536" s="68"/>
      <c r="K2536" s="32"/>
      <c r="L2536" s="75">
        <v>2536</v>
      </c>
      <c r="M2536" s="75"/>
      <c r="N2536" s="70"/>
      <c r="O2536" s="77" t="s">
        <v>1132</v>
      </c>
      <c r="P2536" s="79">
        <v>45061.052581018521</v>
      </c>
      <c r="Q2536" s="77" t="s">
        <v>3557</v>
      </c>
      <c r="R2536" s="77">
        <v>0</v>
      </c>
      <c r="S2536" s="77">
        <v>0</v>
      </c>
      <c r="T2536" s="77">
        <v>0</v>
      </c>
      <c r="U2536" s="77">
        <v>0</v>
      </c>
      <c r="V2536" s="77">
        <v>7</v>
      </c>
      <c r="W2536" s="82" t="s">
        <v>5700</v>
      </c>
      <c r="X2536" s="77"/>
      <c r="Y2536" s="77"/>
      <c r="Z2536" s="77"/>
      <c r="AA2536" s="77"/>
      <c r="AB2536" s="77"/>
      <c r="AC2536" s="82" t="s">
        <v>7705</v>
      </c>
      <c r="AD2536" s="77" t="s">
        <v>7748</v>
      </c>
      <c r="AE2536" s="80" t="str">
        <f>HYPERLINK("https://twitter.com/ataorienta/status/1657917642135552000")</f>
        <v>https://twitter.com/ataorienta/status/1657917642135552000</v>
      </c>
      <c r="AF2536" s="79">
        <v>45061.052581018521</v>
      </c>
      <c r="AG2536" s="85">
        <v>45061</v>
      </c>
      <c r="AH2536" s="82" t="s">
        <v>10028</v>
      </c>
      <c r="AI2536" s="77"/>
      <c r="AJ2536" s="77"/>
      <c r="AK2536" s="77"/>
      <c r="AL2536" s="77"/>
      <c r="AM2536" s="77"/>
      <c r="AN2536" s="77"/>
      <c r="AO2536" s="77"/>
      <c r="AP2536" s="77"/>
      <c r="AQ2536" s="77"/>
      <c r="AR2536" s="77"/>
      <c r="AS2536" s="77"/>
      <c r="AT2536" s="77"/>
      <c r="AU2536" s="77"/>
      <c r="AV2536" s="80" t="str">
        <f>HYPERLINK("https://pbs.twimg.com/profile_images/1693679843404062720/q3ecO34__normal.png")</f>
        <v>https://pbs.twimg.com/profile_images/1693679843404062720/q3ecO34__normal.png</v>
      </c>
      <c r="AW2536" s="82" t="s">
        <v>14692</v>
      </c>
      <c r="AX2536" s="82" t="s">
        <v>15599</v>
      </c>
      <c r="AY2536" s="82" t="s">
        <v>15792</v>
      </c>
      <c r="AZ2536" s="82" t="s">
        <v>16112</v>
      </c>
      <c r="BA2536" s="82" t="s">
        <v>15804</v>
      </c>
      <c r="BB2536" s="82" t="s">
        <v>15804</v>
      </c>
      <c r="BC2536" s="82" t="s">
        <v>16112</v>
      </c>
      <c r="BD2536" s="82" t="s">
        <v>15792</v>
      </c>
      <c r="BE2536" s="77"/>
      <c r="BF2536" s="77"/>
      <c r="BG2536" s="77"/>
      <c r="BH2536" s="77"/>
      <c r="BI2536" s="77"/>
    </row>
    <row r="2537" spans="1:61" x14ac:dyDescent="0.25">
      <c r="A2537" s="62" t="s">
        <v>968</v>
      </c>
      <c r="B2537" s="62" t="s">
        <v>968</v>
      </c>
      <c r="C2537" s="63"/>
      <c r="D2537" s="64"/>
      <c r="E2537" s="65"/>
      <c r="F2537" s="66"/>
      <c r="G2537" s="63"/>
      <c r="H2537" s="67"/>
      <c r="I2537" s="68"/>
      <c r="J2537" s="68"/>
      <c r="K2537" s="32"/>
      <c r="L2537" s="75">
        <v>2537</v>
      </c>
      <c r="M2537" s="75"/>
      <c r="N2537" s="70"/>
      <c r="O2537" s="77" t="s">
        <v>1132</v>
      </c>
      <c r="P2537" s="79">
        <v>45178.521435185183</v>
      </c>
      <c r="Q2537" s="77" t="s">
        <v>3562</v>
      </c>
      <c r="R2537" s="77">
        <v>0</v>
      </c>
      <c r="S2537" s="77">
        <v>1</v>
      </c>
      <c r="T2537" s="77">
        <v>0</v>
      </c>
      <c r="U2537" s="77">
        <v>0</v>
      </c>
      <c r="V2537" s="77">
        <v>36</v>
      </c>
      <c r="W2537" s="82" t="s">
        <v>5705</v>
      </c>
      <c r="X2537" s="77"/>
      <c r="Y2537" s="77"/>
      <c r="Z2537" s="77"/>
      <c r="AA2537" s="77"/>
      <c r="AB2537" s="77"/>
      <c r="AC2537" s="82" t="s">
        <v>7705</v>
      </c>
      <c r="AD2537" s="77" t="s">
        <v>7748</v>
      </c>
      <c r="AE2537" s="80" t="str">
        <f>HYPERLINK("https://twitter.com/ataorienta/status/1700486929546936718")</f>
        <v>https://twitter.com/ataorienta/status/1700486929546936718</v>
      </c>
      <c r="AF2537" s="79">
        <v>45178.521435185183</v>
      </c>
      <c r="AG2537" s="85">
        <v>45178</v>
      </c>
      <c r="AH2537" s="82" t="s">
        <v>10029</v>
      </c>
      <c r="AI2537" s="77"/>
      <c r="AJ2537" s="77"/>
      <c r="AK2537" s="77"/>
      <c r="AL2537" s="77"/>
      <c r="AM2537" s="77"/>
      <c r="AN2537" s="77"/>
      <c r="AO2537" s="77"/>
      <c r="AP2537" s="77"/>
      <c r="AQ2537" s="77"/>
      <c r="AR2537" s="77"/>
      <c r="AS2537" s="77"/>
      <c r="AT2537" s="77"/>
      <c r="AU2537" s="77"/>
      <c r="AV2537" s="80" t="str">
        <f>HYPERLINK("https://pbs.twimg.com/profile_images/1693679843404062720/q3ecO34__normal.png")</f>
        <v>https://pbs.twimg.com/profile_images/1693679843404062720/q3ecO34__normal.png</v>
      </c>
      <c r="AW2537" s="82" t="s">
        <v>14693</v>
      </c>
      <c r="AX2537" s="82" t="s">
        <v>15600</v>
      </c>
      <c r="AY2537" s="82" t="s">
        <v>15792</v>
      </c>
      <c r="AZ2537" s="82" t="s">
        <v>16113</v>
      </c>
      <c r="BA2537" s="82" t="s">
        <v>15804</v>
      </c>
      <c r="BB2537" s="82" t="s">
        <v>15804</v>
      </c>
      <c r="BC2537" s="82" t="s">
        <v>16113</v>
      </c>
      <c r="BD2537" s="82" t="s">
        <v>15792</v>
      </c>
      <c r="BE2537" s="77"/>
      <c r="BF2537" s="77"/>
      <c r="BG2537" s="77"/>
      <c r="BH2537" s="77"/>
      <c r="BI2537" s="77"/>
    </row>
    <row r="2538" spans="1:61" x14ac:dyDescent="0.25">
      <c r="A2538" s="62" t="s">
        <v>968</v>
      </c>
      <c r="B2538" s="62" t="s">
        <v>968</v>
      </c>
      <c r="C2538" s="63"/>
      <c r="D2538" s="64"/>
      <c r="E2538" s="65"/>
      <c r="F2538" s="66"/>
      <c r="G2538" s="63"/>
      <c r="H2538" s="67"/>
      <c r="I2538" s="68"/>
      <c r="J2538" s="68"/>
      <c r="K2538" s="32"/>
      <c r="L2538" s="75">
        <v>2538</v>
      </c>
      <c r="M2538" s="75"/>
      <c r="N2538" s="70"/>
      <c r="O2538" s="77" t="s">
        <v>1132</v>
      </c>
      <c r="P2538" s="79">
        <v>45176.522453703707</v>
      </c>
      <c r="Q2538" s="77" t="s">
        <v>3562</v>
      </c>
      <c r="R2538" s="77">
        <v>0</v>
      </c>
      <c r="S2538" s="77">
        <v>0</v>
      </c>
      <c r="T2538" s="77">
        <v>0</v>
      </c>
      <c r="U2538" s="77">
        <v>0</v>
      </c>
      <c r="V2538" s="77">
        <v>15</v>
      </c>
      <c r="W2538" s="82" t="s">
        <v>5705</v>
      </c>
      <c r="X2538" s="77"/>
      <c r="Y2538" s="77"/>
      <c r="Z2538" s="77"/>
      <c r="AA2538" s="77"/>
      <c r="AB2538" s="77"/>
      <c r="AC2538" s="82" t="s">
        <v>7705</v>
      </c>
      <c r="AD2538" s="77" t="s">
        <v>7748</v>
      </c>
      <c r="AE2538" s="80" t="str">
        <f>HYPERLINK("https://twitter.com/ataorienta/status/1699762525372325954")</f>
        <v>https://twitter.com/ataorienta/status/1699762525372325954</v>
      </c>
      <c r="AF2538" s="79">
        <v>45176.522453703707</v>
      </c>
      <c r="AG2538" s="85">
        <v>45176</v>
      </c>
      <c r="AH2538" s="82" t="s">
        <v>10030</v>
      </c>
      <c r="AI2538" s="77"/>
      <c r="AJ2538" s="77"/>
      <c r="AK2538" s="77"/>
      <c r="AL2538" s="77"/>
      <c r="AM2538" s="77"/>
      <c r="AN2538" s="77"/>
      <c r="AO2538" s="77"/>
      <c r="AP2538" s="77"/>
      <c r="AQ2538" s="77"/>
      <c r="AR2538" s="77"/>
      <c r="AS2538" s="77"/>
      <c r="AT2538" s="77"/>
      <c r="AU2538" s="77"/>
      <c r="AV2538" s="80" t="str">
        <f>HYPERLINK("https://pbs.twimg.com/profile_images/1693679843404062720/q3ecO34__normal.png")</f>
        <v>https://pbs.twimg.com/profile_images/1693679843404062720/q3ecO34__normal.png</v>
      </c>
      <c r="AW2538" s="82" t="s">
        <v>14694</v>
      </c>
      <c r="AX2538" s="82" t="s">
        <v>15601</v>
      </c>
      <c r="AY2538" s="82" t="s">
        <v>15792</v>
      </c>
      <c r="AZ2538" s="82" t="s">
        <v>16114</v>
      </c>
      <c r="BA2538" s="82" t="s">
        <v>15804</v>
      </c>
      <c r="BB2538" s="82" t="s">
        <v>15804</v>
      </c>
      <c r="BC2538" s="82" t="s">
        <v>16114</v>
      </c>
      <c r="BD2538" s="82" t="s">
        <v>15792</v>
      </c>
      <c r="BE2538" s="77"/>
      <c r="BF2538" s="77"/>
      <c r="BG2538" s="77"/>
      <c r="BH2538" s="77"/>
      <c r="BI2538" s="77"/>
    </row>
    <row r="2539" spans="1:61" x14ac:dyDescent="0.25">
      <c r="A2539" s="62" t="s">
        <v>968</v>
      </c>
      <c r="B2539" s="62" t="s">
        <v>968</v>
      </c>
      <c r="C2539" s="63"/>
      <c r="D2539" s="64"/>
      <c r="E2539" s="65"/>
      <c r="F2539" s="66"/>
      <c r="G2539" s="63"/>
      <c r="H2539" s="67"/>
      <c r="I2539" s="68"/>
      <c r="J2539" s="68"/>
      <c r="K2539" s="32"/>
      <c r="L2539" s="75">
        <v>2539</v>
      </c>
      <c r="M2539" s="75"/>
      <c r="N2539" s="70"/>
      <c r="O2539" s="77" t="s">
        <v>1132</v>
      </c>
      <c r="P2539" s="79">
        <v>45150.562013888892</v>
      </c>
      <c r="Q2539" s="77" t="s">
        <v>3558</v>
      </c>
      <c r="R2539" s="77">
        <v>0</v>
      </c>
      <c r="S2539" s="77">
        <v>0</v>
      </c>
      <c r="T2539" s="77">
        <v>0</v>
      </c>
      <c r="U2539" s="77">
        <v>0</v>
      </c>
      <c r="V2539" s="77">
        <v>12</v>
      </c>
      <c r="W2539" s="82" t="s">
        <v>5701</v>
      </c>
      <c r="X2539" s="77"/>
      <c r="Y2539" s="77"/>
      <c r="Z2539" s="77"/>
      <c r="AA2539" s="77"/>
      <c r="AB2539" s="77"/>
      <c r="AC2539" s="82" t="s">
        <v>7705</v>
      </c>
      <c r="AD2539" s="77" t="s">
        <v>7748</v>
      </c>
      <c r="AE2539" s="80" t="str">
        <f>HYPERLINK("https://twitter.com/ataorienta/status/1690354774087020544")</f>
        <v>https://twitter.com/ataorienta/status/1690354774087020544</v>
      </c>
      <c r="AF2539" s="79">
        <v>45150.562013888892</v>
      </c>
      <c r="AG2539" s="85">
        <v>45150</v>
      </c>
      <c r="AH2539" s="82" t="s">
        <v>10031</v>
      </c>
      <c r="AI2539" s="77"/>
      <c r="AJ2539" s="77"/>
      <c r="AK2539" s="77"/>
      <c r="AL2539" s="77"/>
      <c r="AM2539" s="77"/>
      <c r="AN2539" s="77"/>
      <c r="AO2539" s="77"/>
      <c r="AP2539" s="77"/>
      <c r="AQ2539" s="77"/>
      <c r="AR2539" s="77"/>
      <c r="AS2539" s="77"/>
      <c r="AT2539" s="77"/>
      <c r="AU2539" s="77"/>
      <c r="AV2539" s="80" t="str">
        <f>HYPERLINK("https://pbs.twimg.com/profile_images/1693679843404062720/q3ecO34__normal.png")</f>
        <v>https://pbs.twimg.com/profile_images/1693679843404062720/q3ecO34__normal.png</v>
      </c>
      <c r="AW2539" s="82" t="s">
        <v>14695</v>
      </c>
      <c r="AX2539" s="82" t="s">
        <v>15602</v>
      </c>
      <c r="AY2539" s="82" t="s">
        <v>15792</v>
      </c>
      <c r="AZ2539" s="82" t="s">
        <v>16115</v>
      </c>
      <c r="BA2539" s="82" t="s">
        <v>15804</v>
      </c>
      <c r="BB2539" s="82" t="s">
        <v>15804</v>
      </c>
      <c r="BC2539" s="82" t="s">
        <v>16115</v>
      </c>
      <c r="BD2539" s="82" t="s">
        <v>15792</v>
      </c>
      <c r="BE2539" s="77"/>
      <c r="BF2539" s="77"/>
      <c r="BG2539" s="77"/>
      <c r="BH2539" s="77"/>
      <c r="BI2539" s="77"/>
    </row>
    <row r="2540" spans="1:61" x14ac:dyDescent="0.25">
      <c r="A2540" s="62" t="s">
        <v>968</v>
      </c>
      <c r="B2540" s="62" t="s">
        <v>968</v>
      </c>
      <c r="C2540" s="63"/>
      <c r="D2540" s="64"/>
      <c r="E2540" s="65"/>
      <c r="F2540" s="66"/>
      <c r="G2540" s="63"/>
      <c r="H2540" s="67"/>
      <c r="I2540" s="68"/>
      <c r="J2540" s="68"/>
      <c r="K2540" s="32"/>
      <c r="L2540" s="75">
        <v>2540</v>
      </c>
      <c r="M2540" s="75"/>
      <c r="N2540" s="70"/>
      <c r="O2540" s="77" t="s">
        <v>1132</v>
      </c>
      <c r="P2540" s="79">
        <v>45150.493067129632</v>
      </c>
      <c r="Q2540" s="77" t="s">
        <v>3560</v>
      </c>
      <c r="R2540" s="77">
        <v>0</v>
      </c>
      <c r="S2540" s="77">
        <v>0</v>
      </c>
      <c r="T2540" s="77">
        <v>0</v>
      </c>
      <c r="U2540" s="77">
        <v>0</v>
      </c>
      <c r="V2540" s="77">
        <v>14</v>
      </c>
      <c r="W2540" s="82" t="s">
        <v>5703</v>
      </c>
      <c r="X2540" s="77"/>
      <c r="Y2540" s="77"/>
      <c r="Z2540" s="77"/>
      <c r="AA2540" s="77"/>
      <c r="AB2540" s="77"/>
      <c r="AC2540" s="82" t="s">
        <v>7705</v>
      </c>
      <c r="AD2540" s="77" t="s">
        <v>7748</v>
      </c>
      <c r="AE2540" s="80" t="str">
        <f>HYPERLINK("https://twitter.com/ataorienta/status/1690329792493531136")</f>
        <v>https://twitter.com/ataorienta/status/1690329792493531136</v>
      </c>
      <c r="AF2540" s="79">
        <v>45150.493067129632</v>
      </c>
      <c r="AG2540" s="85">
        <v>45150</v>
      </c>
      <c r="AH2540" s="82" t="s">
        <v>10032</v>
      </c>
      <c r="AI2540" s="77"/>
      <c r="AJ2540" s="77"/>
      <c r="AK2540" s="77"/>
      <c r="AL2540" s="77"/>
      <c r="AM2540" s="77"/>
      <c r="AN2540" s="77"/>
      <c r="AO2540" s="77"/>
      <c r="AP2540" s="77"/>
      <c r="AQ2540" s="77"/>
      <c r="AR2540" s="77"/>
      <c r="AS2540" s="77"/>
      <c r="AT2540" s="77"/>
      <c r="AU2540" s="77"/>
      <c r="AV2540" s="80" t="str">
        <f>HYPERLINK("https://pbs.twimg.com/profile_images/1693679843404062720/q3ecO34__normal.png")</f>
        <v>https://pbs.twimg.com/profile_images/1693679843404062720/q3ecO34__normal.png</v>
      </c>
      <c r="AW2540" s="82" t="s">
        <v>14696</v>
      </c>
      <c r="AX2540" s="82" t="s">
        <v>15603</v>
      </c>
      <c r="AY2540" s="82" t="s">
        <v>15792</v>
      </c>
      <c r="AZ2540" s="82" t="s">
        <v>16116</v>
      </c>
      <c r="BA2540" s="82" t="s">
        <v>15804</v>
      </c>
      <c r="BB2540" s="82" t="s">
        <v>15804</v>
      </c>
      <c r="BC2540" s="82" t="s">
        <v>16116</v>
      </c>
      <c r="BD2540" s="82" t="s">
        <v>15792</v>
      </c>
      <c r="BE2540" s="77"/>
      <c r="BF2540" s="77"/>
      <c r="BG2540" s="77"/>
      <c r="BH2540" s="77"/>
      <c r="BI2540" s="77"/>
    </row>
    <row r="2541" spans="1:61" x14ac:dyDescent="0.25">
      <c r="A2541" s="62" t="s">
        <v>968</v>
      </c>
      <c r="B2541" s="62" t="s">
        <v>968</v>
      </c>
      <c r="C2541" s="63"/>
      <c r="D2541" s="64"/>
      <c r="E2541" s="65"/>
      <c r="F2541" s="66"/>
      <c r="G2541" s="63"/>
      <c r="H2541" s="67"/>
      <c r="I2541" s="68"/>
      <c r="J2541" s="68"/>
      <c r="K2541" s="32"/>
      <c r="L2541" s="75">
        <v>2541</v>
      </c>
      <c r="M2541" s="75"/>
      <c r="N2541" s="70"/>
      <c r="O2541" s="77" t="s">
        <v>1132</v>
      </c>
      <c r="P2541" s="79">
        <v>45114.465208333335</v>
      </c>
      <c r="Q2541" s="77" t="s">
        <v>3563</v>
      </c>
      <c r="R2541" s="77">
        <v>0</v>
      </c>
      <c r="S2541" s="77">
        <v>0</v>
      </c>
      <c r="T2541" s="77">
        <v>0</v>
      </c>
      <c r="U2541" s="77">
        <v>0</v>
      </c>
      <c r="V2541" s="77">
        <v>14</v>
      </c>
      <c r="W2541" s="82" t="s">
        <v>5706</v>
      </c>
      <c r="X2541" s="77"/>
      <c r="Y2541" s="77"/>
      <c r="Z2541" s="77"/>
      <c r="AA2541" s="77"/>
      <c r="AB2541" s="77"/>
      <c r="AC2541" s="82" t="s">
        <v>7705</v>
      </c>
      <c r="AD2541" s="77" t="s">
        <v>7748</v>
      </c>
      <c r="AE2541" s="80" t="str">
        <f>HYPERLINK("https://twitter.com/ataorienta/status/1677273730563571712")</f>
        <v>https://twitter.com/ataorienta/status/1677273730563571712</v>
      </c>
      <c r="AF2541" s="79">
        <v>45114.465208333335</v>
      </c>
      <c r="AG2541" s="85">
        <v>45114</v>
      </c>
      <c r="AH2541" s="82" t="s">
        <v>10033</v>
      </c>
      <c r="AI2541" s="77"/>
      <c r="AJ2541" s="77"/>
      <c r="AK2541" s="77"/>
      <c r="AL2541" s="77"/>
      <c r="AM2541" s="77"/>
      <c r="AN2541" s="77"/>
      <c r="AO2541" s="77"/>
      <c r="AP2541" s="77"/>
      <c r="AQ2541" s="77"/>
      <c r="AR2541" s="77"/>
      <c r="AS2541" s="77"/>
      <c r="AT2541" s="77"/>
      <c r="AU2541" s="77"/>
      <c r="AV2541" s="80" t="str">
        <f>HYPERLINK("https://pbs.twimg.com/profile_images/1693679843404062720/q3ecO34__normal.png")</f>
        <v>https://pbs.twimg.com/profile_images/1693679843404062720/q3ecO34__normal.png</v>
      </c>
      <c r="AW2541" s="82" t="s">
        <v>14697</v>
      </c>
      <c r="AX2541" s="82" t="s">
        <v>15604</v>
      </c>
      <c r="AY2541" s="82" t="s">
        <v>15792</v>
      </c>
      <c r="AZ2541" s="82" t="s">
        <v>16117</v>
      </c>
      <c r="BA2541" s="82" t="s">
        <v>15804</v>
      </c>
      <c r="BB2541" s="82" t="s">
        <v>15804</v>
      </c>
      <c r="BC2541" s="82" t="s">
        <v>16117</v>
      </c>
      <c r="BD2541" s="82" t="s">
        <v>15792</v>
      </c>
      <c r="BE2541" s="77"/>
      <c r="BF2541" s="77"/>
      <c r="BG2541" s="77"/>
      <c r="BH2541" s="77"/>
      <c r="BI2541" s="77"/>
    </row>
    <row r="2542" spans="1:61" x14ac:dyDescent="0.25">
      <c r="A2542" s="62" t="s">
        <v>968</v>
      </c>
      <c r="B2542" s="62" t="s">
        <v>968</v>
      </c>
      <c r="C2542" s="63"/>
      <c r="D2542" s="64"/>
      <c r="E2542" s="65"/>
      <c r="F2542" s="66"/>
      <c r="G2542" s="63"/>
      <c r="H2542" s="67"/>
      <c r="I2542" s="68"/>
      <c r="J2542" s="68"/>
      <c r="K2542" s="32"/>
      <c r="L2542" s="75">
        <v>2542</v>
      </c>
      <c r="M2542" s="75"/>
      <c r="N2542" s="70"/>
      <c r="O2542" s="77" t="s">
        <v>1132</v>
      </c>
      <c r="P2542" s="79">
        <v>45113.466215277775</v>
      </c>
      <c r="Q2542" s="77" t="s">
        <v>3556</v>
      </c>
      <c r="R2542" s="77">
        <v>0</v>
      </c>
      <c r="S2542" s="77">
        <v>0</v>
      </c>
      <c r="T2542" s="77">
        <v>0</v>
      </c>
      <c r="U2542" s="77">
        <v>0</v>
      </c>
      <c r="V2542" s="77">
        <v>6</v>
      </c>
      <c r="W2542" s="82" t="s">
        <v>5699</v>
      </c>
      <c r="X2542" s="77"/>
      <c r="Y2542" s="77"/>
      <c r="Z2542" s="77"/>
      <c r="AA2542" s="77"/>
      <c r="AB2542" s="77"/>
      <c r="AC2542" s="82" t="s">
        <v>7705</v>
      </c>
      <c r="AD2542" s="77" t="s">
        <v>7748</v>
      </c>
      <c r="AE2542" s="80" t="str">
        <f>HYPERLINK("https://twitter.com/ataorienta/status/1676911706897805312")</f>
        <v>https://twitter.com/ataorienta/status/1676911706897805312</v>
      </c>
      <c r="AF2542" s="79">
        <v>45113.466215277775</v>
      </c>
      <c r="AG2542" s="85">
        <v>45113</v>
      </c>
      <c r="AH2542" s="82" t="s">
        <v>10034</v>
      </c>
      <c r="AI2542" s="77"/>
      <c r="AJ2542" s="77"/>
      <c r="AK2542" s="77"/>
      <c r="AL2542" s="77"/>
      <c r="AM2542" s="77"/>
      <c r="AN2542" s="77"/>
      <c r="AO2542" s="77"/>
      <c r="AP2542" s="77"/>
      <c r="AQ2542" s="77"/>
      <c r="AR2542" s="77"/>
      <c r="AS2542" s="77"/>
      <c r="AT2542" s="77"/>
      <c r="AU2542" s="77"/>
      <c r="AV2542" s="80" t="str">
        <f>HYPERLINK("https://pbs.twimg.com/profile_images/1693679843404062720/q3ecO34__normal.png")</f>
        <v>https://pbs.twimg.com/profile_images/1693679843404062720/q3ecO34__normal.png</v>
      </c>
      <c r="AW2542" s="82" t="s">
        <v>14698</v>
      </c>
      <c r="AX2542" s="82" t="s">
        <v>15605</v>
      </c>
      <c r="AY2542" s="82" t="s">
        <v>15792</v>
      </c>
      <c r="AZ2542" s="82" t="s">
        <v>16118</v>
      </c>
      <c r="BA2542" s="82" t="s">
        <v>15804</v>
      </c>
      <c r="BB2542" s="82" t="s">
        <v>15804</v>
      </c>
      <c r="BC2542" s="82" t="s">
        <v>16118</v>
      </c>
      <c r="BD2542" s="82" t="s">
        <v>15792</v>
      </c>
      <c r="BE2542" s="77"/>
      <c r="BF2542" s="77"/>
      <c r="BG2542" s="77"/>
      <c r="BH2542" s="77"/>
      <c r="BI2542" s="77"/>
    </row>
    <row r="2543" spans="1:61" x14ac:dyDescent="0.25">
      <c r="A2543" s="62" t="s">
        <v>968</v>
      </c>
      <c r="B2543" s="62" t="s">
        <v>968</v>
      </c>
      <c r="C2543" s="63"/>
      <c r="D2543" s="64"/>
      <c r="E2543" s="65"/>
      <c r="F2543" s="66"/>
      <c r="G2543" s="63"/>
      <c r="H2543" s="67"/>
      <c r="I2543" s="68"/>
      <c r="J2543" s="68"/>
      <c r="K2543" s="32"/>
      <c r="L2543" s="75">
        <v>2543</v>
      </c>
      <c r="M2543" s="75"/>
      <c r="N2543" s="70"/>
      <c r="O2543" s="77" t="s">
        <v>1132</v>
      </c>
      <c r="P2543" s="79">
        <v>45075.466261574074</v>
      </c>
      <c r="Q2543" s="77" t="s">
        <v>3556</v>
      </c>
      <c r="R2543" s="77">
        <v>0</v>
      </c>
      <c r="S2543" s="77">
        <v>0</v>
      </c>
      <c r="T2543" s="77">
        <v>0</v>
      </c>
      <c r="U2543" s="77">
        <v>0</v>
      </c>
      <c r="V2543" s="77">
        <v>5</v>
      </c>
      <c r="W2543" s="82" t="s">
        <v>5699</v>
      </c>
      <c r="X2543" s="77"/>
      <c r="Y2543" s="77"/>
      <c r="Z2543" s="77"/>
      <c r="AA2543" s="77"/>
      <c r="AB2543" s="77"/>
      <c r="AC2543" s="82" t="s">
        <v>7705</v>
      </c>
      <c r="AD2543" s="77" t="s">
        <v>7748</v>
      </c>
      <c r="AE2543" s="80" t="str">
        <f>HYPERLINK("https://twitter.com/ataorienta/status/1663140985260367874")</f>
        <v>https://twitter.com/ataorienta/status/1663140985260367874</v>
      </c>
      <c r="AF2543" s="79">
        <v>45075.466261574074</v>
      </c>
      <c r="AG2543" s="85">
        <v>45075</v>
      </c>
      <c r="AH2543" s="82" t="s">
        <v>10035</v>
      </c>
      <c r="AI2543" s="77"/>
      <c r="AJ2543" s="77"/>
      <c r="AK2543" s="77"/>
      <c r="AL2543" s="77"/>
      <c r="AM2543" s="77"/>
      <c r="AN2543" s="77"/>
      <c r="AO2543" s="77"/>
      <c r="AP2543" s="77"/>
      <c r="AQ2543" s="77"/>
      <c r="AR2543" s="77"/>
      <c r="AS2543" s="77"/>
      <c r="AT2543" s="77"/>
      <c r="AU2543" s="77"/>
      <c r="AV2543" s="80" t="str">
        <f>HYPERLINK("https://pbs.twimg.com/profile_images/1693679843404062720/q3ecO34__normal.png")</f>
        <v>https://pbs.twimg.com/profile_images/1693679843404062720/q3ecO34__normal.png</v>
      </c>
      <c r="AW2543" s="82" t="s">
        <v>14699</v>
      </c>
      <c r="AX2543" s="82" t="s">
        <v>15606</v>
      </c>
      <c r="AY2543" s="82" t="s">
        <v>15792</v>
      </c>
      <c r="AZ2543" s="82" t="s">
        <v>16119</v>
      </c>
      <c r="BA2543" s="82" t="s">
        <v>15804</v>
      </c>
      <c r="BB2543" s="82" t="s">
        <v>15804</v>
      </c>
      <c r="BC2543" s="82" t="s">
        <v>16119</v>
      </c>
      <c r="BD2543" s="82" t="s">
        <v>15792</v>
      </c>
      <c r="BE2543" s="77"/>
      <c r="BF2543" s="77"/>
      <c r="BG2543" s="77"/>
      <c r="BH2543" s="77"/>
      <c r="BI2543" s="77"/>
    </row>
    <row r="2544" spans="1:61" x14ac:dyDescent="0.25">
      <c r="A2544" s="62" t="s">
        <v>968</v>
      </c>
      <c r="B2544" s="62" t="s">
        <v>968</v>
      </c>
      <c r="C2544" s="63"/>
      <c r="D2544" s="64"/>
      <c r="E2544" s="65"/>
      <c r="F2544" s="66"/>
      <c r="G2544" s="63"/>
      <c r="H2544" s="67"/>
      <c r="I2544" s="68"/>
      <c r="J2544" s="68"/>
      <c r="K2544" s="32"/>
      <c r="L2544" s="75">
        <v>2544</v>
      </c>
      <c r="M2544" s="75"/>
      <c r="N2544" s="70"/>
      <c r="O2544" s="77" t="s">
        <v>1132</v>
      </c>
      <c r="P2544" s="79">
        <v>45074.51</v>
      </c>
      <c r="Q2544" s="77" t="s">
        <v>3555</v>
      </c>
      <c r="R2544" s="77">
        <v>0</v>
      </c>
      <c r="S2544" s="77">
        <v>0</v>
      </c>
      <c r="T2544" s="77">
        <v>0</v>
      </c>
      <c r="U2544" s="77">
        <v>0</v>
      </c>
      <c r="V2544" s="77">
        <v>6</v>
      </c>
      <c r="W2544" s="82" t="s">
        <v>5698</v>
      </c>
      <c r="X2544" s="77"/>
      <c r="Y2544" s="77"/>
      <c r="Z2544" s="77"/>
      <c r="AA2544" s="77"/>
      <c r="AB2544" s="77"/>
      <c r="AC2544" s="82" t="s">
        <v>7705</v>
      </c>
      <c r="AD2544" s="77" t="s">
        <v>7748</v>
      </c>
      <c r="AE2544" s="80" t="str">
        <f>HYPERLINK("https://twitter.com/ataorienta/status/1662794448080650243")</f>
        <v>https://twitter.com/ataorienta/status/1662794448080650243</v>
      </c>
      <c r="AF2544" s="79">
        <v>45074.51</v>
      </c>
      <c r="AG2544" s="85">
        <v>45074</v>
      </c>
      <c r="AH2544" s="82" t="s">
        <v>10036</v>
      </c>
      <c r="AI2544" s="77"/>
      <c r="AJ2544" s="77"/>
      <c r="AK2544" s="77"/>
      <c r="AL2544" s="77"/>
      <c r="AM2544" s="77"/>
      <c r="AN2544" s="77"/>
      <c r="AO2544" s="77"/>
      <c r="AP2544" s="77"/>
      <c r="AQ2544" s="77"/>
      <c r="AR2544" s="77"/>
      <c r="AS2544" s="77"/>
      <c r="AT2544" s="77"/>
      <c r="AU2544" s="77"/>
      <c r="AV2544" s="80" t="str">
        <f>HYPERLINK("https://pbs.twimg.com/profile_images/1693679843404062720/q3ecO34__normal.png")</f>
        <v>https://pbs.twimg.com/profile_images/1693679843404062720/q3ecO34__normal.png</v>
      </c>
      <c r="AW2544" s="82" t="s">
        <v>14700</v>
      </c>
      <c r="AX2544" s="82" t="s">
        <v>15607</v>
      </c>
      <c r="AY2544" s="82" t="s">
        <v>15792</v>
      </c>
      <c r="AZ2544" s="82" t="s">
        <v>16120</v>
      </c>
      <c r="BA2544" s="82" t="s">
        <v>15804</v>
      </c>
      <c r="BB2544" s="82" t="s">
        <v>15804</v>
      </c>
      <c r="BC2544" s="82" t="s">
        <v>16120</v>
      </c>
      <c r="BD2544" s="82" t="s">
        <v>15792</v>
      </c>
      <c r="BE2544" s="77"/>
      <c r="BF2544" s="77"/>
      <c r="BG2544" s="77"/>
      <c r="BH2544" s="77"/>
      <c r="BI2544" s="77"/>
    </row>
    <row r="2545" spans="1:61" x14ac:dyDescent="0.25">
      <c r="A2545" s="62" t="s">
        <v>968</v>
      </c>
      <c r="B2545" s="62" t="s">
        <v>968</v>
      </c>
      <c r="C2545" s="63"/>
      <c r="D2545" s="64"/>
      <c r="E2545" s="65"/>
      <c r="F2545" s="66"/>
      <c r="G2545" s="63"/>
      <c r="H2545" s="67"/>
      <c r="I2545" s="68"/>
      <c r="J2545" s="68"/>
      <c r="K2545" s="32"/>
      <c r="L2545" s="75">
        <v>2545</v>
      </c>
      <c r="M2545" s="75"/>
      <c r="N2545" s="70"/>
      <c r="O2545" s="77" t="s">
        <v>1132</v>
      </c>
      <c r="P2545" s="79">
        <v>45180.508333333331</v>
      </c>
      <c r="Q2545" s="77" t="s">
        <v>3560</v>
      </c>
      <c r="R2545" s="77">
        <v>0</v>
      </c>
      <c r="S2545" s="77">
        <v>0</v>
      </c>
      <c r="T2545" s="77">
        <v>0</v>
      </c>
      <c r="U2545" s="77">
        <v>0</v>
      </c>
      <c r="V2545" s="77">
        <v>14</v>
      </c>
      <c r="W2545" s="82" t="s">
        <v>5703</v>
      </c>
      <c r="X2545" s="77"/>
      <c r="Y2545" s="77"/>
      <c r="Z2545" s="77"/>
      <c r="AA2545" s="77"/>
      <c r="AB2545" s="77"/>
      <c r="AC2545" s="82" t="s">
        <v>7705</v>
      </c>
      <c r="AD2545" s="77" t="s">
        <v>7748</v>
      </c>
      <c r="AE2545" s="80" t="str">
        <f>HYPERLINK("https://twitter.com/ataorienta/status/1701206958684901660")</f>
        <v>https://twitter.com/ataorienta/status/1701206958684901660</v>
      </c>
      <c r="AF2545" s="79">
        <v>45180.508333333331</v>
      </c>
      <c r="AG2545" s="85">
        <v>45180</v>
      </c>
      <c r="AH2545" s="82" t="s">
        <v>10037</v>
      </c>
      <c r="AI2545" s="77"/>
      <c r="AJ2545" s="77"/>
      <c r="AK2545" s="77"/>
      <c r="AL2545" s="77"/>
      <c r="AM2545" s="77"/>
      <c r="AN2545" s="77"/>
      <c r="AO2545" s="77"/>
      <c r="AP2545" s="77"/>
      <c r="AQ2545" s="77"/>
      <c r="AR2545" s="77"/>
      <c r="AS2545" s="77"/>
      <c r="AT2545" s="77"/>
      <c r="AU2545" s="77"/>
      <c r="AV2545" s="80" t="str">
        <f>HYPERLINK("https://pbs.twimg.com/profile_images/1693679843404062720/q3ecO34__normal.png")</f>
        <v>https://pbs.twimg.com/profile_images/1693679843404062720/q3ecO34__normal.png</v>
      </c>
      <c r="AW2545" s="82" t="s">
        <v>14701</v>
      </c>
      <c r="AX2545" s="82" t="s">
        <v>15608</v>
      </c>
      <c r="AY2545" s="82" t="s">
        <v>15792</v>
      </c>
      <c r="AZ2545" s="82" t="s">
        <v>16121</v>
      </c>
      <c r="BA2545" s="82" t="s">
        <v>15804</v>
      </c>
      <c r="BB2545" s="82" t="s">
        <v>15804</v>
      </c>
      <c r="BC2545" s="82" t="s">
        <v>16121</v>
      </c>
      <c r="BD2545" s="82" t="s">
        <v>15792</v>
      </c>
      <c r="BE2545" s="77"/>
      <c r="BF2545" s="77"/>
      <c r="BG2545" s="77"/>
      <c r="BH2545" s="77"/>
      <c r="BI2545" s="77"/>
    </row>
    <row r="2546" spans="1:61" x14ac:dyDescent="0.25">
      <c r="A2546" s="62" t="s">
        <v>968</v>
      </c>
      <c r="B2546" s="62" t="s">
        <v>968</v>
      </c>
      <c r="C2546" s="63"/>
      <c r="D2546" s="64"/>
      <c r="E2546" s="65"/>
      <c r="F2546" s="66"/>
      <c r="G2546" s="63"/>
      <c r="H2546" s="67"/>
      <c r="I2546" s="68"/>
      <c r="J2546" s="68"/>
      <c r="K2546" s="32"/>
      <c r="L2546" s="75">
        <v>2546</v>
      </c>
      <c r="M2546" s="75"/>
      <c r="N2546" s="70"/>
      <c r="O2546" s="77" t="s">
        <v>1132</v>
      </c>
      <c r="P2546" s="79">
        <v>45173.490659722222</v>
      </c>
      <c r="Q2546" s="77" t="s">
        <v>3560</v>
      </c>
      <c r="R2546" s="77">
        <v>0</v>
      </c>
      <c r="S2546" s="77">
        <v>0</v>
      </c>
      <c r="T2546" s="77">
        <v>0</v>
      </c>
      <c r="U2546" s="77">
        <v>0</v>
      </c>
      <c r="V2546" s="77">
        <v>16</v>
      </c>
      <c r="W2546" s="82" t="s">
        <v>5703</v>
      </c>
      <c r="X2546" s="77"/>
      <c r="Y2546" s="77"/>
      <c r="Z2546" s="77"/>
      <c r="AA2546" s="77"/>
      <c r="AB2546" s="77"/>
      <c r="AC2546" s="82" t="s">
        <v>7705</v>
      </c>
      <c r="AD2546" s="77" t="s">
        <v>7748</v>
      </c>
      <c r="AE2546" s="80" t="str">
        <f>HYPERLINK("https://twitter.com/ataorienta/status/1698663838428656065")</f>
        <v>https://twitter.com/ataorienta/status/1698663838428656065</v>
      </c>
      <c r="AF2546" s="79">
        <v>45173.490659722222</v>
      </c>
      <c r="AG2546" s="85">
        <v>45173</v>
      </c>
      <c r="AH2546" s="82" t="s">
        <v>10038</v>
      </c>
      <c r="AI2546" s="77"/>
      <c r="AJ2546" s="77"/>
      <c r="AK2546" s="77"/>
      <c r="AL2546" s="77"/>
      <c r="AM2546" s="77"/>
      <c r="AN2546" s="77"/>
      <c r="AO2546" s="77"/>
      <c r="AP2546" s="77"/>
      <c r="AQ2546" s="77"/>
      <c r="AR2546" s="77"/>
      <c r="AS2546" s="77"/>
      <c r="AT2546" s="77"/>
      <c r="AU2546" s="77"/>
      <c r="AV2546" s="80" t="str">
        <f>HYPERLINK("https://pbs.twimg.com/profile_images/1693679843404062720/q3ecO34__normal.png")</f>
        <v>https://pbs.twimg.com/profile_images/1693679843404062720/q3ecO34__normal.png</v>
      </c>
      <c r="AW2546" s="82" t="s">
        <v>14702</v>
      </c>
      <c r="AX2546" s="82" t="s">
        <v>15609</v>
      </c>
      <c r="AY2546" s="82" t="s">
        <v>15792</v>
      </c>
      <c r="AZ2546" s="82" t="s">
        <v>16122</v>
      </c>
      <c r="BA2546" s="82" t="s">
        <v>15804</v>
      </c>
      <c r="BB2546" s="82" t="s">
        <v>15804</v>
      </c>
      <c r="BC2546" s="82" t="s">
        <v>16122</v>
      </c>
      <c r="BD2546" s="82" t="s">
        <v>15792</v>
      </c>
      <c r="BE2546" s="77"/>
      <c r="BF2546" s="77"/>
      <c r="BG2546" s="77"/>
      <c r="BH2546" s="77"/>
      <c r="BI2546" s="77"/>
    </row>
    <row r="2547" spans="1:61" x14ac:dyDescent="0.25">
      <c r="A2547" s="62" t="s">
        <v>968</v>
      </c>
      <c r="B2547" s="62" t="s">
        <v>968</v>
      </c>
      <c r="C2547" s="63"/>
      <c r="D2547" s="64"/>
      <c r="E2547" s="65"/>
      <c r="F2547" s="66"/>
      <c r="G2547" s="63"/>
      <c r="H2547" s="67"/>
      <c r="I2547" s="68"/>
      <c r="J2547" s="68"/>
      <c r="K2547" s="32"/>
      <c r="L2547" s="75">
        <v>2547</v>
      </c>
      <c r="M2547" s="75"/>
      <c r="N2547" s="70"/>
      <c r="O2547" s="77" t="s">
        <v>1132</v>
      </c>
      <c r="P2547" s="79">
        <v>45171.509710648148</v>
      </c>
      <c r="Q2547" s="77" t="s">
        <v>3562</v>
      </c>
      <c r="R2547" s="77">
        <v>0</v>
      </c>
      <c r="S2547" s="77">
        <v>0</v>
      </c>
      <c r="T2547" s="77">
        <v>0</v>
      </c>
      <c r="U2547" s="77">
        <v>0</v>
      </c>
      <c r="V2547" s="77">
        <v>20</v>
      </c>
      <c r="W2547" s="82" t="s">
        <v>5705</v>
      </c>
      <c r="X2547" s="77"/>
      <c r="Y2547" s="77"/>
      <c r="Z2547" s="77"/>
      <c r="AA2547" s="77"/>
      <c r="AB2547" s="77"/>
      <c r="AC2547" s="82" t="s">
        <v>7705</v>
      </c>
      <c r="AD2547" s="77" t="s">
        <v>7748</v>
      </c>
      <c r="AE2547" s="80" t="str">
        <f>HYPERLINK("https://twitter.com/ataorienta/status/1697945965339054460")</f>
        <v>https://twitter.com/ataorienta/status/1697945965339054460</v>
      </c>
      <c r="AF2547" s="79">
        <v>45171.509710648148</v>
      </c>
      <c r="AG2547" s="85">
        <v>45171</v>
      </c>
      <c r="AH2547" s="82" t="s">
        <v>10039</v>
      </c>
      <c r="AI2547" s="77"/>
      <c r="AJ2547" s="77"/>
      <c r="AK2547" s="77"/>
      <c r="AL2547" s="77"/>
      <c r="AM2547" s="77"/>
      <c r="AN2547" s="77"/>
      <c r="AO2547" s="77"/>
      <c r="AP2547" s="77"/>
      <c r="AQ2547" s="77"/>
      <c r="AR2547" s="77"/>
      <c r="AS2547" s="77"/>
      <c r="AT2547" s="77"/>
      <c r="AU2547" s="77"/>
      <c r="AV2547" s="80" t="str">
        <f>HYPERLINK("https://pbs.twimg.com/profile_images/1693679843404062720/q3ecO34__normal.png")</f>
        <v>https://pbs.twimg.com/profile_images/1693679843404062720/q3ecO34__normal.png</v>
      </c>
      <c r="AW2547" s="82" t="s">
        <v>14703</v>
      </c>
      <c r="AX2547" s="82" t="s">
        <v>15610</v>
      </c>
      <c r="AY2547" s="82" t="s">
        <v>15792</v>
      </c>
      <c r="AZ2547" s="82" t="s">
        <v>16123</v>
      </c>
      <c r="BA2547" s="82" t="s">
        <v>15804</v>
      </c>
      <c r="BB2547" s="82" t="s">
        <v>15804</v>
      </c>
      <c r="BC2547" s="82" t="s">
        <v>16123</v>
      </c>
      <c r="BD2547" s="82" t="s">
        <v>15792</v>
      </c>
      <c r="BE2547" s="77"/>
      <c r="BF2547" s="77"/>
      <c r="BG2547" s="77"/>
      <c r="BH2547" s="77"/>
      <c r="BI2547" s="77"/>
    </row>
    <row r="2548" spans="1:61" x14ac:dyDescent="0.25">
      <c r="A2548" s="62" t="s">
        <v>968</v>
      </c>
      <c r="B2548" s="62" t="s">
        <v>968</v>
      </c>
      <c r="C2548" s="63"/>
      <c r="D2548" s="64"/>
      <c r="E2548" s="65"/>
      <c r="F2548" s="66"/>
      <c r="G2548" s="63"/>
      <c r="H2548" s="67"/>
      <c r="I2548" s="68"/>
      <c r="J2548" s="68"/>
      <c r="K2548" s="32"/>
      <c r="L2548" s="75">
        <v>2548</v>
      </c>
      <c r="M2548" s="75"/>
      <c r="N2548" s="70"/>
      <c r="O2548" s="77" t="s">
        <v>1132</v>
      </c>
      <c r="P2548" s="79">
        <v>45143.632106481484</v>
      </c>
      <c r="Q2548" s="77" t="s">
        <v>3562</v>
      </c>
      <c r="R2548" s="77">
        <v>0</v>
      </c>
      <c r="S2548" s="77">
        <v>0</v>
      </c>
      <c r="T2548" s="77">
        <v>0</v>
      </c>
      <c r="U2548" s="77">
        <v>0</v>
      </c>
      <c r="V2548" s="77">
        <v>10</v>
      </c>
      <c r="W2548" s="82" t="s">
        <v>5705</v>
      </c>
      <c r="X2548" s="77"/>
      <c r="Y2548" s="77"/>
      <c r="Z2548" s="77"/>
      <c r="AA2548" s="77"/>
      <c r="AB2548" s="77"/>
      <c r="AC2548" s="82" t="s">
        <v>7705</v>
      </c>
      <c r="AD2548" s="77" t="s">
        <v>7748</v>
      </c>
      <c r="AE2548" s="80" t="str">
        <f>HYPERLINK("https://twitter.com/ataorienta/status/1687843461318209536")</f>
        <v>https://twitter.com/ataorienta/status/1687843461318209536</v>
      </c>
      <c r="AF2548" s="79">
        <v>45143.632106481484</v>
      </c>
      <c r="AG2548" s="85">
        <v>45143</v>
      </c>
      <c r="AH2548" s="82" t="s">
        <v>10040</v>
      </c>
      <c r="AI2548" s="77"/>
      <c r="AJ2548" s="77"/>
      <c r="AK2548" s="77"/>
      <c r="AL2548" s="77"/>
      <c r="AM2548" s="77"/>
      <c r="AN2548" s="77"/>
      <c r="AO2548" s="77"/>
      <c r="AP2548" s="77"/>
      <c r="AQ2548" s="77"/>
      <c r="AR2548" s="77"/>
      <c r="AS2548" s="77"/>
      <c r="AT2548" s="77"/>
      <c r="AU2548" s="77"/>
      <c r="AV2548" s="80" t="str">
        <f>HYPERLINK("https://pbs.twimg.com/profile_images/1693679843404062720/q3ecO34__normal.png")</f>
        <v>https://pbs.twimg.com/profile_images/1693679843404062720/q3ecO34__normal.png</v>
      </c>
      <c r="AW2548" s="82" t="s">
        <v>14704</v>
      </c>
      <c r="AX2548" s="82" t="s">
        <v>15611</v>
      </c>
      <c r="AY2548" s="82" t="s">
        <v>15792</v>
      </c>
      <c r="AZ2548" s="82" t="s">
        <v>16124</v>
      </c>
      <c r="BA2548" s="82" t="s">
        <v>15804</v>
      </c>
      <c r="BB2548" s="82" t="s">
        <v>15804</v>
      </c>
      <c r="BC2548" s="82" t="s">
        <v>16124</v>
      </c>
      <c r="BD2548" s="82" t="s">
        <v>15792</v>
      </c>
      <c r="BE2548" s="77"/>
      <c r="BF2548" s="77"/>
      <c r="BG2548" s="77"/>
      <c r="BH2548" s="77"/>
      <c r="BI2548" s="77"/>
    </row>
    <row r="2549" spans="1:61" x14ac:dyDescent="0.25">
      <c r="A2549" s="62" t="s">
        <v>968</v>
      </c>
      <c r="B2549" s="62" t="s">
        <v>968</v>
      </c>
      <c r="C2549" s="63"/>
      <c r="D2549" s="64"/>
      <c r="E2549" s="65"/>
      <c r="F2549" s="66"/>
      <c r="G2549" s="63"/>
      <c r="H2549" s="67"/>
      <c r="I2549" s="68"/>
      <c r="J2549" s="68"/>
      <c r="K2549" s="32"/>
      <c r="L2549" s="75">
        <v>2549</v>
      </c>
      <c r="M2549" s="75"/>
      <c r="N2549" s="70"/>
      <c r="O2549" s="77" t="s">
        <v>1132</v>
      </c>
      <c r="P2549" s="79">
        <v>45054.525381944448</v>
      </c>
      <c r="Q2549" s="77" t="s">
        <v>3556</v>
      </c>
      <c r="R2549" s="77">
        <v>0</v>
      </c>
      <c r="S2549" s="77">
        <v>0</v>
      </c>
      <c r="T2549" s="77">
        <v>0</v>
      </c>
      <c r="U2549" s="77">
        <v>0</v>
      </c>
      <c r="V2549" s="77">
        <v>9</v>
      </c>
      <c r="W2549" s="82" t="s">
        <v>5699</v>
      </c>
      <c r="X2549" s="77"/>
      <c r="Y2549" s="77"/>
      <c r="Z2549" s="77"/>
      <c r="AA2549" s="77"/>
      <c r="AB2549" s="77"/>
      <c r="AC2549" s="82" t="s">
        <v>7705</v>
      </c>
      <c r="AD2549" s="77" t="s">
        <v>7748</v>
      </c>
      <c r="AE2549" s="80" t="str">
        <f>HYPERLINK("https://twitter.com/ataorienta/status/1655552267016085504")</f>
        <v>https://twitter.com/ataorienta/status/1655552267016085504</v>
      </c>
      <c r="AF2549" s="79">
        <v>45054.525381944448</v>
      </c>
      <c r="AG2549" s="85">
        <v>45054</v>
      </c>
      <c r="AH2549" s="82" t="s">
        <v>10041</v>
      </c>
      <c r="AI2549" s="77"/>
      <c r="AJ2549" s="77"/>
      <c r="AK2549" s="77"/>
      <c r="AL2549" s="77"/>
      <c r="AM2549" s="77"/>
      <c r="AN2549" s="77"/>
      <c r="AO2549" s="77"/>
      <c r="AP2549" s="77"/>
      <c r="AQ2549" s="77"/>
      <c r="AR2549" s="77"/>
      <c r="AS2549" s="77"/>
      <c r="AT2549" s="77"/>
      <c r="AU2549" s="77"/>
      <c r="AV2549" s="80" t="str">
        <f>HYPERLINK("https://pbs.twimg.com/profile_images/1693679843404062720/q3ecO34__normal.png")</f>
        <v>https://pbs.twimg.com/profile_images/1693679843404062720/q3ecO34__normal.png</v>
      </c>
      <c r="AW2549" s="82" t="s">
        <v>14705</v>
      </c>
      <c r="AX2549" s="82" t="s">
        <v>15612</v>
      </c>
      <c r="AY2549" s="82" t="s">
        <v>15792</v>
      </c>
      <c r="AZ2549" s="82" t="s">
        <v>16125</v>
      </c>
      <c r="BA2549" s="82" t="s">
        <v>15804</v>
      </c>
      <c r="BB2549" s="82" t="s">
        <v>15804</v>
      </c>
      <c r="BC2549" s="82" t="s">
        <v>16125</v>
      </c>
      <c r="BD2549" s="82" t="s">
        <v>15792</v>
      </c>
      <c r="BE2549" s="77"/>
      <c r="BF2549" s="77"/>
      <c r="BG2549" s="77"/>
      <c r="BH2549" s="77"/>
      <c r="BI2549" s="77"/>
    </row>
    <row r="2550" spans="1:61" x14ac:dyDescent="0.25">
      <c r="A2550" s="62" t="s">
        <v>968</v>
      </c>
      <c r="B2550" s="62" t="s">
        <v>968</v>
      </c>
      <c r="C2550" s="63"/>
      <c r="D2550" s="64"/>
      <c r="E2550" s="65"/>
      <c r="F2550" s="66"/>
      <c r="G2550" s="63"/>
      <c r="H2550" s="67"/>
      <c r="I2550" s="68"/>
      <c r="J2550" s="68"/>
      <c r="K2550" s="32"/>
      <c r="L2550" s="75">
        <v>2550</v>
      </c>
      <c r="M2550" s="75"/>
      <c r="N2550" s="70"/>
      <c r="O2550" s="77" t="s">
        <v>1132</v>
      </c>
      <c r="P2550" s="79">
        <v>45052.506215277775</v>
      </c>
      <c r="Q2550" s="77" t="s">
        <v>3557</v>
      </c>
      <c r="R2550" s="77">
        <v>0</v>
      </c>
      <c r="S2550" s="77">
        <v>0</v>
      </c>
      <c r="T2550" s="77">
        <v>0</v>
      </c>
      <c r="U2550" s="77">
        <v>0</v>
      </c>
      <c r="V2550" s="77">
        <v>4</v>
      </c>
      <c r="W2550" s="82" t="s">
        <v>5700</v>
      </c>
      <c r="X2550" s="77"/>
      <c r="Y2550" s="77"/>
      <c r="Z2550" s="77"/>
      <c r="AA2550" s="77"/>
      <c r="AB2550" s="77"/>
      <c r="AC2550" s="82" t="s">
        <v>7705</v>
      </c>
      <c r="AD2550" s="77" t="s">
        <v>7748</v>
      </c>
      <c r="AE2550" s="80" t="str">
        <f>HYPERLINK("https://twitter.com/ataorienta/status/1654820543399337984")</f>
        <v>https://twitter.com/ataorienta/status/1654820543399337984</v>
      </c>
      <c r="AF2550" s="79">
        <v>45052.506215277775</v>
      </c>
      <c r="AG2550" s="85">
        <v>45052</v>
      </c>
      <c r="AH2550" s="82" t="s">
        <v>10042</v>
      </c>
      <c r="AI2550" s="77"/>
      <c r="AJ2550" s="77"/>
      <c r="AK2550" s="77"/>
      <c r="AL2550" s="77"/>
      <c r="AM2550" s="77"/>
      <c r="AN2550" s="77"/>
      <c r="AO2550" s="77"/>
      <c r="AP2550" s="77"/>
      <c r="AQ2550" s="77"/>
      <c r="AR2550" s="77"/>
      <c r="AS2550" s="77"/>
      <c r="AT2550" s="77"/>
      <c r="AU2550" s="77"/>
      <c r="AV2550" s="80" t="str">
        <f>HYPERLINK("https://pbs.twimg.com/profile_images/1693679843404062720/q3ecO34__normal.png")</f>
        <v>https://pbs.twimg.com/profile_images/1693679843404062720/q3ecO34__normal.png</v>
      </c>
      <c r="AW2550" s="82" t="s">
        <v>14706</v>
      </c>
      <c r="AX2550" s="82" t="s">
        <v>15613</v>
      </c>
      <c r="AY2550" s="82" t="s">
        <v>15792</v>
      </c>
      <c r="AZ2550" s="82" t="s">
        <v>16126</v>
      </c>
      <c r="BA2550" s="82" t="s">
        <v>15804</v>
      </c>
      <c r="BB2550" s="82" t="s">
        <v>15804</v>
      </c>
      <c r="BC2550" s="82" t="s">
        <v>16126</v>
      </c>
      <c r="BD2550" s="82" t="s">
        <v>15792</v>
      </c>
      <c r="BE2550" s="77"/>
      <c r="BF2550" s="77"/>
      <c r="BG2550" s="77"/>
      <c r="BH2550" s="77"/>
      <c r="BI2550" s="77"/>
    </row>
    <row r="2551" spans="1:61" x14ac:dyDescent="0.25">
      <c r="A2551" s="62" t="s">
        <v>969</v>
      </c>
      <c r="B2551" s="62" t="s">
        <v>969</v>
      </c>
      <c r="C2551" s="63"/>
      <c r="D2551" s="64"/>
      <c r="E2551" s="65"/>
      <c r="F2551" s="66"/>
      <c r="G2551" s="63"/>
      <c r="H2551" s="67"/>
      <c r="I2551" s="68"/>
      <c r="J2551" s="68"/>
      <c r="K2551" s="32"/>
      <c r="L2551" s="75">
        <v>2551</v>
      </c>
      <c r="M2551" s="75"/>
      <c r="N2551" s="70"/>
      <c r="O2551" s="77" t="s">
        <v>1132</v>
      </c>
      <c r="P2551" s="79">
        <v>45135.731157407405</v>
      </c>
      <c r="Q2551" s="77" t="s">
        <v>3564</v>
      </c>
      <c r="R2551" s="77">
        <v>0</v>
      </c>
      <c r="S2551" s="77">
        <v>2</v>
      </c>
      <c r="T2551" s="77">
        <v>0</v>
      </c>
      <c r="U2551" s="77">
        <v>0</v>
      </c>
      <c r="V2551" s="77">
        <v>124</v>
      </c>
      <c r="W2551" s="82" t="s">
        <v>5707</v>
      </c>
      <c r="X2551" s="77"/>
      <c r="Y2551" s="77"/>
      <c r="Z2551" s="77"/>
      <c r="AA2551" s="77" t="s">
        <v>7521</v>
      </c>
      <c r="AB2551" s="77" t="s">
        <v>7698</v>
      </c>
      <c r="AC2551" s="82" t="s">
        <v>7705</v>
      </c>
      <c r="AD2551" s="77" t="s">
        <v>7745</v>
      </c>
      <c r="AE2551" s="80" t="str">
        <f>HYPERLINK("https://twitter.com/guerreirasgrena/status/1684980255008665610")</f>
        <v>https://twitter.com/guerreirasgrena/status/1684980255008665610</v>
      </c>
      <c r="AF2551" s="79">
        <v>45135.731157407405</v>
      </c>
      <c r="AG2551" s="85">
        <v>45135</v>
      </c>
      <c r="AH2551" s="82" t="s">
        <v>10043</v>
      </c>
      <c r="AI2551" s="77" t="b">
        <v>0</v>
      </c>
      <c r="AJ2551" s="77"/>
      <c r="AK2551" s="77"/>
      <c r="AL2551" s="77"/>
      <c r="AM2551" s="77"/>
      <c r="AN2551" s="77"/>
      <c r="AO2551" s="77"/>
      <c r="AP2551" s="77"/>
      <c r="AQ2551" s="77" t="s">
        <v>12027</v>
      </c>
      <c r="AR2551" s="77"/>
      <c r="AS2551" s="77"/>
      <c r="AT2551" s="77"/>
      <c r="AU2551" s="77"/>
      <c r="AV2551" s="80" t="str">
        <f>HYPERLINK("https://pbs.twimg.com/media/F2JAnEiWsAAhVuQ.jpg")</f>
        <v>https://pbs.twimg.com/media/F2JAnEiWsAAhVuQ.jpg</v>
      </c>
      <c r="AW2551" s="82" t="s">
        <v>14707</v>
      </c>
      <c r="AX2551" s="82" t="s">
        <v>15614</v>
      </c>
      <c r="AY2551" s="82" t="s">
        <v>15793</v>
      </c>
      <c r="AZ2551" s="82" t="s">
        <v>16127</v>
      </c>
      <c r="BA2551" s="82" t="s">
        <v>15804</v>
      </c>
      <c r="BB2551" s="82" t="s">
        <v>15804</v>
      </c>
      <c r="BC2551" s="82" t="s">
        <v>16127</v>
      </c>
      <c r="BD2551" s="77">
        <v>95443950</v>
      </c>
      <c r="BE2551" s="77"/>
      <c r="BF2551" s="77"/>
      <c r="BG2551" s="77"/>
      <c r="BH2551" s="77"/>
      <c r="BI2551" s="77"/>
    </row>
    <row r="2552" spans="1:61" x14ac:dyDescent="0.25">
      <c r="A2552" s="62" t="s">
        <v>970</v>
      </c>
      <c r="B2552" s="62" t="s">
        <v>1125</v>
      </c>
      <c r="C2552" s="63"/>
      <c r="D2552" s="64"/>
      <c r="E2552" s="65"/>
      <c r="F2552" s="66"/>
      <c r="G2552" s="63"/>
      <c r="H2552" s="67"/>
      <c r="I2552" s="68"/>
      <c r="J2552" s="68"/>
      <c r="K2552" s="32"/>
      <c r="L2552" s="75">
        <v>2552</v>
      </c>
      <c r="M2552" s="75"/>
      <c r="N2552" s="70"/>
      <c r="O2552" s="77" t="s">
        <v>1137</v>
      </c>
      <c r="P2552" s="79">
        <v>44983.921805555554</v>
      </c>
      <c r="Q2552" s="77" t="s">
        <v>3565</v>
      </c>
      <c r="R2552" s="77">
        <v>0</v>
      </c>
      <c r="S2552" s="77">
        <v>0</v>
      </c>
      <c r="T2552" s="77">
        <v>0</v>
      </c>
      <c r="U2552" s="77">
        <v>0</v>
      </c>
      <c r="V2552" s="77">
        <v>17</v>
      </c>
      <c r="W2552" s="82" t="s">
        <v>4080</v>
      </c>
      <c r="X2552" s="77"/>
      <c r="Y2552" s="77"/>
      <c r="Z2552" s="77" t="s">
        <v>1125</v>
      </c>
      <c r="AA2552" s="77"/>
      <c r="AB2552" s="77"/>
      <c r="AC2552" s="82" t="s">
        <v>7707</v>
      </c>
      <c r="AD2552" s="77" t="s">
        <v>7745</v>
      </c>
      <c r="AE2552" s="80" t="str">
        <f>HYPERLINK("https://twitter.com/oproprioailton/status/1629966384993009664")</f>
        <v>https://twitter.com/oproprioailton/status/1629966384993009664</v>
      </c>
      <c r="AF2552" s="79">
        <v>44983.921805555554</v>
      </c>
      <c r="AG2552" s="85">
        <v>44983</v>
      </c>
      <c r="AH2552" s="82" t="s">
        <v>10044</v>
      </c>
      <c r="AI2552" s="77"/>
      <c r="AJ2552" s="77"/>
      <c r="AK2552" s="77"/>
      <c r="AL2552" s="77"/>
      <c r="AM2552" s="77"/>
      <c r="AN2552" s="77"/>
      <c r="AO2552" s="77"/>
      <c r="AP2552" s="77"/>
      <c r="AQ2552" s="77"/>
      <c r="AR2552" s="77"/>
      <c r="AS2552" s="77"/>
      <c r="AT2552" s="77"/>
      <c r="AU2552" s="77"/>
      <c r="AV2552" s="80" t="str">
        <f>HYPERLINK("https://pbs.twimg.com/profile_images/1605944175685472263/SQCWhlp9_normal.jpg")</f>
        <v>https://pbs.twimg.com/profile_images/1605944175685472263/SQCWhlp9_normal.jpg</v>
      </c>
      <c r="AW2552" s="82" t="s">
        <v>14708</v>
      </c>
      <c r="AX2552" s="82" t="s">
        <v>14708</v>
      </c>
      <c r="AY2552" s="77"/>
      <c r="AZ2552" s="82" t="s">
        <v>15804</v>
      </c>
      <c r="BA2552" s="82" t="s">
        <v>14948</v>
      </c>
      <c r="BB2552" s="82" t="s">
        <v>15804</v>
      </c>
      <c r="BC2552" s="82" t="s">
        <v>14948</v>
      </c>
      <c r="BD2552" s="77">
        <v>61635620</v>
      </c>
      <c r="BE2552" s="77"/>
      <c r="BF2552" s="77"/>
      <c r="BG2552" s="77"/>
      <c r="BH2552" s="77"/>
      <c r="BI2552" s="77"/>
    </row>
    <row r="2553" spans="1:61" x14ac:dyDescent="0.25">
      <c r="A2553" s="62" t="s">
        <v>970</v>
      </c>
      <c r="B2553" s="62" t="s">
        <v>1023</v>
      </c>
      <c r="C2553" s="63"/>
      <c r="D2553" s="64"/>
      <c r="E2553" s="65"/>
      <c r="F2553" s="66"/>
      <c r="G2553" s="63"/>
      <c r="H2553" s="67"/>
      <c r="I2553" s="68"/>
      <c r="J2553" s="68"/>
      <c r="K2553" s="32"/>
      <c r="L2553" s="75">
        <v>2553</v>
      </c>
      <c r="M2553" s="75"/>
      <c r="N2553" s="70"/>
      <c r="O2553" s="77" t="s">
        <v>1135</v>
      </c>
      <c r="P2553" s="79">
        <v>44983.921805555554</v>
      </c>
      <c r="Q2553" s="77" t="s">
        <v>3565</v>
      </c>
      <c r="R2553" s="77">
        <v>0</v>
      </c>
      <c r="S2553" s="77">
        <v>0</v>
      </c>
      <c r="T2553" s="77">
        <v>0</v>
      </c>
      <c r="U2553" s="77">
        <v>0</v>
      </c>
      <c r="V2553" s="77">
        <v>17</v>
      </c>
      <c r="W2553" s="82" t="s">
        <v>4080</v>
      </c>
      <c r="X2553" s="77"/>
      <c r="Y2553" s="77"/>
      <c r="Z2553" s="77" t="s">
        <v>1125</v>
      </c>
      <c r="AA2553" s="77"/>
      <c r="AB2553" s="77"/>
      <c r="AC2553" s="82" t="s">
        <v>7707</v>
      </c>
      <c r="AD2553" s="77" t="s">
        <v>7745</v>
      </c>
      <c r="AE2553" s="80" t="str">
        <f>HYPERLINK("https://twitter.com/oproprioailton/status/1629966384993009664")</f>
        <v>https://twitter.com/oproprioailton/status/1629966384993009664</v>
      </c>
      <c r="AF2553" s="79">
        <v>44983.921805555554</v>
      </c>
      <c r="AG2553" s="85">
        <v>44983</v>
      </c>
      <c r="AH2553" s="82" t="s">
        <v>10044</v>
      </c>
      <c r="AI2553" s="77"/>
      <c r="AJ2553" s="77"/>
      <c r="AK2553" s="77"/>
      <c r="AL2553" s="77"/>
      <c r="AM2553" s="77"/>
      <c r="AN2553" s="77"/>
      <c r="AO2553" s="77"/>
      <c r="AP2553" s="77"/>
      <c r="AQ2553" s="77"/>
      <c r="AR2553" s="77"/>
      <c r="AS2553" s="77"/>
      <c r="AT2553" s="77"/>
      <c r="AU2553" s="77"/>
      <c r="AV2553" s="80" t="str">
        <f>HYPERLINK("https://pbs.twimg.com/profile_images/1605944175685472263/SQCWhlp9_normal.jpg")</f>
        <v>https://pbs.twimg.com/profile_images/1605944175685472263/SQCWhlp9_normal.jpg</v>
      </c>
      <c r="AW2553" s="82" t="s">
        <v>14708</v>
      </c>
      <c r="AX2553" s="82" t="s">
        <v>14708</v>
      </c>
      <c r="AY2553" s="77"/>
      <c r="AZ2553" s="82" t="s">
        <v>15804</v>
      </c>
      <c r="BA2553" s="82" t="s">
        <v>14948</v>
      </c>
      <c r="BB2553" s="82" t="s">
        <v>15804</v>
      </c>
      <c r="BC2553" s="82" t="s">
        <v>14948</v>
      </c>
      <c r="BD2553" s="77">
        <v>61635620</v>
      </c>
      <c r="BE2553" s="77"/>
      <c r="BF2553" s="77"/>
      <c r="BG2553" s="77"/>
      <c r="BH2553" s="77"/>
      <c r="BI2553" s="77"/>
    </row>
    <row r="2554" spans="1:61" x14ac:dyDescent="0.25">
      <c r="A2554" s="62" t="s">
        <v>971</v>
      </c>
      <c r="B2554" s="62" t="s">
        <v>971</v>
      </c>
      <c r="C2554" s="63"/>
      <c r="D2554" s="64"/>
      <c r="E2554" s="65"/>
      <c r="F2554" s="66"/>
      <c r="G2554" s="63"/>
      <c r="H2554" s="67"/>
      <c r="I2554" s="68"/>
      <c r="J2554" s="68"/>
      <c r="K2554" s="32"/>
      <c r="L2554" s="75">
        <v>2554</v>
      </c>
      <c r="M2554" s="75"/>
      <c r="N2554" s="70"/>
      <c r="O2554" s="77" t="s">
        <v>1132</v>
      </c>
      <c r="P2554" s="79">
        <v>45094.642557870371</v>
      </c>
      <c r="Q2554" s="77" t="s">
        <v>3566</v>
      </c>
      <c r="R2554" s="77">
        <v>0</v>
      </c>
      <c r="S2554" s="77">
        <v>0</v>
      </c>
      <c r="T2554" s="77">
        <v>0</v>
      </c>
      <c r="U2554" s="77">
        <v>0</v>
      </c>
      <c r="V2554" s="77">
        <v>45</v>
      </c>
      <c r="W2554" s="82" t="s">
        <v>4097</v>
      </c>
      <c r="X2554" s="77"/>
      <c r="Y2554" s="77"/>
      <c r="Z2554" s="77"/>
      <c r="AA2554" s="77" t="s">
        <v>7522</v>
      </c>
      <c r="AB2554" s="77" t="s">
        <v>7699</v>
      </c>
      <c r="AC2554" s="82" t="s">
        <v>7705</v>
      </c>
      <c r="AD2554" s="77" t="s">
        <v>7746</v>
      </c>
      <c r="AE2554" s="80" t="str">
        <f>HYPERLINK("https://twitter.com/fiinewspaper/status/1670090243138101249")</f>
        <v>https://twitter.com/fiinewspaper/status/1670090243138101249</v>
      </c>
      <c r="AF2554" s="79">
        <v>45094.642557870371</v>
      </c>
      <c r="AG2554" s="85">
        <v>45094</v>
      </c>
      <c r="AH2554" s="82" t="s">
        <v>10045</v>
      </c>
      <c r="AI2554" s="77" t="b">
        <v>0</v>
      </c>
      <c r="AJ2554" s="77"/>
      <c r="AK2554" s="77"/>
      <c r="AL2554" s="77"/>
      <c r="AM2554" s="77"/>
      <c r="AN2554" s="77"/>
      <c r="AO2554" s="77"/>
      <c r="AP2554" s="77"/>
      <c r="AQ2554" s="77" t="s">
        <v>12028</v>
      </c>
      <c r="AR2554" s="77"/>
      <c r="AS2554" s="77"/>
      <c r="AT2554" s="77"/>
      <c r="AU2554" s="77"/>
      <c r="AV2554" s="80" t="str">
        <f>HYPERLINK("https://pbs.twimg.com/tweet_video_thumb/Fy1aOH0WcAAvImA.jpg")</f>
        <v>https://pbs.twimg.com/tweet_video_thumb/Fy1aOH0WcAAvImA.jpg</v>
      </c>
      <c r="AW2554" s="82" t="s">
        <v>14709</v>
      </c>
      <c r="AX2554" s="82" t="s">
        <v>15615</v>
      </c>
      <c r="AY2554" s="82" t="s">
        <v>15794</v>
      </c>
      <c r="AZ2554" s="82" t="s">
        <v>15615</v>
      </c>
      <c r="BA2554" s="82" t="s">
        <v>15804</v>
      </c>
      <c r="BB2554" s="82" t="s">
        <v>15804</v>
      </c>
      <c r="BC2554" s="82" t="s">
        <v>15615</v>
      </c>
      <c r="BD2554" s="77">
        <v>44006093</v>
      </c>
      <c r="BE2554" s="77"/>
      <c r="BF2554" s="77"/>
      <c r="BG2554" s="77"/>
      <c r="BH2554" s="77"/>
      <c r="BI2554" s="77"/>
    </row>
    <row r="2555" spans="1:61" x14ac:dyDescent="0.25">
      <c r="A2555" s="62" t="s">
        <v>972</v>
      </c>
      <c r="B2555" s="62" t="s">
        <v>972</v>
      </c>
      <c r="C2555" s="63"/>
      <c r="D2555" s="64"/>
      <c r="E2555" s="65"/>
      <c r="F2555" s="66"/>
      <c r="G2555" s="63"/>
      <c r="H2555" s="67"/>
      <c r="I2555" s="68"/>
      <c r="J2555" s="68"/>
      <c r="K2555" s="32"/>
      <c r="L2555" s="75">
        <v>2555</v>
      </c>
      <c r="M2555" s="75"/>
      <c r="N2555" s="70"/>
      <c r="O2555" s="77" t="s">
        <v>179</v>
      </c>
      <c r="P2555" s="79">
        <v>45127.899953703702</v>
      </c>
      <c r="Q2555" s="77" t="s">
        <v>3567</v>
      </c>
      <c r="R2555" s="77">
        <v>0</v>
      </c>
      <c r="S2555" s="77">
        <v>0</v>
      </c>
      <c r="T2555" s="77">
        <v>0</v>
      </c>
      <c r="U2555" s="77">
        <v>0</v>
      </c>
      <c r="V2555" s="77">
        <v>31</v>
      </c>
      <c r="W2555" s="82" t="s">
        <v>5708</v>
      </c>
      <c r="X2555" s="77"/>
      <c r="Y2555" s="77"/>
      <c r="Z2555" s="77"/>
      <c r="AA2555" s="77" t="s">
        <v>7523</v>
      </c>
      <c r="AB2555" s="77" t="s">
        <v>7696</v>
      </c>
      <c r="AC2555" s="82" t="s">
        <v>7706</v>
      </c>
      <c r="AD2555" s="77" t="s">
        <v>7745</v>
      </c>
      <c r="AE2555" s="80" t="str">
        <f>HYPERLINK("https://twitter.com/mosaico_ed_corp/status/1682142318726467584")</f>
        <v>https://twitter.com/mosaico_ed_corp/status/1682142318726467584</v>
      </c>
      <c r="AF2555" s="79">
        <v>45127.899953703702</v>
      </c>
      <c r="AG2555" s="85">
        <v>45127</v>
      </c>
      <c r="AH2555" s="82" t="s">
        <v>10046</v>
      </c>
      <c r="AI2555" s="77" t="b">
        <v>0</v>
      </c>
      <c r="AJ2555" s="77"/>
      <c r="AK2555" s="77"/>
      <c r="AL2555" s="77"/>
      <c r="AM2555" s="77"/>
      <c r="AN2555" s="77"/>
      <c r="AO2555" s="77"/>
      <c r="AP2555" s="77"/>
      <c r="AQ2555" s="77" t="s">
        <v>12029</v>
      </c>
      <c r="AR2555" s="77"/>
      <c r="AS2555" s="77"/>
      <c r="AT2555" s="77"/>
      <c r="AU2555" s="77"/>
      <c r="AV2555" s="80" t="str">
        <f>HYPERLINK("https://pbs.twimg.com/media/F1grgFhX0AEq5bO.jpg")</f>
        <v>https://pbs.twimg.com/media/F1grgFhX0AEq5bO.jpg</v>
      </c>
      <c r="AW2555" s="82" t="s">
        <v>14710</v>
      </c>
      <c r="AX2555" s="82" t="s">
        <v>14710</v>
      </c>
      <c r="AY2555" s="77"/>
      <c r="AZ2555" s="82" t="s">
        <v>15804</v>
      </c>
      <c r="BA2555" s="82" t="s">
        <v>15804</v>
      </c>
      <c r="BB2555" s="82" t="s">
        <v>15804</v>
      </c>
      <c r="BC2555" s="82" t="s">
        <v>14710</v>
      </c>
      <c r="BD2555" s="77">
        <v>161502231</v>
      </c>
      <c r="BE2555" s="77"/>
      <c r="BF2555" s="77"/>
      <c r="BG2555" s="77"/>
      <c r="BH2555" s="77"/>
      <c r="BI2555" s="77"/>
    </row>
    <row r="2556" spans="1:61" x14ac:dyDescent="0.25">
      <c r="A2556" s="62" t="s">
        <v>973</v>
      </c>
      <c r="B2556" s="62" t="s">
        <v>973</v>
      </c>
      <c r="C2556" s="63"/>
      <c r="D2556" s="64"/>
      <c r="E2556" s="65"/>
      <c r="F2556" s="66"/>
      <c r="G2556" s="63"/>
      <c r="H2556" s="67"/>
      <c r="I2556" s="68"/>
      <c r="J2556" s="68"/>
      <c r="K2556" s="32"/>
      <c r="L2556" s="75">
        <v>2556</v>
      </c>
      <c r="M2556" s="75"/>
      <c r="N2556" s="70"/>
      <c r="O2556" s="77" t="s">
        <v>179</v>
      </c>
      <c r="P2556" s="79">
        <v>45182.562905092593</v>
      </c>
      <c r="Q2556" s="77" t="s">
        <v>3568</v>
      </c>
      <c r="R2556" s="77">
        <v>0</v>
      </c>
      <c r="S2556" s="77">
        <v>0</v>
      </c>
      <c r="T2556" s="77">
        <v>0</v>
      </c>
      <c r="U2556" s="77">
        <v>0</v>
      </c>
      <c r="V2556" s="77">
        <v>26</v>
      </c>
      <c r="W2556" s="82" t="s">
        <v>5709</v>
      </c>
      <c r="X2556" s="80" t="str">
        <f>HYPERLINK("https://bit.ly/487Sc6B")</f>
        <v>https://bit.ly/487Sc6B</v>
      </c>
      <c r="Y2556" s="77" t="s">
        <v>6004</v>
      </c>
      <c r="Z2556" s="77"/>
      <c r="AA2556" s="77" t="s">
        <v>7524</v>
      </c>
      <c r="AB2556" s="77" t="s">
        <v>7696</v>
      </c>
      <c r="AC2556" s="82" t="s">
        <v>7706</v>
      </c>
      <c r="AD2556" s="77" t="s">
        <v>7745</v>
      </c>
      <c r="AE2556" s="80" t="str">
        <f>HYPERLINK("https://twitter.com/tedxlisboa/status/1701951509972348944")</f>
        <v>https://twitter.com/tedxlisboa/status/1701951509972348944</v>
      </c>
      <c r="AF2556" s="79">
        <v>45182.562905092593</v>
      </c>
      <c r="AG2556" s="85">
        <v>45182</v>
      </c>
      <c r="AH2556" s="82" t="s">
        <v>10047</v>
      </c>
      <c r="AI2556" s="77" t="b">
        <v>0</v>
      </c>
      <c r="AJ2556" s="77"/>
      <c r="AK2556" s="77"/>
      <c r="AL2556" s="77"/>
      <c r="AM2556" s="77"/>
      <c r="AN2556" s="77"/>
      <c r="AO2556" s="77"/>
      <c r="AP2556" s="77"/>
      <c r="AQ2556" s="77" t="s">
        <v>12030</v>
      </c>
      <c r="AR2556" s="77"/>
      <c r="AS2556" s="77"/>
      <c r="AT2556" s="77"/>
      <c r="AU2556" s="77"/>
      <c r="AV2556" s="80" t="str">
        <f>HYPERLINK("https://pbs.twimg.com/media/F56Lsi9WoAAFRKR.jpg")</f>
        <v>https://pbs.twimg.com/media/F56Lsi9WoAAFRKR.jpg</v>
      </c>
      <c r="AW2556" s="82" t="s">
        <v>14711</v>
      </c>
      <c r="AX2556" s="82" t="s">
        <v>14711</v>
      </c>
      <c r="AY2556" s="77"/>
      <c r="AZ2556" s="82" t="s">
        <v>15804</v>
      </c>
      <c r="BA2556" s="82" t="s">
        <v>15804</v>
      </c>
      <c r="BB2556" s="82" t="s">
        <v>15804</v>
      </c>
      <c r="BC2556" s="82" t="s">
        <v>14711</v>
      </c>
      <c r="BD2556" s="77">
        <v>58269515</v>
      </c>
      <c r="BE2556" s="77"/>
      <c r="BF2556" s="77"/>
      <c r="BG2556" s="77"/>
      <c r="BH2556" s="77"/>
      <c r="BI2556" s="77"/>
    </row>
    <row r="2557" spans="1:61" x14ac:dyDescent="0.25">
      <c r="A2557" s="62" t="s">
        <v>974</v>
      </c>
      <c r="B2557" s="62" t="s">
        <v>974</v>
      </c>
      <c r="C2557" s="63"/>
      <c r="D2557" s="64"/>
      <c r="E2557" s="65"/>
      <c r="F2557" s="66"/>
      <c r="G2557" s="63"/>
      <c r="H2557" s="67"/>
      <c r="I2557" s="68"/>
      <c r="J2557" s="68"/>
      <c r="K2557" s="32"/>
      <c r="L2557" s="75">
        <v>2557</v>
      </c>
      <c r="M2557" s="75"/>
      <c r="N2557" s="70"/>
      <c r="O2557" s="77" t="s">
        <v>179</v>
      </c>
      <c r="P2557" s="79">
        <v>45133.328541666669</v>
      </c>
      <c r="Q2557" s="77" t="s">
        <v>3569</v>
      </c>
      <c r="R2557" s="77">
        <v>0</v>
      </c>
      <c r="S2557" s="77">
        <v>0</v>
      </c>
      <c r="T2557" s="77">
        <v>0</v>
      </c>
      <c r="U2557" s="77">
        <v>0</v>
      </c>
      <c r="V2557" s="77">
        <v>9</v>
      </c>
      <c r="W2557" s="82" t="s">
        <v>5710</v>
      </c>
      <c r="X2557" s="80" t="str">
        <f>HYPERLINK("https://lnkd.in/dpx4tGba")</f>
        <v>https://lnkd.in/dpx4tGba</v>
      </c>
      <c r="Y2557" s="77" t="s">
        <v>6014</v>
      </c>
      <c r="Z2557" s="77"/>
      <c r="AA2557" s="77"/>
      <c r="AB2557" s="77"/>
      <c r="AC2557" s="82" t="s">
        <v>7705</v>
      </c>
      <c r="AD2557" s="77" t="s">
        <v>7745</v>
      </c>
      <c r="AE2557" s="80" t="str">
        <f>HYPERLINK("https://twitter.com/guiccfarias/status/1684109573911707649")</f>
        <v>https://twitter.com/guiccfarias/status/1684109573911707649</v>
      </c>
      <c r="AF2557" s="79">
        <v>45133.328541666669</v>
      </c>
      <c r="AG2557" s="85">
        <v>45133</v>
      </c>
      <c r="AH2557" s="82" t="s">
        <v>10048</v>
      </c>
      <c r="AI2557" s="77" t="b">
        <v>0</v>
      </c>
      <c r="AJ2557" s="77"/>
      <c r="AK2557" s="77"/>
      <c r="AL2557" s="77"/>
      <c r="AM2557" s="77"/>
      <c r="AN2557" s="77"/>
      <c r="AO2557" s="77"/>
      <c r="AP2557" s="77"/>
      <c r="AQ2557" s="77"/>
      <c r="AR2557" s="77"/>
      <c r="AS2557" s="77"/>
      <c r="AT2557" s="77"/>
      <c r="AU2557" s="77"/>
      <c r="AV2557" s="80" t="str">
        <f>HYPERLINK("https://pbs.twimg.com/profile_images/834761818488856576/kVu2ZcNr_normal.jpg")</f>
        <v>https://pbs.twimg.com/profile_images/834761818488856576/kVu2ZcNr_normal.jpg</v>
      </c>
      <c r="AW2557" s="82" t="s">
        <v>14712</v>
      </c>
      <c r="AX2557" s="82" t="s">
        <v>14712</v>
      </c>
      <c r="AY2557" s="77"/>
      <c r="AZ2557" s="82" t="s">
        <v>15804</v>
      </c>
      <c r="BA2557" s="82" t="s">
        <v>15804</v>
      </c>
      <c r="BB2557" s="82" t="s">
        <v>15804</v>
      </c>
      <c r="BC2557" s="82" t="s">
        <v>14712</v>
      </c>
      <c r="BD2557" s="77">
        <v>1157727349</v>
      </c>
      <c r="BE2557" s="77"/>
      <c r="BF2557" s="77"/>
      <c r="BG2557" s="77"/>
      <c r="BH2557" s="77"/>
      <c r="BI2557" s="77"/>
    </row>
    <row r="2558" spans="1:61" x14ac:dyDescent="0.25">
      <c r="A2558" s="62" t="s">
        <v>975</v>
      </c>
      <c r="B2558" s="62" t="s">
        <v>975</v>
      </c>
      <c r="C2558" s="63"/>
      <c r="D2558" s="64"/>
      <c r="E2558" s="65"/>
      <c r="F2558" s="66"/>
      <c r="G2558" s="63"/>
      <c r="H2558" s="67"/>
      <c r="I2558" s="68"/>
      <c r="J2558" s="68"/>
      <c r="K2558" s="32"/>
      <c r="L2558" s="75">
        <v>2558</v>
      </c>
      <c r="M2558" s="75"/>
      <c r="N2558" s="70"/>
      <c r="O2558" s="77" t="s">
        <v>179</v>
      </c>
      <c r="P2558" s="79">
        <v>45068.634641203702</v>
      </c>
      <c r="Q2558" s="77" t="s">
        <v>3570</v>
      </c>
      <c r="R2558" s="77">
        <v>0</v>
      </c>
      <c r="S2558" s="77">
        <v>0</v>
      </c>
      <c r="T2558" s="77">
        <v>0</v>
      </c>
      <c r="U2558" s="77">
        <v>0</v>
      </c>
      <c r="V2558" s="77">
        <v>17</v>
      </c>
      <c r="W2558" s="82" t="s">
        <v>5711</v>
      </c>
      <c r="X2558" s="77"/>
      <c r="Y2558" s="77"/>
      <c r="Z2558" s="77"/>
      <c r="AA2558" s="77" t="s">
        <v>7525</v>
      </c>
      <c r="AB2558" s="77" t="s">
        <v>7696</v>
      </c>
      <c r="AC2558" s="82" t="s">
        <v>7706</v>
      </c>
      <c r="AD2558" s="77" t="s">
        <v>7745</v>
      </c>
      <c r="AE2558" s="80" t="str">
        <f>HYPERLINK("https://twitter.com/cultivarofuturo/status/1660665289975930884")</f>
        <v>https://twitter.com/cultivarofuturo/status/1660665289975930884</v>
      </c>
      <c r="AF2558" s="79">
        <v>45068.634641203702</v>
      </c>
      <c r="AG2558" s="85">
        <v>45068</v>
      </c>
      <c r="AH2558" s="82" t="s">
        <v>10049</v>
      </c>
      <c r="AI2558" s="77" t="b">
        <v>0</v>
      </c>
      <c r="AJ2558" s="77"/>
      <c r="AK2558" s="77"/>
      <c r="AL2558" s="77"/>
      <c r="AM2558" s="77"/>
      <c r="AN2558" s="77"/>
      <c r="AO2558" s="77"/>
      <c r="AP2558" s="77"/>
      <c r="AQ2558" s="77" t="s">
        <v>12031</v>
      </c>
      <c r="AR2558" s="77"/>
      <c r="AS2558" s="77"/>
      <c r="AT2558" s="77"/>
      <c r="AU2558" s="77"/>
      <c r="AV2558" s="80" t="str">
        <f>HYPERLINK("https://pbs.twimg.com/media/Fwvd6FFXoAcuWHc.jpg")</f>
        <v>https://pbs.twimg.com/media/Fwvd6FFXoAcuWHc.jpg</v>
      </c>
      <c r="AW2558" s="82" t="s">
        <v>14713</v>
      </c>
      <c r="AX2558" s="82" t="s">
        <v>14713</v>
      </c>
      <c r="AY2558" s="77"/>
      <c r="AZ2558" s="82" t="s">
        <v>15804</v>
      </c>
      <c r="BA2558" s="82" t="s">
        <v>15804</v>
      </c>
      <c r="BB2558" s="82" t="s">
        <v>15804</v>
      </c>
      <c r="BC2558" s="82" t="s">
        <v>14713</v>
      </c>
      <c r="BD2558" s="82" t="s">
        <v>16564</v>
      </c>
      <c r="BE2558" s="77"/>
      <c r="BF2558" s="77"/>
      <c r="BG2558" s="77"/>
      <c r="BH2558" s="77"/>
      <c r="BI2558" s="77"/>
    </row>
    <row r="2559" spans="1:61" x14ac:dyDescent="0.25">
      <c r="A2559" s="62" t="s">
        <v>975</v>
      </c>
      <c r="B2559" s="62" t="s">
        <v>975</v>
      </c>
      <c r="C2559" s="63"/>
      <c r="D2559" s="64"/>
      <c r="E2559" s="65"/>
      <c r="F2559" s="66"/>
      <c r="G2559" s="63"/>
      <c r="H2559" s="67"/>
      <c r="I2559" s="68"/>
      <c r="J2559" s="68"/>
      <c r="K2559" s="32"/>
      <c r="L2559" s="75">
        <v>2559</v>
      </c>
      <c r="M2559" s="75"/>
      <c r="N2559" s="70"/>
      <c r="O2559" s="77" t="s">
        <v>179</v>
      </c>
      <c r="P2559" s="79">
        <v>45088.528460648151</v>
      </c>
      <c r="Q2559" s="77" t="s">
        <v>3571</v>
      </c>
      <c r="R2559" s="77">
        <v>0</v>
      </c>
      <c r="S2559" s="77">
        <v>0</v>
      </c>
      <c r="T2559" s="77">
        <v>0</v>
      </c>
      <c r="U2559" s="77">
        <v>0</v>
      </c>
      <c r="V2559" s="77">
        <v>7</v>
      </c>
      <c r="W2559" s="82" t="s">
        <v>5712</v>
      </c>
      <c r="X2559" s="80" t="str">
        <f>HYPERLINK("https://www.instagram.com/reel/CtWZVEkNi46/?utm_source=ig_web_button_share_sheet&amp;igshid=MzRlODBiNWFlZA==")</f>
        <v>https://www.instagram.com/reel/CtWZVEkNi46/?utm_source=ig_web_button_share_sheet&amp;igshid=MzRlODBiNWFlZA==</v>
      </c>
      <c r="Y2559" s="77" t="s">
        <v>6000</v>
      </c>
      <c r="Z2559" s="77"/>
      <c r="AA2559" s="77" t="s">
        <v>7526</v>
      </c>
      <c r="AB2559" s="77" t="s">
        <v>7696</v>
      </c>
      <c r="AC2559" s="82" t="s">
        <v>7706</v>
      </c>
      <c r="AD2559" s="77" t="s">
        <v>7745</v>
      </c>
      <c r="AE2559" s="80" t="str">
        <f>HYPERLINK("https://twitter.com/cultivarofuturo/status/1667874566989836289")</f>
        <v>https://twitter.com/cultivarofuturo/status/1667874566989836289</v>
      </c>
      <c r="AF2559" s="79">
        <v>45088.528460648151</v>
      </c>
      <c r="AG2559" s="85">
        <v>45088</v>
      </c>
      <c r="AH2559" s="82" t="s">
        <v>10050</v>
      </c>
      <c r="AI2559" s="77" t="b">
        <v>0</v>
      </c>
      <c r="AJ2559" s="77"/>
      <c r="AK2559" s="77"/>
      <c r="AL2559" s="77"/>
      <c r="AM2559" s="77"/>
      <c r="AN2559" s="77"/>
      <c r="AO2559" s="77"/>
      <c r="AP2559" s="77"/>
      <c r="AQ2559" s="77" t="s">
        <v>12032</v>
      </c>
      <c r="AR2559" s="77"/>
      <c r="AS2559" s="77"/>
      <c r="AT2559" s="77"/>
      <c r="AU2559" s="77"/>
      <c r="AV2559" s="80" t="str">
        <f>HYPERLINK("https://pbs.twimg.com/media/FyV64XKWYAIJNsv.jpg")</f>
        <v>https://pbs.twimg.com/media/FyV64XKWYAIJNsv.jpg</v>
      </c>
      <c r="AW2559" s="82" t="s">
        <v>14714</v>
      </c>
      <c r="AX2559" s="82" t="s">
        <v>14714</v>
      </c>
      <c r="AY2559" s="77"/>
      <c r="AZ2559" s="82" t="s">
        <v>15804</v>
      </c>
      <c r="BA2559" s="82" t="s">
        <v>15804</v>
      </c>
      <c r="BB2559" s="82" t="s">
        <v>15804</v>
      </c>
      <c r="BC2559" s="82" t="s">
        <v>14714</v>
      </c>
      <c r="BD2559" s="82" t="s">
        <v>16564</v>
      </c>
      <c r="BE2559" s="77"/>
      <c r="BF2559" s="77"/>
      <c r="BG2559" s="77"/>
      <c r="BH2559" s="77"/>
      <c r="BI2559" s="77"/>
    </row>
    <row r="2560" spans="1:61" x14ac:dyDescent="0.25">
      <c r="A2560" s="62" t="s">
        <v>975</v>
      </c>
      <c r="B2560" s="62" t="s">
        <v>975</v>
      </c>
      <c r="C2560" s="63"/>
      <c r="D2560" s="64"/>
      <c r="E2560" s="65"/>
      <c r="F2560" s="66"/>
      <c r="G2560" s="63"/>
      <c r="H2560" s="67"/>
      <c r="I2560" s="68"/>
      <c r="J2560" s="68"/>
      <c r="K2560" s="32"/>
      <c r="L2560" s="75">
        <v>2560</v>
      </c>
      <c r="M2560" s="75"/>
      <c r="N2560" s="70"/>
      <c r="O2560" s="77" t="s">
        <v>179</v>
      </c>
      <c r="P2560" s="79">
        <v>45086.596192129633</v>
      </c>
      <c r="Q2560" s="77" t="s">
        <v>3572</v>
      </c>
      <c r="R2560" s="77">
        <v>0</v>
      </c>
      <c r="S2560" s="77">
        <v>0</v>
      </c>
      <c r="T2560" s="77">
        <v>0</v>
      </c>
      <c r="U2560" s="77">
        <v>0</v>
      </c>
      <c r="V2560" s="77">
        <v>8</v>
      </c>
      <c r="W2560" s="82" t="s">
        <v>5713</v>
      </c>
      <c r="X2560" s="80" t="str">
        <f>HYPERLINK("https://www.instagram.com/reel/CtRcOfXLEyA/?utm_source=ig_web_copy_link&amp;igshid=MmJiY2I4NDBkZg==")</f>
        <v>https://www.instagram.com/reel/CtRcOfXLEyA/?utm_source=ig_web_copy_link&amp;igshid=MmJiY2I4NDBkZg==</v>
      </c>
      <c r="Y2560" s="77" t="s">
        <v>6000</v>
      </c>
      <c r="Z2560" s="77"/>
      <c r="AA2560" s="77" t="s">
        <v>7527</v>
      </c>
      <c r="AB2560" s="77" t="s">
        <v>7696</v>
      </c>
      <c r="AC2560" s="82" t="s">
        <v>7706</v>
      </c>
      <c r="AD2560" s="77" t="s">
        <v>7745</v>
      </c>
      <c r="AE2560" s="80" t="str">
        <f>HYPERLINK("https://twitter.com/cultivarofuturo/status/1667174336292089857")</f>
        <v>https://twitter.com/cultivarofuturo/status/1667174336292089857</v>
      </c>
      <c r="AF2560" s="79">
        <v>45086.596192129633</v>
      </c>
      <c r="AG2560" s="85">
        <v>45086</v>
      </c>
      <c r="AH2560" s="82" t="s">
        <v>10051</v>
      </c>
      <c r="AI2560" s="77" t="b">
        <v>0</v>
      </c>
      <c r="AJ2560" s="77"/>
      <c r="AK2560" s="77"/>
      <c r="AL2560" s="77"/>
      <c r="AM2560" s="77"/>
      <c r="AN2560" s="77"/>
      <c r="AO2560" s="77"/>
      <c r="AP2560" s="77"/>
      <c r="AQ2560" s="77" t="s">
        <v>12033</v>
      </c>
      <c r="AR2560" s="77"/>
      <c r="AS2560" s="77"/>
      <c r="AT2560" s="77"/>
      <c r="AU2560" s="77"/>
      <c r="AV2560" s="80" t="str">
        <f>HYPERLINK("https://pbs.twimg.com/media/FyL908SWwAUVg3q.jpg")</f>
        <v>https://pbs.twimg.com/media/FyL908SWwAUVg3q.jpg</v>
      </c>
      <c r="AW2560" s="82" t="s">
        <v>14715</v>
      </c>
      <c r="AX2560" s="82" t="s">
        <v>14715</v>
      </c>
      <c r="AY2560" s="77"/>
      <c r="AZ2560" s="82" t="s">
        <v>15804</v>
      </c>
      <c r="BA2560" s="82" t="s">
        <v>15804</v>
      </c>
      <c r="BB2560" s="82" t="s">
        <v>15804</v>
      </c>
      <c r="BC2560" s="82" t="s">
        <v>14715</v>
      </c>
      <c r="BD2560" s="82" t="s">
        <v>16564</v>
      </c>
      <c r="BE2560" s="77"/>
      <c r="BF2560" s="77"/>
      <c r="BG2560" s="77"/>
      <c r="BH2560" s="77"/>
      <c r="BI2560" s="77"/>
    </row>
    <row r="2561" spans="1:61" x14ac:dyDescent="0.25">
      <c r="A2561" s="62" t="s">
        <v>976</v>
      </c>
      <c r="B2561" s="62" t="s">
        <v>976</v>
      </c>
      <c r="C2561" s="63"/>
      <c r="D2561" s="64"/>
      <c r="E2561" s="65"/>
      <c r="F2561" s="66"/>
      <c r="G2561" s="63"/>
      <c r="H2561" s="67"/>
      <c r="I2561" s="68"/>
      <c r="J2561" s="68"/>
      <c r="K2561" s="32"/>
      <c r="L2561" s="75">
        <v>2561</v>
      </c>
      <c r="M2561" s="75"/>
      <c r="N2561" s="70"/>
      <c r="O2561" s="77" t="s">
        <v>179</v>
      </c>
      <c r="P2561" s="79">
        <v>44981.961828703701</v>
      </c>
      <c r="Q2561" s="77" t="s">
        <v>3573</v>
      </c>
      <c r="R2561" s="77">
        <v>0</v>
      </c>
      <c r="S2561" s="77">
        <v>0</v>
      </c>
      <c r="T2561" s="77">
        <v>0</v>
      </c>
      <c r="U2561" s="77">
        <v>0</v>
      </c>
      <c r="V2561" s="77">
        <v>30</v>
      </c>
      <c r="W2561" s="82" t="s">
        <v>4111</v>
      </c>
      <c r="X2561" s="77"/>
      <c r="Y2561" s="77"/>
      <c r="Z2561" s="77"/>
      <c r="AA2561" s="77" t="s">
        <v>7528</v>
      </c>
      <c r="AB2561" s="77" t="s">
        <v>7696</v>
      </c>
      <c r="AC2561" s="82" t="s">
        <v>7706</v>
      </c>
      <c r="AD2561" s="77" t="s">
        <v>7745</v>
      </c>
      <c r="AE2561" s="80" t="str">
        <f>HYPERLINK("https://twitter.com/iigorheenrique/status/1629256113932697603")</f>
        <v>https://twitter.com/iigorheenrique/status/1629256113932697603</v>
      </c>
      <c r="AF2561" s="79">
        <v>44981.961828703701</v>
      </c>
      <c r="AG2561" s="85">
        <v>44981</v>
      </c>
      <c r="AH2561" s="82" t="s">
        <v>10052</v>
      </c>
      <c r="AI2561" s="77" t="b">
        <v>0</v>
      </c>
      <c r="AJ2561" s="77"/>
      <c r="AK2561" s="77"/>
      <c r="AL2561" s="77"/>
      <c r="AM2561" s="77"/>
      <c r="AN2561" s="77"/>
      <c r="AO2561" s="77"/>
      <c r="AP2561" s="77"/>
      <c r="AQ2561" s="77" t="s">
        <v>12034</v>
      </c>
      <c r="AR2561" s="77"/>
      <c r="AS2561" s="77"/>
      <c r="AT2561" s="77"/>
      <c r="AU2561" s="77"/>
      <c r="AV2561" s="80" t="str">
        <f>HYPERLINK("https://pbs.twimg.com/media/FpxHxNqXwAE79-a.jpg")</f>
        <v>https://pbs.twimg.com/media/FpxHxNqXwAE79-a.jpg</v>
      </c>
      <c r="AW2561" s="82" t="s">
        <v>14716</v>
      </c>
      <c r="AX2561" s="82" t="s">
        <v>14716</v>
      </c>
      <c r="AY2561" s="77"/>
      <c r="AZ2561" s="82" t="s">
        <v>15804</v>
      </c>
      <c r="BA2561" s="82" t="s">
        <v>15804</v>
      </c>
      <c r="BB2561" s="82" t="s">
        <v>15804</v>
      </c>
      <c r="BC2561" s="82" t="s">
        <v>14716</v>
      </c>
      <c r="BD2561" s="82" t="s">
        <v>16565</v>
      </c>
      <c r="BE2561" s="77"/>
      <c r="BF2561" s="77"/>
      <c r="BG2561" s="77"/>
      <c r="BH2561" s="77"/>
      <c r="BI2561" s="77"/>
    </row>
    <row r="2562" spans="1:61" x14ac:dyDescent="0.25">
      <c r="A2562" s="62" t="s">
        <v>976</v>
      </c>
      <c r="B2562" s="62" t="s">
        <v>976</v>
      </c>
      <c r="C2562" s="63"/>
      <c r="D2562" s="64"/>
      <c r="E2562" s="65"/>
      <c r="F2562" s="66"/>
      <c r="G2562" s="63"/>
      <c r="H2562" s="67"/>
      <c r="I2562" s="68"/>
      <c r="J2562" s="68"/>
      <c r="K2562" s="32"/>
      <c r="L2562" s="75">
        <v>2562</v>
      </c>
      <c r="M2562" s="75"/>
      <c r="N2562" s="70"/>
      <c r="O2562" s="77" t="s">
        <v>179</v>
      </c>
      <c r="P2562" s="79">
        <v>45119.653541666667</v>
      </c>
      <c r="Q2562" s="77" t="s">
        <v>3574</v>
      </c>
      <c r="R2562" s="77">
        <v>0</v>
      </c>
      <c r="S2562" s="77">
        <v>0</v>
      </c>
      <c r="T2562" s="77">
        <v>0</v>
      </c>
      <c r="U2562" s="77">
        <v>0</v>
      </c>
      <c r="V2562" s="77">
        <v>27</v>
      </c>
      <c r="W2562" s="82" t="s">
        <v>5714</v>
      </c>
      <c r="X2562" s="80" t="str">
        <f>HYPERLINK("https://youtu.be/GTFT32XcTlk")</f>
        <v>https://youtu.be/GTFT32XcTlk</v>
      </c>
      <c r="Y2562" s="77" t="s">
        <v>6003</v>
      </c>
      <c r="Z2562" s="77"/>
      <c r="AA2562" s="77"/>
      <c r="AB2562" s="77"/>
      <c r="AC2562" s="82" t="s">
        <v>7706</v>
      </c>
      <c r="AD2562" s="77" t="s">
        <v>7745</v>
      </c>
      <c r="AE2562" s="80" t="str">
        <f>HYPERLINK("https://twitter.com/iigorheenrique/status/1679153922559168512")</f>
        <v>https://twitter.com/iigorheenrique/status/1679153922559168512</v>
      </c>
      <c r="AF2562" s="79">
        <v>45119.653541666667</v>
      </c>
      <c r="AG2562" s="85">
        <v>45119</v>
      </c>
      <c r="AH2562" s="82" t="s">
        <v>10053</v>
      </c>
      <c r="AI2562" s="77" t="b">
        <v>0</v>
      </c>
      <c r="AJ2562" s="77"/>
      <c r="AK2562" s="77"/>
      <c r="AL2562" s="77"/>
      <c r="AM2562" s="77"/>
      <c r="AN2562" s="77"/>
      <c r="AO2562" s="77"/>
      <c r="AP2562" s="77"/>
      <c r="AQ2562" s="77"/>
      <c r="AR2562" s="77"/>
      <c r="AS2562" s="77"/>
      <c r="AT2562" s="77"/>
      <c r="AU2562" s="77"/>
      <c r="AV2562" s="80" t="str">
        <f>HYPERLINK("https://pbs.twimg.com/profile_images/1636013213987766272/VsCNLZ1l_normal.jpg")</f>
        <v>https://pbs.twimg.com/profile_images/1636013213987766272/VsCNLZ1l_normal.jpg</v>
      </c>
      <c r="AW2562" s="82" t="s">
        <v>14717</v>
      </c>
      <c r="AX2562" s="82" t="s">
        <v>14717</v>
      </c>
      <c r="AY2562" s="77"/>
      <c r="AZ2562" s="82" t="s">
        <v>15804</v>
      </c>
      <c r="BA2562" s="82" t="s">
        <v>15804</v>
      </c>
      <c r="BB2562" s="82" t="s">
        <v>15804</v>
      </c>
      <c r="BC2562" s="82" t="s">
        <v>14717</v>
      </c>
      <c r="BD2562" s="82" t="s">
        <v>16565</v>
      </c>
      <c r="BE2562" s="77"/>
      <c r="BF2562" s="77"/>
      <c r="BG2562" s="77"/>
      <c r="BH2562" s="77"/>
      <c r="BI2562" s="77"/>
    </row>
    <row r="2563" spans="1:61" x14ac:dyDescent="0.25">
      <c r="A2563" s="62" t="s">
        <v>977</v>
      </c>
      <c r="B2563" s="62" t="s">
        <v>977</v>
      </c>
      <c r="C2563" s="63"/>
      <c r="D2563" s="64"/>
      <c r="E2563" s="65"/>
      <c r="F2563" s="66"/>
      <c r="G2563" s="63"/>
      <c r="H2563" s="67"/>
      <c r="I2563" s="68"/>
      <c r="J2563" s="68"/>
      <c r="K2563" s="32"/>
      <c r="L2563" s="75">
        <v>2563</v>
      </c>
      <c r="M2563" s="75"/>
      <c r="N2563" s="70"/>
      <c r="O2563" s="77" t="s">
        <v>179</v>
      </c>
      <c r="P2563" s="79">
        <v>45086.829050925924</v>
      </c>
      <c r="Q2563" s="77" t="s">
        <v>3575</v>
      </c>
      <c r="R2563" s="77">
        <v>0</v>
      </c>
      <c r="S2563" s="77">
        <v>1</v>
      </c>
      <c r="T2563" s="77">
        <v>0</v>
      </c>
      <c r="U2563" s="77">
        <v>0</v>
      </c>
      <c r="V2563" s="77">
        <v>33</v>
      </c>
      <c r="W2563" s="82" t="s">
        <v>5715</v>
      </c>
      <c r="X2563" s="80" t="str">
        <f>HYPERLINK("https://pixtv.com.br/educacao-financeira-em-escolas-publicas/")</f>
        <v>https://pixtv.com.br/educacao-financeira-em-escolas-publicas/</v>
      </c>
      <c r="Y2563" s="77" t="s">
        <v>6002</v>
      </c>
      <c r="Z2563" s="77"/>
      <c r="AA2563" s="77"/>
      <c r="AB2563" s="77"/>
      <c r="AC2563" s="82" t="s">
        <v>7706</v>
      </c>
      <c r="AD2563" s="77" t="s">
        <v>7745</v>
      </c>
      <c r="AE2563" s="80" t="str">
        <f>HYPERLINK("https://twitter.com/pixtvhd/status/1667258724359065606")</f>
        <v>https://twitter.com/pixtvhd/status/1667258724359065606</v>
      </c>
      <c r="AF2563" s="79">
        <v>45086.829050925924</v>
      </c>
      <c r="AG2563" s="85">
        <v>45086</v>
      </c>
      <c r="AH2563" s="82" t="s">
        <v>10054</v>
      </c>
      <c r="AI2563" s="77" t="b">
        <v>0</v>
      </c>
      <c r="AJ2563" s="77"/>
      <c r="AK2563" s="77"/>
      <c r="AL2563" s="77"/>
      <c r="AM2563" s="77"/>
      <c r="AN2563" s="77"/>
      <c r="AO2563" s="77"/>
      <c r="AP2563" s="77"/>
      <c r="AQ2563" s="77"/>
      <c r="AR2563" s="77"/>
      <c r="AS2563" s="77"/>
      <c r="AT2563" s="77"/>
      <c r="AU2563" s="77"/>
      <c r="AV2563" s="80" t="str">
        <f>HYPERLINK("https://pbs.twimg.com/profile_images/1316845696058875909/UmEo9HZn_normal.jpg")</f>
        <v>https://pbs.twimg.com/profile_images/1316845696058875909/UmEo9HZn_normal.jpg</v>
      </c>
      <c r="AW2563" s="82" t="s">
        <v>14718</v>
      </c>
      <c r="AX2563" s="82" t="s">
        <v>14718</v>
      </c>
      <c r="AY2563" s="77"/>
      <c r="AZ2563" s="82" t="s">
        <v>15804</v>
      </c>
      <c r="BA2563" s="82" t="s">
        <v>15804</v>
      </c>
      <c r="BB2563" s="82" t="s">
        <v>15804</v>
      </c>
      <c r="BC2563" s="82" t="s">
        <v>14718</v>
      </c>
      <c r="BD2563" s="77">
        <v>117089350</v>
      </c>
      <c r="BE2563" s="77"/>
      <c r="BF2563" s="77"/>
      <c r="BG2563" s="77"/>
      <c r="BH2563" s="77"/>
      <c r="BI2563" s="77"/>
    </row>
    <row r="2564" spans="1:61" x14ac:dyDescent="0.25">
      <c r="A2564" s="62" t="s">
        <v>978</v>
      </c>
      <c r="B2564" s="62" t="s">
        <v>978</v>
      </c>
      <c r="C2564" s="63"/>
      <c r="D2564" s="64"/>
      <c r="E2564" s="65"/>
      <c r="F2564" s="66"/>
      <c r="G2564" s="63"/>
      <c r="H2564" s="67"/>
      <c r="I2564" s="68"/>
      <c r="J2564" s="68"/>
      <c r="K2564" s="32"/>
      <c r="L2564" s="75">
        <v>2564</v>
      </c>
      <c r="M2564" s="75"/>
      <c r="N2564" s="70"/>
      <c r="O2564" s="77" t="s">
        <v>179</v>
      </c>
      <c r="P2564" s="79">
        <v>45148.7419212963</v>
      </c>
      <c r="Q2564" s="77" t="s">
        <v>3576</v>
      </c>
      <c r="R2564" s="77">
        <v>0</v>
      </c>
      <c r="S2564" s="77">
        <v>0</v>
      </c>
      <c r="T2564" s="77">
        <v>1</v>
      </c>
      <c r="U2564" s="77">
        <v>0</v>
      </c>
      <c r="V2564" s="77">
        <v>24</v>
      </c>
      <c r="W2564" s="82" t="s">
        <v>5716</v>
      </c>
      <c r="X2564" s="77"/>
      <c r="Y2564" s="77"/>
      <c r="Z2564" s="77"/>
      <c r="AA2564" s="77" t="s">
        <v>7529</v>
      </c>
      <c r="AB2564" s="77" t="s">
        <v>7699</v>
      </c>
      <c r="AC2564" s="82" t="s">
        <v>7706</v>
      </c>
      <c r="AD2564" s="77" t="s">
        <v>7745</v>
      </c>
      <c r="AE2564" s="80" t="str">
        <f>HYPERLINK("https://twitter.com/brunno_brss/status/1689695195766353921")</f>
        <v>https://twitter.com/brunno_brss/status/1689695195766353921</v>
      </c>
      <c r="AF2564" s="79">
        <v>45148.7419212963</v>
      </c>
      <c r="AG2564" s="85">
        <v>45148</v>
      </c>
      <c r="AH2564" s="82" t="s">
        <v>10055</v>
      </c>
      <c r="AI2564" s="77" t="b">
        <v>0</v>
      </c>
      <c r="AJ2564" s="77"/>
      <c r="AK2564" s="77"/>
      <c r="AL2564" s="77"/>
      <c r="AM2564" s="77"/>
      <c r="AN2564" s="77"/>
      <c r="AO2564" s="77"/>
      <c r="AP2564" s="77"/>
      <c r="AQ2564" s="77" t="s">
        <v>12035</v>
      </c>
      <c r="AR2564" s="77"/>
      <c r="AS2564" s="77"/>
      <c r="AT2564" s="77"/>
      <c r="AU2564" s="77"/>
      <c r="AV2564" s="80" t="str">
        <f>HYPERLINK("https://pbs.twimg.com/tweet_video_thumb/F3MA0cIWsAELGyU.jpg")</f>
        <v>https://pbs.twimg.com/tweet_video_thumb/F3MA0cIWsAELGyU.jpg</v>
      </c>
      <c r="AW2564" s="82" t="s">
        <v>14719</v>
      </c>
      <c r="AX2564" s="82" t="s">
        <v>14719</v>
      </c>
      <c r="AY2564" s="77"/>
      <c r="AZ2564" s="82" t="s">
        <v>15804</v>
      </c>
      <c r="BA2564" s="82" t="s">
        <v>15804</v>
      </c>
      <c r="BB2564" s="82" t="s">
        <v>15804</v>
      </c>
      <c r="BC2564" s="82" t="s">
        <v>14719</v>
      </c>
      <c r="BD2564" s="77">
        <v>208372570</v>
      </c>
      <c r="BE2564" s="77"/>
      <c r="BF2564" s="77"/>
      <c r="BG2564" s="77"/>
      <c r="BH2564" s="77"/>
      <c r="BI2564" s="77"/>
    </row>
    <row r="2565" spans="1:61" x14ac:dyDescent="0.25">
      <c r="A2565" s="62" t="s">
        <v>979</v>
      </c>
      <c r="B2565" s="62" t="s">
        <v>1126</v>
      </c>
      <c r="C2565" s="63"/>
      <c r="D2565" s="64"/>
      <c r="E2565" s="65"/>
      <c r="F2565" s="66"/>
      <c r="G2565" s="63"/>
      <c r="H2565" s="67"/>
      <c r="I2565" s="68"/>
      <c r="J2565" s="68"/>
      <c r="K2565" s="32"/>
      <c r="L2565" s="75">
        <v>2565</v>
      </c>
      <c r="M2565" s="75"/>
      <c r="N2565" s="70"/>
      <c r="O2565" s="77" t="s">
        <v>1133</v>
      </c>
      <c r="P2565" s="79">
        <v>45071.559803240743</v>
      </c>
      <c r="Q2565" s="77" t="s">
        <v>3577</v>
      </c>
      <c r="R2565" s="77">
        <v>0</v>
      </c>
      <c r="S2565" s="77">
        <v>1</v>
      </c>
      <c r="T2565" s="77">
        <v>0</v>
      </c>
      <c r="U2565" s="77">
        <v>0</v>
      </c>
      <c r="V2565" s="77">
        <v>34</v>
      </c>
      <c r="W2565" s="82" t="s">
        <v>5717</v>
      </c>
      <c r="X2565" s="77"/>
      <c r="Y2565" s="77"/>
      <c r="Z2565" s="77" t="s">
        <v>1126</v>
      </c>
      <c r="AA2565" s="77" t="s">
        <v>7530</v>
      </c>
      <c r="AB2565" s="77" t="s">
        <v>7697</v>
      </c>
      <c r="AC2565" s="82" t="s">
        <v>7707</v>
      </c>
      <c r="AD2565" s="77" t="s">
        <v>7745</v>
      </c>
      <c r="AE2565" s="80" t="str">
        <f>HYPERLINK("https://twitter.com/joanadarcdocar1/status/1661725333677023238")</f>
        <v>https://twitter.com/joanadarcdocar1/status/1661725333677023238</v>
      </c>
      <c r="AF2565" s="79">
        <v>45071.559803240743</v>
      </c>
      <c r="AG2565" s="85">
        <v>45071</v>
      </c>
      <c r="AH2565" s="82" t="s">
        <v>8240</v>
      </c>
      <c r="AI2565" s="77" t="b">
        <v>0</v>
      </c>
      <c r="AJ2565" s="77"/>
      <c r="AK2565" s="77"/>
      <c r="AL2565" s="77"/>
      <c r="AM2565" s="77"/>
      <c r="AN2565" s="77"/>
      <c r="AO2565" s="77"/>
      <c r="AP2565" s="77"/>
      <c r="AQ2565" s="77" t="s">
        <v>12036</v>
      </c>
      <c r="AR2565" s="77">
        <v>89998</v>
      </c>
      <c r="AS2565" s="77"/>
      <c r="AT2565" s="77"/>
      <c r="AU2565" s="77">
        <v>5</v>
      </c>
      <c r="AV2565" s="80" t="str">
        <f>HYPERLINK("https://pbs.twimg.com/ext_tw_video_thumb/1661725228966244352/pu/img/nr3mRzvbXo0WZx8W.jpg")</f>
        <v>https://pbs.twimg.com/ext_tw_video_thumb/1661725228966244352/pu/img/nr3mRzvbXo0WZx8W.jpg</v>
      </c>
      <c r="AW2565" s="82" t="s">
        <v>14720</v>
      </c>
      <c r="AX2565" s="82" t="s">
        <v>14720</v>
      </c>
      <c r="AY2565" s="77"/>
      <c r="AZ2565" s="82" t="s">
        <v>15804</v>
      </c>
      <c r="BA2565" s="82" t="s">
        <v>15804</v>
      </c>
      <c r="BB2565" s="82" t="s">
        <v>15804</v>
      </c>
      <c r="BC2565" s="82" t="s">
        <v>14720</v>
      </c>
      <c r="BD2565" s="82" t="s">
        <v>16566</v>
      </c>
      <c r="BE2565" s="77"/>
      <c r="BF2565" s="77"/>
      <c r="BG2565" s="77"/>
      <c r="BH2565" s="77"/>
      <c r="BI2565" s="77"/>
    </row>
    <row r="2566" spans="1:61" x14ac:dyDescent="0.25">
      <c r="A2566" s="62" t="s">
        <v>980</v>
      </c>
      <c r="B2566" s="62" t="s">
        <v>980</v>
      </c>
      <c r="C2566" s="63"/>
      <c r="D2566" s="64"/>
      <c r="E2566" s="65"/>
      <c r="F2566" s="66"/>
      <c r="G2566" s="63"/>
      <c r="H2566" s="67"/>
      <c r="I2566" s="68"/>
      <c r="J2566" s="68"/>
      <c r="K2566" s="32"/>
      <c r="L2566" s="75">
        <v>2566</v>
      </c>
      <c r="M2566" s="75"/>
      <c r="N2566" s="70"/>
      <c r="O2566" s="77" t="s">
        <v>179</v>
      </c>
      <c r="P2566" s="79">
        <v>44968.933530092596</v>
      </c>
      <c r="Q2566" s="77" t="s">
        <v>3578</v>
      </c>
      <c r="R2566" s="77">
        <v>0</v>
      </c>
      <c r="S2566" s="77">
        <v>1</v>
      </c>
      <c r="T2566" s="77">
        <v>0</v>
      </c>
      <c r="U2566" s="77">
        <v>0</v>
      </c>
      <c r="V2566" s="77">
        <v>37</v>
      </c>
      <c r="W2566" s="82" t="s">
        <v>5718</v>
      </c>
      <c r="X2566" s="77"/>
      <c r="Y2566" s="77"/>
      <c r="Z2566" s="77"/>
      <c r="AA2566" s="77"/>
      <c r="AB2566" s="77"/>
      <c r="AC2566" s="82" t="s">
        <v>7705</v>
      </c>
      <c r="AD2566" s="77" t="s">
        <v>7745</v>
      </c>
      <c r="AE2566" s="80" t="str">
        <f>HYPERLINK("https://twitter.com/brunoberanko/status/1624534817856540682")</f>
        <v>https://twitter.com/brunoberanko/status/1624534817856540682</v>
      </c>
      <c r="AF2566" s="79">
        <v>44968.933530092596</v>
      </c>
      <c r="AG2566" s="85">
        <v>44968</v>
      </c>
      <c r="AH2566" s="82" t="s">
        <v>10056</v>
      </c>
      <c r="AI2566" s="77"/>
      <c r="AJ2566" s="77"/>
      <c r="AK2566" s="77"/>
      <c r="AL2566" s="77"/>
      <c r="AM2566" s="77"/>
      <c r="AN2566" s="77"/>
      <c r="AO2566" s="77"/>
      <c r="AP2566" s="77"/>
      <c r="AQ2566" s="77"/>
      <c r="AR2566" s="77"/>
      <c r="AS2566" s="77"/>
      <c r="AT2566" s="77"/>
      <c r="AU2566" s="77"/>
      <c r="AV2566" s="80" t="str">
        <f>HYPERLINK("https://pbs.twimg.com/profile_images/1616546627661053953/G4wVwdy9_normal.jpg")</f>
        <v>https://pbs.twimg.com/profile_images/1616546627661053953/G4wVwdy9_normal.jpg</v>
      </c>
      <c r="AW2566" s="82" t="s">
        <v>14721</v>
      </c>
      <c r="AX2566" s="82" t="s">
        <v>14721</v>
      </c>
      <c r="AY2566" s="77"/>
      <c r="AZ2566" s="82" t="s">
        <v>15804</v>
      </c>
      <c r="BA2566" s="82" t="s">
        <v>15804</v>
      </c>
      <c r="BB2566" s="82" t="s">
        <v>15804</v>
      </c>
      <c r="BC2566" s="82" t="s">
        <v>14721</v>
      </c>
      <c r="BD2566" s="77">
        <v>41928738</v>
      </c>
      <c r="BE2566" s="77"/>
      <c r="BF2566" s="77"/>
      <c r="BG2566" s="77"/>
      <c r="BH2566" s="77"/>
      <c r="BI2566" s="77"/>
    </row>
    <row r="2567" spans="1:61" x14ac:dyDescent="0.25">
      <c r="A2567" s="62" t="s">
        <v>981</v>
      </c>
      <c r="B2567" s="62" t="s">
        <v>981</v>
      </c>
      <c r="C2567" s="63"/>
      <c r="D2567" s="64"/>
      <c r="E2567" s="65"/>
      <c r="F2567" s="66"/>
      <c r="G2567" s="63"/>
      <c r="H2567" s="67"/>
      <c r="I2567" s="68"/>
      <c r="J2567" s="68"/>
      <c r="K2567" s="32"/>
      <c r="L2567" s="75">
        <v>2567</v>
      </c>
      <c r="M2567" s="75"/>
      <c r="N2567" s="70"/>
      <c r="O2567" s="77" t="s">
        <v>1132</v>
      </c>
      <c r="P2567" s="79">
        <v>45097.960775462961</v>
      </c>
      <c r="Q2567" s="77" t="s">
        <v>3579</v>
      </c>
      <c r="R2567" s="77">
        <v>0</v>
      </c>
      <c r="S2567" s="77">
        <v>0</v>
      </c>
      <c r="T2567" s="77">
        <v>1</v>
      </c>
      <c r="U2567" s="77">
        <v>0</v>
      </c>
      <c r="V2567" s="77">
        <v>20</v>
      </c>
      <c r="W2567" s="82" t="s">
        <v>5719</v>
      </c>
      <c r="X2567" s="77"/>
      <c r="Y2567" s="77"/>
      <c r="Z2567" s="77"/>
      <c r="AA2567" s="77"/>
      <c r="AB2567" s="77"/>
      <c r="AC2567" s="82" t="s">
        <v>7706</v>
      </c>
      <c r="AD2567" s="77" t="s">
        <v>7745</v>
      </c>
      <c r="AE2567" s="80" t="str">
        <f>HYPERLINK("https://twitter.com/felippe_analyst/status/1671292725621080064")</f>
        <v>https://twitter.com/felippe_analyst/status/1671292725621080064</v>
      </c>
      <c r="AF2567" s="79">
        <v>45097.960775462961</v>
      </c>
      <c r="AG2567" s="85">
        <v>45097</v>
      </c>
      <c r="AH2567" s="82" t="s">
        <v>10057</v>
      </c>
      <c r="AI2567" s="77"/>
      <c r="AJ2567" s="77" t="s">
        <v>10533</v>
      </c>
      <c r="AK2567" s="77" t="s">
        <v>10552</v>
      </c>
      <c r="AL2567" s="77" t="s">
        <v>10555</v>
      </c>
      <c r="AM2567" s="77" t="s">
        <v>10570</v>
      </c>
      <c r="AN2567" s="77" t="s">
        <v>10600</v>
      </c>
      <c r="AO2567" s="77" t="s">
        <v>10631</v>
      </c>
      <c r="AP2567" s="77" t="s">
        <v>10649</v>
      </c>
      <c r="AQ2567" s="77"/>
      <c r="AR2567" s="77"/>
      <c r="AS2567" s="77"/>
      <c r="AT2567" s="77"/>
      <c r="AU2567" s="77"/>
      <c r="AV2567" s="80" t="str">
        <f>HYPERLINK("https://pbs.twimg.com/profile_images/1655944882991796226/hLtmoAw5_normal.jpg")</f>
        <v>https://pbs.twimg.com/profile_images/1655944882991796226/hLtmoAw5_normal.jpg</v>
      </c>
      <c r="AW2567" s="82" t="s">
        <v>14722</v>
      </c>
      <c r="AX2567" s="82" t="s">
        <v>15616</v>
      </c>
      <c r="AY2567" s="82" t="s">
        <v>15795</v>
      </c>
      <c r="AZ2567" s="82" t="s">
        <v>16128</v>
      </c>
      <c r="BA2567" s="82" t="s">
        <v>15804</v>
      </c>
      <c r="BB2567" s="82" t="s">
        <v>15804</v>
      </c>
      <c r="BC2567" s="82" t="s">
        <v>16128</v>
      </c>
      <c r="BD2567" s="82" t="s">
        <v>15795</v>
      </c>
      <c r="BE2567" s="77"/>
      <c r="BF2567" s="77"/>
      <c r="BG2567" s="77"/>
      <c r="BH2567" s="77"/>
      <c r="BI2567" s="77"/>
    </row>
    <row r="2568" spans="1:61" x14ac:dyDescent="0.25">
      <c r="A2568" s="62" t="s">
        <v>982</v>
      </c>
      <c r="B2568" s="62" t="s">
        <v>982</v>
      </c>
      <c r="C2568" s="63"/>
      <c r="D2568" s="64"/>
      <c r="E2568" s="65"/>
      <c r="F2568" s="66"/>
      <c r="G2568" s="63"/>
      <c r="H2568" s="67"/>
      <c r="I2568" s="68"/>
      <c r="J2568" s="68"/>
      <c r="K2568" s="32"/>
      <c r="L2568" s="75">
        <v>2568</v>
      </c>
      <c r="M2568" s="75"/>
      <c r="N2568" s="70"/>
      <c r="O2568" s="77" t="s">
        <v>179</v>
      </c>
      <c r="P2568" s="79">
        <v>45145.068298611113</v>
      </c>
      <c r="Q2568" s="77" t="s">
        <v>3580</v>
      </c>
      <c r="R2568" s="77">
        <v>1</v>
      </c>
      <c r="S2568" s="77">
        <v>0</v>
      </c>
      <c r="T2568" s="77">
        <v>0</v>
      </c>
      <c r="U2568" s="77">
        <v>0</v>
      </c>
      <c r="V2568" s="77">
        <v>220</v>
      </c>
      <c r="W2568" s="82" t="s">
        <v>5720</v>
      </c>
      <c r="X2568" s="80" t="str">
        <f>HYPERLINK("https://www.instagram.com/p/CvmeCsYuSP-/?igshid=M2MyMzgzODVlNw==")</f>
        <v>https://www.instagram.com/p/CvmeCsYuSP-/?igshid=M2MyMzgzODVlNw==</v>
      </c>
      <c r="Y2568" s="77" t="s">
        <v>6000</v>
      </c>
      <c r="Z2568" s="77"/>
      <c r="AA2568" s="77"/>
      <c r="AB2568" s="77"/>
      <c r="AC2568" s="82" t="s">
        <v>7707</v>
      </c>
      <c r="AD2568" s="77" t="s">
        <v>7745</v>
      </c>
      <c r="AE2568" s="80" t="str">
        <f>HYPERLINK("https://twitter.com/jeffers54624993/status/1688363920929542144")</f>
        <v>https://twitter.com/jeffers54624993/status/1688363920929542144</v>
      </c>
      <c r="AF2568" s="79">
        <v>45145.068298611113</v>
      </c>
      <c r="AG2568" s="85">
        <v>45145</v>
      </c>
      <c r="AH2568" s="82" t="s">
        <v>10058</v>
      </c>
      <c r="AI2568" s="77" t="b">
        <v>0</v>
      </c>
      <c r="AJ2568" s="77"/>
      <c r="AK2568" s="77"/>
      <c r="AL2568" s="77"/>
      <c r="AM2568" s="77"/>
      <c r="AN2568" s="77"/>
      <c r="AO2568" s="77"/>
      <c r="AP2568" s="77"/>
      <c r="AQ2568" s="77"/>
      <c r="AR2568" s="77"/>
      <c r="AS2568" s="77"/>
      <c r="AT2568" s="77"/>
      <c r="AU2568" s="77"/>
      <c r="AV2568" s="80" t="str">
        <f>HYPERLINK("https://pbs.twimg.com/profile_images/1265083532646453249/5LO0aH_w_normal.jpg")</f>
        <v>https://pbs.twimg.com/profile_images/1265083532646453249/5LO0aH_w_normal.jpg</v>
      </c>
      <c r="AW2568" s="82" t="s">
        <v>14723</v>
      </c>
      <c r="AX2568" s="82" t="s">
        <v>14723</v>
      </c>
      <c r="AY2568" s="77"/>
      <c r="AZ2568" s="82" t="s">
        <v>15804</v>
      </c>
      <c r="BA2568" s="82" t="s">
        <v>15804</v>
      </c>
      <c r="BB2568" s="82" t="s">
        <v>15804</v>
      </c>
      <c r="BC2568" s="82" t="s">
        <v>14723</v>
      </c>
      <c r="BD2568" s="82" t="s">
        <v>16567</v>
      </c>
      <c r="BE2568" s="77"/>
      <c r="BF2568" s="77"/>
      <c r="BG2568" s="77"/>
      <c r="BH2568" s="77"/>
      <c r="BI2568" s="77"/>
    </row>
    <row r="2569" spans="1:61" x14ac:dyDescent="0.25">
      <c r="A2569" s="62" t="s">
        <v>983</v>
      </c>
      <c r="B2569" s="62" t="s">
        <v>983</v>
      </c>
      <c r="C2569" s="63"/>
      <c r="D2569" s="64"/>
      <c r="E2569" s="65"/>
      <c r="F2569" s="66"/>
      <c r="G2569" s="63"/>
      <c r="H2569" s="67"/>
      <c r="I2569" s="68"/>
      <c r="J2569" s="68"/>
      <c r="K2569" s="32"/>
      <c r="L2569" s="75">
        <v>2569</v>
      </c>
      <c r="M2569" s="75"/>
      <c r="N2569" s="70"/>
      <c r="O2569" s="77" t="s">
        <v>179</v>
      </c>
      <c r="P2569" s="79">
        <v>44961.65252314815</v>
      </c>
      <c r="Q2569" s="77" t="s">
        <v>3581</v>
      </c>
      <c r="R2569" s="77">
        <v>0</v>
      </c>
      <c r="S2569" s="77">
        <v>4</v>
      </c>
      <c r="T2569" s="77">
        <v>0</v>
      </c>
      <c r="U2569" s="77">
        <v>0</v>
      </c>
      <c r="V2569" s="77">
        <v>64</v>
      </c>
      <c r="W2569" s="82" t="s">
        <v>5721</v>
      </c>
      <c r="X2569" s="80" t="str">
        <f>HYPERLINK("https://www.instagram.com/p/CoOut9QOUJL/?utm_source=ig_web_copy_link")</f>
        <v>https://www.instagram.com/p/CoOut9QOUJL/?utm_source=ig_web_copy_link</v>
      </c>
      <c r="Y2569" s="77" t="s">
        <v>6000</v>
      </c>
      <c r="Z2569" s="77"/>
      <c r="AA2569" s="77" t="s">
        <v>7531</v>
      </c>
      <c r="AB2569" s="77" t="s">
        <v>7696</v>
      </c>
      <c r="AC2569" s="82" t="s">
        <v>7706</v>
      </c>
      <c r="AD2569" s="77" t="s">
        <v>7745</v>
      </c>
      <c r="AE2569" s="80" t="str">
        <f>HYPERLINK("https://twitter.com/teixeiracosta19/status/1621896269663723522")</f>
        <v>https://twitter.com/teixeiracosta19/status/1621896269663723522</v>
      </c>
      <c r="AF2569" s="79">
        <v>44961.65252314815</v>
      </c>
      <c r="AG2569" s="85">
        <v>44961</v>
      </c>
      <c r="AH2569" s="82" t="s">
        <v>10059</v>
      </c>
      <c r="AI2569" s="77" t="b">
        <v>0</v>
      </c>
      <c r="AJ2569" s="77"/>
      <c r="AK2569" s="77"/>
      <c r="AL2569" s="77"/>
      <c r="AM2569" s="77"/>
      <c r="AN2569" s="77"/>
      <c r="AO2569" s="77"/>
      <c r="AP2569" s="77"/>
      <c r="AQ2569" s="77" t="s">
        <v>12037</v>
      </c>
      <c r="AR2569" s="77"/>
      <c r="AS2569" s="77"/>
      <c r="AT2569" s="77"/>
      <c r="AU2569" s="77"/>
      <c r="AV2569" s="80" t="str">
        <f>HYPERLINK("https://pbs.twimg.com/media/FoIhLanX0AActYG.jpg")</f>
        <v>https://pbs.twimg.com/media/FoIhLanX0AActYG.jpg</v>
      </c>
      <c r="AW2569" s="82" t="s">
        <v>14724</v>
      </c>
      <c r="AX2569" s="82" t="s">
        <v>14724</v>
      </c>
      <c r="AY2569" s="77"/>
      <c r="AZ2569" s="82" t="s">
        <v>15804</v>
      </c>
      <c r="BA2569" s="82" t="s">
        <v>15804</v>
      </c>
      <c r="BB2569" s="82" t="s">
        <v>15804</v>
      </c>
      <c r="BC2569" s="82" t="s">
        <v>14724</v>
      </c>
      <c r="BD2569" s="77">
        <v>86789037</v>
      </c>
      <c r="BE2569" s="77"/>
      <c r="BF2569" s="77"/>
      <c r="BG2569" s="77"/>
      <c r="BH2569" s="77"/>
      <c r="BI2569" s="77"/>
    </row>
    <row r="2570" spans="1:61" x14ac:dyDescent="0.25">
      <c r="A2570" s="62" t="s">
        <v>984</v>
      </c>
      <c r="B2570" s="62" t="s">
        <v>1127</v>
      </c>
      <c r="C2570" s="63"/>
      <c r="D2570" s="64"/>
      <c r="E2570" s="65"/>
      <c r="F2570" s="66"/>
      <c r="G2570" s="63"/>
      <c r="H2570" s="67"/>
      <c r="I2570" s="68"/>
      <c r="J2570" s="68"/>
      <c r="K2570" s="32"/>
      <c r="L2570" s="75">
        <v>2570</v>
      </c>
      <c r="M2570" s="75"/>
      <c r="N2570" s="70"/>
      <c r="O2570" s="77" t="s">
        <v>1133</v>
      </c>
      <c r="P2570" s="79">
        <v>45145.417384259257</v>
      </c>
      <c r="Q2570" s="77" t="s">
        <v>3582</v>
      </c>
      <c r="R2570" s="77">
        <v>0</v>
      </c>
      <c r="S2570" s="77">
        <v>1</v>
      </c>
      <c r="T2570" s="77">
        <v>0</v>
      </c>
      <c r="U2570" s="77">
        <v>0</v>
      </c>
      <c r="V2570" s="77">
        <v>7</v>
      </c>
      <c r="W2570" s="82" t="s">
        <v>5722</v>
      </c>
      <c r="X2570" s="77"/>
      <c r="Y2570" s="77"/>
      <c r="Z2570" s="77" t="s">
        <v>1127</v>
      </c>
      <c r="AA2570" s="77"/>
      <c r="AB2570" s="77"/>
      <c r="AC2570" s="82" t="s">
        <v>7705</v>
      </c>
      <c r="AD2570" s="77" t="s">
        <v>7745</v>
      </c>
      <c r="AE2570" s="80" t="str">
        <f>HYPERLINK("https://twitter.com/mqsoulja/status/1688490423176605696")</f>
        <v>https://twitter.com/mqsoulja/status/1688490423176605696</v>
      </c>
      <c r="AF2570" s="79">
        <v>45145.417384259257</v>
      </c>
      <c r="AG2570" s="85">
        <v>45145</v>
      </c>
      <c r="AH2570" s="82" t="s">
        <v>10060</v>
      </c>
      <c r="AI2570" s="77"/>
      <c r="AJ2570" s="77"/>
      <c r="AK2570" s="77"/>
      <c r="AL2570" s="77"/>
      <c r="AM2570" s="77"/>
      <c r="AN2570" s="77"/>
      <c r="AO2570" s="77"/>
      <c r="AP2570" s="77"/>
      <c r="AQ2570" s="77"/>
      <c r="AR2570" s="77"/>
      <c r="AS2570" s="77"/>
      <c r="AT2570" s="77"/>
      <c r="AU2570" s="77"/>
      <c r="AV2570" s="80" t="str">
        <f>HYPERLINK("https://pbs.twimg.com/profile_images/1201531777694781440/eNeoSJJw_normal.jpg")</f>
        <v>https://pbs.twimg.com/profile_images/1201531777694781440/eNeoSJJw_normal.jpg</v>
      </c>
      <c r="AW2570" s="82" t="s">
        <v>14725</v>
      </c>
      <c r="AX2570" s="82" t="s">
        <v>14725</v>
      </c>
      <c r="AY2570" s="77"/>
      <c r="AZ2570" s="82" t="s">
        <v>15804</v>
      </c>
      <c r="BA2570" s="82" t="s">
        <v>15804</v>
      </c>
      <c r="BB2570" s="82" t="s">
        <v>15804</v>
      </c>
      <c r="BC2570" s="82" t="s">
        <v>14725</v>
      </c>
      <c r="BD2570" s="77">
        <v>113495167</v>
      </c>
      <c r="BE2570" s="77"/>
      <c r="BF2570" s="77"/>
      <c r="BG2570" s="77"/>
      <c r="BH2570" s="77"/>
      <c r="BI2570" s="77"/>
    </row>
    <row r="2571" spans="1:61" x14ac:dyDescent="0.25">
      <c r="A2571" s="62" t="s">
        <v>985</v>
      </c>
      <c r="B2571" s="62" t="s">
        <v>985</v>
      </c>
      <c r="C2571" s="63"/>
      <c r="D2571" s="64"/>
      <c r="E2571" s="65"/>
      <c r="F2571" s="66"/>
      <c r="G2571" s="63"/>
      <c r="H2571" s="67"/>
      <c r="I2571" s="68"/>
      <c r="J2571" s="68"/>
      <c r="K2571" s="32"/>
      <c r="L2571" s="75">
        <v>2571</v>
      </c>
      <c r="M2571" s="75"/>
      <c r="N2571" s="70"/>
      <c r="O2571" s="77" t="s">
        <v>179</v>
      </c>
      <c r="P2571" s="79">
        <v>45132.722222222219</v>
      </c>
      <c r="Q2571" s="77" t="s">
        <v>3583</v>
      </c>
      <c r="R2571" s="77">
        <v>0</v>
      </c>
      <c r="S2571" s="77">
        <v>0</v>
      </c>
      <c r="T2571" s="77">
        <v>0</v>
      </c>
      <c r="U2571" s="77">
        <v>0</v>
      </c>
      <c r="V2571" s="77">
        <v>39</v>
      </c>
      <c r="W2571" s="82" t="s">
        <v>4097</v>
      </c>
      <c r="X2571" s="80" t="str">
        <f>HYPERLINK("https://www.boqnews.com/etc/curso-online-gratuito/")</f>
        <v>https://www.boqnews.com/etc/curso-online-gratuito/</v>
      </c>
      <c r="Y2571" s="77" t="s">
        <v>6109</v>
      </c>
      <c r="Z2571" s="77"/>
      <c r="AA2571" s="77"/>
      <c r="AB2571" s="77"/>
      <c r="AC2571" s="82" t="s">
        <v>7706</v>
      </c>
      <c r="AD2571" s="77" t="s">
        <v>7745</v>
      </c>
      <c r="AE2571" s="80" t="str">
        <f>HYPERLINK("https://twitter.com/boqnews/status/1683889850779578369")</f>
        <v>https://twitter.com/boqnews/status/1683889850779578369</v>
      </c>
      <c r="AF2571" s="79">
        <v>45132.722222222219</v>
      </c>
      <c r="AG2571" s="85">
        <v>45132</v>
      </c>
      <c r="AH2571" s="82" t="s">
        <v>10061</v>
      </c>
      <c r="AI2571" s="77" t="b">
        <v>0</v>
      </c>
      <c r="AJ2571" s="77"/>
      <c r="AK2571" s="77"/>
      <c r="AL2571" s="77"/>
      <c r="AM2571" s="77"/>
      <c r="AN2571" s="77"/>
      <c r="AO2571" s="77"/>
      <c r="AP2571" s="77"/>
      <c r="AQ2571" s="77"/>
      <c r="AR2571" s="77"/>
      <c r="AS2571" s="77"/>
      <c r="AT2571" s="77"/>
      <c r="AU2571" s="77"/>
      <c r="AV2571" s="80" t="str">
        <f>HYPERLINK("https://pbs.twimg.com/profile_images/2238680074/boqnews_normal.png")</f>
        <v>https://pbs.twimg.com/profile_images/2238680074/boqnews_normal.png</v>
      </c>
      <c r="AW2571" s="82" t="s">
        <v>14726</v>
      </c>
      <c r="AX2571" s="82" t="s">
        <v>14726</v>
      </c>
      <c r="AY2571" s="77"/>
      <c r="AZ2571" s="82" t="s">
        <v>15804</v>
      </c>
      <c r="BA2571" s="82" t="s">
        <v>15804</v>
      </c>
      <c r="BB2571" s="82" t="s">
        <v>15804</v>
      </c>
      <c r="BC2571" s="82" t="s">
        <v>14726</v>
      </c>
      <c r="BD2571" s="77">
        <v>31419983</v>
      </c>
      <c r="BE2571" s="77"/>
      <c r="BF2571" s="77"/>
      <c r="BG2571" s="77"/>
      <c r="BH2571" s="77"/>
      <c r="BI2571" s="77"/>
    </row>
    <row r="2572" spans="1:61" x14ac:dyDescent="0.25">
      <c r="A2572" s="62" t="s">
        <v>986</v>
      </c>
      <c r="B2572" s="62" t="s">
        <v>1128</v>
      </c>
      <c r="C2572" s="63"/>
      <c r="D2572" s="64"/>
      <c r="E2572" s="65"/>
      <c r="F2572" s="66"/>
      <c r="G2572" s="63"/>
      <c r="H2572" s="67"/>
      <c r="I2572" s="68"/>
      <c r="J2572" s="68"/>
      <c r="K2572" s="32"/>
      <c r="L2572" s="75">
        <v>2572</v>
      </c>
      <c r="M2572" s="75"/>
      <c r="N2572" s="70"/>
      <c r="O2572" s="77" t="s">
        <v>1133</v>
      </c>
      <c r="P2572" s="79">
        <v>45135.625011574077</v>
      </c>
      <c r="Q2572" s="77" t="s">
        <v>3584</v>
      </c>
      <c r="R2572" s="77">
        <v>0</v>
      </c>
      <c r="S2572" s="77">
        <v>0</v>
      </c>
      <c r="T2572" s="77">
        <v>0</v>
      </c>
      <c r="U2572" s="77">
        <v>0</v>
      </c>
      <c r="V2572" s="77">
        <v>36</v>
      </c>
      <c r="W2572" s="82" t="s">
        <v>5723</v>
      </c>
      <c r="X2572" s="80" t="str">
        <f>HYPERLINK("https://pod.link/1548228653")</f>
        <v>https://pod.link/1548228653</v>
      </c>
      <c r="Y2572" s="77" t="s">
        <v>6110</v>
      </c>
      <c r="Z2572" s="77" t="s">
        <v>1128</v>
      </c>
      <c r="AA2572" s="77" t="s">
        <v>7532</v>
      </c>
      <c r="AB2572" s="77" t="s">
        <v>7697</v>
      </c>
      <c r="AC2572" s="82" t="s">
        <v>7706</v>
      </c>
      <c r="AD2572" s="77" t="s">
        <v>7745</v>
      </c>
      <c r="AE2572" s="80" t="str">
        <f>HYPERLINK("https://twitter.com/papoincerto/status/1684941786261925888")</f>
        <v>https://twitter.com/papoincerto/status/1684941786261925888</v>
      </c>
      <c r="AF2572" s="79">
        <v>45135.625011574077</v>
      </c>
      <c r="AG2572" s="85">
        <v>45135</v>
      </c>
      <c r="AH2572" s="82" t="s">
        <v>10062</v>
      </c>
      <c r="AI2572" s="77" t="b">
        <v>0</v>
      </c>
      <c r="AJ2572" s="77"/>
      <c r="AK2572" s="77"/>
      <c r="AL2572" s="77"/>
      <c r="AM2572" s="77"/>
      <c r="AN2572" s="77"/>
      <c r="AO2572" s="77"/>
      <c r="AP2572" s="77"/>
      <c r="AQ2572" s="77" t="s">
        <v>12038</v>
      </c>
      <c r="AR2572" s="77">
        <v>31305</v>
      </c>
      <c r="AS2572" s="77"/>
      <c r="AT2572" s="77"/>
      <c r="AU2572" s="77">
        <v>8</v>
      </c>
      <c r="AV2572" s="80" t="str">
        <f>HYPERLINK("https://pbs.twimg.com/ext_tw_video_thumb/1684565714005536769/pu/img/4doOkB1WbtsxCeHC.jpg")</f>
        <v>https://pbs.twimg.com/ext_tw_video_thumb/1684565714005536769/pu/img/4doOkB1WbtsxCeHC.jpg</v>
      </c>
      <c r="AW2572" s="82" t="s">
        <v>14727</v>
      </c>
      <c r="AX2572" s="82" t="s">
        <v>14727</v>
      </c>
      <c r="AY2572" s="77"/>
      <c r="AZ2572" s="82" t="s">
        <v>15804</v>
      </c>
      <c r="BA2572" s="82" t="s">
        <v>15804</v>
      </c>
      <c r="BB2572" s="82" t="s">
        <v>15804</v>
      </c>
      <c r="BC2572" s="82" t="s">
        <v>14727</v>
      </c>
      <c r="BD2572" s="82" t="s">
        <v>16568</v>
      </c>
      <c r="BE2572" s="77"/>
      <c r="BF2572" s="77"/>
      <c r="BG2572" s="77"/>
      <c r="BH2572" s="77"/>
      <c r="BI2572" s="77"/>
    </row>
    <row r="2573" spans="1:61" x14ac:dyDescent="0.25">
      <c r="A2573" s="62" t="s">
        <v>986</v>
      </c>
      <c r="B2573" s="62" t="s">
        <v>1128</v>
      </c>
      <c r="C2573" s="63"/>
      <c r="D2573" s="64"/>
      <c r="E2573" s="65"/>
      <c r="F2573" s="66"/>
      <c r="G2573" s="63"/>
      <c r="H2573" s="67"/>
      <c r="I2573" s="68"/>
      <c r="J2573" s="68"/>
      <c r="K2573" s="32"/>
      <c r="L2573" s="75">
        <v>2573</v>
      </c>
      <c r="M2573" s="75"/>
      <c r="N2573" s="70"/>
      <c r="O2573" s="77" t="s">
        <v>1133</v>
      </c>
      <c r="P2573" s="79">
        <v>45134.625011574077</v>
      </c>
      <c r="Q2573" s="77" t="s">
        <v>3585</v>
      </c>
      <c r="R2573" s="77">
        <v>0</v>
      </c>
      <c r="S2573" s="77">
        <v>0</v>
      </c>
      <c r="T2573" s="77">
        <v>0</v>
      </c>
      <c r="U2573" s="77">
        <v>0</v>
      </c>
      <c r="V2573" s="77">
        <v>38</v>
      </c>
      <c r="W2573" s="82" t="s">
        <v>5724</v>
      </c>
      <c r="X2573" s="80" t="str">
        <f>HYPERLINK("https://pod.link/1548228653")</f>
        <v>https://pod.link/1548228653</v>
      </c>
      <c r="Y2573" s="77" t="s">
        <v>6110</v>
      </c>
      <c r="Z2573" s="77" t="s">
        <v>1128</v>
      </c>
      <c r="AA2573" s="77" t="s">
        <v>7533</v>
      </c>
      <c r="AB2573" s="77" t="s">
        <v>7697</v>
      </c>
      <c r="AC2573" s="82" t="s">
        <v>7706</v>
      </c>
      <c r="AD2573" s="77" t="s">
        <v>7745</v>
      </c>
      <c r="AE2573" s="80" t="str">
        <f>HYPERLINK("https://twitter.com/papoincerto/status/1684579401382473728")</f>
        <v>https://twitter.com/papoincerto/status/1684579401382473728</v>
      </c>
      <c r="AF2573" s="79">
        <v>45134.625011574077</v>
      </c>
      <c r="AG2573" s="85">
        <v>45134</v>
      </c>
      <c r="AH2573" s="82" t="s">
        <v>10062</v>
      </c>
      <c r="AI2573" s="77" t="b">
        <v>0</v>
      </c>
      <c r="AJ2573" s="77"/>
      <c r="AK2573" s="77"/>
      <c r="AL2573" s="77"/>
      <c r="AM2573" s="77"/>
      <c r="AN2573" s="77"/>
      <c r="AO2573" s="77"/>
      <c r="AP2573" s="77"/>
      <c r="AQ2573" s="77" t="s">
        <v>12039</v>
      </c>
      <c r="AR2573" s="77">
        <v>43000</v>
      </c>
      <c r="AS2573" s="77"/>
      <c r="AT2573" s="77"/>
      <c r="AU2573" s="77">
        <v>10</v>
      </c>
      <c r="AV2573" s="80" t="str">
        <f>HYPERLINK("https://pbs.twimg.com/ext_tw_video_thumb/1684578010467549188/pu/img/1HYvZEzhyL824Km3.jpg")</f>
        <v>https://pbs.twimg.com/ext_tw_video_thumb/1684578010467549188/pu/img/1HYvZEzhyL824Km3.jpg</v>
      </c>
      <c r="AW2573" s="82" t="s">
        <v>14728</v>
      </c>
      <c r="AX2573" s="82" t="s">
        <v>14728</v>
      </c>
      <c r="AY2573" s="77"/>
      <c r="AZ2573" s="82" t="s">
        <v>15804</v>
      </c>
      <c r="BA2573" s="82" t="s">
        <v>15804</v>
      </c>
      <c r="BB2573" s="82" t="s">
        <v>15804</v>
      </c>
      <c r="BC2573" s="82" t="s">
        <v>14728</v>
      </c>
      <c r="BD2573" s="82" t="s">
        <v>16568</v>
      </c>
      <c r="BE2573" s="77"/>
      <c r="BF2573" s="77"/>
      <c r="BG2573" s="77"/>
      <c r="BH2573" s="77"/>
      <c r="BI2573" s="77"/>
    </row>
    <row r="2574" spans="1:61" x14ac:dyDescent="0.25">
      <c r="A2574" s="62" t="s">
        <v>987</v>
      </c>
      <c r="B2574" s="62" t="s">
        <v>1129</v>
      </c>
      <c r="C2574" s="63"/>
      <c r="D2574" s="64"/>
      <c r="E2574" s="65"/>
      <c r="F2574" s="66"/>
      <c r="G2574" s="63"/>
      <c r="H2574" s="67"/>
      <c r="I2574" s="68"/>
      <c r="J2574" s="68"/>
      <c r="K2574" s="32"/>
      <c r="L2574" s="75">
        <v>2574</v>
      </c>
      <c r="M2574" s="75"/>
      <c r="N2574" s="70"/>
      <c r="O2574" s="77" t="s">
        <v>1133</v>
      </c>
      <c r="P2574" s="79">
        <v>45160.594606481478</v>
      </c>
      <c r="Q2574" s="77" t="s">
        <v>3586</v>
      </c>
      <c r="R2574" s="77">
        <v>0</v>
      </c>
      <c r="S2574" s="77">
        <v>0</v>
      </c>
      <c r="T2574" s="77">
        <v>0</v>
      </c>
      <c r="U2574" s="77">
        <v>0</v>
      </c>
      <c r="V2574" s="77">
        <v>137</v>
      </c>
      <c r="W2574" s="82" t="s">
        <v>5725</v>
      </c>
      <c r="X2574" s="77"/>
      <c r="Y2574" s="77"/>
      <c r="Z2574" s="77" t="s">
        <v>1129</v>
      </c>
      <c r="AA2574" s="77" t="s">
        <v>7534</v>
      </c>
      <c r="AB2574" s="77" t="s">
        <v>7700</v>
      </c>
      <c r="AC2574" s="82" t="s">
        <v>7707</v>
      </c>
      <c r="AD2574" s="77" t="s">
        <v>7745</v>
      </c>
      <c r="AE2574" s="80" t="str">
        <f>HYPERLINK("https://twitter.com/capanema2009/status/1693990463731306906")</f>
        <v>https://twitter.com/capanema2009/status/1693990463731306906</v>
      </c>
      <c r="AF2574" s="79">
        <v>45160.594606481478</v>
      </c>
      <c r="AG2574" s="85">
        <v>45160</v>
      </c>
      <c r="AH2574" s="82" t="s">
        <v>10063</v>
      </c>
      <c r="AI2574" s="77" t="b">
        <v>0</v>
      </c>
      <c r="AJ2574" s="77" t="s">
        <v>10550</v>
      </c>
      <c r="AK2574" s="77" t="s">
        <v>10552</v>
      </c>
      <c r="AL2574" s="77" t="s">
        <v>10555</v>
      </c>
      <c r="AM2574" s="77" t="s">
        <v>10586</v>
      </c>
      <c r="AN2574" s="77" t="s">
        <v>10617</v>
      </c>
      <c r="AO2574" s="77" t="s">
        <v>10647</v>
      </c>
      <c r="AP2574" s="77" t="s">
        <v>10649</v>
      </c>
      <c r="AQ2574" s="77" t="s">
        <v>12040</v>
      </c>
      <c r="AR2574" s="77"/>
      <c r="AS2574" s="77"/>
      <c r="AT2574" s="77"/>
      <c r="AU2574" s="77"/>
      <c r="AV2574" s="80" t="str">
        <f>HYPERLINK("https://pbs.twimg.com/media/F4JDU06bEAEr4xI.jpg")</f>
        <v>https://pbs.twimg.com/media/F4JDU06bEAEr4xI.jpg</v>
      </c>
      <c r="AW2574" s="82" t="s">
        <v>14729</v>
      </c>
      <c r="AX2574" s="82" t="s">
        <v>14729</v>
      </c>
      <c r="AY2574" s="77"/>
      <c r="AZ2574" s="82" t="s">
        <v>15804</v>
      </c>
      <c r="BA2574" s="82" t="s">
        <v>15804</v>
      </c>
      <c r="BB2574" s="82" t="s">
        <v>15804</v>
      </c>
      <c r="BC2574" s="82" t="s">
        <v>14729</v>
      </c>
      <c r="BD2574" s="77">
        <v>46783651</v>
      </c>
      <c r="BE2574" s="77"/>
      <c r="BF2574" s="77"/>
      <c r="BG2574" s="77"/>
      <c r="BH2574" s="77"/>
      <c r="BI2574" s="77"/>
    </row>
    <row r="2575" spans="1:61" x14ac:dyDescent="0.25">
      <c r="A2575" s="62" t="s">
        <v>987</v>
      </c>
      <c r="B2575" s="62" t="s">
        <v>987</v>
      </c>
      <c r="C2575" s="63"/>
      <c r="D2575" s="64"/>
      <c r="E2575" s="65"/>
      <c r="F2575" s="66"/>
      <c r="G2575" s="63"/>
      <c r="H2575" s="67"/>
      <c r="I2575" s="68"/>
      <c r="J2575" s="68"/>
      <c r="K2575" s="32"/>
      <c r="L2575" s="75">
        <v>2575</v>
      </c>
      <c r="M2575" s="75"/>
      <c r="N2575" s="70"/>
      <c r="O2575" s="77" t="s">
        <v>179</v>
      </c>
      <c r="P2575" s="79">
        <v>44986.126226851855</v>
      </c>
      <c r="Q2575" s="77" t="s">
        <v>3587</v>
      </c>
      <c r="R2575" s="77">
        <v>0</v>
      </c>
      <c r="S2575" s="77">
        <v>0</v>
      </c>
      <c r="T2575" s="77">
        <v>0</v>
      </c>
      <c r="U2575" s="77">
        <v>0</v>
      </c>
      <c r="V2575" s="77">
        <v>110</v>
      </c>
      <c r="W2575" s="82" t="s">
        <v>5726</v>
      </c>
      <c r="X2575" s="77"/>
      <c r="Y2575" s="77"/>
      <c r="Z2575" s="77"/>
      <c r="AA2575" s="77" t="s">
        <v>7535</v>
      </c>
      <c r="AB2575" s="77" t="s">
        <v>7700</v>
      </c>
      <c r="AC2575" s="82" t="s">
        <v>7707</v>
      </c>
      <c r="AD2575" s="77" t="s">
        <v>7745</v>
      </c>
      <c r="AE2575" s="80" t="str">
        <f>HYPERLINK("https://twitter.com/capanema2009/status/1630765240374665216")</f>
        <v>https://twitter.com/capanema2009/status/1630765240374665216</v>
      </c>
      <c r="AF2575" s="79">
        <v>44986.126226851855</v>
      </c>
      <c r="AG2575" s="85">
        <v>44986</v>
      </c>
      <c r="AH2575" s="82" t="s">
        <v>10064</v>
      </c>
      <c r="AI2575" s="77" t="b">
        <v>0</v>
      </c>
      <c r="AJ2575" s="77"/>
      <c r="AK2575" s="77"/>
      <c r="AL2575" s="77"/>
      <c r="AM2575" s="77"/>
      <c r="AN2575" s="77"/>
      <c r="AO2575" s="77"/>
      <c r="AP2575" s="77"/>
      <c r="AQ2575" s="77" t="s">
        <v>12041</v>
      </c>
      <c r="AR2575" s="77"/>
      <c r="AS2575" s="77"/>
      <c r="AT2575" s="77"/>
      <c r="AU2575" s="77"/>
      <c r="AV2575" s="80" t="str">
        <f>HYPERLINK("https://pbs.twimg.com/media/FqGkTHZWcAI63Wj.jpg")</f>
        <v>https://pbs.twimg.com/media/FqGkTHZWcAI63Wj.jpg</v>
      </c>
      <c r="AW2575" s="82" t="s">
        <v>14730</v>
      </c>
      <c r="AX2575" s="82" t="s">
        <v>14730</v>
      </c>
      <c r="AY2575" s="77"/>
      <c r="AZ2575" s="82" t="s">
        <v>15804</v>
      </c>
      <c r="BA2575" s="82" t="s">
        <v>15804</v>
      </c>
      <c r="BB2575" s="82" t="s">
        <v>15804</v>
      </c>
      <c r="BC2575" s="82" t="s">
        <v>14730</v>
      </c>
      <c r="BD2575" s="77">
        <v>46783651</v>
      </c>
      <c r="BE2575" s="77"/>
      <c r="BF2575" s="77"/>
      <c r="BG2575" s="77"/>
      <c r="BH2575" s="77"/>
      <c r="BI2575" s="77"/>
    </row>
    <row r="2576" spans="1:61" x14ac:dyDescent="0.25">
      <c r="A2576" s="62" t="s">
        <v>988</v>
      </c>
      <c r="B2576" s="62" t="s">
        <v>988</v>
      </c>
      <c r="C2576" s="63"/>
      <c r="D2576" s="64"/>
      <c r="E2576" s="65"/>
      <c r="F2576" s="66"/>
      <c r="G2576" s="63"/>
      <c r="H2576" s="67"/>
      <c r="I2576" s="68"/>
      <c r="J2576" s="68"/>
      <c r="K2576" s="32"/>
      <c r="L2576" s="75">
        <v>2576</v>
      </c>
      <c r="M2576" s="75"/>
      <c r="N2576" s="70"/>
      <c r="O2576" s="77" t="s">
        <v>179</v>
      </c>
      <c r="P2576" s="79">
        <v>45048.873506944445</v>
      </c>
      <c r="Q2576" s="77" t="s">
        <v>3588</v>
      </c>
      <c r="R2576" s="77">
        <v>0</v>
      </c>
      <c r="S2576" s="77">
        <v>1</v>
      </c>
      <c r="T2576" s="77">
        <v>0</v>
      </c>
      <c r="U2576" s="77">
        <v>0</v>
      </c>
      <c r="V2576" s="77">
        <v>13</v>
      </c>
      <c r="W2576" s="82" t="s">
        <v>5727</v>
      </c>
      <c r="X2576" s="77"/>
      <c r="Y2576" s="77"/>
      <c r="Z2576" s="77"/>
      <c r="AA2576" s="77" t="s">
        <v>7536</v>
      </c>
      <c r="AB2576" s="77" t="s">
        <v>7696</v>
      </c>
      <c r="AC2576" s="82" t="s">
        <v>7723</v>
      </c>
      <c r="AD2576" s="77" t="s">
        <v>7745</v>
      </c>
      <c r="AE2576" s="80" t="str">
        <f>HYPERLINK("https://twitter.com/padraojuridico/status/1653504095481745429")</f>
        <v>https://twitter.com/padraojuridico/status/1653504095481745429</v>
      </c>
      <c r="AF2576" s="79">
        <v>45048.873506944445</v>
      </c>
      <c r="AG2576" s="85">
        <v>45048</v>
      </c>
      <c r="AH2576" s="82" t="s">
        <v>10065</v>
      </c>
      <c r="AI2576" s="77" t="b">
        <v>0</v>
      </c>
      <c r="AJ2576" s="77"/>
      <c r="AK2576" s="77"/>
      <c r="AL2576" s="77"/>
      <c r="AM2576" s="77"/>
      <c r="AN2576" s="77"/>
      <c r="AO2576" s="77"/>
      <c r="AP2576" s="77"/>
      <c r="AQ2576" s="77" t="s">
        <v>12042</v>
      </c>
      <c r="AR2576" s="77"/>
      <c r="AS2576" s="77"/>
      <c r="AT2576" s="77"/>
      <c r="AU2576" s="77"/>
      <c r="AV2576" s="80" t="str">
        <f>HYPERLINK("https://pbs.twimg.com/media/FvJtNm2X0AwC-bk.jpg")</f>
        <v>https://pbs.twimg.com/media/FvJtNm2X0AwC-bk.jpg</v>
      </c>
      <c r="AW2576" s="82" t="s">
        <v>14731</v>
      </c>
      <c r="AX2576" s="82" t="s">
        <v>14731</v>
      </c>
      <c r="AY2576" s="77"/>
      <c r="AZ2576" s="82" t="s">
        <v>15804</v>
      </c>
      <c r="BA2576" s="82" t="s">
        <v>15804</v>
      </c>
      <c r="BB2576" s="82" t="s">
        <v>15804</v>
      </c>
      <c r="BC2576" s="82" t="s">
        <v>14731</v>
      </c>
      <c r="BD2576" s="82" t="s">
        <v>16569</v>
      </c>
      <c r="BE2576" s="77"/>
      <c r="BF2576" s="77"/>
      <c r="BG2576" s="77"/>
      <c r="BH2576" s="77"/>
      <c r="BI2576" s="77"/>
    </row>
    <row r="2577" spans="1:61" x14ac:dyDescent="0.25">
      <c r="A2577" s="62" t="s">
        <v>989</v>
      </c>
      <c r="B2577" s="62" t="s">
        <v>989</v>
      </c>
      <c r="C2577" s="63"/>
      <c r="D2577" s="64"/>
      <c r="E2577" s="65"/>
      <c r="F2577" s="66"/>
      <c r="G2577" s="63"/>
      <c r="H2577" s="67"/>
      <c r="I2577" s="68"/>
      <c r="J2577" s="68"/>
      <c r="K2577" s="32"/>
      <c r="L2577" s="75">
        <v>2577</v>
      </c>
      <c r="M2577" s="75"/>
      <c r="N2577" s="70"/>
      <c r="O2577" s="77" t="s">
        <v>179</v>
      </c>
      <c r="P2577" s="79">
        <v>45054.643113425926</v>
      </c>
      <c r="Q2577" s="77" t="s">
        <v>3589</v>
      </c>
      <c r="R2577" s="77">
        <v>0</v>
      </c>
      <c r="S2577" s="77">
        <v>0</v>
      </c>
      <c r="T2577" s="77">
        <v>0</v>
      </c>
      <c r="U2577" s="77">
        <v>0</v>
      </c>
      <c r="V2577" s="77">
        <v>14</v>
      </c>
      <c r="W2577" s="82" t="s">
        <v>5728</v>
      </c>
      <c r="X2577" s="80" t="str">
        <f>HYPERLINK("https://economiacomportamental.com.br/artigos-sobre-planejamento-financeiro/tesouro-renda-planejamento-aposentadoria/")</f>
        <v>https://economiacomportamental.com.br/artigos-sobre-planejamento-financeiro/tesouro-renda-planejamento-aposentadoria/</v>
      </c>
      <c r="Y2577" s="77" t="s">
        <v>6002</v>
      </c>
      <c r="Z2577" s="77"/>
      <c r="AA2577" s="77"/>
      <c r="AB2577" s="77"/>
      <c r="AC2577" s="82" t="s">
        <v>7706</v>
      </c>
      <c r="AD2577" s="77" t="s">
        <v>7745</v>
      </c>
      <c r="AE2577" s="80" t="str">
        <f>HYPERLINK("https://twitter.com/ecomportamental/status/1655594929417011200")</f>
        <v>https://twitter.com/ecomportamental/status/1655594929417011200</v>
      </c>
      <c r="AF2577" s="79">
        <v>45054.643113425926</v>
      </c>
      <c r="AG2577" s="85">
        <v>45054</v>
      </c>
      <c r="AH2577" s="82" t="s">
        <v>10066</v>
      </c>
      <c r="AI2577" s="77" t="b">
        <v>0</v>
      </c>
      <c r="AJ2577" s="77"/>
      <c r="AK2577" s="77"/>
      <c r="AL2577" s="77"/>
      <c r="AM2577" s="77"/>
      <c r="AN2577" s="77"/>
      <c r="AO2577" s="77"/>
      <c r="AP2577" s="77"/>
      <c r="AQ2577" s="77"/>
      <c r="AR2577" s="77"/>
      <c r="AS2577" s="77"/>
      <c r="AT2577" s="77"/>
      <c r="AU2577" s="77"/>
      <c r="AV2577" s="80" t="str">
        <f>HYPERLINK("https://pbs.twimg.com/profile_images/1302372567244832769/9n-8d4BV_normal.jpg")</f>
        <v>https://pbs.twimg.com/profile_images/1302372567244832769/9n-8d4BV_normal.jpg</v>
      </c>
      <c r="AW2577" s="82" t="s">
        <v>14732</v>
      </c>
      <c r="AX2577" s="82" t="s">
        <v>14732</v>
      </c>
      <c r="AY2577" s="77"/>
      <c r="AZ2577" s="82" t="s">
        <v>15804</v>
      </c>
      <c r="BA2577" s="82" t="s">
        <v>15804</v>
      </c>
      <c r="BB2577" s="82" t="s">
        <v>15804</v>
      </c>
      <c r="BC2577" s="82" t="s">
        <v>14732</v>
      </c>
      <c r="BD2577" s="77">
        <v>155400233</v>
      </c>
      <c r="BE2577" s="77"/>
      <c r="BF2577" s="77"/>
      <c r="BG2577" s="77"/>
      <c r="BH2577" s="77"/>
      <c r="BI2577" s="77"/>
    </row>
    <row r="2578" spans="1:61" x14ac:dyDescent="0.25">
      <c r="A2578" s="62" t="s">
        <v>990</v>
      </c>
      <c r="B2578" s="62" t="s">
        <v>990</v>
      </c>
      <c r="C2578" s="63"/>
      <c r="D2578" s="64"/>
      <c r="E2578" s="65"/>
      <c r="F2578" s="66"/>
      <c r="G2578" s="63"/>
      <c r="H2578" s="67"/>
      <c r="I2578" s="68"/>
      <c r="J2578" s="68"/>
      <c r="K2578" s="32"/>
      <c r="L2578" s="75">
        <v>2578</v>
      </c>
      <c r="M2578" s="75"/>
      <c r="N2578" s="70"/>
      <c r="O2578" s="77" t="s">
        <v>179</v>
      </c>
      <c r="P2578" s="79">
        <v>45128.590277777781</v>
      </c>
      <c r="Q2578" s="77" t="s">
        <v>3590</v>
      </c>
      <c r="R2578" s="77">
        <v>0</v>
      </c>
      <c r="S2578" s="77">
        <v>0</v>
      </c>
      <c r="T2578" s="77">
        <v>0</v>
      </c>
      <c r="U2578" s="77">
        <v>0</v>
      </c>
      <c r="V2578" s="77">
        <v>51</v>
      </c>
      <c r="W2578" s="82" t="s">
        <v>5729</v>
      </c>
      <c r="X2578" s="77"/>
      <c r="Y2578" s="77"/>
      <c r="Z2578" s="77"/>
      <c r="AA2578" s="77" t="s">
        <v>7537</v>
      </c>
      <c r="AB2578" s="77" t="s">
        <v>7697</v>
      </c>
      <c r="AC2578" s="82" t="s">
        <v>7705</v>
      </c>
      <c r="AD2578" s="77" t="s">
        <v>7745</v>
      </c>
      <c r="AE2578" s="80" t="str">
        <f>HYPERLINK("https://twitter.com/mrochagestor/status/1682392485098561538")</f>
        <v>https://twitter.com/mrochagestor/status/1682392485098561538</v>
      </c>
      <c r="AF2578" s="79">
        <v>45128.590277777781</v>
      </c>
      <c r="AG2578" s="85">
        <v>45128</v>
      </c>
      <c r="AH2578" s="82" t="s">
        <v>10067</v>
      </c>
      <c r="AI2578" s="77" t="b">
        <v>0</v>
      </c>
      <c r="AJ2578" s="77"/>
      <c r="AK2578" s="77"/>
      <c r="AL2578" s="77"/>
      <c r="AM2578" s="77"/>
      <c r="AN2578" s="77"/>
      <c r="AO2578" s="77"/>
      <c r="AP2578" s="77"/>
      <c r="AQ2578" s="77" t="s">
        <v>12043</v>
      </c>
      <c r="AR2578" s="77">
        <v>59403</v>
      </c>
      <c r="AS2578" s="77"/>
      <c r="AT2578" s="77"/>
      <c r="AU2578" s="77">
        <v>13</v>
      </c>
      <c r="AV2578" s="80" t="str">
        <f>HYPERLINK("https://pbs.twimg.com/amplify_video_thumb/1682392379901313024/img/mDzOaVq4eAZ_GEgH.jpg")</f>
        <v>https://pbs.twimg.com/amplify_video_thumb/1682392379901313024/img/mDzOaVq4eAZ_GEgH.jpg</v>
      </c>
      <c r="AW2578" s="82" t="s">
        <v>14733</v>
      </c>
      <c r="AX2578" s="82" t="s">
        <v>14733</v>
      </c>
      <c r="AY2578" s="77"/>
      <c r="AZ2578" s="82" t="s">
        <v>15804</v>
      </c>
      <c r="BA2578" s="82" t="s">
        <v>15804</v>
      </c>
      <c r="BB2578" s="82" t="s">
        <v>15804</v>
      </c>
      <c r="BC2578" s="82" t="s">
        <v>14733</v>
      </c>
      <c r="BD2578" s="77">
        <v>57925869</v>
      </c>
      <c r="BE2578" s="77"/>
      <c r="BF2578" s="77"/>
      <c r="BG2578" s="77"/>
      <c r="BH2578" s="77"/>
      <c r="BI2578" s="77"/>
    </row>
    <row r="2579" spans="1:61" x14ac:dyDescent="0.25">
      <c r="A2579" s="62" t="s">
        <v>991</v>
      </c>
      <c r="B2579" s="62" t="s">
        <v>991</v>
      </c>
      <c r="C2579" s="63"/>
      <c r="D2579" s="64"/>
      <c r="E2579" s="65"/>
      <c r="F2579" s="66"/>
      <c r="G2579" s="63"/>
      <c r="H2579" s="67"/>
      <c r="I2579" s="68"/>
      <c r="J2579" s="68"/>
      <c r="K2579" s="32"/>
      <c r="L2579" s="75">
        <v>2579</v>
      </c>
      <c r="M2579" s="75"/>
      <c r="N2579" s="70"/>
      <c r="O2579" s="77" t="s">
        <v>1132</v>
      </c>
      <c r="P2579" s="79">
        <v>45178.896099537036</v>
      </c>
      <c r="Q2579" s="77" t="s">
        <v>3591</v>
      </c>
      <c r="R2579" s="77">
        <v>0</v>
      </c>
      <c r="S2579" s="77">
        <v>3</v>
      </c>
      <c r="T2579" s="77">
        <v>0</v>
      </c>
      <c r="U2579" s="77">
        <v>0</v>
      </c>
      <c r="V2579" s="77">
        <v>29</v>
      </c>
      <c r="W2579" s="82" t="s">
        <v>5730</v>
      </c>
      <c r="X2579" s="77"/>
      <c r="Y2579" s="77"/>
      <c r="Z2579" s="77"/>
      <c r="AA2579" s="77"/>
      <c r="AB2579" s="77"/>
      <c r="AC2579" s="82" t="s">
        <v>7706</v>
      </c>
      <c r="AD2579" s="77" t="s">
        <v>7745</v>
      </c>
      <c r="AE2579" s="80" t="str">
        <f>HYPERLINK("https://twitter.com/cryptosight_/status/1700622704087355485")</f>
        <v>https://twitter.com/cryptosight_/status/1700622704087355485</v>
      </c>
      <c r="AF2579" s="79">
        <v>45178.896099537036</v>
      </c>
      <c r="AG2579" s="85">
        <v>45178</v>
      </c>
      <c r="AH2579" s="82" t="s">
        <v>10068</v>
      </c>
      <c r="AI2579" s="77"/>
      <c r="AJ2579" s="77"/>
      <c r="AK2579" s="77"/>
      <c r="AL2579" s="77"/>
      <c r="AM2579" s="77"/>
      <c r="AN2579" s="77"/>
      <c r="AO2579" s="77"/>
      <c r="AP2579" s="77"/>
      <c r="AQ2579" s="77"/>
      <c r="AR2579" s="77"/>
      <c r="AS2579" s="77"/>
      <c r="AT2579" s="77"/>
      <c r="AU2579" s="77"/>
      <c r="AV2579" s="80" t="str">
        <f>HYPERLINK("https://pbs.twimg.com/profile_images/1688201285768515586/kba2JDkJ_normal.jpg")</f>
        <v>https://pbs.twimg.com/profile_images/1688201285768515586/kba2JDkJ_normal.jpg</v>
      </c>
      <c r="AW2579" s="82" t="s">
        <v>14734</v>
      </c>
      <c r="AX2579" s="82" t="s">
        <v>15617</v>
      </c>
      <c r="AY2579" s="82" t="s">
        <v>15796</v>
      </c>
      <c r="AZ2579" s="82" t="s">
        <v>16129</v>
      </c>
      <c r="BA2579" s="82" t="s">
        <v>15804</v>
      </c>
      <c r="BB2579" s="82" t="s">
        <v>15804</v>
      </c>
      <c r="BC2579" s="82" t="s">
        <v>16129</v>
      </c>
      <c r="BD2579" s="82" t="s">
        <v>15796</v>
      </c>
      <c r="BE2579" s="77"/>
      <c r="BF2579" s="77"/>
      <c r="BG2579" s="77"/>
      <c r="BH2579" s="77"/>
      <c r="BI2579" s="77"/>
    </row>
    <row r="2580" spans="1:61" x14ac:dyDescent="0.25">
      <c r="A2580" s="62" t="s">
        <v>992</v>
      </c>
      <c r="B2580" s="62" t="s">
        <v>992</v>
      </c>
      <c r="C2580" s="63"/>
      <c r="D2580" s="64"/>
      <c r="E2580" s="65"/>
      <c r="F2580" s="66"/>
      <c r="G2580" s="63"/>
      <c r="H2580" s="67"/>
      <c r="I2580" s="68"/>
      <c r="J2580" s="68"/>
      <c r="K2580" s="32"/>
      <c r="L2580" s="75">
        <v>2580</v>
      </c>
      <c r="M2580" s="75"/>
      <c r="N2580" s="70"/>
      <c r="O2580" s="77" t="s">
        <v>179</v>
      </c>
      <c r="P2580" s="79">
        <v>44973.669027777774</v>
      </c>
      <c r="Q2580" s="77" t="s">
        <v>3592</v>
      </c>
      <c r="R2580" s="77">
        <v>1</v>
      </c>
      <c r="S2580" s="77">
        <v>1</v>
      </c>
      <c r="T2580" s="77">
        <v>0</v>
      </c>
      <c r="U2580" s="77">
        <v>0</v>
      </c>
      <c r="V2580" s="77">
        <v>19</v>
      </c>
      <c r="W2580" s="82" t="s">
        <v>5731</v>
      </c>
      <c r="X2580" s="77"/>
      <c r="Y2580" s="77"/>
      <c r="Z2580" s="77"/>
      <c r="AA2580" s="77" t="s">
        <v>7538</v>
      </c>
      <c r="AB2580" s="77" t="s">
        <v>7696</v>
      </c>
      <c r="AC2580" s="82" t="s">
        <v>7716</v>
      </c>
      <c r="AD2580" s="77" t="s">
        <v>7745</v>
      </c>
      <c r="AE2580" s="80" t="str">
        <f>HYPERLINK("https://twitter.com/gvncorretores/status/1626250903282933760")</f>
        <v>https://twitter.com/gvncorretores/status/1626250903282933760</v>
      </c>
      <c r="AF2580" s="79">
        <v>44973.669027777774</v>
      </c>
      <c r="AG2580" s="85">
        <v>44973</v>
      </c>
      <c r="AH2580" s="82" t="s">
        <v>10069</v>
      </c>
      <c r="AI2580" s="77" t="b">
        <v>0</v>
      </c>
      <c r="AJ2580" s="77"/>
      <c r="AK2580" s="77"/>
      <c r="AL2580" s="77"/>
      <c r="AM2580" s="77"/>
      <c r="AN2580" s="77"/>
      <c r="AO2580" s="77"/>
      <c r="AP2580" s="77"/>
      <c r="AQ2580" s="77" t="s">
        <v>12044</v>
      </c>
      <c r="AR2580" s="77"/>
      <c r="AS2580" s="77"/>
      <c r="AT2580" s="77"/>
      <c r="AU2580" s="77"/>
      <c r="AV2580" s="80" t="str">
        <f>HYPERLINK("https://pbs.twimg.com/media/FpGak2WaYAIkM-B.jpg")</f>
        <v>https://pbs.twimg.com/media/FpGak2WaYAIkM-B.jpg</v>
      </c>
      <c r="AW2580" s="82" t="s">
        <v>14735</v>
      </c>
      <c r="AX2580" s="82" t="s">
        <v>14735</v>
      </c>
      <c r="AY2580" s="77"/>
      <c r="AZ2580" s="82" t="s">
        <v>15804</v>
      </c>
      <c r="BA2580" s="82" t="s">
        <v>15804</v>
      </c>
      <c r="BB2580" s="82" t="s">
        <v>15804</v>
      </c>
      <c r="BC2580" s="82" t="s">
        <v>14735</v>
      </c>
      <c r="BD2580" s="82" t="s">
        <v>16570</v>
      </c>
      <c r="BE2580" s="77"/>
      <c r="BF2580" s="77"/>
      <c r="BG2580" s="77"/>
      <c r="BH2580" s="77"/>
      <c r="BI2580" s="77"/>
    </row>
    <row r="2581" spans="1:61" x14ac:dyDescent="0.25">
      <c r="A2581" s="62" t="s">
        <v>992</v>
      </c>
      <c r="B2581" s="62" t="s">
        <v>992</v>
      </c>
      <c r="C2581" s="63"/>
      <c r="D2581" s="64"/>
      <c r="E2581" s="65"/>
      <c r="F2581" s="66"/>
      <c r="G2581" s="63"/>
      <c r="H2581" s="67"/>
      <c r="I2581" s="68"/>
      <c r="J2581" s="68"/>
      <c r="K2581" s="32"/>
      <c r="L2581" s="75">
        <v>2581</v>
      </c>
      <c r="M2581" s="75"/>
      <c r="N2581" s="70"/>
      <c r="O2581" s="77" t="s">
        <v>179</v>
      </c>
      <c r="P2581" s="79">
        <v>44973.565138888887</v>
      </c>
      <c r="Q2581" s="77" t="s">
        <v>3593</v>
      </c>
      <c r="R2581" s="77">
        <v>0</v>
      </c>
      <c r="S2581" s="77">
        <v>0</v>
      </c>
      <c r="T2581" s="77">
        <v>0</v>
      </c>
      <c r="U2581" s="77">
        <v>0</v>
      </c>
      <c r="V2581" s="77">
        <v>6</v>
      </c>
      <c r="W2581" s="82" t="s">
        <v>5731</v>
      </c>
      <c r="X2581" s="77"/>
      <c r="Y2581" s="77"/>
      <c r="Z2581" s="77"/>
      <c r="AA2581" s="77" t="s">
        <v>7539</v>
      </c>
      <c r="AB2581" s="77" t="s">
        <v>7696</v>
      </c>
      <c r="AC2581" s="82" t="s">
        <v>7716</v>
      </c>
      <c r="AD2581" s="77" t="s">
        <v>7745</v>
      </c>
      <c r="AE2581" s="80" t="str">
        <f>HYPERLINK("https://twitter.com/gvncorretores/status/1626213254635847681")</f>
        <v>https://twitter.com/gvncorretores/status/1626213254635847681</v>
      </c>
      <c r="AF2581" s="79">
        <v>44973.565138888887</v>
      </c>
      <c r="AG2581" s="85">
        <v>44973</v>
      </c>
      <c r="AH2581" s="82" t="s">
        <v>10070</v>
      </c>
      <c r="AI2581" s="77" t="b">
        <v>0</v>
      </c>
      <c r="AJ2581" s="77"/>
      <c r="AK2581" s="77"/>
      <c r="AL2581" s="77"/>
      <c r="AM2581" s="77"/>
      <c r="AN2581" s="77"/>
      <c r="AO2581" s="77"/>
      <c r="AP2581" s="77"/>
      <c r="AQ2581" s="77" t="s">
        <v>12045</v>
      </c>
      <c r="AR2581" s="77"/>
      <c r="AS2581" s="77"/>
      <c r="AT2581" s="77"/>
      <c r="AU2581" s="77"/>
      <c r="AV2581" s="80" t="str">
        <f>HYPERLINK("https://pbs.twimg.com/media/FpF4VWuaYAERDqf.jpg")</f>
        <v>https://pbs.twimg.com/media/FpF4VWuaYAERDqf.jpg</v>
      </c>
      <c r="AW2581" s="82" t="s">
        <v>14736</v>
      </c>
      <c r="AX2581" s="82" t="s">
        <v>14736</v>
      </c>
      <c r="AY2581" s="77"/>
      <c r="AZ2581" s="82" t="s">
        <v>15804</v>
      </c>
      <c r="BA2581" s="82" t="s">
        <v>15804</v>
      </c>
      <c r="BB2581" s="82" t="s">
        <v>15804</v>
      </c>
      <c r="BC2581" s="82" t="s">
        <v>14736</v>
      </c>
      <c r="BD2581" s="82" t="s">
        <v>16570</v>
      </c>
      <c r="BE2581" s="77"/>
      <c r="BF2581" s="77"/>
      <c r="BG2581" s="77"/>
      <c r="BH2581" s="77"/>
      <c r="BI2581" s="77"/>
    </row>
    <row r="2582" spans="1:61" x14ac:dyDescent="0.25">
      <c r="A2582" s="62" t="s">
        <v>992</v>
      </c>
      <c r="B2582" s="62" t="s">
        <v>992</v>
      </c>
      <c r="C2582" s="63"/>
      <c r="D2582" s="64"/>
      <c r="E2582" s="65"/>
      <c r="F2582" s="66"/>
      <c r="G2582" s="63"/>
      <c r="H2582" s="67"/>
      <c r="I2582" s="68"/>
      <c r="J2582" s="68"/>
      <c r="K2582" s="32"/>
      <c r="L2582" s="75">
        <v>2582</v>
      </c>
      <c r="M2582" s="75"/>
      <c r="N2582" s="70"/>
      <c r="O2582" s="77" t="s">
        <v>179</v>
      </c>
      <c r="P2582" s="79">
        <v>44991.707812499997</v>
      </c>
      <c r="Q2582" s="77" t="s">
        <v>3594</v>
      </c>
      <c r="R2582" s="77">
        <v>1</v>
      </c>
      <c r="S2582" s="77">
        <v>1</v>
      </c>
      <c r="T2582" s="77">
        <v>0</v>
      </c>
      <c r="U2582" s="77">
        <v>0</v>
      </c>
      <c r="V2582" s="77">
        <v>36</v>
      </c>
      <c r="W2582" s="82" t="s">
        <v>5731</v>
      </c>
      <c r="X2582" s="77"/>
      <c r="Y2582" s="77"/>
      <c r="Z2582" s="77"/>
      <c r="AA2582" s="77" t="s">
        <v>7540</v>
      </c>
      <c r="AB2582" s="77" t="s">
        <v>7696</v>
      </c>
      <c r="AC2582" s="82" t="s">
        <v>7716</v>
      </c>
      <c r="AD2582" s="77" t="s">
        <v>7745</v>
      </c>
      <c r="AE2582" s="80" t="str">
        <f>HYPERLINK("https://twitter.com/gvncorretores/status/1632787941582929922")</f>
        <v>https://twitter.com/gvncorretores/status/1632787941582929922</v>
      </c>
      <c r="AF2582" s="79">
        <v>44991.707812499997</v>
      </c>
      <c r="AG2582" s="85">
        <v>44991</v>
      </c>
      <c r="AH2582" s="82" t="s">
        <v>10071</v>
      </c>
      <c r="AI2582" s="77" t="b">
        <v>0</v>
      </c>
      <c r="AJ2582" s="77"/>
      <c r="AK2582" s="77"/>
      <c r="AL2582" s="77"/>
      <c r="AM2582" s="77"/>
      <c r="AN2582" s="77"/>
      <c r="AO2582" s="77"/>
      <c r="AP2582" s="77"/>
      <c r="AQ2582" s="77" t="s">
        <v>12046</v>
      </c>
      <c r="AR2582" s="77"/>
      <c r="AS2582" s="77"/>
      <c r="AT2582" s="77"/>
      <c r="AU2582" s="77"/>
      <c r="AV2582" s="80" t="str">
        <f>HYPERLINK("https://pbs.twimg.com/media/FqjT-wBXwAADoUp.jpg")</f>
        <v>https://pbs.twimg.com/media/FqjT-wBXwAADoUp.jpg</v>
      </c>
      <c r="AW2582" s="82" t="s">
        <v>14737</v>
      </c>
      <c r="AX2582" s="82" t="s">
        <v>14737</v>
      </c>
      <c r="AY2582" s="77"/>
      <c r="AZ2582" s="82" t="s">
        <v>15804</v>
      </c>
      <c r="BA2582" s="82" t="s">
        <v>15804</v>
      </c>
      <c r="BB2582" s="82" t="s">
        <v>15804</v>
      </c>
      <c r="BC2582" s="82" t="s">
        <v>14737</v>
      </c>
      <c r="BD2582" s="82" t="s">
        <v>16570</v>
      </c>
      <c r="BE2582" s="77"/>
      <c r="BF2582" s="77"/>
      <c r="BG2582" s="77"/>
      <c r="BH2582" s="77"/>
      <c r="BI2582" s="77"/>
    </row>
    <row r="2583" spans="1:61" x14ac:dyDescent="0.25">
      <c r="A2583" s="62" t="s">
        <v>992</v>
      </c>
      <c r="B2583" s="62" t="s">
        <v>992</v>
      </c>
      <c r="C2583" s="63"/>
      <c r="D2583" s="64"/>
      <c r="E2583" s="65"/>
      <c r="F2583" s="66"/>
      <c r="G2583" s="63"/>
      <c r="H2583" s="67"/>
      <c r="I2583" s="68"/>
      <c r="J2583" s="68"/>
      <c r="K2583" s="32"/>
      <c r="L2583" s="75">
        <v>2583</v>
      </c>
      <c r="M2583" s="75"/>
      <c r="N2583" s="70"/>
      <c r="O2583" s="77" t="s">
        <v>179</v>
      </c>
      <c r="P2583" s="79">
        <v>44988.534178240741</v>
      </c>
      <c r="Q2583" s="77" t="s">
        <v>3595</v>
      </c>
      <c r="R2583" s="77">
        <v>0</v>
      </c>
      <c r="S2583" s="77">
        <v>0</v>
      </c>
      <c r="T2583" s="77">
        <v>0</v>
      </c>
      <c r="U2583" s="77">
        <v>0</v>
      </c>
      <c r="V2583" s="77">
        <v>20</v>
      </c>
      <c r="W2583" s="82" t="s">
        <v>5731</v>
      </c>
      <c r="X2583" s="77"/>
      <c r="Y2583" s="77"/>
      <c r="Z2583" s="77"/>
      <c r="AA2583" s="77" t="s">
        <v>7541</v>
      </c>
      <c r="AB2583" s="77" t="s">
        <v>7696</v>
      </c>
      <c r="AC2583" s="82" t="s">
        <v>7716</v>
      </c>
      <c r="AD2583" s="77" t="s">
        <v>7745</v>
      </c>
      <c r="AE2583" s="80" t="str">
        <f>HYPERLINK("https://twitter.com/gvncorretores/status/1631637855456882688")</f>
        <v>https://twitter.com/gvncorretores/status/1631637855456882688</v>
      </c>
      <c r="AF2583" s="79">
        <v>44988.534178240741</v>
      </c>
      <c r="AG2583" s="85">
        <v>44988</v>
      </c>
      <c r="AH2583" s="82" t="s">
        <v>10072</v>
      </c>
      <c r="AI2583" s="77" t="b">
        <v>0</v>
      </c>
      <c r="AJ2583" s="77"/>
      <c r="AK2583" s="77"/>
      <c r="AL2583" s="77"/>
      <c r="AM2583" s="77"/>
      <c r="AN2583" s="77"/>
      <c r="AO2583" s="77"/>
      <c r="AP2583" s="77"/>
      <c r="AQ2583" s="77" t="s">
        <v>12047</v>
      </c>
      <c r="AR2583" s="77"/>
      <c r="AS2583" s="77"/>
      <c r="AT2583" s="77"/>
      <c r="AU2583" s="77"/>
      <c r="AV2583" s="80" t="str">
        <f>HYPERLINK("https://pbs.twimg.com/media/FqS9-4oWAAQpXep.jpg")</f>
        <v>https://pbs.twimg.com/media/FqS9-4oWAAQpXep.jpg</v>
      </c>
      <c r="AW2583" s="82" t="s">
        <v>14738</v>
      </c>
      <c r="AX2583" s="82" t="s">
        <v>14738</v>
      </c>
      <c r="AY2583" s="77"/>
      <c r="AZ2583" s="82" t="s">
        <v>15804</v>
      </c>
      <c r="BA2583" s="82" t="s">
        <v>15804</v>
      </c>
      <c r="BB2583" s="82" t="s">
        <v>15804</v>
      </c>
      <c r="BC2583" s="82" t="s">
        <v>14738</v>
      </c>
      <c r="BD2583" s="82" t="s">
        <v>16570</v>
      </c>
      <c r="BE2583" s="77"/>
      <c r="BF2583" s="77"/>
      <c r="BG2583" s="77"/>
      <c r="BH2583" s="77"/>
      <c r="BI2583" s="77"/>
    </row>
    <row r="2584" spans="1:61" x14ac:dyDescent="0.25">
      <c r="A2584" s="62" t="s">
        <v>992</v>
      </c>
      <c r="B2584" s="62" t="s">
        <v>992</v>
      </c>
      <c r="C2584" s="63"/>
      <c r="D2584" s="64"/>
      <c r="E2584" s="65"/>
      <c r="F2584" s="66"/>
      <c r="G2584" s="63"/>
      <c r="H2584" s="67"/>
      <c r="I2584" s="68"/>
      <c r="J2584" s="68"/>
      <c r="K2584" s="32"/>
      <c r="L2584" s="75">
        <v>2584</v>
      </c>
      <c r="M2584" s="75"/>
      <c r="N2584" s="70"/>
      <c r="O2584" s="77" t="s">
        <v>179</v>
      </c>
      <c r="P2584" s="79">
        <v>44986.787638888891</v>
      </c>
      <c r="Q2584" s="77" t="s">
        <v>3596</v>
      </c>
      <c r="R2584" s="77">
        <v>0</v>
      </c>
      <c r="S2584" s="77">
        <v>0</v>
      </c>
      <c r="T2584" s="77">
        <v>0</v>
      </c>
      <c r="U2584" s="77">
        <v>0</v>
      </c>
      <c r="V2584" s="77">
        <v>11</v>
      </c>
      <c r="W2584" s="82" t="s">
        <v>5731</v>
      </c>
      <c r="X2584" s="77"/>
      <c r="Y2584" s="77"/>
      <c r="Z2584" s="77"/>
      <c r="AA2584" s="77" t="s">
        <v>7542</v>
      </c>
      <c r="AB2584" s="77" t="s">
        <v>7696</v>
      </c>
      <c r="AC2584" s="82" t="s">
        <v>7716</v>
      </c>
      <c r="AD2584" s="77" t="s">
        <v>7745</v>
      </c>
      <c r="AE2584" s="80" t="str">
        <f>HYPERLINK("https://twitter.com/gvncorretores/status/1631004931451748353")</f>
        <v>https://twitter.com/gvncorretores/status/1631004931451748353</v>
      </c>
      <c r="AF2584" s="79">
        <v>44986.787638888891</v>
      </c>
      <c r="AG2584" s="85">
        <v>44986</v>
      </c>
      <c r="AH2584" s="82" t="s">
        <v>10073</v>
      </c>
      <c r="AI2584" s="77" t="b">
        <v>0</v>
      </c>
      <c r="AJ2584" s="77"/>
      <c r="AK2584" s="77"/>
      <c r="AL2584" s="77"/>
      <c r="AM2584" s="77"/>
      <c r="AN2584" s="77"/>
      <c r="AO2584" s="77"/>
      <c r="AP2584" s="77"/>
      <c r="AQ2584" s="77" t="s">
        <v>12048</v>
      </c>
      <c r="AR2584" s="77"/>
      <c r="AS2584" s="77"/>
      <c r="AT2584" s="77"/>
      <c r="AU2584" s="77"/>
      <c r="AV2584" s="80" t="str">
        <f>HYPERLINK("https://pbs.twimg.com/media/FqJ-V1gXgAorY7l.jpg")</f>
        <v>https://pbs.twimg.com/media/FqJ-V1gXgAorY7l.jpg</v>
      </c>
      <c r="AW2584" s="82" t="s">
        <v>14739</v>
      </c>
      <c r="AX2584" s="82" t="s">
        <v>14739</v>
      </c>
      <c r="AY2584" s="77"/>
      <c r="AZ2584" s="82" t="s">
        <v>15804</v>
      </c>
      <c r="BA2584" s="82" t="s">
        <v>15804</v>
      </c>
      <c r="BB2584" s="82" t="s">
        <v>15804</v>
      </c>
      <c r="BC2584" s="82" t="s">
        <v>14739</v>
      </c>
      <c r="BD2584" s="82" t="s">
        <v>16570</v>
      </c>
      <c r="BE2584" s="77"/>
      <c r="BF2584" s="77"/>
      <c r="BG2584" s="77"/>
      <c r="BH2584" s="77"/>
      <c r="BI2584" s="77"/>
    </row>
    <row r="2585" spans="1:61" x14ac:dyDescent="0.25">
      <c r="A2585" s="62" t="s">
        <v>992</v>
      </c>
      <c r="B2585" s="62" t="s">
        <v>992</v>
      </c>
      <c r="C2585" s="63"/>
      <c r="D2585" s="64"/>
      <c r="E2585" s="65"/>
      <c r="F2585" s="66"/>
      <c r="G2585" s="63"/>
      <c r="H2585" s="67"/>
      <c r="I2585" s="68"/>
      <c r="J2585" s="68"/>
      <c r="K2585" s="32"/>
      <c r="L2585" s="75">
        <v>2585</v>
      </c>
      <c r="M2585" s="75"/>
      <c r="N2585" s="70"/>
      <c r="O2585" s="77" t="s">
        <v>179</v>
      </c>
      <c r="P2585" s="79">
        <v>44986.717557870368</v>
      </c>
      <c r="Q2585" s="77" t="s">
        <v>3597</v>
      </c>
      <c r="R2585" s="77">
        <v>0</v>
      </c>
      <c r="S2585" s="77">
        <v>0</v>
      </c>
      <c r="T2585" s="77">
        <v>0</v>
      </c>
      <c r="U2585" s="77">
        <v>0</v>
      </c>
      <c r="V2585" s="77">
        <v>8</v>
      </c>
      <c r="W2585" s="82" t="s">
        <v>5731</v>
      </c>
      <c r="X2585" s="77"/>
      <c r="Y2585" s="77"/>
      <c r="Z2585" s="77"/>
      <c r="AA2585" s="77" t="s">
        <v>7543</v>
      </c>
      <c r="AB2585" s="77" t="s">
        <v>7696</v>
      </c>
      <c r="AC2585" s="82" t="s">
        <v>7716</v>
      </c>
      <c r="AD2585" s="77" t="s">
        <v>7745</v>
      </c>
      <c r="AE2585" s="80" t="str">
        <f>HYPERLINK("https://twitter.com/gvncorretores/status/1630979533514895360")</f>
        <v>https://twitter.com/gvncorretores/status/1630979533514895360</v>
      </c>
      <c r="AF2585" s="79">
        <v>44986.717557870368</v>
      </c>
      <c r="AG2585" s="85">
        <v>44986</v>
      </c>
      <c r="AH2585" s="82" t="s">
        <v>10074</v>
      </c>
      <c r="AI2585" s="77" t="b">
        <v>0</v>
      </c>
      <c r="AJ2585" s="77"/>
      <c r="AK2585" s="77"/>
      <c r="AL2585" s="77"/>
      <c r="AM2585" s="77"/>
      <c r="AN2585" s="77"/>
      <c r="AO2585" s="77"/>
      <c r="AP2585" s="77"/>
      <c r="AQ2585" s="77" t="s">
        <v>12049</v>
      </c>
      <c r="AR2585" s="77"/>
      <c r="AS2585" s="77"/>
      <c r="AT2585" s="77"/>
      <c r="AU2585" s="77"/>
      <c r="AV2585" s="80" t="str">
        <f>HYPERLINK("https://pbs.twimg.com/media/FqJnPeZWAAwnGqh.jpg")</f>
        <v>https://pbs.twimg.com/media/FqJnPeZWAAwnGqh.jpg</v>
      </c>
      <c r="AW2585" s="82" t="s">
        <v>14740</v>
      </c>
      <c r="AX2585" s="82" t="s">
        <v>14740</v>
      </c>
      <c r="AY2585" s="77"/>
      <c r="AZ2585" s="82" t="s">
        <v>15804</v>
      </c>
      <c r="BA2585" s="82" t="s">
        <v>15804</v>
      </c>
      <c r="BB2585" s="82" t="s">
        <v>15804</v>
      </c>
      <c r="BC2585" s="82" t="s">
        <v>14740</v>
      </c>
      <c r="BD2585" s="82" t="s">
        <v>16570</v>
      </c>
      <c r="BE2585" s="77"/>
      <c r="BF2585" s="77"/>
      <c r="BG2585" s="77"/>
      <c r="BH2585" s="77"/>
      <c r="BI2585" s="77"/>
    </row>
    <row r="2586" spans="1:61" x14ac:dyDescent="0.25">
      <c r="A2586" s="62" t="s">
        <v>992</v>
      </c>
      <c r="B2586" s="62" t="s">
        <v>992</v>
      </c>
      <c r="C2586" s="63"/>
      <c r="D2586" s="64"/>
      <c r="E2586" s="65"/>
      <c r="F2586" s="66"/>
      <c r="G2586" s="63"/>
      <c r="H2586" s="67"/>
      <c r="I2586" s="68"/>
      <c r="J2586" s="68"/>
      <c r="K2586" s="32"/>
      <c r="L2586" s="75">
        <v>2586</v>
      </c>
      <c r="M2586" s="75"/>
      <c r="N2586" s="70"/>
      <c r="O2586" s="77" t="s">
        <v>179</v>
      </c>
      <c r="P2586" s="79">
        <v>44971.647766203707</v>
      </c>
      <c r="Q2586" s="77" t="s">
        <v>3598</v>
      </c>
      <c r="R2586" s="77">
        <v>0</v>
      </c>
      <c r="S2586" s="77">
        <v>0</v>
      </c>
      <c r="T2586" s="77">
        <v>0</v>
      </c>
      <c r="U2586" s="77">
        <v>0</v>
      </c>
      <c r="V2586" s="77">
        <v>2</v>
      </c>
      <c r="W2586" s="82" t="s">
        <v>5731</v>
      </c>
      <c r="X2586" s="77"/>
      <c r="Y2586" s="77"/>
      <c r="Z2586" s="77"/>
      <c r="AA2586" s="77" t="s">
        <v>7544</v>
      </c>
      <c r="AB2586" s="77" t="s">
        <v>7696</v>
      </c>
      <c r="AC2586" s="82" t="s">
        <v>7716</v>
      </c>
      <c r="AD2586" s="77" t="s">
        <v>7745</v>
      </c>
      <c r="AE2586" s="80" t="str">
        <f>HYPERLINK("https://twitter.com/gvncorretores/status/1625518424024571904")</f>
        <v>https://twitter.com/gvncorretores/status/1625518424024571904</v>
      </c>
      <c r="AF2586" s="79">
        <v>44971.647766203707</v>
      </c>
      <c r="AG2586" s="85">
        <v>44971</v>
      </c>
      <c r="AH2586" s="82" t="s">
        <v>10075</v>
      </c>
      <c r="AI2586" s="77" t="b">
        <v>0</v>
      </c>
      <c r="AJ2586" s="77"/>
      <c r="AK2586" s="77"/>
      <c r="AL2586" s="77"/>
      <c r="AM2586" s="77"/>
      <c r="AN2586" s="77"/>
      <c r="AO2586" s="77"/>
      <c r="AP2586" s="77"/>
      <c r="AQ2586" s="77" t="s">
        <v>12050</v>
      </c>
      <c r="AR2586" s="77"/>
      <c r="AS2586" s="77"/>
      <c r="AT2586" s="77"/>
      <c r="AU2586" s="77"/>
      <c r="AV2586" s="80" t="str">
        <f>HYPERLINK("https://pbs.twimg.com/media/Fo8AZEXXoAEByOK.jpg")</f>
        <v>https://pbs.twimg.com/media/Fo8AZEXXoAEByOK.jpg</v>
      </c>
      <c r="AW2586" s="82" t="s">
        <v>14741</v>
      </c>
      <c r="AX2586" s="82" t="s">
        <v>14741</v>
      </c>
      <c r="AY2586" s="77"/>
      <c r="AZ2586" s="82" t="s">
        <v>15804</v>
      </c>
      <c r="BA2586" s="82" t="s">
        <v>15804</v>
      </c>
      <c r="BB2586" s="82" t="s">
        <v>15804</v>
      </c>
      <c r="BC2586" s="82" t="s">
        <v>14741</v>
      </c>
      <c r="BD2586" s="82" t="s">
        <v>16570</v>
      </c>
      <c r="BE2586" s="77"/>
      <c r="BF2586" s="77"/>
      <c r="BG2586" s="77"/>
      <c r="BH2586" s="77"/>
      <c r="BI2586" s="77"/>
    </row>
    <row r="2587" spans="1:61" x14ac:dyDescent="0.25">
      <c r="A2587" s="62" t="s">
        <v>992</v>
      </c>
      <c r="B2587" s="62" t="s">
        <v>992</v>
      </c>
      <c r="C2587" s="63"/>
      <c r="D2587" s="64"/>
      <c r="E2587" s="65"/>
      <c r="F2587" s="66"/>
      <c r="G2587" s="63"/>
      <c r="H2587" s="67"/>
      <c r="I2587" s="68"/>
      <c r="J2587" s="68"/>
      <c r="K2587" s="32"/>
      <c r="L2587" s="75">
        <v>2587</v>
      </c>
      <c r="M2587" s="75"/>
      <c r="N2587" s="70"/>
      <c r="O2587" s="77" t="s">
        <v>179</v>
      </c>
      <c r="P2587" s="79">
        <v>44971.503449074073</v>
      </c>
      <c r="Q2587" s="77" t="s">
        <v>3599</v>
      </c>
      <c r="R2587" s="77">
        <v>0</v>
      </c>
      <c r="S2587" s="77">
        <v>0</v>
      </c>
      <c r="T2587" s="77">
        <v>0</v>
      </c>
      <c r="U2587" s="77">
        <v>0</v>
      </c>
      <c r="V2587" s="77">
        <v>4</v>
      </c>
      <c r="W2587" s="82" t="s">
        <v>5731</v>
      </c>
      <c r="X2587" s="77"/>
      <c r="Y2587" s="77"/>
      <c r="Z2587" s="77"/>
      <c r="AA2587" s="77" t="s">
        <v>7545</v>
      </c>
      <c r="AB2587" s="77" t="s">
        <v>7696</v>
      </c>
      <c r="AC2587" s="82" t="s">
        <v>7716</v>
      </c>
      <c r="AD2587" s="77" t="s">
        <v>7745</v>
      </c>
      <c r="AE2587" s="80" t="str">
        <f>HYPERLINK("https://twitter.com/gvncorretores/status/1625466123465502721")</f>
        <v>https://twitter.com/gvncorretores/status/1625466123465502721</v>
      </c>
      <c r="AF2587" s="79">
        <v>44971.503449074073</v>
      </c>
      <c r="AG2587" s="85">
        <v>44971</v>
      </c>
      <c r="AH2587" s="82" t="s">
        <v>10076</v>
      </c>
      <c r="AI2587" s="77" t="b">
        <v>0</v>
      </c>
      <c r="AJ2587" s="77"/>
      <c r="AK2587" s="77"/>
      <c r="AL2587" s="77"/>
      <c r="AM2587" s="77"/>
      <c r="AN2587" s="77"/>
      <c r="AO2587" s="77"/>
      <c r="AP2587" s="77"/>
      <c r="AQ2587" s="77" t="s">
        <v>12051</v>
      </c>
      <c r="AR2587" s="77"/>
      <c r="AS2587" s="77"/>
      <c r="AT2587" s="77"/>
      <c r="AU2587" s="77"/>
      <c r="AV2587" s="80" t="str">
        <f>HYPERLINK("https://pbs.twimg.com/media/Fo7Q0xtXEAM0pp-.jpg")</f>
        <v>https://pbs.twimg.com/media/Fo7Q0xtXEAM0pp-.jpg</v>
      </c>
      <c r="AW2587" s="82" t="s">
        <v>14742</v>
      </c>
      <c r="AX2587" s="82" t="s">
        <v>14742</v>
      </c>
      <c r="AY2587" s="77"/>
      <c r="AZ2587" s="82" t="s">
        <v>15804</v>
      </c>
      <c r="BA2587" s="82" t="s">
        <v>15804</v>
      </c>
      <c r="BB2587" s="82" t="s">
        <v>15804</v>
      </c>
      <c r="BC2587" s="82" t="s">
        <v>14742</v>
      </c>
      <c r="BD2587" s="82" t="s">
        <v>16570</v>
      </c>
      <c r="BE2587" s="77"/>
      <c r="BF2587" s="77"/>
      <c r="BG2587" s="77"/>
      <c r="BH2587" s="77"/>
      <c r="BI2587" s="77"/>
    </row>
    <row r="2588" spans="1:61" x14ac:dyDescent="0.25">
      <c r="A2588" s="62" t="s">
        <v>992</v>
      </c>
      <c r="B2588" s="62" t="s">
        <v>992</v>
      </c>
      <c r="C2588" s="63"/>
      <c r="D2588" s="64"/>
      <c r="E2588" s="65"/>
      <c r="F2588" s="66"/>
      <c r="G2588" s="63"/>
      <c r="H2588" s="67"/>
      <c r="I2588" s="68"/>
      <c r="J2588" s="68"/>
      <c r="K2588" s="32"/>
      <c r="L2588" s="75">
        <v>2588</v>
      </c>
      <c r="M2588" s="75"/>
      <c r="N2588" s="70"/>
      <c r="O2588" s="77" t="s">
        <v>179</v>
      </c>
      <c r="P2588" s="79">
        <v>44970.864895833336</v>
      </c>
      <c r="Q2588" s="77" t="s">
        <v>3600</v>
      </c>
      <c r="R2588" s="77">
        <v>0</v>
      </c>
      <c r="S2588" s="77">
        <v>0</v>
      </c>
      <c r="T2588" s="77">
        <v>0</v>
      </c>
      <c r="U2588" s="77">
        <v>0</v>
      </c>
      <c r="V2588" s="77">
        <v>6</v>
      </c>
      <c r="W2588" s="82" t="s">
        <v>5731</v>
      </c>
      <c r="X2588" s="77"/>
      <c r="Y2588" s="77"/>
      <c r="Z2588" s="77"/>
      <c r="AA2588" s="77" t="s">
        <v>7546</v>
      </c>
      <c r="AB2588" s="77" t="s">
        <v>7696</v>
      </c>
      <c r="AC2588" s="82" t="s">
        <v>7716</v>
      </c>
      <c r="AD2588" s="77" t="s">
        <v>7745</v>
      </c>
      <c r="AE2588" s="80" t="str">
        <f>HYPERLINK("https://twitter.com/gvncorretores/status/1625234719498465281")</f>
        <v>https://twitter.com/gvncorretores/status/1625234719498465281</v>
      </c>
      <c r="AF2588" s="79">
        <v>44970.864895833336</v>
      </c>
      <c r="AG2588" s="85">
        <v>44970</v>
      </c>
      <c r="AH2588" s="82" t="s">
        <v>10077</v>
      </c>
      <c r="AI2588" s="77" t="b">
        <v>0</v>
      </c>
      <c r="AJ2588" s="77"/>
      <c r="AK2588" s="77"/>
      <c r="AL2588" s="77"/>
      <c r="AM2588" s="77"/>
      <c r="AN2588" s="77"/>
      <c r="AO2588" s="77"/>
      <c r="AP2588" s="77"/>
      <c r="AQ2588" s="77" t="s">
        <v>12052</v>
      </c>
      <c r="AR2588" s="77"/>
      <c r="AS2588" s="77"/>
      <c r="AT2588" s="77"/>
      <c r="AU2588" s="77"/>
      <c r="AV2588" s="80" t="str">
        <f>HYPERLINK("https://pbs.twimg.com/media/Fo3-XV4WcBsGhkW.jpg")</f>
        <v>https://pbs.twimg.com/media/Fo3-XV4WcBsGhkW.jpg</v>
      </c>
      <c r="AW2588" s="82" t="s">
        <v>14743</v>
      </c>
      <c r="AX2588" s="82" t="s">
        <v>14743</v>
      </c>
      <c r="AY2588" s="77"/>
      <c r="AZ2588" s="82" t="s">
        <v>15804</v>
      </c>
      <c r="BA2588" s="82" t="s">
        <v>15804</v>
      </c>
      <c r="BB2588" s="82" t="s">
        <v>15804</v>
      </c>
      <c r="BC2588" s="82" t="s">
        <v>14743</v>
      </c>
      <c r="BD2588" s="82" t="s">
        <v>16570</v>
      </c>
      <c r="BE2588" s="77"/>
      <c r="BF2588" s="77"/>
      <c r="BG2588" s="77"/>
      <c r="BH2588" s="77"/>
      <c r="BI2588" s="77"/>
    </row>
    <row r="2589" spans="1:61" x14ac:dyDescent="0.25">
      <c r="A2589" s="62" t="s">
        <v>992</v>
      </c>
      <c r="B2589" s="62" t="s">
        <v>992</v>
      </c>
      <c r="C2589" s="63"/>
      <c r="D2589" s="64"/>
      <c r="E2589" s="65"/>
      <c r="F2589" s="66"/>
      <c r="G2589" s="63"/>
      <c r="H2589" s="67"/>
      <c r="I2589" s="68"/>
      <c r="J2589" s="68"/>
      <c r="K2589" s="32"/>
      <c r="L2589" s="75">
        <v>2589</v>
      </c>
      <c r="M2589" s="75"/>
      <c r="N2589" s="70"/>
      <c r="O2589" s="77" t="s">
        <v>179</v>
      </c>
      <c r="P2589" s="79">
        <v>44970.776562500003</v>
      </c>
      <c r="Q2589" s="77" t="s">
        <v>3601</v>
      </c>
      <c r="R2589" s="77">
        <v>0</v>
      </c>
      <c r="S2589" s="77">
        <v>0</v>
      </c>
      <c r="T2589" s="77">
        <v>0</v>
      </c>
      <c r="U2589" s="77">
        <v>0</v>
      </c>
      <c r="V2589" s="77">
        <v>10</v>
      </c>
      <c r="W2589" s="82" t="s">
        <v>5731</v>
      </c>
      <c r="X2589" s="77"/>
      <c r="Y2589" s="77"/>
      <c r="Z2589" s="77"/>
      <c r="AA2589" s="77" t="s">
        <v>7547</v>
      </c>
      <c r="AB2589" s="77" t="s">
        <v>7696</v>
      </c>
      <c r="AC2589" s="82" t="s">
        <v>7716</v>
      </c>
      <c r="AD2589" s="77" t="s">
        <v>7745</v>
      </c>
      <c r="AE2589" s="80" t="str">
        <f>HYPERLINK("https://twitter.com/gvncorretores/status/1625202708264194062")</f>
        <v>https://twitter.com/gvncorretores/status/1625202708264194062</v>
      </c>
      <c r="AF2589" s="79">
        <v>44970.776562500003</v>
      </c>
      <c r="AG2589" s="85">
        <v>44970</v>
      </c>
      <c r="AH2589" s="82" t="s">
        <v>10078</v>
      </c>
      <c r="AI2589" s="77" t="b">
        <v>0</v>
      </c>
      <c r="AJ2589" s="77"/>
      <c r="AK2589" s="77"/>
      <c r="AL2589" s="77"/>
      <c r="AM2589" s="77"/>
      <c r="AN2589" s="77"/>
      <c r="AO2589" s="77"/>
      <c r="AP2589" s="77"/>
      <c r="AQ2589" s="77" t="s">
        <v>12053</v>
      </c>
      <c r="AR2589" s="77"/>
      <c r="AS2589" s="77"/>
      <c r="AT2589" s="77"/>
      <c r="AU2589" s="77"/>
      <c r="AV2589" s="80" t="str">
        <f>HYPERLINK("https://pbs.twimg.com/media/Fo3hQAHWcAIiGwx.jpg")</f>
        <v>https://pbs.twimg.com/media/Fo3hQAHWcAIiGwx.jpg</v>
      </c>
      <c r="AW2589" s="82" t="s">
        <v>14744</v>
      </c>
      <c r="AX2589" s="82" t="s">
        <v>14744</v>
      </c>
      <c r="AY2589" s="77"/>
      <c r="AZ2589" s="82" t="s">
        <v>15804</v>
      </c>
      <c r="BA2589" s="82" t="s">
        <v>15804</v>
      </c>
      <c r="BB2589" s="82" t="s">
        <v>15804</v>
      </c>
      <c r="BC2589" s="82" t="s">
        <v>14744</v>
      </c>
      <c r="BD2589" s="82" t="s">
        <v>16570</v>
      </c>
      <c r="BE2589" s="77"/>
      <c r="BF2589" s="77"/>
      <c r="BG2589" s="77"/>
      <c r="BH2589" s="77"/>
      <c r="BI2589" s="77"/>
    </row>
    <row r="2590" spans="1:61" x14ac:dyDescent="0.25">
      <c r="A2590" s="62" t="s">
        <v>992</v>
      </c>
      <c r="B2590" s="62" t="s">
        <v>992</v>
      </c>
      <c r="C2590" s="63"/>
      <c r="D2590" s="64"/>
      <c r="E2590" s="65"/>
      <c r="F2590" s="66"/>
      <c r="G2590" s="63"/>
      <c r="H2590" s="67"/>
      <c r="I2590" s="68"/>
      <c r="J2590" s="68"/>
      <c r="K2590" s="32"/>
      <c r="L2590" s="75">
        <v>2590</v>
      </c>
      <c r="M2590" s="75"/>
      <c r="N2590" s="70"/>
      <c r="O2590" s="77" t="s">
        <v>179</v>
      </c>
      <c r="P2590" s="79">
        <v>44970.611967592595</v>
      </c>
      <c r="Q2590" s="77" t="s">
        <v>3602</v>
      </c>
      <c r="R2590" s="77">
        <v>0</v>
      </c>
      <c r="S2590" s="77">
        <v>0</v>
      </c>
      <c r="T2590" s="77">
        <v>0</v>
      </c>
      <c r="U2590" s="77">
        <v>0</v>
      </c>
      <c r="V2590" s="77">
        <v>7</v>
      </c>
      <c r="W2590" s="82" t="s">
        <v>5731</v>
      </c>
      <c r="X2590" s="77"/>
      <c r="Y2590" s="77"/>
      <c r="Z2590" s="77"/>
      <c r="AA2590" s="77" t="s">
        <v>7548</v>
      </c>
      <c r="AB2590" s="77" t="s">
        <v>7696</v>
      </c>
      <c r="AC2590" s="82" t="s">
        <v>7716</v>
      </c>
      <c r="AD2590" s="77" t="s">
        <v>7745</v>
      </c>
      <c r="AE2590" s="80" t="str">
        <f>HYPERLINK("https://twitter.com/gvncorretores/status/1625143061125660673")</f>
        <v>https://twitter.com/gvncorretores/status/1625143061125660673</v>
      </c>
      <c r="AF2590" s="79">
        <v>44970.611967592595</v>
      </c>
      <c r="AG2590" s="85">
        <v>44970</v>
      </c>
      <c r="AH2590" s="82" t="s">
        <v>10079</v>
      </c>
      <c r="AI2590" s="77" t="b">
        <v>0</v>
      </c>
      <c r="AJ2590" s="77"/>
      <c r="AK2590" s="77"/>
      <c r="AL2590" s="77"/>
      <c r="AM2590" s="77"/>
      <c r="AN2590" s="77"/>
      <c r="AO2590" s="77"/>
      <c r="AP2590" s="77"/>
      <c r="AQ2590" s="77" t="s">
        <v>12054</v>
      </c>
      <c r="AR2590" s="77"/>
      <c r="AS2590" s="77"/>
      <c r="AT2590" s="77"/>
      <c r="AU2590" s="77"/>
      <c r="AV2590" s="80" t="str">
        <f>HYPERLINK("https://pbs.twimg.com/media/Fo2q__UagAEtI3C.jpg")</f>
        <v>https://pbs.twimg.com/media/Fo2q__UagAEtI3C.jpg</v>
      </c>
      <c r="AW2590" s="82" t="s">
        <v>14745</v>
      </c>
      <c r="AX2590" s="82" t="s">
        <v>14745</v>
      </c>
      <c r="AY2590" s="77"/>
      <c r="AZ2590" s="82" t="s">
        <v>15804</v>
      </c>
      <c r="BA2590" s="82" t="s">
        <v>15804</v>
      </c>
      <c r="BB2590" s="82" t="s">
        <v>15804</v>
      </c>
      <c r="BC2590" s="82" t="s">
        <v>14745</v>
      </c>
      <c r="BD2590" s="82" t="s">
        <v>16570</v>
      </c>
      <c r="BE2590" s="77"/>
      <c r="BF2590" s="77"/>
      <c r="BG2590" s="77"/>
      <c r="BH2590" s="77"/>
      <c r="BI2590" s="77"/>
    </row>
    <row r="2591" spans="1:61" x14ac:dyDescent="0.25">
      <c r="A2591" s="62" t="s">
        <v>992</v>
      </c>
      <c r="B2591" s="62" t="s">
        <v>992</v>
      </c>
      <c r="C2591" s="63"/>
      <c r="D2591" s="64"/>
      <c r="E2591" s="65"/>
      <c r="F2591" s="66"/>
      <c r="G2591" s="63"/>
      <c r="H2591" s="67"/>
      <c r="I2591" s="68"/>
      <c r="J2591" s="68"/>
      <c r="K2591" s="32"/>
      <c r="L2591" s="75">
        <v>2591</v>
      </c>
      <c r="M2591" s="75"/>
      <c r="N2591" s="70"/>
      <c r="O2591" s="77" t="s">
        <v>179</v>
      </c>
      <c r="P2591" s="79">
        <v>44970.562754629631</v>
      </c>
      <c r="Q2591" s="77" t="s">
        <v>3603</v>
      </c>
      <c r="R2591" s="77">
        <v>0</v>
      </c>
      <c r="S2591" s="77">
        <v>0</v>
      </c>
      <c r="T2591" s="77">
        <v>0</v>
      </c>
      <c r="U2591" s="77">
        <v>0</v>
      </c>
      <c r="V2591" s="77">
        <v>7</v>
      </c>
      <c r="W2591" s="82" t="s">
        <v>5731</v>
      </c>
      <c r="X2591" s="77"/>
      <c r="Y2591" s="77"/>
      <c r="Z2591" s="77"/>
      <c r="AA2591" s="77" t="s">
        <v>7549</v>
      </c>
      <c r="AB2591" s="77" t="s">
        <v>7696</v>
      </c>
      <c r="AC2591" s="82" t="s">
        <v>7716</v>
      </c>
      <c r="AD2591" s="77" t="s">
        <v>7745</v>
      </c>
      <c r="AE2591" s="80" t="str">
        <f>HYPERLINK("https://twitter.com/gvncorretores/status/1625125226630594562")</f>
        <v>https://twitter.com/gvncorretores/status/1625125226630594562</v>
      </c>
      <c r="AF2591" s="79">
        <v>44970.562754629631</v>
      </c>
      <c r="AG2591" s="85">
        <v>44970</v>
      </c>
      <c r="AH2591" s="82" t="s">
        <v>10080</v>
      </c>
      <c r="AI2591" s="77" t="b">
        <v>0</v>
      </c>
      <c r="AJ2591" s="77"/>
      <c r="AK2591" s="77"/>
      <c r="AL2591" s="77"/>
      <c r="AM2591" s="77"/>
      <c r="AN2591" s="77"/>
      <c r="AO2591" s="77"/>
      <c r="AP2591" s="77"/>
      <c r="AQ2591" s="77" t="s">
        <v>12055</v>
      </c>
      <c r="AR2591" s="77"/>
      <c r="AS2591" s="77"/>
      <c r="AT2591" s="77"/>
      <c r="AU2591" s="77"/>
      <c r="AV2591" s="80" t="str">
        <f>HYPERLINK("https://pbs.twimg.com/media/Fo2ayBMXoAMxJ2k.jpg")</f>
        <v>https://pbs.twimg.com/media/Fo2ayBMXoAMxJ2k.jpg</v>
      </c>
      <c r="AW2591" s="82" t="s">
        <v>14746</v>
      </c>
      <c r="AX2591" s="82" t="s">
        <v>14746</v>
      </c>
      <c r="AY2591" s="77"/>
      <c r="AZ2591" s="82" t="s">
        <v>15804</v>
      </c>
      <c r="BA2591" s="82" t="s">
        <v>15804</v>
      </c>
      <c r="BB2591" s="82" t="s">
        <v>15804</v>
      </c>
      <c r="BC2591" s="82" t="s">
        <v>14746</v>
      </c>
      <c r="BD2591" s="82" t="s">
        <v>16570</v>
      </c>
      <c r="BE2591" s="77"/>
      <c r="BF2591" s="77"/>
      <c r="BG2591" s="77"/>
      <c r="BH2591" s="77"/>
      <c r="BI2591" s="77"/>
    </row>
    <row r="2592" spans="1:61" x14ac:dyDescent="0.25">
      <c r="A2592" s="62" t="s">
        <v>992</v>
      </c>
      <c r="B2592" s="62" t="s">
        <v>992</v>
      </c>
      <c r="C2592" s="63"/>
      <c r="D2592" s="64"/>
      <c r="E2592" s="65"/>
      <c r="F2592" s="66"/>
      <c r="G2592" s="63"/>
      <c r="H2592" s="67"/>
      <c r="I2592" s="68"/>
      <c r="J2592" s="68"/>
      <c r="K2592" s="32"/>
      <c r="L2592" s="75">
        <v>2592</v>
      </c>
      <c r="M2592" s="75"/>
      <c r="N2592" s="70"/>
      <c r="O2592" s="77" t="s">
        <v>179</v>
      </c>
      <c r="P2592" s="79">
        <v>44970.515787037039</v>
      </c>
      <c r="Q2592" s="77" t="s">
        <v>3604</v>
      </c>
      <c r="R2592" s="77">
        <v>0</v>
      </c>
      <c r="S2592" s="77">
        <v>0</v>
      </c>
      <c r="T2592" s="77">
        <v>0</v>
      </c>
      <c r="U2592" s="77">
        <v>0</v>
      </c>
      <c r="V2592" s="77">
        <v>9</v>
      </c>
      <c r="W2592" s="82" t="s">
        <v>5731</v>
      </c>
      <c r="X2592" s="77"/>
      <c r="Y2592" s="77"/>
      <c r="Z2592" s="77"/>
      <c r="AA2592" s="77" t="s">
        <v>7550</v>
      </c>
      <c r="AB2592" s="77" t="s">
        <v>7696</v>
      </c>
      <c r="AC2592" s="82" t="s">
        <v>7716</v>
      </c>
      <c r="AD2592" s="77" t="s">
        <v>7745</v>
      </c>
      <c r="AE2592" s="80" t="str">
        <f>HYPERLINK("https://twitter.com/gvncorretores/status/1625108206581084161")</f>
        <v>https://twitter.com/gvncorretores/status/1625108206581084161</v>
      </c>
      <c r="AF2592" s="79">
        <v>44970.515787037039</v>
      </c>
      <c r="AG2592" s="85">
        <v>44970</v>
      </c>
      <c r="AH2592" s="82" t="s">
        <v>10081</v>
      </c>
      <c r="AI2592" s="77" t="b">
        <v>0</v>
      </c>
      <c r="AJ2592" s="77"/>
      <c r="AK2592" s="77"/>
      <c r="AL2592" s="77"/>
      <c r="AM2592" s="77"/>
      <c r="AN2592" s="77"/>
      <c r="AO2592" s="77"/>
      <c r="AP2592" s="77"/>
      <c r="AQ2592" s="77" t="s">
        <v>12056</v>
      </c>
      <c r="AR2592" s="77"/>
      <c r="AS2592" s="77"/>
      <c r="AT2592" s="77"/>
      <c r="AU2592" s="77"/>
      <c r="AV2592" s="80" t="str">
        <f>HYPERLINK("https://pbs.twimg.com/media/Fo2LTULXsAAfepw.jpg")</f>
        <v>https://pbs.twimg.com/media/Fo2LTULXsAAfepw.jpg</v>
      </c>
      <c r="AW2592" s="82" t="s">
        <v>14747</v>
      </c>
      <c r="AX2592" s="82" t="s">
        <v>14747</v>
      </c>
      <c r="AY2592" s="77"/>
      <c r="AZ2592" s="82" t="s">
        <v>15804</v>
      </c>
      <c r="BA2592" s="82" t="s">
        <v>15804</v>
      </c>
      <c r="BB2592" s="82" t="s">
        <v>15804</v>
      </c>
      <c r="BC2592" s="82" t="s">
        <v>14747</v>
      </c>
      <c r="BD2592" s="82" t="s">
        <v>16570</v>
      </c>
      <c r="BE2592" s="77"/>
      <c r="BF2592" s="77"/>
      <c r="BG2592" s="77"/>
      <c r="BH2592" s="77"/>
      <c r="BI2592" s="77"/>
    </row>
    <row r="2593" spans="1:61" x14ac:dyDescent="0.25">
      <c r="A2593" s="62" t="s">
        <v>992</v>
      </c>
      <c r="B2593" s="62" t="s">
        <v>992</v>
      </c>
      <c r="C2593" s="63"/>
      <c r="D2593" s="64"/>
      <c r="E2593" s="65"/>
      <c r="F2593" s="66"/>
      <c r="G2593" s="63"/>
      <c r="H2593" s="67"/>
      <c r="I2593" s="68"/>
      <c r="J2593" s="68"/>
      <c r="K2593" s="32"/>
      <c r="L2593" s="75">
        <v>2593</v>
      </c>
      <c r="M2593" s="75"/>
      <c r="N2593" s="70"/>
      <c r="O2593" s="77" t="s">
        <v>179</v>
      </c>
      <c r="P2593" s="79">
        <v>44967.461099537039</v>
      </c>
      <c r="Q2593" s="77" t="s">
        <v>3605</v>
      </c>
      <c r="R2593" s="77">
        <v>0</v>
      </c>
      <c r="S2593" s="77">
        <v>0</v>
      </c>
      <c r="T2593" s="77">
        <v>0</v>
      </c>
      <c r="U2593" s="77">
        <v>0</v>
      </c>
      <c r="V2593" s="77">
        <v>7</v>
      </c>
      <c r="W2593" s="82" t="s">
        <v>5731</v>
      </c>
      <c r="X2593" s="77"/>
      <c r="Y2593" s="77"/>
      <c r="Z2593" s="77"/>
      <c r="AA2593" s="77" t="s">
        <v>7551</v>
      </c>
      <c r="AB2593" s="77" t="s">
        <v>7696</v>
      </c>
      <c r="AC2593" s="82" t="s">
        <v>7716</v>
      </c>
      <c r="AD2593" s="77" t="s">
        <v>7745</v>
      </c>
      <c r="AE2593" s="80" t="str">
        <f>HYPERLINK("https://twitter.com/gvncorretores/status/1624001227586514944")</f>
        <v>https://twitter.com/gvncorretores/status/1624001227586514944</v>
      </c>
      <c r="AF2593" s="79">
        <v>44967.461099537039</v>
      </c>
      <c r="AG2593" s="85">
        <v>44967</v>
      </c>
      <c r="AH2593" s="82" t="s">
        <v>10082</v>
      </c>
      <c r="AI2593" s="77" t="b">
        <v>0</v>
      </c>
      <c r="AJ2593" s="77"/>
      <c r="AK2593" s="77"/>
      <c r="AL2593" s="77"/>
      <c r="AM2593" s="77"/>
      <c r="AN2593" s="77"/>
      <c r="AO2593" s="77"/>
      <c r="AP2593" s="77"/>
      <c r="AQ2593" s="77" t="s">
        <v>12057</v>
      </c>
      <c r="AR2593" s="77"/>
      <c r="AS2593" s="77"/>
      <c r="AT2593" s="77"/>
      <c r="AU2593" s="77"/>
      <c r="AV2593" s="80" t="str">
        <f>HYPERLINK("https://pbs.twimg.com/media/FomcgqlXgAIOrK-.jpg")</f>
        <v>https://pbs.twimg.com/media/FomcgqlXgAIOrK-.jpg</v>
      </c>
      <c r="AW2593" s="82" t="s">
        <v>14748</v>
      </c>
      <c r="AX2593" s="82" t="s">
        <v>14748</v>
      </c>
      <c r="AY2593" s="77"/>
      <c r="AZ2593" s="82" t="s">
        <v>15804</v>
      </c>
      <c r="BA2593" s="82" t="s">
        <v>15804</v>
      </c>
      <c r="BB2593" s="82" t="s">
        <v>15804</v>
      </c>
      <c r="BC2593" s="82" t="s">
        <v>14748</v>
      </c>
      <c r="BD2593" s="82" t="s">
        <v>16570</v>
      </c>
      <c r="BE2593" s="77"/>
      <c r="BF2593" s="77"/>
      <c r="BG2593" s="77"/>
      <c r="BH2593" s="77"/>
      <c r="BI2593" s="77"/>
    </row>
    <row r="2594" spans="1:61" x14ac:dyDescent="0.25">
      <c r="A2594" s="62" t="s">
        <v>992</v>
      </c>
      <c r="B2594" s="62" t="s">
        <v>992</v>
      </c>
      <c r="C2594" s="63"/>
      <c r="D2594" s="64"/>
      <c r="E2594" s="65"/>
      <c r="F2594" s="66"/>
      <c r="G2594" s="63"/>
      <c r="H2594" s="67"/>
      <c r="I2594" s="68"/>
      <c r="J2594" s="68"/>
      <c r="K2594" s="32"/>
      <c r="L2594" s="75">
        <v>2594</v>
      </c>
      <c r="M2594" s="75"/>
      <c r="N2594" s="70"/>
      <c r="O2594" s="77" t="s">
        <v>179</v>
      </c>
      <c r="P2594" s="79">
        <v>44995.927314814813</v>
      </c>
      <c r="Q2594" s="77" t="s">
        <v>3606</v>
      </c>
      <c r="R2594" s="77">
        <v>1</v>
      </c>
      <c r="S2594" s="77">
        <v>1</v>
      </c>
      <c r="T2594" s="77">
        <v>0</v>
      </c>
      <c r="U2594" s="77">
        <v>0</v>
      </c>
      <c r="V2594" s="77">
        <v>14</v>
      </c>
      <c r="W2594" s="82" t="s">
        <v>5731</v>
      </c>
      <c r="X2594" s="77"/>
      <c r="Y2594" s="77"/>
      <c r="Z2594" s="77"/>
      <c r="AA2594" s="77" t="s">
        <v>7552</v>
      </c>
      <c r="AB2594" s="77" t="s">
        <v>7696</v>
      </c>
      <c r="AC2594" s="82" t="s">
        <v>7716</v>
      </c>
      <c r="AD2594" s="77" t="s">
        <v>7745</v>
      </c>
      <c r="AE2594" s="80" t="str">
        <f>HYPERLINK("https://twitter.com/gvncorretores/status/1634317037295075328")</f>
        <v>https://twitter.com/gvncorretores/status/1634317037295075328</v>
      </c>
      <c r="AF2594" s="79">
        <v>44995.927314814813</v>
      </c>
      <c r="AG2594" s="85">
        <v>44995</v>
      </c>
      <c r="AH2594" s="82" t="s">
        <v>10083</v>
      </c>
      <c r="AI2594" s="77" t="b">
        <v>0</v>
      </c>
      <c r="AJ2594" s="77"/>
      <c r="AK2594" s="77"/>
      <c r="AL2594" s="77"/>
      <c r="AM2594" s="77"/>
      <c r="AN2594" s="77"/>
      <c r="AO2594" s="77"/>
      <c r="AP2594" s="77"/>
      <c r="AQ2594" s="77" t="s">
        <v>12058</v>
      </c>
      <c r="AR2594" s="77"/>
      <c r="AS2594" s="77"/>
      <c r="AT2594" s="77"/>
      <c r="AU2594" s="77"/>
      <c r="AV2594" s="80" t="str">
        <f>HYPERLINK("https://pbs.twimg.com/media/Fq5Cr1QWYAA5vE8.jpg")</f>
        <v>https://pbs.twimg.com/media/Fq5Cr1QWYAA5vE8.jpg</v>
      </c>
      <c r="AW2594" s="82" t="s">
        <v>14749</v>
      </c>
      <c r="AX2594" s="82" t="s">
        <v>14749</v>
      </c>
      <c r="AY2594" s="77"/>
      <c r="AZ2594" s="82" t="s">
        <v>15804</v>
      </c>
      <c r="BA2594" s="82" t="s">
        <v>15804</v>
      </c>
      <c r="BB2594" s="82" t="s">
        <v>15804</v>
      </c>
      <c r="BC2594" s="82" t="s">
        <v>14749</v>
      </c>
      <c r="BD2594" s="82" t="s">
        <v>16570</v>
      </c>
      <c r="BE2594" s="77"/>
      <c r="BF2594" s="77"/>
      <c r="BG2594" s="77"/>
      <c r="BH2594" s="77"/>
      <c r="BI2594" s="77"/>
    </row>
    <row r="2595" spans="1:61" x14ac:dyDescent="0.25">
      <c r="A2595" s="62" t="s">
        <v>992</v>
      </c>
      <c r="B2595" s="62" t="s">
        <v>992</v>
      </c>
      <c r="C2595" s="63"/>
      <c r="D2595" s="64"/>
      <c r="E2595" s="65"/>
      <c r="F2595" s="66"/>
      <c r="G2595" s="63"/>
      <c r="H2595" s="67"/>
      <c r="I2595" s="68"/>
      <c r="J2595" s="68"/>
      <c r="K2595" s="32"/>
      <c r="L2595" s="75">
        <v>2595</v>
      </c>
      <c r="M2595" s="75"/>
      <c r="N2595" s="70"/>
      <c r="O2595" s="77" t="s">
        <v>179</v>
      </c>
      <c r="P2595" s="79">
        <v>44995.798784722225</v>
      </c>
      <c r="Q2595" s="77" t="s">
        <v>3607</v>
      </c>
      <c r="R2595" s="77">
        <v>0</v>
      </c>
      <c r="S2595" s="77">
        <v>0</v>
      </c>
      <c r="T2595" s="77">
        <v>0</v>
      </c>
      <c r="U2595" s="77">
        <v>0</v>
      </c>
      <c r="V2595" s="77">
        <v>7</v>
      </c>
      <c r="W2595" s="82" t="s">
        <v>5731</v>
      </c>
      <c r="X2595" s="77"/>
      <c r="Y2595" s="77"/>
      <c r="Z2595" s="77"/>
      <c r="AA2595" s="77" t="s">
        <v>7553</v>
      </c>
      <c r="AB2595" s="77" t="s">
        <v>7696</v>
      </c>
      <c r="AC2595" s="82" t="s">
        <v>7716</v>
      </c>
      <c r="AD2595" s="77" t="s">
        <v>7745</v>
      </c>
      <c r="AE2595" s="80" t="str">
        <f>HYPERLINK("https://twitter.com/gvncorretores/status/1634270461612769280")</f>
        <v>https://twitter.com/gvncorretores/status/1634270461612769280</v>
      </c>
      <c r="AF2595" s="79">
        <v>44995.798784722225</v>
      </c>
      <c r="AG2595" s="85">
        <v>44995</v>
      </c>
      <c r="AH2595" s="82" t="s">
        <v>10084</v>
      </c>
      <c r="AI2595" s="77" t="b">
        <v>0</v>
      </c>
      <c r="AJ2595" s="77"/>
      <c r="AK2595" s="77"/>
      <c r="AL2595" s="77"/>
      <c r="AM2595" s="77"/>
      <c r="AN2595" s="77"/>
      <c r="AO2595" s="77"/>
      <c r="AP2595" s="77"/>
      <c r="AQ2595" s="77" t="s">
        <v>12059</v>
      </c>
      <c r="AR2595" s="77"/>
      <c r="AS2595" s="77"/>
      <c r="AT2595" s="77"/>
      <c r="AU2595" s="77"/>
      <c r="AV2595" s="80" t="str">
        <f>HYPERLINK("https://pbs.twimg.com/media/Fq4YUxmXsAAivFD.jpg")</f>
        <v>https://pbs.twimg.com/media/Fq4YUxmXsAAivFD.jpg</v>
      </c>
      <c r="AW2595" s="82" t="s">
        <v>14750</v>
      </c>
      <c r="AX2595" s="82" t="s">
        <v>14750</v>
      </c>
      <c r="AY2595" s="77"/>
      <c r="AZ2595" s="82" t="s">
        <v>15804</v>
      </c>
      <c r="BA2595" s="82" t="s">
        <v>15804</v>
      </c>
      <c r="BB2595" s="82" t="s">
        <v>15804</v>
      </c>
      <c r="BC2595" s="82" t="s">
        <v>14750</v>
      </c>
      <c r="BD2595" s="82" t="s">
        <v>16570</v>
      </c>
      <c r="BE2595" s="77"/>
      <c r="BF2595" s="77"/>
      <c r="BG2595" s="77"/>
      <c r="BH2595" s="77"/>
      <c r="BI2595" s="77"/>
    </row>
    <row r="2596" spans="1:61" x14ac:dyDescent="0.25">
      <c r="A2596" s="62" t="s">
        <v>992</v>
      </c>
      <c r="B2596" s="62" t="s">
        <v>992</v>
      </c>
      <c r="C2596" s="63"/>
      <c r="D2596" s="64"/>
      <c r="E2596" s="65"/>
      <c r="F2596" s="66"/>
      <c r="G2596" s="63"/>
      <c r="H2596" s="67"/>
      <c r="I2596" s="68"/>
      <c r="J2596" s="68"/>
      <c r="K2596" s="32"/>
      <c r="L2596" s="75">
        <v>2596</v>
      </c>
      <c r="M2596" s="75"/>
      <c r="N2596" s="70"/>
      <c r="O2596" s="77" t="s">
        <v>179</v>
      </c>
      <c r="P2596" s="79">
        <v>44994.918402777781</v>
      </c>
      <c r="Q2596" s="77" t="s">
        <v>3608</v>
      </c>
      <c r="R2596" s="77">
        <v>1</v>
      </c>
      <c r="S2596" s="77">
        <v>1</v>
      </c>
      <c r="T2596" s="77">
        <v>0</v>
      </c>
      <c r="U2596" s="77">
        <v>0</v>
      </c>
      <c r="V2596" s="77">
        <v>11</v>
      </c>
      <c r="W2596" s="82" t="s">
        <v>5731</v>
      </c>
      <c r="X2596" s="77"/>
      <c r="Y2596" s="77"/>
      <c r="Z2596" s="77"/>
      <c r="AA2596" s="77" t="s">
        <v>7554</v>
      </c>
      <c r="AB2596" s="77" t="s">
        <v>7696</v>
      </c>
      <c r="AC2596" s="82" t="s">
        <v>7716</v>
      </c>
      <c r="AD2596" s="77" t="s">
        <v>7745</v>
      </c>
      <c r="AE2596" s="80" t="str">
        <f>HYPERLINK("https://twitter.com/gvncorretores/status/1633951419228393475")</f>
        <v>https://twitter.com/gvncorretores/status/1633951419228393475</v>
      </c>
      <c r="AF2596" s="79">
        <v>44994.918402777781</v>
      </c>
      <c r="AG2596" s="85">
        <v>44994</v>
      </c>
      <c r="AH2596" s="82" t="s">
        <v>10085</v>
      </c>
      <c r="AI2596" s="77" t="b">
        <v>0</v>
      </c>
      <c r="AJ2596" s="77"/>
      <c r="AK2596" s="77"/>
      <c r="AL2596" s="77"/>
      <c r="AM2596" s="77"/>
      <c r="AN2596" s="77"/>
      <c r="AO2596" s="77"/>
      <c r="AP2596" s="77"/>
      <c r="AQ2596" s="77" t="s">
        <v>12060</v>
      </c>
      <c r="AR2596" s="77"/>
      <c r="AS2596" s="77"/>
      <c r="AT2596" s="77"/>
      <c r="AU2596" s="77"/>
      <c r="AV2596" s="80" t="str">
        <f>HYPERLINK("https://pbs.twimg.com/media/Fqz2KArWYAgfAL7.jpg")</f>
        <v>https://pbs.twimg.com/media/Fqz2KArWYAgfAL7.jpg</v>
      </c>
      <c r="AW2596" s="82" t="s">
        <v>14751</v>
      </c>
      <c r="AX2596" s="82" t="s">
        <v>14751</v>
      </c>
      <c r="AY2596" s="77"/>
      <c r="AZ2596" s="82" t="s">
        <v>15804</v>
      </c>
      <c r="BA2596" s="82" t="s">
        <v>15804</v>
      </c>
      <c r="BB2596" s="82" t="s">
        <v>15804</v>
      </c>
      <c r="BC2596" s="82" t="s">
        <v>14751</v>
      </c>
      <c r="BD2596" s="82" t="s">
        <v>16570</v>
      </c>
      <c r="BE2596" s="77"/>
      <c r="BF2596" s="77"/>
      <c r="BG2596" s="77"/>
      <c r="BH2596" s="77"/>
      <c r="BI2596" s="77"/>
    </row>
    <row r="2597" spans="1:61" x14ac:dyDescent="0.25">
      <c r="A2597" s="62" t="s">
        <v>992</v>
      </c>
      <c r="B2597" s="62" t="s">
        <v>992</v>
      </c>
      <c r="C2597" s="63"/>
      <c r="D2597" s="64"/>
      <c r="E2597" s="65"/>
      <c r="F2597" s="66"/>
      <c r="G2597" s="63"/>
      <c r="H2597" s="67"/>
      <c r="I2597" s="68"/>
      <c r="J2597" s="68"/>
      <c r="K2597" s="32"/>
      <c r="L2597" s="75">
        <v>2597</v>
      </c>
      <c r="M2597" s="75"/>
      <c r="N2597" s="70"/>
      <c r="O2597" s="77" t="s">
        <v>179</v>
      </c>
      <c r="P2597" s="79">
        <v>44994.856469907405</v>
      </c>
      <c r="Q2597" s="77" t="s">
        <v>3609</v>
      </c>
      <c r="R2597" s="77">
        <v>1</v>
      </c>
      <c r="S2597" s="77">
        <v>1</v>
      </c>
      <c r="T2597" s="77">
        <v>0</v>
      </c>
      <c r="U2597" s="77">
        <v>0</v>
      </c>
      <c r="V2597" s="77">
        <v>11</v>
      </c>
      <c r="W2597" s="82" t="s">
        <v>5731</v>
      </c>
      <c r="X2597" s="77"/>
      <c r="Y2597" s="77"/>
      <c r="Z2597" s="77"/>
      <c r="AA2597" s="77" t="s">
        <v>7555</v>
      </c>
      <c r="AB2597" s="77" t="s">
        <v>7696</v>
      </c>
      <c r="AC2597" s="82" t="s">
        <v>7716</v>
      </c>
      <c r="AD2597" s="77" t="s">
        <v>7745</v>
      </c>
      <c r="AE2597" s="80" t="str">
        <f>HYPERLINK("https://twitter.com/gvncorretores/status/1633928978087182336")</f>
        <v>https://twitter.com/gvncorretores/status/1633928978087182336</v>
      </c>
      <c r="AF2597" s="79">
        <v>44994.856469907405</v>
      </c>
      <c r="AG2597" s="85">
        <v>44994</v>
      </c>
      <c r="AH2597" s="82" t="s">
        <v>10086</v>
      </c>
      <c r="AI2597" s="77" t="b">
        <v>0</v>
      </c>
      <c r="AJ2597" s="77"/>
      <c r="AK2597" s="77"/>
      <c r="AL2597" s="77"/>
      <c r="AM2597" s="77"/>
      <c r="AN2597" s="77"/>
      <c r="AO2597" s="77"/>
      <c r="AP2597" s="77"/>
      <c r="AQ2597" s="77" t="s">
        <v>12061</v>
      </c>
      <c r="AR2597" s="77"/>
      <c r="AS2597" s="77"/>
      <c r="AT2597" s="77"/>
      <c r="AU2597" s="77"/>
      <c r="AV2597" s="80" t="str">
        <f>HYPERLINK("https://pbs.twimg.com/media/FqzhvzbXgAMKWTp.jpg")</f>
        <v>https://pbs.twimg.com/media/FqzhvzbXgAMKWTp.jpg</v>
      </c>
      <c r="AW2597" s="82" t="s">
        <v>14752</v>
      </c>
      <c r="AX2597" s="82" t="s">
        <v>14752</v>
      </c>
      <c r="AY2597" s="77"/>
      <c r="AZ2597" s="82" t="s">
        <v>15804</v>
      </c>
      <c r="BA2597" s="82" t="s">
        <v>15804</v>
      </c>
      <c r="BB2597" s="82" t="s">
        <v>15804</v>
      </c>
      <c r="BC2597" s="82" t="s">
        <v>14752</v>
      </c>
      <c r="BD2597" s="82" t="s">
        <v>16570</v>
      </c>
      <c r="BE2597" s="77"/>
      <c r="BF2597" s="77"/>
      <c r="BG2597" s="77"/>
      <c r="BH2597" s="77"/>
      <c r="BI2597" s="77"/>
    </row>
    <row r="2598" spans="1:61" x14ac:dyDescent="0.25">
      <c r="A2598" s="62" t="s">
        <v>992</v>
      </c>
      <c r="B2598" s="62" t="s">
        <v>992</v>
      </c>
      <c r="C2598" s="63"/>
      <c r="D2598" s="64"/>
      <c r="E2598" s="65"/>
      <c r="F2598" s="66"/>
      <c r="G2598" s="63"/>
      <c r="H2598" s="67"/>
      <c r="I2598" s="68"/>
      <c r="J2598" s="68"/>
      <c r="K2598" s="32"/>
      <c r="L2598" s="75">
        <v>2598</v>
      </c>
      <c r="M2598" s="75"/>
      <c r="N2598" s="70"/>
      <c r="O2598" s="77" t="s">
        <v>179</v>
      </c>
      <c r="P2598" s="79">
        <v>44994.78429398148</v>
      </c>
      <c r="Q2598" s="77" t="s">
        <v>3610</v>
      </c>
      <c r="R2598" s="77">
        <v>1</v>
      </c>
      <c r="S2598" s="77">
        <v>1</v>
      </c>
      <c r="T2598" s="77">
        <v>0</v>
      </c>
      <c r="U2598" s="77">
        <v>0</v>
      </c>
      <c r="V2598" s="77">
        <v>9</v>
      </c>
      <c r="W2598" s="82" t="s">
        <v>5731</v>
      </c>
      <c r="X2598" s="77"/>
      <c r="Y2598" s="77"/>
      <c r="Z2598" s="77"/>
      <c r="AA2598" s="77" t="s">
        <v>7556</v>
      </c>
      <c r="AB2598" s="77" t="s">
        <v>7696</v>
      </c>
      <c r="AC2598" s="82" t="s">
        <v>7716</v>
      </c>
      <c r="AD2598" s="77" t="s">
        <v>7745</v>
      </c>
      <c r="AE2598" s="80" t="str">
        <f>HYPERLINK("https://twitter.com/gvncorretores/status/1633902821216010267")</f>
        <v>https://twitter.com/gvncorretores/status/1633902821216010267</v>
      </c>
      <c r="AF2598" s="79">
        <v>44994.78429398148</v>
      </c>
      <c r="AG2598" s="85">
        <v>44994</v>
      </c>
      <c r="AH2598" s="82" t="s">
        <v>10087</v>
      </c>
      <c r="AI2598" s="77" t="b">
        <v>0</v>
      </c>
      <c r="AJ2598" s="77"/>
      <c r="AK2598" s="77"/>
      <c r="AL2598" s="77"/>
      <c r="AM2598" s="77"/>
      <c r="AN2598" s="77"/>
      <c r="AO2598" s="77"/>
      <c r="AP2598" s="77"/>
      <c r="AQ2598" s="77" t="s">
        <v>12062</v>
      </c>
      <c r="AR2598" s="77"/>
      <c r="AS2598" s="77"/>
      <c r="AT2598" s="77"/>
      <c r="AU2598" s="77"/>
      <c r="AV2598" s="80" t="str">
        <f>HYPERLINK("https://pbs.twimg.com/media/FqzJ9QuWwAMFrP5.jpg")</f>
        <v>https://pbs.twimg.com/media/FqzJ9QuWwAMFrP5.jpg</v>
      </c>
      <c r="AW2598" s="82" t="s">
        <v>14753</v>
      </c>
      <c r="AX2598" s="82" t="s">
        <v>14753</v>
      </c>
      <c r="AY2598" s="77"/>
      <c r="AZ2598" s="82" t="s">
        <v>15804</v>
      </c>
      <c r="BA2598" s="82" t="s">
        <v>15804</v>
      </c>
      <c r="BB2598" s="82" t="s">
        <v>15804</v>
      </c>
      <c r="BC2598" s="82" t="s">
        <v>14753</v>
      </c>
      <c r="BD2598" s="82" t="s">
        <v>16570</v>
      </c>
      <c r="BE2598" s="77"/>
      <c r="BF2598" s="77"/>
      <c r="BG2598" s="77"/>
      <c r="BH2598" s="77"/>
      <c r="BI2598" s="77"/>
    </row>
    <row r="2599" spans="1:61" x14ac:dyDescent="0.25">
      <c r="A2599" s="62" t="s">
        <v>992</v>
      </c>
      <c r="B2599" s="62" t="s">
        <v>992</v>
      </c>
      <c r="C2599" s="63"/>
      <c r="D2599" s="64"/>
      <c r="E2599" s="65"/>
      <c r="F2599" s="66"/>
      <c r="G2599" s="63"/>
      <c r="H2599" s="67"/>
      <c r="I2599" s="68"/>
      <c r="J2599" s="68"/>
      <c r="K2599" s="32"/>
      <c r="L2599" s="75">
        <v>2599</v>
      </c>
      <c r="M2599" s="75"/>
      <c r="N2599" s="70"/>
      <c r="O2599" s="77" t="s">
        <v>179</v>
      </c>
      <c r="P2599" s="79">
        <v>44936.846666666665</v>
      </c>
      <c r="Q2599" s="77" t="s">
        <v>3611</v>
      </c>
      <c r="R2599" s="77">
        <v>0</v>
      </c>
      <c r="S2599" s="77">
        <v>0</v>
      </c>
      <c r="T2599" s="77">
        <v>0</v>
      </c>
      <c r="U2599" s="77">
        <v>0</v>
      </c>
      <c r="V2599" s="77">
        <v>22</v>
      </c>
      <c r="W2599" s="82" t="s">
        <v>5731</v>
      </c>
      <c r="X2599" s="77"/>
      <c r="Y2599" s="77"/>
      <c r="Z2599" s="77"/>
      <c r="AA2599" s="77" t="s">
        <v>7557</v>
      </c>
      <c r="AB2599" s="77" t="s">
        <v>7696</v>
      </c>
      <c r="AC2599" s="82" t="s">
        <v>7716</v>
      </c>
      <c r="AD2599" s="77" t="s">
        <v>7745</v>
      </c>
      <c r="AE2599" s="80" t="str">
        <f>HYPERLINK("https://twitter.com/gvncorretores/status/1612906925619904513")</f>
        <v>https://twitter.com/gvncorretores/status/1612906925619904513</v>
      </c>
      <c r="AF2599" s="79">
        <v>44936.846666666665</v>
      </c>
      <c r="AG2599" s="85">
        <v>44936</v>
      </c>
      <c r="AH2599" s="82" t="s">
        <v>10088</v>
      </c>
      <c r="AI2599" s="77" t="b">
        <v>0</v>
      </c>
      <c r="AJ2599" s="77"/>
      <c r="AK2599" s="77"/>
      <c r="AL2599" s="77"/>
      <c r="AM2599" s="77"/>
      <c r="AN2599" s="77"/>
      <c r="AO2599" s="77"/>
      <c r="AP2599" s="77"/>
      <c r="AQ2599" s="77" t="s">
        <v>12063</v>
      </c>
      <c r="AR2599" s="77"/>
      <c r="AS2599" s="77"/>
      <c r="AT2599" s="77"/>
      <c r="AU2599" s="77"/>
      <c r="AV2599" s="80" t="str">
        <f>HYPERLINK("https://pbs.twimg.com/media/FmIyTTNWIBECnVk.jpg")</f>
        <v>https://pbs.twimg.com/media/FmIyTTNWIBECnVk.jpg</v>
      </c>
      <c r="AW2599" s="82" t="s">
        <v>14754</v>
      </c>
      <c r="AX2599" s="82" t="s">
        <v>14754</v>
      </c>
      <c r="AY2599" s="77"/>
      <c r="AZ2599" s="82" t="s">
        <v>15804</v>
      </c>
      <c r="BA2599" s="82" t="s">
        <v>15804</v>
      </c>
      <c r="BB2599" s="82" t="s">
        <v>15804</v>
      </c>
      <c r="BC2599" s="82" t="s">
        <v>14754</v>
      </c>
      <c r="BD2599" s="82" t="s">
        <v>16570</v>
      </c>
      <c r="BE2599" s="77"/>
      <c r="BF2599" s="77"/>
      <c r="BG2599" s="77"/>
      <c r="BH2599" s="77"/>
      <c r="BI2599" s="77"/>
    </row>
    <row r="2600" spans="1:61" x14ac:dyDescent="0.25">
      <c r="A2600" s="62" t="s">
        <v>992</v>
      </c>
      <c r="B2600" s="62" t="s">
        <v>992</v>
      </c>
      <c r="C2600" s="63"/>
      <c r="D2600" s="64"/>
      <c r="E2600" s="65"/>
      <c r="F2600" s="66"/>
      <c r="G2600" s="63"/>
      <c r="H2600" s="67"/>
      <c r="I2600" s="68"/>
      <c r="J2600" s="68"/>
      <c r="K2600" s="32"/>
      <c r="L2600" s="75">
        <v>2600</v>
      </c>
      <c r="M2600" s="75"/>
      <c r="N2600" s="70"/>
      <c r="O2600" s="77" t="s">
        <v>179</v>
      </c>
      <c r="P2600" s="79">
        <v>44935.797395833331</v>
      </c>
      <c r="Q2600" s="77" t="s">
        <v>3612</v>
      </c>
      <c r="R2600" s="77">
        <v>0</v>
      </c>
      <c r="S2600" s="77">
        <v>0</v>
      </c>
      <c r="T2600" s="77">
        <v>0</v>
      </c>
      <c r="U2600" s="77">
        <v>0</v>
      </c>
      <c r="V2600" s="77">
        <v>26</v>
      </c>
      <c r="W2600" s="82" t="s">
        <v>5731</v>
      </c>
      <c r="X2600" s="77"/>
      <c r="Y2600" s="77"/>
      <c r="Z2600" s="77"/>
      <c r="AA2600" s="77" t="s">
        <v>7558</v>
      </c>
      <c r="AB2600" s="77" t="s">
        <v>7696</v>
      </c>
      <c r="AC2600" s="82" t="s">
        <v>7716</v>
      </c>
      <c r="AD2600" s="77" t="s">
        <v>7745</v>
      </c>
      <c r="AE2600" s="80" t="str">
        <f>HYPERLINK("https://twitter.com/gvncorretores/status/1612526684451790849")</f>
        <v>https://twitter.com/gvncorretores/status/1612526684451790849</v>
      </c>
      <c r="AF2600" s="79">
        <v>44935.797395833331</v>
      </c>
      <c r="AG2600" s="85">
        <v>44935</v>
      </c>
      <c r="AH2600" s="82" t="s">
        <v>10089</v>
      </c>
      <c r="AI2600" s="77" t="b">
        <v>0</v>
      </c>
      <c r="AJ2600" s="77"/>
      <c r="AK2600" s="77"/>
      <c r="AL2600" s="77"/>
      <c r="AM2600" s="77"/>
      <c r="AN2600" s="77"/>
      <c r="AO2600" s="77"/>
      <c r="AP2600" s="77"/>
      <c r="AQ2600" s="77" t="s">
        <v>12064</v>
      </c>
      <c r="AR2600" s="77"/>
      <c r="AS2600" s="77"/>
      <c r="AT2600" s="77"/>
      <c r="AU2600" s="77"/>
      <c r="AV2600" s="80" t="str">
        <f>HYPERLINK("https://pbs.twimg.com/media/FmDYeX4WYA8Elcf.jpg")</f>
        <v>https://pbs.twimg.com/media/FmDYeX4WYA8Elcf.jpg</v>
      </c>
      <c r="AW2600" s="82" t="s">
        <v>14755</v>
      </c>
      <c r="AX2600" s="82" t="s">
        <v>14755</v>
      </c>
      <c r="AY2600" s="77"/>
      <c r="AZ2600" s="82" t="s">
        <v>15804</v>
      </c>
      <c r="BA2600" s="82" t="s">
        <v>15804</v>
      </c>
      <c r="BB2600" s="82" t="s">
        <v>15804</v>
      </c>
      <c r="BC2600" s="82" t="s">
        <v>14755</v>
      </c>
      <c r="BD2600" s="82" t="s">
        <v>16570</v>
      </c>
      <c r="BE2600" s="77"/>
      <c r="BF2600" s="77"/>
      <c r="BG2600" s="77"/>
      <c r="BH2600" s="77"/>
      <c r="BI2600" s="77"/>
    </row>
    <row r="2601" spans="1:61" x14ac:dyDescent="0.25">
      <c r="A2601" s="62" t="s">
        <v>992</v>
      </c>
      <c r="B2601" s="62" t="s">
        <v>992</v>
      </c>
      <c r="C2601" s="63"/>
      <c r="D2601" s="64"/>
      <c r="E2601" s="65"/>
      <c r="F2601" s="66"/>
      <c r="G2601" s="63"/>
      <c r="H2601" s="67"/>
      <c r="I2601" s="68"/>
      <c r="J2601" s="68"/>
      <c r="K2601" s="32"/>
      <c r="L2601" s="75">
        <v>2601</v>
      </c>
      <c r="M2601" s="75"/>
      <c r="N2601" s="70"/>
      <c r="O2601" s="77" t="s">
        <v>179</v>
      </c>
      <c r="P2601" s="79">
        <v>45000.838333333333</v>
      </c>
      <c r="Q2601" s="77" t="s">
        <v>3613</v>
      </c>
      <c r="R2601" s="77">
        <v>0</v>
      </c>
      <c r="S2601" s="77">
        <v>0</v>
      </c>
      <c r="T2601" s="77">
        <v>0</v>
      </c>
      <c r="U2601" s="77">
        <v>0</v>
      </c>
      <c r="V2601" s="77">
        <v>24</v>
      </c>
      <c r="W2601" s="82" t="s">
        <v>5731</v>
      </c>
      <c r="X2601" s="77"/>
      <c r="Y2601" s="77"/>
      <c r="Z2601" s="77"/>
      <c r="AA2601" s="77" t="s">
        <v>7559</v>
      </c>
      <c r="AB2601" s="77" t="s">
        <v>7696</v>
      </c>
      <c r="AC2601" s="82" t="s">
        <v>7716</v>
      </c>
      <c r="AD2601" s="77" t="s">
        <v>7745</v>
      </c>
      <c r="AE2601" s="80" t="str">
        <f>HYPERLINK("https://twitter.com/gvncorretores/status/1636096731254226953")</f>
        <v>https://twitter.com/gvncorretores/status/1636096731254226953</v>
      </c>
      <c r="AF2601" s="79">
        <v>45000.838333333333</v>
      </c>
      <c r="AG2601" s="85">
        <v>45000</v>
      </c>
      <c r="AH2601" s="82" t="s">
        <v>10090</v>
      </c>
      <c r="AI2601" s="77" t="b">
        <v>0</v>
      </c>
      <c r="AJ2601" s="77"/>
      <c r="AK2601" s="77"/>
      <c r="AL2601" s="77"/>
      <c r="AM2601" s="77"/>
      <c r="AN2601" s="77"/>
      <c r="AO2601" s="77"/>
      <c r="AP2601" s="77"/>
      <c r="AQ2601" s="77" t="s">
        <v>12065</v>
      </c>
      <c r="AR2601" s="77"/>
      <c r="AS2601" s="77"/>
      <c r="AT2601" s="77"/>
      <c r="AU2601" s="77"/>
      <c r="AV2601" s="80" t="str">
        <f>HYPERLINK("https://pbs.twimg.com/media/FrSVToyWYAAQ7tx.jpg")</f>
        <v>https://pbs.twimg.com/media/FrSVToyWYAAQ7tx.jpg</v>
      </c>
      <c r="AW2601" s="82" t="s">
        <v>14756</v>
      </c>
      <c r="AX2601" s="82" t="s">
        <v>14756</v>
      </c>
      <c r="AY2601" s="77"/>
      <c r="AZ2601" s="82" t="s">
        <v>15804</v>
      </c>
      <c r="BA2601" s="82" t="s">
        <v>15804</v>
      </c>
      <c r="BB2601" s="82" t="s">
        <v>15804</v>
      </c>
      <c r="BC2601" s="82" t="s">
        <v>14756</v>
      </c>
      <c r="BD2601" s="82" t="s">
        <v>16570</v>
      </c>
      <c r="BE2601" s="77"/>
      <c r="BF2601" s="77"/>
      <c r="BG2601" s="77"/>
      <c r="BH2601" s="77"/>
      <c r="BI2601" s="77"/>
    </row>
    <row r="2602" spans="1:61" x14ac:dyDescent="0.25">
      <c r="A2602" s="62" t="s">
        <v>992</v>
      </c>
      <c r="B2602" s="62" t="s">
        <v>992</v>
      </c>
      <c r="C2602" s="63"/>
      <c r="D2602" s="64"/>
      <c r="E2602" s="65"/>
      <c r="F2602" s="66"/>
      <c r="G2602" s="63"/>
      <c r="H2602" s="67"/>
      <c r="I2602" s="68"/>
      <c r="J2602" s="68"/>
      <c r="K2602" s="32"/>
      <c r="L2602" s="75">
        <v>2602</v>
      </c>
      <c r="M2602" s="75"/>
      <c r="N2602" s="70"/>
      <c r="O2602" s="77" t="s">
        <v>179</v>
      </c>
      <c r="P2602" s="79">
        <v>44999.641226851854</v>
      </c>
      <c r="Q2602" s="77" t="s">
        <v>3614</v>
      </c>
      <c r="R2602" s="77">
        <v>1</v>
      </c>
      <c r="S2602" s="77">
        <v>1</v>
      </c>
      <c r="T2602" s="77">
        <v>0</v>
      </c>
      <c r="U2602" s="77">
        <v>0</v>
      </c>
      <c r="V2602" s="77">
        <v>37</v>
      </c>
      <c r="W2602" s="82" t="s">
        <v>5731</v>
      </c>
      <c r="X2602" s="77"/>
      <c r="Y2602" s="77"/>
      <c r="Z2602" s="77"/>
      <c r="AA2602" s="77" t="s">
        <v>7560</v>
      </c>
      <c r="AB2602" s="77" t="s">
        <v>7696</v>
      </c>
      <c r="AC2602" s="82" t="s">
        <v>7716</v>
      </c>
      <c r="AD2602" s="77" t="s">
        <v>7745</v>
      </c>
      <c r="AE2602" s="80" t="str">
        <f>HYPERLINK("https://twitter.com/gvncorretores/status/1635662915679264769")</f>
        <v>https://twitter.com/gvncorretores/status/1635662915679264769</v>
      </c>
      <c r="AF2602" s="79">
        <v>44999.641226851854</v>
      </c>
      <c r="AG2602" s="85">
        <v>44999</v>
      </c>
      <c r="AH2602" s="82" t="s">
        <v>10091</v>
      </c>
      <c r="AI2602" s="77" t="b">
        <v>0</v>
      </c>
      <c r="AJ2602" s="77"/>
      <c r="AK2602" s="77"/>
      <c r="AL2602" s="77"/>
      <c r="AM2602" s="77"/>
      <c r="AN2602" s="77"/>
      <c r="AO2602" s="77"/>
      <c r="AP2602" s="77"/>
      <c r="AQ2602" s="77" t="s">
        <v>12066</v>
      </c>
      <c r="AR2602" s="77"/>
      <c r="AS2602" s="77"/>
      <c r="AT2602" s="77"/>
      <c r="AU2602" s="77"/>
      <c r="AV2602" s="80" t="str">
        <f>HYPERLINK("https://pbs.twimg.com/media/FrMKwOrXgAM27XR.jpg")</f>
        <v>https://pbs.twimg.com/media/FrMKwOrXgAM27XR.jpg</v>
      </c>
      <c r="AW2602" s="82" t="s">
        <v>14757</v>
      </c>
      <c r="AX2602" s="82" t="s">
        <v>14757</v>
      </c>
      <c r="AY2602" s="77"/>
      <c r="AZ2602" s="82" t="s">
        <v>15804</v>
      </c>
      <c r="BA2602" s="82" t="s">
        <v>15804</v>
      </c>
      <c r="BB2602" s="82" t="s">
        <v>15804</v>
      </c>
      <c r="BC2602" s="82" t="s">
        <v>14757</v>
      </c>
      <c r="BD2602" s="82" t="s">
        <v>16570</v>
      </c>
      <c r="BE2602" s="77"/>
      <c r="BF2602" s="77"/>
      <c r="BG2602" s="77"/>
      <c r="BH2602" s="77"/>
      <c r="BI2602" s="77"/>
    </row>
    <row r="2603" spans="1:61" x14ac:dyDescent="0.25">
      <c r="A2603" s="62" t="s">
        <v>992</v>
      </c>
      <c r="B2603" s="62" t="s">
        <v>992</v>
      </c>
      <c r="C2603" s="63"/>
      <c r="D2603" s="64"/>
      <c r="E2603" s="65"/>
      <c r="F2603" s="66"/>
      <c r="G2603" s="63"/>
      <c r="H2603" s="67"/>
      <c r="I2603" s="68"/>
      <c r="J2603" s="68"/>
      <c r="K2603" s="32"/>
      <c r="L2603" s="75">
        <v>2603</v>
      </c>
      <c r="M2603" s="75"/>
      <c r="N2603" s="70"/>
      <c r="O2603" s="77" t="s">
        <v>179</v>
      </c>
      <c r="P2603" s="79">
        <v>44999.494606481479</v>
      </c>
      <c r="Q2603" s="77" t="s">
        <v>3615</v>
      </c>
      <c r="R2603" s="77">
        <v>0</v>
      </c>
      <c r="S2603" s="77">
        <v>0</v>
      </c>
      <c r="T2603" s="77">
        <v>0</v>
      </c>
      <c r="U2603" s="77">
        <v>0</v>
      </c>
      <c r="V2603" s="77">
        <v>14</v>
      </c>
      <c r="W2603" s="82" t="s">
        <v>5731</v>
      </c>
      <c r="X2603" s="77"/>
      <c r="Y2603" s="77"/>
      <c r="Z2603" s="77"/>
      <c r="AA2603" s="77" t="s">
        <v>7561</v>
      </c>
      <c r="AB2603" s="77" t="s">
        <v>7696</v>
      </c>
      <c r="AC2603" s="82" t="s">
        <v>7716</v>
      </c>
      <c r="AD2603" s="77" t="s">
        <v>7745</v>
      </c>
      <c r="AE2603" s="80" t="str">
        <f>HYPERLINK("https://twitter.com/gvncorretores/status/1635609779337928707")</f>
        <v>https://twitter.com/gvncorretores/status/1635609779337928707</v>
      </c>
      <c r="AF2603" s="79">
        <v>44999.494606481479</v>
      </c>
      <c r="AG2603" s="85">
        <v>44999</v>
      </c>
      <c r="AH2603" s="82" t="s">
        <v>10092</v>
      </c>
      <c r="AI2603" s="77" t="b">
        <v>0</v>
      </c>
      <c r="AJ2603" s="77"/>
      <c r="AK2603" s="77"/>
      <c r="AL2603" s="77"/>
      <c r="AM2603" s="77"/>
      <c r="AN2603" s="77"/>
      <c r="AO2603" s="77"/>
      <c r="AP2603" s="77"/>
      <c r="AQ2603" s="77" t="s">
        <v>12067</v>
      </c>
      <c r="AR2603" s="77"/>
      <c r="AS2603" s="77"/>
      <c r="AT2603" s="77"/>
      <c r="AU2603" s="77"/>
      <c r="AV2603" s="80" t="str">
        <f>HYPERLINK("https://pbs.twimg.com/media/FrLabUQWwAEtVqp.jpg")</f>
        <v>https://pbs.twimg.com/media/FrLabUQWwAEtVqp.jpg</v>
      </c>
      <c r="AW2603" s="82" t="s">
        <v>14758</v>
      </c>
      <c r="AX2603" s="82" t="s">
        <v>14758</v>
      </c>
      <c r="AY2603" s="77"/>
      <c r="AZ2603" s="82" t="s">
        <v>15804</v>
      </c>
      <c r="BA2603" s="82" t="s">
        <v>15804</v>
      </c>
      <c r="BB2603" s="82" t="s">
        <v>15804</v>
      </c>
      <c r="BC2603" s="82" t="s">
        <v>14758</v>
      </c>
      <c r="BD2603" s="82" t="s">
        <v>16570</v>
      </c>
      <c r="BE2603" s="77"/>
      <c r="BF2603" s="77"/>
      <c r="BG2603" s="77"/>
      <c r="BH2603" s="77"/>
      <c r="BI2603" s="77"/>
    </row>
    <row r="2604" spans="1:61" x14ac:dyDescent="0.25">
      <c r="A2604" s="62" t="s">
        <v>992</v>
      </c>
      <c r="B2604" s="62" t="s">
        <v>992</v>
      </c>
      <c r="C2604" s="63"/>
      <c r="D2604" s="64"/>
      <c r="E2604" s="65"/>
      <c r="F2604" s="66"/>
      <c r="G2604" s="63"/>
      <c r="H2604" s="67"/>
      <c r="I2604" s="68"/>
      <c r="J2604" s="68"/>
      <c r="K2604" s="32"/>
      <c r="L2604" s="75">
        <v>2604</v>
      </c>
      <c r="M2604" s="75"/>
      <c r="N2604" s="70"/>
      <c r="O2604" s="77" t="s">
        <v>179</v>
      </c>
      <c r="P2604" s="79">
        <v>44998.866284722222</v>
      </c>
      <c r="Q2604" s="77" t="s">
        <v>3616</v>
      </c>
      <c r="R2604" s="77">
        <v>0</v>
      </c>
      <c r="S2604" s="77">
        <v>0</v>
      </c>
      <c r="T2604" s="77">
        <v>0</v>
      </c>
      <c r="U2604" s="77">
        <v>0</v>
      </c>
      <c r="V2604" s="77">
        <v>18</v>
      </c>
      <c r="W2604" s="82" t="s">
        <v>5731</v>
      </c>
      <c r="X2604" s="77"/>
      <c r="Y2604" s="77"/>
      <c r="Z2604" s="77"/>
      <c r="AA2604" s="77" t="s">
        <v>7562</v>
      </c>
      <c r="AB2604" s="77" t="s">
        <v>7696</v>
      </c>
      <c r="AC2604" s="82" t="s">
        <v>7716</v>
      </c>
      <c r="AD2604" s="77" t="s">
        <v>7745</v>
      </c>
      <c r="AE2604" s="80" t="str">
        <f>HYPERLINK("https://twitter.com/gvncorretores/status/1635382083110535172")</f>
        <v>https://twitter.com/gvncorretores/status/1635382083110535172</v>
      </c>
      <c r="AF2604" s="79">
        <v>44998.866284722222</v>
      </c>
      <c r="AG2604" s="85">
        <v>44998</v>
      </c>
      <c r="AH2604" s="82" t="s">
        <v>10093</v>
      </c>
      <c r="AI2604" s="77" t="b">
        <v>0</v>
      </c>
      <c r="AJ2604" s="77"/>
      <c r="AK2604" s="77"/>
      <c r="AL2604" s="77"/>
      <c r="AM2604" s="77"/>
      <c r="AN2604" s="77"/>
      <c r="AO2604" s="77"/>
      <c r="AP2604" s="77"/>
      <c r="AQ2604" s="77" t="s">
        <v>12068</v>
      </c>
      <c r="AR2604" s="77"/>
      <c r="AS2604" s="77"/>
      <c r="AT2604" s="77"/>
      <c r="AU2604" s="77"/>
      <c r="AV2604" s="80" t="str">
        <f>HYPERLINK("https://pbs.twimg.com/media/FrILVn2XgAE4ECu.jpg")</f>
        <v>https://pbs.twimg.com/media/FrILVn2XgAE4ECu.jpg</v>
      </c>
      <c r="AW2604" s="82" t="s">
        <v>14759</v>
      </c>
      <c r="AX2604" s="82" t="s">
        <v>14759</v>
      </c>
      <c r="AY2604" s="77"/>
      <c r="AZ2604" s="82" t="s">
        <v>15804</v>
      </c>
      <c r="BA2604" s="82" t="s">
        <v>15804</v>
      </c>
      <c r="BB2604" s="82" t="s">
        <v>15804</v>
      </c>
      <c r="BC2604" s="82" t="s">
        <v>14759</v>
      </c>
      <c r="BD2604" s="82" t="s">
        <v>16570</v>
      </c>
      <c r="BE2604" s="77"/>
      <c r="BF2604" s="77"/>
      <c r="BG2604" s="77"/>
      <c r="BH2604" s="77"/>
      <c r="BI2604" s="77"/>
    </row>
    <row r="2605" spans="1:61" x14ac:dyDescent="0.25">
      <c r="A2605" s="62" t="s">
        <v>992</v>
      </c>
      <c r="B2605" s="62" t="s">
        <v>992</v>
      </c>
      <c r="C2605" s="63"/>
      <c r="D2605" s="64"/>
      <c r="E2605" s="65"/>
      <c r="F2605" s="66"/>
      <c r="G2605" s="63"/>
      <c r="H2605" s="67"/>
      <c r="I2605" s="68"/>
      <c r="J2605" s="68"/>
      <c r="K2605" s="32"/>
      <c r="L2605" s="75">
        <v>2605</v>
      </c>
      <c r="M2605" s="75"/>
      <c r="N2605" s="70"/>
      <c r="O2605" s="77" t="s">
        <v>179</v>
      </c>
      <c r="P2605" s="79">
        <v>44998.812708333331</v>
      </c>
      <c r="Q2605" s="77" t="s">
        <v>3617</v>
      </c>
      <c r="R2605" s="77">
        <v>0</v>
      </c>
      <c r="S2605" s="77">
        <v>0</v>
      </c>
      <c r="T2605" s="77">
        <v>0</v>
      </c>
      <c r="U2605" s="77">
        <v>0</v>
      </c>
      <c r="V2605" s="77">
        <v>13</v>
      </c>
      <c r="W2605" s="82" t="s">
        <v>5731</v>
      </c>
      <c r="X2605" s="77"/>
      <c r="Y2605" s="77"/>
      <c r="Z2605" s="77"/>
      <c r="AA2605" s="77" t="s">
        <v>7563</v>
      </c>
      <c r="AB2605" s="77" t="s">
        <v>7696</v>
      </c>
      <c r="AC2605" s="82" t="s">
        <v>7716</v>
      </c>
      <c r="AD2605" s="77" t="s">
        <v>7745</v>
      </c>
      <c r="AE2605" s="80" t="str">
        <f>HYPERLINK("https://twitter.com/gvncorretores/status/1635362669975818240")</f>
        <v>https://twitter.com/gvncorretores/status/1635362669975818240</v>
      </c>
      <c r="AF2605" s="79">
        <v>44998.812708333331</v>
      </c>
      <c r="AG2605" s="85">
        <v>44998</v>
      </c>
      <c r="AH2605" s="82" t="s">
        <v>10094</v>
      </c>
      <c r="AI2605" s="77" t="b">
        <v>0</v>
      </c>
      <c r="AJ2605" s="77"/>
      <c r="AK2605" s="77"/>
      <c r="AL2605" s="77"/>
      <c r="AM2605" s="77"/>
      <c r="AN2605" s="77"/>
      <c r="AO2605" s="77"/>
      <c r="AP2605" s="77"/>
      <c r="AQ2605" s="77" t="s">
        <v>12069</v>
      </c>
      <c r="AR2605" s="77"/>
      <c r="AS2605" s="77"/>
      <c r="AT2605" s="77"/>
      <c r="AU2605" s="77"/>
      <c r="AV2605" s="80" t="str">
        <f>HYPERLINK("https://pbs.twimg.com/media/FrH5rqSWcAQz0xD.jpg")</f>
        <v>https://pbs.twimg.com/media/FrH5rqSWcAQz0xD.jpg</v>
      </c>
      <c r="AW2605" s="82" t="s">
        <v>14760</v>
      </c>
      <c r="AX2605" s="82" t="s">
        <v>14760</v>
      </c>
      <c r="AY2605" s="77"/>
      <c r="AZ2605" s="82" t="s">
        <v>15804</v>
      </c>
      <c r="BA2605" s="82" t="s">
        <v>15804</v>
      </c>
      <c r="BB2605" s="82" t="s">
        <v>15804</v>
      </c>
      <c r="BC2605" s="82" t="s">
        <v>14760</v>
      </c>
      <c r="BD2605" s="82" t="s">
        <v>16570</v>
      </c>
      <c r="BE2605" s="77"/>
      <c r="BF2605" s="77"/>
      <c r="BG2605" s="77"/>
      <c r="BH2605" s="77"/>
      <c r="BI2605" s="77"/>
    </row>
    <row r="2606" spans="1:61" x14ac:dyDescent="0.25">
      <c r="A2606" s="62" t="s">
        <v>992</v>
      </c>
      <c r="B2606" s="62" t="s">
        <v>992</v>
      </c>
      <c r="C2606" s="63"/>
      <c r="D2606" s="64"/>
      <c r="E2606" s="65"/>
      <c r="F2606" s="66"/>
      <c r="G2606" s="63"/>
      <c r="H2606" s="67"/>
      <c r="I2606" s="68"/>
      <c r="J2606" s="68"/>
      <c r="K2606" s="32"/>
      <c r="L2606" s="75">
        <v>2606</v>
      </c>
      <c r="M2606" s="75"/>
      <c r="N2606" s="70"/>
      <c r="O2606" s="77" t="s">
        <v>179</v>
      </c>
      <c r="P2606" s="79">
        <v>44998.635636574072</v>
      </c>
      <c r="Q2606" s="77" t="s">
        <v>3618</v>
      </c>
      <c r="R2606" s="77">
        <v>0</v>
      </c>
      <c r="S2606" s="77">
        <v>0</v>
      </c>
      <c r="T2606" s="77">
        <v>0</v>
      </c>
      <c r="U2606" s="77">
        <v>0</v>
      </c>
      <c r="V2606" s="77">
        <v>14</v>
      </c>
      <c r="W2606" s="82" t="s">
        <v>5731</v>
      </c>
      <c r="X2606" s="77"/>
      <c r="Y2606" s="77"/>
      <c r="Z2606" s="77"/>
      <c r="AA2606" s="77" t="s">
        <v>7564</v>
      </c>
      <c r="AB2606" s="77" t="s">
        <v>7696</v>
      </c>
      <c r="AC2606" s="82" t="s">
        <v>7716</v>
      </c>
      <c r="AD2606" s="77" t="s">
        <v>7745</v>
      </c>
      <c r="AE2606" s="80" t="str">
        <f>HYPERLINK("https://twitter.com/gvncorretores/status/1635298499695656960")</f>
        <v>https://twitter.com/gvncorretores/status/1635298499695656960</v>
      </c>
      <c r="AF2606" s="79">
        <v>44998.635636574072</v>
      </c>
      <c r="AG2606" s="85">
        <v>44998</v>
      </c>
      <c r="AH2606" s="82" t="s">
        <v>10095</v>
      </c>
      <c r="AI2606" s="77" t="b">
        <v>0</v>
      </c>
      <c r="AJ2606" s="77"/>
      <c r="AK2606" s="77"/>
      <c r="AL2606" s="77"/>
      <c r="AM2606" s="77"/>
      <c r="AN2606" s="77"/>
      <c r="AO2606" s="77"/>
      <c r="AP2606" s="77"/>
      <c r="AQ2606" s="77" t="s">
        <v>12070</v>
      </c>
      <c r="AR2606" s="77"/>
      <c r="AS2606" s="77"/>
      <c r="AT2606" s="77"/>
      <c r="AU2606" s="77"/>
      <c r="AV2606" s="80" t="str">
        <f>HYPERLINK("https://pbs.twimg.com/media/FrG_UcfX0AI2fon.jpg")</f>
        <v>https://pbs.twimg.com/media/FrG_UcfX0AI2fon.jpg</v>
      </c>
      <c r="AW2606" s="82" t="s">
        <v>14761</v>
      </c>
      <c r="AX2606" s="82" t="s">
        <v>14761</v>
      </c>
      <c r="AY2606" s="77"/>
      <c r="AZ2606" s="82" t="s">
        <v>15804</v>
      </c>
      <c r="BA2606" s="82" t="s">
        <v>15804</v>
      </c>
      <c r="BB2606" s="82" t="s">
        <v>15804</v>
      </c>
      <c r="BC2606" s="82" t="s">
        <v>14761</v>
      </c>
      <c r="BD2606" s="82" t="s">
        <v>16570</v>
      </c>
      <c r="BE2606" s="77"/>
      <c r="BF2606" s="77"/>
      <c r="BG2606" s="77"/>
      <c r="BH2606" s="77"/>
      <c r="BI2606" s="77"/>
    </row>
    <row r="2607" spans="1:61" x14ac:dyDescent="0.25">
      <c r="A2607" s="62" t="s">
        <v>992</v>
      </c>
      <c r="B2607" s="62" t="s">
        <v>992</v>
      </c>
      <c r="C2607" s="63"/>
      <c r="D2607" s="64"/>
      <c r="E2607" s="65"/>
      <c r="F2607" s="66"/>
      <c r="G2607" s="63"/>
      <c r="H2607" s="67"/>
      <c r="I2607" s="68"/>
      <c r="J2607" s="68"/>
      <c r="K2607" s="32"/>
      <c r="L2607" s="75">
        <v>2607</v>
      </c>
      <c r="M2607" s="75"/>
      <c r="N2607" s="70"/>
      <c r="O2607" s="77" t="s">
        <v>179</v>
      </c>
      <c r="P2607" s="79">
        <v>44998.553657407407</v>
      </c>
      <c r="Q2607" s="77" t="s">
        <v>3619</v>
      </c>
      <c r="R2607" s="77">
        <v>0</v>
      </c>
      <c r="S2607" s="77">
        <v>0</v>
      </c>
      <c r="T2607" s="77">
        <v>0</v>
      </c>
      <c r="U2607" s="77">
        <v>0</v>
      </c>
      <c r="V2607" s="77">
        <v>6</v>
      </c>
      <c r="W2607" s="82" t="s">
        <v>5732</v>
      </c>
      <c r="X2607" s="77"/>
      <c r="Y2607" s="77"/>
      <c r="Z2607" s="77"/>
      <c r="AA2607" s="77" t="s">
        <v>7565</v>
      </c>
      <c r="AB2607" s="77" t="s">
        <v>7696</v>
      </c>
      <c r="AC2607" s="82" t="s">
        <v>7716</v>
      </c>
      <c r="AD2607" s="77" t="s">
        <v>7745</v>
      </c>
      <c r="AE2607" s="80" t="str">
        <f>HYPERLINK("https://twitter.com/gvncorretores/status/1635268790756982784")</f>
        <v>https://twitter.com/gvncorretores/status/1635268790756982784</v>
      </c>
      <c r="AF2607" s="79">
        <v>44998.553657407407</v>
      </c>
      <c r="AG2607" s="85">
        <v>44998</v>
      </c>
      <c r="AH2607" s="82" t="s">
        <v>10096</v>
      </c>
      <c r="AI2607" s="77" t="b">
        <v>0</v>
      </c>
      <c r="AJ2607" s="77"/>
      <c r="AK2607" s="77"/>
      <c r="AL2607" s="77"/>
      <c r="AM2607" s="77"/>
      <c r="AN2607" s="77"/>
      <c r="AO2607" s="77"/>
      <c r="AP2607" s="77"/>
      <c r="AQ2607" s="77" t="s">
        <v>12071</v>
      </c>
      <c r="AR2607" s="77"/>
      <c r="AS2607" s="77"/>
      <c r="AT2607" s="77"/>
      <c r="AU2607" s="77"/>
      <c r="AV2607" s="80" t="str">
        <f>HYPERLINK("https://pbs.twimg.com/media/FrGkTJlWAAAaWva.jpg")</f>
        <v>https://pbs.twimg.com/media/FrGkTJlWAAAaWva.jpg</v>
      </c>
      <c r="AW2607" s="82" t="s">
        <v>14762</v>
      </c>
      <c r="AX2607" s="82" t="s">
        <v>14762</v>
      </c>
      <c r="AY2607" s="77"/>
      <c r="AZ2607" s="82" t="s">
        <v>15804</v>
      </c>
      <c r="BA2607" s="82" t="s">
        <v>15804</v>
      </c>
      <c r="BB2607" s="82" t="s">
        <v>15804</v>
      </c>
      <c r="BC2607" s="82" t="s">
        <v>14762</v>
      </c>
      <c r="BD2607" s="82" t="s">
        <v>16570</v>
      </c>
      <c r="BE2607" s="77"/>
      <c r="BF2607" s="77"/>
      <c r="BG2607" s="77"/>
      <c r="BH2607" s="77"/>
      <c r="BI2607" s="77"/>
    </row>
    <row r="2608" spans="1:61" x14ac:dyDescent="0.25">
      <c r="A2608" s="62" t="s">
        <v>992</v>
      </c>
      <c r="B2608" s="62" t="s">
        <v>992</v>
      </c>
      <c r="C2608" s="63"/>
      <c r="D2608" s="64"/>
      <c r="E2608" s="65"/>
      <c r="F2608" s="66"/>
      <c r="G2608" s="63"/>
      <c r="H2608" s="67"/>
      <c r="I2608" s="68"/>
      <c r="J2608" s="68"/>
      <c r="K2608" s="32"/>
      <c r="L2608" s="75">
        <v>2608</v>
      </c>
      <c r="M2608" s="75"/>
      <c r="N2608" s="70"/>
      <c r="O2608" s="77" t="s">
        <v>179</v>
      </c>
      <c r="P2608" s="79">
        <v>44996.468923611108</v>
      </c>
      <c r="Q2608" s="77" t="s">
        <v>3620</v>
      </c>
      <c r="R2608" s="77">
        <v>0</v>
      </c>
      <c r="S2608" s="77">
        <v>0</v>
      </c>
      <c r="T2608" s="77">
        <v>0</v>
      </c>
      <c r="U2608" s="77">
        <v>0</v>
      </c>
      <c r="V2608" s="77">
        <v>9</v>
      </c>
      <c r="W2608" s="82" t="s">
        <v>5731</v>
      </c>
      <c r="X2608" s="77"/>
      <c r="Y2608" s="77"/>
      <c r="Z2608" s="77"/>
      <c r="AA2608" s="77" t="s">
        <v>7566</v>
      </c>
      <c r="AB2608" s="77" t="s">
        <v>7696</v>
      </c>
      <c r="AC2608" s="82" t="s">
        <v>7716</v>
      </c>
      <c r="AD2608" s="77" t="s">
        <v>7745</v>
      </c>
      <c r="AE2608" s="80" t="str">
        <f>HYPERLINK("https://twitter.com/gvncorretores/status/1634513308383412225")</f>
        <v>https://twitter.com/gvncorretores/status/1634513308383412225</v>
      </c>
      <c r="AF2608" s="79">
        <v>44996.468923611108</v>
      </c>
      <c r="AG2608" s="85">
        <v>44996</v>
      </c>
      <c r="AH2608" s="82" t="s">
        <v>10097</v>
      </c>
      <c r="AI2608" s="77" t="b">
        <v>0</v>
      </c>
      <c r="AJ2608" s="77"/>
      <c r="AK2608" s="77"/>
      <c r="AL2608" s="77"/>
      <c r="AM2608" s="77"/>
      <c r="AN2608" s="77"/>
      <c r="AO2608" s="77"/>
      <c r="AP2608" s="77"/>
      <c r="AQ2608" s="77" t="s">
        <v>12072</v>
      </c>
      <c r="AR2608" s="77"/>
      <c r="AS2608" s="77"/>
      <c r="AT2608" s="77"/>
      <c r="AU2608" s="77"/>
      <c r="AV2608" s="80" t="str">
        <f>HYPERLINK("https://pbs.twimg.com/media/Fq71MTVXwAAX20v.jpg")</f>
        <v>https://pbs.twimg.com/media/Fq71MTVXwAAX20v.jpg</v>
      </c>
      <c r="AW2608" s="82" t="s">
        <v>14763</v>
      </c>
      <c r="AX2608" s="82" t="s">
        <v>14763</v>
      </c>
      <c r="AY2608" s="77"/>
      <c r="AZ2608" s="82" t="s">
        <v>15804</v>
      </c>
      <c r="BA2608" s="82" t="s">
        <v>15804</v>
      </c>
      <c r="BB2608" s="82" t="s">
        <v>15804</v>
      </c>
      <c r="BC2608" s="82" t="s">
        <v>14763</v>
      </c>
      <c r="BD2608" s="82" t="s">
        <v>16570</v>
      </c>
      <c r="BE2608" s="77"/>
      <c r="BF2608" s="77"/>
      <c r="BG2608" s="77"/>
      <c r="BH2608" s="77"/>
      <c r="BI2608" s="77"/>
    </row>
    <row r="2609" spans="1:61" x14ac:dyDescent="0.25">
      <c r="A2609" s="62" t="s">
        <v>992</v>
      </c>
      <c r="B2609" s="62" t="s">
        <v>992</v>
      </c>
      <c r="C2609" s="63"/>
      <c r="D2609" s="64"/>
      <c r="E2609" s="65"/>
      <c r="F2609" s="66"/>
      <c r="G2609" s="63"/>
      <c r="H2609" s="67"/>
      <c r="I2609" s="68"/>
      <c r="J2609" s="68"/>
      <c r="K2609" s="32"/>
      <c r="L2609" s="75">
        <v>2609</v>
      </c>
      <c r="M2609" s="75"/>
      <c r="N2609" s="70"/>
      <c r="O2609" s="77" t="s">
        <v>179</v>
      </c>
      <c r="P2609" s="79">
        <v>44980.836273148147</v>
      </c>
      <c r="Q2609" s="77" t="s">
        <v>3621</v>
      </c>
      <c r="R2609" s="77">
        <v>1</v>
      </c>
      <c r="S2609" s="77">
        <v>1</v>
      </c>
      <c r="T2609" s="77">
        <v>0</v>
      </c>
      <c r="U2609" s="77">
        <v>0</v>
      </c>
      <c r="V2609" s="77">
        <v>18</v>
      </c>
      <c r="W2609" s="82" t="s">
        <v>5731</v>
      </c>
      <c r="X2609" s="77"/>
      <c r="Y2609" s="77"/>
      <c r="Z2609" s="77"/>
      <c r="AA2609" s="77" t="s">
        <v>7567</v>
      </c>
      <c r="AB2609" s="77" t="s">
        <v>7696</v>
      </c>
      <c r="AC2609" s="82" t="s">
        <v>7716</v>
      </c>
      <c r="AD2609" s="77" t="s">
        <v>7745</v>
      </c>
      <c r="AE2609" s="80" t="str">
        <f>HYPERLINK("https://twitter.com/gvncorretores/status/1628848228866093060")</f>
        <v>https://twitter.com/gvncorretores/status/1628848228866093060</v>
      </c>
      <c r="AF2609" s="79">
        <v>44980.836273148147</v>
      </c>
      <c r="AG2609" s="85">
        <v>44980</v>
      </c>
      <c r="AH2609" s="82" t="s">
        <v>10098</v>
      </c>
      <c r="AI2609" s="77" t="b">
        <v>0</v>
      </c>
      <c r="AJ2609" s="77"/>
      <c r="AK2609" s="77"/>
      <c r="AL2609" s="77"/>
      <c r="AM2609" s="77"/>
      <c r="AN2609" s="77"/>
      <c r="AO2609" s="77"/>
      <c r="AP2609" s="77"/>
      <c r="AQ2609" s="77" t="s">
        <v>12073</v>
      </c>
      <c r="AR2609" s="77"/>
      <c r="AS2609" s="77"/>
      <c r="AT2609" s="77"/>
      <c r="AU2609" s="77"/>
      <c r="AV2609" s="80" t="str">
        <f>HYPERLINK("https://pbs.twimg.com/media/FprU1OCXoAUURTN.jpg")</f>
        <v>https://pbs.twimg.com/media/FprU1OCXoAUURTN.jpg</v>
      </c>
      <c r="AW2609" s="82" t="s">
        <v>14764</v>
      </c>
      <c r="AX2609" s="82" t="s">
        <v>14764</v>
      </c>
      <c r="AY2609" s="77"/>
      <c r="AZ2609" s="82" t="s">
        <v>15804</v>
      </c>
      <c r="BA2609" s="82" t="s">
        <v>15804</v>
      </c>
      <c r="BB2609" s="82" t="s">
        <v>15804</v>
      </c>
      <c r="BC2609" s="82" t="s">
        <v>14764</v>
      </c>
      <c r="BD2609" s="82" t="s">
        <v>16570</v>
      </c>
      <c r="BE2609" s="77"/>
      <c r="BF2609" s="77"/>
      <c r="BG2609" s="77"/>
      <c r="BH2609" s="77"/>
      <c r="BI2609" s="77"/>
    </row>
    <row r="2610" spans="1:61" x14ac:dyDescent="0.25">
      <c r="A2610" s="62" t="s">
        <v>992</v>
      </c>
      <c r="B2610" s="62" t="s">
        <v>992</v>
      </c>
      <c r="C2610" s="63"/>
      <c r="D2610" s="64"/>
      <c r="E2610" s="65"/>
      <c r="F2610" s="66"/>
      <c r="G2610" s="63"/>
      <c r="H2610" s="67"/>
      <c r="I2610" s="68"/>
      <c r="J2610" s="68"/>
      <c r="K2610" s="32"/>
      <c r="L2610" s="75">
        <v>2610</v>
      </c>
      <c r="M2610" s="75"/>
      <c r="N2610" s="70"/>
      <c r="O2610" s="77" t="s">
        <v>179</v>
      </c>
      <c r="P2610" s="79">
        <v>44979.552731481483</v>
      </c>
      <c r="Q2610" s="77" t="s">
        <v>3622</v>
      </c>
      <c r="R2610" s="77">
        <v>0</v>
      </c>
      <c r="S2610" s="77">
        <v>0</v>
      </c>
      <c r="T2610" s="77">
        <v>0</v>
      </c>
      <c r="U2610" s="77">
        <v>0</v>
      </c>
      <c r="V2610" s="77">
        <v>5</v>
      </c>
      <c r="W2610" s="82" t="s">
        <v>5731</v>
      </c>
      <c r="X2610" s="77"/>
      <c r="Y2610" s="77"/>
      <c r="Z2610" s="77"/>
      <c r="AA2610" s="77" t="s">
        <v>7568</v>
      </c>
      <c r="AB2610" s="77" t="s">
        <v>7696</v>
      </c>
      <c r="AC2610" s="82" t="s">
        <v>7716</v>
      </c>
      <c r="AD2610" s="77" t="s">
        <v>7745</v>
      </c>
      <c r="AE2610" s="80" t="str">
        <f>HYPERLINK("https://twitter.com/gvncorretores/status/1628383088370761728")</f>
        <v>https://twitter.com/gvncorretores/status/1628383088370761728</v>
      </c>
      <c r="AF2610" s="79">
        <v>44979.552731481483</v>
      </c>
      <c r="AG2610" s="85">
        <v>44979</v>
      </c>
      <c r="AH2610" s="82" t="s">
        <v>10099</v>
      </c>
      <c r="AI2610" s="77" t="b">
        <v>0</v>
      </c>
      <c r="AJ2610" s="77"/>
      <c r="AK2610" s="77"/>
      <c r="AL2610" s="77"/>
      <c r="AM2610" s="77"/>
      <c r="AN2610" s="77"/>
      <c r="AO2610" s="77"/>
      <c r="AP2610" s="77"/>
      <c r="AQ2610" s="77" t="s">
        <v>12074</v>
      </c>
      <c r="AR2610" s="77"/>
      <c r="AS2610" s="77"/>
      <c r="AT2610" s="77"/>
      <c r="AU2610" s="77"/>
      <c r="AV2610" s="80" t="str">
        <f>HYPERLINK("https://pbs.twimg.com/media/FpktybfWcAAI7Jb.jpg")</f>
        <v>https://pbs.twimg.com/media/FpktybfWcAAI7Jb.jpg</v>
      </c>
      <c r="AW2610" s="82" t="s">
        <v>14765</v>
      </c>
      <c r="AX2610" s="82" t="s">
        <v>14765</v>
      </c>
      <c r="AY2610" s="77"/>
      <c r="AZ2610" s="82" t="s">
        <v>15804</v>
      </c>
      <c r="BA2610" s="82" t="s">
        <v>15804</v>
      </c>
      <c r="BB2610" s="82" t="s">
        <v>15804</v>
      </c>
      <c r="BC2610" s="82" t="s">
        <v>14765</v>
      </c>
      <c r="BD2610" s="82" t="s">
        <v>16570</v>
      </c>
      <c r="BE2610" s="77"/>
      <c r="BF2610" s="77"/>
      <c r="BG2610" s="77"/>
      <c r="BH2610" s="77"/>
      <c r="BI2610" s="77"/>
    </row>
    <row r="2611" spans="1:61" x14ac:dyDescent="0.25">
      <c r="A2611" s="62" t="s">
        <v>992</v>
      </c>
      <c r="B2611" s="62" t="s">
        <v>992</v>
      </c>
      <c r="C2611" s="63"/>
      <c r="D2611" s="64"/>
      <c r="E2611" s="65"/>
      <c r="F2611" s="66"/>
      <c r="G2611" s="63"/>
      <c r="H2611" s="67"/>
      <c r="I2611" s="68"/>
      <c r="J2611" s="68"/>
      <c r="K2611" s="32"/>
      <c r="L2611" s="75">
        <v>2611</v>
      </c>
      <c r="M2611" s="75"/>
      <c r="N2611" s="70"/>
      <c r="O2611" s="77" t="s">
        <v>179</v>
      </c>
      <c r="P2611" s="79">
        <v>44979.521469907406</v>
      </c>
      <c r="Q2611" s="77" t="s">
        <v>3623</v>
      </c>
      <c r="R2611" s="77">
        <v>0</v>
      </c>
      <c r="S2611" s="77">
        <v>0</v>
      </c>
      <c r="T2611" s="77">
        <v>0</v>
      </c>
      <c r="U2611" s="77">
        <v>0</v>
      </c>
      <c r="V2611" s="77">
        <v>6</v>
      </c>
      <c r="W2611" s="82" t="s">
        <v>5731</v>
      </c>
      <c r="X2611" s="77"/>
      <c r="Y2611" s="77"/>
      <c r="Z2611" s="77"/>
      <c r="AA2611" s="77" t="s">
        <v>7569</v>
      </c>
      <c r="AB2611" s="77" t="s">
        <v>7696</v>
      </c>
      <c r="AC2611" s="82" t="s">
        <v>7716</v>
      </c>
      <c r="AD2611" s="77" t="s">
        <v>7745</v>
      </c>
      <c r="AE2611" s="80" t="str">
        <f>HYPERLINK("https://twitter.com/gvncorretores/status/1628371756300763140")</f>
        <v>https://twitter.com/gvncorretores/status/1628371756300763140</v>
      </c>
      <c r="AF2611" s="79">
        <v>44979.521469907406</v>
      </c>
      <c r="AG2611" s="85">
        <v>44979</v>
      </c>
      <c r="AH2611" s="82" t="s">
        <v>10100</v>
      </c>
      <c r="AI2611" s="77" t="b">
        <v>0</v>
      </c>
      <c r="AJ2611" s="77"/>
      <c r="AK2611" s="77"/>
      <c r="AL2611" s="77"/>
      <c r="AM2611" s="77"/>
      <c r="AN2611" s="77"/>
      <c r="AO2611" s="77"/>
      <c r="AP2611" s="77"/>
      <c r="AQ2611" s="77" t="s">
        <v>12075</v>
      </c>
      <c r="AR2611" s="77"/>
      <c r="AS2611" s="77"/>
      <c r="AT2611" s="77"/>
      <c r="AU2611" s="77"/>
      <c r="AV2611" s="80" t="str">
        <f>HYPERLINK("https://pbs.twimg.com/media/Fpkje3DX0AE8TJ_.jpg")</f>
        <v>https://pbs.twimg.com/media/Fpkje3DX0AE8TJ_.jpg</v>
      </c>
      <c r="AW2611" s="82" t="s">
        <v>14766</v>
      </c>
      <c r="AX2611" s="82" t="s">
        <v>14766</v>
      </c>
      <c r="AY2611" s="77"/>
      <c r="AZ2611" s="82" t="s">
        <v>15804</v>
      </c>
      <c r="BA2611" s="82" t="s">
        <v>15804</v>
      </c>
      <c r="BB2611" s="82" t="s">
        <v>15804</v>
      </c>
      <c r="BC2611" s="82" t="s">
        <v>14766</v>
      </c>
      <c r="BD2611" s="82" t="s">
        <v>16570</v>
      </c>
      <c r="BE2611" s="77"/>
      <c r="BF2611" s="77"/>
      <c r="BG2611" s="77"/>
      <c r="BH2611" s="77"/>
      <c r="BI2611" s="77"/>
    </row>
    <row r="2612" spans="1:61" x14ac:dyDescent="0.25">
      <c r="A2612" s="62" t="s">
        <v>992</v>
      </c>
      <c r="B2612" s="62" t="s">
        <v>992</v>
      </c>
      <c r="C2612" s="63"/>
      <c r="D2612" s="64"/>
      <c r="E2612" s="65"/>
      <c r="F2612" s="66"/>
      <c r="G2612" s="63"/>
      <c r="H2612" s="67"/>
      <c r="I2612" s="68"/>
      <c r="J2612" s="68"/>
      <c r="K2612" s="32"/>
      <c r="L2612" s="75">
        <v>2612</v>
      </c>
      <c r="M2612" s="75"/>
      <c r="N2612" s="70"/>
      <c r="O2612" s="77" t="s">
        <v>179</v>
      </c>
      <c r="P2612" s="79">
        <v>44928.55574074074</v>
      </c>
      <c r="Q2612" s="77" t="s">
        <v>3624</v>
      </c>
      <c r="R2612" s="77">
        <v>1</v>
      </c>
      <c r="S2612" s="77">
        <v>1</v>
      </c>
      <c r="T2612" s="77">
        <v>0</v>
      </c>
      <c r="U2612" s="77">
        <v>0</v>
      </c>
      <c r="V2612" s="77">
        <v>31</v>
      </c>
      <c r="W2612" s="82" t="s">
        <v>5731</v>
      </c>
      <c r="X2612" s="77"/>
      <c r="Y2612" s="77"/>
      <c r="Z2612" s="77"/>
      <c r="AA2612" s="77" t="s">
        <v>7570</v>
      </c>
      <c r="AB2612" s="77" t="s">
        <v>7696</v>
      </c>
      <c r="AC2612" s="82" t="s">
        <v>7716</v>
      </c>
      <c r="AD2612" s="77" t="s">
        <v>7745</v>
      </c>
      <c r="AE2612" s="80" t="str">
        <f>HYPERLINK("https://twitter.com/gvncorretores/status/1609902397614133251")</f>
        <v>https://twitter.com/gvncorretores/status/1609902397614133251</v>
      </c>
      <c r="AF2612" s="79">
        <v>44928.55574074074</v>
      </c>
      <c r="AG2612" s="85">
        <v>44928</v>
      </c>
      <c r="AH2612" s="82" t="s">
        <v>10101</v>
      </c>
      <c r="AI2612" s="77" t="b">
        <v>0</v>
      </c>
      <c r="AJ2612" s="77"/>
      <c r="AK2612" s="77"/>
      <c r="AL2612" s="77"/>
      <c r="AM2612" s="77"/>
      <c r="AN2612" s="77"/>
      <c r="AO2612" s="77"/>
      <c r="AP2612" s="77"/>
      <c r="AQ2612" s="77" t="s">
        <v>12076</v>
      </c>
      <c r="AR2612" s="77"/>
      <c r="AS2612" s="77"/>
      <c r="AT2612" s="77"/>
      <c r="AU2612" s="77"/>
      <c r="AV2612" s="80" t="str">
        <f>HYPERLINK("https://pbs.twimg.com/media/FleFswsWYAQDxd_.jpg")</f>
        <v>https://pbs.twimg.com/media/FleFswsWYAQDxd_.jpg</v>
      </c>
      <c r="AW2612" s="82" t="s">
        <v>14767</v>
      </c>
      <c r="AX2612" s="82" t="s">
        <v>14767</v>
      </c>
      <c r="AY2612" s="77"/>
      <c r="AZ2612" s="82" t="s">
        <v>15804</v>
      </c>
      <c r="BA2612" s="82" t="s">
        <v>15804</v>
      </c>
      <c r="BB2612" s="82" t="s">
        <v>15804</v>
      </c>
      <c r="BC2612" s="82" t="s">
        <v>14767</v>
      </c>
      <c r="BD2612" s="82" t="s">
        <v>16570</v>
      </c>
      <c r="BE2612" s="77"/>
      <c r="BF2612" s="77"/>
      <c r="BG2612" s="77"/>
      <c r="BH2612" s="77"/>
      <c r="BI2612" s="77"/>
    </row>
    <row r="2613" spans="1:61" x14ac:dyDescent="0.25">
      <c r="A2613" s="62" t="s">
        <v>992</v>
      </c>
      <c r="B2613" s="62" t="s">
        <v>992</v>
      </c>
      <c r="C2613" s="63"/>
      <c r="D2613" s="64"/>
      <c r="E2613" s="65"/>
      <c r="F2613" s="66"/>
      <c r="G2613" s="63"/>
      <c r="H2613" s="67"/>
      <c r="I2613" s="68"/>
      <c r="J2613" s="68"/>
      <c r="K2613" s="32"/>
      <c r="L2613" s="75">
        <v>2613</v>
      </c>
      <c r="M2613" s="75"/>
      <c r="N2613" s="70"/>
      <c r="O2613" s="77" t="s">
        <v>179</v>
      </c>
      <c r="P2613" s="79">
        <v>45007.939502314817</v>
      </c>
      <c r="Q2613" s="77" t="s">
        <v>3625</v>
      </c>
      <c r="R2613" s="77">
        <v>0</v>
      </c>
      <c r="S2613" s="77">
        <v>0</v>
      </c>
      <c r="T2613" s="77">
        <v>0</v>
      </c>
      <c r="U2613" s="77">
        <v>0</v>
      </c>
      <c r="V2613" s="77">
        <v>6</v>
      </c>
      <c r="W2613" s="82" t="s">
        <v>5731</v>
      </c>
      <c r="X2613" s="77"/>
      <c r="Y2613" s="77"/>
      <c r="Z2613" s="77"/>
      <c r="AA2613" s="77" t="s">
        <v>7571</v>
      </c>
      <c r="AB2613" s="77" t="s">
        <v>7696</v>
      </c>
      <c r="AC2613" s="82" t="s">
        <v>7716</v>
      </c>
      <c r="AD2613" s="77" t="s">
        <v>7745</v>
      </c>
      <c r="AE2613" s="80" t="str">
        <f>HYPERLINK("https://twitter.com/gvncorretores/status/1638670107064012800")</f>
        <v>https://twitter.com/gvncorretores/status/1638670107064012800</v>
      </c>
      <c r="AF2613" s="79">
        <v>45007.939502314817</v>
      </c>
      <c r="AG2613" s="85">
        <v>45007</v>
      </c>
      <c r="AH2613" s="82" t="s">
        <v>10102</v>
      </c>
      <c r="AI2613" s="77" t="b">
        <v>0</v>
      </c>
      <c r="AJ2613" s="77"/>
      <c r="AK2613" s="77"/>
      <c r="AL2613" s="77"/>
      <c r="AM2613" s="77"/>
      <c r="AN2613" s="77"/>
      <c r="AO2613" s="77"/>
      <c r="AP2613" s="77"/>
      <c r="AQ2613" s="77" t="s">
        <v>12077</v>
      </c>
      <c r="AR2613" s="77"/>
      <c r="AS2613" s="77"/>
      <c r="AT2613" s="77"/>
      <c r="AU2613" s="77"/>
      <c r="AV2613" s="80" t="str">
        <f>HYPERLINK("https://pbs.twimg.com/media/Fr25xynXwAE4Kxd.jpg")</f>
        <v>https://pbs.twimg.com/media/Fr25xynXwAE4Kxd.jpg</v>
      </c>
      <c r="AW2613" s="82" t="s">
        <v>14768</v>
      </c>
      <c r="AX2613" s="82" t="s">
        <v>14768</v>
      </c>
      <c r="AY2613" s="77"/>
      <c r="AZ2613" s="82" t="s">
        <v>15804</v>
      </c>
      <c r="BA2613" s="82" t="s">
        <v>15804</v>
      </c>
      <c r="BB2613" s="82" t="s">
        <v>15804</v>
      </c>
      <c r="BC2613" s="82" t="s">
        <v>14768</v>
      </c>
      <c r="BD2613" s="82" t="s">
        <v>16570</v>
      </c>
      <c r="BE2613" s="77"/>
      <c r="BF2613" s="77"/>
      <c r="BG2613" s="77"/>
      <c r="BH2613" s="77"/>
      <c r="BI2613" s="77"/>
    </row>
    <row r="2614" spans="1:61" x14ac:dyDescent="0.25">
      <c r="A2614" s="62" t="s">
        <v>992</v>
      </c>
      <c r="B2614" s="62" t="s">
        <v>992</v>
      </c>
      <c r="C2614" s="63"/>
      <c r="D2614" s="64"/>
      <c r="E2614" s="65"/>
      <c r="F2614" s="66"/>
      <c r="G2614" s="63"/>
      <c r="H2614" s="67"/>
      <c r="I2614" s="68"/>
      <c r="J2614" s="68"/>
      <c r="K2614" s="32"/>
      <c r="L2614" s="75">
        <v>2614</v>
      </c>
      <c r="M2614" s="75"/>
      <c r="N2614" s="70"/>
      <c r="O2614" s="77" t="s">
        <v>179</v>
      </c>
      <c r="P2614" s="79">
        <v>45007.851956018516</v>
      </c>
      <c r="Q2614" s="77" t="s">
        <v>3626</v>
      </c>
      <c r="R2614" s="77">
        <v>0</v>
      </c>
      <c r="S2614" s="77">
        <v>0</v>
      </c>
      <c r="T2614" s="77">
        <v>0</v>
      </c>
      <c r="U2614" s="77">
        <v>0</v>
      </c>
      <c r="V2614" s="77">
        <v>10</v>
      </c>
      <c r="W2614" s="82" t="s">
        <v>5731</v>
      </c>
      <c r="X2614" s="77"/>
      <c r="Y2614" s="77"/>
      <c r="Z2614" s="77"/>
      <c r="AA2614" s="77" t="s">
        <v>7572</v>
      </c>
      <c r="AB2614" s="77" t="s">
        <v>7696</v>
      </c>
      <c r="AC2614" s="82" t="s">
        <v>7716</v>
      </c>
      <c r="AD2614" s="77" t="s">
        <v>7745</v>
      </c>
      <c r="AE2614" s="80" t="str">
        <f>HYPERLINK("https://twitter.com/gvncorretores/status/1638638382917251072")</f>
        <v>https://twitter.com/gvncorretores/status/1638638382917251072</v>
      </c>
      <c r="AF2614" s="79">
        <v>45007.851956018516</v>
      </c>
      <c r="AG2614" s="85">
        <v>45007</v>
      </c>
      <c r="AH2614" s="82" t="s">
        <v>10103</v>
      </c>
      <c r="AI2614" s="77" t="b">
        <v>0</v>
      </c>
      <c r="AJ2614" s="77"/>
      <c r="AK2614" s="77"/>
      <c r="AL2614" s="77"/>
      <c r="AM2614" s="77"/>
      <c r="AN2614" s="77"/>
      <c r="AO2614" s="77"/>
      <c r="AP2614" s="77"/>
      <c r="AQ2614" s="77" t="s">
        <v>12078</v>
      </c>
      <c r="AR2614" s="77"/>
      <c r="AS2614" s="77"/>
      <c r="AT2614" s="77"/>
      <c r="AU2614" s="77"/>
      <c r="AV2614" s="80" t="str">
        <f>HYPERLINK("https://pbs.twimg.com/media/Fr2c7OAXsAElIU3.jpg")</f>
        <v>https://pbs.twimg.com/media/Fr2c7OAXsAElIU3.jpg</v>
      </c>
      <c r="AW2614" s="82" t="s">
        <v>14769</v>
      </c>
      <c r="AX2614" s="82" t="s">
        <v>14769</v>
      </c>
      <c r="AY2614" s="77"/>
      <c r="AZ2614" s="82" t="s">
        <v>15804</v>
      </c>
      <c r="BA2614" s="82" t="s">
        <v>15804</v>
      </c>
      <c r="BB2614" s="82" t="s">
        <v>15804</v>
      </c>
      <c r="BC2614" s="82" t="s">
        <v>14769</v>
      </c>
      <c r="BD2614" s="82" t="s">
        <v>16570</v>
      </c>
      <c r="BE2614" s="77"/>
      <c r="BF2614" s="77"/>
      <c r="BG2614" s="77"/>
      <c r="BH2614" s="77"/>
      <c r="BI2614" s="77"/>
    </row>
    <row r="2615" spans="1:61" x14ac:dyDescent="0.25">
      <c r="A2615" s="62" t="s">
        <v>992</v>
      </c>
      <c r="B2615" s="62" t="s">
        <v>992</v>
      </c>
      <c r="C2615" s="63"/>
      <c r="D2615" s="64"/>
      <c r="E2615" s="65"/>
      <c r="F2615" s="66"/>
      <c r="G2615" s="63"/>
      <c r="H2615" s="67"/>
      <c r="I2615" s="68"/>
      <c r="J2615" s="68"/>
      <c r="K2615" s="32"/>
      <c r="L2615" s="75">
        <v>2615</v>
      </c>
      <c r="M2615" s="75"/>
      <c r="N2615" s="70"/>
      <c r="O2615" s="77" t="s">
        <v>179</v>
      </c>
      <c r="P2615" s="79">
        <v>45005.877789351849</v>
      </c>
      <c r="Q2615" s="77" t="s">
        <v>3627</v>
      </c>
      <c r="R2615" s="77">
        <v>0</v>
      </c>
      <c r="S2615" s="77">
        <v>0</v>
      </c>
      <c r="T2615" s="77">
        <v>0</v>
      </c>
      <c r="U2615" s="77">
        <v>0</v>
      </c>
      <c r="V2615" s="77">
        <v>30</v>
      </c>
      <c r="W2615" s="82" t="s">
        <v>5731</v>
      </c>
      <c r="X2615" s="77"/>
      <c r="Y2615" s="77"/>
      <c r="Z2615" s="77"/>
      <c r="AA2615" s="77" t="s">
        <v>7573</v>
      </c>
      <c r="AB2615" s="77" t="s">
        <v>7696</v>
      </c>
      <c r="AC2615" s="82" t="s">
        <v>7716</v>
      </c>
      <c r="AD2615" s="77" t="s">
        <v>7745</v>
      </c>
      <c r="AE2615" s="80" t="str">
        <f>HYPERLINK("https://twitter.com/gvncorretores/status/1637922966917750785")</f>
        <v>https://twitter.com/gvncorretores/status/1637922966917750785</v>
      </c>
      <c r="AF2615" s="79">
        <v>45005.877789351849</v>
      </c>
      <c r="AG2615" s="85">
        <v>45005</v>
      </c>
      <c r="AH2615" s="82" t="s">
        <v>10104</v>
      </c>
      <c r="AI2615" s="77" t="b">
        <v>0</v>
      </c>
      <c r="AJ2615" s="77"/>
      <c r="AK2615" s="77"/>
      <c r="AL2615" s="77"/>
      <c r="AM2615" s="77"/>
      <c r="AN2615" s="77"/>
      <c r="AO2615" s="77"/>
      <c r="AP2615" s="77"/>
      <c r="AQ2615" s="77" t="s">
        <v>12079</v>
      </c>
      <c r="AR2615" s="77"/>
      <c r="AS2615" s="77"/>
      <c r="AT2615" s="77"/>
      <c r="AU2615" s="77"/>
      <c r="AV2615" s="80" t="str">
        <f>HYPERLINK("https://pbs.twimg.com/media/FrsSQgLXsAExQgV.jpg")</f>
        <v>https://pbs.twimg.com/media/FrsSQgLXsAExQgV.jpg</v>
      </c>
      <c r="AW2615" s="82" t="s">
        <v>14770</v>
      </c>
      <c r="AX2615" s="82" t="s">
        <v>14770</v>
      </c>
      <c r="AY2615" s="77"/>
      <c r="AZ2615" s="82" t="s">
        <v>15804</v>
      </c>
      <c r="BA2615" s="82" t="s">
        <v>15804</v>
      </c>
      <c r="BB2615" s="82" t="s">
        <v>15804</v>
      </c>
      <c r="BC2615" s="82" t="s">
        <v>14770</v>
      </c>
      <c r="BD2615" s="82" t="s">
        <v>16570</v>
      </c>
      <c r="BE2615" s="77"/>
      <c r="BF2615" s="77"/>
      <c r="BG2615" s="77"/>
      <c r="BH2615" s="77"/>
      <c r="BI2615" s="77"/>
    </row>
    <row r="2616" spans="1:61" x14ac:dyDescent="0.25">
      <c r="A2616" s="62" t="s">
        <v>992</v>
      </c>
      <c r="B2616" s="62" t="s">
        <v>992</v>
      </c>
      <c r="C2616" s="63"/>
      <c r="D2616" s="64"/>
      <c r="E2616" s="65"/>
      <c r="F2616" s="66"/>
      <c r="G2616" s="63"/>
      <c r="H2616" s="67"/>
      <c r="I2616" s="68"/>
      <c r="J2616" s="68"/>
      <c r="K2616" s="32"/>
      <c r="L2616" s="75">
        <v>2616</v>
      </c>
      <c r="M2616" s="75"/>
      <c r="N2616" s="70"/>
      <c r="O2616" s="77" t="s">
        <v>179</v>
      </c>
      <c r="P2616" s="79">
        <v>45005.813275462962</v>
      </c>
      <c r="Q2616" s="77" t="s">
        <v>3628</v>
      </c>
      <c r="R2616" s="77">
        <v>0</v>
      </c>
      <c r="S2616" s="77">
        <v>0</v>
      </c>
      <c r="T2616" s="77">
        <v>0</v>
      </c>
      <c r="U2616" s="77">
        <v>0</v>
      </c>
      <c r="V2616" s="77">
        <v>15</v>
      </c>
      <c r="W2616" s="82" t="s">
        <v>5731</v>
      </c>
      <c r="X2616" s="77"/>
      <c r="Y2616" s="77"/>
      <c r="Z2616" s="77"/>
      <c r="AA2616" s="77" t="s">
        <v>7574</v>
      </c>
      <c r="AB2616" s="77" t="s">
        <v>7696</v>
      </c>
      <c r="AC2616" s="82" t="s">
        <v>7716</v>
      </c>
      <c r="AD2616" s="77" t="s">
        <v>7745</v>
      </c>
      <c r="AE2616" s="80" t="str">
        <f>HYPERLINK("https://twitter.com/gvncorretores/status/1637899590287474690")</f>
        <v>https://twitter.com/gvncorretores/status/1637899590287474690</v>
      </c>
      <c r="AF2616" s="79">
        <v>45005.813275462962</v>
      </c>
      <c r="AG2616" s="85">
        <v>45005</v>
      </c>
      <c r="AH2616" s="82" t="s">
        <v>10105</v>
      </c>
      <c r="AI2616" s="77" t="b">
        <v>0</v>
      </c>
      <c r="AJ2616" s="77"/>
      <c r="AK2616" s="77"/>
      <c r="AL2616" s="77"/>
      <c r="AM2616" s="77"/>
      <c r="AN2616" s="77"/>
      <c r="AO2616" s="77"/>
      <c r="AP2616" s="77"/>
      <c r="AQ2616" s="77" t="s">
        <v>12080</v>
      </c>
      <c r="AR2616" s="77"/>
      <c r="AS2616" s="77"/>
      <c r="AT2616" s="77"/>
      <c r="AU2616" s="77"/>
      <c r="AV2616" s="80" t="str">
        <f>HYPERLINK("https://pbs.twimg.com/media/Frr8_yPXsAYWMyV.jpg")</f>
        <v>https://pbs.twimg.com/media/Frr8_yPXsAYWMyV.jpg</v>
      </c>
      <c r="AW2616" s="82" t="s">
        <v>14771</v>
      </c>
      <c r="AX2616" s="82" t="s">
        <v>14771</v>
      </c>
      <c r="AY2616" s="77"/>
      <c r="AZ2616" s="82" t="s">
        <v>15804</v>
      </c>
      <c r="BA2616" s="82" t="s">
        <v>15804</v>
      </c>
      <c r="BB2616" s="82" t="s">
        <v>15804</v>
      </c>
      <c r="BC2616" s="82" t="s">
        <v>14771</v>
      </c>
      <c r="BD2616" s="82" t="s">
        <v>16570</v>
      </c>
      <c r="BE2616" s="77"/>
      <c r="BF2616" s="77"/>
      <c r="BG2616" s="77"/>
      <c r="BH2616" s="77"/>
      <c r="BI2616" s="77"/>
    </row>
    <row r="2617" spans="1:61" x14ac:dyDescent="0.25">
      <c r="A2617" s="62" t="s">
        <v>992</v>
      </c>
      <c r="B2617" s="62" t="s">
        <v>992</v>
      </c>
      <c r="C2617" s="63"/>
      <c r="D2617" s="64"/>
      <c r="E2617" s="65"/>
      <c r="F2617" s="66"/>
      <c r="G2617" s="63"/>
      <c r="H2617" s="67"/>
      <c r="I2617" s="68"/>
      <c r="J2617" s="68"/>
      <c r="K2617" s="32"/>
      <c r="L2617" s="75">
        <v>2617</v>
      </c>
      <c r="M2617" s="75"/>
      <c r="N2617" s="70"/>
      <c r="O2617" s="77" t="s">
        <v>179</v>
      </c>
      <c r="P2617" s="79">
        <v>45005.564837962964</v>
      </c>
      <c r="Q2617" s="77" t="s">
        <v>3629</v>
      </c>
      <c r="R2617" s="77">
        <v>0</v>
      </c>
      <c r="S2617" s="77">
        <v>0</v>
      </c>
      <c r="T2617" s="77">
        <v>0</v>
      </c>
      <c r="U2617" s="77">
        <v>0</v>
      </c>
      <c r="V2617" s="77">
        <v>18</v>
      </c>
      <c r="W2617" s="82" t="s">
        <v>5731</v>
      </c>
      <c r="X2617" s="77"/>
      <c r="Y2617" s="77"/>
      <c r="Z2617" s="77"/>
      <c r="AA2617" s="77" t="s">
        <v>7575</v>
      </c>
      <c r="AB2617" s="77" t="s">
        <v>7696</v>
      </c>
      <c r="AC2617" s="82" t="s">
        <v>7716</v>
      </c>
      <c r="AD2617" s="77" t="s">
        <v>7745</v>
      </c>
      <c r="AE2617" s="80" t="str">
        <f>HYPERLINK("https://twitter.com/gvncorretores/status/1637809559543635969")</f>
        <v>https://twitter.com/gvncorretores/status/1637809559543635969</v>
      </c>
      <c r="AF2617" s="79">
        <v>45005.564837962964</v>
      </c>
      <c r="AG2617" s="85">
        <v>45005</v>
      </c>
      <c r="AH2617" s="82" t="s">
        <v>10106</v>
      </c>
      <c r="AI2617" s="77" t="b">
        <v>0</v>
      </c>
      <c r="AJ2617" s="77"/>
      <c r="AK2617" s="77"/>
      <c r="AL2617" s="77"/>
      <c r="AM2617" s="77"/>
      <c r="AN2617" s="77"/>
      <c r="AO2617" s="77"/>
      <c r="AP2617" s="77"/>
      <c r="AQ2617" s="77" t="s">
        <v>12081</v>
      </c>
      <c r="AR2617" s="77"/>
      <c r="AS2617" s="77"/>
      <c r="AT2617" s="77"/>
      <c r="AU2617" s="77"/>
      <c r="AV2617" s="80" t="str">
        <f>HYPERLINK("https://pbs.twimg.com/media/FrqrHWzWIAEJCWO.jpg")</f>
        <v>https://pbs.twimg.com/media/FrqrHWzWIAEJCWO.jpg</v>
      </c>
      <c r="AW2617" s="82" t="s">
        <v>14772</v>
      </c>
      <c r="AX2617" s="82" t="s">
        <v>14772</v>
      </c>
      <c r="AY2617" s="77"/>
      <c r="AZ2617" s="82" t="s">
        <v>15804</v>
      </c>
      <c r="BA2617" s="82" t="s">
        <v>15804</v>
      </c>
      <c r="BB2617" s="82" t="s">
        <v>15804</v>
      </c>
      <c r="BC2617" s="82" t="s">
        <v>14772</v>
      </c>
      <c r="BD2617" s="82" t="s">
        <v>16570</v>
      </c>
      <c r="BE2617" s="77"/>
      <c r="BF2617" s="77"/>
      <c r="BG2617" s="77"/>
      <c r="BH2617" s="77"/>
      <c r="BI2617" s="77"/>
    </row>
    <row r="2618" spans="1:61" x14ac:dyDescent="0.25">
      <c r="A2618" s="62" t="s">
        <v>992</v>
      </c>
      <c r="B2618" s="62" t="s">
        <v>992</v>
      </c>
      <c r="C2618" s="63"/>
      <c r="D2618" s="64"/>
      <c r="E2618" s="65"/>
      <c r="F2618" s="66"/>
      <c r="G2618" s="63"/>
      <c r="H2618" s="67"/>
      <c r="I2618" s="68"/>
      <c r="J2618" s="68"/>
      <c r="K2618" s="32"/>
      <c r="L2618" s="75">
        <v>2618</v>
      </c>
      <c r="M2618" s="75"/>
      <c r="N2618" s="70"/>
      <c r="O2618" s="77" t="s">
        <v>179</v>
      </c>
      <c r="P2618" s="79">
        <v>45005.519004629627</v>
      </c>
      <c r="Q2618" s="77" t="s">
        <v>3630</v>
      </c>
      <c r="R2618" s="77">
        <v>0</v>
      </c>
      <c r="S2618" s="77">
        <v>0</v>
      </c>
      <c r="T2618" s="77">
        <v>0</v>
      </c>
      <c r="U2618" s="77">
        <v>0</v>
      </c>
      <c r="V2618" s="77">
        <v>25</v>
      </c>
      <c r="W2618" s="82" t="s">
        <v>5731</v>
      </c>
      <c r="X2618" s="77"/>
      <c r="Y2618" s="77"/>
      <c r="Z2618" s="77"/>
      <c r="AA2618" s="77" t="s">
        <v>7576</v>
      </c>
      <c r="AB2618" s="77" t="s">
        <v>7696</v>
      </c>
      <c r="AC2618" s="82" t="s">
        <v>7716</v>
      </c>
      <c r="AD2618" s="77" t="s">
        <v>7745</v>
      </c>
      <c r="AE2618" s="80" t="str">
        <f>HYPERLINK("https://twitter.com/gvncorretores/status/1637792948371824642")</f>
        <v>https://twitter.com/gvncorretores/status/1637792948371824642</v>
      </c>
      <c r="AF2618" s="79">
        <v>45005.519004629627</v>
      </c>
      <c r="AG2618" s="85">
        <v>45005</v>
      </c>
      <c r="AH2618" s="82" t="s">
        <v>10107</v>
      </c>
      <c r="AI2618" s="77" t="b">
        <v>0</v>
      </c>
      <c r="AJ2618" s="77"/>
      <c r="AK2618" s="77"/>
      <c r="AL2618" s="77"/>
      <c r="AM2618" s="77"/>
      <c r="AN2618" s="77"/>
      <c r="AO2618" s="77"/>
      <c r="AP2618" s="77"/>
      <c r="AQ2618" s="77" t="s">
        <v>12082</v>
      </c>
      <c r="AR2618" s="77"/>
      <c r="AS2618" s="77"/>
      <c r="AT2618" s="77"/>
      <c r="AU2618" s="77"/>
      <c r="AV2618" s="80" t="str">
        <f>HYPERLINK("https://pbs.twimg.com/media/FrqcAeSXwAUbf8h.jpg")</f>
        <v>https://pbs.twimg.com/media/FrqcAeSXwAUbf8h.jpg</v>
      </c>
      <c r="AW2618" s="82" t="s">
        <v>14773</v>
      </c>
      <c r="AX2618" s="82" t="s">
        <v>14773</v>
      </c>
      <c r="AY2618" s="77"/>
      <c r="AZ2618" s="82" t="s">
        <v>15804</v>
      </c>
      <c r="BA2618" s="82" t="s">
        <v>15804</v>
      </c>
      <c r="BB2618" s="82" t="s">
        <v>15804</v>
      </c>
      <c r="BC2618" s="82" t="s">
        <v>14773</v>
      </c>
      <c r="BD2618" s="82" t="s">
        <v>16570</v>
      </c>
      <c r="BE2618" s="77"/>
      <c r="BF2618" s="77"/>
      <c r="BG2618" s="77"/>
      <c r="BH2618" s="77"/>
      <c r="BI2618" s="77"/>
    </row>
    <row r="2619" spans="1:61" x14ac:dyDescent="0.25">
      <c r="A2619" s="62" t="s">
        <v>992</v>
      </c>
      <c r="B2619" s="62" t="s">
        <v>992</v>
      </c>
      <c r="C2619" s="63"/>
      <c r="D2619" s="64"/>
      <c r="E2619" s="65"/>
      <c r="F2619" s="66"/>
      <c r="G2619" s="63"/>
      <c r="H2619" s="67"/>
      <c r="I2619" s="68"/>
      <c r="J2619" s="68"/>
      <c r="K2619" s="32"/>
      <c r="L2619" s="75">
        <v>2619</v>
      </c>
      <c r="M2619" s="75"/>
      <c r="N2619" s="70"/>
      <c r="O2619" s="77" t="s">
        <v>179</v>
      </c>
      <c r="P2619" s="79">
        <v>44959.594293981485</v>
      </c>
      <c r="Q2619" s="77" t="s">
        <v>3631</v>
      </c>
      <c r="R2619" s="77">
        <v>0</v>
      </c>
      <c r="S2619" s="77">
        <v>0</v>
      </c>
      <c r="T2619" s="77">
        <v>0</v>
      </c>
      <c r="U2619" s="77">
        <v>0</v>
      </c>
      <c r="V2619" s="77">
        <v>10</v>
      </c>
      <c r="W2619" s="82" t="s">
        <v>5731</v>
      </c>
      <c r="X2619" s="77"/>
      <c r="Y2619" s="77"/>
      <c r="Z2619" s="77"/>
      <c r="AA2619" s="77" t="s">
        <v>7577</v>
      </c>
      <c r="AB2619" s="77" t="s">
        <v>7696</v>
      </c>
      <c r="AC2619" s="82" t="s">
        <v>7716</v>
      </c>
      <c r="AD2619" s="77" t="s">
        <v>7745</v>
      </c>
      <c r="AE2619" s="80" t="str">
        <f>HYPERLINK("https://twitter.com/gvncorretores/status/1621150393404383247")</f>
        <v>https://twitter.com/gvncorretores/status/1621150393404383247</v>
      </c>
      <c r="AF2619" s="79">
        <v>44959.594293981485</v>
      </c>
      <c r="AG2619" s="85">
        <v>44959</v>
      </c>
      <c r="AH2619" s="82" t="s">
        <v>10108</v>
      </c>
      <c r="AI2619" s="77" t="b">
        <v>0</v>
      </c>
      <c r="AJ2619" s="77"/>
      <c r="AK2619" s="77"/>
      <c r="AL2619" s="77"/>
      <c r="AM2619" s="77"/>
      <c r="AN2619" s="77"/>
      <c r="AO2619" s="77"/>
      <c r="AP2619" s="77"/>
      <c r="AQ2619" s="77" t="s">
        <v>12083</v>
      </c>
      <c r="AR2619" s="77"/>
      <c r="AS2619" s="77"/>
      <c r="AT2619" s="77"/>
      <c r="AU2619" s="77"/>
      <c r="AV2619" s="80" t="str">
        <f>HYPERLINK("https://pbs.twimg.com/media/Fn97sL9aMAAj3RJ.jpg")</f>
        <v>https://pbs.twimg.com/media/Fn97sL9aMAAj3RJ.jpg</v>
      </c>
      <c r="AW2619" s="82" t="s">
        <v>14774</v>
      </c>
      <c r="AX2619" s="82" t="s">
        <v>14774</v>
      </c>
      <c r="AY2619" s="77"/>
      <c r="AZ2619" s="82" t="s">
        <v>15804</v>
      </c>
      <c r="BA2619" s="82" t="s">
        <v>15804</v>
      </c>
      <c r="BB2619" s="82" t="s">
        <v>15804</v>
      </c>
      <c r="BC2619" s="82" t="s">
        <v>14774</v>
      </c>
      <c r="BD2619" s="82" t="s">
        <v>16570</v>
      </c>
      <c r="BE2619" s="77"/>
      <c r="BF2619" s="77"/>
      <c r="BG2619" s="77"/>
      <c r="BH2619" s="77"/>
      <c r="BI2619" s="77"/>
    </row>
    <row r="2620" spans="1:61" x14ac:dyDescent="0.25">
      <c r="A2620" s="62" t="s">
        <v>992</v>
      </c>
      <c r="B2620" s="62" t="s">
        <v>992</v>
      </c>
      <c r="C2620" s="63"/>
      <c r="D2620" s="64"/>
      <c r="E2620" s="65"/>
      <c r="F2620" s="66"/>
      <c r="G2620" s="63"/>
      <c r="H2620" s="67"/>
      <c r="I2620" s="68"/>
      <c r="J2620" s="68"/>
      <c r="K2620" s="32"/>
      <c r="L2620" s="75">
        <v>2620</v>
      </c>
      <c r="M2620" s="75"/>
      <c r="N2620" s="70"/>
      <c r="O2620" s="77" t="s">
        <v>179</v>
      </c>
      <c r="P2620" s="79">
        <v>44958.875983796293</v>
      </c>
      <c r="Q2620" s="77" t="s">
        <v>3632</v>
      </c>
      <c r="R2620" s="77">
        <v>0</v>
      </c>
      <c r="S2620" s="77">
        <v>0</v>
      </c>
      <c r="T2620" s="77">
        <v>0</v>
      </c>
      <c r="U2620" s="77">
        <v>0</v>
      </c>
      <c r="V2620" s="77">
        <v>4</v>
      </c>
      <c r="W2620" s="82" t="s">
        <v>5731</v>
      </c>
      <c r="X2620" s="77"/>
      <c r="Y2620" s="77"/>
      <c r="Z2620" s="77"/>
      <c r="AA2620" s="77" t="s">
        <v>7578</v>
      </c>
      <c r="AB2620" s="77" t="s">
        <v>7696</v>
      </c>
      <c r="AC2620" s="82" t="s">
        <v>7716</v>
      </c>
      <c r="AD2620" s="77" t="s">
        <v>7745</v>
      </c>
      <c r="AE2620" s="80" t="str">
        <f>HYPERLINK("https://twitter.com/gvncorretores/status/1620890085460697089")</f>
        <v>https://twitter.com/gvncorretores/status/1620890085460697089</v>
      </c>
      <c r="AF2620" s="79">
        <v>44958.875983796293</v>
      </c>
      <c r="AG2620" s="85">
        <v>44958</v>
      </c>
      <c r="AH2620" s="82" t="s">
        <v>10109</v>
      </c>
      <c r="AI2620" s="77" t="b">
        <v>0</v>
      </c>
      <c r="AJ2620" s="77"/>
      <c r="AK2620" s="77"/>
      <c r="AL2620" s="77"/>
      <c r="AM2620" s="77"/>
      <c r="AN2620" s="77"/>
      <c r="AO2620" s="77"/>
      <c r="AP2620" s="77"/>
      <c r="AQ2620" s="77" t="s">
        <v>12084</v>
      </c>
      <c r="AR2620" s="77"/>
      <c r="AS2620" s="77"/>
      <c r="AT2620" s="77"/>
      <c r="AU2620" s="77"/>
      <c r="AV2620" s="80" t="str">
        <f>HYPERLINK("https://pbs.twimg.com/media/Fn6O8SmWYAEZKD_.jpg")</f>
        <v>https://pbs.twimg.com/media/Fn6O8SmWYAEZKD_.jpg</v>
      </c>
      <c r="AW2620" s="82" t="s">
        <v>14775</v>
      </c>
      <c r="AX2620" s="82" t="s">
        <v>14775</v>
      </c>
      <c r="AY2620" s="77"/>
      <c r="AZ2620" s="82" t="s">
        <v>15804</v>
      </c>
      <c r="BA2620" s="82" t="s">
        <v>15804</v>
      </c>
      <c r="BB2620" s="82" t="s">
        <v>15804</v>
      </c>
      <c r="BC2620" s="82" t="s">
        <v>14775</v>
      </c>
      <c r="BD2620" s="82" t="s">
        <v>16570</v>
      </c>
      <c r="BE2620" s="77"/>
      <c r="BF2620" s="77"/>
      <c r="BG2620" s="77"/>
      <c r="BH2620" s="77"/>
      <c r="BI2620" s="77"/>
    </row>
    <row r="2621" spans="1:61" x14ac:dyDescent="0.25">
      <c r="A2621" s="62" t="s">
        <v>992</v>
      </c>
      <c r="B2621" s="62" t="s">
        <v>992</v>
      </c>
      <c r="C2621" s="63"/>
      <c r="D2621" s="64"/>
      <c r="E2621" s="65"/>
      <c r="F2621" s="66"/>
      <c r="G2621" s="63"/>
      <c r="H2621" s="67"/>
      <c r="I2621" s="68"/>
      <c r="J2621" s="68"/>
      <c r="K2621" s="32"/>
      <c r="L2621" s="75">
        <v>2621</v>
      </c>
      <c r="M2621" s="75"/>
      <c r="N2621" s="70"/>
      <c r="O2621" s="77" t="s">
        <v>179</v>
      </c>
      <c r="P2621" s="79">
        <v>44953.738437499997</v>
      </c>
      <c r="Q2621" s="77" t="s">
        <v>3633</v>
      </c>
      <c r="R2621" s="77">
        <v>1</v>
      </c>
      <c r="S2621" s="77">
        <v>1</v>
      </c>
      <c r="T2621" s="77">
        <v>0</v>
      </c>
      <c r="U2621" s="77">
        <v>0</v>
      </c>
      <c r="V2621" s="77">
        <v>11</v>
      </c>
      <c r="W2621" s="82" t="s">
        <v>5731</v>
      </c>
      <c r="X2621" s="77"/>
      <c r="Y2621" s="77"/>
      <c r="Z2621" s="77"/>
      <c r="AA2621" s="77" t="s">
        <v>7579</v>
      </c>
      <c r="AB2621" s="77" t="s">
        <v>7696</v>
      </c>
      <c r="AC2621" s="82" t="s">
        <v>7716</v>
      </c>
      <c r="AD2621" s="77" t="s">
        <v>7745</v>
      </c>
      <c r="AE2621" s="80" t="str">
        <f>HYPERLINK("https://twitter.com/gvncorretores/status/1619028298163535887")</f>
        <v>https://twitter.com/gvncorretores/status/1619028298163535887</v>
      </c>
      <c r="AF2621" s="79">
        <v>44953.738437499997</v>
      </c>
      <c r="AG2621" s="85">
        <v>44953</v>
      </c>
      <c r="AH2621" s="82" t="s">
        <v>10110</v>
      </c>
      <c r="AI2621" s="77" t="b">
        <v>0</v>
      </c>
      <c r="AJ2621" s="77"/>
      <c r="AK2621" s="77"/>
      <c r="AL2621" s="77"/>
      <c r="AM2621" s="77"/>
      <c r="AN2621" s="77"/>
      <c r="AO2621" s="77"/>
      <c r="AP2621" s="77"/>
      <c r="AQ2621" s="77" t="s">
        <v>12085</v>
      </c>
      <c r="AR2621" s="77"/>
      <c r="AS2621" s="77"/>
      <c r="AT2621" s="77"/>
      <c r="AU2621" s="77"/>
      <c r="AV2621" s="80" t="str">
        <f>HYPERLINK("https://pbs.twimg.com/media/FnfxqBwacAYBCde.jpg")</f>
        <v>https://pbs.twimg.com/media/FnfxqBwacAYBCde.jpg</v>
      </c>
      <c r="AW2621" s="82" t="s">
        <v>14776</v>
      </c>
      <c r="AX2621" s="82" t="s">
        <v>14776</v>
      </c>
      <c r="AY2621" s="77"/>
      <c r="AZ2621" s="82" t="s">
        <v>15804</v>
      </c>
      <c r="BA2621" s="82" t="s">
        <v>15804</v>
      </c>
      <c r="BB2621" s="82" t="s">
        <v>15804</v>
      </c>
      <c r="BC2621" s="82" t="s">
        <v>14776</v>
      </c>
      <c r="BD2621" s="82" t="s">
        <v>16570</v>
      </c>
      <c r="BE2621" s="77"/>
      <c r="BF2621" s="77"/>
      <c r="BG2621" s="77"/>
      <c r="BH2621" s="77"/>
      <c r="BI2621" s="77"/>
    </row>
    <row r="2622" spans="1:61" x14ac:dyDescent="0.25">
      <c r="A2622" s="62" t="s">
        <v>992</v>
      </c>
      <c r="B2622" s="62" t="s">
        <v>992</v>
      </c>
      <c r="C2622" s="63"/>
      <c r="D2622" s="64"/>
      <c r="E2622" s="65"/>
      <c r="F2622" s="66"/>
      <c r="G2622" s="63"/>
      <c r="H2622" s="67"/>
      <c r="I2622" s="68"/>
      <c r="J2622" s="68"/>
      <c r="K2622" s="32"/>
      <c r="L2622" s="75">
        <v>2622</v>
      </c>
      <c r="M2622" s="75"/>
      <c r="N2622" s="70"/>
      <c r="O2622" s="77" t="s">
        <v>179</v>
      </c>
      <c r="P2622" s="79">
        <v>45013.870983796296</v>
      </c>
      <c r="Q2622" s="77" t="s">
        <v>3634</v>
      </c>
      <c r="R2622" s="77">
        <v>0</v>
      </c>
      <c r="S2622" s="77">
        <v>0</v>
      </c>
      <c r="T2622" s="77">
        <v>0</v>
      </c>
      <c r="U2622" s="77">
        <v>0</v>
      </c>
      <c r="V2622" s="77">
        <v>11</v>
      </c>
      <c r="W2622" s="82" t="s">
        <v>5731</v>
      </c>
      <c r="X2622" s="77"/>
      <c r="Y2622" s="77"/>
      <c r="Z2622" s="77"/>
      <c r="AA2622" s="77" t="s">
        <v>7580</v>
      </c>
      <c r="AB2622" s="77" t="s">
        <v>7696</v>
      </c>
      <c r="AC2622" s="82" t="s">
        <v>7716</v>
      </c>
      <c r="AD2622" s="77" t="s">
        <v>7745</v>
      </c>
      <c r="AE2622" s="80" t="str">
        <f>HYPERLINK("https://twitter.com/gvncorretores/status/1640819605735190536")</f>
        <v>https://twitter.com/gvncorretores/status/1640819605735190536</v>
      </c>
      <c r="AF2622" s="79">
        <v>45013.870983796296</v>
      </c>
      <c r="AG2622" s="85">
        <v>45013</v>
      </c>
      <c r="AH2622" s="82" t="s">
        <v>10111</v>
      </c>
      <c r="AI2622" s="77" t="b">
        <v>0</v>
      </c>
      <c r="AJ2622" s="77"/>
      <c r="AK2622" s="77"/>
      <c r="AL2622" s="77"/>
      <c r="AM2622" s="77"/>
      <c r="AN2622" s="77"/>
      <c r="AO2622" s="77"/>
      <c r="AP2622" s="77"/>
      <c r="AQ2622" s="77" t="s">
        <v>12086</v>
      </c>
      <c r="AR2622" s="77"/>
      <c r="AS2622" s="77"/>
      <c r="AT2622" s="77"/>
      <c r="AU2622" s="77"/>
      <c r="AV2622" s="80" t="str">
        <f>HYPERLINK("https://pbs.twimg.com/media/FsVcvIQXgAcOSUY.jpg")</f>
        <v>https://pbs.twimg.com/media/FsVcvIQXgAcOSUY.jpg</v>
      </c>
      <c r="AW2622" s="82" t="s">
        <v>14777</v>
      </c>
      <c r="AX2622" s="82" t="s">
        <v>14777</v>
      </c>
      <c r="AY2622" s="77"/>
      <c r="AZ2622" s="82" t="s">
        <v>15804</v>
      </c>
      <c r="BA2622" s="82" t="s">
        <v>15804</v>
      </c>
      <c r="BB2622" s="82" t="s">
        <v>15804</v>
      </c>
      <c r="BC2622" s="82" t="s">
        <v>14777</v>
      </c>
      <c r="BD2622" s="82" t="s">
        <v>16570</v>
      </c>
      <c r="BE2622" s="77"/>
      <c r="BF2622" s="77"/>
      <c r="BG2622" s="77"/>
      <c r="BH2622" s="77"/>
      <c r="BI2622" s="77"/>
    </row>
    <row r="2623" spans="1:61" x14ac:dyDescent="0.25">
      <c r="A2623" s="62" t="s">
        <v>992</v>
      </c>
      <c r="B2623" s="62" t="s">
        <v>992</v>
      </c>
      <c r="C2623" s="63"/>
      <c r="D2623" s="64"/>
      <c r="E2623" s="65"/>
      <c r="F2623" s="66"/>
      <c r="G2623" s="63"/>
      <c r="H2623" s="67"/>
      <c r="I2623" s="68"/>
      <c r="J2623" s="68"/>
      <c r="K2623" s="32"/>
      <c r="L2623" s="75">
        <v>2623</v>
      </c>
      <c r="M2623" s="75"/>
      <c r="N2623" s="70"/>
      <c r="O2623" s="77" t="s">
        <v>179</v>
      </c>
      <c r="P2623" s="79">
        <v>45013.866261574076</v>
      </c>
      <c r="Q2623" s="77" t="s">
        <v>3635</v>
      </c>
      <c r="R2623" s="77">
        <v>0</v>
      </c>
      <c r="S2623" s="77">
        <v>0</v>
      </c>
      <c r="T2623" s="77">
        <v>0</v>
      </c>
      <c r="U2623" s="77">
        <v>0</v>
      </c>
      <c r="V2623" s="77">
        <v>12</v>
      </c>
      <c r="W2623" s="82" t="s">
        <v>5731</v>
      </c>
      <c r="X2623" s="77"/>
      <c r="Y2623" s="77"/>
      <c r="Z2623" s="77"/>
      <c r="AA2623" s="77" t="s">
        <v>7581</v>
      </c>
      <c r="AB2623" s="77" t="s">
        <v>7696</v>
      </c>
      <c r="AC2623" s="82" t="s">
        <v>7716</v>
      </c>
      <c r="AD2623" s="77" t="s">
        <v>7745</v>
      </c>
      <c r="AE2623" s="80" t="str">
        <f>HYPERLINK("https://twitter.com/gvncorretores/status/1640817894148780034")</f>
        <v>https://twitter.com/gvncorretores/status/1640817894148780034</v>
      </c>
      <c r="AF2623" s="79">
        <v>45013.866261574076</v>
      </c>
      <c r="AG2623" s="85">
        <v>45013</v>
      </c>
      <c r="AH2623" s="82" t="s">
        <v>10112</v>
      </c>
      <c r="AI2623" s="77" t="b">
        <v>0</v>
      </c>
      <c r="AJ2623" s="77"/>
      <c r="AK2623" s="77"/>
      <c r="AL2623" s="77"/>
      <c r="AM2623" s="77"/>
      <c r="AN2623" s="77"/>
      <c r="AO2623" s="77"/>
      <c r="AP2623" s="77"/>
      <c r="AQ2623" s="77" t="s">
        <v>12087</v>
      </c>
      <c r="AR2623" s="77"/>
      <c r="AS2623" s="77"/>
      <c r="AT2623" s="77"/>
      <c r="AU2623" s="77"/>
      <c r="AV2623" s="80" t="str">
        <f>HYPERLINK("https://pbs.twimg.com/media/FsVbLeyXwAMSc-B.jpg")</f>
        <v>https://pbs.twimg.com/media/FsVbLeyXwAMSc-B.jpg</v>
      </c>
      <c r="AW2623" s="82" t="s">
        <v>14778</v>
      </c>
      <c r="AX2623" s="82" t="s">
        <v>14778</v>
      </c>
      <c r="AY2623" s="77"/>
      <c r="AZ2623" s="82" t="s">
        <v>15804</v>
      </c>
      <c r="BA2623" s="82" t="s">
        <v>15804</v>
      </c>
      <c r="BB2623" s="82" t="s">
        <v>15804</v>
      </c>
      <c r="BC2623" s="82" t="s">
        <v>14778</v>
      </c>
      <c r="BD2623" s="82" t="s">
        <v>16570</v>
      </c>
      <c r="BE2623" s="77"/>
      <c r="BF2623" s="77"/>
      <c r="BG2623" s="77"/>
      <c r="BH2623" s="77"/>
      <c r="BI2623" s="77"/>
    </row>
    <row r="2624" spans="1:61" x14ac:dyDescent="0.25">
      <c r="A2624" s="62" t="s">
        <v>992</v>
      </c>
      <c r="B2624" s="62" t="s">
        <v>992</v>
      </c>
      <c r="C2624" s="63"/>
      <c r="D2624" s="64"/>
      <c r="E2624" s="65"/>
      <c r="F2624" s="66"/>
      <c r="G2624" s="63"/>
      <c r="H2624" s="67"/>
      <c r="I2624" s="68"/>
      <c r="J2624" s="68"/>
      <c r="K2624" s="32"/>
      <c r="L2624" s="75">
        <v>2624</v>
      </c>
      <c r="M2624" s="75"/>
      <c r="N2624" s="70"/>
      <c r="O2624" s="77" t="s">
        <v>179</v>
      </c>
      <c r="P2624" s="79">
        <v>45013.734884259262</v>
      </c>
      <c r="Q2624" s="77" t="s">
        <v>3636</v>
      </c>
      <c r="R2624" s="77">
        <v>0</v>
      </c>
      <c r="S2624" s="77">
        <v>0</v>
      </c>
      <c r="T2624" s="77">
        <v>0</v>
      </c>
      <c r="U2624" s="77">
        <v>0</v>
      </c>
      <c r="V2624" s="77">
        <v>33</v>
      </c>
      <c r="W2624" s="82" t="s">
        <v>5731</v>
      </c>
      <c r="X2624" s="77"/>
      <c r="Y2624" s="77"/>
      <c r="Z2624" s="77"/>
      <c r="AA2624" s="77" t="s">
        <v>7582</v>
      </c>
      <c r="AB2624" s="77" t="s">
        <v>7696</v>
      </c>
      <c r="AC2624" s="82" t="s">
        <v>7716</v>
      </c>
      <c r="AD2624" s="77" t="s">
        <v>7745</v>
      </c>
      <c r="AE2624" s="80" t="str">
        <f>HYPERLINK("https://twitter.com/gvncorretores/status/1640770283848998937")</f>
        <v>https://twitter.com/gvncorretores/status/1640770283848998937</v>
      </c>
      <c r="AF2624" s="79">
        <v>45013.734884259262</v>
      </c>
      <c r="AG2624" s="85">
        <v>45013</v>
      </c>
      <c r="AH2624" s="82" t="s">
        <v>10113</v>
      </c>
      <c r="AI2624" s="77" t="b">
        <v>0</v>
      </c>
      <c r="AJ2624" s="77"/>
      <c r="AK2624" s="77"/>
      <c r="AL2624" s="77"/>
      <c r="AM2624" s="77"/>
      <c r="AN2624" s="77"/>
      <c r="AO2624" s="77"/>
      <c r="AP2624" s="77"/>
      <c r="AQ2624" s="77" t="s">
        <v>12088</v>
      </c>
      <c r="AR2624" s="77"/>
      <c r="AS2624" s="77"/>
      <c r="AT2624" s="77"/>
      <c r="AU2624" s="77"/>
      <c r="AV2624" s="80" t="str">
        <f>HYPERLINK("https://pbs.twimg.com/media/FsUv4LDWIAoX9f8.jpg")</f>
        <v>https://pbs.twimg.com/media/FsUv4LDWIAoX9f8.jpg</v>
      </c>
      <c r="AW2624" s="82" t="s">
        <v>14779</v>
      </c>
      <c r="AX2624" s="82" t="s">
        <v>14779</v>
      </c>
      <c r="AY2624" s="77"/>
      <c r="AZ2624" s="82" t="s">
        <v>15804</v>
      </c>
      <c r="BA2624" s="82" t="s">
        <v>15804</v>
      </c>
      <c r="BB2624" s="82" t="s">
        <v>15804</v>
      </c>
      <c r="BC2624" s="82" t="s">
        <v>14779</v>
      </c>
      <c r="BD2624" s="82" t="s">
        <v>16570</v>
      </c>
      <c r="BE2624" s="77"/>
      <c r="BF2624" s="77"/>
      <c r="BG2624" s="77"/>
      <c r="BH2624" s="77"/>
      <c r="BI2624" s="77"/>
    </row>
    <row r="2625" spans="1:61" x14ac:dyDescent="0.25">
      <c r="A2625" s="62" t="s">
        <v>992</v>
      </c>
      <c r="B2625" s="62" t="s">
        <v>992</v>
      </c>
      <c r="C2625" s="63"/>
      <c r="D2625" s="64"/>
      <c r="E2625" s="65"/>
      <c r="F2625" s="66"/>
      <c r="G2625" s="63"/>
      <c r="H2625" s="67"/>
      <c r="I2625" s="68"/>
      <c r="J2625" s="68"/>
      <c r="K2625" s="32"/>
      <c r="L2625" s="75">
        <v>2625</v>
      </c>
      <c r="M2625" s="75"/>
      <c r="N2625" s="70"/>
      <c r="O2625" s="77" t="s">
        <v>179</v>
      </c>
      <c r="P2625" s="79">
        <v>45013.628703703704</v>
      </c>
      <c r="Q2625" s="77" t="s">
        <v>3637</v>
      </c>
      <c r="R2625" s="77">
        <v>0</v>
      </c>
      <c r="S2625" s="77">
        <v>0</v>
      </c>
      <c r="T2625" s="77">
        <v>0</v>
      </c>
      <c r="U2625" s="77">
        <v>0</v>
      </c>
      <c r="V2625" s="77">
        <v>24</v>
      </c>
      <c r="W2625" s="82" t="s">
        <v>5731</v>
      </c>
      <c r="X2625" s="77"/>
      <c r="Y2625" s="77"/>
      <c r="Z2625" s="77"/>
      <c r="AA2625" s="77" t="s">
        <v>7583</v>
      </c>
      <c r="AB2625" s="77" t="s">
        <v>7696</v>
      </c>
      <c r="AC2625" s="82" t="s">
        <v>7716</v>
      </c>
      <c r="AD2625" s="77" t="s">
        <v>7745</v>
      </c>
      <c r="AE2625" s="80" t="str">
        <f>HYPERLINK("https://twitter.com/gvncorretores/status/1640731805602004992")</f>
        <v>https://twitter.com/gvncorretores/status/1640731805602004992</v>
      </c>
      <c r="AF2625" s="79">
        <v>45013.628703703704</v>
      </c>
      <c r="AG2625" s="85">
        <v>45013</v>
      </c>
      <c r="AH2625" s="82" t="s">
        <v>9264</v>
      </c>
      <c r="AI2625" s="77" t="b">
        <v>0</v>
      </c>
      <c r="AJ2625" s="77"/>
      <c r="AK2625" s="77"/>
      <c r="AL2625" s="77"/>
      <c r="AM2625" s="77"/>
      <c r="AN2625" s="77"/>
      <c r="AO2625" s="77"/>
      <c r="AP2625" s="77"/>
      <c r="AQ2625" s="77" t="s">
        <v>12089</v>
      </c>
      <c r="AR2625" s="77"/>
      <c r="AS2625" s="77"/>
      <c r="AT2625" s="77"/>
      <c r="AU2625" s="77"/>
      <c r="AV2625" s="80" t="str">
        <f>HYPERLINK("https://pbs.twimg.com/media/FsUM4b2XoAM1f5c.jpg")</f>
        <v>https://pbs.twimg.com/media/FsUM4b2XoAM1f5c.jpg</v>
      </c>
      <c r="AW2625" s="82" t="s">
        <v>14780</v>
      </c>
      <c r="AX2625" s="82" t="s">
        <v>14780</v>
      </c>
      <c r="AY2625" s="77"/>
      <c r="AZ2625" s="82" t="s">
        <v>15804</v>
      </c>
      <c r="BA2625" s="82" t="s">
        <v>15804</v>
      </c>
      <c r="BB2625" s="82" t="s">
        <v>15804</v>
      </c>
      <c r="BC2625" s="82" t="s">
        <v>14780</v>
      </c>
      <c r="BD2625" s="82" t="s">
        <v>16570</v>
      </c>
      <c r="BE2625" s="77"/>
      <c r="BF2625" s="77"/>
      <c r="BG2625" s="77"/>
      <c r="BH2625" s="77"/>
      <c r="BI2625" s="77"/>
    </row>
    <row r="2626" spans="1:61" x14ac:dyDescent="0.25">
      <c r="A2626" s="62" t="s">
        <v>992</v>
      </c>
      <c r="B2626" s="62" t="s">
        <v>992</v>
      </c>
      <c r="C2626" s="63"/>
      <c r="D2626" s="64"/>
      <c r="E2626" s="65"/>
      <c r="F2626" s="66"/>
      <c r="G2626" s="63"/>
      <c r="H2626" s="67"/>
      <c r="I2626" s="68"/>
      <c r="J2626" s="68"/>
      <c r="K2626" s="32"/>
      <c r="L2626" s="75">
        <v>2626</v>
      </c>
      <c r="M2626" s="75"/>
      <c r="N2626" s="70"/>
      <c r="O2626" s="77" t="s">
        <v>179</v>
      </c>
      <c r="P2626" s="79">
        <v>45013.553761574076</v>
      </c>
      <c r="Q2626" s="77" t="s">
        <v>3638</v>
      </c>
      <c r="R2626" s="77">
        <v>0</v>
      </c>
      <c r="S2626" s="77">
        <v>0</v>
      </c>
      <c r="T2626" s="77">
        <v>0</v>
      </c>
      <c r="U2626" s="77">
        <v>0</v>
      </c>
      <c r="V2626" s="77">
        <v>12</v>
      </c>
      <c r="W2626" s="82" t="s">
        <v>5731</v>
      </c>
      <c r="X2626" s="77"/>
      <c r="Y2626" s="77"/>
      <c r="Z2626" s="77"/>
      <c r="AA2626" s="77" t="s">
        <v>7584</v>
      </c>
      <c r="AB2626" s="77" t="s">
        <v>7696</v>
      </c>
      <c r="AC2626" s="82" t="s">
        <v>7716</v>
      </c>
      <c r="AD2626" s="77" t="s">
        <v>7745</v>
      </c>
      <c r="AE2626" s="80" t="str">
        <f>HYPERLINK("https://twitter.com/gvncorretores/status/1640704646820814849")</f>
        <v>https://twitter.com/gvncorretores/status/1640704646820814849</v>
      </c>
      <c r="AF2626" s="79">
        <v>45013.553761574076</v>
      </c>
      <c r="AG2626" s="85">
        <v>45013</v>
      </c>
      <c r="AH2626" s="82" t="s">
        <v>10114</v>
      </c>
      <c r="AI2626" s="77" t="b">
        <v>0</v>
      </c>
      <c r="AJ2626" s="77"/>
      <c r="AK2626" s="77"/>
      <c r="AL2626" s="77"/>
      <c r="AM2626" s="77"/>
      <c r="AN2626" s="77"/>
      <c r="AO2626" s="77"/>
      <c r="AP2626" s="77"/>
      <c r="AQ2626" s="77" t="s">
        <v>12090</v>
      </c>
      <c r="AR2626" s="77"/>
      <c r="AS2626" s="77"/>
      <c r="AT2626" s="77"/>
      <c r="AU2626" s="77"/>
      <c r="AV2626" s="80" t="str">
        <f>HYPERLINK("https://pbs.twimg.com/media/FsT0LojWwAEldWf.jpg")</f>
        <v>https://pbs.twimg.com/media/FsT0LojWwAEldWf.jpg</v>
      </c>
      <c r="AW2626" s="82" t="s">
        <v>14781</v>
      </c>
      <c r="AX2626" s="82" t="s">
        <v>14781</v>
      </c>
      <c r="AY2626" s="77"/>
      <c r="AZ2626" s="82" t="s">
        <v>15804</v>
      </c>
      <c r="BA2626" s="82" t="s">
        <v>15804</v>
      </c>
      <c r="BB2626" s="82" t="s">
        <v>15804</v>
      </c>
      <c r="BC2626" s="82" t="s">
        <v>14781</v>
      </c>
      <c r="BD2626" s="82" t="s">
        <v>16570</v>
      </c>
      <c r="BE2626" s="77"/>
      <c r="BF2626" s="77"/>
      <c r="BG2626" s="77"/>
      <c r="BH2626" s="77"/>
      <c r="BI2626" s="77"/>
    </row>
    <row r="2627" spans="1:61" x14ac:dyDescent="0.25">
      <c r="A2627" s="62" t="s">
        <v>992</v>
      </c>
      <c r="B2627" s="62" t="s">
        <v>992</v>
      </c>
      <c r="C2627" s="63"/>
      <c r="D2627" s="64"/>
      <c r="E2627" s="65"/>
      <c r="F2627" s="66"/>
      <c r="G2627" s="63"/>
      <c r="H2627" s="67"/>
      <c r="I2627" s="68"/>
      <c r="J2627" s="68"/>
      <c r="K2627" s="32"/>
      <c r="L2627" s="75">
        <v>2627</v>
      </c>
      <c r="M2627" s="75"/>
      <c r="N2627" s="70"/>
      <c r="O2627" s="77" t="s">
        <v>179</v>
      </c>
      <c r="P2627" s="79">
        <v>44966.461064814815</v>
      </c>
      <c r="Q2627" s="77" t="s">
        <v>3639</v>
      </c>
      <c r="R2627" s="77">
        <v>0</v>
      </c>
      <c r="S2627" s="77">
        <v>0</v>
      </c>
      <c r="T2627" s="77">
        <v>0</v>
      </c>
      <c r="U2627" s="77">
        <v>0</v>
      </c>
      <c r="V2627" s="77">
        <v>8</v>
      </c>
      <c r="W2627" s="82" t="s">
        <v>5731</v>
      </c>
      <c r="X2627" s="77"/>
      <c r="Y2627" s="77"/>
      <c r="Z2627" s="77"/>
      <c r="AA2627" s="77" t="s">
        <v>7585</v>
      </c>
      <c r="AB2627" s="77" t="s">
        <v>7696</v>
      </c>
      <c r="AC2627" s="82" t="s">
        <v>7716</v>
      </c>
      <c r="AD2627" s="77" t="s">
        <v>7745</v>
      </c>
      <c r="AE2627" s="80" t="str">
        <f>HYPERLINK("https://twitter.com/gvncorretores/status/1623638827674861568")</f>
        <v>https://twitter.com/gvncorretores/status/1623638827674861568</v>
      </c>
      <c r="AF2627" s="79">
        <v>44966.461064814815</v>
      </c>
      <c r="AG2627" s="85">
        <v>44966</v>
      </c>
      <c r="AH2627" s="82" t="s">
        <v>10115</v>
      </c>
      <c r="AI2627" s="77" t="b">
        <v>0</v>
      </c>
      <c r="AJ2627" s="77"/>
      <c r="AK2627" s="77"/>
      <c r="AL2627" s="77"/>
      <c r="AM2627" s="77"/>
      <c r="AN2627" s="77"/>
      <c r="AO2627" s="77"/>
      <c r="AP2627" s="77"/>
      <c r="AQ2627" s="77" t="s">
        <v>12091</v>
      </c>
      <c r="AR2627" s="77"/>
      <c r="AS2627" s="77"/>
      <c r="AT2627" s="77"/>
      <c r="AU2627" s="77"/>
      <c r="AV2627" s="80" t="str">
        <f>HYPERLINK("https://pbs.twimg.com/media/FohS6NUXsAAN8ti.jpg")</f>
        <v>https://pbs.twimg.com/media/FohS6NUXsAAN8ti.jpg</v>
      </c>
      <c r="AW2627" s="82" t="s">
        <v>14782</v>
      </c>
      <c r="AX2627" s="82" t="s">
        <v>14782</v>
      </c>
      <c r="AY2627" s="77"/>
      <c r="AZ2627" s="82" t="s">
        <v>15804</v>
      </c>
      <c r="BA2627" s="82" t="s">
        <v>15804</v>
      </c>
      <c r="BB2627" s="82" t="s">
        <v>15804</v>
      </c>
      <c r="BC2627" s="82" t="s">
        <v>14782</v>
      </c>
      <c r="BD2627" s="82" t="s">
        <v>16570</v>
      </c>
      <c r="BE2627" s="77"/>
      <c r="BF2627" s="77"/>
      <c r="BG2627" s="77"/>
      <c r="BH2627" s="77"/>
      <c r="BI2627" s="77"/>
    </row>
    <row r="2628" spans="1:61" x14ac:dyDescent="0.25">
      <c r="A2628" s="62" t="s">
        <v>992</v>
      </c>
      <c r="B2628" s="62" t="s">
        <v>992</v>
      </c>
      <c r="C2628" s="63"/>
      <c r="D2628" s="64"/>
      <c r="E2628" s="65"/>
      <c r="F2628" s="66"/>
      <c r="G2628" s="63"/>
      <c r="H2628" s="67"/>
      <c r="I2628" s="68"/>
      <c r="J2628" s="68"/>
      <c r="K2628" s="32"/>
      <c r="L2628" s="75">
        <v>2628</v>
      </c>
      <c r="M2628" s="75"/>
      <c r="N2628" s="70"/>
      <c r="O2628" s="77" t="s">
        <v>179</v>
      </c>
      <c r="P2628" s="79">
        <v>44964.863981481481</v>
      </c>
      <c r="Q2628" s="77" t="s">
        <v>3640</v>
      </c>
      <c r="R2628" s="77">
        <v>1</v>
      </c>
      <c r="S2628" s="77">
        <v>1</v>
      </c>
      <c r="T2628" s="77">
        <v>0</v>
      </c>
      <c r="U2628" s="77">
        <v>0</v>
      </c>
      <c r="V2628" s="77">
        <v>20</v>
      </c>
      <c r="W2628" s="82" t="s">
        <v>5731</v>
      </c>
      <c r="X2628" s="77"/>
      <c r="Y2628" s="77"/>
      <c r="Z2628" s="77"/>
      <c r="AA2628" s="77" t="s">
        <v>7586</v>
      </c>
      <c r="AB2628" s="77" t="s">
        <v>7696</v>
      </c>
      <c r="AC2628" s="82" t="s">
        <v>7716</v>
      </c>
      <c r="AD2628" s="77" t="s">
        <v>7745</v>
      </c>
      <c r="AE2628" s="80" t="str">
        <f>HYPERLINK("https://twitter.com/gvncorretores/status/1623060061495914508")</f>
        <v>https://twitter.com/gvncorretores/status/1623060061495914508</v>
      </c>
      <c r="AF2628" s="79">
        <v>44964.863981481481</v>
      </c>
      <c r="AG2628" s="85">
        <v>44964</v>
      </c>
      <c r="AH2628" s="82" t="s">
        <v>10116</v>
      </c>
      <c r="AI2628" s="77" t="b">
        <v>0</v>
      </c>
      <c r="AJ2628" s="77"/>
      <c r="AK2628" s="77"/>
      <c r="AL2628" s="77"/>
      <c r="AM2628" s="77"/>
      <c r="AN2628" s="77"/>
      <c r="AO2628" s="77"/>
      <c r="AP2628" s="77"/>
      <c r="AQ2628" s="77" t="s">
        <v>12092</v>
      </c>
      <c r="AR2628" s="77"/>
      <c r="AS2628" s="77"/>
      <c r="AT2628" s="77"/>
      <c r="AU2628" s="77"/>
      <c r="AV2628" s="80" t="str">
        <f>HYPERLINK("https://pbs.twimg.com/media/FoZEhl9WcA8O4lC.jpg")</f>
        <v>https://pbs.twimg.com/media/FoZEhl9WcA8O4lC.jpg</v>
      </c>
      <c r="AW2628" s="82" t="s">
        <v>14783</v>
      </c>
      <c r="AX2628" s="82" t="s">
        <v>14783</v>
      </c>
      <c r="AY2628" s="77"/>
      <c r="AZ2628" s="82" t="s">
        <v>15804</v>
      </c>
      <c r="BA2628" s="82" t="s">
        <v>15804</v>
      </c>
      <c r="BB2628" s="82" t="s">
        <v>15804</v>
      </c>
      <c r="BC2628" s="82" t="s">
        <v>14783</v>
      </c>
      <c r="BD2628" s="82" t="s">
        <v>16570</v>
      </c>
      <c r="BE2628" s="77"/>
      <c r="BF2628" s="77"/>
      <c r="BG2628" s="77"/>
      <c r="BH2628" s="77"/>
      <c r="BI2628" s="77"/>
    </row>
    <row r="2629" spans="1:61" x14ac:dyDescent="0.25">
      <c r="A2629" s="62" t="s">
        <v>993</v>
      </c>
      <c r="B2629" s="62" t="s">
        <v>993</v>
      </c>
      <c r="C2629" s="63"/>
      <c r="D2629" s="64"/>
      <c r="E2629" s="65"/>
      <c r="F2629" s="66"/>
      <c r="G2629" s="63"/>
      <c r="H2629" s="67"/>
      <c r="I2629" s="68"/>
      <c r="J2629" s="68"/>
      <c r="K2629" s="32"/>
      <c r="L2629" s="75">
        <v>2629</v>
      </c>
      <c r="M2629" s="75"/>
      <c r="N2629" s="70"/>
      <c r="O2629" s="77" t="s">
        <v>179</v>
      </c>
      <c r="P2629" s="79">
        <v>45082.783043981479</v>
      </c>
      <c r="Q2629" s="77" t="s">
        <v>3641</v>
      </c>
      <c r="R2629" s="77">
        <v>0</v>
      </c>
      <c r="S2629" s="77">
        <v>0</v>
      </c>
      <c r="T2629" s="77">
        <v>0</v>
      </c>
      <c r="U2629" s="77">
        <v>0</v>
      </c>
      <c r="V2629" s="77">
        <v>31</v>
      </c>
      <c r="W2629" s="82" t="s">
        <v>5733</v>
      </c>
      <c r="X2629" s="80" t="str">
        <f>HYPERLINK("http://dlvr.it/SqBmt8")</f>
        <v>http://dlvr.it/SqBmt8</v>
      </c>
      <c r="Y2629" s="77" t="s">
        <v>6089</v>
      </c>
      <c r="Z2629" s="77"/>
      <c r="AA2629" s="77" t="s">
        <v>7587</v>
      </c>
      <c r="AB2629" s="77" t="s">
        <v>7696</v>
      </c>
      <c r="AC2629" s="82" t="s">
        <v>6089</v>
      </c>
      <c r="AD2629" s="77" t="s">
        <v>7745</v>
      </c>
      <c r="AE2629" s="80" t="str">
        <f>HYPERLINK("https://twitter.com/financas/status/1665792497606615041")</f>
        <v>https://twitter.com/financas/status/1665792497606615041</v>
      </c>
      <c r="AF2629" s="79">
        <v>45082.783043981479</v>
      </c>
      <c r="AG2629" s="85">
        <v>45082</v>
      </c>
      <c r="AH2629" s="82" t="s">
        <v>10117</v>
      </c>
      <c r="AI2629" s="77" t="b">
        <v>0</v>
      </c>
      <c r="AJ2629" s="77"/>
      <c r="AK2629" s="77"/>
      <c r="AL2629" s="77"/>
      <c r="AM2629" s="77"/>
      <c r="AN2629" s="77"/>
      <c r="AO2629" s="77"/>
      <c r="AP2629" s="77"/>
      <c r="AQ2629" s="77" t="s">
        <v>12093</v>
      </c>
      <c r="AR2629" s="77"/>
      <c r="AS2629" s="77"/>
      <c r="AT2629" s="77"/>
      <c r="AU2629" s="77"/>
      <c r="AV2629" s="80" t="str">
        <f>HYPERLINK("https://pbs.twimg.com/media/Fx4VcvmaEAA-4Uc.jpg")</f>
        <v>https://pbs.twimg.com/media/Fx4VcvmaEAA-4Uc.jpg</v>
      </c>
      <c r="AW2629" s="82" t="s">
        <v>14784</v>
      </c>
      <c r="AX2629" s="82" t="s">
        <v>14784</v>
      </c>
      <c r="AY2629" s="77"/>
      <c r="AZ2629" s="82" t="s">
        <v>15804</v>
      </c>
      <c r="BA2629" s="82" t="s">
        <v>15804</v>
      </c>
      <c r="BB2629" s="82" t="s">
        <v>15804</v>
      </c>
      <c r="BC2629" s="82" t="s">
        <v>14784</v>
      </c>
      <c r="BD2629" s="77">
        <v>25371172</v>
      </c>
      <c r="BE2629" s="77"/>
      <c r="BF2629" s="77"/>
      <c r="BG2629" s="77"/>
      <c r="BH2629" s="77"/>
      <c r="BI2629" s="77"/>
    </row>
    <row r="2630" spans="1:61" x14ac:dyDescent="0.25">
      <c r="A2630" s="62" t="s">
        <v>994</v>
      </c>
      <c r="B2630" s="62" t="s">
        <v>994</v>
      </c>
      <c r="C2630" s="63"/>
      <c r="D2630" s="64"/>
      <c r="E2630" s="65"/>
      <c r="F2630" s="66"/>
      <c r="G2630" s="63"/>
      <c r="H2630" s="67"/>
      <c r="I2630" s="68"/>
      <c r="J2630" s="68"/>
      <c r="K2630" s="32"/>
      <c r="L2630" s="75">
        <v>2630</v>
      </c>
      <c r="M2630" s="75"/>
      <c r="N2630" s="70"/>
      <c r="O2630" s="77" t="s">
        <v>179</v>
      </c>
      <c r="P2630" s="79">
        <v>44951.70753472222</v>
      </c>
      <c r="Q2630" s="77" t="s">
        <v>3642</v>
      </c>
      <c r="R2630" s="77">
        <v>0</v>
      </c>
      <c r="S2630" s="77">
        <v>0</v>
      </c>
      <c r="T2630" s="77">
        <v>0</v>
      </c>
      <c r="U2630" s="77">
        <v>0</v>
      </c>
      <c r="V2630" s="77">
        <v>6</v>
      </c>
      <c r="W2630" s="82" t="s">
        <v>5734</v>
      </c>
      <c r="X2630" s="80" t="str">
        <f>HYPERLINK("https://www.instagram.com/p/Cn2IAlGpOZw/?igshid=YTgzYjQ4ZTY=")</f>
        <v>https://www.instagram.com/p/Cn2IAlGpOZw/?igshid=YTgzYjQ4ZTY=</v>
      </c>
      <c r="Y2630" s="77" t="s">
        <v>6000</v>
      </c>
      <c r="Z2630" s="77"/>
      <c r="AA2630" s="77"/>
      <c r="AB2630" s="77"/>
      <c r="AC2630" s="82" t="s">
        <v>7704</v>
      </c>
      <c r="AD2630" s="77" t="s">
        <v>7745</v>
      </c>
      <c r="AE2630" s="80" t="str">
        <f>HYPERLINK("https://twitter.com/lafbraga/status/1618292326572429313")</f>
        <v>https://twitter.com/lafbraga/status/1618292326572429313</v>
      </c>
      <c r="AF2630" s="79">
        <v>44951.70753472222</v>
      </c>
      <c r="AG2630" s="85">
        <v>44951</v>
      </c>
      <c r="AH2630" s="82" t="s">
        <v>10118</v>
      </c>
      <c r="AI2630" s="77" t="b">
        <v>0</v>
      </c>
      <c r="AJ2630" s="77"/>
      <c r="AK2630" s="77"/>
      <c r="AL2630" s="77"/>
      <c r="AM2630" s="77"/>
      <c r="AN2630" s="77"/>
      <c r="AO2630" s="77"/>
      <c r="AP2630" s="77"/>
      <c r="AQ2630" s="77"/>
      <c r="AR2630" s="77"/>
      <c r="AS2630" s="77"/>
      <c r="AT2630" s="77"/>
      <c r="AU2630" s="77"/>
      <c r="AV2630" s="80" t="str">
        <f>HYPERLINK("https://pbs.twimg.com/profile_images/1641417844469514240/sAYHQMTy_normal.jpg")</f>
        <v>https://pbs.twimg.com/profile_images/1641417844469514240/sAYHQMTy_normal.jpg</v>
      </c>
      <c r="AW2630" s="82" t="s">
        <v>14785</v>
      </c>
      <c r="AX2630" s="82" t="s">
        <v>14785</v>
      </c>
      <c r="AY2630" s="77"/>
      <c r="AZ2630" s="82" t="s">
        <v>15804</v>
      </c>
      <c r="BA2630" s="82" t="s">
        <v>15804</v>
      </c>
      <c r="BB2630" s="82" t="s">
        <v>15804</v>
      </c>
      <c r="BC2630" s="82" t="s">
        <v>14785</v>
      </c>
      <c r="BD2630" s="77">
        <v>175441664</v>
      </c>
      <c r="BE2630" s="77"/>
      <c r="BF2630" s="77"/>
      <c r="BG2630" s="77"/>
      <c r="BH2630" s="77"/>
      <c r="BI2630" s="77"/>
    </row>
    <row r="2631" spans="1:61" x14ac:dyDescent="0.25">
      <c r="A2631" s="62" t="s">
        <v>994</v>
      </c>
      <c r="B2631" s="62" t="s">
        <v>994</v>
      </c>
      <c r="C2631" s="63"/>
      <c r="D2631" s="64"/>
      <c r="E2631" s="65"/>
      <c r="F2631" s="66"/>
      <c r="G2631" s="63"/>
      <c r="H2631" s="67"/>
      <c r="I2631" s="68"/>
      <c r="J2631" s="68"/>
      <c r="K2631" s="32"/>
      <c r="L2631" s="75">
        <v>2631</v>
      </c>
      <c r="M2631" s="75"/>
      <c r="N2631" s="70"/>
      <c r="O2631" s="77" t="s">
        <v>1133</v>
      </c>
      <c r="P2631" s="79">
        <v>44930.028402777774</v>
      </c>
      <c r="Q2631" s="77" t="s">
        <v>3643</v>
      </c>
      <c r="R2631" s="77">
        <v>0</v>
      </c>
      <c r="S2631" s="77">
        <v>0</v>
      </c>
      <c r="T2631" s="77">
        <v>0</v>
      </c>
      <c r="U2631" s="77">
        <v>0</v>
      </c>
      <c r="V2631" s="77">
        <v>22</v>
      </c>
      <c r="W2631" s="82" t="s">
        <v>5735</v>
      </c>
      <c r="X2631" s="80" t="str">
        <f>HYPERLINK("http://www.hirenda.com")</f>
        <v>http://www.hirenda.com</v>
      </c>
      <c r="Y2631" s="77" t="s">
        <v>6111</v>
      </c>
      <c r="Z2631" s="77" t="s">
        <v>994</v>
      </c>
      <c r="AA2631" s="77" t="s">
        <v>7588</v>
      </c>
      <c r="AB2631" s="77" t="s">
        <v>7696</v>
      </c>
      <c r="AC2631" s="82" t="s">
        <v>7707</v>
      </c>
      <c r="AD2631" s="77" t="s">
        <v>7745</v>
      </c>
      <c r="AE2631" s="80" t="str">
        <f>HYPERLINK("https://twitter.com/lafbraga/status/1610436072143552513")</f>
        <v>https://twitter.com/lafbraga/status/1610436072143552513</v>
      </c>
      <c r="AF2631" s="79">
        <v>44930.028402777774</v>
      </c>
      <c r="AG2631" s="85">
        <v>44930</v>
      </c>
      <c r="AH2631" s="82" t="s">
        <v>10119</v>
      </c>
      <c r="AI2631" s="77" t="b">
        <v>0</v>
      </c>
      <c r="AJ2631" s="77"/>
      <c r="AK2631" s="77"/>
      <c r="AL2631" s="77"/>
      <c r="AM2631" s="77"/>
      <c r="AN2631" s="77"/>
      <c r="AO2631" s="77"/>
      <c r="AP2631" s="77"/>
      <c r="AQ2631" s="77" t="s">
        <v>12094</v>
      </c>
      <c r="AR2631" s="77"/>
      <c r="AS2631" s="77"/>
      <c r="AT2631" s="77"/>
      <c r="AU2631" s="77"/>
      <c r="AV2631" s="80" t="str">
        <f>HYPERLINK("https://pbs.twimg.com/media/FllrEsQXgAErd__.jpg")</f>
        <v>https://pbs.twimg.com/media/FllrEsQXgAErd__.jpg</v>
      </c>
      <c r="AW2631" s="82" t="s">
        <v>14786</v>
      </c>
      <c r="AX2631" s="82" t="s">
        <v>14786</v>
      </c>
      <c r="AY2631" s="77"/>
      <c r="AZ2631" s="82" t="s">
        <v>15804</v>
      </c>
      <c r="BA2631" s="82" t="s">
        <v>15804</v>
      </c>
      <c r="BB2631" s="82" t="s">
        <v>15804</v>
      </c>
      <c r="BC2631" s="82" t="s">
        <v>14786</v>
      </c>
      <c r="BD2631" s="77">
        <v>175441664</v>
      </c>
      <c r="BE2631" s="77"/>
      <c r="BF2631" s="77"/>
      <c r="BG2631" s="77"/>
      <c r="BH2631" s="77"/>
      <c r="BI2631" s="77"/>
    </row>
    <row r="2632" spans="1:61" x14ac:dyDescent="0.25">
      <c r="A2632" s="62" t="s">
        <v>994</v>
      </c>
      <c r="B2632" s="62" t="s">
        <v>994</v>
      </c>
      <c r="C2632" s="63"/>
      <c r="D2632" s="64"/>
      <c r="E2632" s="65"/>
      <c r="F2632" s="66"/>
      <c r="G2632" s="63"/>
      <c r="H2632" s="67"/>
      <c r="I2632" s="68"/>
      <c r="J2632" s="68"/>
      <c r="K2632" s="32"/>
      <c r="L2632" s="75">
        <v>2632</v>
      </c>
      <c r="M2632" s="75"/>
      <c r="N2632" s="70"/>
      <c r="O2632" s="77" t="s">
        <v>179</v>
      </c>
      <c r="P2632" s="79">
        <v>44969.681689814817</v>
      </c>
      <c r="Q2632" s="77" t="s">
        <v>3644</v>
      </c>
      <c r="R2632" s="77">
        <v>0</v>
      </c>
      <c r="S2632" s="77">
        <v>0</v>
      </c>
      <c r="T2632" s="77">
        <v>0</v>
      </c>
      <c r="U2632" s="77">
        <v>0</v>
      </c>
      <c r="V2632" s="77">
        <v>8</v>
      </c>
      <c r="W2632" s="82" t="s">
        <v>5736</v>
      </c>
      <c r="X2632" s="80" t="str">
        <f>HYPERLINK("https://www.instagram.com/p/CokaDhcph0U/?igshid=YTgzYjQ4ZTY=")</f>
        <v>https://www.instagram.com/p/CokaDhcph0U/?igshid=YTgzYjQ4ZTY=</v>
      </c>
      <c r="Y2632" s="77" t="s">
        <v>6000</v>
      </c>
      <c r="Z2632" s="77"/>
      <c r="AA2632" s="77"/>
      <c r="AB2632" s="77"/>
      <c r="AC2632" s="82" t="s">
        <v>7704</v>
      </c>
      <c r="AD2632" s="77" t="s">
        <v>7745</v>
      </c>
      <c r="AE2632" s="80" t="str">
        <f>HYPERLINK("https://twitter.com/lafbraga/status/1624805939290247171")</f>
        <v>https://twitter.com/lafbraga/status/1624805939290247171</v>
      </c>
      <c r="AF2632" s="79">
        <v>44969.681689814817</v>
      </c>
      <c r="AG2632" s="85">
        <v>44969</v>
      </c>
      <c r="AH2632" s="82" t="s">
        <v>10120</v>
      </c>
      <c r="AI2632" s="77" t="b">
        <v>0</v>
      </c>
      <c r="AJ2632" s="77"/>
      <c r="AK2632" s="77"/>
      <c r="AL2632" s="77"/>
      <c r="AM2632" s="77"/>
      <c r="AN2632" s="77"/>
      <c r="AO2632" s="77"/>
      <c r="AP2632" s="77"/>
      <c r="AQ2632" s="77"/>
      <c r="AR2632" s="77"/>
      <c r="AS2632" s="77"/>
      <c r="AT2632" s="77"/>
      <c r="AU2632" s="77"/>
      <c r="AV2632" s="80" t="str">
        <f>HYPERLINK("https://pbs.twimg.com/profile_images/1641417844469514240/sAYHQMTy_normal.jpg")</f>
        <v>https://pbs.twimg.com/profile_images/1641417844469514240/sAYHQMTy_normal.jpg</v>
      </c>
      <c r="AW2632" s="82" t="s">
        <v>14787</v>
      </c>
      <c r="AX2632" s="82" t="s">
        <v>14787</v>
      </c>
      <c r="AY2632" s="77"/>
      <c r="AZ2632" s="82" t="s">
        <v>15804</v>
      </c>
      <c r="BA2632" s="82" t="s">
        <v>15804</v>
      </c>
      <c r="BB2632" s="82" t="s">
        <v>15804</v>
      </c>
      <c r="BC2632" s="82" t="s">
        <v>14787</v>
      </c>
      <c r="BD2632" s="77">
        <v>175441664</v>
      </c>
      <c r="BE2632" s="77"/>
      <c r="BF2632" s="77"/>
      <c r="BG2632" s="77"/>
      <c r="BH2632" s="77"/>
      <c r="BI2632" s="77"/>
    </row>
    <row r="2633" spans="1:61" x14ac:dyDescent="0.25">
      <c r="A2633" s="62" t="s">
        <v>995</v>
      </c>
      <c r="B2633" s="62" t="s">
        <v>995</v>
      </c>
      <c r="C2633" s="63"/>
      <c r="D2633" s="64"/>
      <c r="E2633" s="65"/>
      <c r="F2633" s="66"/>
      <c r="G2633" s="63"/>
      <c r="H2633" s="67"/>
      <c r="I2633" s="68"/>
      <c r="J2633" s="68"/>
      <c r="K2633" s="32"/>
      <c r="L2633" s="75">
        <v>2633</v>
      </c>
      <c r="M2633" s="75"/>
      <c r="N2633" s="70"/>
      <c r="O2633" s="77" t="s">
        <v>179</v>
      </c>
      <c r="P2633" s="79">
        <v>45139.743020833332</v>
      </c>
      <c r="Q2633" s="77" t="s">
        <v>3645</v>
      </c>
      <c r="R2633" s="77">
        <v>0</v>
      </c>
      <c r="S2633" s="77">
        <v>0</v>
      </c>
      <c r="T2633" s="77">
        <v>0</v>
      </c>
      <c r="U2633" s="77">
        <v>0</v>
      </c>
      <c r="V2633" s="77">
        <v>82</v>
      </c>
      <c r="W2633" s="82" t="s">
        <v>5737</v>
      </c>
      <c r="X2633" s="80" t="str">
        <f>HYPERLINK("https://www.youtube.com/watch?v=nESN0cQZmVY")</f>
        <v>https://www.youtube.com/watch?v=nESN0cQZmVY</v>
      </c>
      <c r="Y2633" s="77" t="s">
        <v>6006</v>
      </c>
      <c r="Z2633" s="77"/>
      <c r="AA2633" s="77"/>
      <c r="AB2633" s="77"/>
      <c r="AC2633" s="82" t="s">
        <v>7706</v>
      </c>
      <c r="AD2633" s="77" t="s">
        <v>7745</v>
      </c>
      <c r="AE2633" s="80" t="str">
        <f>HYPERLINK("https://twitter.com/sjpf_pt/status/1686434104370221061")</f>
        <v>https://twitter.com/sjpf_pt/status/1686434104370221061</v>
      </c>
      <c r="AF2633" s="79">
        <v>45139.743020833332</v>
      </c>
      <c r="AG2633" s="85">
        <v>45139</v>
      </c>
      <c r="AH2633" s="82" t="s">
        <v>10121</v>
      </c>
      <c r="AI2633" s="77" t="b">
        <v>0</v>
      </c>
      <c r="AJ2633" s="77"/>
      <c r="AK2633" s="77"/>
      <c r="AL2633" s="77"/>
      <c r="AM2633" s="77"/>
      <c r="AN2633" s="77"/>
      <c r="AO2633" s="77"/>
      <c r="AP2633" s="77"/>
      <c r="AQ2633" s="77"/>
      <c r="AR2633" s="77"/>
      <c r="AS2633" s="77"/>
      <c r="AT2633" s="77"/>
      <c r="AU2633" s="77"/>
      <c r="AV2633" s="80" t="str">
        <f>HYPERLINK("https://pbs.twimg.com/profile_images/1078659262476439552/NsjcXeXZ_normal.jpg")</f>
        <v>https://pbs.twimg.com/profile_images/1078659262476439552/NsjcXeXZ_normal.jpg</v>
      </c>
      <c r="AW2633" s="82" t="s">
        <v>14788</v>
      </c>
      <c r="AX2633" s="82" t="s">
        <v>14788</v>
      </c>
      <c r="AY2633" s="77"/>
      <c r="AZ2633" s="82" t="s">
        <v>15804</v>
      </c>
      <c r="BA2633" s="82" t="s">
        <v>15804</v>
      </c>
      <c r="BB2633" s="82" t="s">
        <v>15804</v>
      </c>
      <c r="BC2633" s="82" t="s">
        <v>14788</v>
      </c>
      <c r="BD2633" s="77">
        <v>191506546</v>
      </c>
      <c r="BE2633" s="77"/>
      <c r="BF2633" s="77"/>
      <c r="BG2633" s="77"/>
      <c r="BH2633" s="77"/>
      <c r="BI2633" s="77"/>
    </row>
    <row r="2634" spans="1:61" x14ac:dyDescent="0.25">
      <c r="A2634" s="62" t="s">
        <v>996</v>
      </c>
      <c r="B2634" s="62" t="s">
        <v>1001</v>
      </c>
      <c r="C2634" s="63"/>
      <c r="D2634" s="64"/>
      <c r="E2634" s="65"/>
      <c r="F2634" s="66"/>
      <c r="G2634" s="63"/>
      <c r="H2634" s="67"/>
      <c r="I2634" s="68"/>
      <c r="J2634" s="68"/>
      <c r="K2634" s="32"/>
      <c r="L2634" s="75">
        <v>2634</v>
      </c>
      <c r="M2634" s="75"/>
      <c r="N2634" s="70"/>
      <c r="O2634" s="77" t="s">
        <v>1135</v>
      </c>
      <c r="P2634" s="79">
        <v>45078.458483796298</v>
      </c>
      <c r="Q2634" s="77" t="s">
        <v>3646</v>
      </c>
      <c r="R2634" s="77">
        <v>0</v>
      </c>
      <c r="S2634" s="77">
        <v>0</v>
      </c>
      <c r="T2634" s="77">
        <v>0</v>
      </c>
      <c r="U2634" s="77">
        <v>0</v>
      </c>
      <c r="V2634" s="77">
        <v>11</v>
      </c>
      <c r="W2634" s="82" t="s">
        <v>5738</v>
      </c>
      <c r="X2634" s="77"/>
      <c r="Y2634" s="77"/>
      <c r="Z2634" s="77"/>
      <c r="AA2634" s="77"/>
      <c r="AB2634" s="77"/>
      <c r="AC2634" s="82" t="s">
        <v>7706</v>
      </c>
      <c r="AD2634" s="77" t="s">
        <v>7745</v>
      </c>
      <c r="AE2634" s="80" t="str">
        <f>HYPERLINK("https://twitter.com/cidtff/status/1664225329743790081")</f>
        <v>https://twitter.com/cidtff/status/1664225329743790081</v>
      </c>
      <c r="AF2634" s="79">
        <v>45078.458483796298</v>
      </c>
      <c r="AG2634" s="85">
        <v>45078</v>
      </c>
      <c r="AH2634" s="82" t="s">
        <v>10122</v>
      </c>
      <c r="AI2634" s="77"/>
      <c r="AJ2634" s="77"/>
      <c r="AK2634" s="77"/>
      <c r="AL2634" s="77"/>
      <c r="AM2634" s="77"/>
      <c r="AN2634" s="77"/>
      <c r="AO2634" s="77"/>
      <c r="AP2634" s="77"/>
      <c r="AQ2634" s="77"/>
      <c r="AR2634" s="77"/>
      <c r="AS2634" s="77"/>
      <c r="AT2634" s="77"/>
      <c r="AU2634" s="77"/>
      <c r="AV2634" s="80" t="str">
        <f>HYPERLINK("https://pbs.twimg.com/profile_images/1006208154437390336/6sWlJVh2_normal.jpg")</f>
        <v>https://pbs.twimg.com/profile_images/1006208154437390336/6sWlJVh2_normal.jpg</v>
      </c>
      <c r="AW2634" s="82" t="s">
        <v>14789</v>
      </c>
      <c r="AX2634" s="82" t="s">
        <v>14789</v>
      </c>
      <c r="AY2634" s="77"/>
      <c r="AZ2634" s="82" t="s">
        <v>15804</v>
      </c>
      <c r="BA2634" s="82" t="s">
        <v>14872</v>
      </c>
      <c r="BB2634" s="82" t="s">
        <v>15804</v>
      </c>
      <c r="BC2634" s="82" t="s">
        <v>14872</v>
      </c>
      <c r="BD2634" s="82" t="s">
        <v>16571</v>
      </c>
      <c r="BE2634" s="77"/>
      <c r="BF2634" s="77"/>
      <c r="BG2634" s="77"/>
      <c r="BH2634" s="77"/>
      <c r="BI2634" s="77"/>
    </row>
    <row r="2635" spans="1:61" x14ac:dyDescent="0.25">
      <c r="A2635" s="62" t="s">
        <v>734</v>
      </c>
      <c r="B2635" s="62" t="s">
        <v>734</v>
      </c>
      <c r="C2635" s="63"/>
      <c r="D2635" s="64"/>
      <c r="E2635" s="65"/>
      <c r="F2635" s="66"/>
      <c r="G2635" s="63"/>
      <c r="H2635" s="67"/>
      <c r="I2635" s="68"/>
      <c r="J2635" s="68"/>
      <c r="K2635" s="32"/>
      <c r="L2635" s="75">
        <v>2635</v>
      </c>
      <c r="M2635" s="75"/>
      <c r="N2635" s="70"/>
      <c r="O2635" s="77" t="s">
        <v>1132</v>
      </c>
      <c r="P2635" s="79">
        <v>45075.902997685182</v>
      </c>
      <c r="Q2635" s="77" t="s">
        <v>3647</v>
      </c>
      <c r="R2635" s="77">
        <v>0</v>
      </c>
      <c r="S2635" s="77">
        <v>4</v>
      </c>
      <c r="T2635" s="77">
        <v>0</v>
      </c>
      <c r="U2635" s="77">
        <v>0</v>
      </c>
      <c r="V2635" s="77">
        <v>2883</v>
      </c>
      <c r="W2635" s="82" t="s">
        <v>5739</v>
      </c>
      <c r="X2635" s="77"/>
      <c r="Y2635" s="77"/>
      <c r="Z2635" s="77"/>
      <c r="AA2635" s="77"/>
      <c r="AB2635" s="77"/>
      <c r="AC2635" s="82" t="s">
        <v>7706</v>
      </c>
      <c r="AD2635" s="77" t="s">
        <v>7745</v>
      </c>
      <c r="AE2635" s="80" t="str">
        <f>HYPERLINK("https://twitter.com/b3_oficial/status/1663299254981410816")</f>
        <v>https://twitter.com/b3_oficial/status/1663299254981410816</v>
      </c>
      <c r="AF2635" s="79">
        <v>45075.902997685182</v>
      </c>
      <c r="AG2635" s="85">
        <v>45075</v>
      </c>
      <c r="AH2635" s="82" t="s">
        <v>10123</v>
      </c>
      <c r="AI2635" s="77"/>
      <c r="AJ2635" s="77"/>
      <c r="AK2635" s="77"/>
      <c r="AL2635" s="77"/>
      <c r="AM2635" s="77"/>
      <c r="AN2635" s="77"/>
      <c r="AO2635" s="77"/>
      <c r="AP2635" s="77"/>
      <c r="AQ2635" s="77"/>
      <c r="AR2635" s="77"/>
      <c r="AS2635" s="77"/>
      <c r="AT2635" s="77"/>
      <c r="AU2635" s="77"/>
      <c r="AV2635" s="80" t="str">
        <f>HYPERLINK("https://pbs.twimg.com/profile_images/1505968327499436049/Ivkcir3F_normal.jpg")</f>
        <v>https://pbs.twimg.com/profile_images/1505968327499436049/Ivkcir3F_normal.jpg</v>
      </c>
      <c r="AW2635" s="82" t="s">
        <v>14790</v>
      </c>
      <c r="AX2635" s="82" t="s">
        <v>15618</v>
      </c>
      <c r="AY2635" s="82" t="s">
        <v>15797</v>
      </c>
      <c r="AZ2635" s="82" t="s">
        <v>15618</v>
      </c>
      <c r="BA2635" s="82" t="s">
        <v>15804</v>
      </c>
      <c r="BB2635" s="82" t="s">
        <v>15804</v>
      </c>
      <c r="BC2635" s="82" t="s">
        <v>15618</v>
      </c>
      <c r="BD2635" s="77">
        <v>74550038</v>
      </c>
      <c r="BE2635" s="77"/>
      <c r="BF2635" s="77"/>
      <c r="BG2635" s="77"/>
      <c r="BH2635" s="77"/>
      <c r="BI2635" s="77"/>
    </row>
    <row r="2636" spans="1:61" x14ac:dyDescent="0.25">
      <c r="A2636" s="62" t="s">
        <v>734</v>
      </c>
      <c r="B2636" s="62" t="s">
        <v>734</v>
      </c>
      <c r="C2636" s="63"/>
      <c r="D2636" s="64"/>
      <c r="E2636" s="65"/>
      <c r="F2636" s="66"/>
      <c r="G2636" s="63"/>
      <c r="H2636" s="67"/>
      <c r="I2636" s="68"/>
      <c r="J2636" s="68"/>
      <c r="K2636" s="32"/>
      <c r="L2636" s="75">
        <v>2636</v>
      </c>
      <c r="M2636" s="75"/>
      <c r="N2636" s="70"/>
      <c r="O2636" s="77" t="s">
        <v>1132</v>
      </c>
      <c r="P2636" s="79">
        <v>45072.939791666664</v>
      </c>
      <c r="Q2636" s="77" t="s">
        <v>3648</v>
      </c>
      <c r="R2636" s="77">
        <v>1</v>
      </c>
      <c r="S2636" s="77">
        <v>3</v>
      </c>
      <c r="T2636" s="77">
        <v>0</v>
      </c>
      <c r="U2636" s="77">
        <v>0</v>
      </c>
      <c r="V2636" s="77">
        <v>2823</v>
      </c>
      <c r="W2636" s="82" t="s">
        <v>5740</v>
      </c>
      <c r="X2636" s="77"/>
      <c r="Y2636" s="77"/>
      <c r="Z2636" s="77"/>
      <c r="AA2636" s="77"/>
      <c r="AB2636" s="77"/>
      <c r="AC2636" s="82" t="s">
        <v>7706</v>
      </c>
      <c r="AD2636" s="77" t="s">
        <v>7745</v>
      </c>
      <c r="AE2636" s="80" t="str">
        <f>HYPERLINK("https://twitter.com/b3_oficial/status/1662225423642824704")</f>
        <v>https://twitter.com/b3_oficial/status/1662225423642824704</v>
      </c>
      <c r="AF2636" s="79">
        <v>45072.939791666664</v>
      </c>
      <c r="AG2636" s="85">
        <v>45072</v>
      </c>
      <c r="AH2636" s="82" t="s">
        <v>10124</v>
      </c>
      <c r="AI2636" s="77"/>
      <c r="AJ2636" s="77"/>
      <c r="AK2636" s="77"/>
      <c r="AL2636" s="77"/>
      <c r="AM2636" s="77"/>
      <c r="AN2636" s="77"/>
      <c r="AO2636" s="77"/>
      <c r="AP2636" s="77"/>
      <c r="AQ2636" s="77"/>
      <c r="AR2636" s="77"/>
      <c r="AS2636" s="77"/>
      <c r="AT2636" s="77"/>
      <c r="AU2636" s="77"/>
      <c r="AV2636" s="80" t="str">
        <f>HYPERLINK("https://pbs.twimg.com/profile_images/1505968327499436049/Ivkcir3F_normal.jpg")</f>
        <v>https://pbs.twimg.com/profile_images/1505968327499436049/Ivkcir3F_normal.jpg</v>
      </c>
      <c r="AW2636" s="82" t="s">
        <v>14791</v>
      </c>
      <c r="AX2636" s="82" t="s">
        <v>15619</v>
      </c>
      <c r="AY2636" s="82" t="s">
        <v>15797</v>
      </c>
      <c r="AZ2636" s="82" t="s">
        <v>15619</v>
      </c>
      <c r="BA2636" s="82" t="s">
        <v>15804</v>
      </c>
      <c r="BB2636" s="82" t="s">
        <v>15804</v>
      </c>
      <c r="BC2636" s="82" t="s">
        <v>15619</v>
      </c>
      <c r="BD2636" s="77">
        <v>74550038</v>
      </c>
      <c r="BE2636" s="77"/>
      <c r="BF2636" s="77"/>
      <c r="BG2636" s="77"/>
      <c r="BH2636" s="77"/>
      <c r="BI2636" s="77"/>
    </row>
    <row r="2637" spans="1:61" x14ac:dyDescent="0.25">
      <c r="A2637" s="62" t="s">
        <v>734</v>
      </c>
      <c r="B2637" s="62" t="s">
        <v>734</v>
      </c>
      <c r="C2637" s="63"/>
      <c r="D2637" s="64"/>
      <c r="E2637" s="65"/>
      <c r="F2637" s="66"/>
      <c r="G2637" s="63"/>
      <c r="H2637" s="67"/>
      <c r="I2637" s="68"/>
      <c r="J2637" s="68"/>
      <c r="K2637" s="32"/>
      <c r="L2637" s="75">
        <v>2637</v>
      </c>
      <c r="M2637" s="75"/>
      <c r="N2637" s="70"/>
      <c r="O2637" s="77" t="s">
        <v>1132</v>
      </c>
      <c r="P2637" s="79">
        <v>45072.01017361111</v>
      </c>
      <c r="Q2637" s="77" t="s">
        <v>3649</v>
      </c>
      <c r="R2637" s="77">
        <v>0</v>
      </c>
      <c r="S2637" s="77">
        <v>1</v>
      </c>
      <c r="T2637" s="77">
        <v>0</v>
      </c>
      <c r="U2637" s="77">
        <v>0</v>
      </c>
      <c r="V2637" s="77">
        <v>2824</v>
      </c>
      <c r="W2637" s="82" t="s">
        <v>5741</v>
      </c>
      <c r="X2637" s="77"/>
      <c r="Y2637" s="77"/>
      <c r="Z2637" s="77"/>
      <c r="AA2637" s="77"/>
      <c r="AB2637" s="77"/>
      <c r="AC2637" s="82" t="s">
        <v>7706</v>
      </c>
      <c r="AD2637" s="77" t="s">
        <v>7745</v>
      </c>
      <c r="AE2637" s="80" t="str">
        <f>HYPERLINK("https://twitter.com/b3_oficial/status/1661888543306788864")</f>
        <v>https://twitter.com/b3_oficial/status/1661888543306788864</v>
      </c>
      <c r="AF2637" s="79">
        <v>45072.01017361111</v>
      </c>
      <c r="AG2637" s="85">
        <v>45072</v>
      </c>
      <c r="AH2637" s="82" t="s">
        <v>10125</v>
      </c>
      <c r="AI2637" s="77"/>
      <c r="AJ2637" s="77"/>
      <c r="AK2637" s="77"/>
      <c r="AL2637" s="77"/>
      <c r="AM2637" s="77"/>
      <c r="AN2637" s="77"/>
      <c r="AO2637" s="77"/>
      <c r="AP2637" s="77"/>
      <c r="AQ2637" s="77"/>
      <c r="AR2637" s="77"/>
      <c r="AS2637" s="77"/>
      <c r="AT2637" s="77"/>
      <c r="AU2637" s="77"/>
      <c r="AV2637" s="80" t="str">
        <f>HYPERLINK("https://pbs.twimg.com/profile_images/1505968327499436049/Ivkcir3F_normal.jpg")</f>
        <v>https://pbs.twimg.com/profile_images/1505968327499436049/Ivkcir3F_normal.jpg</v>
      </c>
      <c r="AW2637" s="82" t="s">
        <v>14792</v>
      </c>
      <c r="AX2637" s="82" t="s">
        <v>15620</v>
      </c>
      <c r="AY2637" s="82" t="s">
        <v>15797</v>
      </c>
      <c r="AZ2637" s="82" t="s">
        <v>15620</v>
      </c>
      <c r="BA2637" s="82" t="s">
        <v>15804</v>
      </c>
      <c r="BB2637" s="82" t="s">
        <v>15804</v>
      </c>
      <c r="BC2637" s="82" t="s">
        <v>15620</v>
      </c>
      <c r="BD2637" s="77">
        <v>74550038</v>
      </c>
      <c r="BE2637" s="77"/>
      <c r="BF2637" s="77"/>
      <c r="BG2637" s="77"/>
      <c r="BH2637" s="77"/>
      <c r="BI2637" s="77"/>
    </row>
    <row r="2638" spans="1:61" x14ac:dyDescent="0.25">
      <c r="A2638" s="62" t="s">
        <v>734</v>
      </c>
      <c r="B2638" s="62" t="s">
        <v>734</v>
      </c>
      <c r="C2638" s="63"/>
      <c r="D2638" s="64"/>
      <c r="E2638" s="65"/>
      <c r="F2638" s="66"/>
      <c r="G2638" s="63"/>
      <c r="H2638" s="67"/>
      <c r="I2638" s="68"/>
      <c r="J2638" s="68"/>
      <c r="K2638" s="32"/>
      <c r="L2638" s="75">
        <v>2638</v>
      </c>
      <c r="M2638" s="75"/>
      <c r="N2638" s="70"/>
      <c r="O2638" s="77" t="s">
        <v>1132</v>
      </c>
      <c r="P2638" s="79">
        <v>45036.950578703705</v>
      </c>
      <c r="Q2638" s="77" t="s">
        <v>3650</v>
      </c>
      <c r="R2638" s="77">
        <v>1</v>
      </c>
      <c r="S2638" s="77">
        <v>6</v>
      </c>
      <c r="T2638" s="77">
        <v>0</v>
      </c>
      <c r="U2638" s="77">
        <v>0</v>
      </c>
      <c r="V2638" s="77">
        <v>2731</v>
      </c>
      <c r="W2638" s="82" t="s">
        <v>5742</v>
      </c>
      <c r="X2638" s="77"/>
      <c r="Y2638" s="77"/>
      <c r="Z2638" s="77"/>
      <c r="AA2638" s="77"/>
      <c r="AB2638" s="77"/>
      <c r="AC2638" s="82" t="s">
        <v>7706</v>
      </c>
      <c r="AD2638" s="77" t="s">
        <v>7745</v>
      </c>
      <c r="AE2638" s="80" t="str">
        <f>HYPERLINK("https://twitter.com/b3_oficial/status/1649183368544763904")</f>
        <v>https://twitter.com/b3_oficial/status/1649183368544763904</v>
      </c>
      <c r="AF2638" s="79">
        <v>45036.950578703705</v>
      </c>
      <c r="AG2638" s="85">
        <v>45036</v>
      </c>
      <c r="AH2638" s="82" t="s">
        <v>10126</v>
      </c>
      <c r="AI2638" s="77"/>
      <c r="AJ2638" s="77"/>
      <c r="AK2638" s="77"/>
      <c r="AL2638" s="77"/>
      <c r="AM2638" s="77"/>
      <c r="AN2638" s="77"/>
      <c r="AO2638" s="77"/>
      <c r="AP2638" s="77"/>
      <c r="AQ2638" s="77"/>
      <c r="AR2638" s="77"/>
      <c r="AS2638" s="77"/>
      <c r="AT2638" s="77"/>
      <c r="AU2638" s="77"/>
      <c r="AV2638" s="80" t="str">
        <f>HYPERLINK("https://pbs.twimg.com/profile_images/1505968327499436049/Ivkcir3F_normal.jpg")</f>
        <v>https://pbs.twimg.com/profile_images/1505968327499436049/Ivkcir3F_normal.jpg</v>
      </c>
      <c r="AW2638" s="82" t="s">
        <v>14793</v>
      </c>
      <c r="AX2638" s="82" t="s">
        <v>15621</v>
      </c>
      <c r="AY2638" s="82" t="s">
        <v>15797</v>
      </c>
      <c r="AZ2638" s="82" t="s">
        <v>15621</v>
      </c>
      <c r="BA2638" s="82" t="s">
        <v>15804</v>
      </c>
      <c r="BB2638" s="82" t="s">
        <v>15804</v>
      </c>
      <c r="BC2638" s="82" t="s">
        <v>15621</v>
      </c>
      <c r="BD2638" s="77">
        <v>74550038</v>
      </c>
      <c r="BE2638" s="77"/>
      <c r="BF2638" s="77"/>
      <c r="BG2638" s="77"/>
      <c r="BH2638" s="77"/>
      <c r="BI2638" s="77"/>
    </row>
    <row r="2639" spans="1:61" x14ac:dyDescent="0.25">
      <c r="A2639" s="62" t="s">
        <v>734</v>
      </c>
      <c r="B2639" s="62" t="s">
        <v>734</v>
      </c>
      <c r="C2639" s="63"/>
      <c r="D2639" s="64"/>
      <c r="E2639" s="65"/>
      <c r="F2639" s="66"/>
      <c r="G2639" s="63"/>
      <c r="H2639" s="67"/>
      <c r="I2639" s="68"/>
      <c r="J2639" s="68"/>
      <c r="K2639" s="32"/>
      <c r="L2639" s="75">
        <v>2639</v>
      </c>
      <c r="M2639" s="75"/>
      <c r="N2639" s="70"/>
      <c r="O2639" s="77" t="s">
        <v>1132</v>
      </c>
      <c r="P2639" s="79">
        <v>45035.923032407409</v>
      </c>
      <c r="Q2639" s="77" t="s">
        <v>3651</v>
      </c>
      <c r="R2639" s="77">
        <v>2</v>
      </c>
      <c r="S2639" s="77">
        <v>2</v>
      </c>
      <c r="T2639" s="77">
        <v>1</v>
      </c>
      <c r="U2639" s="77">
        <v>0</v>
      </c>
      <c r="V2639" s="77">
        <v>2853</v>
      </c>
      <c r="W2639" s="82" t="s">
        <v>5743</v>
      </c>
      <c r="X2639" s="77"/>
      <c r="Y2639" s="77"/>
      <c r="Z2639" s="77"/>
      <c r="AA2639" s="77"/>
      <c r="AB2639" s="77"/>
      <c r="AC2639" s="82" t="s">
        <v>7706</v>
      </c>
      <c r="AD2639" s="77" t="s">
        <v>7745</v>
      </c>
      <c r="AE2639" s="80" t="str">
        <f>HYPERLINK("https://twitter.com/b3_oficial/status/1648810999078612997")</f>
        <v>https://twitter.com/b3_oficial/status/1648810999078612997</v>
      </c>
      <c r="AF2639" s="79">
        <v>45035.923032407409</v>
      </c>
      <c r="AG2639" s="85">
        <v>45035</v>
      </c>
      <c r="AH2639" s="82" t="s">
        <v>10127</v>
      </c>
      <c r="AI2639" s="77"/>
      <c r="AJ2639" s="77"/>
      <c r="AK2639" s="77"/>
      <c r="AL2639" s="77"/>
      <c r="AM2639" s="77"/>
      <c r="AN2639" s="77"/>
      <c r="AO2639" s="77"/>
      <c r="AP2639" s="77"/>
      <c r="AQ2639" s="77"/>
      <c r="AR2639" s="77"/>
      <c r="AS2639" s="77"/>
      <c r="AT2639" s="77"/>
      <c r="AU2639" s="77"/>
      <c r="AV2639" s="80" t="str">
        <f>HYPERLINK("https://pbs.twimg.com/profile_images/1505968327499436049/Ivkcir3F_normal.jpg")</f>
        <v>https://pbs.twimg.com/profile_images/1505968327499436049/Ivkcir3F_normal.jpg</v>
      </c>
      <c r="AW2639" s="82" t="s">
        <v>14794</v>
      </c>
      <c r="AX2639" s="82" t="s">
        <v>15622</v>
      </c>
      <c r="AY2639" s="82" t="s">
        <v>15797</v>
      </c>
      <c r="AZ2639" s="82" t="s">
        <v>15622</v>
      </c>
      <c r="BA2639" s="82" t="s">
        <v>15804</v>
      </c>
      <c r="BB2639" s="82" t="s">
        <v>15804</v>
      </c>
      <c r="BC2639" s="82" t="s">
        <v>15622</v>
      </c>
      <c r="BD2639" s="77">
        <v>74550038</v>
      </c>
      <c r="BE2639" s="77"/>
      <c r="BF2639" s="77"/>
      <c r="BG2639" s="77"/>
      <c r="BH2639" s="77"/>
      <c r="BI2639" s="77"/>
    </row>
    <row r="2640" spans="1:61" x14ac:dyDescent="0.25">
      <c r="A2640" s="62" t="s">
        <v>734</v>
      </c>
      <c r="B2640" s="62" t="s">
        <v>734</v>
      </c>
      <c r="C2640" s="63"/>
      <c r="D2640" s="64"/>
      <c r="E2640" s="65"/>
      <c r="F2640" s="66"/>
      <c r="G2640" s="63"/>
      <c r="H2640" s="67"/>
      <c r="I2640" s="68"/>
      <c r="J2640" s="68"/>
      <c r="K2640" s="32"/>
      <c r="L2640" s="75">
        <v>2640</v>
      </c>
      <c r="M2640" s="75"/>
      <c r="N2640" s="70"/>
      <c r="O2640" s="77" t="s">
        <v>1132</v>
      </c>
      <c r="P2640" s="79">
        <v>45034.915868055556</v>
      </c>
      <c r="Q2640" s="77" t="s">
        <v>3652</v>
      </c>
      <c r="R2640" s="77">
        <v>0</v>
      </c>
      <c r="S2640" s="77">
        <v>1</v>
      </c>
      <c r="T2640" s="77">
        <v>0</v>
      </c>
      <c r="U2640" s="77">
        <v>0</v>
      </c>
      <c r="V2640" s="77">
        <v>2436</v>
      </c>
      <c r="W2640" s="82" t="s">
        <v>5744</v>
      </c>
      <c r="X2640" s="77"/>
      <c r="Y2640" s="77"/>
      <c r="Z2640" s="77"/>
      <c r="AA2640" s="77"/>
      <c r="AB2640" s="77"/>
      <c r="AC2640" s="82" t="s">
        <v>7706</v>
      </c>
      <c r="AD2640" s="77" t="s">
        <v>7745</v>
      </c>
      <c r="AE2640" s="80" t="str">
        <f>HYPERLINK("https://twitter.com/b3_oficial/status/1648446016792961024")</f>
        <v>https://twitter.com/b3_oficial/status/1648446016792961024</v>
      </c>
      <c r="AF2640" s="79">
        <v>45034.915868055556</v>
      </c>
      <c r="AG2640" s="85">
        <v>45034</v>
      </c>
      <c r="AH2640" s="82" t="s">
        <v>10128</v>
      </c>
      <c r="AI2640" s="77"/>
      <c r="AJ2640" s="77"/>
      <c r="AK2640" s="77"/>
      <c r="AL2640" s="77"/>
      <c r="AM2640" s="77"/>
      <c r="AN2640" s="77"/>
      <c r="AO2640" s="77"/>
      <c r="AP2640" s="77"/>
      <c r="AQ2640" s="77"/>
      <c r="AR2640" s="77"/>
      <c r="AS2640" s="77"/>
      <c r="AT2640" s="77"/>
      <c r="AU2640" s="77"/>
      <c r="AV2640" s="80" t="str">
        <f>HYPERLINK("https://pbs.twimg.com/profile_images/1505968327499436049/Ivkcir3F_normal.jpg")</f>
        <v>https://pbs.twimg.com/profile_images/1505968327499436049/Ivkcir3F_normal.jpg</v>
      </c>
      <c r="AW2640" s="82" t="s">
        <v>14795</v>
      </c>
      <c r="AX2640" s="82" t="s">
        <v>15623</v>
      </c>
      <c r="AY2640" s="82" t="s">
        <v>15797</v>
      </c>
      <c r="AZ2640" s="82" t="s">
        <v>15623</v>
      </c>
      <c r="BA2640" s="82" t="s">
        <v>15804</v>
      </c>
      <c r="BB2640" s="82" t="s">
        <v>15804</v>
      </c>
      <c r="BC2640" s="82" t="s">
        <v>15623</v>
      </c>
      <c r="BD2640" s="77">
        <v>74550038</v>
      </c>
      <c r="BE2640" s="77"/>
      <c r="BF2640" s="77"/>
      <c r="BG2640" s="77"/>
      <c r="BH2640" s="77"/>
      <c r="BI2640" s="77"/>
    </row>
    <row r="2641" spans="1:61" x14ac:dyDescent="0.25">
      <c r="A2641" s="62" t="s">
        <v>734</v>
      </c>
      <c r="B2641" s="62" t="s">
        <v>734</v>
      </c>
      <c r="C2641" s="63"/>
      <c r="D2641" s="64"/>
      <c r="E2641" s="65"/>
      <c r="F2641" s="66"/>
      <c r="G2641" s="63"/>
      <c r="H2641" s="67"/>
      <c r="I2641" s="68"/>
      <c r="J2641" s="68"/>
      <c r="K2641" s="32"/>
      <c r="L2641" s="75">
        <v>2641</v>
      </c>
      <c r="M2641" s="75"/>
      <c r="N2641" s="70"/>
      <c r="O2641" s="77" t="s">
        <v>1132</v>
      </c>
      <c r="P2641" s="79">
        <v>45033.94568287037</v>
      </c>
      <c r="Q2641" s="77" t="s">
        <v>3653</v>
      </c>
      <c r="R2641" s="77">
        <v>0</v>
      </c>
      <c r="S2641" s="77">
        <v>3</v>
      </c>
      <c r="T2641" s="77">
        <v>0</v>
      </c>
      <c r="U2641" s="77">
        <v>0</v>
      </c>
      <c r="V2641" s="77">
        <v>3125</v>
      </c>
      <c r="W2641" s="82" t="s">
        <v>5745</v>
      </c>
      <c r="X2641" s="77"/>
      <c r="Y2641" s="77"/>
      <c r="Z2641" s="77"/>
      <c r="AA2641" s="77"/>
      <c r="AB2641" s="77"/>
      <c r="AC2641" s="82" t="s">
        <v>7706</v>
      </c>
      <c r="AD2641" s="77" t="s">
        <v>7745</v>
      </c>
      <c r="AE2641" s="80" t="str">
        <f>HYPERLINK("https://twitter.com/b3_oficial/status/1648094432346923009")</f>
        <v>https://twitter.com/b3_oficial/status/1648094432346923009</v>
      </c>
      <c r="AF2641" s="79">
        <v>45033.94568287037</v>
      </c>
      <c r="AG2641" s="85">
        <v>45033</v>
      </c>
      <c r="AH2641" s="82" t="s">
        <v>10129</v>
      </c>
      <c r="AI2641" s="77"/>
      <c r="AJ2641" s="77"/>
      <c r="AK2641" s="77"/>
      <c r="AL2641" s="77"/>
      <c r="AM2641" s="77"/>
      <c r="AN2641" s="77"/>
      <c r="AO2641" s="77"/>
      <c r="AP2641" s="77"/>
      <c r="AQ2641" s="77"/>
      <c r="AR2641" s="77"/>
      <c r="AS2641" s="77"/>
      <c r="AT2641" s="77"/>
      <c r="AU2641" s="77"/>
      <c r="AV2641" s="80" t="str">
        <f>HYPERLINK("https://pbs.twimg.com/profile_images/1505968327499436049/Ivkcir3F_normal.jpg")</f>
        <v>https://pbs.twimg.com/profile_images/1505968327499436049/Ivkcir3F_normal.jpg</v>
      </c>
      <c r="AW2641" s="82" t="s">
        <v>14796</v>
      </c>
      <c r="AX2641" s="82" t="s">
        <v>15624</v>
      </c>
      <c r="AY2641" s="82" t="s">
        <v>15797</v>
      </c>
      <c r="AZ2641" s="82" t="s">
        <v>15624</v>
      </c>
      <c r="BA2641" s="82" t="s">
        <v>15804</v>
      </c>
      <c r="BB2641" s="82" t="s">
        <v>15804</v>
      </c>
      <c r="BC2641" s="82" t="s">
        <v>15624</v>
      </c>
      <c r="BD2641" s="77">
        <v>74550038</v>
      </c>
      <c r="BE2641" s="77"/>
      <c r="BF2641" s="77"/>
      <c r="BG2641" s="77"/>
      <c r="BH2641" s="77"/>
      <c r="BI2641" s="77"/>
    </row>
    <row r="2642" spans="1:61" x14ac:dyDescent="0.25">
      <c r="A2642" s="62" t="s">
        <v>734</v>
      </c>
      <c r="B2642" s="62" t="s">
        <v>734</v>
      </c>
      <c r="C2642" s="63"/>
      <c r="D2642" s="64"/>
      <c r="E2642" s="65"/>
      <c r="F2642" s="66"/>
      <c r="G2642" s="63"/>
      <c r="H2642" s="67"/>
      <c r="I2642" s="68"/>
      <c r="J2642" s="68"/>
      <c r="K2642" s="32"/>
      <c r="L2642" s="75">
        <v>2642</v>
      </c>
      <c r="M2642" s="75"/>
      <c r="N2642" s="70"/>
      <c r="O2642" s="77" t="s">
        <v>179</v>
      </c>
      <c r="P2642" s="79">
        <v>44991.956944444442</v>
      </c>
      <c r="Q2642" s="77" t="s">
        <v>3654</v>
      </c>
      <c r="R2642" s="77">
        <v>0</v>
      </c>
      <c r="S2642" s="77">
        <v>14</v>
      </c>
      <c r="T2642" s="77">
        <v>0</v>
      </c>
      <c r="U2642" s="77">
        <v>0</v>
      </c>
      <c r="V2642" s="77">
        <v>3470</v>
      </c>
      <c r="W2642" s="82" t="s">
        <v>5746</v>
      </c>
      <c r="X2642" s="77"/>
      <c r="Y2642" s="77"/>
      <c r="Z2642" s="77"/>
      <c r="AA2642" s="77" t="s">
        <v>7589</v>
      </c>
      <c r="AB2642" s="77" t="s">
        <v>7697</v>
      </c>
      <c r="AC2642" s="82" t="s">
        <v>7705</v>
      </c>
      <c r="AD2642" s="77" t="s">
        <v>7745</v>
      </c>
      <c r="AE2642" s="80" t="str">
        <f>HYPERLINK("https://twitter.com/b3_oficial/status/1632878223141789700")</f>
        <v>https://twitter.com/b3_oficial/status/1632878223141789700</v>
      </c>
      <c r="AF2642" s="79">
        <v>44991.956944444442</v>
      </c>
      <c r="AG2642" s="85">
        <v>44991</v>
      </c>
      <c r="AH2642" s="82" t="s">
        <v>10130</v>
      </c>
      <c r="AI2642" s="77" t="b">
        <v>0</v>
      </c>
      <c r="AJ2642" s="77"/>
      <c r="AK2642" s="77"/>
      <c r="AL2642" s="77"/>
      <c r="AM2642" s="77"/>
      <c r="AN2642" s="77"/>
      <c r="AO2642" s="77"/>
      <c r="AP2642" s="77"/>
      <c r="AQ2642" s="77" t="s">
        <v>12095</v>
      </c>
      <c r="AR2642" s="77">
        <v>103870</v>
      </c>
      <c r="AS2642" s="77"/>
      <c r="AT2642" s="77"/>
      <c r="AU2642" s="77">
        <v>840</v>
      </c>
      <c r="AV2642" s="80" t="str">
        <f>HYPERLINK("https://pbs.twimg.com/media/FqnwVgJXsAEpCdM.jpg")</f>
        <v>https://pbs.twimg.com/media/FqnwVgJXsAEpCdM.jpg</v>
      </c>
      <c r="AW2642" s="82" t="s">
        <v>14797</v>
      </c>
      <c r="AX2642" s="82" t="s">
        <v>14797</v>
      </c>
      <c r="AY2642" s="77"/>
      <c r="AZ2642" s="82" t="s">
        <v>15804</v>
      </c>
      <c r="BA2642" s="82" t="s">
        <v>15804</v>
      </c>
      <c r="BB2642" s="82" t="s">
        <v>15804</v>
      </c>
      <c r="BC2642" s="82" t="s">
        <v>14797</v>
      </c>
      <c r="BD2642" s="77">
        <v>74550038</v>
      </c>
      <c r="BE2642" s="77"/>
      <c r="BF2642" s="77"/>
      <c r="BG2642" s="77"/>
      <c r="BH2642" s="77"/>
      <c r="BI2642" s="77"/>
    </row>
    <row r="2643" spans="1:61" x14ac:dyDescent="0.25">
      <c r="A2643" s="62" t="s">
        <v>734</v>
      </c>
      <c r="B2643" s="62" t="s">
        <v>734</v>
      </c>
      <c r="C2643" s="63"/>
      <c r="D2643" s="64"/>
      <c r="E2643" s="65"/>
      <c r="F2643" s="66"/>
      <c r="G2643" s="63"/>
      <c r="H2643" s="67"/>
      <c r="I2643" s="68"/>
      <c r="J2643" s="68"/>
      <c r="K2643" s="32"/>
      <c r="L2643" s="75">
        <v>2643</v>
      </c>
      <c r="M2643" s="75"/>
      <c r="N2643" s="70"/>
      <c r="O2643" s="77" t="s">
        <v>179</v>
      </c>
      <c r="P2643" s="79">
        <v>44988.943391203706</v>
      </c>
      <c r="Q2643" s="77" t="s">
        <v>3655</v>
      </c>
      <c r="R2643" s="77">
        <v>1</v>
      </c>
      <c r="S2643" s="77">
        <v>9</v>
      </c>
      <c r="T2643" s="77">
        <v>1</v>
      </c>
      <c r="U2643" s="77">
        <v>0</v>
      </c>
      <c r="V2643" s="77">
        <v>2880</v>
      </c>
      <c r="W2643" s="82" t="s">
        <v>5747</v>
      </c>
      <c r="X2643" s="77"/>
      <c r="Y2643" s="77"/>
      <c r="Z2643" s="77"/>
      <c r="AA2643" s="77" t="s">
        <v>7590</v>
      </c>
      <c r="AB2643" s="77" t="s">
        <v>7697</v>
      </c>
      <c r="AC2643" s="82" t="s">
        <v>7705</v>
      </c>
      <c r="AD2643" s="77" t="s">
        <v>7745</v>
      </c>
      <c r="AE2643" s="80" t="str">
        <f>HYPERLINK("https://twitter.com/b3_oficial/status/1631786147859841024")</f>
        <v>https://twitter.com/b3_oficial/status/1631786147859841024</v>
      </c>
      <c r="AF2643" s="79">
        <v>44988.943391203706</v>
      </c>
      <c r="AG2643" s="85">
        <v>44988</v>
      </c>
      <c r="AH2643" s="82" t="s">
        <v>10131</v>
      </c>
      <c r="AI2643" s="77" t="b">
        <v>0</v>
      </c>
      <c r="AJ2643" s="77"/>
      <c r="AK2643" s="77"/>
      <c r="AL2643" s="77"/>
      <c r="AM2643" s="77"/>
      <c r="AN2643" s="77"/>
      <c r="AO2643" s="77"/>
      <c r="AP2643" s="77"/>
      <c r="AQ2643" s="77" t="s">
        <v>12096</v>
      </c>
      <c r="AR2643" s="77">
        <v>115315</v>
      </c>
      <c r="AS2643" s="77"/>
      <c r="AT2643" s="77"/>
      <c r="AU2643" s="77">
        <v>793</v>
      </c>
      <c r="AV2643" s="80" t="str">
        <f>HYPERLINK("https://pbs.twimg.com/media/FqiiuzCWwAEM-Pu.jpg")</f>
        <v>https://pbs.twimg.com/media/FqiiuzCWwAEM-Pu.jpg</v>
      </c>
      <c r="AW2643" s="82" t="s">
        <v>14798</v>
      </c>
      <c r="AX2643" s="82" t="s">
        <v>14798</v>
      </c>
      <c r="AY2643" s="77"/>
      <c r="AZ2643" s="82" t="s">
        <v>15804</v>
      </c>
      <c r="BA2643" s="82" t="s">
        <v>15804</v>
      </c>
      <c r="BB2643" s="82" t="s">
        <v>15804</v>
      </c>
      <c r="BC2643" s="82" t="s">
        <v>14798</v>
      </c>
      <c r="BD2643" s="77">
        <v>74550038</v>
      </c>
      <c r="BE2643" s="77"/>
      <c r="BF2643" s="77"/>
      <c r="BG2643" s="77"/>
      <c r="BH2643" s="77"/>
      <c r="BI2643" s="77"/>
    </row>
    <row r="2644" spans="1:61" x14ac:dyDescent="0.25">
      <c r="A2644" s="62" t="s">
        <v>734</v>
      </c>
      <c r="B2644" s="62" t="s">
        <v>734</v>
      </c>
      <c r="C2644" s="63"/>
      <c r="D2644" s="64"/>
      <c r="E2644" s="65"/>
      <c r="F2644" s="66"/>
      <c r="G2644" s="63"/>
      <c r="H2644" s="67"/>
      <c r="I2644" s="68"/>
      <c r="J2644" s="68"/>
      <c r="K2644" s="32"/>
      <c r="L2644" s="75">
        <v>2644</v>
      </c>
      <c r="M2644" s="75"/>
      <c r="N2644" s="70"/>
      <c r="O2644" s="77" t="s">
        <v>179</v>
      </c>
      <c r="P2644" s="79">
        <v>44987.922812500001</v>
      </c>
      <c r="Q2644" s="77" t="s">
        <v>3656</v>
      </c>
      <c r="R2644" s="77">
        <v>1</v>
      </c>
      <c r="S2644" s="77">
        <v>17</v>
      </c>
      <c r="T2644" s="77">
        <v>2</v>
      </c>
      <c r="U2644" s="77">
        <v>0</v>
      </c>
      <c r="V2644" s="77">
        <v>3380</v>
      </c>
      <c r="W2644" s="82" t="s">
        <v>5746</v>
      </c>
      <c r="X2644" s="77"/>
      <c r="Y2644" s="77"/>
      <c r="Z2644" s="77"/>
      <c r="AA2644" s="77" t="s">
        <v>7591</v>
      </c>
      <c r="AB2644" s="77" t="s">
        <v>7697</v>
      </c>
      <c r="AC2644" s="82" t="s">
        <v>7705</v>
      </c>
      <c r="AD2644" s="77" t="s">
        <v>7745</v>
      </c>
      <c r="AE2644" s="80" t="str">
        <f>HYPERLINK("https://twitter.com/b3_oficial/status/1631416302387511296")</f>
        <v>https://twitter.com/b3_oficial/status/1631416302387511296</v>
      </c>
      <c r="AF2644" s="79">
        <v>44987.922812500001</v>
      </c>
      <c r="AG2644" s="85">
        <v>44987</v>
      </c>
      <c r="AH2644" s="82" t="s">
        <v>10132</v>
      </c>
      <c r="AI2644" s="77" t="b">
        <v>0</v>
      </c>
      <c r="AJ2644" s="77"/>
      <c r="AK2644" s="77"/>
      <c r="AL2644" s="77"/>
      <c r="AM2644" s="77"/>
      <c r="AN2644" s="77"/>
      <c r="AO2644" s="77"/>
      <c r="AP2644" s="77"/>
      <c r="AQ2644" s="77" t="s">
        <v>12097</v>
      </c>
      <c r="AR2644" s="77">
        <v>100933</v>
      </c>
      <c r="AS2644" s="77"/>
      <c r="AT2644" s="77"/>
      <c r="AU2644" s="77">
        <v>852</v>
      </c>
      <c r="AV2644" s="80" t="str">
        <f>HYPERLINK("https://pbs.twimg.com/ext_tw_video_thumb/1631416169423831040/pu/img/Ui2aBohEeGLKGlRd.jpg")</f>
        <v>https://pbs.twimg.com/ext_tw_video_thumb/1631416169423831040/pu/img/Ui2aBohEeGLKGlRd.jpg</v>
      </c>
      <c r="AW2644" s="82" t="s">
        <v>14799</v>
      </c>
      <c r="AX2644" s="82" t="s">
        <v>14799</v>
      </c>
      <c r="AY2644" s="77"/>
      <c r="AZ2644" s="82" t="s">
        <v>15804</v>
      </c>
      <c r="BA2644" s="82" t="s">
        <v>15804</v>
      </c>
      <c r="BB2644" s="82" t="s">
        <v>15804</v>
      </c>
      <c r="BC2644" s="82" t="s">
        <v>14799</v>
      </c>
      <c r="BD2644" s="77">
        <v>74550038</v>
      </c>
      <c r="BE2644" s="77"/>
      <c r="BF2644" s="77"/>
      <c r="BG2644" s="77"/>
      <c r="BH2644" s="77"/>
      <c r="BI2644" s="77"/>
    </row>
    <row r="2645" spans="1:61" x14ac:dyDescent="0.25">
      <c r="A2645" s="62" t="s">
        <v>734</v>
      </c>
      <c r="B2645" s="62" t="s">
        <v>734</v>
      </c>
      <c r="C2645" s="63"/>
      <c r="D2645" s="64"/>
      <c r="E2645" s="65"/>
      <c r="F2645" s="66"/>
      <c r="G2645" s="63"/>
      <c r="H2645" s="67"/>
      <c r="I2645" s="68"/>
      <c r="J2645" s="68"/>
      <c r="K2645" s="32"/>
      <c r="L2645" s="75">
        <v>2645</v>
      </c>
      <c r="M2645" s="75"/>
      <c r="N2645" s="70"/>
      <c r="O2645" s="77" t="s">
        <v>179</v>
      </c>
      <c r="P2645" s="79">
        <v>44986.918877314813</v>
      </c>
      <c r="Q2645" s="77" t="s">
        <v>3657</v>
      </c>
      <c r="R2645" s="77">
        <v>2</v>
      </c>
      <c r="S2645" s="77">
        <v>21</v>
      </c>
      <c r="T2645" s="77">
        <v>3</v>
      </c>
      <c r="U2645" s="77">
        <v>0</v>
      </c>
      <c r="V2645" s="77">
        <v>3630</v>
      </c>
      <c r="W2645" s="82" t="s">
        <v>5748</v>
      </c>
      <c r="X2645" s="77"/>
      <c r="Y2645" s="77"/>
      <c r="Z2645" s="77"/>
      <c r="AA2645" s="77" t="s">
        <v>7592</v>
      </c>
      <c r="AB2645" s="77" t="s">
        <v>7697</v>
      </c>
      <c r="AC2645" s="82" t="s">
        <v>7705</v>
      </c>
      <c r="AD2645" s="77" t="s">
        <v>7745</v>
      </c>
      <c r="AE2645" s="80" t="str">
        <f>HYPERLINK("https://twitter.com/b3_oficial/status/1631052489087676418")</f>
        <v>https://twitter.com/b3_oficial/status/1631052489087676418</v>
      </c>
      <c r="AF2645" s="79">
        <v>44986.918877314813</v>
      </c>
      <c r="AG2645" s="85">
        <v>44986</v>
      </c>
      <c r="AH2645" s="82" t="s">
        <v>7962</v>
      </c>
      <c r="AI2645" s="77" t="b">
        <v>0</v>
      </c>
      <c r="AJ2645" s="77"/>
      <c r="AK2645" s="77"/>
      <c r="AL2645" s="77"/>
      <c r="AM2645" s="77"/>
      <c r="AN2645" s="77"/>
      <c r="AO2645" s="77"/>
      <c r="AP2645" s="77"/>
      <c r="AQ2645" s="77" t="s">
        <v>12098</v>
      </c>
      <c r="AR2645" s="77">
        <v>123056</v>
      </c>
      <c r="AS2645" s="77"/>
      <c r="AT2645" s="77"/>
      <c r="AU2645" s="77">
        <v>879</v>
      </c>
      <c r="AV2645" s="80" t="str">
        <f>HYPERLINK("https://pbs.twimg.com/ext_tw_video_thumb/1631052360943386626/pu/img/1DRZvtj-Nv8toeF4.jpg")</f>
        <v>https://pbs.twimg.com/ext_tw_video_thumb/1631052360943386626/pu/img/1DRZvtj-Nv8toeF4.jpg</v>
      </c>
      <c r="AW2645" s="82" t="s">
        <v>14800</v>
      </c>
      <c r="AX2645" s="82" t="s">
        <v>14800</v>
      </c>
      <c r="AY2645" s="77"/>
      <c r="AZ2645" s="82" t="s">
        <v>15804</v>
      </c>
      <c r="BA2645" s="82" t="s">
        <v>15804</v>
      </c>
      <c r="BB2645" s="82" t="s">
        <v>15804</v>
      </c>
      <c r="BC2645" s="82" t="s">
        <v>14800</v>
      </c>
      <c r="BD2645" s="77">
        <v>74550038</v>
      </c>
      <c r="BE2645" s="77"/>
      <c r="BF2645" s="77"/>
      <c r="BG2645" s="77"/>
      <c r="BH2645" s="77"/>
      <c r="BI2645" s="77"/>
    </row>
    <row r="2646" spans="1:61" x14ac:dyDescent="0.25">
      <c r="A2646" s="62" t="s">
        <v>734</v>
      </c>
      <c r="B2646" s="62" t="s">
        <v>734</v>
      </c>
      <c r="C2646" s="63"/>
      <c r="D2646" s="64"/>
      <c r="E2646" s="65"/>
      <c r="F2646" s="66"/>
      <c r="G2646" s="63"/>
      <c r="H2646" s="67"/>
      <c r="I2646" s="68"/>
      <c r="J2646" s="68"/>
      <c r="K2646" s="32"/>
      <c r="L2646" s="75">
        <v>2646</v>
      </c>
      <c r="M2646" s="75"/>
      <c r="N2646" s="70"/>
      <c r="O2646" s="77" t="s">
        <v>1132</v>
      </c>
      <c r="P2646" s="79">
        <v>45097.929525462961</v>
      </c>
      <c r="Q2646" s="77" t="s">
        <v>3658</v>
      </c>
      <c r="R2646" s="77">
        <v>0</v>
      </c>
      <c r="S2646" s="77">
        <v>6</v>
      </c>
      <c r="T2646" s="77">
        <v>0</v>
      </c>
      <c r="U2646" s="77">
        <v>0</v>
      </c>
      <c r="V2646" s="77">
        <v>2660</v>
      </c>
      <c r="W2646" s="82" t="s">
        <v>5749</v>
      </c>
      <c r="X2646" s="77"/>
      <c r="Y2646" s="77"/>
      <c r="Z2646" s="77"/>
      <c r="AA2646" s="77"/>
      <c r="AB2646" s="77"/>
      <c r="AC2646" s="82" t="s">
        <v>7706</v>
      </c>
      <c r="AD2646" s="77" t="s">
        <v>7745</v>
      </c>
      <c r="AE2646" s="80" t="str">
        <f>HYPERLINK("https://twitter.com/b3_oficial/status/1671281399737856008")</f>
        <v>https://twitter.com/b3_oficial/status/1671281399737856008</v>
      </c>
      <c r="AF2646" s="79">
        <v>45097.929525462961</v>
      </c>
      <c r="AG2646" s="85">
        <v>45097</v>
      </c>
      <c r="AH2646" s="82" t="s">
        <v>10133</v>
      </c>
      <c r="AI2646" s="77"/>
      <c r="AJ2646" s="77"/>
      <c r="AK2646" s="77"/>
      <c r="AL2646" s="77"/>
      <c r="AM2646" s="77"/>
      <c r="AN2646" s="77"/>
      <c r="AO2646" s="77"/>
      <c r="AP2646" s="77"/>
      <c r="AQ2646" s="77"/>
      <c r="AR2646" s="77"/>
      <c r="AS2646" s="77"/>
      <c r="AT2646" s="77"/>
      <c r="AU2646" s="77"/>
      <c r="AV2646" s="80" t="str">
        <f>HYPERLINK("https://pbs.twimg.com/profile_images/1505968327499436049/Ivkcir3F_normal.jpg")</f>
        <v>https://pbs.twimg.com/profile_images/1505968327499436049/Ivkcir3F_normal.jpg</v>
      </c>
      <c r="AW2646" s="82" t="s">
        <v>14801</v>
      </c>
      <c r="AX2646" s="82" t="s">
        <v>15625</v>
      </c>
      <c r="AY2646" s="82" t="s">
        <v>15797</v>
      </c>
      <c r="AZ2646" s="82" t="s">
        <v>15625</v>
      </c>
      <c r="BA2646" s="82" t="s">
        <v>15804</v>
      </c>
      <c r="BB2646" s="82" t="s">
        <v>15804</v>
      </c>
      <c r="BC2646" s="82" t="s">
        <v>15625</v>
      </c>
      <c r="BD2646" s="77">
        <v>74550038</v>
      </c>
      <c r="BE2646" s="77"/>
      <c r="BF2646" s="77"/>
      <c r="BG2646" s="77"/>
      <c r="BH2646" s="77"/>
      <c r="BI2646" s="77"/>
    </row>
    <row r="2647" spans="1:61" x14ac:dyDescent="0.25">
      <c r="A2647" s="62" t="s">
        <v>734</v>
      </c>
      <c r="B2647" s="62" t="s">
        <v>734</v>
      </c>
      <c r="C2647" s="63"/>
      <c r="D2647" s="64"/>
      <c r="E2647" s="65"/>
      <c r="F2647" s="66"/>
      <c r="G2647" s="63"/>
      <c r="H2647" s="67"/>
      <c r="I2647" s="68"/>
      <c r="J2647" s="68"/>
      <c r="K2647" s="32"/>
      <c r="L2647" s="75">
        <v>2647</v>
      </c>
      <c r="M2647" s="75"/>
      <c r="N2647" s="70"/>
      <c r="O2647" s="77" t="s">
        <v>1132</v>
      </c>
      <c r="P2647" s="79">
        <v>45056.012812499997</v>
      </c>
      <c r="Q2647" s="77" t="s">
        <v>3659</v>
      </c>
      <c r="R2647" s="77">
        <v>1</v>
      </c>
      <c r="S2647" s="77">
        <v>4</v>
      </c>
      <c r="T2647" s="77">
        <v>0</v>
      </c>
      <c r="U2647" s="77">
        <v>0</v>
      </c>
      <c r="V2647" s="77">
        <v>3375</v>
      </c>
      <c r="W2647" s="82" t="s">
        <v>5750</v>
      </c>
      <c r="X2647" s="77"/>
      <c r="Y2647" s="77"/>
      <c r="Z2647" s="77"/>
      <c r="AA2647" s="77"/>
      <c r="AB2647" s="77"/>
      <c r="AC2647" s="82" t="s">
        <v>7706</v>
      </c>
      <c r="AD2647" s="77" t="s">
        <v>7745</v>
      </c>
      <c r="AE2647" s="80" t="str">
        <f>HYPERLINK("https://twitter.com/b3_oficial/status/1656091294077206529")</f>
        <v>https://twitter.com/b3_oficial/status/1656091294077206529</v>
      </c>
      <c r="AF2647" s="79">
        <v>45056.012812499997</v>
      </c>
      <c r="AG2647" s="85">
        <v>45056</v>
      </c>
      <c r="AH2647" s="82" t="s">
        <v>10134</v>
      </c>
      <c r="AI2647" s="77"/>
      <c r="AJ2647" s="77"/>
      <c r="AK2647" s="77"/>
      <c r="AL2647" s="77"/>
      <c r="AM2647" s="77"/>
      <c r="AN2647" s="77"/>
      <c r="AO2647" s="77"/>
      <c r="AP2647" s="77"/>
      <c r="AQ2647" s="77"/>
      <c r="AR2647" s="77"/>
      <c r="AS2647" s="77"/>
      <c r="AT2647" s="77"/>
      <c r="AU2647" s="77"/>
      <c r="AV2647" s="80" t="str">
        <f>HYPERLINK("https://pbs.twimg.com/profile_images/1505968327499436049/Ivkcir3F_normal.jpg")</f>
        <v>https://pbs.twimg.com/profile_images/1505968327499436049/Ivkcir3F_normal.jpg</v>
      </c>
      <c r="AW2647" s="82" t="s">
        <v>14802</v>
      </c>
      <c r="AX2647" s="82" t="s">
        <v>15626</v>
      </c>
      <c r="AY2647" s="82" t="s">
        <v>15797</v>
      </c>
      <c r="AZ2647" s="82" t="s">
        <v>15626</v>
      </c>
      <c r="BA2647" s="82" t="s">
        <v>15804</v>
      </c>
      <c r="BB2647" s="82" t="s">
        <v>15804</v>
      </c>
      <c r="BC2647" s="82" t="s">
        <v>15626</v>
      </c>
      <c r="BD2647" s="77">
        <v>74550038</v>
      </c>
      <c r="BE2647" s="77"/>
      <c r="BF2647" s="77"/>
      <c r="BG2647" s="77"/>
      <c r="BH2647" s="77"/>
      <c r="BI2647" s="77"/>
    </row>
    <row r="2648" spans="1:61" x14ac:dyDescent="0.25">
      <c r="A2648" s="62" t="s">
        <v>734</v>
      </c>
      <c r="B2648" s="62" t="s">
        <v>734</v>
      </c>
      <c r="C2648" s="63"/>
      <c r="D2648" s="64"/>
      <c r="E2648" s="65"/>
      <c r="F2648" s="66"/>
      <c r="G2648" s="63"/>
      <c r="H2648" s="67"/>
      <c r="I2648" s="68"/>
      <c r="J2648" s="68"/>
      <c r="K2648" s="32"/>
      <c r="L2648" s="75">
        <v>2648</v>
      </c>
      <c r="M2648" s="75"/>
      <c r="N2648" s="70"/>
      <c r="O2648" s="77" t="s">
        <v>1132</v>
      </c>
      <c r="P2648" s="79">
        <v>45054.918819444443</v>
      </c>
      <c r="Q2648" s="77" t="s">
        <v>3660</v>
      </c>
      <c r="R2648" s="77">
        <v>0</v>
      </c>
      <c r="S2648" s="77">
        <v>1</v>
      </c>
      <c r="T2648" s="77">
        <v>0</v>
      </c>
      <c r="U2648" s="77">
        <v>0</v>
      </c>
      <c r="V2648" s="77">
        <v>2854</v>
      </c>
      <c r="W2648" s="82" t="s">
        <v>5751</v>
      </c>
      <c r="X2648" s="77"/>
      <c r="Y2648" s="77"/>
      <c r="Z2648" s="77"/>
      <c r="AA2648" s="77"/>
      <c r="AB2648" s="77"/>
      <c r="AC2648" s="82" t="s">
        <v>7706</v>
      </c>
      <c r="AD2648" s="77" t="s">
        <v>7745</v>
      </c>
      <c r="AE2648" s="80" t="str">
        <f>HYPERLINK("https://twitter.com/b3_oficial/status/1655694843400601600")</f>
        <v>https://twitter.com/b3_oficial/status/1655694843400601600</v>
      </c>
      <c r="AF2648" s="79">
        <v>45054.918819444443</v>
      </c>
      <c r="AG2648" s="85">
        <v>45054</v>
      </c>
      <c r="AH2648" s="82" t="s">
        <v>10135</v>
      </c>
      <c r="AI2648" s="77"/>
      <c r="AJ2648" s="77"/>
      <c r="AK2648" s="77"/>
      <c r="AL2648" s="77"/>
      <c r="AM2648" s="77"/>
      <c r="AN2648" s="77"/>
      <c r="AO2648" s="77"/>
      <c r="AP2648" s="77"/>
      <c r="AQ2648" s="77"/>
      <c r="AR2648" s="77"/>
      <c r="AS2648" s="77"/>
      <c r="AT2648" s="77"/>
      <c r="AU2648" s="77"/>
      <c r="AV2648" s="80" t="str">
        <f>HYPERLINK("https://pbs.twimg.com/profile_images/1505968327499436049/Ivkcir3F_normal.jpg")</f>
        <v>https://pbs.twimg.com/profile_images/1505968327499436049/Ivkcir3F_normal.jpg</v>
      </c>
      <c r="AW2648" s="82" t="s">
        <v>14803</v>
      </c>
      <c r="AX2648" s="82" t="s">
        <v>15627</v>
      </c>
      <c r="AY2648" s="82" t="s">
        <v>15797</v>
      </c>
      <c r="AZ2648" s="82" t="s">
        <v>15627</v>
      </c>
      <c r="BA2648" s="82" t="s">
        <v>15804</v>
      </c>
      <c r="BB2648" s="82" t="s">
        <v>15804</v>
      </c>
      <c r="BC2648" s="82" t="s">
        <v>15627</v>
      </c>
      <c r="BD2648" s="77">
        <v>74550038</v>
      </c>
      <c r="BE2648" s="77"/>
      <c r="BF2648" s="77"/>
      <c r="BG2648" s="77"/>
      <c r="BH2648" s="77"/>
      <c r="BI2648" s="77"/>
    </row>
    <row r="2649" spans="1:61" x14ac:dyDescent="0.25">
      <c r="A2649" s="62" t="s">
        <v>734</v>
      </c>
      <c r="B2649" s="62" t="s">
        <v>734</v>
      </c>
      <c r="C2649" s="63"/>
      <c r="D2649" s="64"/>
      <c r="E2649" s="65"/>
      <c r="F2649" s="66"/>
      <c r="G2649" s="63"/>
      <c r="H2649" s="67"/>
      <c r="I2649" s="68"/>
      <c r="J2649" s="68"/>
      <c r="K2649" s="32"/>
      <c r="L2649" s="75">
        <v>2649</v>
      </c>
      <c r="M2649" s="75"/>
      <c r="N2649" s="70"/>
      <c r="O2649" s="77" t="s">
        <v>1132</v>
      </c>
      <c r="P2649" s="79">
        <v>45051.954629629632</v>
      </c>
      <c r="Q2649" s="77" t="s">
        <v>3661</v>
      </c>
      <c r="R2649" s="77">
        <v>2</v>
      </c>
      <c r="S2649" s="77">
        <v>0</v>
      </c>
      <c r="T2649" s="77">
        <v>0</v>
      </c>
      <c r="U2649" s="77">
        <v>0</v>
      </c>
      <c r="V2649" s="77">
        <v>1195</v>
      </c>
      <c r="W2649" s="82" t="s">
        <v>5752</v>
      </c>
      <c r="X2649" s="77"/>
      <c r="Y2649" s="77"/>
      <c r="Z2649" s="77"/>
      <c r="AA2649" s="77"/>
      <c r="AB2649" s="77"/>
      <c r="AC2649" s="82" t="s">
        <v>7706</v>
      </c>
      <c r="AD2649" s="77" t="s">
        <v>7745</v>
      </c>
      <c r="AE2649" s="80" t="str">
        <f>HYPERLINK("https://twitter.com/b3_oficial/status/1654620655948816385")</f>
        <v>https://twitter.com/b3_oficial/status/1654620655948816385</v>
      </c>
      <c r="AF2649" s="79">
        <v>45051.954629629632</v>
      </c>
      <c r="AG2649" s="85">
        <v>45051</v>
      </c>
      <c r="AH2649" s="82" t="s">
        <v>10136</v>
      </c>
      <c r="AI2649" s="77"/>
      <c r="AJ2649" s="77"/>
      <c r="AK2649" s="77"/>
      <c r="AL2649" s="77"/>
      <c r="AM2649" s="77"/>
      <c r="AN2649" s="77"/>
      <c r="AO2649" s="77"/>
      <c r="AP2649" s="77"/>
      <c r="AQ2649" s="77"/>
      <c r="AR2649" s="77"/>
      <c r="AS2649" s="77"/>
      <c r="AT2649" s="77"/>
      <c r="AU2649" s="77"/>
      <c r="AV2649" s="80" t="str">
        <f>HYPERLINK("https://pbs.twimg.com/profile_images/1505968327499436049/Ivkcir3F_normal.jpg")</f>
        <v>https://pbs.twimg.com/profile_images/1505968327499436049/Ivkcir3F_normal.jpg</v>
      </c>
      <c r="AW2649" s="82" t="s">
        <v>14804</v>
      </c>
      <c r="AX2649" s="82" t="s">
        <v>15628</v>
      </c>
      <c r="AY2649" s="82" t="s">
        <v>15797</v>
      </c>
      <c r="AZ2649" s="82" t="s">
        <v>15628</v>
      </c>
      <c r="BA2649" s="82" t="s">
        <v>15804</v>
      </c>
      <c r="BB2649" s="82" t="s">
        <v>15804</v>
      </c>
      <c r="BC2649" s="82" t="s">
        <v>15628</v>
      </c>
      <c r="BD2649" s="77">
        <v>74550038</v>
      </c>
      <c r="BE2649" s="77"/>
      <c r="BF2649" s="77"/>
      <c r="BG2649" s="77"/>
      <c r="BH2649" s="77"/>
      <c r="BI2649" s="77"/>
    </row>
    <row r="2650" spans="1:61" x14ac:dyDescent="0.25">
      <c r="A2650" s="62" t="s">
        <v>734</v>
      </c>
      <c r="B2650" s="62" t="s">
        <v>734</v>
      </c>
      <c r="C2650" s="63"/>
      <c r="D2650" s="64"/>
      <c r="E2650" s="65"/>
      <c r="F2650" s="66"/>
      <c r="G2650" s="63"/>
      <c r="H2650" s="67"/>
      <c r="I2650" s="68"/>
      <c r="J2650" s="68"/>
      <c r="K2650" s="32"/>
      <c r="L2650" s="75">
        <v>2650</v>
      </c>
      <c r="M2650" s="75"/>
      <c r="N2650" s="70"/>
      <c r="O2650" s="77" t="s">
        <v>179</v>
      </c>
      <c r="P2650" s="79">
        <v>45007.978668981479</v>
      </c>
      <c r="Q2650" s="77" t="s">
        <v>3662</v>
      </c>
      <c r="R2650" s="77">
        <v>4</v>
      </c>
      <c r="S2650" s="77">
        <v>22</v>
      </c>
      <c r="T2650" s="77">
        <v>4</v>
      </c>
      <c r="U2650" s="77">
        <v>0</v>
      </c>
      <c r="V2650" s="77">
        <v>4016</v>
      </c>
      <c r="W2650" s="82" t="s">
        <v>4279</v>
      </c>
      <c r="X2650" s="77"/>
      <c r="Y2650" s="77"/>
      <c r="Z2650" s="77"/>
      <c r="AA2650" s="77" t="s">
        <v>7593</v>
      </c>
      <c r="AB2650" s="77" t="s">
        <v>7697</v>
      </c>
      <c r="AC2650" s="82" t="s">
        <v>7705</v>
      </c>
      <c r="AD2650" s="77" t="s">
        <v>7745</v>
      </c>
      <c r="AE2650" s="80" t="str">
        <f>HYPERLINK("https://twitter.com/b3_oficial/status/1638684301259685889")</f>
        <v>https://twitter.com/b3_oficial/status/1638684301259685889</v>
      </c>
      <c r="AF2650" s="79">
        <v>45007.978668981479</v>
      </c>
      <c r="AG2650" s="85">
        <v>45007</v>
      </c>
      <c r="AH2650" s="82" t="s">
        <v>10137</v>
      </c>
      <c r="AI2650" s="77" t="b">
        <v>0</v>
      </c>
      <c r="AJ2650" s="77"/>
      <c r="AK2650" s="77"/>
      <c r="AL2650" s="77"/>
      <c r="AM2650" s="77"/>
      <c r="AN2650" s="77"/>
      <c r="AO2650" s="77"/>
      <c r="AP2650" s="77"/>
      <c r="AQ2650" s="77" t="s">
        <v>12099</v>
      </c>
      <c r="AR2650" s="77">
        <v>98131</v>
      </c>
      <c r="AS2650" s="77"/>
      <c r="AT2650" s="77"/>
      <c r="AU2650" s="77">
        <v>984</v>
      </c>
      <c r="AV2650" s="80" t="str">
        <f>HYPERLINK("https://pbs.twimg.com/ext_tw_video_thumb/1638684127166713856/pu/img/uvf6fQmInDPculWR.jpg")</f>
        <v>https://pbs.twimg.com/ext_tw_video_thumb/1638684127166713856/pu/img/uvf6fQmInDPculWR.jpg</v>
      </c>
      <c r="AW2650" s="82" t="s">
        <v>14805</v>
      </c>
      <c r="AX2650" s="82" t="s">
        <v>14805</v>
      </c>
      <c r="AY2650" s="77"/>
      <c r="AZ2650" s="82" t="s">
        <v>15804</v>
      </c>
      <c r="BA2650" s="82" t="s">
        <v>15804</v>
      </c>
      <c r="BB2650" s="82" t="s">
        <v>15804</v>
      </c>
      <c r="BC2650" s="82" t="s">
        <v>14805</v>
      </c>
      <c r="BD2650" s="77">
        <v>74550038</v>
      </c>
      <c r="BE2650" s="77"/>
      <c r="BF2650" s="77"/>
      <c r="BG2650" s="77"/>
      <c r="BH2650" s="77"/>
      <c r="BI2650" s="77"/>
    </row>
    <row r="2651" spans="1:61" x14ac:dyDescent="0.25">
      <c r="A2651" s="62" t="s">
        <v>734</v>
      </c>
      <c r="B2651" s="62" t="s">
        <v>734</v>
      </c>
      <c r="C2651" s="63"/>
      <c r="D2651" s="64"/>
      <c r="E2651" s="65"/>
      <c r="F2651" s="66"/>
      <c r="G2651" s="63"/>
      <c r="H2651" s="67"/>
      <c r="I2651" s="68"/>
      <c r="J2651" s="68"/>
      <c r="K2651" s="32"/>
      <c r="L2651" s="75">
        <v>2651</v>
      </c>
      <c r="M2651" s="75"/>
      <c r="N2651" s="70"/>
      <c r="O2651" s="77" t="s">
        <v>179</v>
      </c>
      <c r="P2651" s="79">
        <v>45006.899375000001</v>
      </c>
      <c r="Q2651" s="77" t="s">
        <v>3663</v>
      </c>
      <c r="R2651" s="77">
        <v>1</v>
      </c>
      <c r="S2651" s="77">
        <v>17</v>
      </c>
      <c r="T2651" s="77">
        <v>4</v>
      </c>
      <c r="U2651" s="77">
        <v>0</v>
      </c>
      <c r="V2651" s="77">
        <v>3528</v>
      </c>
      <c r="W2651" s="82" t="s">
        <v>5746</v>
      </c>
      <c r="X2651" s="77"/>
      <c r="Y2651" s="77"/>
      <c r="Z2651" s="77"/>
      <c r="AA2651" s="77" t="s">
        <v>7594</v>
      </c>
      <c r="AB2651" s="77" t="s">
        <v>7697</v>
      </c>
      <c r="AC2651" s="82" t="s">
        <v>7706</v>
      </c>
      <c r="AD2651" s="77" t="s">
        <v>7745</v>
      </c>
      <c r="AE2651" s="80" t="str">
        <f>HYPERLINK("https://twitter.com/b3_oficial/status/1638293180486660096")</f>
        <v>https://twitter.com/b3_oficial/status/1638293180486660096</v>
      </c>
      <c r="AF2651" s="79">
        <v>45006.899375000001</v>
      </c>
      <c r="AG2651" s="85">
        <v>45006</v>
      </c>
      <c r="AH2651" s="82" t="s">
        <v>10138</v>
      </c>
      <c r="AI2651" s="77" t="b">
        <v>0</v>
      </c>
      <c r="AJ2651" s="77"/>
      <c r="AK2651" s="77"/>
      <c r="AL2651" s="77"/>
      <c r="AM2651" s="77"/>
      <c r="AN2651" s="77"/>
      <c r="AO2651" s="77"/>
      <c r="AP2651" s="77"/>
      <c r="AQ2651" s="77" t="s">
        <v>12100</v>
      </c>
      <c r="AR2651" s="77">
        <v>108975</v>
      </c>
      <c r="AS2651" s="77"/>
      <c r="AT2651" s="77"/>
      <c r="AU2651" s="77">
        <v>854</v>
      </c>
      <c r="AV2651" s="80" t="str">
        <f>HYPERLINK("https://pbs.twimg.com/media/FrxjEmAXwAAuZz4.jpg")</f>
        <v>https://pbs.twimg.com/media/FrxjEmAXwAAuZz4.jpg</v>
      </c>
      <c r="AW2651" s="82" t="s">
        <v>14806</v>
      </c>
      <c r="AX2651" s="82" t="s">
        <v>14806</v>
      </c>
      <c r="AY2651" s="77"/>
      <c r="AZ2651" s="82" t="s">
        <v>15804</v>
      </c>
      <c r="BA2651" s="82" t="s">
        <v>15804</v>
      </c>
      <c r="BB2651" s="82" t="s">
        <v>15804</v>
      </c>
      <c r="BC2651" s="82" t="s">
        <v>14806</v>
      </c>
      <c r="BD2651" s="77">
        <v>74550038</v>
      </c>
      <c r="BE2651" s="77"/>
      <c r="BF2651" s="77"/>
      <c r="BG2651" s="77"/>
      <c r="BH2651" s="77"/>
      <c r="BI2651" s="77"/>
    </row>
    <row r="2652" spans="1:61" x14ac:dyDescent="0.25">
      <c r="A2652" s="62" t="s">
        <v>734</v>
      </c>
      <c r="B2652" s="62" t="s">
        <v>734</v>
      </c>
      <c r="C2652" s="63"/>
      <c r="D2652" s="64"/>
      <c r="E2652" s="65"/>
      <c r="F2652" s="66"/>
      <c r="G2652" s="63"/>
      <c r="H2652" s="67"/>
      <c r="I2652" s="68"/>
      <c r="J2652" s="68"/>
      <c r="K2652" s="32"/>
      <c r="L2652" s="75">
        <v>2652</v>
      </c>
      <c r="M2652" s="75"/>
      <c r="N2652" s="70"/>
      <c r="O2652" s="77" t="s">
        <v>179</v>
      </c>
      <c r="P2652" s="79">
        <v>44959.913703703707</v>
      </c>
      <c r="Q2652" s="77" t="s">
        <v>3664</v>
      </c>
      <c r="R2652" s="77">
        <v>2</v>
      </c>
      <c r="S2652" s="77">
        <v>9</v>
      </c>
      <c r="T2652" s="77">
        <v>0</v>
      </c>
      <c r="U2652" s="77">
        <v>0</v>
      </c>
      <c r="V2652" s="77">
        <v>2938</v>
      </c>
      <c r="W2652" s="82" t="s">
        <v>5753</v>
      </c>
      <c r="X2652" s="77"/>
      <c r="Y2652" s="77"/>
      <c r="Z2652" s="77"/>
      <c r="AA2652" s="77" t="s">
        <v>7595</v>
      </c>
      <c r="AB2652" s="77" t="s">
        <v>7697</v>
      </c>
      <c r="AC2652" s="82" t="s">
        <v>7705</v>
      </c>
      <c r="AD2652" s="77" t="s">
        <v>7745</v>
      </c>
      <c r="AE2652" s="80" t="str">
        <f>HYPERLINK("https://twitter.com/b3_oficial/status/1621266141225095175")</f>
        <v>https://twitter.com/b3_oficial/status/1621266141225095175</v>
      </c>
      <c r="AF2652" s="79">
        <v>44959.913703703707</v>
      </c>
      <c r="AG2652" s="85">
        <v>44959</v>
      </c>
      <c r="AH2652" s="82" t="s">
        <v>10139</v>
      </c>
      <c r="AI2652" s="77" t="b">
        <v>0</v>
      </c>
      <c r="AJ2652" s="77"/>
      <c r="AK2652" s="77"/>
      <c r="AL2652" s="77"/>
      <c r="AM2652" s="77"/>
      <c r="AN2652" s="77"/>
      <c r="AO2652" s="77"/>
      <c r="AP2652" s="77"/>
      <c r="AQ2652" s="77" t="s">
        <v>12101</v>
      </c>
      <c r="AR2652" s="77">
        <v>95161</v>
      </c>
      <c r="AS2652" s="77"/>
      <c r="AT2652" s="77"/>
      <c r="AU2652" s="77">
        <v>735</v>
      </c>
      <c r="AV2652" s="80" t="str">
        <f>HYPERLINK("https://pbs.twimg.com/ext_tw_video_thumb/1621266048988200961/pu/img/2kolVj6HrFGSXePB.jpg")</f>
        <v>https://pbs.twimg.com/ext_tw_video_thumb/1621266048988200961/pu/img/2kolVj6HrFGSXePB.jpg</v>
      </c>
      <c r="AW2652" s="82" t="s">
        <v>14807</v>
      </c>
      <c r="AX2652" s="82" t="s">
        <v>14807</v>
      </c>
      <c r="AY2652" s="77"/>
      <c r="AZ2652" s="82" t="s">
        <v>15804</v>
      </c>
      <c r="BA2652" s="82" t="s">
        <v>15804</v>
      </c>
      <c r="BB2652" s="82" t="s">
        <v>15804</v>
      </c>
      <c r="BC2652" s="82" t="s">
        <v>14807</v>
      </c>
      <c r="BD2652" s="77">
        <v>74550038</v>
      </c>
      <c r="BE2652" s="77"/>
      <c r="BF2652" s="77"/>
      <c r="BG2652" s="77"/>
      <c r="BH2652" s="77"/>
      <c r="BI2652" s="77"/>
    </row>
    <row r="2653" spans="1:61" x14ac:dyDescent="0.25">
      <c r="A2653" s="62" t="s">
        <v>734</v>
      </c>
      <c r="B2653" s="62" t="s">
        <v>734</v>
      </c>
      <c r="C2653" s="63"/>
      <c r="D2653" s="64"/>
      <c r="E2653" s="65"/>
      <c r="F2653" s="66"/>
      <c r="G2653" s="63"/>
      <c r="H2653" s="67"/>
      <c r="I2653" s="68"/>
      <c r="J2653" s="68"/>
      <c r="K2653" s="32"/>
      <c r="L2653" s="75">
        <v>2653</v>
      </c>
      <c r="M2653" s="75"/>
      <c r="N2653" s="70"/>
      <c r="O2653" s="77" t="s">
        <v>179</v>
      </c>
      <c r="P2653" s="79">
        <v>44958.952326388891</v>
      </c>
      <c r="Q2653" s="77" t="s">
        <v>3665</v>
      </c>
      <c r="R2653" s="77">
        <v>4</v>
      </c>
      <c r="S2653" s="77">
        <v>25</v>
      </c>
      <c r="T2653" s="77">
        <v>0</v>
      </c>
      <c r="U2653" s="77">
        <v>0</v>
      </c>
      <c r="V2653" s="77">
        <v>3392</v>
      </c>
      <c r="W2653" s="82" t="s">
        <v>5746</v>
      </c>
      <c r="X2653" s="77"/>
      <c r="Y2653" s="77"/>
      <c r="Z2653" s="77"/>
      <c r="AA2653" s="77" t="s">
        <v>7596</v>
      </c>
      <c r="AB2653" s="77" t="s">
        <v>7697</v>
      </c>
      <c r="AC2653" s="82" t="s">
        <v>7705</v>
      </c>
      <c r="AD2653" s="77" t="s">
        <v>7745</v>
      </c>
      <c r="AE2653" s="80" t="str">
        <f>HYPERLINK("https://twitter.com/b3_oficial/status/1620917751165632512")</f>
        <v>https://twitter.com/b3_oficial/status/1620917751165632512</v>
      </c>
      <c r="AF2653" s="79">
        <v>44958.952326388891</v>
      </c>
      <c r="AG2653" s="85">
        <v>44958</v>
      </c>
      <c r="AH2653" s="82" t="s">
        <v>10140</v>
      </c>
      <c r="AI2653" s="77" t="b">
        <v>0</v>
      </c>
      <c r="AJ2653" s="77"/>
      <c r="AK2653" s="77"/>
      <c r="AL2653" s="77"/>
      <c r="AM2653" s="77"/>
      <c r="AN2653" s="77"/>
      <c r="AO2653" s="77"/>
      <c r="AP2653" s="77"/>
      <c r="AQ2653" s="77" t="s">
        <v>12102</v>
      </c>
      <c r="AR2653" s="77">
        <v>110810</v>
      </c>
      <c r="AS2653" s="77"/>
      <c r="AT2653" s="77"/>
      <c r="AU2653" s="77">
        <v>1128</v>
      </c>
      <c r="AV2653" s="80" t="str">
        <f>HYPERLINK("https://pbs.twimg.com/ext_tw_video_thumb/1620917681384718338/pu/img/8Je7BkHuq30GxviB.jpg")</f>
        <v>https://pbs.twimg.com/ext_tw_video_thumb/1620917681384718338/pu/img/8Je7BkHuq30GxviB.jpg</v>
      </c>
      <c r="AW2653" s="82" t="s">
        <v>14808</v>
      </c>
      <c r="AX2653" s="82" t="s">
        <v>14808</v>
      </c>
      <c r="AY2653" s="77"/>
      <c r="AZ2653" s="82" t="s">
        <v>15804</v>
      </c>
      <c r="BA2653" s="82" t="s">
        <v>15804</v>
      </c>
      <c r="BB2653" s="82" t="s">
        <v>15804</v>
      </c>
      <c r="BC2653" s="82" t="s">
        <v>14808</v>
      </c>
      <c r="BD2653" s="77">
        <v>74550038</v>
      </c>
      <c r="BE2653" s="77"/>
      <c r="BF2653" s="77"/>
      <c r="BG2653" s="77"/>
      <c r="BH2653" s="77"/>
      <c r="BI2653" s="77"/>
    </row>
    <row r="2654" spans="1:61" x14ac:dyDescent="0.25">
      <c r="A2654" s="62" t="s">
        <v>734</v>
      </c>
      <c r="B2654" s="62" t="s">
        <v>734</v>
      </c>
      <c r="C2654" s="63"/>
      <c r="D2654" s="64"/>
      <c r="E2654" s="65"/>
      <c r="F2654" s="66"/>
      <c r="G2654" s="63"/>
      <c r="H2654" s="67"/>
      <c r="I2654" s="68"/>
      <c r="J2654" s="68"/>
      <c r="K2654" s="32"/>
      <c r="L2654" s="75">
        <v>2654</v>
      </c>
      <c r="M2654" s="75"/>
      <c r="N2654" s="70"/>
      <c r="O2654" s="77" t="s">
        <v>179</v>
      </c>
      <c r="P2654" s="79">
        <v>44956.949293981481</v>
      </c>
      <c r="Q2654" s="77" t="s">
        <v>3666</v>
      </c>
      <c r="R2654" s="77">
        <v>9</v>
      </c>
      <c r="S2654" s="77">
        <v>33</v>
      </c>
      <c r="T2654" s="77">
        <v>2</v>
      </c>
      <c r="U2654" s="77">
        <v>0</v>
      </c>
      <c r="V2654" s="77">
        <v>4845</v>
      </c>
      <c r="W2654" s="82" t="s">
        <v>5754</v>
      </c>
      <c r="X2654" s="77"/>
      <c r="Y2654" s="77"/>
      <c r="Z2654" s="77"/>
      <c r="AA2654" s="77" t="s">
        <v>7597</v>
      </c>
      <c r="AB2654" s="77" t="s">
        <v>7697</v>
      </c>
      <c r="AC2654" s="82" t="s">
        <v>7705</v>
      </c>
      <c r="AD2654" s="77" t="s">
        <v>7745</v>
      </c>
      <c r="AE2654" s="80" t="str">
        <f>HYPERLINK("https://twitter.com/b3_oficial/status/1620191875905847298")</f>
        <v>https://twitter.com/b3_oficial/status/1620191875905847298</v>
      </c>
      <c r="AF2654" s="79">
        <v>44956.949293981481</v>
      </c>
      <c r="AG2654" s="85">
        <v>44956</v>
      </c>
      <c r="AH2654" s="82" t="s">
        <v>10141</v>
      </c>
      <c r="AI2654" s="77" t="b">
        <v>0</v>
      </c>
      <c r="AJ2654" s="77"/>
      <c r="AK2654" s="77"/>
      <c r="AL2654" s="77"/>
      <c r="AM2654" s="77"/>
      <c r="AN2654" s="77"/>
      <c r="AO2654" s="77"/>
      <c r="AP2654" s="77"/>
      <c r="AQ2654" s="77" t="s">
        <v>12103</v>
      </c>
      <c r="AR2654" s="77">
        <v>101501</v>
      </c>
      <c r="AS2654" s="77"/>
      <c r="AT2654" s="77"/>
      <c r="AU2654" s="77">
        <v>1410</v>
      </c>
      <c r="AV2654" s="80" t="str">
        <f>HYPERLINK("https://pbs.twimg.com/ext_tw_video_thumb/1620191770041585666/pu/img/SBWkugO4ebOmKGEp.jpg")</f>
        <v>https://pbs.twimg.com/ext_tw_video_thumb/1620191770041585666/pu/img/SBWkugO4ebOmKGEp.jpg</v>
      </c>
      <c r="AW2654" s="82" t="s">
        <v>14809</v>
      </c>
      <c r="AX2654" s="82" t="s">
        <v>14809</v>
      </c>
      <c r="AY2654" s="77"/>
      <c r="AZ2654" s="82" t="s">
        <v>15804</v>
      </c>
      <c r="BA2654" s="82" t="s">
        <v>15804</v>
      </c>
      <c r="BB2654" s="82" t="s">
        <v>15804</v>
      </c>
      <c r="BC2654" s="82" t="s">
        <v>14809</v>
      </c>
      <c r="BD2654" s="77">
        <v>74550038</v>
      </c>
      <c r="BE2654" s="77"/>
      <c r="BF2654" s="77"/>
      <c r="BG2654" s="77"/>
      <c r="BH2654" s="77"/>
      <c r="BI2654" s="77"/>
    </row>
    <row r="2655" spans="1:61" x14ac:dyDescent="0.25">
      <c r="A2655" s="62" t="s">
        <v>734</v>
      </c>
      <c r="B2655" s="62" t="s">
        <v>734</v>
      </c>
      <c r="C2655" s="63"/>
      <c r="D2655" s="64"/>
      <c r="E2655" s="65"/>
      <c r="F2655" s="66"/>
      <c r="G2655" s="63"/>
      <c r="H2655" s="67"/>
      <c r="I2655" s="68"/>
      <c r="J2655" s="68"/>
      <c r="K2655" s="32"/>
      <c r="L2655" s="75">
        <v>2655</v>
      </c>
      <c r="M2655" s="75"/>
      <c r="N2655" s="70"/>
      <c r="O2655" s="77" t="s">
        <v>179</v>
      </c>
      <c r="P2655" s="79">
        <v>44953.960949074077</v>
      </c>
      <c r="Q2655" s="77" t="s">
        <v>3667</v>
      </c>
      <c r="R2655" s="77">
        <v>1</v>
      </c>
      <c r="S2655" s="77">
        <v>12</v>
      </c>
      <c r="T2655" s="77">
        <v>1</v>
      </c>
      <c r="U2655" s="77">
        <v>1</v>
      </c>
      <c r="V2655" s="77">
        <v>2901</v>
      </c>
      <c r="W2655" s="82" t="s">
        <v>5746</v>
      </c>
      <c r="X2655" s="77"/>
      <c r="Y2655" s="77"/>
      <c r="Z2655" s="77"/>
      <c r="AA2655" s="77" t="s">
        <v>7598</v>
      </c>
      <c r="AB2655" s="77" t="s">
        <v>7697</v>
      </c>
      <c r="AC2655" s="82" t="s">
        <v>7705</v>
      </c>
      <c r="AD2655" s="77" t="s">
        <v>7745</v>
      </c>
      <c r="AE2655" s="80" t="str">
        <f>HYPERLINK("https://twitter.com/b3_oficial/status/1619108937537814528")</f>
        <v>https://twitter.com/b3_oficial/status/1619108937537814528</v>
      </c>
      <c r="AF2655" s="79">
        <v>44953.960949074077</v>
      </c>
      <c r="AG2655" s="85">
        <v>44953</v>
      </c>
      <c r="AH2655" s="82" t="s">
        <v>10142</v>
      </c>
      <c r="AI2655" s="77" t="b">
        <v>0</v>
      </c>
      <c r="AJ2655" s="77"/>
      <c r="AK2655" s="77"/>
      <c r="AL2655" s="77"/>
      <c r="AM2655" s="77"/>
      <c r="AN2655" s="77"/>
      <c r="AO2655" s="77"/>
      <c r="AP2655" s="77"/>
      <c r="AQ2655" s="77" t="s">
        <v>12104</v>
      </c>
      <c r="AR2655" s="77">
        <v>104905</v>
      </c>
      <c r="AS2655" s="77"/>
      <c r="AT2655" s="77"/>
      <c r="AU2655" s="77">
        <v>773</v>
      </c>
      <c r="AV2655" s="80" t="str">
        <f>HYPERLINK("https://pbs.twimg.com/ext_tw_video_thumb/1619108790074331137/pu/img/2bOpdJv9cfzH1Myc.jpg")</f>
        <v>https://pbs.twimg.com/ext_tw_video_thumb/1619108790074331137/pu/img/2bOpdJv9cfzH1Myc.jpg</v>
      </c>
      <c r="AW2655" s="82" t="s">
        <v>14810</v>
      </c>
      <c r="AX2655" s="82" t="s">
        <v>14810</v>
      </c>
      <c r="AY2655" s="77"/>
      <c r="AZ2655" s="82" t="s">
        <v>15804</v>
      </c>
      <c r="BA2655" s="82" t="s">
        <v>15804</v>
      </c>
      <c r="BB2655" s="82" t="s">
        <v>15804</v>
      </c>
      <c r="BC2655" s="82" t="s">
        <v>14810</v>
      </c>
      <c r="BD2655" s="77">
        <v>74550038</v>
      </c>
      <c r="BE2655" s="77"/>
      <c r="BF2655" s="77"/>
      <c r="BG2655" s="77"/>
      <c r="BH2655" s="77"/>
      <c r="BI2655" s="77"/>
    </row>
    <row r="2656" spans="1:61" x14ac:dyDescent="0.25">
      <c r="A2656" s="62" t="s">
        <v>734</v>
      </c>
      <c r="B2656" s="62" t="s">
        <v>734</v>
      </c>
      <c r="C2656" s="63"/>
      <c r="D2656" s="64"/>
      <c r="E2656" s="65"/>
      <c r="F2656" s="66"/>
      <c r="G2656" s="63"/>
      <c r="H2656" s="67"/>
      <c r="I2656" s="68"/>
      <c r="J2656" s="68"/>
      <c r="K2656" s="32"/>
      <c r="L2656" s="75">
        <v>2656</v>
      </c>
      <c r="M2656" s="75"/>
      <c r="N2656" s="70"/>
      <c r="O2656" s="77" t="s">
        <v>179</v>
      </c>
      <c r="P2656" s="79">
        <v>44952.951608796298</v>
      </c>
      <c r="Q2656" s="77" t="s">
        <v>3668</v>
      </c>
      <c r="R2656" s="77">
        <v>0</v>
      </c>
      <c r="S2656" s="77">
        <v>11</v>
      </c>
      <c r="T2656" s="77">
        <v>0</v>
      </c>
      <c r="U2656" s="77">
        <v>0</v>
      </c>
      <c r="V2656" s="77">
        <v>3650</v>
      </c>
      <c r="W2656" s="82" t="s">
        <v>5746</v>
      </c>
      <c r="X2656" s="77"/>
      <c r="Y2656" s="77"/>
      <c r="Z2656" s="77"/>
      <c r="AA2656" s="77" t="s">
        <v>7599</v>
      </c>
      <c r="AB2656" s="77" t="s">
        <v>7697</v>
      </c>
      <c r="AC2656" s="82" t="s">
        <v>7705</v>
      </c>
      <c r="AD2656" s="77" t="s">
        <v>7745</v>
      </c>
      <c r="AE2656" s="80" t="str">
        <f>HYPERLINK("https://twitter.com/b3_oficial/status/1618743161580572673")</f>
        <v>https://twitter.com/b3_oficial/status/1618743161580572673</v>
      </c>
      <c r="AF2656" s="79">
        <v>44952.951608796298</v>
      </c>
      <c r="AG2656" s="85">
        <v>44952</v>
      </c>
      <c r="AH2656" s="82" t="s">
        <v>10143</v>
      </c>
      <c r="AI2656" s="77" t="b">
        <v>0</v>
      </c>
      <c r="AJ2656" s="77"/>
      <c r="AK2656" s="77"/>
      <c r="AL2656" s="77"/>
      <c r="AM2656" s="77"/>
      <c r="AN2656" s="77"/>
      <c r="AO2656" s="77"/>
      <c r="AP2656" s="77"/>
      <c r="AQ2656" s="77" t="s">
        <v>12105</v>
      </c>
      <c r="AR2656" s="77">
        <v>106806</v>
      </c>
      <c r="AS2656" s="77"/>
      <c r="AT2656" s="77"/>
      <c r="AU2656" s="77">
        <v>977</v>
      </c>
      <c r="AV2656" s="80" t="str">
        <f>HYPERLINK("https://pbs.twimg.com/ext_tw_video_thumb/1618742636218667010/pu/img/M5PaYwWAjbcyDeT4.jpg")</f>
        <v>https://pbs.twimg.com/ext_tw_video_thumb/1618742636218667010/pu/img/M5PaYwWAjbcyDeT4.jpg</v>
      </c>
      <c r="AW2656" s="82" t="s">
        <v>14811</v>
      </c>
      <c r="AX2656" s="82" t="s">
        <v>14811</v>
      </c>
      <c r="AY2656" s="77"/>
      <c r="AZ2656" s="82" t="s">
        <v>15804</v>
      </c>
      <c r="BA2656" s="82" t="s">
        <v>15804</v>
      </c>
      <c r="BB2656" s="82" t="s">
        <v>15804</v>
      </c>
      <c r="BC2656" s="82" t="s">
        <v>14811</v>
      </c>
      <c r="BD2656" s="77">
        <v>74550038</v>
      </c>
      <c r="BE2656" s="77"/>
      <c r="BF2656" s="77"/>
      <c r="BG2656" s="77"/>
      <c r="BH2656" s="77"/>
      <c r="BI2656" s="77"/>
    </row>
    <row r="2657" spans="1:61" x14ac:dyDescent="0.25">
      <c r="A2657" s="62" t="s">
        <v>734</v>
      </c>
      <c r="B2657" s="62" t="s">
        <v>734</v>
      </c>
      <c r="C2657" s="63"/>
      <c r="D2657" s="64"/>
      <c r="E2657" s="65"/>
      <c r="F2657" s="66"/>
      <c r="G2657" s="63"/>
      <c r="H2657" s="67"/>
      <c r="I2657" s="68"/>
      <c r="J2657" s="68"/>
      <c r="K2657" s="32"/>
      <c r="L2657" s="75">
        <v>2657</v>
      </c>
      <c r="M2657" s="75"/>
      <c r="N2657" s="70"/>
      <c r="O2657" s="77" t="s">
        <v>1132</v>
      </c>
      <c r="P2657" s="79">
        <v>45084.947488425925</v>
      </c>
      <c r="Q2657" s="77" t="s">
        <v>3669</v>
      </c>
      <c r="R2657" s="77">
        <v>0</v>
      </c>
      <c r="S2657" s="77">
        <v>3</v>
      </c>
      <c r="T2657" s="77">
        <v>0</v>
      </c>
      <c r="U2657" s="77">
        <v>0</v>
      </c>
      <c r="V2657" s="77">
        <v>2630</v>
      </c>
      <c r="W2657" s="82" t="s">
        <v>5755</v>
      </c>
      <c r="X2657" s="77"/>
      <c r="Y2657" s="77"/>
      <c r="Z2657" s="77"/>
      <c r="AA2657" s="77"/>
      <c r="AB2657" s="77"/>
      <c r="AC2657" s="82" t="s">
        <v>7706</v>
      </c>
      <c r="AD2657" s="77" t="s">
        <v>7745</v>
      </c>
      <c r="AE2657" s="80" t="str">
        <f>HYPERLINK("https://twitter.com/b3_oficial/status/1666576869406257152")</f>
        <v>https://twitter.com/b3_oficial/status/1666576869406257152</v>
      </c>
      <c r="AF2657" s="79">
        <v>45084.947488425925</v>
      </c>
      <c r="AG2657" s="85">
        <v>45084</v>
      </c>
      <c r="AH2657" s="82" t="s">
        <v>10144</v>
      </c>
      <c r="AI2657" s="77"/>
      <c r="AJ2657" s="77"/>
      <c r="AK2657" s="77"/>
      <c r="AL2657" s="77"/>
      <c r="AM2657" s="77"/>
      <c r="AN2657" s="77"/>
      <c r="AO2657" s="77"/>
      <c r="AP2657" s="77"/>
      <c r="AQ2657" s="77"/>
      <c r="AR2657" s="77"/>
      <c r="AS2657" s="77"/>
      <c r="AT2657" s="77"/>
      <c r="AU2657" s="77"/>
      <c r="AV2657" s="80" t="str">
        <f>HYPERLINK("https://pbs.twimg.com/profile_images/1505968327499436049/Ivkcir3F_normal.jpg")</f>
        <v>https://pbs.twimg.com/profile_images/1505968327499436049/Ivkcir3F_normal.jpg</v>
      </c>
      <c r="AW2657" s="82" t="s">
        <v>14812</v>
      </c>
      <c r="AX2657" s="82" t="s">
        <v>15629</v>
      </c>
      <c r="AY2657" s="82" t="s">
        <v>15797</v>
      </c>
      <c r="AZ2657" s="82" t="s">
        <v>15629</v>
      </c>
      <c r="BA2657" s="82" t="s">
        <v>15804</v>
      </c>
      <c r="BB2657" s="82" t="s">
        <v>15804</v>
      </c>
      <c r="BC2657" s="82" t="s">
        <v>15629</v>
      </c>
      <c r="BD2657" s="77">
        <v>74550038</v>
      </c>
      <c r="BE2657" s="77"/>
      <c r="BF2657" s="77"/>
      <c r="BG2657" s="77"/>
      <c r="BH2657" s="77"/>
      <c r="BI2657" s="77"/>
    </row>
    <row r="2658" spans="1:61" x14ac:dyDescent="0.25">
      <c r="A2658" s="62" t="s">
        <v>734</v>
      </c>
      <c r="B2658" s="62" t="s">
        <v>734</v>
      </c>
      <c r="C2658" s="63"/>
      <c r="D2658" s="64"/>
      <c r="E2658" s="65"/>
      <c r="F2658" s="66"/>
      <c r="G2658" s="63"/>
      <c r="H2658" s="67"/>
      <c r="I2658" s="68"/>
      <c r="J2658" s="68"/>
      <c r="K2658" s="32"/>
      <c r="L2658" s="75">
        <v>2658</v>
      </c>
      <c r="M2658" s="75"/>
      <c r="N2658" s="70"/>
      <c r="O2658" s="77" t="s">
        <v>1132</v>
      </c>
      <c r="P2658" s="79">
        <v>45063.929027777776</v>
      </c>
      <c r="Q2658" s="77" t="s">
        <v>3670</v>
      </c>
      <c r="R2658" s="77">
        <v>0</v>
      </c>
      <c r="S2658" s="77">
        <v>2</v>
      </c>
      <c r="T2658" s="77">
        <v>0</v>
      </c>
      <c r="U2658" s="77">
        <v>0</v>
      </c>
      <c r="V2658" s="77">
        <v>2471</v>
      </c>
      <c r="W2658" s="82" t="s">
        <v>5743</v>
      </c>
      <c r="X2658" s="77"/>
      <c r="Y2658" s="77"/>
      <c r="Z2658" s="77"/>
      <c r="AA2658" s="77"/>
      <c r="AB2658" s="77"/>
      <c r="AC2658" s="82" t="s">
        <v>7706</v>
      </c>
      <c r="AD2658" s="77" t="s">
        <v>7745</v>
      </c>
      <c r="AE2658" s="80" t="str">
        <f>HYPERLINK("https://twitter.com/b3_oficial/status/1658960034481549313")</f>
        <v>https://twitter.com/b3_oficial/status/1658960034481549313</v>
      </c>
      <c r="AF2658" s="79">
        <v>45063.929027777776</v>
      </c>
      <c r="AG2658" s="85">
        <v>45063</v>
      </c>
      <c r="AH2658" s="82" t="s">
        <v>10145</v>
      </c>
      <c r="AI2658" s="77"/>
      <c r="AJ2658" s="77"/>
      <c r="AK2658" s="77"/>
      <c r="AL2658" s="77"/>
      <c r="AM2658" s="77"/>
      <c r="AN2658" s="77"/>
      <c r="AO2658" s="77"/>
      <c r="AP2658" s="77"/>
      <c r="AQ2658" s="77"/>
      <c r="AR2658" s="77"/>
      <c r="AS2658" s="77"/>
      <c r="AT2658" s="77"/>
      <c r="AU2658" s="77"/>
      <c r="AV2658" s="80" t="str">
        <f>HYPERLINK("https://pbs.twimg.com/profile_images/1505968327499436049/Ivkcir3F_normal.jpg")</f>
        <v>https://pbs.twimg.com/profile_images/1505968327499436049/Ivkcir3F_normal.jpg</v>
      </c>
      <c r="AW2658" s="82" t="s">
        <v>14813</v>
      </c>
      <c r="AX2658" s="82" t="s">
        <v>15630</v>
      </c>
      <c r="AY2658" s="82" t="s">
        <v>15797</v>
      </c>
      <c r="AZ2658" s="82" t="s">
        <v>15630</v>
      </c>
      <c r="BA2658" s="82" t="s">
        <v>15804</v>
      </c>
      <c r="BB2658" s="82" t="s">
        <v>15804</v>
      </c>
      <c r="BC2658" s="82" t="s">
        <v>15630</v>
      </c>
      <c r="BD2658" s="77">
        <v>74550038</v>
      </c>
      <c r="BE2658" s="77"/>
      <c r="BF2658" s="77"/>
      <c r="BG2658" s="77"/>
      <c r="BH2658" s="77"/>
      <c r="BI2658" s="77"/>
    </row>
    <row r="2659" spans="1:61" x14ac:dyDescent="0.25">
      <c r="A2659" s="62" t="s">
        <v>734</v>
      </c>
      <c r="B2659" s="62" t="s">
        <v>734</v>
      </c>
      <c r="C2659" s="63"/>
      <c r="D2659" s="64"/>
      <c r="E2659" s="65"/>
      <c r="F2659" s="66"/>
      <c r="G2659" s="63"/>
      <c r="H2659" s="67"/>
      <c r="I2659" s="68"/>
      <c r="J2659" s="68"/>
      <c r="K2659" s="32"/>
      <c r="L2659" s="75">
        <v>2659</v>
      </c>
      <c r="M2659" s="75"/>
      <c r="N2659" s="70"/>
      <c r="O2659" s="77" t="s">
        <v>1132</v>
      </c>
      <c r="P2659" s="79">
        <v>45062.998819444445</v>
      </c>
      <c r="Q2659" s="77" t="s">
        <v>3671</v>
      </c>
      <c r="R2659" s="77">
        <v>0</v>
      </c>
      <c r="S2659" s="77">
        <v>1</v>
      </c>
      <c r="T2659" s="77">
        <v>0</v>
      </c>
      <c r="U2659" s="77">
        <v>0</v>
      </c>
      <c r="V2659" s="77">
        <v>2294</v>
      </c>
      <c r="W2659" s="82" t="s">
        <v>5756</v>
      </c>
      <c r="X2659" s="77"/>
      <c r="Y2659" s="77"/>
      <c r="Z2659" s="77"/>
      <c r="AA2659" s="77"/>
      <c r="AB2659" s="77"/>
      <c r="AC2659" s="82" t="s">
        <v>7706</v>
      </c>
      <c r="AD2659" s="77" t="s">
        <v>7745</v>
      </c>
      <c r="AE2659" s="80" t="str">
        <f>HYPERLINK("https://twitter.com/b3_oficial/status/1658622938721992704")</f>
        <v>https://twitter.com/b3_oficial/status/1658622938721992704</v>
      </c>
      <c r="AF2659" s="79">
        <v>45062.998819444445</v>
      </c>
      <c r="AG2659" s="85">
        <v>45062</v>
      </c>
      <c r="AH2659" s="82" t="s">
        <v>10146</v>
      </c>
      <c r="AI2659" s="77"/>
      <c r="AJ2659" s="77"/>
      <c r="AK2659" s="77"/>
      <c r="AL2659" s="77"/>
      <c r="AM2659" s="77"/>
      <c r="AN2659" s="77"/>
      <c r="AO2659" s="77"/>
      <c r="AP2659" s="77"/>
      <c r="AQ2659" s="77"/>
      <c r="AR2659" s="77"/>
      <c r="AS2659" s="77"/>
      <c r="AT2659" s="77"/>
      <c r="AU2659" s="77"/>
      <c r="AV2659" s="80" t="str">
        <f>HYPERLINK("https://pbs.twimg.com/profile_images/1505968327499436049/Ivkcir3F_normal.jpg")</f>
        <v>https://pbs.twimg.com/profile_images/1505968327499436049/Ivkcir3F_normal.jpg</v>
      </c>
      <c r="AW2659" s="82" t="s">
        <v>14814</v>
      </c>
      <c r="AX2659" s="82" t="s">
        <v>15631</v>
      </c>
      <c r="AY2659" s="82" t="s">
        <v>15797</v>
      </c>
      <c r="AZ2659" s="82" t="s">
        <v>15631</v>
      </c>
      <c r="BA2659" s="82" t="s">
        <v>15804</v>
      </c>
      <c r="BB2659" s="82" t="s">
        <v>15804</v>
      </c>
      <c r="BC2659" s="82" t="s">
        <v>15631</v>
      </c>
      <c r="BD2659" s="77">
        <v>74550038</v>
      </c>
      <c r="BE2659" s="77"/>
      <c r="BF2659" s="77"/>
      <c r="BG2659" s="77"/>
      <c r="BH2659" s="77"/>
      <c r="BI2659" s="77"/>
    </row>
    <row r="2660" spans="1:61" x14ac:dyDescent="0.25">
      <c r="A2660" s="62" t="s">
        <v>734</v>
      </c>
      <c r="B2660" s="62" t="s">
        <v>734</v>
      </c>
      <c r="C2660" s="63"/>
      <c r="D2660" s="64"/>
      <c r="E2660" s="65"/>
      <c r="F2660" s="66"/>
      <c r="G2660" s="63"/>
      <c r="H2660" s="67"/>
      <c r="I2660" s="68"/>
      <c r="J2660" s="68"/>
      <c r="K2660" s="32"/>
      <c r="L2660" s="75">
        <v>2660</v>
      </c>
      <c r="M2660" s="75"/>
      <c r="N2660" s="70"/>
      <c r="O2660" s="77" t="s">
        <v>1132</v>
      </c>
      <c r="P2660" s="79">
        <v>45061.947708333333</v>
      </c>
      <c r="Q2660" s="77" t="s">
        <v>3672</v>
      </c>
      <c r="R2660" s="77">
        <v>0</v>
      </c>
      <c r="S2660" s="77">
        <v>2</v>
      </c>
      <c r="T2660" s="77">
        <v>0</v>
      </c>
      <c r="U2660" s="77">
        <v>0</v>
      </c>
      <c r="V2660" s="77">
        <v>2850</v>
      </c>
      <c r="W2660" s="82" t="s">
        <v>5757</v>
      </c>
      <c r="X2660" s="77"/>
      <c r="Y2660" s="77"/>
      <c r="Z2660" s="77"/>
      <c r="AA2660" s="77"/>
      <c r="AB2660" s="77"/>
      <c r="AC2660" s="82" t="s">
        <v>7706</v>
      </c>
      <c r="AD2660" s="77" t="s">
        <v>7745</v>
      </c>
      <c r="AE2660" s="80" t="str">
        <f>HYPERLINK("https://twitter.com/b3_oficial/status/1658242027740332032")</f>
        <v>https://twitter.com/b3_oficial/status/1658242027740332032</v>
      </c>
      <c r="AF2660" s="79">
        <v>45061.947708333333</v>
      </c>
      <c r="AG2660" s="85">
        <v>45061</v>
      </c>
      <c r="AH2660" s="82" t="s">
        <v>10147</v>
      </c>
      <c r="AI2660" s="77"/>
      <c r="AJ2660" s="77"/>
      <c r="AK2660" s="77"/>
      <c r="AL2660" s="77"/>
      <c r="AM2660" s="77"/>
      <c r="AN2660" s="77"/>
      <c r="AO2660" s="77"/>
      <c r="AP2660" s="77"/>
      <c r="AQ2660" s="77"/>
      <c r="AR2660" s="77"/>
      <c r="AS2660" s="77"/>
      <c r="AT2660" s="77"/>
      <c r="AU2660" s="77"/>
      <c r="AV2660" s="80" t="str">
        <f>HYPERLINK("https://pbs.twimg.com/profile_images/1505968327499436049/Ivkcir3F_normal.jpg")</f>
        <v>https://pbs.twimg.com/profile_images/1505968327499436049/Ivkcir3F_normal.jpg</v>
      </c>
      <c r="AW2660" s="82" t="s">
        <v>14815</v>
      </c>
      <c r="AX2660" s="82" t="s">
        <v>15632</v>
      </c>
      <c r="AY2660" s="82" t="s">
        <v>15797</v>
      </c>
      <c r="AZ2660" s="82" t="s">
        <v>15632</v>
      </c>
      <c r="BA2660" s="82" t="s">
        <v>15804</v>
      </c>
      <c r="BB2660" s="82" t="s">
        <v>15804</v>
      </c>
      <c r="BC2660" s="82" t="s">
        <v>15632</v>
      </c>
      <c r="BD2660" s="77">
        <v>74550038</v>
      </c>
      <c r="BE2660" s="77"/>
      <c r="BF2660" s="77"/>
      <c r="BG2660" s="77"/>
      <c r="BH2660" s="77"/>
      <c r="BI2660" s="77"/>
    </row>
    <row r="2661" spans="1:61" x14ac:dyDescent="0.25">
      <c r="A2661" s="62" t="s">
        <v>734</v>
      </c>
      <c r="B2661" s="62" t="s">
        <v>734</v>
      </c>
      <c r="C2661" s="63"/>
      <c r="D2661" s="64"/>
      <c r="E2661" s="65"/>
      <c r="F2661" s="66"/>
      <c r="G2661" s="63"/>
      <c r="H2661" s="67"/>
      <c r="I2661" s="68"/>
      <c r="J2661" s="68"/>
      <c r="K2661" s="32"/>
      <c r="L2661" s="75">
        <v>2661</v>
      </c>
      <c r="M2661" s="75"/>
      <c r="N2661" s="70"/>
      <c r="O2661" s="77" t="s">
        <v>179</v>
      </c>
      <c r="P2661" s="79">
        <v>45009.904513888891</v>
      </c>
      <c r="Q2661" s="77" t="s">
        <v>3673</v>
      </c>
      <c r="R2661" s="77">
        <v>2</v>
      </c>
      <c r="S2661" s="77">
        <v>16</v>
      </c>
      <c r="T2661" s="77">
        <v>0</v>
      </c>
      <c r="U2661" s="77">
        <v>0</v>
      </c>
      <c r="V2661" s="77">
        <v>3495</v>
      </c>
      <c r="W2661" s="82" t="s">
        <v>4279</v>
      </c>
      <c r="X2661" s="77"/>
      <c r="Y2661" s="77"/>
      <c r="Z2661" s="77"/>
      <c r="AA2661" s="77" t="s">
        <v>7600</v>
      </c>
      <c r="AB2661" s="77" t="s">
        <v>7697</v>
      </c>
      <c r="AC2661" s="82" t="s">
        <v>7705</v>
      </c>
      <c r="AD2661" s="77" t="s">
        <v>7745</v>
      </c>
      <c r="AE2661" s="80" t="str">
        <f>HYPERLINK("https://twitter.com/b3_oficial/status/1639382205930651659")</f>
        <v>https://twitter.com/b3_oficial/status/1639382205930651659</v>
      </c>
      <c r="AF2661" s="79">
        <v>45009.904513888891</v>
      </c>
      <c r="AG2661" s="85">
        <v>45009</v>
      </c>
      <c r="AH2661" s="82" t="s">
        <v>10148</v>
      </c>
      <c r="AI2661" s="77" t="b">
        <v>0</v>
      </c>
      <c r="AJ2661" s="77"/>
      <c r="AK2661" s="77"/>
      <c r="AL2661" s="77"/>
      <c r="AM2661" s="77"/>
      <c r="AN2661" s="77"/>
      <c r="AO2661" s="77"/>
      <c r="AP2661" s="77"/>
      <c r="AQ2661" s="77" t="s">
        <v>12106</v>
      </c>
      <c r="AR2661" s="77">
        <v>107440</v>
      </c>
      <c r="AS2661" s="77"/>
      <c r="AT2661" s="77"/>
      <c r="AU2661" s="77">
        <v>869</v>
      </c>
      <c r="AV2661" s="80" t="str">
        <f>HYPERLINK("https://pbs.twimg.com/ext_tw_video_thumb/1639382088674582528/pu/img/4AshUH3SrdjzRH1c.jpg")</f>
        <v>https://pbs.twimg.com/ext_tw_video_thumb/1639382088674582528/pu/img/4AshUH3SrdjzRH1c.jpg</v>
      </c>
      <c r="AW2661" s="82" t="s">
        <v>14816</v>
      </c>
      <c r="AX2661" s="82" t="s">
        <v>14816</v>
      </c>
      <c r="AY2661" s="77"/>
      <c r="AZ2661" s="82" t="s">
        <v>15804</v>
      </c>
      <c r="BA2661" s="82" t="s">
        <v>15804</v>
      </c>
      <c r="BB2661" s="82" t="s">
        <v>15804</v>
      </c>
      <c r="BC2661" s="82" t="s">
        <v>14816</v>
      </c>
      <c r="BD2661" s="77">
        <v>74550038</v>
      </c>
      <c r="BE2661" s="77"/>
      <c r="BF2661" s="77"/>
      <c r="BG2661" s="77"/>
      <c r="BH2661" s="77"/>
      <c r="BI2661" s="77"/>
    </row>
    <row r="2662" spans="1:61" x14ac:dyDescent="0.25">
      <c r="A2662" s="62" t="s">
        <v>734</v>
      </c>
      <c r="B2662" s="62" t="s">
        <v>734</v>
      </c>
      <c r="C2662" s="63"/>
      <c r="D2662" s="64"/>
      <c r="E2662" s="65"/>
      <c r="F2662" s="66"/>
      <c r="G2662" s="63"/>
      <c r="H2662" s="67"/>
      <c r="I2662" s="68"/>
      <c r="J2662" s="68"/>
      <c r="K2662" s="32"/>
      <c r="L2662" s="75">
        <v>2662</v>
      </c>
      <c r="M2662" s="75"/>
      <c r="N2662" s="70"/>
      <c r="O2662" s="77" t="s">
        <v>179</v>
      </c>
      <c r="P2662" s="79">
        <v>45008.908379629633</v>
      </c>
      <c r="Q2662" s="77" t="s">
        <v>3674</v>
      </c>
      <c r="R2662" s="77">
        <v>0</v>
      </c>
      <c r="S2662" s="77">
        <v>7</v>
      </c>
      <c r="T2662" s="77">
        <v>0</v>
      </c>
      <c r="U2662" s="77">
        <v>0</v>
      </c>
      <c r="V2662" s="77">
        <v>3194</v>
      </c>
      <c r="W2662" s="82" t="s">
        <v>5746</v>
      </c>
      <c r="X2662" s="77"/>
      <c r="Y2662" s="77"/>
      <c r="Z2662" s="77"/>
      <c r="AA2662" s="77" t="s">
        <v>7601</v>
      </c>
      <c r="AB2662" s="77" t="s">
        <v>7697</v>
      </c>
      <c r="AC2662" s="82" t="s">
        <v>7706</v>
      </c>
      <c r="AD2662" s="77" t="s">
        <v>7745</v>
      </c>
      <c r="AE2662" s="80" t="str">
        <f>HYPERLINK("https://twitter.com/b3_oficial/status/1639021218568237056")</f>
        <v>https://twitter.com/b3_oficial/status/1639021218568237056</v>
      </c>
      <c r="AF2662" s="79">
        <v>45008.908379629633</v>
      </c>
      <c r="AG2662" s="85">
        <v>45008</v>
      </c>
      <c r="AH2662" s="82" t="s">
        <v>10149</v>
      </c>
      <c r="AI2662" s="77" t="b">
        <v>0</v>
      </c>
      <c r="AJ2662" s="77"/>
      <c r="AK2662" s="77"/>
      <c r="AL2662" s="77"/>
      <c r="AM2662" s="77"/>
      <c r="AN2662" s="77"/>
      <c r="AO2662" s="77"/>
      <c r="AP2662" s="77"/>
      <c r="AQ2662" s="77" t="s">
        <v>12107</v>
      </c>
      <c r="AR2662" s="77">
        <v>83917</v>
      </c>
      <c r="AS2662" s="77"/>
      <c r="AT2662" s="77"/>
      <c r="AU2662" s="77">
        <v>716</v>
      </c>
      <c r="AV2662" s="80" t="str">
        <f>HYPERLINK("https://pbs.twimg.com/media/Fr75NMTX0AEjMZw.jpg")</f>
        <v>https://pbs.twimg.com/media/Fr75NMTX0AEjMZw.jpg</v>
      </c>
      <c r="AW2662" s="82" t="s">
        <v>14817</v>
      </c>
      <c r="AX2662" s="82" t="s">
        <v>14817</v>
      </c>
      <c r="AY2662" s="77"/>
      <c r="AZ2662" s="82" t="s">
        <v>15804</v>
      </c>
      <c r="BA2662" s="82" t="s">
        <v>15804</v>
      </c>
      <c r="BB2662" s="82" t="s">
        <v>15804</v>
      </c>
      <c r="BC2662" s="82" t="s">
        <v>14817</v>
      </c>
      <c r="BD2662" s="77">
        <v>74550038</v>
      </c>
      <c r="BE2662" s="77"/>
      <c r="BF2662" s="77"/>
      <c r="BG2662" s="77"/>
      <c r="BH2662" s="77"/>
      <c r="BI2662" s="77"/>
    </row>
    <row r="2663" spans="1:61" x14ac:dyDescent="0.25">
      <c r="A2663" s="62" t="s">
        <v>734</v>
      </c>
      <c r="B2663" s="62" t="s">
        <v>734</v>
      </c>
      <c r="C2663" s="63"/>
      <c r="D2663" s="64"/>
      <c r="E2663" s="65"/>
      <c r="F2663" s="66"/>
      <c r="G2663" s="63"/>
      <c r="H2663" s="67"/>
      <c r="I2663" s="68"/>
      <c r="J2663" s="68"/>
      <c r="K2663" s="32"/>
      <c r="L2663" s="75">
        <v>2663</v>
      </c>
      <c r="M2663" s="75"/>
      <c r="N2663" s="70"/>
      <c r="O2663" s="77" t="s">
        <v>179</v>
      </c>
      <c r="P2663" s="79">
        <v>44963.92528935185</v>
      </c>
      <c r="Q2663" s="77" t="s">
        <v>3675</v>
      </c>
      <c r="R2663" s="77">
        <v>2</v>
      </c>
      <c r="S2663" s="77">
        <v>25</v>
      </c>
      <c r="T2663" s="77">
        <v>2</v>
      </c>
      <c r="U2663" s="77">
        <v>0</v>
      </c>
      <c r="V2663" s="77">
        <v>4959</v>
      </c>
      <c r="W2663" s="82" t="s">
        <v>5746</v>
      </c>
      <c r="X2663" s="77"/>
      <c r="Y2663" s="77"/>
      <c r="Z2663" s="77"/>
      <c r="AA2663" s="77" t="s">
        <v>7602</v>
      </c>
      <c r="AB2663" s="77" t="s">
        <v>7697</v>
      </c>
      <c r="AC2663" s="82" t="s">
        <v>7705</v>
      </c>
      <c r="AD2663" s="77" t="s">
        <v>7745</v>
      </c>
      <c r="AE2663" s="80" t="str">
        <f>HYPERLINK("https://twitter.com/b3_oficial/status/1622719889667420163")</f>
        <v>https://twitter.com/b3_oficial/status/1622719889667420163</v>
      </c>
      <c r="AF2663" s="79">
        <v>44963.92528935185</v>
      </c>
      <c r="AG2663" s="85">
        <v>44963</v>
      </c>
      <c r="AH2663" s="82" t="s">
        <v>10150</v>
      </c>
      <c r="AI2663" s="77" t="b">
        <v>0</v>
      </c>
      <c r="AJ2663" s="77"/>
      <c r="AK2663" s="77"/>
      <c r="AL2663" s="77"/>
      <c r="AM2663" s="77"/>
      <c r="AN2663" s="77"/>
      <c r="AO2663" s="77"/>
      <c r="AP2663" s="77"/>
      <c r="AQ2663" s="77" t="s">
        <v>12108</v>
      </c>
      <c r="AR2663" s="77">
        <v>112980</v>
      </c>
      <c r="AS2663" s="77"/>
      <c r="AT2663" s="77"/>
      <c r="AU2663" s="77">
        <v>1470</v>
      </c>
      <c r="AV2663" s="80" t="str">
        <f>HYPERLINK("https://pbs.twimg.com/ext_tw_video_thumb/1622719791327809543/pu/img/Yl95mipxEq7c6M45.jpg")</f>
        <v>https://pbs.twimg.com/ext_tw_video_thumb/1622719791327809543/pu/img/Yl95mipxEq7c6M45.jpg</v>
      </c>
      <c r="AW2663" s="82" t="s">
        <v>14818</v>
      </c>
      <c r="AX2663" s="82" t="s">
        <v>14818</v>
      </c>
      <c r="AY2663" s="77"/>
      <c r="AZ2663" s="82" t="s">
        <v>15804</v>
      </c>
      <c r="BA2663" s="82" t="s">
        <v>15804</v>
      </c>
      <c r="BB2663" s="82" t="s">
        <v>15804</v>
      </c>
      <c r="BC2663" s="82" t="s">
        <v>14818</v>
      </c>
      <c r="BD2663" s="77">
        <v>74550038</v>
      </c>
      <c r="BE2663" s="77"/>
      <c r="BF2663" s="77"/>
      <c r="BG2663" s="77"/>
      <c r="BH2663" s="77"/>
      <c r="BI2663" s="77"/>
    </row>
    <row r="2664" spans="1:61" x14ac:dyDescent="0.25">
      <c r="A2664" s="62" t="s">
        <v>734</v>
      </c>
      <c r="B2664" s="62" t="s">
        <v>734</v>
      </c>
      <c r="C2664" s="63"/>
      <c r="D2664" s="64"/>
      <c r="E2664" s="65"/>
      <c r="F2664" s="66"/>
      <c r="G2664" s="63"/>
      <c r="H2664" s="67"/>
      <c r="I2664" s="68"/>
      <c r="J2664" s="68"/>
      <c r="K2664" s="32"/>
      <c r="L2664" s="75">
        <v>2664</v>
      </c>
      <c r="M2664" s="75"/>
      <c r="N2664" s="70"/>
      <c r="O2664" s="77" t="s">
        <v>179</v>
      </c>
      <c r="P2664" s="79">
        <v>44961.002511574072</v>
      </c>
      <c r="Q2664" s="77" t="s">
        <v>3676</v>
      </c>
      <c r="R2664" s="77">
        <v>5</v>
      </c>
      <c r="S2664" s="77">
        <v>23</v>
      </c>
      <c r="T2664" s="77">
        <v>3</v>
      </c>
      <c r="U2664" s="77">
        <v>0</v>
      </c>
      <c r="V2664" s="77">
        <v>4351</v>
      </c>
      <c r="W2664" s="82" t="s">
        <v>5758</v>
      </c>
      <c r="X2664" s="77"/>
      <c r="Y2664" s="77"/>
      <c r="Z2664" s="77"/>
      <c r="AA2664" s="77" t="s">
        <v>7603</v>
      </c>
      <c r="AB2664" s="77" t="s">
        <v>7697</v>
      </c>
      <c r="AC2664" s="82" t="s">
        <v>7705</v>
      </c>
      <c r="AD2664" s="77" t="s">
        <v>7745</v>
      </c>
      <c r="AE2664" s="80" t="str">
        <f>HYPERLINK("https://twitter.com/b3_oficial/status/1621660712589295619")</f>
        <v>https://twitter.com/b3_oficial/status/1621660712589295619</v>
      </c>
      <c r="AF2664" s="79">
        <v>44961.002511574072</v>
      </c>
      <c r="AG2664" s="85">
        <v>44961</v>
      </c>
      <c r="AH2664" s="82" t="s">
        <v>10151</v>
      </c>
      <c r="AI2664" s="77" t="b">
        <v>0</v>
      </c>
      <c r="AJ2664" s="77"/>
      <c r="AK2664" s="77"/>
      <c r="AL2664" s="77"/>
      <c r="AM2664" s="77"/>
      <c r="AN2664" s="77"/>
      <c r="AO2664" s="77"/>
      <c r="AP2664" s="77"/>
      <c r="AQ2664" s="77" t="s">
        <v>12109</v>
      </c>
      <c r="AR2664" s="77">
        <v>112780</v>
      </c>
      <c r="AS2664" s="77"/>
      <c r="AT2664" s="77"/>
      <c r="AU2664" s="77">
        <v>1252</v>
      </c>
      <c r="AV2664" s="80" t="str">
        <f>HYPERLINK("https://pbs.twimg.com/ext_tw_video_thumb/1621660583585005571/pu/img/MHr-hQuTHTGA7cL-.jpg")</f>
        <v>https://pbs.twimg.com/ext_tw_video_thumb/1621660583585005571/pu/img/MHr-hQuTHTGA7cL-.jpg</v>
      </c>
      <c r="AW2664" s="82" t="s">
        <v>14819</v>
      </c>
      <c r="AX2664" s="82" t="s">
        <v>14819</v>
      </c>
      <c r="AY2664" s="77"/>
      <c r="AZ2664" s="82" t="s">
        <v>15804</v>
      </c>
      <c r="BA2664" s="82" t="s">
        <v>15804</v>
      </c>
      <c r="BB2664" s="82" t="s">
        <v>15804</v>
      </c>
      <c r="BC2664" s="82" t="s">
        <v>14819</v>
      </c>
      <c r="BD2664" s="77">
        <v>74550038</v>
      </c>
      <c r="BE2664" s="77"/>
      <c r="BF2664" s="77"/>
      <c r="BG2664" s="77"/>
      <c r="BH2664" s="77"/>
      <c r="BI2664" s="77"/>
    </row>
    <row r="2665" spans="1:61" x14ac:dyDescent="0.25">
      <c r="A2665" s="62" t="s">
        <v>734</v>
      </c>
      <c r="B2665" s="62" t="s">
        <v>734</v>
      </c>
      <c r="C2665" s="63"/>
      <c r="D2665" s="64"/>
      <c r="E2665" s="65"/>
      <c r="F2665" s="66"/>
      <c r="G2665" s="63"/>
      <c r="H2665" s="67"/>
      <c r="I2665" s="68"/>
      <c r="J2665" s="68"/>
      <c r="K2665" s="32"/>
      <c r="L2665" s="75">
        <v>2665</v>
      </c>
      <c r="M2665" s="75"/>
      <c r="N2665" s="70"/>
      <c r="O2665" s="77" t="s">
        <v>1132</v>
      </c>
      <c r="P2665" s="79">
        <v>45076.923483796294</v>
      </c>
      <c r="Q2665" s="77" t="s">
        <v>3677</v>
      </c>
      <c r="R2665" s="77">
        <v>0</v>
      </c>
      <c r="S2665" s="77">
        <v>7</v>
      </c>
      <c r="T2665" s="77">
        <v>0</v>
      </c>
      <c r="U2665" s="77">
        <v>0</v>
      </c>
      <c r="V2665" s="77">
        <v>2438</v>
      </c>
      <c r="W2665" s="82" t="s">
        <v>5759</v>
      </c>
      <c r="X2665" s="77"/>
      <c r="Y2665" s="77"/>
      <c r="Z2665" s="77"/>
      <c r="AA2665" s="77"/>
      <c r="AB2665" s="77"/>
      <c r="AC2665" s="82" t="s">
        <v>7706</v>
      </c>
      <c r="AD2665" s="77" t="s">
        <v>7745</v>
      </c>
      <c r="AE2665" s="80" t="str">
        <f>HYPERLINK("https://twitter.com/b3_oficial/status/1663669065708085253")</f>
        <v>https://twitter.com/b3_oficial/status/1663669065708085253</v>
      </c>
      <c r="AF2665" s="79">
        <v>45076.923483796294</v>
      </c>
      <c r="AG2665" s="85">
        <v>45076</v>
      </c>
      <c r="AH2665" s="82" t="s">
        <v>10152</v>
      </c>
      <c r="AI2665" s="77"/>
      <c r="AJ2665" s="77"/>
      <c r="AK2665" s="77"/>
      <c r="AL2665" s="77"/>
      <c r="AM2665" s="77"/>
      <c r="AN2665" s="77"/>
      <c r="AO2665" s="77"/>
      <c r="AP2665" s="77"/>
      <c r="AQ2665" s="77"/>
      <c r="AR2665" s="77"/>
      <c r="AS2665" s="77"/>
      <c r="AT2665" s="77"/>
      <c r="AU2665" s="77"/>
      <c r="AV2665" s="80" t="str">
        <f>HYPERLINK("https://pbs.twimg.com/profile_images/1505968327499436049/Ivkcir3F_normal.jpg")</f>
        <v>https://pbs.twimg.com/profile_images/1505968327499436049/Ivkcir3F_normal.jpg</v>
      </c>
      <c r="AW2665" s="82" t="s">
        <v>14820</v>
      </c>
      <c r="AX2665" s="82" t="s">
        <v>15633</v>
      </c>
      <c r="AY2665" s="82" t="s">
        <v>15797</v>
      </c>
      <c r="AZ2665" s="82" t="s">
        <v>15633</v>
      </c>
      <c r="BA2665" s="82" t="s">
        <v>15804</v>
      </c>
      <c r="BB2665" s="82" t="s">
        <v>15804</v>
      </c>
      <c r="BC2665" s="82" t="s">
        <v>15633</v>
      </c>
      <c r="BD2665" s="77">
        <v>74550038</v>
      </c>
      <c r="BE2665" s="77"/>
      <c r="BF2665" s="77"/>
      <c r="BG2665" s="77"/>
      <c r="BH2665" s="77"/>
      <c r="BI2665" s="77"/>
    </row>
    <row r="2666" spans="1:61" x14ac:dyDescent="0.25">
      <c r="A2666" s="62" t="s">
        <v>734</v>
      </c>
      <c r="B2666" s="62" t="s">
        <v>734</v>
      </c>
      <c r="C2666" s="63"/>
      <c r="D2666" s="64"/>
      <c r="E2666" s="65"/>
      <c r="F2666" s="66"/>
      <c r="G2666" s="63"/>
      <c r="H2666" s="67"/>
      <c r="I2666" s="68"/>
      <c r="J2666" s="68"/>
      <c r="K2666" s="32"/>
      <c r="L2666" s="75">
        <v>2666</v>
      </c>
      <c r="M2666" s="75"/>
      <c r="N2666" s="70"/>
      <c r="O2666" s="77" t="s">
        <v>1132</v>
      </c>
      <c r="P2666" s="79">
        <v>45070.941689814812</v>
      </c>
      <c r="Q2666" s="77" t="s">
        <v>3678</v>
      </c>
      <c r="R2666" s="77">
        <v>1</v>
      </c>
      <c r="S2666" s="77">
        <v>3</v>
      </c>
      <c r="T2666" s="77">
        <v>0</v>
      </c>
      <c r="U2666" s="77">
        <v>0</v>
      </c>
      <c r="V2666" s="77">
        <v>2391</v>
      </c>
      <c r="W2666" s="82" t="s">
        <v>5739</v>
      </c>
      <c r="X2666" s="77"/>
      <c r="Y2666" s="77"/>
      <c r="Z2666" s="77"/>
      <c r="AA2666" s="77"/>
      <c r="AB2666" s="77"/>
      <c r="AC2666" s="82" t="s">
        <v>7706</v>
      </c>
      <c r="AD2666" s="77" t="s">
        <v>7745</v>
      </c>
      <c r="AE2666" s="80" t="str">
        <f>HYPERLINK("https://twitter.com/b3_oficial/status/1661501338021244929")</f>
        <v>https://twitter.com/b3_oficial/status/1661501338021244929</v>
      </c>
      <c r="AF2666" s="79">
        <v>45070.941689814812</v>
      </c>
      <c r="AG2666" s="85">
        <v>45070</v>
      </c>
      <c r="AH2666" s="82" t="s">
        <v>10153</v>
      </c>
      <c r="AI2666" s="77"/>
      <c r="AJ2666" s="77"/>
      <c r="AK2666" s="77"/>
      <c r="AL2666" s="77"/>
      <c r="AM2666" s="77"/>
      <c r="AN2666" s="77"/>
      <c r="AO2666" s="77"/>
      <c r="AP2666" s="77"/>
      <c r="AQ2666" s="77"/>
      <c r="AR2666" s="77"/>
      <c r="AS2666" s="77"/>
      <c r="AT2666" s="77"/>
      <c r="AU2666" s="77"/>
      <c r="AV2666" s="80" t="str">
        <f>HYPERLINK("https://pbs.twimg.com/profile_images/1505968327499436049/Ivkcir3F_normal.jpg")</f>
        <v>https://pbs.twimg.com/profile_images/1505968327499436049/Ivkcir3F_normal.jpg</v>
      </c>
      <c r="AW2666" s="82" t="s">
        <v>14821</v>
      </c>
      <c r="AX2666" s="82" t="s">
        <v>15634</v>
      </c>
      <c r="AY2666" s="82" t="s">
        <v>15797</v>
      </c>
      <c r="AZ2666" s="82" t="s">
        <v>15634</v>
      </c>
      <c r="BA2666" s="82" t="s">
        <v>15804</v>
      </c>
      <c r="BB2666" s="82" t="s">
        <v>15804</v>
      </c>
      <c r="BC2666" s="82" t="s">
        <v>15634</v>
      </c>
      <c r="BD2666" s="77">
        <v>74550038</v>
      </c>
      <c r="BE2666" s="77"/>
      <c r="BF2666" s="77"/>
      <c r="BG2666" s="77"/>
      <c r="BH2666" s="77"/>
      <c r="BI2666" s="77"/>
    </row>
    <row r="2667" spans="1:61" x14ac:dyDescent="0.25">
      <c r="A2667" s="62" t="s">
        <v>734</v>
      </c>
      <c r="B2667" s="62" t="s">
        <v>734</v>
      </c>
      <c r="C2667" s="63"/>
      <c r="D2667" s="64"/>
      <c r="E2667" s="65"/>
      <c r="F2667" s="66"/>
      <c r="G2667" s="63"/>
      <c r="H2667" s="67"/>
      <c r="I2667" s="68"/>
      <c r="J2667" s="68"/>
      <c r="K2667" s="32"/>
      <c r="L2667" s="75">
        <v>2667</v>
      </c>
      <c r="M2667" s="75"/>
      <c r="N2667" s="70"/>
      <c r="O2667" s="77" t="s">
        <v>1132</v>
      </c>
      <c r="P2667" s="79">
        <v>45069.948530092595</v>
      </c>
      <c r="Q2667" s="77" t="s">
        <v>3679</v>
      </c>
      <c r="R2667" s="77">
        <v>0</v>
      </c>
      <c r="S2667" s="77">
        <v>7</v>
      </c>
      <c r="T2667" s="77">
        <v>0</v>
      </c>
      <c r="U2667" s="77">
        <v>0</v>
      </c>
      <c r="V2667" s="77">
        <v>2610</v>
      </c>
      <c r="W2667" s="82" t="s">
        <v>5760</v>
      </c>
      <c r="X2667" s="77"/>
      <c r="Y2667" s="77"/>
      <c r="Z2667" s="77"/>
      <c r="AA2667" s="77"/>
      <c r="AB2667" s="77"/>
      <c r="AC2667" s="82" t="s">
        <v>7706</v>
      </c>
      <c r="AD2667" s="77" t="s">
        <v>7745</v>
      </c>
      <c r="AE2667" s="80" t="str">
        <f>HYPERLINK("https://twitter.com/b3_oficial/status/1661141425965383682")</f>
        <v>https://twitter.com/b3_oficial/status/1661141425965383682</v>
      </c>
      <c r="AF2667" s="79">
        <v>45069.948530092595</v>
      </c>
      <c r="AG2667" s="85">
        <v>45069</v>
      </c>
      <c r="AH2667" s="82" t="s">
        <v>10154</v>
      </c>
      <c r="AI2667" s="77"/>
      <c r="AJ2667" s="77"/>
      <c r="AK2667" s="77"/>
      <c r="AL2667" s="77"/>
      <c r="AM2667" s="77"/>
      <c r="AN2667" s="77"/>
      <c r="AO2667" s="77"/>
      <c r="AP2667" s="77"/>
      <c r="AQ2667" s="77"/>
      <c r="AR2667" s="77"/>
      <c r="AS2667" s="77"/>
      <c r="AT2667" s="77"/>
      <c r="AU2667" s="77"/>
      <c r="AV2667" s="80" t="str">
        <f>HYPERLINK("https://pbs.twimg.com/profile_images/1505968327499436049/Ivkcir3F_normal.jpg")</f>
        <v>https://pbs.twimg.com/profile_images/1505968327499436049/Ivkcir3F_normal.jpg</v>
      </c>
      <c r="AW2667" s="82" t="s">
        <v>14822</v>
      </c>
      <c r="AX2667" s="82" t="s">
        <v>15635</v>
      </c>
      <c r="AY2667" s="82" t="s">
        <v>15797</v>
      </c>
      <c r="AZ2667" s="82" t="s">
        <v>15635</v>
      </c>
      <c r="BA2667" s="82" t="s">
        <v>15804</v>
      </c>
      <c r="BB2667" s="82" t="s">
        <v>15804</v>
      </c>
      <c r="BC2667" s="82" t="s">
        <v>15635</v>
      </c>
      <c r="BD2667" s="77">
        <v>74550038</v>
      </c>
      <c r="BE2667" s="77"/>
      <c r="BF2667" s="77"/>
      <c r="BG2667" s="77"/>
      <c r="BH2667" s="77"/>
      <c r="BI2667" s="77"/>
    </row>
    <row r="2668" spans="1:61" x14ac:dyDescent="0.25">
      <c r="A2668" s="62" t="s">
        <v>734</v>
      </c>
      <c r="B2668" s="62" t="s">
        <v>734</v>
      </c>
      <c r="C2668" s="63"/>
      <c r="D2668" s="64"/>
      <c r="E2668" s="65"/>
      <c r="F2668" s="66"/>
      <c r="G2668" s="63"/>
      <c r="H2668" s="67"/>
      <c r="I2668" s="68"/>
      <c r="J2668" s="68"/>
      <c r="K2668" s="32"/>
      <c r="L2668" s="75">
        <v>2668</v>
      </c>
      <c r="M2668" s="75"/>
      <c r="N2668" s="70"/>
      <c r="O2668" s="77" t="s">
        <v>1132</v>
      </c>
      <c r="P2668" s="79">
        <v>45051.001481481479</v>
      </c>
      <c r="Q2668" s="77" t="s">
        <v>3680</v>
      </c>
      <c r="R2668" s="77">
        <v>0</v>
      </c>
      <c r="S2668" s="77">
        <v>6</v>
      </c>
      <c r="T2668" s="77">
        <v>0</v>
      </c>
      <c r="U2668" s="77">
        <v>0</v>
      </c>
      <c r="V2668" s="77">
        <v>3273</v>
      </c>
      <c r="W2668" s="82" t="s">
        <v>5743</v>
      </c>
      <c r="X2668" s="77"/>
      <c r="Y2668" s="77"/>
      <c r="Z2668" s="77"/>
      <c r="AA2668" s="77"/>
      <c r="AB2668" s="77"/>
      <c r="AC2668" s="82" t="s">
        <v>7706</v>
      </c>
      <c r="AD2668" s="77" t="s">
        <v>7745</v>
      </c>
      <c r="AE2668" s="80" t="str">
        <f>HYPERLINK("https://twitter.com/b3_oficial/status/1654275245522444290")</f>
        <v>https://twitter.com/b3_oficial/status/1654275245522444290</v>
      </c>
      <c r="AF2668" s="79">
        <v>45051.001481481479</v>
      </c>
      <c r="AG2668" s="85">
        <v>45051</v>
      </c>
      <c r="AH2668" s="82" t="s">
        <v>10155</v>
      </c>
      <c r="AI2668" s="77"/>
      <c r="AJ2668" s="77"/>
      <c r="AK2668" s="77"/>
      <c r="AL2668" s="77"/>
      <c r="AM2668" s="77"/>
      <c r="AN2668" s="77"/>
      <c r="AO2668" s="77"/>
      <c r="AP2668" s="77"/>
      <c r="AQ2668" s="77"/>
      <c r="AR2668" s="77"/>
      <c r="AS2668" s="77"/>
      <c r="AT2668" s="77"/>
      <c r="AU2668" s="77"/>
      <c r="AV2668" s="80" t="str">
        <f>HYPERLINK("https://pbs.twimg.com/profile_images/1505968327499436049/Ivkcir3F_normal.jpg")</f>
        <v>https://pbs.twimg.com/profile_images/1505968327499436049/Ivkcir3F_normal.jpg</v>
      </c>
      <c r="AW2668" s="82" t="s">
        <v>14823</v>
      </c>
      <c r="AX2668" s="82" t="s">
        <v>15636</v>
      </c>
      <c r="AY2668" s="82" t="s">
        <v>15797</v>
      </c>
      <c r="AZ2668" s="82" t="s">
        <v>15636</v>
      </c>
      <c r="BA2668" s="82" t="s">
        <v>15804</v>
      </c>
      <c r="BB2668" s="82" t="s">
        <v>15804</v>
      </c>
      <c r="BC2668" s="82" t="s">
        <v>15636</v>
      </c>
      <c r="BD2668" s="77">
        <v>74550038</v>
      </c>
      <c r="BE2668" s="77"/>
      <c r="BF2668" s="77"/>
      <c r="BG2668" s="77"/>
      <c r="BH2668" s="77"/>
      <c r="BI2668" s="77"/>
    </row>
    <row r="2669" spans="1:61" x14ac:dyDescent="0.25">
      <c r="A2669" s="62" t="s">
        <v>734</v>
      </c>
      <c r="B2669" s="62" t="s">
        <v>734</v>
      </c>
      <c r="C2669" s="63"/>
      <c r="D2669" s="64"/>
      <c r="E2669" s="65"/>
      <c r="F2669" s="66"/>
      <c r="G2669" s="63"/>
      <c r="H2669" s="67"/>
      <c r="I2669" s="68"/>
      <c r="J2669" s="68"/>
      <c r="K2669" s="32"/>
      <c r="L2669" s="75">
        <v>2669</v>
      </c>
      <c r="M2669" s="75"/>
      <c r="N2669" s="70"/>
      <c r="O2669" s="77" t="s">
        <v>1132</v>
      </c>
      <c r="P2669" s="79">
        <v>45041.946388888886</v>
      </c>
      <c r="Q2669" s="77" t="s">
        <v>3681</v>
      </c>
      <c r="R2669" s="77">
        <v>1</v>
      </c>
      <c r="S2669" s="77">
        <v>4</v>
      </c>
      <c r="T2669" s="77">
        <v>0</v>
      </c>
      <c r="U2669" s="77">
        <v>0</v>
      </c>
      <c r="V2669" s="77">
        <v>2811</v>
      </c>
      <c r="W2669" s="82" t="s">
        <v>5761</v>
      </c>
      <c r="X2669" s="77"/>
      <c r="Y2669" s="77"/>
      <c r="Z2669" s="77"/>
      <c r="AA2669" s="77"/>
      <c r="AB2669" s="77"/>
      <c r="AC2669" s="82" t="s">
        <v>7706</v>
      </c>
      <c r="AD2669" s="77" t="s">
        <v>7745</v>
      </c>
      <c r="AE2669" s="80" t="str">
        <f>HYPERLINK("https://twitter.com/b3_oficial/status/1650993790700736516")</f>
        <v>https://twitter.com/b3_oficial/status/1650993790700736516</v>
      </c>
      <c r="AF2669" s="79">
        <v>45041.946388888886</v>
      </c>
      <c r="AG2669" s="85">
        <v>45041</v>
      </c>
      <c r="AH2669" s="82" t="s">
        <v>10156</v>
      </c>
      <c r="AI2669" s="77"/>
      <c r="AJ2669" s="77"/>
      <c r="AK2669" s="77"/>
      <c r="AL2669" s="77"/>
      <c r="AM2669" s="77"/>
      <c r="AN2669" s="77"/>
      <c r="AO2669" s="77"/>
      <c r="AP2669" s="77"/>
      <c r="AQ2669" s="77"/>
      <c r="AR2669" s="77"/>
      <c r="AS2669" s="77"/>
      <c r="AT2669" s="77"/>
      <c r="AU2669" s="77"/>
      <c r="AV2669" s="80" t="str">
        <f>HYPERLINK("https://pbs.twimg.com/profile_images/1505968327499436049/Ivkcir3F_normal.jpg")</f>
        <v>https://pbs.twimg.com/profile_images/1505968327499436049/Ivkcir3F_normal.jpg</v>
      </c>
      <c r="AW2669" s="82" t="s">
        <v>14824</v>
      </c>
      <c r="AX2669" s="82" t="s">
        <v>15637</v>
      </c>
      <c r="AY2669" s="82" t="s">
        <v>15797</v>
      </c>
      <c r="AZ2669" s="82" t="s">
        <v>15637</v>
      </c>
      <c r="BA2669" s="82" t="s">
        <v>15804</v>
      </c>
      <c r="BB2669" s="82" t="s">
        <v>15804</v>
      </c>
      <c r="BC2669" s="82" t="s">
        <v>15637</v>
      </c>
      <c r="BD2669" s="77">
        <v>74550038</v>
      </c>
      <c r="BE2669" s="77"/>
      <c r="BF2669" s="77"/>
      <c r="BG2669" s="77"/>
      <c r="BH2669" s="77"/>
      <c r="BI2669" s="77"/>
    </row>
    <row r="2670" spans="1:61" x14ac:dyDescent="0.25">
      <c r="A2670" s="62" t="s">
        <v>734</v>
      </c>
      <c r="B2670" s="62" t="s">
        <v>734</v>
      </c>
      <c r="C2670" s="63"/>
      <c r="D2670" s="64"/>
      <c r="E2670" s="65"/>
      <c r="F2670" s="66"/>
      <c r="G2670" s="63"/>
      <c r="H2670" s="67"/>
      <c r="I2670" s="68"/>
      <c r="J2670" s="68"/>
      <c r="K2670" s="32"/>
      <c r="L2670" s="75">
        <v>2670</v>
      </c>
      <c r="M2670" s="75"/>
      <c r="N2670" s="70"/>
      <c r="O2670" s="77" t="s">
        <v>179</v>
      </c>
      <c r="P2670" s="79">
        <v>45002.977337962962</v>
      </c>
      <c r="Q2670" s="77" t="s">
        <v>3682</v>
      </c>
      <c r="R2670" s="77">
        <v>2</v>
      </c>
      <c r="S2670" s="77">
        <v>19</v>
      </c>
      <c r="T2670" s="77">
        <v>2</v>
      </c>
      <c r="U2670" s="77">
        <v>0</v>
      </c>
      <c r="V2670" s="77">
        <v>5257</v>
      </c>
      <c r="W2670" s="82" t="s">
        <v>5746</v>
      </c>
      <c r="X2670" s="77"/>
      <c r="Y2670" s="77"/>
      <c r="Z2670" s="77"/>
      <c r="AA2670" s="77" t="s">
        <v>7604</v>
      </c>
      <c r="AB2670" s="77" t="s">
        <v>7697</v>
      </c>
      <c r="AC2670" s="82" t="s">
        <v>7705</v>
      </c>
      <c r="AD2670" s="77" t="s">
        <v>7745</v>
      </c>
      <c r="AE2670" s="80" t="str">
        <f>HYPERLINK("https://twitter.com/b3_oficial/status/1636871880001896449")</f>
        <v>https://twitter.com/b3_oficial/status/1636871880001896449</v>
      </c>
      <c r="AF2670" s="79">
        <v>45002.977337962962</v>
      </c>
      <c r="AG2670" s="85">
        <v>45002</v>
      </c>
      <c r="AH2670" s="82" t="s">
        <v>10157</v>
      </c>
      <c r="AI2670" s="77" t="b">
        <v>0</v>
      </c>
      <c r="AJ2670" s="77"/>
      <c r="AK2670" s="77"/>
      <c r="AL2670" s="77"/>
      <c r="AM2670" s="77"/>
      <c r="AN2670" s="77"/>
      <c r="AO2670" s="77"/>
      <c r="AP2670" s="77"/>
      <c r="AQ2670" s="77" t="s">
        <v>12110</v>
      </c>
      <c r="AR2670" s="77">
        <v>140006</v>
      </c>
      <c r="AS2670" s="77"/>
      <c r="AT2670" s="77"/>
      <c r="AU2670" s="77">
        <v>1368</v>
      </c>
      <c r="AV2670" s="80" t="str">
        <f>HYPERLINK("https://pbs.twimg.com/ext_tw_video_thumb/1636871745121427457/pu/img/rzaxlU8tUoJsq_TU.jpg")</f>
        <v>https://pbs.twimg.com/ext_tw_video_thumb/1636871745121427457/pu/img/rzaxlU8tUoJsq_TU.jpg</v>
      </c>
      <c r="AW2670" s="82" t="s">
        <v>14825</v>
      </c>
      <c r="AX2670" s="82" t="s">
        <v>14825</v>
      </c>
      <c r="AY2670" s="77"/>
      <c r="AZ2670" s="82" t="s">
        <v>15804</v>
      </c>
      <c r="BA2670" s="82" t="s">
        <v>15804</v>
      </c>
      <c r="BB2670" s="82" t="s">
        <v>15804</v>
      </c>
      <c r="BC2670" s="82" t="s">
        <v>14825</v>
      </c>
      <c r="BD2670" s="77">
        <v>74550038</v>
      </c>
      <c r="BE2670" s="77"/>
      <c r="BF2670" s="77"/>
      <c r="BG2670" s="77"/>
      <c r="BH2670" s="77"/>
      <c r="BI2670" s="77"/>
    </row>
    <row r="2671" spans="1:61" x14ac:dyDescent="0.25">
      <c r="A2671" s="62" t="s">
        <v>734</v>
      </c>
      <c r="B2671" s="62" t="s">
        <v>734</v>
      </c>
      <c r="C2671" s="63"/>
      <c r="D2671" s="64"/>
      <c r="E2671" s="65"/>
      <c r="F2671" s="66"/>
      <c r="G2671" s="63"/>
      <c r="H2671" s="67"/>
      <c r="I2671" s="68"/>
      <c r="J2671" s="68"/>
      <c r="K2671" s="32"/>
      <c r="L2671" s="75">
        <v>2671</v>
      </c>
      <c r="M2671" s="75"/>
      <c r="N2671" s="70"/>
      <c r="O2671" s="77" t="s">
        <v>179</v>
      </c>
      <c r="P2671" s="79">
        <v>44994.936851851853</v>
      </c>
      <c r="Q2671" s="77" t="s">
        <v>3683</v>
      </c>
      <c r="R2671" s="77">
        <v>1</v>
      </c>
      <c r="S2671" s="77">
        <v>18</v>
      </c>
      <c r="T2671" s="77">
        <v>2</v>
      </c>
      <c r="U2671" s="77">
        <v>0</v>
      </c>
      <c r="V2671" s="77">
        <v>4449</v>
      </c>
      <c r="W2671" s="82" t="s">
        <v>5746</v>
      </c>
      <c r="X2671" s="77"/>
      <c r="Y2671" s="77"/>
      <c r="Z2671" s="77"/>
      <c r="AA2671" s="77" t="s">
        <v>7605</v>
      </c>
      <c r="AB2671" s="77" t="s">
        <v>7697</v>
      </c>
      <c r="AC2671" s="82" t="s">
        <v>7705</v>
      </c>
      <c r="AD2671" s="77" t="s">
        <v>7745</v>
      </c>
      <c r="AE2671" s="80" t="str">
        <f>HYPERLINK("https://twitter.com/b3_oficial/status/1633958107163377673")</f>
        <v>https://twitter.com/b3_oficial/status/1633958107163377673</v>
      </c>
      <c r="AF2671" s="79">
        <v>44994.936851851853</v>
      </c>
      <c r="AG2671" s="85">
        <v>44994</v>
      </c>
      <c r="AH2671" s="82" t="s">
        <v>10158</v>
      </c>
      <c r="AI2671" s="77" t="b">
        <v>0</v>
      </c>
      <c r="AJ2671" s="77"/>
      <c r="AK2671" s="77"/>
      <c r="AL2671" s="77"/>
      <c r="AM2671" s="77"/>
      <c r="AN2671" s="77"/>
      <c r="AO2671" s="77"/>
      <c r="AP2671" s="77"/>
      <c r="AQ2671" s="77" t="s">
        <v>12111</v>
      </c>
      <c r="AR2671" s="77">
        <v>96530</v>
      </c>
      <c r="AS2671" s="77"/>
      <c r="AT2671" s="77"/>
      <c r="AU2671" s="77">
        <v>1148</v>
      </c>
      <c r="AV2671" s="80" t="str">
        <f>HYPERLINK("https://pbs.twimg.com/ext_tw_video_thumb/1633957977425158144/pu/img/4L6RHxac22KfaDxE.jpg")</f>
        <v>https://pbs.twimg.com/ext_tw_video_thumb/1633957977425158144/pu/img/4L6RHxac22KfaDxE.jpg</v>
      </c>
      <c r="AW2671" s="82" t="s">
        <v>14826</v>
      </c>
      <c r="AX2671" s="82" t="s">
        <v>14826</v>
      </c>
      <c r="AY2671" s="77"/>
      <c r="AZ2671" s="82" t="s">
        <v>15804</v>
      </c>
      <c r="BA2671" s="82" t="s">
        <v>15804</v>
      </c>
      <c r="BB2671" s="82" t="s">
        <v>15804</v>
      </c>
      <c r="BC2671" s="82" t="s">
        <v>14826</v>
      </c>
      <c r="BD2671" s="77">
        <v>74550038</v>
      </c>
      <c r="BE2671" s="77"/>
      <c r="BF2671" s="77"/>
      <c r="BG2671" s="77"/>
      <c r="BH2671" s="77"/>
      <c r="BI2671" s="77"/>
    </row>
    <row r="2672" spans="1:61" x14ac:dyDescent="0.25">
      <c r="A2672" s="62" t="s">
        <v>734</v>
      </c>
      <c r="B2672" s="62" t="s">
        <v>734</v>
      </c>
      <c r="C2672" s="63"/>
      <c r="D2672" s="64"/>
      <c r="E2672" s="65"/>
      <c r="F2672" s="66"/>
      <c r="G2672" s="63"/>
      <c r="H2672" s="67"/>
      <c r="I2672" s="68"/>
      <c r="J2672" s="68"/>
      <c r="K2672" s="32"/>
      <c r="L2672" s="75">
        <v>2672</v>
      </c>
      <c r="M2672" s="75"/>
      <c r="N2672" s="70"/>
      <c r="O2672" s="77" t="s">
        <v>1132</v>
      </c>
      <c r="P2672" s="79">
        <v>45091.962025462963</v>
      </c>
      <c r="Q2672" s="77" t="s">
        <v>3684</v>
      </c>
      <c r="R2672" s="77">
        <v>0</v>
      </c>
      <c r="S2672" s="77">
        <v>0</v>
      </c>
      <c r="T2672" s="77">
        <v>0</v>
      </c>
      <c r="U2672" s="77">
        <v>0</v>
      </c>
      <c r="V2672" s="77">
        <v>2797</v>
      </c>
      <c r="W2672" s="82" t="s">
        <v>5762</v>
      </c>
      <c r="X2672" s="77"/>
      <c r="Y2672" s="77"/>
      <c r="Z2672" s="77"/>
      <c r="AA2672" s="77"/>
      <c r="AB2672" s="77"/>
      <c r="AC2672" s="82" t="s">
        <v>7706</v>
      </c>
      <c r="AD2672" s="77" t="s">
        <v>7745</v>
      </c>
      <c r="AE2672" s="80" t="str">
        <f>HYPERLINK("https://twitter.com/b3_oficial/status/1669118849659052032")</f>
        <v>https://twitter.com/b3_oficial/status/1669118849659052032</v>
      </c>
      <c r="AF2672" s="79">
        <v>45091.962025462963</v>
      </c>
      <c r="AG2672" s="85">
        <v>45091</v>
      </c>
      <c r="AH2672" s="82" t="s">
        <v>10159</v>
      </c>
      <c r="AI2672" s="77"/>
      <c r="AJ2672" s="77"/>
      <c r="AK2672" s="77"/>
      <c r="AL2672" s="77"/>
      <c r="AM2672" s="77"/>
      <c r="AN2672" s="77"/>
      <c r="AO2672" s="77"/>
      <c r="AP2672" s="77"/>
      <c r="AQ2672" s="77"/>
      <c r="AR2672" s="77"/>
      <c r="AS2672" s="77"/>
      <c r="AT2672" s="77"/>
      <c r="AU2672" s="77"/>
      <c r="AV2672" s="80" t="str">
        <f>HYPERLINK("https://pbs.twimg.com/profile_images/1505968327499436049/Ivkcir3F_normal.jpg")</f>
        <v>https://pbs.twimg.com/profile_images/1505968327499436049/Ivkcir3F_normal.jpg</v>
      </c>
      <c r="AW2672" s="82" t="s">
        <v>14827</v>
      </c>
      <c r="AX2672" s="82" t="s">
        <v>15638</v>
      </c>
      <c r="AY2672" s="82" t="s">
        <v>15797</v>
      </c>
      <c r="AZ2672" s="82" t="s">
        <v>15638</v>
      </c>
      <c r="BA2672" s="82" t="s">
        <v>15804</v>
      </c>
      <c r="BB2672" s="82" t="s">
        <v>15804</v>
      </c>
      <c r="BC2672" s="82" t="s">
        <v>15638</v>
      </c>
      <c r="BD2672" s="77">
        <v>74550038</v>
      </c>
      <c r="BE2672" s="77"/>
      <c r="BF2672" s="77"/>
      <c r="BG2672" s="77"/>
      <c r="BH2672" s="77"/>
      <c r="BI2672" s="77"/>
    </row>
    <row r="2673" spans="1:61" x14ac:dyDescent="0.25">
      <c r="A2673" s="62" t="s">
        <v>734</v>
      </c>
      <c r="B2673" s="62" t="s">
        <v>734</v>
      </c>
      <c r="C2673" s="63"/>
      <c r="D2673" s="64"/>
      <c r="E2673" s="65"/>
      <c r="F2673" s="66"/>
      <c r="G2673" s="63"/>
      <c r="H2673" s="67"/>
      <c r="I2673" s="68"/>
      <c r="J2673" s="68"/>
      <c r="K2673" s="32"/>
      <c r="L2673" s="75">
        <v>2673</v>
      </c>
      <c r="M2673" s="75"/>
      <c r="N2673" s="70"/>
      <c r="O2673" s="77" t="s">
        <v>1132</v>
      </c>
      <c r="P2673" s="79">
        <v>45086.952280092592</v>
      </c>
      <c r="Q2673" s="77" t="s">
        <v>3685</v>
      </c>
      <c r="R2673" s="77">
        <v>2</v>
      </c>
      <c r="S2673" s="77">
        <v>7</v>
      </c>
      <c r="T2673" s="77">
        <v>0</v>
      </c>
      <c r="U2673" s="77">
        <v>0</v>
      </c>
      <c r="V2673" s="77">
        <v>3207</v>
      </c>
      <c r="W2673" s="82" t="s">
        <v>5763</v>
      </c>
      <c r="X2673" s="77"/>
      <c r="Y2673" s="77"/>
      <c r="Z2673" s="77"/>
      <c r="AA2673" s="77"/>
      <c r="AB2673" s="77"/>
      <c r="AC2673" s="82" t="s">
        <v>7706</v>
      </c>
      <c r="AD2673" s="77" t="s">
        <v>7745</v>
      </c>
      <c r="AE2673" s="80" t="str">
        <f>HYPERLINK("https://twitter.com/b3_oficial/status/1667303379377307649")</f>
        <v>https://twitter.com/b3_oficial/status/1667303379377307649</v>
      </c>
      <c r="AF2673" s="79">
        <v>45086.952280092592</v>
      </c>
      <c r="AG2673" s="85">
        <v>45086</v>
      </c>
      <c r="AH2673" s="82" t="s">
        <v>10160</v>
      </c>
      <c r="AI2673" s="77"/>
      <c r="AJ2673" s="77"/>
      <c r="AK2673" s="77"/>
      <c r="AL2673" s="77"/>
      <c r="AM2673" s="77"/>
      <c r="AN2673" s="77"/>
      <c r="AO2673" s="77"/>
      <c r="AP2673" s="77"/>
      <c r="AQ2673" s="77"/>
      <c r="AR2673" s="77"/>
      <c r="AS2673" s="77"/>
      <c r="AT2673" s="77"/>
      <c r="AU2673" s="77"/>
      <c r="AV2673" s="80" t="str">
        <f>HYPERLINK("https://pbs.twimg.com/profile_images/1505968327499436049/Ivkcir3F_normal.jpg")</f>
        <v>https://pbs.twimg.com/profile_images/1505968327499436049/Ivkcir3F_normal.jpg</v>
      </c>
      <c r="AW2673" s="82" t="s">
        <v>14828</v>
      </c>
      <c r="AX2673" s="82" t="s">
        <v>15639</v>
      </c>
      <c r="AY2673" s="82" t="s">
        <v>15797</v>
      </c>
      <c r="AZ2673" s="82" t="s">
        <v>15639</v>
      </c>
      <c r="BA2673" s="82" t="s">
        <v>15804</v>
      </c>
      <c r="BB2673" s="82" t="s">
        <v>15804</v>
      </c>
      <c r="BC2673" s="82" t="s">
        <v>15639</v>
      </c>
      <c r="BD2673" s="77">
        <v>74550038</v>
      </c>
      <c r="BE2673" s="77"/>
      <c r="BF2673" s="77"/>
      <c r="BG2673" s="77"/>
      <c r="BH2673" s="77"/>
      <c r="BI2673" s="77"/>
    </row>
    <row r="2674" spans="1:61" x14ac:dyDescent="0.25">
      <c r="A2674" s="62" t="s">
        <v>734</v>
      </c>
      <c r="B2674" s="62" t="s">
        <v>734</v>
      </c>
      <c r="C2674" s="63"/>
      <c r="D2674" s="64"/>
      <c r="E2674" s="65"/>
      <c r="F2674" s="66"/>
      <c r="G2674" s="63"/>
      <c r="H2674" s="67"/>
      <c r="I2674" s="68"/>
      <c r="J2674" s="68"/>
      <c r="K2674" s="32"/>
      <c r="L2674" s="75">
        <v>2674</v>
      </c>
      <c r="M2674" s="75"/>
      <c r="N2674" s="70"/>
      <c r="O2674" s="77" t="s">
        <v>1132</v>
      </c>
      <c r="P2674" s="79">
        <v>45048.921817129631</v>
      </c>
      <c r="Q2674" s="77" t="s">
        <v>3686</v>
      </c>
      <c r="R2674" s="77">
        <v>0</v>
      </c>
      <c r="S2674" s="77">
        <v>2</v>
      </c>
      <c r="T2674" s="77">
        <v>0</v>
      </c>
      <c r="U2674" s="77">
        <v>0</v>
      </c>
      <c r="V2674" s="77">
        <v>2649</v>
      </c>
      <c r="W2674" s="82" t="s">
        <v>5764</v>
      </c>
      <c r="X2674" s="77"/>
      <c r="Y2674" s="77"/>
      <c r="Z2674" s="77"/>
      <c r="AA2674" s="77"/>
      <c r="AB2674" s="77"/>
      <c r="AC2674" s="82" t="s">
        <v>7706</v>
      </c>
      <c r="AD2674" s="77" t="s">
        <v>7745</v>
      </c>
      <c r="AE2674" s="80" t="str">
        <f>HYPERLINK("https://twitter.com/b3_oficial/status/1653521602275864576")</f>
        <v>https://twitter.com/b3_oficial/status/1653521602275864576</v>
      </c>
      <c r="AF2674" s="79">
        <v>45048.921817129631</v>
      </c>
      <c r="AG2674" s="85">
        <v>45048</v>
      </c>
      <c r="AH2674" s="82" t="s">
        <v>10161</v>
      </c>
      <c r="AI2674" s="77"/>
      <c r="AJ2674" s="77"/>
      <c r="AK2674" s="77"/>
      <c r="AL2674" s="77"/>
      <c r="AM2674" s="77"/>
      <c r="AN2674" s="77"/>
      <c r="AO2674" s="77"/>
      <c r="AP2674" s="77"/>
      <c r="AQ2674" s="77"/>
      <c r="AR2674" s="77"/>
      <c r="AS2674" s="77"/>
      <c r="AT2674" s="77"/>
      <c r="AU2674" s="77"/>
      <c r="AV2674" s="80" t="str">
        <f>HYPERLINK("https://pbs.twimg.com/profile_images/1505968327499436049/Ivkcir3F_normal.jpg")</f>
        <v>https://pbs.twimg.com/profile_images/1505968327499436049/Ivkcir3F_normal.jpg</v>
      </c>
      <c r="AW2674" s="82" t="s">
        <v>14829</v>
      </c>
      <c r="AX2674" s="82" t="s">
        <v>15640</v>
      </c>
      <c r="AY2674" s="82" t="s">
        <v>15797</v>
      </c>
      <c r="AZ2674" s="82" t="s">
        <v>15640</v>
      </c>
      <c r="BA2674" s="82" t="s">
        <v>15804</v>
      </c>
      <c r="BB2674" s="82" t="s">
        <v>15804</v>
      </c>
      <c r="BC2674" s="82" t="s">
        <v>15640</v>
      </c>
      <c r="BD2674" s="77">
        <v>74550038</v>
      </c>
      <c r="BE2674" s="77"/>
      <c r="BF2674" s="77"/>
      <c r="BG2674" s="77"/>
      <c r="BH2674" s="77"/>
      <c r="BI2674" s="77"/>
    </row>
    <row r="2675" spans="1:61" x14ac:dyDescent="0.25">
      <c r="A2675" s="62" t="s">
        <v>734</v>
      </c>
      <c r="B2675" s="62" t="s">
        <v>734</v>
      </c>
      <c r="C2675" s="63"/>
      <c r="D2675" s="64"/>
      <c r="E2675" s="65"/>
      <c r="F2675" s="66"/>
      <c r="G2675" s="63"/>
      <c r="H2675" s="67"/>
      <c r="I2675" s="68"/>
      <c r="J2675" s="68"/>
      <c r="K2675" s="32"/>
      <c r="L2675" s="75">
        <v>2675</v>
      </c>
      <c r="M2675" s="75"/>
      <c r="N2675" s="70"/>
      <c r="O2675" s="77" t="s">
        <v>1132</v>
      </c>
      <c r="P2675" s="79">
        <v>45040.913425925923</v>
      </c>
      <c r="Q2675" s="77" t="s">
        <v>3687</v>
      </c>
      <c r="R2675" s="77">
        <v>0</v>
      </c>
      <c r="S2675" s="77">
        <v>5</v>
      </c>
      <c r="T2675" s="77">
        <v>0</v>
      </c>
      <c r="U2675" s="77">
        <v>0</v>
      </c>
      <c r="V2675" s="77">
        <v>2758</v>
      </c>
      <c r="W2675" s="82" t="s">
        <v>5765</v>
      </c>
      <c r="X2675" s="77"/>
      <c r="Y2675" s="77"/>
      <c r="Z2675" s="77"/>
      <c r="AA2675" s="77"/>
      <c r="AB2675" s="77"/>
      <c r="AC2675" s="82" t="s">
        <v>7706</v>
      </c>
      <c r="AD2675" s="77" t="s">
        <v>7745</v>
      </c>
      <c r="AE2675" s="80" t="str">
        <f>HYPERLINK("https://twitter.com/b3_oficial/status/1650619456177991684")</f>
        <v>https://twitter.com/b3_oficial/status/1650619456177991684</v>
      </c>
      <c r="AF2675" s="79">
        <v>45040.913425925923</v>
      </c>
      <c r="AG2675" s="85">
        <v>45040</v>
      </c>
      <c r="AH2675" s="82" t="s">
        <v>10162</v>
      </c>
      <c r="AI2675" s="77"/>
      <c r="AJ2675" s="77"/>
      <c r="AK2675" s="77"/>
      <c r="AL2675" s="77"/>
      <c r="AM2675" s="77"/>
      <c r="AN2675" s="77"/>
      <c r="AO2675" s="77"/>
      <c r="AP2675" s="77"/>
      <c r="AQ2675" s="77"/>
      <c r="AR2675" s="77"/>
      <c r="AS2675" s="77"/>
      <c r="AT2675" s="77"/>
      <c r="AU2675" s="77"/>
      <c r="AV2675" s="80" t="str">
        <f>HYPERLINK("https://pbs.twimg.com/profile_images/1505968327499436049/Ivkcir3F_normal.jpg")</f>
        <v>https://pbs.twimg.com/profile_images/1505968327499436049/Ivkcir3F_normal.jpg</v>
      </c>
      <c r="AW2675" s="82" t="s">
        <v>14830</v>
      </c>
      <c r="AX2675" s="82" t="s">
        <v>15641</v>
      </c>
      <c r="AY2675" s="82" t="s">
        <v>15797</v>
      </c>
      <c r="AZ2675" s="82" t="s">
        <v>15641</v>
      </c>
      <c r="BA2675" s="82" t="s">
        <v>15804</v>
      </c>
      <c r="BB2675" s="82" t="s">
        <v>15804</v>
      </c>
      <c r="BC2675" s="82" t="s">
        <v>15641</v>
      </c>
      <c r="BD2675" s="77">
        <v>74550038</v>
      </c>
      <c r="BE2675" s="77"/>
      <c r="BF2675" s="77"/>
      <c r="BG2675" s="77"/>
      <c r="BH2675" s="77"/>
      <c r="BI2675" s="77"/>
    </row>
    <row r="2676" spans="1:61" x14ac:dyDescent="0.25">
      <c r="A2676" s="62" t="s">
        <v>734</v>
      </c>
      <c r="B2676" s="62" t="s">
        <v>734</v>
      </c>
      <c r="C2676" s="63"/>
      <c r="D2676" s="64"/>
      <c r="E2676" s="65"/>
      <c r="F2676" s="66"/>
      <c r="G2676" s="63"/>
      <c r="H2676" s="67"/>
      <c r="I2676" s="68"/>
      <c r="J2676" s="68"/>
      <c r="K2676" s="32"/>
      <c r="L2676" s="75">
        <v>2676</v>
      </c>
      <c r="M2676" s="75"/>
      <c r="N2676" s="70"/>
      <c r="O2676" s="77" t="s">
        <v>179</v>
      </c>
      <c r="P2676" s="79">
        <v>45001.900173611109</v>
      </c>
      <c r="Q2676" s="77" t="s">
        <v>3688</v>
      </c>
      <c r="R2676" s="77">
        <v>2</v>
      </c>
      <c r="S2676" s="77">
        <v>15</v>
      </c>
      <c r="T2676" s="77">
        <v>2</v>
      </c>
      <c r="U2676" s="77">
        <v>0</v>
      </c>
      <c r="V2676" s="77">
        <v>3624</v>
      </c>
      <c r="W2676" s="82" t="s">
        <v>5746</v>
      </c>
      <c r="X2676" s="77"/>
      <c r="Y2676" s="77"/>
      <c r="Z2676" s="77"/>
      <c r="AA2676" s="77" t="s">
        <v>7606</v>
      </c>
      <c r="AB2676" s="77" t="s">
        <v>7697</v>
      </c>
      <c r="AC2676" s="82" t="s">
        <v>7706</v>
      </c>
      <c r="AD2676" s="77" t="s">
        <v>7745</v>
      </c>
      <c r="AE2676" s="80" t="str">
        <f>HYPERLINK("https://twitter.com/b3_oficial/status/1636481530120790017")</f>
        <v>https://twitter.com/b3_oficial/status/1636481530120790017</v>
      </c>
      <c r="AF2676" s="79">
        <v>45001.900173611109</v>
      </c>
      <c r="AG2676" s="85">
        <v>45001</v>
      </c>
      <c r="AH2676" s="82" t="s">
        <v>10163</v>
      </c>
      <c r="AI2676" s="77" t="b">
        <v>0</v>
      </c>
      <c r="AJ2676" s="77"/>
      <c r="AK2676" s="77"/>
      <c r="AL2676" s="77"/>
      <c r="AM2676" s="77"/>
      <c r="AN2676" s="77"/>
      <c r="AO2676" s="77"/>
      <c r="AP2676" s="77"/>
      <c r="AQ2676" s="77" t="s">
        <v>12112</v>
      </c>
      <c r="AR2676" s="77">
        <v>127927</v>
      </c>
      <c r="AS2676" s="77"/>
      <c r="AT2676" s="77"/>
      <c r="AU2676" s="77">
        <v>915</v>
      </c>
      <c r="AV2676" s="80" t="str">
        <f>HYPERLINK("https://pbs.twimg.com/media/FrX0oVOXoAESsjf.jpg")</f>
        <v>https://pbs.twimg.com/media/FrX0oVOXoAESsjf.jpg</v>
      </c>
      <c r="AW2676" s="82" t="s">
        <v>14831</v>
      </c>
      <c r="AX2676" s="82" t="s">
        <v>14831</v>
      </c>
      <c r="AY2676" s="77"/>
      <c r="AZ2676" s="82" t="s">
        <v>15804</v>
      </c>
      <c r="BA2676" s="82" t="s">
        <v>15804</v>
      </c>
      <c r="BB2676" s="82" t="s">
        <v>15804</v>
      </c>
      <c r="BC2676" s="82" t="s">
        <v>14831</v>
      </c>
      <c r="BD2676" s="77">
        <v>74550038</v>
      </c>
      <c r="BE2676" s="77"/>
      <c r="BF2676" s="77"/>
      <c r="BG2676" s="77"/>
      <c r="BH2676" s="77"/>
      <c r="BI2676" s="77"/>
    </row>
    <row r="2677" spans="1:61" x14ac:dyDescent="0.25">
      <c r="A2677" s="62" t="s">
        <v>734</v>
      </c>
      <c r="B2677" s="62" t="s">
        <v>734</v>
      </c>
      <c r="C2677" s="63"/>
      <c r="D2677" s="64"/>
      <c r="E2677" s="65"/>
      <c r="F2677" s="66"/>
      <c r="G2677" s="63"/>
      <c r="H2677" s="67"/>
      <c r="I2677" s="68"/>
      <c r="J2677" s="68"/>
      <c r="K2677" s="32"/>
      <c r="L2677" s="75">
        <v>2677</v>
      </c>
      <c r="M2677" s="75"/>
      <c r="N2677" s="70"/>
      <c r="O2677" s="77" t="s">
        <v>179</v>
      </c>
      <c r="P2677" s="79">
        <v>45000.877858796295</v>
      </c>
      <c r="Q2677" s="77" t="s">
        <v>3689</v>
      </c>
      <c r="R2677" s="77">
        <v>1</v>
      </c>
      <c r="S2677" s="77">
        <v>17</v>
      </c>
      <c r="T2677" s="77">
        <v>11</v>
      </c>
      <c r="U2677" s="77">
        <v>0</v>
      </c>
      <c r="V2677" s="77">
        <v>3593</v>
      </c>
      <c r="W2677" s="82" t="s">
        <v>5766</v>
      </c>
      <c r="X2677" s="77"/>
      <c r="Y2677" s="77"/>
      <c r="Z2677" s="77"/>
      <c r="AA2677" s="77" t="s">
        <v>7607</v>
      </c>
      <c r="AB2677" s="77" t="s">
        <v>7697</v>
      </c>
      <c r="AC2677" s="82" t="s">
        <v>7706</v>
      </c>
      <c r="AD2677" s="77" t="s">
        <v>7745</v>
      </c>
      <c r="AE2677" s="80" t="str">
        <f>HYPERLINK("https://twitter.com/b3_oficial/status/1636111053288267776")</f>
        <v>https://twitter.com/b3_oficial/status/1636111053288267776</v>
      </c>
      <c r="AF2677" s="79">
        <v>45000.877858796295</v>
      </c>
      <c r="AG2677" s="85">
        <v>45000</v>
      </c>
      <c r="AH2677" s="82" t="s">
        <v>10164</v>
      </c>
      <c r="AI2677" s="77" t="b">
        <v>0</v>
      </c>
      <c r="AJ2677" s="77"/>
      <c r="AK2677" s="77"/>
      <c r="AL2677" s="77"/>
      <c r="AM2677" s="77"/>
      <c r="AN2677" s="77"/>
      <c r="AO2677" s="77"/>
      <c r="AP2677" s="77"/>
      <c r="AQ2677" s="77" t="s">
        <v>12113</v>
      </c>
      <c r="AR2677" s="77">
        <v>76709</v>
      </c>
      <c r="AS2677" s="77"/>
      <c r="AT2677" s="77"/>
      <c r="AU2677" s="77">
        <v>797</v>
      </c>
      <c r="AV2677" s="80" t="str">
        <f>HYPERLINK("https://pbs.twimg.com/media/FrSiY_RWwAE2pLe.jpg")</f>
        <v>https://pbs.twimg.com/media/FrSiY_RWwAE2pLe.jpg</v>
      </c>
      <c r="AW2677" s="82" t="s">
        <v>14832</v>
      </c>
      <c r="AX2677" s="82" t="s">
        <v>14832</v>
      </c>
      <c r="AY2677" s="77"/>
      <c r="AZ2677" s="82" t="s">
        <v>15804</v>
      </c>
      <c r="BA2677" s="82" t="s">
        <v>15804</v>
      </c>
      <c r="BB2677" s="82" t="s">
        <v>15804</v>
      </c>
      <c r="BC2677" s="82" t="s">
        <v>14832</v>
      </c>
      <c r="BD2677" s="77">
        <v>74550038</v>
      </c>
      <c r="BE2677" s="77"/>
      <c r="BF2677" s="77"/>
      <c r="BG2677" s="77"/>
      <c r="BH2677" s="77"/>
      <c r="BI2677" s="77"/>
    </row>
    <row r="2678" spans="1:61" x14ac:dyDescent="0.25">
      <c r="A2678" s="62" t="s">
        <v>734</v>
      </c>
      <c r="B2678" s="62" t="s">
        <v>734</v>
      </c>
      <c r="C2678" s="63"/>
      <c r="D2678" s="64"/>
      <c r="E2678" s="65"/>
      <c r="F2678" s="66"/>
      <c r="G2678" s="63"/>
      <c r="H2678" s="67"/>
      <c r="I2678" s="68"/>
      <c r="J2678" s="68"/>
      <c r="K2678" s="32"/>
      <c r="L2678" s="75">
        <v>2678</v>
      </c>
      <c r="M2678" s="75"/>
      <c r="N2678" s="70"/>
      <c r="O2678" s="77" t="s">
        <v>179</v>
      </c>
      <c r="P2678" s="79">
        <v>44999.912476851852</v>
      </c>
      <c r="Q2678" s="77" t="s">
        <v>3690</v>
      </c>
      <c r="R2678" s="77">
        <v>6</v>
      </c>
      <c r="S2678" s="77">
        <v>35</v>
      </c>
      <c r="T2678" s="77">
        <v>5</v>
      </c>
      <c r="U2678" s="77">
        <v>1</v>
      </c>
      <c r="V2678" s="77">
        <v>6853</v>
      </c>
      <c r="W2678" s="82" t="s">
        <v>5767</v>
      </c>
      <c r="X2678" s="77"/>
      <c r="Y2678" s="77"/>
      <c r="Z2678" s="77"/>
      <c r="AA2678" s="77" t="s">
        <v>7608</v>
      </c>
      <c r="AB2678" s="77" t="s">
        <v>7697</v>
      </c>
      <c r="AC2678" s="82" t="s">
        <v>7706</v>
      </c>
      <c r="AD2678" s="77" t="s">
        <v>7745</v>
      </c>
      <c r="AE2678" s="80" t="str">
        <f>HYPERLINK("https://twitter.com/b3_oficial/status/1635761209935896576")</f>
        <v>https://twitter.com/b3_oficial/status/1635761209935896576</v>
      </c>
      <c r="AF2678" s="79">
        <v>44999.912476851852</v>
      </c>
      <c r="AG2678" s="85">
        <v>44999</v>
      </c>
      <c r="AH2678" s="82" t="s">
        <v>10165</v>
      </c>
      <c r="AI2678" s="77" t="b">
        <v>0</v>
      </c>
      <c r="AJ2678" s="77"/>
      <c r="AK2678" s="77"/>
      <c r="AL2678" s="77"/>
      <c r="AM2678" s="77"/>
      <c r="AN2678" s="77"/>
      <c r="AO2678" s="77"/>
      <c r="AP2678" s="77"/>
      <c r="AQ2678" s="77" t="s">
        <v>12114</v>
      </c>
      <c r="AR2678" s="77">
        <v>88455</v>
      </c>
      <c r="AS2678" s="77"/>
      <c r="AT2678" s="77"/>
      <c r="AU2678" s="77">
        <v>1635</v>
      </c>
      <c r="AV2678" s="80" t="str">
        <f>HYPERLINK("https://pbs.twimg.com/media/FrNkP_EXsAIuWQE.jpg")</f>
        <v>https://pbs.twimg.com/media/FrNkP_EXsAIuWQE.jpg</v>
      </c>
      <c r="AW2678" s="82" t="s">
        <v>14833</v>
      </c>
      <c r="AX2678" s="82" t="s">
        <v>14833</v>
      </c>
      <c r="AY2678" s="77"/>
      <c r="AZ2678" s="82" t="s">
        <v>15804</v>
      </c>
      <c r="BA2678" s="82" t="s">
        <v>15804</v>
      </c>
      <c r="BB2678" s="82" t="s">
        <v>15804</v>
      </c>
      <c r="BC2678" s="82" t="s">
        <v>14833</v>
      </c>
      <c r="BD2678" s="77">
        <v>74550038</v>
      </c>
      <c r="BE2678" s="77"/>
      <c r="BF2678" s="77"/>
      <c r="BG2678" s="77"/>
      <c r="BH2678" s="77"/>
      <c r="BI2678" s="77"/>
    </row>
    <row r="2679" spans="1:61" x14ac:dyDescent="0.25">
      <c r="A2679" s="62" t="s">
        <v>734</v>
      </c>
      <c r="B2679" s="62" t="s">
        <v>734</v>
      </c>
      <c r="C2679" s="63"/>
      <c r="D2679" s="64"/>
      <c r="E2679" s="65"/>
      <c r="F2679" s="66"/>
      <c r="G2679" s="63"/>
      <c r="H2679" s="67"/>
      <c r="I2679" s="68"/>
      <c r="J2679" s="68"/>
      <c r="K2679" s="32"/>
      <c r="L2679" s="75">
        <v>2679</v>
      </c>
      <c r="M2679" s="75"/>
      <c r="N2679" s="70"/>
      <c r="O2679" s="77" t="s">
        <v>179</v>
      </c>
      <c r="P2679" s="79">
        <v>44998.952615740738</v>
      </c>
      <c r="Q2679" s="77" t="s">
        <v>3691</v>
      </c>
      <c r="R2679" s="77">
        <v>1</v>
      </c>
      <c r="S2679" s="77">
        <v>20</v>
      </c>
      <c r="T2679" s="77">
        <v>0</v>
      </c>
      <c r="U2679" s="77">
        <v>0</v>
      </c>
      <c r="V2679" s="77">
        <v>5866</v>
      </c>
      <c r="W2679" s="82" t="s">
        <v>4279</v>
      </c>
      <c r="X2679" s="77"/>
      <c r="Y2679" s="77"/>
      <c r="Z2679" s="77"/>
      <c r="AA2679" s="77" t="s">
        <v>7609</v>
      </c>
      <c r="AB2679" s="77" t="s">
        <v>7697</v>
      </c>
      <c r="AC2679" s="82" t="s">
        <v>7706</v>
      </c>
      <c r="AD2679" s="77" t="s">
        <v>7745</v>
      </c>
      <c r="AE2679" s="80" t="str">
        <f>HYPERLINK("https://twitter.com/b3_oficial/status/1635413368122281985")</f>
        <v>https://twitter.com/b3_oficial/status/1635413368122281985</v>
      </c>
      <c r="AF2679" s="79">
        <v>44998.952615740738</v>
      </c>
      <c r="AG2679" s="85">
        <v>44998</v>
      </c>
      <c r="AH2679" s="82" t="s">
        <v>10166</v>
      </c>
      <c r="AI2679" s="77" t="b">
        <v>0</v>
      </c>
      <c r="AJ2679" s="77"/>
      <c r="AK2679" s="77"/>
      <c r="AL2679" s="77"/>
      <c r="AM2679" s="77"/>
      <c r="AN2679" s="77"/>
      <c r="AO2679" s="77"/>
      <c r="AP2679" s="77"/>
      <c r="AQ2679" s="77" t="s">
        <v>12115</v>
      </c>
      <c r="AR2679" s="77">
        <v>121654</v>
      </c>
      <c r="AS2679" s="77"/>
      <c r="AT2679" s="77"/>
      <c r="AU2679" s="77">
        <v>1478</v>
      </c>
      <c r="AV2679" s="80" t="str">
        <f>HYPERLINK("https://pbs.twimg.com/media/FrIn5XKWAAA3I6h.jpg")</f>
        <v>https://pbs.twimg.com/media/FrIn5XKWAAA3I6h.jpg</v>
      </c>
      <c r="AW2679" s="82" t="s">
        <v>14834</v>
      </c>
      <c r="AX2679" s="82" t="s">
        <v>14834</v>
      </c>
      <c r="AY2679" s="77"/>
      <c r="AZ2679" s="82" t="s">
        <v>15804</v>
      </c>
      <c r="BA2679" s="82" t="s">
        <v>15804</v>
      </c>
      <c r="BB2679" s="82" t="s">
        <v>15804</v>
      </c>
      <c r="BC2679" s="82" t="s">
        <v>14834</v>
      </c>
      <c r="BD2679" s="77">
        <v>74550038</v>
      </c>
      <c r="BE2679" s="77"/>
      <c r="BF2679" s="77"/>
      <c r="BG2679" s="77"/>
      <c r="BH2679" s="77"/>
      <c r="BI2679" s="77"/>
    </row>
    <row r="2680" spans="1:61" x14ac:dyDescent="0.25">
      <c r="A2680" s="62" t="s">
        <v>734</v>
      </c>
      <c r="B2680" s="62" t="s">
        <v>734</v>
      </c>
      <c r="C2680" s="63"/>
      <c r="D2680" s="64"/>
      <c r="E2680" s="65"/>
      <c r="F2680" s="66"/>
      <c r="G2680" s="63"/>
      <c r="H2680" s="67"/>
      <c r="I2680" s="68"/>
      <c r="J2680" s="68"/>
      <c r="K2680" s="32"/>
      <c r="L2680" s="75">
        <v>2680</v>
      </c>
      <c r="M2680" s="75"/>
      <c r="N2680" s="70"/>
      <c r="O2680" s="77" t="s">
        <v>1132</v>
      </c>
      <c r="P2680" s="79">
        <v>45092.917743055557</v>
      </c>
      <c r="Q2680" s="77" t="s">
        <v>3692</v>
      </c>
      <c r="R2680" s="77">
        <v>0</v>
      </c>
      <c r="S2680" s="77">
        <v>8</v>
      </c>
      <c r="T2680" s="77">
        <v>0</v>
      </c>
      <c r="U2680" s="77">
        <v>0</v>
      </c>
      <c r="V2680" s="77">
        <v>2671</v>
      </c>
      <c r="W2680" s="82" t="s">
        <v>5768</v>
      </c>
      <c r="X2680" s="77"/>
      <c r="Y2680" s="77"/>
      <c r="Z2680" s="77"/>
      <c r="AA2680" s="77"/>
      <c r="AB2680" s="77"/>
      <c r="AC2680" s="82" t="s">
        <v>7706</v>
      </c>
      <c r="AD2680" s="77" t="s">
        <v>7745</v>
      </c>
      <c r="AE2680" s="80" t="str">
        <f>HYPERLINK("https://twitter.com/b3_oficial/status/1669465190386073602")</f>
        <v>https://twitter.com/b3_oficial/status/1669465190386073602</v>
      </c>
      <c r="AF2680" s="79">
        <v>45092.917743055557</v>
      </c>
      <c r="AG2680" s="85">
        <v>45092</v>
      </c>
      <c r="AH2680" s="82" t="s">
        <v>8038</v>
      </c>
      <c r="AI2680" s="77"/>
      <c r="AJ2680" s="77"/>
      <c r="AK2680" s="77"/>
      <c r="AL2680" s="77"/>
      <c r="AM2680" s="77"/>
      <c r="AN2680" s="77"/>
      <c r="AO2680" s="77"/>
      <c r="AP2680" s="77"/>
      <c r="AQ2680" s="77"/>
      <c r="AR2680" s="77"/>
      <c r="AS2680" s="77"/>
      <c r="AT2680" s="77"/>
      <c r="AU2680" s="77"/>
      <c r="AV2680" s="80" t="str">
        <f>HYPERLINK("https://pbs.twimg.com/profile_images/1505968327499436049/Ivkcir3F_normal.jpg")</f>
        <v>https://pbs.twimg.com/profile_images/1505968327499436049/Ivkcir3F_normal.jpg</v>
      </c>
      <c r="AW2680" s="82" t="s">
        <v>14835</v>
      </c>
      <c r="AX2680" s="82" t="s">
        <v>15642</v>
      </c>
      <c r="AY2680" s="82" t="s">
        <v>15797</v>
      </c>
      <c r="AZ2680" s="82" t="s">
        <v>15642</v>
      </c>
      <c r="BA2680" s="82" t="s">
        <v>15804</v>
      </c>
      <c r="BB2680" s="82" t="s">
        <v>15804</v>
      </c>
      <c r="BC2680" s="82" t="s">
        <v>15642</v>
      </c>
      <c r="BD2680" s="77">
        <v>74550038</v>
      </c>
      <c r="BE2680" s="77"/>
      <c r="BF2680" s="77"/>
      <c r="BG2680" s="77"/>
      <c r="BH2680" s="77"/>
      <c r="BI2680" s="77"/>
    </row>
    <row r="2681" spans="1:61" x14ac:dyDescent="0.25">
      <c r="A2681" s="62" t="s">
        <v>734</v>
      </c>
      <c r="B2681" s="62" t="s">
        <v>734</v>
      </c>
      <c r="C2681" s="63"/>
      <c r="D2681" s="64"/>
      <c r="E2681" s="65"/>
      <c r="F2681" s="66"/>
      <c r="G2681" s="63"/>
      <c r="H2681" s="67"/>
      <c r="I2681" s="68"/>
      <c r="J2681" s="68"/>
      <c r="K2681" s="32"/>
      <c r="L2681" s="75">
        <v>2681</v>
      </c>
      <c r="M2681" s="75"/>
      <c r="N2681" s="70"/>
      <c r="O2681" s="77" t="s">
        <v>1132</v>
      </c>
      <c r="P2681" s="79">
        <v>45090.934652777774</v>
      </c>
      <c r="Q2681" s="77" t="s">
        <v>3693</v>
      </c>
      <c r="R2681" s="77">
        <v>0</v>
      </c>
      <c r="S2681" s="77">
        <v>2</v>
      </c>
      <c r="T2681" s="77">
        <v>1</v>
      </c>
      <c r="U2681" s="77">
        <v>0</v>
      </c>
      <c r="V2681" s="77">
        <v>2631</v>
      </c>
      <c r="W2681" s="82" t="s">
        <v>5769</v>
      </c>
      <c r="X2681" s="77"/>
      <c r="Y2681" s="77"/>
      <c r="Z2681" s="77"/>
      <c r="AA2681" s="77"/>
      <c r="AB2681" s="77"/>
      <c r="AC2681" s="82" t="s">
        <v>7706</v>
      </c>
      <c r="AD2681" s="77" t="s">
        <v>7745</v>
      </c>
      <c r="AE2681" s="80" t="str">
        <f>HYPERLINK("https://twitter.com/b3_oficial/status/1668746544743428100")</f>
        <v>https://twitter.com/b3_oficial/status/1668746544743428100</v>
      </c>
      <c r="AF2681" s="79">
        <v>45090.934652777774</v>
      </c>
      <c r="AG2681" s="85">
        <v>45090</v>
      </c>
      <c r="AH2681" s="82" t="s">
        <v>10167</v>
      </c>
      <c r="AI2681" s="77"/>
      <c r="AJ2681" s="77"/>
      <c r="AK2681" s="77"/>
      <c r="AL2681" s="77"/>
      <c r="AM2681" s="77"/>
      <c r="AN2681" s="77"/>
      <c r="AO2681" s="77"/>
      <c r="AP2681" s="77"/>
      <c r="AQ2681" s="77"/>
      <c r="AR2681" s="77"/>
      <c r="AS2681" s="77"/>
      <c r="AT2681" s="77"/>
      <c r="AU2681" s="77"/>
      <c r="AV2681" s="80" t="str">
        <f>HYPERLINK("https://pbs.twimg.com/profile_images/1505968327499436049/Ivkcir3F_normal.jpg")</f>
        <v>https://pbs.twimg.com/profile_images/1505968327499436049/Ivkcir3F_normal.jpg</v>
      </c>
      <c r="AW2681" s="82" t="s">
        <v>14836</v>
      </c>
      <c r="AX2681" s="82" t="s">
        <v>15643</v>
      </c>
      <c r="AY2681" s="82" t="s">
        <v>15797</v>
      </c>
      <c r="AZ2681" s="82" t="s">
        <v>15643</v>
      </c>
      <c r="BA2681" s="82" t="s">
        <v>15804</v>
      </c>
      <c r="BB2681" s="82" t="s">
        <v>15804</v>
      </c>
      <c r="BC2681" s="82" t="s">
        <v>15643</v>
      </c>
      <c r="BD2681" s="77">
        <v>74550038</v>
      </c>
      <c r="BE2681" s="77"/>
      <c r="BF2681" s="77"/>
      <c r="BG2681" s="77"/>
      <c r="BH2681" s="77"/>
      <c r="BI2681" s="77"/>
    </row>
    <row r="2682" spans="1:61" x14ac:dyDescent="0.25">
      <c r="A2682" s="62" t="s">
        <v>734</v>
      </c>
      <c r="B2682" s="62" t="s">
        <v>734</v>
      </c>
      <c r="C2682" s="63"/>
      <c r="D2682" s="64"/>
      <c r="E2682" s="65"/>
      <c r="F2682" s="66"/>
      <c r="G2682" s="63"/>
      <c r="H2682" s="67"/>
      <c r="I2682" s="68"/>
      <c r="J2682" s="68"/>
      <c r="K2682" s="32"/>
      <c r="L2682" s="75">
        <v>2682</v>
      </c>
      <c r="M2682" s="75"/>
      <c r="N2682" s="70"/>
      <c r="O2682" s="77" t="s">
        <v>1132</v>
      </c>
      <c r="P2682" s="79">
        <v>45089.920300925929</v>
      </c>
      <c r="Q2682" s="77" t="s">
        <v>3694</v>
      </c>
      <c r="R2682" s="77">
        <v>0</v>
      </c>
      <c r="S2682" s="77">
        <v>4</v>
      </c>
      <c r="T2682" s="77">
        <v>0</v>
      </c>
      <c r="U2682" s="77">
        <v>0</v>
      </c>
      <c r="V2682" s="77">
        <v>2846</v>
      </c>
      <c r="W2682" s="82" t="s">
        <v>5770</v>
      </c>
      <c r="X2682" s="77"/>
      <c r="Y2682" s="77"/>
      <c r="Z2682" s="77"/>
      <c r="AA2682" s="77"/>
      <c r="AB2682" s="77"/>
      <c r="AC2682" s="82" t="s">
        <v>7706</v>
      </c>
      <c r="AD2682" s="77" t="s">
        <v>7745</v>
      </c>
      <c r="AE2682" s="80" t="str">
        <f>HYPERLINK("https://twitter.com/b3_oficial/status/1668378956783910913")</f>
        <v>https://twitter.com/b3_oficial/status/1668378956783910913</v>
      </c>
      <c r="AF2682" s="79">
        <v>45089.920300925929</v>
      </c>
      <c r="AG2682" s="85">
        <v>45089</v>
      </c>
      <c r="AH2682" s="82" t="s">
        <v>10168</v>
      </c>
      <c r="AI2682" s="77"/>
      <c r="AJ2682" s="77"/>
      <c r="AK2682" s="77"/>
      <c r="AL2682" s="77"/>
      <c r="AM2682" s="77"/>
      <c r="AN2682" s="77"/>
      <c r="AO2682" s="77"/>
      <c r="AP2682" s="77"/>
      <c r="AQ2682" s="77"/>
      <c r="AR2682" s="77"/>
      <c r="AS2682" s="77"/>
      <c r="AT2682" s="77"/>
      <c r="AU2682" s="77"/>
      <c r="AV2682" s="80" t="str">
        <f>HYPERLINK("https://pbs.twimg.com/profile_images/1505968327499436049/Ivkcir3F_normal.jpg")</f>
        <v>https://pbs.twimg.com/profile_images/1505968327499436049/Ivkcir3F_normal.jpg</v>
      </c>
      <c r="AW2682" s="82" t="s">
        <v>14837</v>
      </c>
      <c r="AX2682" s="82" t="s">
        <v>15644</v>
      </c>
      <c r="AY2682" s="82" t="s">
        <v>15797</v>
      </c>
      <c r="AZ2682" s="82" t="s">
        <v>15644</v>
      </c>
      <c r="BA2682" s="82" t="s">
        <v>15804</v>
      </c>
      <c r="BB2682" s="82" t="s">
        <v>15804</v>
      </c>
      <c r="BC2682" s="82" t="s">
        <v>15644</v>
      </c>
      <c r="BD2682" s="77">
        <v>74550038</v>
      </c>
      <c r="BE2682" s="77"/>
      <c r="BF2682" s="77"/>
      <c r="BG2682" s="77"/>
      <c r="BH2682" s="77"/>
      <c r="BI2682" s="77"/>
    </row>
    <row r="2683" spans="1:61" x14ac:dyDescent="0.25">
      <c r="A2683" s="62" t="s">
        <v>734</v>
      </c>
      <c r="B2683" s="62" t="s">
        <v>734</v>
      </c>
      <c r="C2683" s="63"/>
      <c r="D2683" s="64"/>
      <c r="E2683" s="65"/>
      <c r="F2683" s="66"/>
      <c r="G2683" s="63"/>
      <c r="H2683" s="67"/>
      <c r="I2683" s="68"/>
      <c r="J2683" s="68"/>
      <c r="K2683" s="32"/>
      <c r="L2683" s="75">
        <v>2683</v>
      </c>
      <c r="M2683" s="75"/>
      <c r="N2683" s="70"/>
      <c r="O2683" s="77" t="s">
        <v>1132</v>
      </c>
      <c r="P2683" s="79">
        <v>45077.923784722225</v>
      </c>
      <c r="Q2683" s="77" t="s">
        <v>3695</v>
      </c>
      <c r="R2683" s="77">
        <v>0</v>
      </c>
      <c r="S2683" s="77">
        <v>4</v>
      </c>
      <c r="T2683" s="77">
        <v>0</v>
      </c>
      <c r="U2683" s="77">
        <v>0</v>
      </c>
      <c r="V2683" s="77">
        <v>2343</v>
      </c>
      <c r="W2683" s="82" t="s">
        <v>5771</v>
      </c>
      <c r="X2683" s="77"/>
      <c r="Y2683" s="77"/>
      <c r="Z2683" s="77"/>
      <c r="AA2683" s="77"/>
      <c r="AB2683" s="77"/>
      <c r="AC2683" s="82" t="s">
        <v>7706</v>
      </c>
      <c r="AD2683" s="77" t="s">
        <v>7745</v>
      </c>
      <c r="AE2683" s="80" t="str">
        <f>HYPERLINK("https://twitter.com/b3_oficial/status/1664031560960450560")</f>
        <v>https://twitter.com/b3_oficial/status/1664031560960450560</v>
      </c>
      <c r="AF2683" s="79">
        <v>45077.923784722225</v>
      </c>
      <c r="AG2683" s="85">
        <v>45077</v>
      </c>
      <c r="AH2683" s="82" t="s">
        <v>10169</v>
      </c>
      <c r="AI2683" s="77"/>
      <c r="AJ2683" s="77"/>
      <c r="AK2683" s="77"/>
      <c r="AL2683" s="77"/>
      <c r="AM2683" s="77"/>
      <c r="AN2683" s="77"/>
      <c r="AO2683" s="77"/>
      <c r="AP2683" s="77"/>
      <c r="AQ2683" s="77"/>
      <c r="AR2683" s="77"/>
      <c r="AS2683" s="77"/>
      <c r="AT2683" s="77"/>
      <c r="AU2683" s="77"/>
      <c r="AV2683" s="80" t="str">
        <f>HYPERLINK("https://pbs.twimg.com/profile_images/1505968327499436049/Ivkcir3F_normal.jpg")</f>
        <v>https://pbs.twimg.com/profile_images/1505968327499436049/Ivkcir3F_normal.jpg</v>
      </c>
      <c r="AW2683" s="82" t="s">
        <v>14838</v>
      </c>
      <c r="AX2683" s="82" t="s">
        <v>15645</v>
      </c>
      <c r="AY2683" s="82" t="s">
        <v>15797</v>
      </c>
      <c r="AZ2683" s="82" t="s">
        <v>15645</v>
      </c>
      <c r="BA2683" s="82" t="s">
        <v>15804</v>
      </c>
      <c r="BB2683" s="82" t="s">
        <v>15804</v>
      </c>
      <c r="BC2683" s="82" t="s">
        <v>15645</v>
      </c>
      <c r="BD2683" s="77">
        <v>74550038</v>
      </c>
      <c r="BE2683" s="77"/>
      <c r="BF2683" s="77"/>
      <c r="BG2683" s="77"/>
      <c r="BH2683" s="77"/>
      <c r="BI2683" s="77"/>
    </row>
    <row r="2684" spans="1:61" x14ac:dyDescent="0.25">
      <c r="A2684" s="62" t="s">
        <v>734</v>
      </c>
      <c r="B2684" s="62" t="s">
        <v>734</v>
      </c>
      <c r="C2684" s="63"/>
      <c r="D2684" s="64"/>
      <c r="E2684" s="65"/>
      <c r="F2684" s="66"/>
      <c r="G2684" s="63"/>
      <c r="H2684" s="67"/>
      <c r="I2684" s="68"/>
      <c r="J2684" s="68"/>
      <c r="K2684" s="32"/>
      <c r="L2684" s="75">
        <v>2684</v>
      </c>
      <c r="M2684" s="75"/>
      <c r="N2684" s="70"/>
      <c r="O2684" s="77" t="s">
        <v>1132</v>
      </c>
      <c r="P2684" s="79">
        <v>45049.982499999998</v>
      </c>
      <c r="Q2684" s="77" t="s">
        <v>3696</v>
      </c>
      <c r="R2684" s="77">
        <v>2</v>
      </c>
      <c r="S2684" s="77">
        <v>5</v>
      </c>
      <c r="T2684" s="77">
        <v>0</v>
      </c>
      <c r="U2684" s="77">
        <v>0</v>
      </c>
      <c r="V2684" s="77">
        <v>3041</v>
      </c>
      <c r="W2684" s="82" t="s">
        <v>5772</v>
      </c>
      <c r="X2684" s="77"/>
      <c r="Y2684" s="77"/>
      <c r="Z2684" s="77"/>
      <c r="AA2684" s="77"/>
      <c r="AB2684" s="77"/>
      <c r="AC2684" s="82" t="s">
        <v>7706</v>
      </c>
      <c r="AD2684" s="77" t="s">
        <v>7745</v>
      </c>
      <c r="AE2684" s="80" t="str">
        <f>HYPERLINK("https://twitter.com/b3_oficial/status/1653905979128401921")</f>
        <v>https://twitter.com/b3_oficial/status/1653905979128401921</v>
      </c>
      <c r="AF2684" s="79">
        <v>45049.982499999998</v>
      </c>
      <c r="AG2684" s="85">
        <v>45049</v>
      </c>
      <c r="AH2684" s="82" t="s">
        <v>10170</v>
      </c>
      <c r="AI2684" s="77"/>
      <c r="AJ2684" s="77"/>
      <c r="AK2684" s="77"/>
      <c r="AL2684" s="77"/>
      <c r="AM2684" s="77"/>
      <c r="AN2684" s="77"/>
      <c r="AO2684" s="77"/>
      <c r="AP2684" s="77"/>
      <c r="AQ2684" s="77"/>
      <c r="AR2684" s="77"/>
      <c r="AS2684" s="77"/>
      <c r="AT2684" s="77"/>
      <c r="AU2684" s="77"/>
      <c r="AV2684" s="80" t="str">
        <f>HYPERLINK("https://pbs.twimg.com/profile_images/1505968327499436049/Ivkcir3F_normal.jpg")</f>
        <v>https://pbs.twimg.com/profile_images/1505968327499436049/Ivkcir3F_normal.jpg</v>
      </c>
      <c r="AW2684" s="82" t="s">
        <v>14839</v>
      </c>
      <c r="AX2684" s="82" t="s">
        <v>15646</v>
      </c>
      <c r="AY2684" s="82" t="s">
        <v>15797</v>
      </c>
      <c r="AZ2684" s="82" t="s">
        <v>15646</v>
      </c>
      <c r="BA2684" s="82" t="s">
        <v>15804</v>
      </c>
      <c r="BB2684" s="82" t="s">
        <v>15804</v>
      </c>
      <c r="BC2684" s="82" t="s">
        <v>15646</v>
      </c>
      <c r="BD2684" s="77">
        <v>74550038</v>
      </c>
      <c r="BE2684" s="77"/>
      <c r="BF2684" s="77"/>
      <c r="BG2684" s="77"/>
      <c r="BH2684" s="77"/>
      <c r="BI2684" s="77"/>
    </row>
    <row r="2685" spans="1:61" x14ac:dyDescent="0.25">
      <c r="A2685" s="62" t="s">
        <v>734</v>
      </c>
      <c r="B2685" s="62" t="s">
        <v>734</v>
      </c>
      <c r="C2685" s="63"/>
      <c r="D2685" s="64"/>
      <c r="E2685" s="65"/>
      <c r="F2685" s="66"/>
      <c r="G2685" s="63"/>
      <c r="H2685" s="67"/>
      <c r="I2685" s="68"/>
      <c r="J2685" s="68"/>
      <c r="K2685" s="32"/>
      <c r="L2685" s="75">
        <v>2685</v>
      </c>
      <c r="M2685" s="75"/>
      <c r="N2685" s="70"/>
      <c r="O2685" s="77" t="s">
        <v>1132</v>
      </c>
      <c r="P2685" s="79">
        <v>45044.957199074073</v>
      </c>
      <c r="Q2685" s="77" t="s">
        <v>3697</v>
      </c>
      <c r="R2685" s="77">
        <v>0</v>
      </c>
      <c r="S2685" s="77">
        <v>3</v>
      </c>
      <c r="T2685" s="77">
        <v>0</v>
      </c>
      <c r="U2685" s="77">
        <v>0</v>
      </c>
      <c r="V2685" s="77">
        <v>2725</v>
      </c>
      <c r="W2685" s="82" t="s">
        <v>5759</v>
      </c>
      <c r="X2685" s="77"/>
      <c r="Y2685" s="77"/>
      <c r="Z2685" s="77"/>
      <c r="AA2685" s="77"/>
      <c r="AB2685" s="77"/>
      <c r="AC2685" s="82" t="s">
        <v>7706</v>
      </c>
      <c r="AD2685" s="77" t="s">
        <v>7745</v>
      </c>
      <c r="AE2685" s="80" t="str">
        <f>HYPERLINK("https://twitter.com/b3_oficial/status/1652084873912279042")</f>
        <v>https://twitter.com/b3_oficial/status/1652084873912279042</v>
      </c>
      <c r="AF2685" s="79">
        <v>45044.957199074073</v>
      </c>
      <c r="AG2685" s="85">
        <v>45044</v>
      </c>
      <c r="AH2685" s="82" t="s">
        <v>10171</v>
      </c>
      <c r="AI2685" s="77"/>
      <c r="AJ2685" s="77"/>
      <c r="AK2685" s="77"/>
      <c r="AL2685" s="77"/>
      <c r="AM2685" s="77"/>
      <c r="AN2685" s="77"/>
      <c r="AO2685" s="77"/>
      <c r="AP2685" s="77"/>
      <c r="AQ2685" s="77"/>
      <c r="AR2685" s="77"/>
      <c r="AS2685" s="77"/>
      <c r="AT2685" s="77"/>
      <c r="AU2685" s="77"/>
      <c r="AV2685" s="80" t="str">
        <f>HYPERLINK("https://pbs.twimg.com/profile_images/1505968327499436049/Ivkcir3F_normal.jpg")</f>
        <v>https://pbs.twimg.com/profile_images/1505968327499436049/Ivkcir3F_normal.jpg</v>
      </c>
      <c r="AW2685" s="82" t="s">
        <v>14840</v>
      </c>
      <c r="AX2685" s="82" t="s">
        <v>15647</v>
      </c>
      <c r="AY2685" s="82" t="s">
        <v>15797</v>
      </c>
      <c r="AZ2685" s="82" t="s">
        <v>15647</v>
      </c>
      <c r="BA2685" s="82" t="s">
        <v>15804</v>
      </c>
      <c r="BB2685" s="82" t="s">
        <v>15804</v>
      </c>
      <c r="BC2685" s="82" t="s">
        <v>15647</v>
      </c>
      <c r="BD2685" s="77">
        <v>74550038</v>
      </c>
      <c r="BE2685" s="77"/>
      <c r="BF2685" s="77"/>
      <c r="BG2685" s="77"/>
      <c r="BH2685" s="77"/>
      <c r="BI2685" s="77"/>
    </row>
    <row r="2686" spans="1:61" x14ac:dyDescent="0.25">
      <c r="A2686" s="62" t="s">
        <v>734</v>
      </c>
      <c r="B2686" s="62" t="s">
        <v>734</v>
      </c>
      <c r="C2686" s="63"/>
      <c r="D2686" s="64"/>
      <c r="E2686" s="65"/>
      <c r="F2686" s="66"/>
      <c r="G2686" s="63"/>
      <c r="H2686" s="67"/>
      <c r="I2686" s="68"/>
      <c r="J2686" s="68"/>
      <c r="K2686" s="32"/>
      <c r="L2686" s="75">
        <v>2686</v>
      </c>
      <c r="M2686" s="75"/>
      <c r="N2686" s="70"/>
      <c r="O2686" s="77" t="s">
        <v>1132</v>
      </c>
      <c r="P2686" s="79">
        <v>45044.023622685185</v>
      </c>
      <c r="Q2686" s="77" t="s">
        <v>3698</v>
      </c>
      <c r="R2686" s="77">
        <v>1</v>
      </c>
      <c r="S2686" s="77">
        <v>4</v>
      </c>
      <c r="T2686" s="77">
        <v>0</v>
      </c>
      <c r="U2686" s="77">
        <v>0</v>
      </c>
      <c r="V2686" s="77">
        <v>3102</v>
      </c>
      <c r="W2686" s="82" t="s">
        <v>5773</v>
      </c>
      <c r="X2686" s="77"/>
      <c r="Y2686" s="77"/>
      <c r="Z2686" s="77"/>
      <c r="AA2686" s="77"/>
      <c r="AB2686" s="77"/>
      <c r="AC2686" s="82" t="s">
        <v>7706</v>
      </c>
      <c r="AD2686" s="77" t="s">
        <v>7745</v>
      </c>
      <c r="AE2686" s="80" t="str">
        <f>HYPERLINK("https://twitter.com/b3_oficial/status/1651746554242318337")</f>
        <v>https://twitter.com/b3_oficial/status/1651746554242318337</v>
      </c>
      <c r="AF2686" s="79">
        <v>45044.023622685185</v>
      </c>
      <c r="AG2686" s="85">
        <v>45044</v>
      </c>
      <c r="AH2686" s="82" t="s">
        <v>10172</v>
      </c>
      <c r="AI2686" s="77"/>
      <c r="AJ2686" s="77"/>
      <c r="AK2686" s="77"/>
      <c r="AL2686" s="77"/>
      <c r="AM2686" s="77"/>
      <c r="AN2686" s="77"/>
      <c r="AO2686" s="77"/>
      <c r="AP2686" s="77"/>
      <c r="AQ2686" s="77"/>
      <c r="AR2686" s="77"/>
      <c r="AS2686" s="77"/>
      <c r="AT2686" s="77"/>
      <c r="AU2686" s="77"/>
      <c r="AV2686" s="80" t="str">
        <f>HYPERLINK("https://pbs.twimg.com/profile_images/1505968327499436049/Ivkcir3F_normal.jpg")</f>
        <v>https://pbs.twimg.com/profile_images/1505968327499436049/Ivkcir3F_normal.jpg</v>
      </c>
      <c r="AW2686" s="82" t="s">
        <v>14841</v>
      </c>
      <c r="AX2686" s="82" t="s">
        <v>15648</v>
      </c>
      <c r="AY2686" s="82" t="s">
        <v>15797</v>
      </c>
      <c r="AZ2686" s="82" t="s">
        <v>15648</v>
      </c>
      <c r="BA2686" s="82" t="s">
        <v>15804</v>
      </c>
      <c r="BB2686" s="82" t="s">
        <v>15804</v>
      </c>
      <c r="BC2686" s="82" t="s">
        <v>15648</v>
      </c>
      <c r="BD2686" s="77">
        <v>74550038</v>
      </c>
      <c r="BE2686" s="77"/>
      <c r="BF2686" s="77"/>
      <c r="BG2686" s="77"/>
      <c r="BH2686" s="77"/>
      <c r="BI2686" s="77"/>
    </row>
    <row r="2687" spans="1:61" x14ac:dyDescent="0.25">
      <c r="A2687" s="62" t="s">
        <v>734</v>
      </c>
      <c r="B2687" s="62" t="s">
        <v>734</v>
      </c>
      <c r="C2687" s="63"/>
      <c r="D2687" s="64"/>
      <c r="E2687" s="65"/>
      <c r="F2687" s="66"/>
      <c r="G2687" s="63"/>
      <c r="H2687" s="67"/>
      <c r="I2687" s="68"/>
      <c r="J2687" s="68"/>
      <c r="K2687" s="32"/>
      <c r="L2687" s="75">
        <v>2687</v>
      </c>
      <c r="M2687" s="75"/>
      <c r="N2687" s="70"/>
      <c r="O2687" s="77" t="s">
        <v>1132</v>
      </c>
      <c r="P2687" s="79">
        <v>45042.99627314815</v>
      </c>
      <c r="Q2687" s="77" t="s">
        <v>3699</v>
      </c>
      <c r="R2687" s="77">
        <v>0</v>
      </c>
      <c r="S2687" s="77">
        <v>1</v>
      </c>
      <c r="T2687" s="77">
        <v>0</v>
      </c>
      <c r="U2687" s="77">
        <v>0</v>
      </c>
      <c r="V2687" s="77">
        <v>2590</v>
      </c>
      <c r="W2687" s="82" t="s">
        <v>5774</v>
      </c>
      <c r="X2687" s="77"/>
      <c r="Y2687" s="77"/>
      <c r="Z2687" s="77"/>
      <c r="AA2687" s="77"/>
      <c r="AB2687" s="77"/>
      <c r="AC2687" s="82" t="s">
        <v>7706</v>
      </c>
      <c r="AD2687" s="77" t="s">
        <v>7745</v>
      </c>
      <c r="AE2687" s="80" t="str">
        <f>HYPERLINK("https://twitter.com/b3_oficial/status/1651374256754753537")</f>
        <v>https://twitter.com/b3_oficial/status/1651374256754753537</v>
      </c>
      <c r="AF2687" s="79">
        <v>45042.99627314815</v>
      </c>
      <c r="AG2687" s="85">
        <v>45042</v>
      </c>
      <c r="AH2687" s="82" t="s">
        <v>10173</v>
      </c>
      <c r="AI2687" s="77"/>
      <c r="AJ2687" s="77"/>
      <c r="AK2687" s="77"/>
      <c r="AL2687" s="77"/>
      <c r="AM2687" s="77"/>
      <c r="AN2687" s="77"/>
      <c r="AO2687" s="77"/>
      <c r="AP2687" s="77"/>
      <c r="AQ2687" s="77"/>
      <c r="AR2687" s="77"/>
      <c r="AS2687" s="77"/>
      <c r="AT2687" s="77"/>
      <c r="AU2687" s="77"/>
      <c r="AV2687" s="80" t="str">
        <f>HYPERLINK("https://pbs.twimg.com/profile_images/1505968327499436049/Ivkcir3F_normal.jpg")</f>
        <v>https://pbs.twimg.com/profile_images/1505968327499436049/Ivkcir3F_normal.jpg</v>
      </c>
      <c r="AW2687" s="82" t="s">
        <v>14842</v>
      </c>
      <c r="AX2687" s="82" t="s">
        <v>15649</v>
      </c>
      <c r="AY2687" s="82" t="s">
        <v>15797</v>
      </c>
      <c r="AZ2687" s="82" t="s">
        <v>15649</v>
      </c>
      <c r="BA2687" s="82" t="s">
        <v>15804</v>
      </c>
      <c r="BB2687" s="82" t="s">
        <v>15804</v>
      </c>
      <c r="BC2687" s="82" t="s">
        <v>15649</v>
      </c>
      <c r="BD2687" s="77">
        <v>74550038</v>
      </c>
      <c r="BE2687" s="77"/>
      <c r="BF2687" s="77"/>
      <c r="BG2687" s="77"/>
      <c r="BH2687" s="77"/>
      <c r="BI2687" s="77"/>
    </row>
    <row r="2688" spans="1:61" x14ac:dyDescent="0.25">
      <c r="A2688" s="62" t="s">
        <v>734</v>
      </c>
      <c r="B2688" s="62" t="s">
        <v>734</v>
      </c>
      <c r="C2688" s="63"/>
      <c r="D2688" s="64"/>
      <c r="E2688" s="65"/>
      <c r="F2688" s="66"/>
      <c r="G2688" s="63"/>
      <c r="H2688" s="67"/>
      <c r="I2688" s="68"/>
      <c r="J2688" s="68"/>
      <c r="K2688" s="32"/>
      <c r="L2688" s="75">
        <v>2688</v>
      </c>
      <c r="M2688" s="75"/>
      <c r="N2688" s="70"/>
      <c r="O2688" s="77" t="s">
        <v>1132</v>
      </c>
      <c r="P2688" s="79">
        <v>45030.931597222225</v>
      </c>
      <c r="Q2688" s="77" t="s">
        <v>3700</v>
      </c>
      <c r="R2688" s="77">
        <v>2</v>
      </c>
      <c r="S2688" s="77">
        <v>2</v>
      </c>
      <c r="T2688" s="77">
        <v>0</v>
      </c>
      <c r="U2688" s="77">
        <v>0</v>
      </c>
      <c r="V2688" s="77">
        <v>2643</v>
      </c>
      <c r="W2688" s="82" t="s">
        <v>5775</v>
      </c>
      <c r="X2688" s="77"/>
      <c r="Y2688" s="77"/>
      <c r="Z2688" s="77"/>
      <c r="AA2688" s="77"/>
      <c r="AB2688" s="77"/>
      <c r="AC2688" s="82" t="s">
        <v>7706</v>
      </c>
      <c r="AD2688" s="77" t="s">
        <v>7745</v>
      </c>
      <c r="AE2688" s="80" t="str">
        <f>HYPERLINK("https://twitter.com/b3_oficial/status/1647002165905375236")</f>
        <v>https://twitter.com/b3_oficial/status/1647002165905375236</v>
      </c>
      <c r="AF2688" s="79">
        <v>45030.931597222225</v>
      </c>
      <c r="AG2688" s="85">
        <v>45030</v>
      </c>
      <c r="AH2688" s="82" t="s">
        <v>10174</v>
      </c>
      <c r="AI2688" s="77"/>
      <c r="AJ2688" s="77"/>
      <c r="AK2688" s="77"/>
      <c r="AL2688" s="77"/>
      <c r="AM2688" s="77"/>
      <c r="AN2688" s="77"/>
      <c r="AO2688" s="77"/>
      <c r="AP2688" s="77"/>
      <c r="AQ2688" s="77"/>
      <c r="AR2688" s="77"/>
      <c r="AS2688" s="77"/>
      <c r="AT2688" s="77"/>
      <c r="AU2688" s="77"/>
      <c r="AV2688" s="80" t="str">
        <f>HYPERLINK("https://pbs.twimg.com/profile_images/1505968327499436049/Ivkcir3F_normal.jpg")</f>
        <v>https://pbs.twimg.com/profile_images/1505968327499436049/Ivkcir3F_normal.jpg</v>
      </c>
      <c r="AW2688" s="82" t="s">
        <v>14843</v>
      </c>
      <c r="AX2688" s="82" t="s">
        <v>15650</v>
      </c>
      <c r="AY2688" s="82" t="s">
        <v>15797</v>
      </c>
      <c r="AZ2688" s="82" t="s">
        <v>15650</v>
      </c>
      <c r="BA2688" s="82" t="s">
        <v>15804</v>
      </c>
      <c r="BB2688" s="82" t="s">
        <v>15804</v>
      </c>
      <c r="BC2688" s="82" t="s">
        <v>15650</v>
      </c>
      <c r="BD2688" s="77">
        <v>74550038</v>
      </c>
      <c r="BE2688" s="77"/>
      <c r="BF2688" s="77"/>
      <c r="BG2688" s="77"/>
      <c r="BH2688" s="77"/>
      <c r="BI2688" s="77"/>
    </row>
    <row r="2689" spans="1:61" x14ac:dyDescent="0.25">
      <c r="A2689" s="62" t="s">
        <v>734</v>
      </c>
      <c r="B2689" s="62" t="s">
        <v>734</v>
      </c>
      <c r="C2689" s="63"/>
      <c r="D2689" s="64"/>
      <c r="E2689" s="65"/>
      <c r="F2689" s="66"/>
      <c r="G2689" s="63"/>
      <c r="H2689" s="67"/>
      <c r="I2689" s="68"/>
      <c r="J2689" s="68"/>
      <c r="K2689" s="32"/>
      <c r="L2689" s="75">
        <v>2689</v>
      </c>
      <c r="M2689" s="75"/>
      <c r="N2689" s="70"/>
      <c r="O2689" s="77" t="s">
        <v>1132</v>
      </c>
      <c r="P2689" s="79">
        <v>45029.934236111112</v>
      </c>
      <c r="Q2689" s="77" t="s">
        <v>3701</v>
      </c>
      <c r="R2689" s="77">
        <v>0</v>
      </c>
      <c r="S2689" s="77">
        <v>1</v>
      </c>
      <c r="T2689" s="77">
        <v>0</v>
      </c>
      <c r="U2689" s="77">
        <v>0</v>
      </c>
      <c r="V2689" s="77">
        <v>2706</v>
      </c>
      <c r="W2689" s="82" t="s">
        <v>5775</v>
      </c>
      <c r="X2689" s="77"/>
      <c r="Y2689" s="77"/>
      <c r="Z2689" s="77"/>
      <c r="AA2689" s="77"/>
      <c r="AB2689" s="77"/>
      <c r="AC2689" s="82" t="s">
        <v>7706</v>
      </c>
      <c r="AD2689" s="77" t="s">
        <v>7745</v>
      </c>
      <c r="AE2689" s="80" t="str">
        <f>HYPERLINK("https://twitter.com/b3_oficial/status/1646640733443485697")</f>
        <v>https://twitter.com/b3_oficial/status/1646640733443485697</v>
      </c>
      <c r="AF2689" s="79">
        <v>45029.934236111112</v>
      </c>
      <c r="AG2689" s="85">
        <v>45029</v>
      </c>
      <c r="AH2689" s="82" t="s">
        <v>10175</v>
      </c>
      <c r="AI2689" s="77"/>
      <c r="AJ2689" s="77"/>
      <c r="AK2689" s="77"/>
      <c r="AL2689" s="77"/>
      <c r="AM2689" s="77"/>
      <c r="AN2689" s="77"/>
      <c r="AO2689" s="77"/>
      <c r="AP2689" s="77"/>
      <c r="AQ2689" s="77"/>
      <c r="AR2689" s="77"/>
      <c r="AS2689" s="77"/>
      <c r="AT2689" s="77"/>
      <c r="AU2689" s="77"/>
      <c r="AV2689" s="80" t="str">
        <f>HYPERLINK("https://pbs.twimg.com/profile_images/1505968327499436049/Ivkcir3F_normal.jpg")</f>
        <v>https://pbs.twimg.com/profile_images/1505968327499436049/Ivkcir3F_normal.jpg</v>
      </c>
      <c r="AW2689" s="82" t="s">
        <v>14844</v>
      </c>
      <c r="AX2689" s="82" t="s">
        <v>15651</v>
      </c>
      <c r="AY2689" s="82" t="s">
        <v>15797</v>
      </c>
      <c r="AZ2689" s="82" t="s">
        <v>15651</v>
      </c>
      <c r="BA2689" s="82" t="s">
        <v>15804</v>
      </c>
      <c r="BB2689" s="82" t="s">
        <v>15804</v>
      </c>
      <c r="BC2689" s="82" t="s">
        <v>15651</v>
      </c>
      <c r="BD2689" s="77">
        <v>74550038</v>
      </c>
      <c r="BE2689" s="77"/>
      <c r="BF2689" s="77"/>
      <c r="BG2689" s="77"/>
      <c r="BH2689" s="77"/>
      <c r="BI2689" s="77"/>
    </row>
    <row r="2690" spans="1:61" x14ac:dyDescent="0.25">
      <c r="A2690" s="62" t="s">
        <v>734</v>
      </c>
      <c r="B2690" s="62" t="s">
        <v>734</v>
      </c>
      <c r="C2690" s="63"/>
      <c r="D2690" s="64"/>
      <c r="E2690" s="65"/>
      <c r="F2690" s="66"/>
      <c r="G2690" s="63"/>
      <c r="H2690" s="67"/>
      <c r="I2690" s="68"/>
      <c r="J2690" s="68"/>
      <c r="K2690" s="32"/>
      <c r="L2690" s="75">
        <v>2690</v>
      </c>
      <c r="M2690" s="75"/>
      <c r="N2690" s="70"/>
      <c r="O2690" s="77" t="s">
        <v>179</v>
      </c>
      <c r="P2690" s="79">
        <v>45027.966284722221</v>
      </c>
      <c r="Q2690" s="77" t="s">
        <v>3702</v>
      </c>
      <c r="R2690" s="77">
        <v>2</v>
      </c>
      <c r="S2690" s="77">
        <v>19</v>
      </c>
      <c r="T2690" s="77">
        <v>2</v>
      </c>
      <c r="U2690" s="77">
        <v>0</v>
      </c>
      <c r="V2690" s="77">
        <v>4115</v>
      </c>
      <c r="W2690" s="82" t="s">
        <v>5776</v>
      </c>
      <c r="X2690" s="77"/>
      <c r="Y2690" s="77"/>
      <c r="Z2690" s="77"/>
      <c r="AA2690" s="77" t="s">
        <v>7610</v>
      </c>
      <c r="AB2690" s="77" t="s">
        <v>7697</v>
      </c>
      <c r="AC2690" s="82" t="s">
        <v>7734</v>
      </c>
      <c r="AD2690" s="77" t="s">
        <v>7745</v>
      </c>
      <c r="AE2690" s="80" t="str">
        <f>HYPERLINK("https://twitter.com/b3_oficial/status/1645927571094208522")</f>
        <v>https://twitter.com/b3_oficial/status/1645927571094208522</v>
      </c>
      <c r="AF2690" s="79">
        <v>45027.966284722221</v>
      </c>
      <c r="AG2690" s="85">
        <v>45027</v>
      </c>
      <c r="AH2690" s="82" t="s">
        <v>10176</v>
      </c>
      <c r="AI2690" s="77" t="b">
        <v>0</v>
      </c>
      <c r="AJ2690" s="77"/>
      <c r="AK2690" s="77"/>
      <c r="AL2690" s="77"/>
      <c r="AM2690" s="77"/>
      <c r="AN2690" s="77"/>
      <c r="AO2690" s="77"/>
      <c r="AP2690" s="77"/>
      <c r="AQ2690" s="77" t="s">
        <v>12116</v>
      </c>
      <c r="AR2690" s="77">
        <v>96062</v>
      </c>
      <c r="AS2690" s="77"/>
      <c r="AT2690" s="77"/>
      <c r="AU2690" s="77">
        <v>972</v>
      </c>
      <c r="AV2690" s="80" t="str">
        <f>HYPERLINK("https://pbs.twimg.com/media/FteB_mTXgAAsomc.jpg")</f>
        <v>https://pbs.twimg.com/media/FteB_mTXgAAsomc.jpg</v>
      </c>
      <c r="AW2690" s="82" t="s">
        <v>14845</v>
      </c>
      <c r="AX2690" s="82" t="s">
        <v>14845</v>
      </c>
      <c r="AY2690" s="77"/>
      <c r="AZ2690" s="82" t="s">
        <v>15804</v>
      </c>
      <c r="BA2690" s="82" t="s">
        <v>15804</v>
      </c>
      <c r="BB2690" s="82" t="s">
        <v>15804</v>
      </c>
      <c r="BC2690" s="82" t="s">
        <v>14845</v>
      </c>
      <c r="BD2690" s="77">
        <v>74550038</v>
      </c>
      <c r="BE2690" s="77"/>
      <c r="BF2690" s="77"/>
      <c r="BG2690" s="77"/>
      <c r="BH2690" s="77"/>
      <c r="BI2690" s="77"/>
    </row>
    <row r="2691" spans="1:61" x14ac:dyDescent="0.25">
      <c r="A2691" s="62" t="s">
        <v>734</v>
      </c>
      <c r="B2691" s="62" t="s">
        <v>734</v>
      </c>
      <c r="C2691" s="63"/>
      <c r="D2691" s="64"/>
      <c r="E2691" s="65"/>
      <c r="F2691" s="66"/>
      <c r="G2691" s="63"/>
      <c r="H2691" s="67"/>
      <c r="I2691" s="68"/>
      <c r="J2691" s="68"/>
      <c r="K2691" s="32"/>
      <c r="L2691" s="75">
        <v>2691</v>
      </c>
      <c r="M2691" s="75"/>
      <c r="N2691" s="70"/>
      <c r="O2691" s="77" t="s">
        <v>179</v>
      </c>
      <c r="P2691" s="79">
        <v>44995.967974537038</v>
      </c>
      <c r="Q2691" s="77" t="s">
        <v>3703</v>
      </c>
      <c r="R2691" s="77">
        <v>2</v>
      </c>
      <c r="S2691" s="77">
        <v>26</v>
      </c>
      <c r="T2691" s="77">
        <v>3</v>
      </c>
      <c r="U2691" s="77">
        <v>1</v>
      </c>
      <c r="V2691" s="77">
        <v>5531</v>
      </c>
      <c r="W2691" s="82" t="s">
        <v>5746</v>
      </c>
      <c r="X2691" s="77"/>
      <c r="Y2691" s="77"/>
      <c r="Z2691" s="77"/>
      <c r="AA2691" s="77" t="s">
        <v>7611</v>
      </c>
      <c r="AB2691" s="77" t="s">
        <v>7697</v>
      </c>
      <c r="AC2691" s="82" t="s">
        <v>7705</v>
      </c>
      <c r="AD2691" s="77" t="s">
        <v>7745</v>
      </c>
      <c r="AE2691" s="80" t="str">
        <f>HYPERLINK("https://twitter.com/b3_oficial/status/1634331771817930752")</f>
        <v>https://twitter.com/b3_oficial/status/1634331771817930752</v>
      </c>
      <c r="AF2691" s="79">
        <v>44995.967974537038</v>
      </c>
      <c r="AG2691" s="85">
        <v>44995</v>
      </c>
      <c r="AH2691" s="82" t="s">
        <v>10177</v>
      </c>
      <c r="AI2691" s="77" t="b">
        <v>0</v>
      </c>
      <c r="AJ2691" s="77"/>
      <c r="AK2691" s="77"/>
      <c r="AL2691" s="77"/>
      <c r="AM2691" s="77"/>
      <c r="AN2691" s="77"/>
      <c r="AO2691" s="77"/>
      <c r="AP2691" s="77"/>
      <c r="AQ2691" s="77" t="s">
        <v>12117</v>
      </c>
      <c r="AR2691" s="77">
        <v>124958</v>
      </c>
      <c r="AS2691" s="77"/>
      <c r="AT2691" s="77"/>
      <c r="AU2691" s="77">
        <v>1855</v>
      </c>
      <c r="AV2691" s="80" t="str">
        <f>HYPERLINK("https://pbs.twimg.com/ext_tw_video_thumb/1634331334939230208/pu/img/7hXCdmkSngtnP6ad.jpg")</f>
        <v>https://pbs.twimg.com/ext_tw_video_thumb/1634331334939230208/pu/img/7hXCdmkSngtnP6ad.jpg</v>
      </c>
      <c r="AW2691" s="82" t="s">
        <v>14846</v>
      </c>
      <c r="AX2691" s="82" t="s">
        <v>14846</v>
      </c>
      <c r="AY2691" s="77"/>
      <c r="AZ2691" s="82" t="s">
        <v>15804</v>
      </c>
      <c r="BA2691" s="82" t="s">
        <v>15804</v>
      </c>
      <c r="BB2691" s="82" t="s">
        <v>15804</v>
      </c>
      <c r="BC2691" s="82" t="s">
        <v>14846</v>
      </c>
      <c r="BD2691" s="77">
        <v>74550038</v>
      </c>
      <c r="BE2691" s="77"/>
      <c r="BF2691" s="77"/>
      <c r="BG2691" s="77"/>
      <c r="BH2691" s="77"/>
      <c r="BI2691" s="77"/>
    </row>
    <row r="2692" spans="1:61" x14ac:dyDescent="0.25">
      <c r="A2692" s="62" t="s">
        <v>734</v>
      </c>
      <c r="B2692" s="62" t="s">
        <v>734</v>
      </c>
      <c r="C2692" s="63"/>
      <c r="D2692" s="64"/>
      <c r="E2692" s="65"/>
      <c r="F2692" s="66"/>
      <c r="G2692" s="63"/>
      <c r="H2692" s="67"/>
      <c r="I2692" s="68"/>
      <c r="J2692" s="68"/>
      <c r="K2692" s="32"/>
      <c r="L2692" s="75">
        <v>2692</v>
      </c>
      <c r="M2692" s="75"/>
      <c r="N2692" s="70"/>
      <c r="O2692" s="77" t="s">
        <v>179</v>
      </c>
      <c r="P2692" s="79">
        <v>44981.947187500002</v>
      </c>
      <c r="Q2692" s="77" t="s">
        <v>3704</v>
      </c>
      <c r="R2692" s="77">
        <v>0</v>
      </c>
      <c r="S2692" s="77">
        <v>14</v>
      </c>
      <c r="T2692" s="77">
        <v>0</v>
      </c>
      <c r="U2692" s="77">
        <v>0</v>
      </c>
      <c r="V2692" s="77">
        <v>3739</v>
      </c>
      <c r="W2692" s="82" t="s">
        <v>5746</v>
      </c>
      <c r="X2692" s="77"/>
      <c r="Y2692" s="77"/>
      <c r="Z2692" s="77"/>
      <c r="AA2692" s="77" t="s">
        <v>7612</v>
      </c>
      <c r="AB2692" s="77" t="s">
        <v>7697</v>
      </c>
      <c r="AC2692" s="82" t="s">
        <v>7705</v>
      </c>
      <c r="AD2692" s="77" t="s">
        <v>7745</v>
      </c>
      <c r="AE2692" s="80" t="str">
        <f>HYPERLINK("https://twitter.com/b3_oficial/status/1629250808456806401")</f>
        <v>https://twitter.com/b3_oficial/status/1629250808456806401</v>
      </c>
      <c r="AF2692" s="79">
        <v>44981.947187500002</v>
      </c>
      <c r="AG2692" s="85">
        <v>44981</v>
      </c>
      <c r="AH2692" s="82" t="s">
        <v>10178</v>
      </c>
      <c r="AI2692" s="77" t="b">
        <v>0</v>
      </c>
      <c r="AJ2692" s="77"/>
      <c r="AK2692" s="77"/>
      <c r="AL2692" s="77"/>
      <c r="AM2692" s="77"/>
      <c r="AN2692" s="77"/>
      <c r="AO2692" s="77"/>
      <c r="AP2692" s="77"/>
      <c r="AQ2692" s="77" t="s">
        <v>12118</v>
      </c>
      <c r="AR2692" s="77">
        <v>80880</v>
      </c>
      <c r="AS2692" s="77"/>
      <c r="AT2692" s="77"/>
      <c r="AU2692" s="77">
        <v>1000</v>
      </c>
      <c r="AV2692" s="80" t="str">
        <f>HYPERLINK("https://pbs.twimg.com/ext_tw_video_thumb/1629250684087304192/pu/img/DVsBfkBXS3Xa-49n.jpg")</f>
        <v>https://pbs.twimg.com/ext_tw_video_thumb/1629250684087304192/pu/img/DVsBfkBXS3Xa-49n.jpg</v>
      </c>
      <c r="AW2692" s="82" t="s">
        <v>14847</v>
      </c>
      <c r="AX2692" s="82" t="s">
        <v>14847</v>
      </c>
      <c r="AY2692" s="77"/>
      <c r="AZ2692" s="82" t="s">
        <v>15804</v>
      </c>
      <c r="BA2692" s="82" t="s">
        <v>15804</v>
      </c>
      <c r="BB2692" s="82" t="s">
        <v>15804</v>
      </c>
      <c r="BC2692" s="82" t="s">
        <v>14847</v>
      </c>
      <c r="BD2692" s="77">
        <v>74550038</v>
      </c>
      <c r="BE2692" s="77"/>
      <c r="BF2692" s="77"/>
      <c r="BG2692" s="77"/>
      <c r="BH2692" s="77"/>
      <c r="BI2692" s="77"/>
    </row>
    <row r="2693" spans="1:61" x14ac:dyDescent="0.25">
      <c r="A2693" s="62" t="s">
        <v>734</v>
      </c>
      <c r="B2693" s="62" t="s">
        <v>734</v>
      </c>
      <c r="C2693" s="63"/>
      <c r="D2693" s="64"/>
      <c r="E2693" s="65"/>
      <c r="F2693" s="66"/>
      <c r="G2693" s="63"/>
      <c r="H2693" s="67"/>
      <c r="I2693" s="68"/>
      <c r="J2693" s="68"/>
      <c r="K2693" s="32"/>
      <c r="L2693" s="75">
        <v>2693</v>
      </c>
      <c r="M2693" s="75"/>
      <c r="N2693" s="70"/>
      <c r="O2693" s="77" t="s">
        <v>179</v>
      </c>
      <c r="P2693" s="79">
        <v>44979.940891203703</v>
      </c>
      <c r="Q2693" s="77" t="s">
        <v>3705</v>
      </c>
      <c r="R2693" s="77">
        <v>3</v>
      </c>
      <c r="S2693" s="77">
        <v>26</v>
      </c>
      <c r="T2693" s="77">
        <v>1</v>
      </c>
      <c r="U2693" s="77">
        <v>0</v>
      </c>
      <c r="V2693" s="77">
        <v>6850</v>
      </c>
      <c r="W2693" s="82" t="s">
        <v>5777</v>
      </c>
      <c r="X2693" s="77"/>
      <c r="Y2693" s="77"/>
      <c r="Z2693" s="77"/>
      <c r="AA2693" s="77" t="s">
        <v>7613</v>
      </c>
      <c r="AB2693" s="77" t="s">
        <v>7697</v>
      </c>
      <c r="AC2693" s="82" t="s">
        <v>7705</v>
      </c>
      <c r="AD2693" s="77" t="s">
        <v>7745</v>
      </c>
      <c r="AE2693" s="80" t="str">
        <f>HYPERLINK("https://twitter.com/b3_oficial/status/1628523752358117376")</f>
        <v>https://twitter.com/b3_oficial/status/1628523752358117376</v>
      </c>
      <c r="AF2693" s="79">
        <v>44979.940891203703</v>
      </c>
      <c r="AG2693" s="85">
        <v>44979</v>
      </c>
      <c r="AH2693" s="82" t="s">
        <v>10179</v>
      </c>
      <c r="AI2693" s="77" t="b">
        <v>0</v>
      </c>
      <c r="AJ2693" s="77"/>
      <c r="AK2693" s="77"/>
      <c r="AL2693" s="77"/>
      <c r="AM2693" s="77"/>
      <c r="AN2693" s="77"/>
      <c r="AO2693" s="77"/>
      <c r="AP2693" s="77"/>
      <c r="AQ2693" s="77" t="s">
        <v>12119</v>
      </c>
      <c r="AR2693" s="77">
        <v>112078</v>
      </c>
      <c r="AS2693" s="77"/>
      <c r="AT2693" s="77"/>
      <c r="AU2693" s="77">
        <v>1535</v>
      </c>
      <c r="AV2693" s="80" t="str">
        <f>HYPERLINK("https://pbs.twimg.com/ext_tw_video_thumb/1628523612096307216/pu/img/Rjs3asoaiCgMSl3D.jpg")</f>
        <v>https://pbs.twimg.com/ext_tw_video_thumb/1628523612096307216/pu/img/Rjs3asoaiCgMSl3D.jpg</v>
      </c>
      <c r="AW2693" s="82" t="s">
        <v>14848</v>
      </c>
      <c r="AX2693" s="82" t="s">
        <v>14848</v>
      </c>
      <c r="AY2693" s="77"/>
      <c r="AZ2693" s="82" t="s">
        <v>15804</v>
      </c>
      <c r="BA2693" s="82" t="s">
        <v>15804</v>
      </c>
      <c r="BB2693" s="82" t="s">
        <v>15804</v>
      </c>
      <c r="BC2693" s="82" t="s">
        <v>14848</v>
      </c>
      <c r="BD2693" s="77">
        <v>74550038</v>
      </c>
      <c r="BE2693" s="77"/>
      <c r="BF2693" s="77"/>
      <c r="BG2693" s="77"/>
      <c r="BH2693" s="77"/>
      <c r="BI2693" s="77"/>
    </row>
    <row r="2694" spans="1:61" x14ac:dyDescent="0.25">
      <c r="A2694" s="62" t="s">
        <v>734</v>
      </c>
      <c r="B2694" s="62" t="s">
        <v>734</v>
      </c>
      <c r="C2694" s="63"/>
      <c r="D2694" s="64"/>
      <c r="E2694" s="65"/>
      <c r="F2694" s="66"/>
      <c r="G2694" s="63"/>
      <c r="H2694" s="67"/>
      <c r="I2694" s="68"/>
      <c r="J2694" s="68"/>
      <c r="K2694" s="32"/>
      <c r="L2694" s="75">
        <v>2694</v>
      </c>
      <c r="M2694" s="75"/>
      <c r="N2694" s="70"/>
      <c r="O2694" s="77" t="s">
        <v>1132</v>
      </c>
      <c r="P2694" s="79">
        <v>45096.918703703705</v>
      </c>
      <c r="Q2694" s="77" t="s">
        <v>3706</v>
      </c>
      <c r="R2694" s="77">
        <v>0</v>
      </c>
      <c r="S2694" s="77">
        <v>3</v>
      </c>
      <c r="T2694" s="77">
        <v>0</v>
      </c>
      <c r="U2694" s="77">
        <v>0</v>
      </c>
      <c r="V2694" s="77">
        <v>2704</v>
      </c>
      <c r="W2694" s="82" t="s">
        <v>5765</v>
      </c>
      <c r="X2694" s="77"/>
      <c r="Y2694" s="77"/>
      <c r="Z2694" s="77"/>
      <c r="AA2694" s="77"/>
      <c r="AB2694" s="77"/>
      <c r="AC2694" s="82" t="s">
        <v>7706</v>
      </c>
      <c r="AD2694" s="77" t="s">
        <v>7745</v>
      </c>
      <c r="AE2694" s="80" t="str">
        <f>HYPERLINK("https://twitter.com/b3_oficial/status/1670915092253138976")</f>
        <v>https://twitter.com/b3_oficial/status/1670915092253138976</v>
      </c>
      <c r="AF2694" s="79">
        <v>45096.918703703705</v>
      </c>
      <c r="AG2694" s="85">
        <v>45096</v>
      </c>
      <c r="AH2694" s="82" t="s">
        <v>10180</v>
      </c>
      <c r="AI2694" s="77"/>
      <c r="AJ2694" s="77"/>
      <c r="AK2694" s="77"/>
      <c r="AL2694" s="77"/>
      <c r="AM2694" s="77"/>
      <c r="AN2694" s="77"/>
      <c r="AO2694" s="77"/>
      <c r="AP2694" s="77"/>
      <c r="AQ2694" s="77"/>
      <c r="AR2694" s="77"/>
      <c r="AS2694" s="77"/>
      <c r="AT2694" s="77"/>
      <c r="AU2694" s="77"/>
      <c r="AV2694" s="80" t="str">
        <f>HYPERLINK("https://pbs.twimg.com/profile_images/1505968327499436049/Ivkcir3F_normal.jpg")</f>
        <v>https://pbs.twimg.com/profile_images/1505968327499436049/Ivkcir3F_normal.jpg</v>
      </c>
      <c r="AW2694" s="82" t="s">
        <v>14849</v>
      </c>
      <c r="AX2694" s="82" t="s">
        <v>15652</v>
      </c>
      <c r="AY2694" s="82" t="s">
        <v>15797</v>
      </c>
      <c r="AZ2694" s="82" t="s">
        <v>15652</v>
      </c>
      <c r="BA2694" s="82" t="s">
        <v>15804</v>
      </c>
      <c r="BB2694" s="82" t="s">
        <v>15804</v>
      </c>
      <c r="BC2694" s="82" t="s">
        <v>15652</v>
      </c>
      <c r="BD2694" s="77">
        <v>74550038</v>
      </c>
      <c r="BE2694" s="77"/>
      <c r="BF2694" s="77"/>
      <c r="BG2694" s="77"/>
      <c r="BH2694" s="77"/>
      <c r="BI2694" s="77"/>
    </row>
    <row r="2695" spans="1:61" x14ac:dyDescent="0.25">
      <c r="A2695" s="62" t="s">
        <v>734</v>
      </c>
      <c r="B2695" s="62" t="s">
        <v>734</v>
      </c>
      <c r="C2695" s="63"/>
      <c r="D2695" s="64"/>
      <c r="E2695" s="65"/>
      <c r="F2695" s="66"/>
      <c r="G2695" s="63"/>
      <c r="H2695" s="67"/>
      <c r="I2695" s="68"/>
      <c r="J2695" s="68"/>
      <c r="K2695" s="32"/>
      <c r="L2695" s="75">
        <v>2695</v>
      </c>
      <c r="M2695" s="75"/>
      <c r="N2695" s="70"/>
      <c r="O2695" s="77" t="s">
        <v>1132</v>
      </c>
      <c r="P2695" s="79">
        <v>45093.955081018517</v>
      </c>
      <c r="Q2695" s="77" t="s">
        <v>3707</v>
      </c>
      <c r="R2695" s="77">
        <v>0</v>
      </c>
      <c r="S2695" s="77">
        <v>6</v>
      </c>
      <c r="T2695" s="77">
        <v>0</v>
      </c>
      <c r="U2695" s="77">
        <v>0</v>
      </c>
      <c r="V2695" s="77">
        <v>2745</v>
      </c>
      <c r="W2695" s="82" t="s">
        <v>5778</v>
      </c>
      <c r="X2695" s="77"/>
      <c r="Y2695" s="77"/>
      <c r="Z2695" s="77"/>
      <c r="AA2695" s="77"/>
      <c r="AB2695" s="77"/>
      <c r="AC2695" s="82" t="s">
        <v>7706</v>
      </c>
      <c r="AD2695" s="77" t="s">
        <v>7745</v>
      </c>
      <c r="AE2695" s="80" t="str">
        <f>HYPERLINK("https://twitter.com/b3_oficial/status/1669841110007439362")</f>
        <v>https://twitter.com/b3_oficial/status/1669841110007439362</v>
      </c>
      <c r="AF2695" s="79">
        <v>45093.955081018517</v>
      </c>
      <c r="AG2695" s="85">
        <v>45093</v>
      </c>
      <c r="AH2695" s="82" t="s">
        <v>10181</v>
      </c>
      <c r="AI2695" s="77"/>
      <c r="AJ2695" s="77"/>
      <c r="AK2695" s="77"/>
      <c r="AL2695" s="77"/>
      <c r="AM2695" s="77"/>
      <c r="AN2695" s="77"/>
      <c r="AO2695" s="77"/>
      <c r="AP2695" s="77"/>
      <c r="AQ2695" s="77"/>
      <c r="AR2695" s="77"/>
      <c r="AS2695" s="77"/>
      <c r="AT2695" s="77"/>
      <c r="AU2695" s="77"/>
      <c r="AV2695" s="80" t="str">
        <f>HYPERLINK("https://pbs.twimg.com/profile_images/1505968327499436049/Ivkcir3F_normal.jpg")</f>
        <v>https://pbs.twimg.com/profile_images/1505968327499436049/Ivkcir3F_normal.jpg</v>
      </c>
      <c r="AW2695" s="82" t="s">
        <v>14850</v>
      </c>
      <c r="AX2695" s="82" t="s">
        <v>15653</v>
      </c>
      <c r="AY2695" s="82" t="s">
        <v>15797</v>
      </c>
      <c r="AZ2695" s="82" t="s">
        <v>15653</v>
      </c>
      <c r="BA2695" s="82" t="s">
        <v>15804</v>
      </c>
      <c r="BB2695" s="82" t="s">
        <v>15804</v>
      </c>
      <c r="BC2695" s="82" t="s">
        <v>15653</v>
      </c>
      <c r="BD2695" s="77">
        <v>74550038</v>
      </c>
      <c r="BE2695" s="77"/>
      <c r="BF2695" s="77"/>
      <c r="BG2695" s="77"/>
      <c r="BH2695" s="77"/>
      <c r="BI2695" s="77"/>
    </row>
    <row r="2696" spans="1:61" x14ac:dyDescent="0.25">
      <c r="A2696" s="62" t="s">
        <v>734</v>
      </c>
      <c r="B2696" s="62" t="s">
        <v>734</v>
      </c>
      <c r="C2696" s="63"/>
      <c r="D2696" s="64"/>
      <c r="E2696" s="65"/>
      <c r="F2696" s="66"/>
      <c r="G2696" s="63"/>
      <c r="H2696" s="67"/>
      <c r="I2696" s="68"/>
      <c r="J2696" s="68"/>
      <c r="K2696" s="32"/>
      <c r="L2696" s="75">
        <v>2696</v>
      </c>
      <c r="M2696" s="75"/>
      <c r="N2696" s="70"/>
      <c r="O2696" s="77" t="s">
        <v>1132</v>
      </c>
      <c r="P2696" s="79">
        <v>45078.942685185182</v>
      </c>
      <c r="Q2696" s="77" t="s">
        <v>3708</v>
      </c>
      <c r="R2696" s="77">
        <v>1</v>
      </c>
      <c r="S2696" s="77">
        <v>3</v>
      </c>
      <c r="T2696" s="77">
        <v>0</v>
      </c>
      <c r="U2696" s="77">
        <v>0</v>
      </c>
      <c r="V2696" s="77">
        <v>2544</v>
      </c>
      <c r="W2696" s="82" t="s">
        <v>5759</v>
      </c>
      <c r="X2696" s="77"/>
      <c r="Y2696" s="77"/>
      <c r="Z2696" s="77"/>
      <c r="AA2696" s="77"/>
      <c r="AB2696" s="77"/>
      <c r="AC2696" s="82" t="s">
        <v>7706</v>
      </c>
      <c r="AD2696" s="77" t="s">
        <v>7745</v>
      </c>
      <c r="AE2696" s="80" t="str">
        <f>HYPERLINK("https://twitter.com/b3_oficial/status/1664400800490180608")</f>
        <v>https://twitter.com/b3_oficial/status/1664400800490180608</v>
      </c>
      <c r="AF2696" s="79">
        <v>45078.942685185182</v>
      </c>
      <c r="AG2696" s="85">
        <v>45078</v>
      </c>
      <c r="AH2696" s="82" t="s">
        <v>10182</v>
      </c>
      <c r="AI2696" s="77"/>
      <c r="AJ2696" s="77"/>
      <c r="AK2696" s="77"/>
      <c r="AL2696" s="77"/>
      <c r="AM2696" s="77"/>
      <c r="AN2696" s="77"/>
      <c r="AO2696" s="77"/>
      <c r="AP2696" s="77"/>
      <c r="AQ2696" s="77"/>
      <c r="AR2696" s="77"/>
      <c r="AS2696" s="77"/>
      <c r="AT2696" s="77"/>
      <c r="AU2696" s="77"/>
      <c r="AV2696" s="80" t="str">
        <f>HYPERLINK("https://pbs.twimg.com/profile_images/1505968327499436049/Ivkcir3F_normal.jpg")</f>
        <v>https://pbs.twimg.com/profile_images/1505968327499436049/Ivkcir3F_normal.jpg</v>
      </c>
      <c r="AW2696" s="82" t="s">
        <v>14851</v>
      </c>
      <c r="AX2696" s="82" t="s">
        <v>15654</v>
      </c>
      <c r="AY2696" s="82" t="s">
        <v>15797</v>
      </c>
      <c r="AZ2696" s="82" t="s">
        <v>15654</v>
      </c>
      <c r="BA2696" s="82" t="s">
        <v>15804</v>
      </c>
      <c r="BB2696" s="82" t="s">
        <v>15804</v>
      </c>
      <c r="BC2696" s="82" t="s">
        <v>15654</v>
      </c>
      <c r="BD2696" s="77">
        <v>74550038</v>
      </c>
      <c r="BE2696" s="77"/>
      <c r="BF2696" s="77"/>
      <c r="BG2696" s="77"/>
      <c r="BH2696" s="77"/>
      <c r="BI2696" s="77"/>
    </row>
    <row r="2697" spans="1:61" x14ac:dyDescent="0.25">
      <c r="A2697" s="62" t="s">
        <v>734</v>
      </c>
      <c r="B2697" s="62" t="s">
        <v>734</v>
      </c>
      <c r="C2697" s="63"/>
      <c r="D2697" s="64"/>
      <c r="E2697" s="65"/>
      <c r="F2697" s="66"/>
      <c r="G2697" s="63"/>
      <c r="H2697" s="67"/>
      <c r="I2697" s="68"/>
      <c r="J2697" s="68"/>
      <c r="K2697" s="32"/>
      <c r="L2697" s="75">
        <v>2697</v>
      </c>
      <c r="M2697" s="75"/>
      <c r="N2697" s="70"/>
      <c r="O2697" s="77" t="s">
        <v>1132</v>
      </c>
      <c r="P2697" s="79">
        <v>45056.932604166665</v>
      </c>
      <c r="Q2697" s="77" t="s">
        <v>3709</v>
      </c>
      <c r="R2697" s="77">
        <v>1</v>
      </c>
      <c r="S2697" s="77">
        <v>4</v>
      </c>
      <c r="T2697" s="77">
        <v>1</v>
      </c>
      <c r="U2697" s="77">
        <v>0</v>
      </c>
      <c r="V2697" s="77">
        <v>2548</v>
      </c>
      <c r="W2697" s="82" t="s">
        <v>5743</v>
      </c>
      <c r="X2697" s="77"/>
      <c r="Y2697" s="77"/>
      <c r="Z2697" s="77"/>
      <c r="AA2697" s="77"/>
      <c r="AB2697" s="77"/>
      <c r="AC2697" s="82" t="s">
        <v>7706</v>
      </c>
      <c r="AD2697" s="77" t="s">
        <v>7745</v>
      </c>
      <c r="AE2697" s="80" t="str">
        <f>HYPERLINK("https://twitter.com/b3_oficial/status/1656424614359080960")</f>
        <v>https://twitter.com/b3_oficial/status/1656424614359080960</v>
      </c>
      <c r="AF2697" s="79">
        <v>45056.932604166665</v>
      </c>
      <c r="AG2697" s="85">
        <v>45056</v>
      </c>
      <c r="AH2697" s="82" t="s">
        <v>10183</v>
      </c>
      <c r="AI2697" s="77"/>
      <c r="AJ2697" s="77"/>
      <c r="AK2697" s="77"/>
      <c r="AL2697" s="77"/>
      <c r="AM2697" s="77"/>
      <c r="AN2697" s="77"/>
      <c r="AO2697" s="77"/>
      <c r="AP2697" s="77"/>
      <c r="AQ2697" s="77"/>
      <c r="AR2697" s="77"/>
      <c r="AS2697" s="77"/>
      <c r="AT2697" s="77"/>
      <c r="AU2697" s="77"/>
      <c r="AV2697" s="80" t="str">
        <f>HYPERLINK("https://pbs.twimg.com/profile_images/1505968327499436049/Ivkcir3F_normal.jpg")</f>
        <v>https://pbs.twimg.com/profile_images/1505968327499436049/Ivkcir3F_normal.jpg</v>
      </c>
      <c r="AW2697" s="82" t="s">
        <v>14852</v>
      </c>
      <c r="AX2697" s="82" t="s">
        <v>15655</v>
      </c>
      <c r="AY2697" s="82" t="s">
        <v>15797</v>
      </c>
      <c r="AZ2697" s="82" t="s">
        <v>15655</v>
      </c>
      <c r="BA2697" s="82" t="s">
        <v>15804</v>
      </c>
      <c r="BB2697" s="82" t="s">
        <v>15804</v>
      </c>
      <c r="BC2697" s="82" t="s">
        <v>15655</v>
      </c>
      <c r="BD2697" s="77">
        <v>74550038</v>
      </c>
      <c r="BE2697" s="77"/>
      <c r="BF2697" s="77"/>
      <c r="BG2697" s="77"/>
      <c r="BH2697" s="77"/>
      <c r="BI2697" s="77"/>
    </row>
    <row r="2698" spans="1:61" x14ac:dyDescent="0.25">
      <c r="A2698" s="62" t="s">
        <v>734</v>
      </c>
      <c r="B2698" s="62" t="s">
        <v>734</v>
      </c>
      <c r="C2698" s="63"/>
      <c r="D2698" s="64"/>
      <c r="E2698" s="65"/>
      <c r="F2698" s="66"/>
      <c r="G2698" s="63"/>
      <c r="H2698" s="67"/>
      <c r="I2698" s="68"/>
      <c r="J2698" s="68"/>
      <c r="K2698" s="32"/>
      <c r="L2698" s="75">
        <v>2698</v>
      </c>
      <c r="M2698" s="75"/>
      <c r="N2698" s="70"/>
      <c r="O2698" s="77" t="s">
        <v>1132</v>
      </c>
      <c r="P2698" s="79">
        <v>45019.930625000001</v>
      </c>
      <c r="Q2698" s="77" t="s">
        <v>3710</v>
      </c>
      <c r="R2698" s="77">
        <v>0</v>
      </c>
      <c r="S2698" s="77">
        <v>4</v>
      </c>
      <c r="T2698" s="77">
        <v>0</v>
      </c>
      <c r="U2698" s="77">
        <v>0</v>
      </c>
      <c r="V2698" s="77">
        <v>2687</v>
      </c>
      <c r="W2698" s="82" t="s">
        <v>5759</v>
      </c>
      <c r="X2698" s="77"/>
      <c r="Y2698" s="77"/>
      <c r="Z2698" s="77"/>
      <c r="AA2698" s="77"/>
      <c r="AB2698" s="77"/>
      <c r="AC2698" s="82" t="s">
        <v>7706</v>
      </c>
      <c r="AD2698" s="77" t="s">
        <v>7745</v>
      </c>
      <c r="AE2698" s="80" t="str">
        <f>HYPERLINK("https://twitter.com/b3_oficial/status/1643015546332479488")</f>
        <v>https://twitter.com/b3_oficial/status/1643015546332479488</v>
      </c>
      <c r="AF2698" s="79">
        <v>45019.930625000001</v>
      </c>
      <c r="AG2698" s="85">
        <v>45019</v>
      </c>
      <c r="AH2698" s="82" t="s">
        <v>7992</v>
      </c>
      <c r="AI2698" s="77"/>
      <c r="AJ2698" s="77"/>
      <c r="AK2698" s="77"/>
      <c r="AL2698" s="77"/>
      <c r="AM2698" s="77"/>
      <c r="AN2698" s="77"/>
      <c r="AO2698" s="77"/>
      <c r="AP2698" s="77"/>
      <c r="AQ2698" s="77"/>
      <c r="AR2698" s="77"/>
      <c r="AS2698" s="77"/>
      <c r="AT2698" s="77"/>
      <c r="AU2698" s="77"/>
      <c r="AV2698" s="80" t="str">
        <f>HYPERLINK("https://pbs.twimg.com/profile_images/1505968327499436049/Ivkcir3F_normal.jpg")</f>
        <v>https://pbs.twimg.com/profile_images/1505968327499436049/Ivkcir3F_normal.jpg</v>
      </c>
      <c r="AW2698" s="82" t="s">
        <v>14853</v>
      </c>
      <c r="AX2698" s="82" t="s">
        <v>15656</v>
      </c>
      <c r="AY2698" s="82" t="s">
        <v>15797</v>
      </c>
      <c r="AZ2698" s="82" t="s">
        <v>15656</v>
      </c>
      <c r="BA2698" s="82" t="s">
        <v>15804</v>
      </c>
      <c r="BB2698" s="82" t="s">
        <v>15804</v>
      </c>
      <c r="BC2698" s="82" t="s">
        <v>15656</v>
      </c>
      <c r="BD2698" s="77">
        <v>74550038</v>
      </c>
      <c r="BE2698" s="77"/>
      <c r="BF2698" s="77"/>
      <c r="BG2698" s="77"/>
      <c r="BH2698" s="77"/>
      <c r="BI2698" s="77"/>
    </row>
    <row r="2699" spans="1:61" x14ac:dyDescent="0.25">
      <c r="A2699" s="62" t="s">
        <v>734</v>
      </c>
      <c r="B2699" s="62" t="s">
        <v>734</v>
      </c>
      <c r="C2699" s="63"/>
      <c r="D2699" s="64"/>
      <c r="E2699" s="65"/>
      <c r="F2699" s="66"/>
      <c r="G2699" s="63"/>
      <c r="H2699" s="67"/>
      <c r="I2699" s="68"/>
      <c r="J2699" s="68"/>
      <c r="K2699" s="32"/>
      <c r="L2699" s="75">
        <v>2699</v>
      </c>
      <c r="M2699" s="75"/>
      <c r="N2699" s="70"/>
      <c r="O2699" s="77" t="s">
        <v>179</v>
      </c>
      <c r="P2699" s="79">
        <v>44974.949097222219</v>
      </c>
      <c r="Q2699" s="77" t="s">
        <v>3711</v>
      </c>
      <c r="R2699" s="77">
        <v>4</v>
      </c>
      <c r="S2699" s="77">
        <v>58</v>
      </c>
      <c r="T2699" s="77">
        <v>4</v>
      </c>
      <c r="U2699" s="77">
        <v>0</v>
      </c>
      <c r="V2699" s="77">
        <v>10542</v>
      </c>
      <c r="W2699" s="82" t="s">
        <v>5746</v>
      </c>
      <c r="X2699" s="77"/>
      <c r="Y2699" s="77"/>
      <c r="Z2699" s="77"/>
      <c r="AA2699" s="77" t="s">
        <v>7614</v>
      </c>
      <c r="AB2699" s="77" t="s">
        <v>7697</v>
      </c>
      <c r="AC2699" s="82" t="s">
        <v>7705</v>
      </c>
      <c r="AD2699" s="77" t="s">
        <v>7745</v>
      </c>
      <c r="AE2699" s="80" t="str">
        <f>HYPERLINK("https://twitter.com/b3_oficial/status/1626714785718112256")</f>
        <v>https://twitter.com/b3_oficial/status/1626714785718112256</v>
      </c>
      <c r="AF2699" s="79">
        <v>44974.949097222219</v>
      </c>
      <c r="AG2699" s="85">
        <v>44974</v>
      </c>
      <c r="AH2699" s="82" t="s">
        <v>10184</v>
      </c>
      <c r="AI2699" s="77" t="b">
        <v>0</v>
      </c>
      <c r="AJ2699" s="77"/>
      <c r="AK2699" s="77"/>
      <c r="AL2699" s="77"/>
      <c r="AM2699" s="77"/>
      <c r="AN2699" s="77"/>
      <c r="AO2699" s="77"/>
      <c r="AP2699" s="77"/>
      <c r="AQ2699" s="77" t="s">
        <v>12120</v>
      </c>
      <c r="AR2699" s="77">
        <v>78411</v>
      </c>
      <c r="AS2699" s="77"/>
      <c r="AT2699" s="77"/>
      <c r="AU2699" s="77">
        <v>2901</v>
      </c>
      <c r="AV2699" s="80" t="str">
        <f>HYPERLINK("https://pbs.twimg.com/ext_tw_video_thumb/1626714679304126465/pu/img/ZO-DQxhUUH7Xes-n.jpg")</f>
        <v>https://pbs.twimg.com/ext_tw_video_thumb/1626714679304126465/pu/img/ZO-DQxhUUH7Xes-n.jpg</v>
      </c>
      <c r="AW2699" s="82" t="s">
        <v>14854</v>
      </c>
      <c r="AX2699" s="82" t="s">
        <v>14854</v>
      </c>
      <c r="AY2699" s="77"/>
      <c r="AZ2699" s="82" t="s">
        <v>15804</v>
      </c>
      <c r="BA2699" s="82" t="s">
        <v>15804</v>
      </c>
      <c r="BB2699" s="82" t="s">
        <v>15804</v>
      </c>
      <c r="BC2699" s="82" t="s">
        <v>14854</v>
      </c>
      <c r="BD2699" s="77">
        <v>74550038</v>
      </c>
      <c r="BE2699" s="77"/>
      <c r="BF2699" s="77"/>
      <c r="BG2699" s="77"/>
      <c r="BH2699" s="77"/>
      <c r="BI2699" s="77"/>
    </row>
    <row r="2700" spans="1:61" x14ac:dyDescent="0.25">
      <c r="A2700" s="62" t="s">
        <v>734</v>
      </c>
      <c r="B2700" s="62" t="s">
        <v>734</v>
      </c>
      <c r="C2700" s="63"/>
      <c r="D2700" s="64"/>
      <c r="E2700" s="65"/>
      <c r="F2700" s="66"/>
      <c r="G2700" s="63"/>
      <c r="H2700" s="67"/>
      <c r="I2700" s="68"/>
      <c r="J2700" s="68"/>
      <c r="K2700" s="32"/>
      <c r="L2700" s="75">
        <v>2700</v>
      </c>
      <c r="M2700" s="75"/>
      <c r="N2700" s="70"/>
      <c r="O2700" s="77" t="s">
        <v>179</v>
      </c>
      <c r="P2700" s="79">
        <v>44973.912372685183</v>
      </c>
      <c r="Q2700" s="77" t="s">
        <v>3712</v>
      </c>
      <c r="R2700" s="77">
        <v>0</v>
      </c>
      <c r="S2700" s="77">
        <v>23</v>
      </c>
      <c r="T2700" s="77">
        <v>2</v>
      </c>
      <c r="U2700" s="77">
        <v>0</v>
      </c>
      <c r="V2700" s="77">
        <v>4790</v>
      </c>
      <c r="W2700" s="82" t="s">
        <v>5779</v>
      </c>
      <c r="X2700" s="77"/>
      <c r="Y2700" s="77"/>
      <c r="Z2700" s="77"/>
      <c r="AA2700" s="77" t="s">
        <v>7615</v>
      </c>
      <c r="AB2700" s="77" t="s">
        <v>7697</v>
      </c>
      <c r="AC2700" s="82" t="s">
        <v>7705</v>
      </c>
      <c r="AD2700" s="77" t="s">
        <v>7745</v>
      </c>
      <c r="AE2700" s="80" t="str">
        <f>HYPERLINK("https://twitter.com/b3_oficial/status/1626339089204056069")</f>
        <v>https://twitter.com/b3_oficial/status/1626339089204056069</v>
      </c>
      <c r="AF2700" s="79">
        <v>44973.912372685183</v>
      </c>
      <c r="AG2700" s="85">
        <v>44973</v>
      </c>
      <c r="AH2700" s="82" t="s">
        <v>10185</v>
      </c>
      <c r="AI2700" s="77" t="b">
        <v>0</v>
      </c>
      <c r="AJ2700" s="77"/>
      <c r="AK2700" s="77"/>
      <c r="AL2700" s="77"/>
      <c r="AM2700" s="77"/>
      <c r="AN2700" s="77"/>
      <c r="AO2700" s="77"/>
      <c r="AP2700" s="77"/>
      <c r="AQ2700" s="77" t="s">
        <v>12121</v>
      </c>
      <c r="AR2700" s="77">
        <v>71571</v>
      </c>
      <c r="AS2700" s="77"/>
      <c r="AT2700" s="77"/>
      <c r="AU2700" s="77">
        <v>1238</v>
      </c>
      <c r="AV2700" s="80" t="str">
        <f>HYPERLINK("https://pbs.twimg.com/ext_tw_video_thumb/1626338988062658560/pu/img/Pf6qDqtG1KOvxkJ-.jpg")</f>
        <v>https://pbs.twimg.com/ext_tw_video_thumb/1626338988062658560/pu/img/Pf6qDqtG1KOvxkJ-.jpg</v>
      </c>
      <c r="AW2700" s="82" t="s">
        <v>14855</v>
      </c>
      <c r="AX2700" s="82" t="s">
        <v>14855</v>
      </c>
      <c r="AY2700" s="77"/>
      <c r="AZ2700" s="82" t="s">
        <v>15804</v>
      </c>
      <c r="BA2700" s="82" t="s">
        <v>15804</v>
      </c>
      <c r="BB2700" s="82" t="s">
        <v>15804</v>
      </c>
      <c r="BC2700" s="82" t="s">
        <v>14855</v>
      </c>
      <c r="BD2700" s="77">
        <v>74550038</v>
      </c>
      <c r="BE2700" s="77"/>
      <c r="BF2700" s="77"/>
      <c r="BG2700" s="77"/>
      <c r="BH2700" s="77"/>
      <c r="BI2700" s="77"/>
    </row>
    <row r="2701" spans="1:61" x14ac:dyDescent="0.25">
      <c r="A2701" s="62" t="s">
        <v>734</v>
      </c>
      <c r="B2701" s="62" t="s">
        <v>734</v>
      </c>
      <c r="C2701" s="63"/>
      <c r="D2701" s="64"/>
      <c r="E2701" s="65"/>
      <c r="F2701" s="66"/>
      <c r="G2701" s="63"/>
      <c r="H2701" s="67"/>
      <c r="I2701" s="68"/>
      <c r="J2701" s="68"/>
      <c r="K2701" s="32"/>
      <c r="L2701" s="75">
        <v>2701</v>
      </c>
      <c r="M2701" s="75"/>
      <c r="N2701" s="70"/>
      <c r="O2701" s="77" t="s">
        <v>1132</v>
      </c>
      <c r="P2701" s="79">
        <v>45083.897048611114</v>
      </c>
      <c r="Q2701" s="77" t="s">
        <v>3713</v>
      </c>
      <c r="R2701" s="77">
        <v>0</v>
      </c>
      <c r="S2701" s="77">
        <v>3</v>
      </c>
      <c r="T2701" s="77">
        <v>0</v>
      </c>
      <c r="U2701" s="77">
        <v>0</v>
      </c>
      <c r="V2701" s="77">
        <v>2359</v>
      </c>
      <c r="W2701" s="82" t="s">
        <v>5780</v>
      </c>
      <c r="X2701" s="77"/>
      <c r="Y2701" s="77"/>
      <c r="Z2701" s="77"/>
      <c r="AA2701" s="77"/>
      <c r="AB2701" s="77"/>
      <c r="AC2701" s="82" t="s">
        <v>7706</v>
      </c>
      <c r="AD2701" s="77" t="s">
        <v>7745</v>
      </c>
      <c r="AE2701" s="80" t="str">
        <f>HYPERLINK("https://twitter.com/b3_oficial/status/1666196201589428224")</f>
        <v>https://twitter.com/b3_oficial/status/1666196201589428224</v>
      </c>
      <c r="AF2701" s="79">
        <v>45083.897048611114</v>
      </c>
      <c r="AG2701" s="85">
        <v>45083</v>
      </c>
      <c r="AH2701" s="82" t="s">
        <v>10186</v>
      </c>
      <c r="AI2701" s="77"/>
      <c r="AJ2701" s="77"/>
      <c r="AK2701" s="77"/>
      <c r="AL2701" s="77"/>
      <c r="AM2701" s="77"/>
      <c r="AN2701" s="77"/>
      <c r="AO2701" s="77"/>
      <c r="AP2701" s="77"/>
      <c r="AQ2701" s="77"/>
      <c r="AR2701" s="77"/>
      <c r="AS2701" s="77"/>
      <c r="AT2701" s="77"/>
      <c r="AU2701" s="77"/>
      <c r="AV2701" s="80" t="str">
        <f>HYPERLINK("https://pbs.twimg.com/profile_images/1505968327499436049/Ivkcir3F_normal.jpg")</f>
        <v>https://pbs.twimg.com/profile_images/1505968327499436049/Ivkcir3F_normal.jpg</v>
      </c>
      <c r="AW2701" s="82" t="s">
        <v>14856</v>
      </c>
      <c r="AX2701" s="82" t="s">
        <v>15657</v>
      </c>
      <c r="AY2701" s="82" t="s">
        <v>15797</v>
      </c>
      <c r="AZ2701" s="82" t="s">
        <v>15657</v>
      </c>
      <c r="BA2701" s="82" t="s">
        <v>15804</v>
      </c>
      <c r="BB2701" s="82" t="s">
        <v>15804</v>
      </c>
      <c r="BC2701" s="82" t="s">
        <v>15657</v>
      </c>
      <c r="BD2701" s="77">
        <v>74550038</v>
      </c>
      <c r="BE2701" s="77"/>
      <c r="BF2701" s="77"/>
      <c r="BG2701" s="77"/>
      <c r="BH2701" s="77"/>
      <c r="BI2701" s="77"/>
    </row>
    <row r="2702" spans="1:61" x14ac:dyDescent="0.25">
      <c r="A2702" s="62" t="s">
        <v>734</v>
      </c>
      <c r="B2702" s="62" t="s">
        <v>734</v>
      </c>
      <c r="C2702" s="63"/>
      <c r="D2702" s="64"/>
      <c r="E2702" s="65"/>
      <c r="F2702" s="66"/>
      <c r="G2702" s="63"/>
      <c r="H2702" s="67"/>
      <c r="I2702" s="68"/>
      <c r="J2702" s="68"/>
      <c r="K2702" s="32"/>
      <c r="L2702" s="75">
        <v>2702</v>
      </c>
      <c r="M2702" s="75"/>
      <c r="N2702" s="70"/>
      <c r="O2702" s="77" t="s">
        <v>1132</v>
      </c>
      <c r="P2702" s="79">
        <v>45082.950937499998</v>
      </c>
      <c r="Q2702" s="77" t="s">
        <v>3714</v>
      </c>
      <c r="R2702" s="77">
        <v>0</v>
      </c>
      <c r="S2702" s="77">
        <v>3</v>
      </c>
      <c r="T2702" s="77">
        <v>0</v>
      </c>
      <c r="U2702" s="77">
        <v>0</v>
      </c>
      <c r="V2702" s="77">
        <v>2722</v>
      </c>
      <c r="W2702" s="82" t="s">
        <v>5743</v>
      </c>
      <c r="X2702" s="77"/>
      <c r="Y2702" s="77"/>
      <c r="Z2702" s="77"/>
      <c r="AA2702" s="77"/>
      <c r="AB2702" s="77"/>
      <c r="AC2702" s="82" t="s">
        <v>7706</v>
      </c>
      <c r="AD2702" s="77" t="s">
        <v>7745</v>
      </c>
      <c r="AE2702" s="80" t="str">
        <f>HYPERLINK("https://twitter.com/b3_oficial/status/1665853340847161344")</f>
        <v>https://twitter.com/b3_oficial/status/1665853340847161344</v>
      </c>
      <c r="AF2702" s="79">
        <v>45082.950937499998</v>
      </c>
      <c r="AG2702" s="85">
        <v>45082</v>
      </c>
      <c r="AH2702" s="82" t="s">
        <v>10187</v>
      </c>
      <c r="AI2702" s="77"/>
      <c r="AJ2702" s="77"/>
      <c r="AK2702" s="77"/>
      <c r="AL2702" s="77"/>
      <c r="AM2702" s="77"/>
      <c r="AN2702" s="77"/>
      <c r="AO2702" s="77"/>
      <c r="AP2702" s="77"/>
      <c r="AQ2702" s="77"/>
      <c r="AR2702" s="77"/>
      <c r="AS2702" s="77"/>
      <c r="AT2702" s="77"/>
      <c r="AU2702" s="77"/>
      <c r="AV2702" s="80" t="str">
        <f>HYPERLINK("https://pbs.twimg.com/profile_images/1505968327499436049/Ivkcir3F_normal.jpg")</f>
        <v>https://pbs.twimg.com/profile_images/1505968327499436049/Ivkcir3F_normal.jpg</v>
      </c>
      <c r="AW2702" s="82" t="s">
        <v>14857</v>
      </c>
      <c r="AX2702" s="82" t="s">
        <v>15658</v>
      </c>
      <c r="AY2702" s="82" t="s">
        <v>15797</v>
      </c>
      <c r="AZ2702" s="82" t="s">
        <v>15658</v>
      </c>
      <c r="BA2702" s="82" t="s">
        <v>15804</v>
      </c>
      <c r="BB2702" s="82" t="s">
        <v>15804</v>
      </c>
      <c r="BC2702" s="82" t="s">
        <v>15658</v>
      </c>
      <c r="BD2702" s="77">
        <v>74550038</v>
      </c>
      <c r="BE2702" s="77"/>
      <c r="BF2702" s="77"/>
      <c r="BG2702" s="77"/>
      <c r="BH2702" s="77"/>
      <c r="BI2702" s="77"/>
    </row>
    <row r="2703" spans="1:61" x14ac:dyDescent="0.25">
      <c r="A2703" s="62" t="s">
        <v>734</v>
      </c>
      <c r="B2703" s="62" t="s">
        <v>734</v>
      </c>
      <c r="C2703" s="63"/>
      <c r="D2703" s="64"/>
      <c r="E2703" s="65"/>
      <c r="F2703" s="66"/>
      <c r="G2703" s="63"/>
      <c r="H2703" s="67"/>
      <c r="I2703" s="68"/>
      <c r="J2703" s="68"/>
      <c r="K2703" s="32"/>
      <c r="L2703" s="75">
        <v>2703</v>
      </c>
      <c r="M2703" s="75"/>
      <c r="N2703" s="70"/>
      <c r="O2703" s="77" t="s">
        <v>1132</v>
      </c>
      <c r="P2703" s="79">
        <v>45068.95653935185</v>
      </c>
      <c r="Q2703" s="77" t="s">
        <v>3715</v>
      </c>
      <c r="R2703" s="77">
        <v>0</v>
      </c>
      <c r="S2703" s="77">
        <v>4</v>
      </c>
      <c r="T2703" s="77">
        <v>0</v>
      </c>
      <c r="U2703" s="77">
        <v>0</v>
      </c>
      <c r="V2703" s="77">
        <v>2697</v>
      </c>
      <c r="W2703" s="82" t="s">
        <v>5759</v>
      </c>
      <c r="X2703" s="77"/>
      <c r="Y2703" s="77"/>
      <c r="Z2703" s="77"/>
      <c r="AA2703" s="77"/>
      <c r="AB2703" s="77"/>
      <c r="AC2703" s="82" t="s">
        <v>7706</v>
      </c>
      <c r="AD2703" s="77" t="s">
        <v>7745</v>
      </c>
      <c r="AE2703" s="80" t="str">
        <f>HYPERLINK("https://twitter.com/b3_oficial/status/1660781943464550400")</f>
        <v>https://twitter.com/b3_oficial/status/1660781943464550400</v>
      </c>
      <c r="AF2703" s="79">
        <v>45068.95653935185</v>
      </c>
      <c r="AG2703" s="85">
        <v>45068</v>
      </c>
      <c r="AH2703" s="82" t="s">
        <v>10188</v>
      </c>
      <c r="AI2703" s="77"/>
      <c r="AJ2703" s="77"/>
      <c r="AK2703" s="77"/>
      <c r="AL2703" s="77"/>
      <c r="AM2703" s="77"/>
      <c r="AN2703" s="77"/>
      <c r="AO2703" s="77"/>
      <c r="AP2703" s="77"/>
      <c r="AQ2703" s="77"/>
      <c r="AR2703" s="77"/>
      <c r="AS2703" s="77"/>
      <c r="AT2703" s="77"/>
      <c r="AU2703" s="77"/>
      <c r="AV2703" s="80" t="str">
        <f>HYPERLINK("https://pbs.twimg.com/profile_images/1505968327499436049/Ivkcir3F_normal.jpg")</f>
        <v>https://pbs.twimg.com/profile_images/1505968327499436049/Ivkcir3F_normal.jpg</v>
      </c>
      <c r="AW2703" s="82" t="s">
        <v>14858</v>
      </c>
      <c r="AX2703" s="82" t="s">
        <v>15659</v>
      </c>
      <c r="AY2703" s="82" t="s">
        <v>15797</v>
      </c>
      <c r="AZ2703" s="82" t="s">
        <v>15659</v>
      </c>
      <c r="BA2703" s="82" t="s">
        <v>15804</v>
      </c>
      <c r="BB2703" s="82" t="s">
        <v>15804</v>
      </c>
      <c r="BC2703" s="82" t="s">
        <v>15659</v>
      </c>
      <c r="BD2703" s="77">
        <v>74550038</v>
      </c>
      <c r="BE2703" s="77"/>
      <c r="BF2703" s="77"/>
      <c r="BG2703" s="77"/>
      <c r="BH2703" s="77"/>
      <c r="BI2703" s="77"/>
    </row>
    <row r="2704" spans="1:61" x14ac:dyDescent="0.25">
      <c r="A2704" s="62" t="s">
        <v>734</v>
      </c>
      <c r="B2704" s="62" t="s">
        <v>734</v>
      </c>
      <c r="C2704" s="63"/>
      <c r="D2704" s="64"/>
      <c r="E2704" s="65"/>
      <c r="F2704" s="66"/>
      <c r="G2704" s="63"/>
      <c r="H2704" s="67"/>
      <c r="I2704" s="68"/>
      <c r="J2704" s="68"/>
      <c r="K2704" s="32"/>
      <c r="L2704" s="75">
        <v>2704</v>
      </c>
      <c r="M2704" s="75"/>
      <c r="N2704" s="70"/>
      <c r="O2704" s="77" t="s">
        <v>1132</v>
      </c>
      <c r="P2704" s="79">
        <v>45065.950833333336</v>
      </c>
      <c r="Q2704" s="77" t="s">
        <v>3716</v>
      </c>
      <c r="R2704" s="77">
        <v>0</v>
      </c>
      <c r="S2704" s="77">
        <v>1</v>
      </c>
      <c r="T2704" s="77">
        <v>0</v>
      </c>
      <c r="U2704" s="77">
        <v>0</v>
      </c>
      <c r="V2704" s="77">
        <v>2806</v>
      </c>
      <c r="W2704" s="82" t="s">
        <v>5740</v>
      </c>
      <c r="X2704" s="77"/>
      <c r="Y2704" s="77"/>
      <c r="Z2704" s="77"/>
      <c r="AA2704" s="77"/>
      <c r="AB2704" s="77"/>
      <c r="AC2704" s="82" t="s">
        <v>7706</v>
      </c>
      <c r="AD2704" s="77" t="s">
        <v>7745</v>
      </c>
      <c r="AE2704" s="80" t="str">
        <f>HYPERLINK("https://twitter.com/b3_oficial/status/1659692711723831297")</f>
        <v>https://twitter.com/b3_oficial/status/1659692711723831297</v>
      </c>
      <c r="AF2704" s="79">
        <v>45065.950833333336</v>
      </c>
      <c r="AG2704" s="85">
        <v>45065</v>
      </c>
      <c r="AH2704" s="82" t="s">
        <v>10189</v>
      </c>
      <c r="AI2704" s="77"/>
      <c r="AJ2704" s="77"/>
      <c r="AK2704" s="77"/>
      <c r="AL2704" s="77"/>
      <c r="AM2704" s="77"/>
      <c r="AN2704" s="77"/>
      <c r="AO2704" s="77"/>
      <c r="AP2704" s="77"/>
      <c r="AQ2704" s="77"/>
      <c r="AR2704" s="77"/>
      <c r="AS2704" s="77"/>
      <c r="AT2704" s="77"/>
      <c r="AU2704" s="77"/>
      <c r="AV2704" s="80" t="str">
        <f>HYPERLINK("https://pbs.twimg.com/profile_images/1505968327499436049/Ivkcir3F_normal.jpg")</f>
        <v>https://pbs.twimg.com/profile_images/1505968327499436049/Ivkcir3F_normal.jpg</v>
      </c>
      <c r="AW2704" s="82" t="s">
        <v>14859</v>
      </c>
      <c r="AX2704" s="82" t="s">
        <v>15660</v>
      </c>
      <c r="AY2704" s="82" t="s">
        <v>15797</v>
      </c>
      <c r="AZ2704" s="82" t="s">
        <v>15660</v>
      </c>
      <c r="BA2704" s="82" t="s">
        <v>15804</v>
      </c>
      <c r="BB2704" s="82" t="s">
        <v>15804</v>
      </c>
      <c r="BC2704" s="82" t="s">
        <v>15660</v>
      </c>
      <c r="BD2704" s="77">
        <v>74550038</v>
      </c>
      <c r="BE2704" s="77"/>
      <c r="BF2704" s="77"/>
      <c r="BG2704" s="77"/>
      <c r="BH2704" s="77"/>
      <c r="BI2704" s="77"/>
    </row>
    <row r="2705" spans="1:61" x14ac:dyDescent="0.25">
      <c r="A2705" s="62" t="s">
        <v>734</v>
      </c>
      <c r="B2705" s="62" t="s">
        <v>734</v>
      </c>
      <c r="C2705" s="63"/>
      <c r="D2705" s="64"/>
      <c r="E2705" s="65"/>
      <c r="F2705" s="66"/>
      <c r="G2705" s="63"/>
      <c r="H2705" s="67"/>
      <c r="I2705" s="68"/>
      <c r="J2705" s="68"/>
      <c r="K2705" s="32"/>
      <c r="L2705" s="75">
        <v>2705</v>
      </c>
      <c r="M2705" s="75"/>
      <c r="N2705" s="70"/>
      <c r="O2705" s="77" t="s">
        <v>1132</v>
      </c>
      <c r="P2705" s="79">
        <v>45064.940601851849</v>
      </c>
      <c r="Q2705" s="77" t="s">
        <v>3717</v>
      </c>
      <c r="R2705" s="77">
        <v>0</v>
      </c>
      <c r="S2705" s="77">
        <v>2</v>
      </c>
      <c r="T2705" s="77">
        <v>0</v>
      </c>
      <c r="U2705" s="77">
        <v>0</v>
      </c>
      <c r="V2705" s="77">
        <v>2736</v>
      </c>
      <c r="W2705" s="82" t="s">
        <v>5781</v>
      </c>
      <c r="X2705" s="77"/>
      <c r="Y2705" s="77"/>
      <c r="Z2705" s="77"/>
      <c r="AA2705" s="77"/>
      <c r="AB2705" s="77"/>
      <c r="AC2705" s="82" t="s">
        <v>7706</v>
      </c>
      <c r="AD2705" s="77" t="s">
        <v>7745</v>
      </c>
      <c r="AE2705" s="80" t="str">
        <f>HYPERLINK("https://twitter.com/b3_oficial/status/1659326614201683968")</f>
        <v>https://twitter.com/b3_oficial/status/1659326614201683968</v>
      </c>
      <c r="AF2705" s="79">
        <v>45064.940601851849</v>
      </c>
      <c r="AG2705" s="85">
        <v>45064</v>
      </c>
      <c r="AH2705" s="82" t="s">
        <v>10190</v>
      </c>
      <c r="AI2705" s="77"/>
      <c r="AJ2705" s="77"/>
      <c r="AK2705" s="77"/>
      <c r="AL2705" s="77"/>
      <c r="AM2705" s="77"/>
      <c r="AN2705" s="77"/>
      <c r="AO2705" s="77"/>
      <c r="AP2705" s="77"/>
      <c r="AQ2705" s="77"/>
      <c r="AR2705" s="77"/>
      <c r="AS2705" s="77"/>
      <c r="AT2705" s="77"/>
      <c r="AU2705" s="77"/>
      <c r="AV2705" s="80" t="str">
        <f>HYPERLINK("https://pbs.twimg.com/profile_images/1505968327499436049/Ivkcir3F_normal.jpg")</f>
        <v>https://pbs.twimg.com/profile_images/1505968327499436049/Ivkcir3F_normal.jpg</v>
      </c>
      <c r="AW2705" s="82" t="s">
        <v>14860</v>
      </c>
      <c r="AX2705" s="82" t="s">
        <v>15661</v>
      </c>
      <c r="AY2705" s="82" t="s">
        <v>15797</v>
      </c>
      <c r="AZ2705" s="82" t="s">
        <v>15661</v>
      </c>
      <c r="BA2705" s="82" t="s">
        <v>15804</v>
      </c>
      <c r="BB2705" s="82" t="s">
        <v>15804</v>
      </c>
      <c r="BC2705" s="82" t="s">
        <v>15661</v>
      </c>
      <c r="BD2705" s="77">
        <v>74550038</v>
      </c>
      <c r="BE2705" s="77"/>
      <c r="BF2705" s="77"/>
      <c r="BG2705" s="77"/>
      <c r="BH2705" s="77"/>
      <c r="BI2705" s="77"/>
    </row>
    <row r="2706" spans="1:61" x14ac:dyDescent="0.25">
      <c r="A2706" s="62" t="s">
        <v>734</v>
      </c>
      <c r="B2706" s="62" t="s">
        <v>734</v>
      </c>
      <c r="C2706" s="63"/>
      <c r="D2706" s="64"/>
      <c r="E2706" s="65"/>
      <c r="F2706" s="66"/>
      <c r="G2706" s="63"/>
      <c r="H2706" s="67"/>
      <c r="I2706" s="68"/>
      <c r="J2706" s="68"/>
      <c r="K2706" s="32"/>
      <c r="L2706" s="75">
        <v>2706</v>
      </c>
      <c r="M2706" s="75"/>
      <c r="N2706" s="70"/>
      <c r="O2706" s="77" t="s">
        <v>179</v>
      </c>
      <c r="P2706" s="79">
        <v>45026.919212962966</v>
      </c>
      <c r="Q2706" s="77" t="s">
        <v>3718</v>
      </c>
      <c r="R2706" s="77">
        <v>2</v>
      </c>
      <c r="S2706" s="77">
        <v>11</v>
      </c>
      <c r="T2706" s="77">
        <v>1</v>
      </c>
      <c r="U2706" s="77">
        <v>0</v>
      </c>
      <c r="V2706" s="77">
        <v>3760</v>
      </c>
      <c r="W2706" s="82" t="s">
        <v>5782</v>
      </c>
      <c r="X2706" s="77"/>
      <c r="Y2706" s="77"/>
      <c r="Z2706" s="77"/>
      <c r="AA2706" s="77" t="s">
        <v>7616</v>
      </c>
      <c r="AB2706" s="77" t="s">
        <v>7697</v>
      </c>
      <c r="AC2706" s="82" t="s">
        <v>7705</v>
      </c>
      <c r="AD2706" s="77" t="s">
        <v>7745</v>
      </c>
      <c r="AE2706" s="80" t="str">
        <f>HYPERLINK("https://twitter.com/b3_oficial/status/1645548125019418624")</f>
        <v>https://twitter.com/b3_oficial/status/1645548125019418624</v>
      </c>
      <c r="AF2706" s="79">
        <v>45026.919212962966</v>
      </c>
      <c r="AG2706" s="85">
        <v>45026</v>
      </c>
      <c r="AH2706" s="82" t="s">
        <v>10191</v>
      </c>
      <c r="AI2706" s="77" t="b">
        <v>0</v>
      </c>
      <c r="AJ2706" s="77"/>
      <c r="AK2706" s="77"/>
      <c r="AL2706" s="77"/>
      <c r="AM2706" s="77"/>
      <c r="AN2706" s="77"/>
      <c r="AO2706" s="77"/>
      <c r="AP2706" s="77"/>
      <c r="AQ2706" s="77" t="s">
        <v>12122</v>
      </c>
      <c r="AR2706" s="77">
        <v>113613</v>
      </c>
      <c r="AS2706" s="77"/>
      <c r="AT2706" s="77"/>
      <c r="AU2706" s="77">
        <v>952</v>
      </c>
      <c r="AV2706" s="80" t="str">
        <f>HYPERLINK("https://pbs.twimg.com/ext_tw_video_thumb/1645547985982435329/pu/img/A04W_iWywv8yOMNw.jpg")</f>
        <v>https://pbs.twimg.com/ext_tw_video_thumb/1645547985982435329/pu/img/A04W_iWywv8yOMNw.jpg</v>
      </c>
      <c r="AW2706" s="82" t="s">
        <v>14861</v>
      </c>
      <c r="AX2706" s="82" t="s">
        <v>14861</v>
      </c>
      <c r="AY2706" s="77"/>
      <c r="AZ2706" s="82" t="s">
        <v>15804</v>
      </c>
      <c r="BA2706" s="82" t="s">
        <v>15804</v>
      </c>
      <c r="BB2706" s="82" t="s">
        <v>15804</v>
      </c>
      <c r="BC2706" s="82" t="s">
        <v>14861</v>
      </c>
      <c r="BD2706" s="77">
        <v>74550038</v>
      </c>
      <c r="BE2706" s="77"/>
      <c r="BF2706" s="77"/>
      <c r="BG2706" s="77"/>
      <c r="BH2706" s="77"/>
      <c r="BI2706" s="77"/>
    </row>
    <row r="2707" spans="1:61" x14ac:dyDescent="0.25">
      <c r="A2707" s="62" t="s">
        <v>734</v>
      </c>
      <c r="B2707" s="62" t="s">
        <v>734</v>
      </c>
      <c r="C2707" s="63"/>
      <c r="D2707" s="64"/>
      <c r="E2707" s="65"/>
      <c r="F2707" s="66"/>
      <c r="G2707" s="63"/>
      <c r="H2707" s="67"/>
      <c r="I2707" s="68"/>
      <c r="J2707" s="68"/>
      <c r="K2707" s="32"/>
      <c r="L2707" s="75">
        <v>2707</v>
      </c>
      <c r="M2707" s="75"/>
      <c r="N2707" s="70"/>
      <c r="O2707" s="77" t="s">
        <v>1132</v>
      </c>
      <c r="P2707" s="79">
        <v>45021.924351851849</v>
      </c>
      <c r="Q2707" s="77" t="s">
        <v>3719</v>
      </c>
      <c r="R2707" s="77">
        <v>0</v>
      </c>
      <c r="S2707" s="77">
        <v>4</v>
      </c>
      <c r="T2707" s="77">
        <v>0</v>
      </c>
      <c r="U2707" s="77">
        <v>0</v>
      </c>
      <c r="V2707" s="77">
        <v>2886</v>
      </c>
      <c r="W2707" s="82" t="s">
        <v>5783</v>
      </c>
      <c r="X2707" s="77"/>
      <c r="Y2707" s="77"/>
      <c r="Z2707" s="77"/>
      <c r="AA2707" s="77"/>
      <c r="AB2707" s="77"/>
      <c r="AC2707" s="82" t="s">
        <v>7706</v>
      </c>
      <c r="AD2707" s="77" t="s">
        <v>7745</v>
      </c>
      <c r="AE2707" s="80" t="str">
        <f>HYPERLINK("https://twitter.com/b3_oficial/status/1643738049719980032")</f>
        <v>https://twitter.com/b3_oficial/status/1643738049719980032</v>
      </c>
      <c r="AF2707" s="79">
        <v>45021.924351851849</v>
      </c>
      <c r="AG2707" s="85">
        <v>45021</v>
      </c>
      <c r="AH2707" s="82" t="s">
        <v>10192</v>
      </c>
      <c r="AI2707" s="77"/>
      <c r="AJ2707" s="77"/>
      <c r="AK2707" s="77"/>
      <c r="AL2707" s="77"/>
      <c r="AM2707" s="77"/>
      <c r="AN2707" s="77"/>
      <c r="AO2707" s="77"/>
      <c r="AP2707" s="77"/>
      <c r="AQ2707" s="77"/>
      <c r="AR2707" s="77"/>
      <c r="AS2707" s="77"/>
      <c r="AT2707" s="77"/>
      <c r="AU2707" s="77"/>
      <c r="AV2707" s="80" t="str">
        <f>HYPERLINK("https://pbs.twimg.com/profile_images/1505968327499436049/Ivkcir3F_normal.jpg")</f>
        <v>https://pbs.twimg.com/profile_images/1505968327499436049/Ivkcir3F_normal.jpg</v>
      </c>
      <c r="AW2707" s="82" t="s">
        <v>14862</v>
      </c>
      <c r="AX2707" s="82" t="s">
        <v>15662</v>
      </c>
      <c r="AY2707" s="82" t="s">
        <v>15797</v>
      </c>
      <c r="AZ2707" s="82" t="s">
        <v>15662</v>
      </c>
      <c r="BA2707" s="82" t="s">
        <v>15804</v>
      </c>
      <c r="BB2707" s="82" t="s">
        <v>15804</v>
      </c>
      <c r="BC2707" s="82" t="s">
        <v>15662</v>
      </c>
      <c r="BD2707" s="77">
        <v>74550038</v>
      </c>
      <c r="BE2707" s="77"/>
      <c r="BF2707" s="77"/>
      <c r="BG2707" s="77"/>
      <c r="BH2707" s="77"/>
      <c r="BI2707" s="77"/>
    </row>
    <row r="2708" spans="1:61" x14ac:dyDescent="0.25">
      <c r="A2708" s="62" t="s">
        <v>734</v>
      </c>
      <c r="B2708" s="62" t="s">
        <v>734</v>
      </c>
      <c r="C2708" s="63"/>
      <c r="D2708" s="64"/>
      <c r="E2708" s="65"/>
      <c r="F2708" s="66"/>
      <c r="G2708" s="63"/>
      <c r="H2708" s="67"/>
      <c r="I2708" s="68"/>
      <c r="J2708" s="68"/>
      <c r="K2708" s="32"/>
      <c r="L2708" s="75">
        <v>2708</v>
      </c>
      <c r="M2708" s="75"/>
      <c r="N2708" s="70"/>
      <c r="O2708" s="77" t="s">
        <v>179</v>
      </c>
      <c r="P2708" s="79">
        <v>44971.946006944447</v>
      </c>
      <c r="Q2708" s="77" t="s">
        <v>3720</v>
      </c>
      <c r="R2708" s="77">
        <v>1</v>
      </c>
      <c r="S2708" s="77">
        <v>21</v>
      </c>
      <c r="T2708" s="77">
        <v>1</v>
      </c>
      <c r="U2708" s="77">
        <v>0</v>
      </c>
      <c r="V2708" s="77">
        <v>7743</v>
      </c>
      <c r="W2708" s="82" t="s">
        <v>5784</v>
      </c>
      <c r="X2708" s="77"/>
      <c r="Y2708" s="77"/>
      <c r="Z2708" s="77"/>
      <c r="AA2708" s="77" t="s">
        <v>7617</v>
      </c>
      <c r="AB2708" s="77" t="s">
        <v>7697</v>
      </c>
      <c r="AC2708" s="82" t="s">
        <v>7705</v>
      </c>
      <c r="AD2708" s="77" t="s">
        <v>7745</v>
      </c>
      <c r="AE2708" s="80" t="str">
        <f>HYPERLINK("https://twitter.com/b3_oficial/status/1625626502011269121")</f>
        <v>https://twitter.com/b3_oficial/status/1625626502011269121</v>
      </c>
      <c r="AF2708" s="79">
        <v>44971.946006944447</v>
      </c>
      <c r="AG2708" s="85">
        <v>44971</v>
      </c>
      <c r="AH2708" s="82" t="s">
        <v>10193</v>
      </c>
      <c r="AI2708" s="77" t="b">
        <v>0</v>
      </c>
      <c r="AJ2708" s="77"/>
      <c r="AK2708" s="77"/>
      <c r="AL2708" s="77"/>
      <c r="AM2708" s="77"/>
      <c r="AN2708" s="77"/>
      <c r="AO2708" s="77"/>
      <c r="AP2708" s="77"/>
      <c r="AQ2708" s="77" t="s">
        <v>12123</v>
      </c>
      <c r="AR2708" s="77">
        <v>62561</v>
      </c>
      <c r="AS2708" s="77"/>
      <c r="AT2708" s="77"/>
      <c r="AU2708" s="77">
        <v>1881</v>
      </c>
      <c r="AV2708" s="80" t="str">
        <f>HYPERLINK("https://pbs.twimg.com/ext_tw_video_thumb/1625625125121933312/pu/img/CQanUVY5x5UrN6D-.jpg")</f>
        <v>https://pbs.twimg.com/ext_tw_video_thumb/1625625125121933312/pu/img/CQanUVY5x5UrN6D-.jpg</v>
      </c>
      <c r="AW2708" s="82" t="s">
        <v>14863</v>
      </c>
      <c r="AX2708" s="82" t="s">
        <v>14863</v>
      </c>
      <c r="AY2708" s="77"/>
      <c r="AZ2708" s="82" t="s">
        <v>15804</v>
      </c>
      <c r="BA2708" s="82" t="s">
        <v>15804</v>
      </c>
      <c r="BB2708" s="82" t="s">
        <v>15804</v>
      </c>
      <c r="BC2708" s="82" t="s">
        <v>14863</v>
      </c>
      <c r="BD2708" s="77">
        <v>74550038</v>
      </c>
      <c r="BE2708" s="77"/>
      <c r="BF2708" s="77"/>
      <c r="BG2708" s="77"/>
      <c r="BH2708" s="77"/>
      <c r="BI2708" s="77"/>
    </row>
    <row r="2709" spans="1:61" x14ac:dyDescent="0.25">
      <c r="A2709" s="62" t="s">
        <v>734</v>
      </c>
      <c r="B2709" s="62" t="s">
        <v>734</v>
      </c>
      <c r="C2709" s="63"/>
      <c r="D2709" s="64"/>
      <c r="E2709" s="65"/>
      <c r="F2709" s="66"/>
      <c r="G2709" s="63"/>
      <c r="H2709" s="67"/>
      <c r="I2709" s="68"/>
      <c r="J2709" s="68"/>
      <c r="K2709" s="32"/>
      <c r="L2709" s="75">
        <v>2709</v>
      </c>
      <c r="M2709" s="75"/>
      <c r="N2709" s="70"/>
      <c r="O2709" s="77" t="s">
        <v>179</v>
      </c>
      <c r="P2709" s="79">
        <v>44970.951666666668</v>
      </c>
      <c r="Q2709" s="77" t="s">
        <v>3721</v>
      </c>
      <c r="R2709" s="77">
        <v>3</v>
      </c>
      <c r="S2709" s="77">
        <v>19</v>
      </c>
      <c r="T2709" s="77">
        <v>4</v>
      </c>
      <c r="U2709" s="77">
        <v>1</v>
      </c>
      <c r="V2709" s="77">
        <v>4943</v>
      </c>
      <c r="W2709" s="82" t="s">
        <v>5782</v>
      </c>
      <c r="X2709" s="77"/>
      <c r="Y2709" s="77"/>
      <c r="Z2709" s="77"/>
      <c r="AA2709" s="77" t="s">
        <v>7618</v>
      </c>
      <c r="AB2709" s="77" t="s">
        <v>7697</v>
      </c>
      <c r="AC2709" s="82" t="s">
        <v>7705</v>
      </c>
      <c r="AD2709" s="77" t="s">
        <v>7745</v>
      </c>
      <c r="AE2709" s="80" t="str">
        <f>HYPERLINK("https://twitter.com/b3_oficial/status/1625266164476612614")</f>
        <v>https://twitter.com/b3_oficial/status/1625266164476612614</v>
      </c>
      <c r="AF2709" s="79">
        <v>44970.951666666668</v>
      </c>
      <c r="AG2709" s="85">
        <v>44970</v>
      </c>
      <c r="AH2709" s="82" t="s">
        <v>10194</v>
      </c>
      <c r="AI2709" s="77" t="b">
        <v>0</v>
      </c>
      <c r="AJ2709" s="77"/>
      <c r="AK2709" s="77"/>
      <c r="AL2709" s="77"/>
      <c r="AM2709" s="77"/>
      <c r="AN2709" s="77"/>
      <c r="AO2709" s="77"/>
      <c r="AP2709" s="77"/>
      <c r="AQ2709" s="77" t="s">
        <v>12124</v>
      </c>
      <c r="AR2709" s="77">
        <v>83350</v>
      </c>
      <c r="AS2709" s="77"/>
      <c r="AT2709" s="77"/>
      <c r="AU2709" s="77">
        <v>1184</v>
      </c>
      <c r="AV2709" s="80" t="str">
        <f>HYPERLINK("https://pbs.twimg.com/ext_tw_video_thumb/1625266021413097472/pu/img/8wSfcmM9XJrrecqL.jpg")</f>
        <v>https://pbs.twimg.com/ext_tw_video_thumb/1625266021413097472/pu/img/8wSfcmM9XJrrecqL.jpg</v>
      </c>
      <c r="AW2709" s="82" t="s">
        <v>14864</v>
      </c>
      <c r="AX2709" s="82" t="s">
        <v>14864</v>
      </c>
      <c r="AY2709" s="77"/>
      <c r="AZ2709" s="82" t="s">
        <v>15804</v>
      </c>
      <c r="BA2709" s="82" t="s">
        <v>15804</v>
      </c>
      <c r="BB2709" s="82" t="s">
        <v>15804</v>
      </c>
      <c r="BC2709" s="82" t="s">
        <v>14864</v>
      </c>
      <c r="BD2709" s="77">
        <v>74550038</v>
      </c>
      <c r="BE2709" s="77"/>
      <c r="BF2709" s="77"/>
      <c r="BG2709" s="77"/>
      <c r="BH2709" s="77"/>
      <c r="BI2709" s="77"/>
    </row>
    <row r="2710" spans="1:61" x14ac:dyDescent="0.25">
      <c r="A2710" s="62" t="s">
        <v>734</v>
      </c>
      <c r="B2710" s="62" t="s">
        <v>734</v>
      </c>
      <c r="C2710" s="63"/>
      <c r="D2710" s="64"/>
      <c r="E2710" s="65"/>
      <c r="F2710" s="66"/>
      <c r="G2710" s="63"/>
      <c r="H2710" s="67"/>
      <c r="I2710" s="68"/>
      <c r="J2710" s="68"/>
      <c r="K2710" s="32"/>
      <c r="L2710" s="75">
        <v>2710</v>
      </c>
      <c r="M2710" s="75"/>
      <c r="N2710" s="70"/>
      <c r="O2710" s="77" t="s">
        <v>179</v>
      </c>
      <c r="P2710" s="79">
        <v>44967.973761574074</v>
      </c>
      <c r="Q2710" s="77" t="s">
        <v>3722</v>
      </c>
      <c r="R2710" s="77">
        <v>1</v>
      </c>
      <c r="S2710" s="77">
        <v>20</v>
      </c>
      <c r="T2710" s="77">
        <v>0</v>
      </c>
      <c r="U2710" s="77">
        <v>0</v>
      </c>
      <c r="V2710" s="77">
        <v>4653</v>
      </c>
      <c r="W2710" s="82" t="s">
        <v>5746</v>
      </c>
      <c r="X2710" s="77"/>
      <c r="Y2710" s="77"/>
      <c r="Z2710" s="77"/>
      <c r="AA2710" s="77" t="s">
        <v>7619</v>
      </c>
      <c r="AB2710" s="77" t="s">
        <v>7697</v>
      </c>
      <c r="AC2710" s="82" t="s">
        <v>7705</v>
      </c>
      <c r="AD2710" s="77" t="s">
        <v>7745</v>
      </c>
      <c r="AE2710" s="80" t="str">
        <f>HYPERLINK("https://twitter.com/b3_oficial/status/1624187007990726656")</f>
        <v>https://twitter.com/b3_oficial/status/1624187007990726656</v>
      </c>
      <c r="AF2710" s="79">
        <v>44967.973761574074</v>
      </c>
      <c r="AG2710" s="85">
        <v>44967</v>
      </c>
      <c r="AH2710" s="82" t="s">
        <v>10195</v>
      </c>
      <c r="AI2710" s="77" t="b">
        <v>0</v>
      </c>
      <c r="AJ2710" s="77"/>
      <c r="AK2710" s="77"/>
      <c r="AL2710" s="77"/>
      <c r="AM2710" s="77"/>
      <c r="AN2710" s="77"/>
      <c r="AO2710" s="77"/>
      <c r="AP2710" s="77"/>
      <c r="AQ2710" s="77" t="s">
        <v>12125</v>
      </c>
      <c r="AR2710" s="77">
        <v>114448</v>
      </c>
      <c r="AS2710" s="77"/>
      <c r="AT2710" s="77"/>
      <c r="AU2710" s="77">
        <v>1232</v>
      </c>
      <c r="AV2710" s="80" t="str">
        <f>HYPERLINK("https://pbs.twimg.com/ext_tw_video_thumb/1624186885089140736/pu/img/nKfZ6I-zaRvekTnt.jpg")</f>
        <v>https://pbs.twimg.com/ext_tw_video_thumb/1624186885089140736/pu/img/nKfZ6I-zaRvekTnt.jpg</v>
      </c>
      <c r="AW2710" s="82" t="s">
        <v>14865</v>
      </c>
      <c r="AX2710" s="82" t="s">
        <v>14865</v>
      </c>
      <c r="AY2710" s="77"/>
      <c r="AZ2710" s="82" t="s">
        <v>15804</v>
      </c>
      <c r="BA2710" s="82" t="s">
        <v>15804</v>
      </c>
      <c r="BB2710" s="82" t="s">
        <v>15804</v>
      </c>
      <c r="BC2710" s="82" t="s">
        <v>14865</v>
      </c>
      <c r="BD2710" s="77">
        <v>74550038</v>
      </c>
      <c r="BE2710" s="77"/>
      <c r="BF2710" s="77"/>
      <c r="BG2710" s="77"/>
      <c r="BH2710" s="77"/>
      <c r="BI2710" s="77"/>
    </row>
    <row r="2711" spans="1:61" x14ac:dyDescent="0.25">
      <c r="A2711" s="62" t="s">
        <v>734</v>
      </c>
      <c r="B2711" s="62" t="s">
        <v>734</v>
      </c>
      <c r="C2711" s="63"/>
      <c r="D2711" s="64"/>
      <c r="E2711" s="65"/>
      <c r="F2711" s="66"/>
      <c r="G2711" s="63"/>
      <c r="H2711" s="67"/>
      <c r="I2711" s="68"/>
      <c r="J2711" s="68"/>
      <c r="K2711" s="32"/>
      <c r="L2711" s="75">
        <v>2711</v>
      </c>
      <c r="M2711" s="75"/>
      <c r="N2711" s="70"/>
      <c r="O2711" s="77" t="s">
        <v>179</v>
      </c>
      <c r="P2711" s="79">
        <v>44966.940324074072</v>
      </c>
      <c r="Q2711" s="77" t="s">
        <v>3723</v>
      </c>
      <c r="R2711" s="77">
        <v>2</v>
      </c>
      <c r="S2711" s="77">
        <v>19</v>
      </c>
      <c r="T2711" s="77">
        <v>1</v>
      </c>
      <c r="U2711" s="77">
        <v>0</v>
      </c>
      <c r="V2711" s="77">
        <v>5712</v>
      </c>
      <c r="W2711" s="82" t="s">
        <v>5746</v>
      </c>
      <c r="X2711" s="77"/>
      <c r="Y2711" s="77"/>
      <c r="Z2711" s="77"/>
      <c r="AA2711" s="77" t="s">
        <v>7620</v>
      </c>
      <c r="AB2711" s="77" t="s">
        <v>7697</v>
      </c>
      <c r="AC2711" s="82" t="s">
        <v>7705</v>
      </c>
      <c r="AD2711" s="77" t="s">
        <v>7745</v>
      </c>
      <c r="AE2711" s="80" t="str">
        <f>HYPERLINK("https://twitter.com/b3_oficial/status/1623812505620385801")</f>
        <v>https://twitter.com/b3_oficial/status/1623812505620385801</v>
      </c>
      <c r="AF2711" s="79">
        <v>44966.940324074072</v>
      </c>
      <c r="AG2711" s="85">
        <v>44966</v>
      </c>
      <c r="AH2711" s="82" t="s">
        <v>10196</v>
      </c>
      <c r="AI2711" s="77" t="b">
        <v>0</v>
      </c>
      <c r="AJ2711" s="77"/>
      <c r="AK2711" s="77"/>
      <c r="AL2711" s="77"/>
      <c r="AM2711" s="77"/>
      <c r="AN2711" s="77"/>
      <c r="AO2711" s="77"/>
      <c r="AP2711" s="77"/>
      <c r="AQ2711" s="77" t="s">
        <v>12126</v>
      </c>
      <c r="AR2711" s="77">
        <v>93993</v>
      </c>
      <c r="AS2711" s="77"/>
      <c r="AT2711" s="77"/>
      <c r="AU2711" s="77">
        <v>1534</v>
      </c>
      <c r="AV2711" s="80" t="str">
        <f>HYPERLINK("https://pbs.twimg.com/ext_tw_video_thumb/1623812367002787841/pu/img/gP3sKAw9Fh3g99es.jpg")</f>
        <v>https://pbs.twimg.com/ext_tw_video_thumb/1623812367002787841/pu/img/gP3sKAw9Fh3g99es.jpg</v>
      </c>
      <c r="AW2711" s="82" t="s">
        <v>14866</v>
      </c>
      <c r="AX2711" s="82" t="s">
        <v>14866</v>
      </c>
      <c r="AY2711" s="77"/>
      <c r="AZ2711" s="82" t="s">
        <v>15804</v>
      </c>
      <c r="BA2711" s="82" t="s">
        <v>15804</v>
      </c>
      <c r="BB2711" s="82" t="s">
        <v>15804</v>
      </c>
      <c r="BC2711" s="82" t="s">
        <v>14866</v>
      </c>
      <c r="BD2711" s="77">
        <v>74550038</v>
      </c>
      <c r="BE2711" s="77"/>
      <c r="BF2711" s="77"/>
      <c r="BG2711" s="77"/>
      <c r="BH2711" s="77"/>
      <c r="BI2711" s="77"/>
    </row>
    <row r="2712" spans="1:61" x14ac:dyDescent="0.25">
      <c r="A2712" s="62" t="s">
        <v>997</v>
      </c>
      <c r="B2712" s="62" t="s">
        <v>734</v>
      </c>
      <c r="C2712" s="63"/>
      <c r="D2712" s="64"/>
      <c r="E2712" s="65"/>
      <c r="F2712" s="66"/>
      <c r="G2712" s="63"/>
      <c r="H2712" s="67"/>
      <c r="I2712" s="68"/>
      <c r="J2712" s="68"/>
      <c r="K2712" s="32"/>
      <c r="L2712" s="75">
        <v>2712</v>
      </c>
      <c r="M2712" s="75"/>
      <c r="N2712" s="70"/>
      <c r="O2712" s="77" t="s">
        <v>1132</v>
      </c>
      <c r="P2712" s="79">
        <v>45013.518703703703</v>
      </c>
      <c r="Q2712" s="77" t="s">
        <v>3724</v>
      </c>
      <c r="R2712" s="77">
        <v>0</v>
      </c>
      <c r="S2712" s="77">
        <v>1</v>
      </c>
      <c r="T2712" s="77">
        <v>0</v>
      </c>
      <c r="U2712" s="77">
        <v>0</v>
      </c>
      <c r="V2712" s="77">
        <v>29</v>
      </c>
      <c r="W2712" s="82" t="s">
        <v>5785</v>
      </c>
      <c r="X2712" s="77"/>
      <c r="Y2712" s="77"/>
      <c r="Z2712" s="77" t="s">
        <v>734</v>
      </c>
      <c r="AA2712" s="77"/>
      <c r="AB2712" s="77"/>
      <c r="AC2712" s="82" t="s">
        <v>7706</v>
      </c>
      <c r="AD2712" s="77" t="s">
        <v>7745</v>
      </c>
      <c r="AE2712" s="80" t="str">
        <f>HYPERLINK("https://twitter.com/sergiotriathlet/status/1640691942286655490")</f>
        <v>https://twitter.com/sergiotriathlet/status/1640691942286655490</v>
      </c>
      <c r="AF2712" s="79">
        <v>45013.518703703703</v>
      </c>
      <c r="AG2712" s="85">
        <v>45013</v>
      </c>
      <c r="AH2712" s="82" t="s">
        <v>10197</v>
      </c>
      <c r="AI2712" s="77"/>
      <c r="AJ2712" s="77"/>
      <c r="AK2712" s="77"/>
      <c r="AL2712" s="77"/>
      <c r="AM2712" s="77"/>
      <c r="AN2712" s="77"/>
      <c r="AO2712" s="77"/>
      <c r="AP2712" s="77"/>
      <c r="AQ2712" s="77"/>
      <c r="AR2712" s="77"/>
      <c r="AS2712" s="77"/>
      <c r="AT2712" s="77"/>
      <c r="AU2712" s="77"/>
      <c r="AV2712" s="80" t="str">
        <f>HYPERLINK("https://pbs.twimg.com/profile_images/1595961038742093830/8D7lR6mJ_normal.jpg")</f>
        <v>https://pbs.twimg.com/profile_images/1595961038742093830/8D7lR6mJ_normal.jpg</v>
      </c>
      <c r="AW2712" s="82" t="s">
        <v>14867</v>
      </c>
      <c r="AX2712" s="82" t="s">
        <v>15663</v>
      </c>
      <c r="AY2712" s="82" t="s">
        <v>15797</v>
      </c>
      <c r="AZ2712" s="82" t="s">
        <v>16130</v>
      </c>
      <c r="BA2712" s="82" t="s">
        <v>15804</v>
      </c>
      <c r="BB2712" s="82" t="s">
        <v>15804</v>
      </c>
      <c r="BC2712" s="82" t="s">
        <v>16130</v>
      </c>
      <c r="BD2712" s="82" t="s">
        <v>16572</v>
      </c>
      <c r="BE2712" s="77"/>
      <c r="BF2712" s="77"/>
      <c r="BG2712" s="77"/>
      <c r="BH2712" s="77"/>
      <c r="BI2712" s="77"/>
    </row>
    <row r="2713" spans="1:61" x14ac:dyDescent="0.25">
      <c r="A2713" s="62" t="s">
        <v>998</v>
      </c>
      <c r="B2713" s="62" t="s">
        <v>998</v>
      </c>
      <c r="C2713" s="63"/>
      <c r="D2713" s="64"/>
      <c r="E2713" s="65"/>
      <c r="F2713" s="66"/>
      <c r="G2713" s="63"/>
      <c r="H2713" s="67"/>
      <c r="I2713" s="68"/>
      <c r="J2713" s="68"/>
      <c r="K2713" s="32"/>
      <c r="L2713" s="75">
        <v>2713</v>
      </c>
      <c r="M2713" s="75"/>
      <c r="N2713" s="70"/>
      <c r="O2713" s="77" t="s">
        <v>179</v>
      </c>
      <c r="P2713" s="79">
        <v>45049.675358796296</v>
      </c>
      <c r="Q2713" s="77" t="s">
        <v>3725</v>
      </c>
      <c r="R2713" s="77">
        <v>1</v>
      </c>
      <c r="S2713" s="77">
        <v>0</v>
      </c>
      <c r="T2713" s="77">
        <v>0</v>
      </c>
      <c r="U2713" s="77">
        <v>0</v>
      </c>
      <c r="V2713" s="77">
        <v>11</v>
      </c>
      <c r="W2713" s="82" t="s">
        <v>5786</v>
      </c>
      <c r="X2713" s="80" t="str">
        <f>HYPERLINK("https://www.fumep.edu.br/post/financas-pessoais")</f>
        <v>https://www.fumep.edu.br/post/financas-pessoais</v>
      </c>
      <c r="Y2713" s="77" t="s">
        <v>6112</v>
      </c>
      <c r="Z2713" s="77"/>
      <c r="AA2713" s="77" t="s">
        <v>7621</v>
      </c>
      <c r="AB2713" s="77" t="s">
        <v>7696</v>
      </c>
      <c r="AC2713" s="82" t="s">
        <v>7706</v>
      </c>
      <c r="AD2713" s="77" t="s">
        <v>7745</v>
      </c>
      <c r="AE2713" s="80" t="str">
        <f>HYPERLINK("https://twitter.com/fumep/status/1653794677844324356")</f>
        <v>https://twitter.com/fumep/status/1653794677844324356</v>
      </c>
      <c r="AF2713" s="79">
        <v>45049.675358796296</v>
      </c>
      <c r="AG2713" s="85">
        <v>45049</v>
      </c>
      <c r="AH2713" s="82" t="s">
        <v>10198</v>
      </c>
      <c r="AI2713" s="77" t="b">
        <v>0</v>
      </c>
      <c r="AJ2713" s="77"/>
      <c r="AK2713" s="77"/>
      <c r="AL2713" s="77"/>
      <c r="AM2713" s="77"/>
      <c r="AN2713" s="77"/>
      <c r="AO2713" s="77"/>
      <c r="AP2713" s="77"/>
      <c r="AQ2713" s="77" t="s">
        <v>12127</v>
      </c>
      <c r="AR2713" s="77"/>
      <c r="AS2713" s="77"/>
      <c r="AT2713" s="77"/>
      <c r="AU2713" s="77"/>
      <c r="AV2713" s="80" t="str">
        <f>HYPERLINK("https://pbs.twimg.com/media/FvN1VmlWYAQscay.jpg")</f>
        <v>https://pbs.twimg.com/media/FvN1VmlWYAQscay.jpg</v>
      </c>
      <c r="AW2713" s="82" t="s">
        <v>14868</v>
      </c>
      <c r="AX2713" s="82" t="s">
        <v>14868</v>
      </c>
      <c r="AY2713" s="77"/>
      <c r="AZ2713" s="82" t="s">
        <v>15804</v>
      </c>
      <c r="BA2713" s="82" t="s">
        <v>15804</v>
      </c>
      <c r="BB2713" s="82" t="s">
        <v>15804</v>
      </c>
      <c r="BC2713" s="82" t="s">
        <v>14868</v>
      </c>
      <c r="BD2713" s="77">
        <v>804381282</v>
      </c>
      <c r="BE2713" s="77"/>
      <c r="BF2713" s="77"/>
      <c r="BG2713" s="77"/>
      <c r="BH2713" s="77"/>
      <c r="BI2713" s="77"/>
    </row>
    <row r="2714" spans="1:61" x14ac:dyDescent="0.25">
      <c r="A2714" s="62" t="s">
        <v>999</v>
      </c>
      <c r="B2714" s="62" t="s">
        <v>999</v>
      </c>
      <c r="C2714" s="63"/>
      <c r="D2714" s="64"/>
      <c r="E2714" s="65"/>
      <c r="F2714" s="66"/>
      <c r="G2714" s="63"/>
      <c r="H2714" s="67"/>
      <c r="I2714" s="68"/>
      <c r="J2714" s="68"/>
      <c r="K2714" s="32"/>
      <c r="L2714" s="75">
        <v>2714</v>
      </c>
      <c r="M2714" s="75"/>
      <c r="N2714" s="70"/>
      <c r="O2714" s="77" t="s">
        <v>179</v>
      </c>
      <c r="P2714" s="79">
        <v>44981.579814814817</v>
      </c>
      <c r="Q2714" s="77" t="s">
        <v>3726</v>
      </c>
      <c r="R2714" s="77">
        <v>0</v>
      </c>
      <c r="S2714" s="77">
        <v>0</v>
      </c>
      <c r="T2714" s="77">
        <v>0</v>
      </c>
      <c r="U2714" s="77">
        <v>0</v>
      </c>
      <c r="V2714" s="77">
        <v>19</v>
      </c>
      <c r="W2714" s="82" t="s">
        <v>4403</v>
      </c>
      <c r="X2714" s="80" t="str">
        <f>HYPERLINK("https://bit.ly/blogimpacto356")</f>
        <v>https://bit.ly/blogimpacto356</v>
      </c>
      <c r="Y2714" s="77" t="s">
        <v>6004</v>
      </c>
      <c r="Z2714" s="77"/>
      <c r="AA2714" s="77" t="s">
        <v>7622</v>
      </c>
      <c r="AB2714" s="77" t="s">
        <v>7696</v>
      </c>
      <c r="AC2714" s="82" t="s">
        <v>7706</v>
      </c>
      <c r="AD2714" s="77" t="s">
        <v>7745</v>
      </c>
      <c r="AE2714" s="80" t="str">
        <f>HYPERLINK("https://twitter.com/fgveaespesquisa/status/1629117679385673728")</f>
        <v>https://twitter.com/fgveaespesquisa/status/1629117679385673728</v>
      </c>
      <c r="AF2714" s="79">
        <v>44981.579814814817</v>
      </c>
      <c r="AG2714" s="85">
        <v>44981</v>
      </c>
      <c r="AH2714" s="82" t="s">
        <v>10199</v>
      </c>
      <c r="AI2714" s="77" t="b">
        <v>0</v>
      </c>
      <c r="AJ2714" s="77"/>
      <c r="AK2714" s="77"/>
      <c r="AL2714" s="77"/>
      <c r="AM2714" s="77"/>
      <c r="AN2714" s="77"/>
      <c r="AO2714" s="77"/>
      <c r="AP2714" s="77"/>
      <c r="AQ2714" s="77" t="s">
        <v>12128</v>
      </c>
      <c r="AR2714" s="77"/>
      <c r="AS2714" s="77"/>
      <c r="AT2714" s="77"/>
      <c r="AU2714" s="77"/>
      <c r="AV2714" s="80" t="str">
        <f>HYPERLINK("https://pbs.twimg.com/media/FpvJ4RMXsAEXmrp.jpg")</f>
        <v>https://pbs.twimg.com/media/FpvJ4RMXsAEXmrp.jpg</v>
      </c>
      <c r="AW2714" s="82" t="s">
        <v>14869</v>
      </c>
      <c r="AX2714" s="82" t="s">
        <v>14869</v>
      </c>
      <c r="AY2714" s="77"/>
      <c r="AZ2714" s="82" t="s">
        <v>15804</v>
      </c>
      <c r="BA2714" s="82" t="s">
        <v>15804</v>
      </c>
      <c r="BB2714" s="82" t="s">
        <v>15804</v>
      </c>
      <c r="BC2714" s="82" t="s">
        <v>14869</v>
      </c>
      <c r="BD2714" s="82" t="s">
        <v>16573</v>
      </c>
      <c r="BE2714" s="77"/>
      <c r="BF2714" s="77"/>
      <c r="BG2714" s="77"/>
      <c r="BH2714" s="77"/>
      <c r="BI2714" s="77"/>
    </row>
    <row r="2715" spans="1:61" x14ac:dyDescent="0.25">
      <c r="A2715" s="62" t="s">
        <v>999</v>
      </c>
      <c r="B2715" s="62" t="s">
        <v>999</v>
      </c>
      <c r="C2715" s="63"/>
      <c r="D2715" s="64"/>
      <c r="E2715" s="65"/>
      <c r="F2715" s="66"/>
      <c r="G2715" s="63"/>
      <c r="H2715" s="67"/>
      <c r="I2715" s="68"/>
      <c r="J2715" s="68"/>
      <c r="K2715" s="32"/>
      <c r="L2715" s="75">
        <v>2715</v>
      </c>
      <c r="M2715" s="75"/>
      <c r="N2715" s="70"/>
      <c r="O2715" s="77" t="s">
        <v>179</v>
      </c>
      <c r="P2715" s="79">
        <v>45047.75</v>
      </c>
      <c r="Q2715" s="77" t="s">
        <v>3727</v>
      </c>
      <c r="R2715" s="77">
        <v>0</v>
      </c>
      <c r="S2715" s="77">
        <v>1</v>
      </c>
      <c r="T2715" s="77">
        <v>0</v>
      </c>
      <c r="U2715" s="77">
        <v>0</v>
      </c>
      <c r="V2715" s="77">
        <v>64</v>
      </c>
      <c r="W2715" s="82" t="s">
        <v>5787</v>
      </c>
      <c r="X2715" s="80" t="str">
        <f>HYPERLINK("https://bit.ly/blogimpacto380")</f>
        <v>https://bit.ly/blogimpacto380</v>
      </c>
      <c r="Y2715" s="77" t="s">
        <v>6004</v>
      </c>
      <c r="Z2715" s="77"/>
      <c r="AA2715" s="77" t="s">
        <v>7623</v>
      </c>
      <c r="AB2715" s="77" t="s">
        <v>7696</v>
      </c>
      <c r="AC2715" s="82" t="s">
        <v>7706</v>
      </c>
      <c r="AD2715" s="77" t="s">
        <v>7745</v>
      </c>
      <c r="AE2715" s="80" t="str">
        <f>HYPERLINK("https://twitter.com/fgveaespesquisa/status/1653096949430591489")</f>
        <v>https://twitter.com/fgveaespesquisa/status/1653096949430591489</v>
      </c>
      <c r="AF2715" s="79">
        <v>45047.75</v>
      </c>
      <c r="AG2715" s="85">
        <v>45047</v>
      </c>
      <c r="AH2715" s="82" t="s">
        <v>10200</v>
      </c>
      <c r="AI2715" s="77" t="b">
        <v>0</v>
      </c>
      <c r="AJ2715" s="77"/>
      <c r="AK2715" s="77"/>
      <c r="AL2715" s="77"/>
      <c r="AM2715" s="77"/>
      <c r="AN2715" s="77"/>
      <c r="AO2715" s="77"/>
      <c r="AP2715" s="77"/>
      <c r="AQ2715" s="77" t="s">
        <v>12129</v>
      </c>
      <c r="AR2715" s="77"/>
      <c r="AS2715" s="77"/>
      <c r="AT2715" s="77"/>
      <c r="AU2715" s="77"/>
      <c r="AV2715" s="80" t="str">
        <f>HYPERLINK("https://pbs.twimg.com/media/Fuq_IQ3X0AM1cnt.jpg")</f>
        <v>https://pbs.twimg.com/media/Fuq_IQ3X0AM1cnt.jpg</v>
      </c>
      <c r="AW2715" s="82" t="s">
        <v>14870</v>
      </c>
      <c r="AX2715" s="82" t="s">
        <v>14870</v>
      </c>
      <c r="AY2715" s="77"/>
      <c r="AZ2715" s="82" t="s">
        <v>15804</v>
      </c>
      <c r="BA2715" s="82" t="s">
        <v>15804</v>
      </c>
      <c r="BB2715" s="82" t="s">
        <v>15804</v>
      </c>
      <c r="BC2715" s="82" t="s">
        <v>14870</v>
      </c>
      <c r="BD2715" s="82" t="s">
        <v>16573</v>
      </c>
      <c r="BE2715" s="77"/>
      <c r="BF2715" s="77"/>
      <c r="BG2715" s="77"/>
      <c r="BH2715" s="77"/>
      <c r="BI2715" s="77"/>
    </row>
    <row r="2716" spans="1:61" x14ac:dyDescent="0.25">
      <c r="A2716" s="62" t="s">
        <v>1000</v>
      </c>
      <c r="B2716" s="62" t="s">
        <v>1000</v>
      </c>
      <c r="C2716" s="63"/>
      <c r="D2716" s="64"/>
      <c r="E2716" s="65"/>
      <c r="F2716" s="66"/>
      <c r="G2716" s="63"/>
      <c r="H2716" s="67"/>
      <c r="I2716" s="68"/>
      <c r="J2716" s="68"/>
      <c r="K2716" s="32"/>
      <c r="L2716" s="75">
        <v>2716</v>
      </c>
      <c r="M2716" s="75"/>
      <c r="N2716" s="70"/>
      <c r="O2716" s="77" t="s">
        <v>179</v>
      </c>
      <c r="P2716" s="79">
        <v>45072.47142361111</v>
      </c>
      <c r="Q2716" s="77" t="s">
        <v>3728</v>
      </c>
      <c r="R2716" s="77">
        <v>0</v>
      </c>
      <c r="S2716" s="77">
        <v>0</v>
      </c>
      <c r="T2716" s="77">
        <v>0</v>
      </c>
      <c r="U2716" s="77">
        <v>0</v>
      </c>
      <c r="V2716" s="77">
        <v>13</v>
      </c>
      <c r="W2716" s="82" t="s">
        <v>5788</v>
      </c>
      <c r="X2716" s="80" t="str">
        <f>HYPERLINK("https://lnkd.in/ds6yAq5Y")</f>
        <v>https://lnkd.in/ds6yAq5Y</v>
      </c>
      <c r="Y2716" s="77" t="s">
        <v>6014</v>
      </c>
      <c r="Z2716" s="77"/>
      <c r="AA2716" s="77"/>
      <c r="AB2716" s="77"/>
      <c r="AC2716" s="82" t="s">
        <v>7720</v>
      </c>
      <c r="AD2716" s="77" t="s">
        <v>7745</v>
      </c>
      <c r="AE2716" s="80" t="str">
        <f>HYPERLINK("https://twitter.com/anapaulahornos/status/1662055694369996800")</f>
        <v>https://twitter.com/anapaulahornos/status/1662055694369996800</v>
      </c>
      <c r="AF2716" s="79">
        <v>45072.47142361111</v>
      </c>
      <c r="AG2716" s="85">
        <v>45072</v>
      </c>
      <c r="AH2716" s="82" t="s">
        <v>10201</v>
      </c>
      <c r="AI2716" s="77" t="b">
        <v>0</v>
      </c>
      <c r="AJ2716" s="77"/>
      <c r="AK2716" s="77"/>
      <c r="AL2716" s="77"/>
      <c r="AM2716" s="77"/>
      <c r="AN2716" s="77"/>
      <c r="AO2716" s="77"/>
      <c r="AP2716" s="77"/>
      <c r="AQ2716" s="77"/>
      <c r="AR2716" s="77"/>
      <c r="AS2716" s="77"/>
      <c r="AT2716" s="77"/>
      <c r="AU2716" s="77"/>
      <c r="AV2716" s="80" t="str">
        <f>HYPERLINK("https://pbs.twimg.com/profile_images/1687172886623072256/DpOTA1Yf_normal.jpg")</f>
        <v>https://pbs.twimg.com/profile_images/1687172886623072256/DpOTA1Yf_normal.jpg</v>
      </c>
      <c r="AW2716" s="82" t="s">
        <v>14871</v>
      </c>
      <c r="AX2716" s="82" t="s">
        <v>14871</v>
      </c>
      <c r="AY2716" s="77"/>
      <c r="AZ2716" s="82" t="s">
        <v>15804</v>
      </c>
      <c r="BA2716" s="82" t="s">
        <v>15804</v>
      </c>
      <c r="BB2716" s="82" t="s">
        <v>15804</v>
      </c>
      <c r="BC2716" s="82" t="s">
        <v>14871</v>
      </c>
      <c r="BD2716" s="77">
        <v>55845270</v>
      </c>
      <c r="BE2716" s="77"/>
      <c r="BF2716" s="77"/>
      <c r="BG2716" s="77"/>
      <c r="BH2716" s="77"/>
      <c r="BI2716" s="77"/>
    </row>
    <row r="2717" spans="1:61" x14ac:dyDescent="0.25">
      <c r="A2717" s="62" t="s">
        <v>1001</v>
      </c>
      <c r="B2717" s="62" t="s">
        <v>1001</v>
      </c>
      <c r="C2717" s="63"/>
      <c r="D2717" s="64"/>
      <c r="E2717" s="65"/>
      <c r="F2717" s="66"/>
      <c r="G2717" s="63"/>
      <c r="H2717" s="67"/>
      <c r="I2717" s="68"/>
      <c r="J2717" s="68"/>
      <c r="K2717" s="32"/>
      <c r="L2717" s="75">
        <v>2717</v>
      </c>
      <c r="M2717" s="75"/>
      <c r="N2717" s="70"/>
      <c r="O2717" s="77" t="s">
        <v>179</v>
      </c>
      <c r="P2717" s="79">
        <v>45078.428495370368</v>
      </c>
      <c r="Q2717" s="77" t="s">
        <v>3729</v>
      </c>
      <c r="R2717" s="77">
        <v>1</v>
      </c>
      <c r="S2717" s="77">
        <v>3</v>
      </c>
      <c r="T2717" s="77">
        <v>0</v>
      </c>
      <c r="U2717" s="77">
        <v>1</v>
      </c>
      <c r="V2717" s="77">
        <v>75</v>
      </c>
      <c r="W2717" s="77"/>
      <c r="X2717" s="77"/>
      <c r="Y2717" s="77"/>
      <c r="Z2717" s="77"/>
      <c r="AA2717" s="77" t="s">
        <v>7624</v>
      </c>
      <c r="AB2717" s="77" t="s">
        <v>7696</v>
      </c>
      <c r="AC2717" s="82" t="s">
        <v>7706</v>
      </c>
      <c r="AD2717" s="77" t="s">
        <v>7745</v>
      </c>
      <c r="AE2717" s="80" t="str">
        <f>HYPERLINK("https://twitter.com/anqep/status/1664214465141719040")</f>
        <v>https://twitter.com/anqep/status/1664214465141719040</v>
      </c>
      <c r="AF2717" s="79">
        <v>45078.428495370368</v>
      </c>
      <c r="AG2717" s="85">
        <v>45078</v>
      </c>
      <c r="AH2717" s="82" t="s">
        <v>10202</v>
      </c>
      <c r="AI2717" s="77" t="b">
        <v>0</v>
      </c>
      <c r="AJ2717" s="77"/>
      <c r="AK2717" s="77"/>
      <c r="AL2717" s="77"/>
      <c r="AM2717" s="77"/>
      <c r="AN2717" s="77"/>
      <c r="AO2717" s="77"/>
      <c r="AP2717" s="77"/>
      <c r="AQ2717" s="77" t="s">
        <v>12130</v>
      </c>
      <c r="AR2717" s="77"/>
      <c r="AS2717" s="77"/>
      <c r="AT2717" s="77"/>
      <c r="AU2717" s="77"/>
      <c r="AV2717" s="80" t="str">
        <f>HYPERLINK("https://pbs.twimg.com/media/Fxh5CEAWcAAG0uC.jpg")</f>
        <v>https://pbs.twimg.com/media/Fxh5CEAWcAAG0uC.jpg</v>
      </c>
      <c r="AW2717" s="82" t="s">
        <v>14872</v>
      </c>
      <c r="AX2717" s="82" t="s">
        <v>14872</v>
      </c>
      <c r="AY2717" s="77"/>
      <c r="AZ2717" s="82" t="s">
        <v>15804</v>
      </c>
      <c r="BA2717" s="82" t="s">
        <v>15804</v>
      </c>
      <c r="BB2717" s="82" t="s">
        <v>15804</v>
      </c>
      <c r="BC2717" s="82" t="s">
        <v>14872</v>
      </c>
      <c r="BD2717" s="77">
        <v>786687258</v>
      </c>
      <c r="BE2717" s="77"/>
      <c r="BF2717" s="77"/>
      <c r="BG2717" s="77"/>
      <c r="BH2717" s="77"/>
      <c r="BI2717" s="77"/>
    </row>
    <row r="2718" spans="1:61" x14ac:dyDescent="0.25">
      <c r="A2718" s="62" t="s">
        <v>1002</v>
      </c>
      <c r="B2718" s="62" t="s">
        <v>1002</v>
      </c>
      <c r="C2718" s="63"/>
      <c r="D2718" s="64"/>
      <c r="E2718" s="65"/>
      <c r="F2718" s="66"/>
      <c r="G2718" s="63"/>
      <c r="H2718" s="67"/>
      <c r="I2718" s="68"/>
      <c r="J2718" s="68"/>
      <c r="K2718" s="32"/>
      <c r="L2718" s="75">
        <v>2718</v>
      </c>
      <c r="M2718" s="75"/>
      <c r="N2718" s="70"/>
      <c r="O2718" s="77" t="s">
        <v>179</v>
      </c>
      <c r="P2718" s="79">
        <v>45075.569872685184</v>
      </c>
      <c r="Q2718" s="77" t="s">
        <v>3730</v>
      </c>
      <c r="R2718" s="77">
        <v>1</v>
      </c>
      <c r="S2718" s="77">
        <v>4</v>
      </c>
      <c r="T2718" s="77">
        <v>3</v>
      </c>
      <c r="U2718" s="77">
        <v>0</v>
      </c>
      <c r="V2718" s="77">
        <v>595</v>
      </c>
      <c r="W2718" s="82" t="s">
        <v>5789</v>
      </c>
      <c r="X2718" s="77"/>
      <c r="Y2718" s="77"/>
      <c r="Z2718" s="77"/>
      <c r="AA2718" s="77" t="s">
        <v>7625</v>
      </c>
      <c r="AB2718" s="77" t="s">
        <v>7696</v>
      </c>
      <c r="AC2718" s="82" t="s">
        <v>7707</v>
      </c>
      <c r="AD2718" s="77" t="s">
        <v>7745</v>
      </c>
      <c r="AE2718" s="80" t="str">
        <f>HYPERLINK("https://twitter.com/lam0gabriel/status/1663178533479370753")</f>
        <v>https://twitter.com/lam0gabriel/status/1663178533479370753</v>
      </c>
      <c r="AF2718" s="79">
        <v>45075.569872685184</v>
      </c>
      <c r="AG2718" s="85">
        <v>45075</v>
      </c>
      <c r="AH2718" s="82" t="s">
        <v>10203</v>
      </c>
      <c r="AI2718" s="77" t="b">
        <v>0</v>
      </c>
      <c r="AJ2718" s="77"/>
      <c r="AK2718" s="77"/>
      <c r="AL2718" s="77"/>
      <c r="AM2718" s="77"/>
      <c r="AN2718" s="77"/>
      <c r="AO2718" s="77"/>
      <c r="AP2718" s="77"/>
      <c r="AQ2718" s="77" t="s">
        <v>12131</v>
      </c>
      <c r="AR2718" s="77"/>
      <c r="AS2718" s="77"/>
      <c r="AT2718" s="77"/>
      <c r="AU2718" s="77"/>
      <c r="AV2718" s="80" t="str">
        <f>HYPERLINK("https://pbs.twimg.com/media/FxTMD7gXwAEiokm.jpg")</f>
        <v>https://pbs.twimg.com/media/FxTMD7gXwAEiokm.jpg</v>
      </c>
      <c r="AW2718" s="82" t="s">
        <v>14873</v>
      </c>
      <c r="AX2718" s="82" t="s">
        <v>14873</v>
      </c>
      <c r="AY2718" s="77"/>
      <c r="AZ2718" s="82" t="s">
        <v>15804</v>
      </c>
      <c r="BA2718" s="82" t="s">
        <v>15804</v>
      </c>
      <c r="BB2718" s="82" t="s">
        <v>15804</v>
      </c>
      <c r="BC2718" s="82" t="s">
        <v>14873</v>
      </c>
      <c r="BD2718" s="77">
        <v>705735727</v>
      </c>
      <c r="BE2718" s="77"/>
      <c r="BF2718" s="77"/>
      <c r="BG2718" s="77"/>
      <c r="BH2718" s="77"/>
      <c r="BI2718" s="77"/>
    </row>
    <row r="2719" spans="1:61" x14ac:dyDescent="0.25">
      <c r="A2719" s="62" t="s">
        <v>1003</v>
      </c>
      <c r="B2719" s="62" t="s">
        <v>1130</v>
      </c>
      <c r="C2719" s="63"/>
      <c r="D2719" s="64"/>
      <c r="E2719" s="65"/>
      <c r="F2719" s="66"/>
      <c r="G2719" s="63"/>
      <c r="H2719" s="67"/>
      <c r="I2719" s="68"/>
      <c r="J2719" s="68"/>
      <c r="K2719" s="32"/>
      <c r="L2719" s="75">
        <v>2719</v>
      </c>
      <c r="M2719" s="75"/>
      <c r="N2719" s="70"/>
      <c r="O2719" s="77" t="s">
        <v>1133</v>
      </c>
      <c r="P2719" s="79">
        <v>45072.21503472222</v>
      </c>
      <c r="Q2719" s="77" t="s">
        <v>3731</v>
      </c>
      <c r="R2719" s="77">
        <v>0</v>
      </c>
      <c r="S2719" s="77">
        <v>1</v>
      </c>
      <c r="T2719" s="77">
        <v>1</v>
      </c>
      <c r="U2719" s="77">
        <v>0</v>
      </c>
      <c r="V2719" s="77">
        <v>96</v>
      </c>
      <c r="W2719" s="82" t="s">
        <v>5790</v>
      </c>
      <c r="X2719" s="80" t="str">
        <f>HYPERLINK("https://www.investidorfrugal.com/qual-a-melhor-corretora-para-um-investidor-passivo/")</f>
        <v>https://www.investidorfrugal.com/qual-a-melhor-corretora-para-um-investidor-passivo/</v>
      </c>
      <c r="Y2719" s="77" t="s">
        <v>6113</v>
      </c>
      <c r="Z2719" s="77" t="s">
        <v>1130</v>
      </c>
      <c r="AA2719" s="77"/>
      <c r="AB2719" s="77"/>
      <c r="AC2719" s="82" t="s">
        <v>7706</v>
      </c>
      <c r="AD2719" s="77" t="s">
        <v>7745</v>
      </c>
      <c r="AE2719" s="80" t="str">
        <f>HYPERLINK("https://twitter.com/investfrugal/status/1661962780109406211")</f>
        <v>https://twitter.com/investfrugal/status/1661962780109406211</v>
      </c>
      <c r="AF2719" s="79">
        <v>45072.21503472222</v>
      </c>
      <c r="AG2719" s="85">
        <v>45072</v>
      </c>
      <c r="AH2719" s="82" t="s">
        <v>10204</v>
      </c>
      <c r="AI2719" s="77" t="b">
        <v>0</v>
      </c>
      <c r="AJ2719" s="77"/>
      <c r="AK2719" s="77"/>
      <c r="AL2719" s="77"/>
      <c r="AM2719" s="77"/>
      <c r="AN2719" s="77"/>
      <c r="AO2719" s="77"/>
      <c r="AP2719" s="77"/>
      <c r="AQ2719" s="77"/>
      <c r="AR2719" s="77"/>
      <c r="AS2719" s="77"/>
      <c r="AT2719" s="77"/>
      <c r="AU2719" s="77"/>
      <c r="AV2719" s="80" t="str">
        <f>HYPERLINK("https://pbs.twimg.com/profile_images/1417120451755663368/-SfZzyXw_normal.png")</f>
        <v>https://pbs.twimg.com/profile_images/1417120451755663368/-SfZzyXw_normal.png</v>
      </c>
      <c r="AW2719" s="82" t="s">
        <v>14874</v>
      </c>
      <c r="AX2719" s="82" t="s">
        <v>14874</v>
      </c>
      <c r="AY2719" s="77"/>
      <c r="AZ2719" s="82" t="s">
        <v>15804</v>
      </c>
      <c r="BA2719" s="82" t="s">
        <v>15804</v>
      </c>
      <c r="BB2719" s="82" t="s">
        <v>15804</v>
      </c>
      <c r="BC2719" s="82" t="s">
        <v>14874</v>
      </c>
      <c r="BD2719" s="82" t="s">
        <v>16574</v>
      </c>
      <c r="BE2719" s="77"/>
      <c r="BF2719" s="77"/>
      <c r="BG2719" s="77"/>
      <c r="BH2719" s="77"/>
      <c r="BI2719" s="77"/>
    </row>
    <row r="2720" spans="1:61" x14ac:dyDescent="0.25">
      <c r="A2720" s="62" t="s">
        <v>1003</v>
      </c>
      <c r="B2720" s="62" t="s">
        <v>1003</v>
      </c>
      <c r="C2720" s="63"/>
      <c r="D2720" s="64"/>
      <c r="E2720" s="65"/>
      <c r="F2720" s="66"/>
      <c r="G2720" s="63"/>
      <c r="H2720" s="67"/>
      <c r="I2720" s="68"/>
      <c r="J2720" s="68"/>
      <c r="K2720" s="32"/>
      <c r="L2720" s="75">
        <v>2720</v>
      </c>
      <c r="M2720" s="75"/>
      <c r="N2720" s="70"/>
      <c r="O2720" s="77" t="s">
        <v>179</v>
      </c>
      <c r="P2720" s="79">
        <v>45023.673252314817</v>
      </c>
      <c r="Q2720" s="77" t="s">
        <v>3732</v>
      </c>
      <c r="R2720" s="77">
        <v>0</v>
      </c>
      <c r="S2720" s="77">
        <v>2</v>
      </c>
      <c r="T2720" s="77">
        <v>0</v>
      </c>
      <c r="U2720" s="77">
        <v>0</v>
      </c>
      <c r="V2720" s="77">
        <v>35</v>
      </c>
      <c r="W2720" s="82" t="s">
        <v>5791</v>
      </c>
      <c r="X2720" s="77"/>
      <c r="Y2720" s="77"/>
      <c r="Z2720" s="77"/>
      <c r="AA2720" s="77" t="s">
        <v>7626</v>
      </c>
      <c r="AB2720" s="77" t="s">
        <v>7696</v>
      </c>
      <c r="AC2720" s="82" t="s">
        <v>7706</v>
      </c>
      <c r="AD2720" s="77" t="s">
        <v>7745</v>
      </c>
      <c r="AE2720" s="80" t="str">
        <f>HYPERLINK("https://twitter.com/investfrugal/status/1644371829010706432")</f>
        <v>https://twitter.com/investfrugal/status/1644371829010706432</v>
      </c>
      <c r="AF2720" s="79">
        <v>45023.673252314817</v>
      </c>
      <c r="AG2720" s="85">
        <v>45023</v>
      </c>
      <c r="AH2720" s="82" t="s">
        <v>10205</v>
      </c>
      <c r="AI2720" s="77" t="b">
        <v>0</v>
      </c>
      <c r="AJ2720" s="77"/>
      <c r="AK2720" s="77"/>
      <c r="AL2720" s="77"/>
      <c r="AM2720" s="77"/>
      <c r="AN2720" s="77"/>
      <c r="AO2720" s="77"/>
      <c r="AP2720" s="77"/>
      <c r="AQ2720" s="77" t="s">
        <v>12132</v>
      </c>
      <c r="AR2720" s="77"/>
      <c r="AS2720" s="77"/>
      <c r="AT2720" s="77"/>
      <c r="AU2720" s="77"/>
      <c r="AV2720" s="80" t="str">
        <f>HYPERLINK("https://pbs.twimg.com/media/FtH7c3SXwAEjW-W.jpg")</f>
        <v>https://pbs.twimg.com/media/FtH7c3SXwAEjW-W.jpg</v>
      </c>
      <c r="AW2720" s="82" t="s">
        <v>14875</v>
      </c>
      <c r="AX2720" s="82" t="s">
        <v>14875</v>
      </c>
      <c r="AY2720" s="77"/>
      <c r="AZ2720" s="82" t="s">
        <v>15804</v>
      </c>
      <c r="BA2720" s="82" t="s">
        <v>15804</v>
      </c>
      <c r="BB2720" s="82" t="s">
        <v>15804</v>
      </c>
      <c r="BC2720" s="82" t="s">
        <v>14875</v>
      </c>
      <c r="BD2720" s="82" t="s">
        <v>16574</v>
      </c>
      <c r="BE2720" s="77"/>
      <c r="BF2720" s="77"/>
      <c r="BG2720" s="77"/>
      <c r="BH2720" s="77"/>
      <c r="BI2720" s="77"/>
    </row>
    <row r="2721" spans="1:61" x14ac:dyDescent="0.25">
      <c r="A2721" s="62" t="s">
        <v>1003</v>
      </c>
      <c r="B2721" s="62" t="s">
        <v>1003</v>
      </c>
      <c r="C2721" s="63"/>
      <c r="D2721" s="64"/>
      <c r="E2721" s="65"/>
      <c r="F2721" s="66"/>
      <c r="G2721" s="63"/>
      <c r="H2721" s="67"/>
      <c r="I2721" s="68"/>
      <c r="J2721" s="68"/>
      <c r="K2721" s="32"/>
      <c r="L2721" s="75">
        <v>2721</v>
      </c>
      <c r="M2721" s="75"/>
      <c r="N2721" s="70"/>
      <c r="O2721" s="77" t="s">
        <v>179</v>
      </c>
      <c r="P2721" s="79">
        <v>45046.261747685188</v>
      </c>
      <c r="Q2721" s="77" t="s">
        <v>3733</v>
      </c>
      <c r="R2721" s="77">
        <v>0</v>
      </c>
      <c r="S2721" s="77">
        <v>1</v>
      </c>
      <c r="T2721" s="77">
        <v>0</v>
      </c>
      <c r="U2721" s="77">
        <v>0</v>
      </c>
      <c r="V2721" s="77">
        <v>53</v>
      </c>
      <c r="W2721" s="82" t="s">
        <v>5792</v>
      </c>
      <c r="X2721" s="77"/>
      <c r="Y2721" s="77"/>
      <c r="Z2721" s="77"/>
      <c r="AA2721" s="77" t="s">
        <v>7627</v>
      </c>
      <c r="AB2721" s="77" t="s">
        <v>7696</v>
      </c>
      <c r="AC2721" s="82" t="s">
        <v>7706</v>
      </c>
      <c r="AD2721" s="77" t="s">
        <v>7745</v>
      </c>
      <c r="AE2721" s="80" t="str">
        <f>HYPERLINK("https://twitter.com/investfrugal/status/1652557624049631291")</f>
        <v>https://twitter.com/investfrugal/status/1652557624049631291</v>
      </c>
      <c r="AF2721" s="79">
        <v>45046.261747685188</v>
      </c>
      <c r="AG2721" s="85">
        <v>45046</v>
      </c>
      <c r="AH2721" s="82" t="s">
        <v>10206</v>
      </c>
      <c r="AI2721" s="77" t="b">
        <v>0</v>
      </c>
      <c r="AJ2721" s="77"/>
      <c r="AK2721" s="77"/>
      <c r="AL2721" s="77"/>
      <c r="AM2721" s="77"/>
      <c r="AN2721" s="77"/>
      <c r="AO2721" s="77"/>
      <c r="AP2721" s="77"/>
      <c r="AQ2721" s="77" t="s">
        <v>12133</v>
      </c>
      <c r="AR2721" s="77"/>
      <c r="AS2721" s="77"/>
      <c r="AT2721" s="77"/>
      <c r="AU2721" s="77"/>
      <c r="AV2721" s="80" t="str">
        <f>HYPERLINK("https://pbs.twimg.com/media/Fu8QVBUWIAEpNrX.png")</f>
        <v>https://pbs.twimg.com/media/Fu8QVBUWIAEpNrX.png</v>
      </c>
      <c r="AW2721" s="82" t="s">
        <v>14876</v>
      </c>
      <c r="AX2721" s="82" t="s">
        <v>14876</v>
      </c>
      <c r="AY2721" s="77"/>
      <c r="AZ2721" s="82" t="s">
        <v>15804</v>
      </c>
      <c r="BA2721" s="82" t="s">
        <v>15804</v>
      </c>
      <c r="BB2721" s="82" t="s">
        <v>15804</v>
      </c>
      <c r="BC2721" s="82" t="s">
        <v>14876</v>
      </c>
      <c r="BD2721" s="82" t="s">
        <v>16574</v>
      </c>
      <c r="BE2721" s="77"/>
      <c r="BF2721" s="77"/>
      <c r="BG2721" s="77"/>
      <c r="BH2721" s="77"/>
      <c r="BI2721" s="77"/>
    </row>
    <row r="2722" spans="1:61" x14ac:dyDescent="0.25">
      <c r="A2722" s="62" t="s">
        <v>1003</v>
      </c>
      <c r="B2722" s="62" t="s">
        <v>1003</v>
      </c>
      <c r="C2722" s="63"/>
      <c r="D2722" s="64"/>
      <c r="E2722" s="65"/>
      <c r="F2722" s="66"/>
      <c r="G2722" s="63"/>
      <c r="H2722" s="67"/>
      <c r="I2722" s="68"/>
      <c r="J2722" s="68"/>
      <c r="K2722" s="32"/>
      <c r="L2722" s="75">
        <v>2722</v>
      </c>
      <c r="M2722" s="75"/>
      <c r="N2722" s="70"/>
      <c r="O2722" s="77" t="s">
        <v>179</v>
      </c>
      <c r="P2722" s="79">
        <v>45002.634131944447</v>
      </c>
      <c r="Q2722" s="77" t="s">
        <v>3734</v>
      </c>
      <c r="R2722" s="77">
        <v>0</v>
      </c>
      <c r="S2722" s="77">
        <v>2</v>
      </c>
      <c r="T2722" s="77">
        <v>0</v>
      </c>
      <c r="U2722" s="77">
        <v>0</v>
      </c>
      <c r="V2722" s="77">
        <v>54</v>
      </c>
      <c r="W2722" s="82" t="s">
        <v>5793</v>
      </c>
      <c r="X2722" s="80" t="str">
        <f>HYPERLINK("https://www.investidorfrugal.com/devo-investir-no-sp500-ou-num-etf-mundial/")</f>
        <v>https://www.investidorfrugal.com/devo-investir-no-sp500-ou-num-etf-mundial/</v>
      </c>
      <c r="Y2722" s="77" t="s">
        <v>6113</v>
      </c>
      <c r="Z2722" s="77"/>
      <c r="AA2722" s="77"/>
      <c r="AB2722" s="77"/>
      <c r="AC2722" s="82" t="s">
        <v>7706</v>
      </c>
      <c r="AD2722" s="77" t="s">
        <v>7745</v>
      </c>
      <c r="AE2722" s="80" t="str">
        <f>HYPERLINK("https://twitter.com/investfrugal/status/1636747506645184512")</f>
        <v>https://twitter.com/investfrugal/status/1636747506645184512</v>
      </c>
      <c r="AF2722" s="79">
        <v>45002.634131944447</v>
      </c>
      <c r="AG2722" s="85">
        <v>45002</v>
      </c>
      <c r="AH2722" s="82" t="s">
        <v>10207</v>
      </c>
      <c r="AI2722" s="77" t="b">
        <v>0</v>
      </c>
      <c r="AJ2722" s="77"/>
      <c r="AK2722" s="77"/>
      <c r="AL2722" s="77"/>
      <c r="AM2722" s="77"/>
      <c r="AN2722" s="77"/>
      <c r="AO2722" s="77"/>
      <c r="AP2722" s="77"/>
      <c r="AQ2722" s="77"/>
      <c r="AR2722" s="77"/>
      <c r="AS2722" s="77"/>
      <c r="AT2722" s="77"/>
      <c r="AU2722" s="77"/>
      <c r="AV2722" s="80" t="str">
        <f>HYPERLINK("https://pbs.twimg.com/profile_images/1417120451755663368/-SfZzyXw_normal.png")</f>
        <v>https://pbs.twimg.com/profile_images/1417120451755663368/-SfZzyXw_normal.png</v>
      </c>
      <c r="AW2722" s="82" t="s">
        <v>14877</v>
      </c>
      <c r="AX2722" s="82" t="s">
        <v>14877</v>
      </c>
      <c r="AY2722" s="77"/>
      <c r="AZ2722" s="82" t="s">
        <v>15804</v>
      </c>
      <c r="BA2722" s="82" t="s">
        <v>15804</v>
      </c>
      <c r="BB2722" s="82" t="s">
        <v>15804</v>
      </c>
      <c r="BC2722" s="82" t="s">
        <v>14877</v>
      </c>
      <c r="BD2722" s="82" t="s">
        <v>16574</v>
      </c>
      <c r="BE2722" s="77"/>
      <c r="BF2722" s="77"/>
      <c r="BG2722" s="77"/>
      <c r="BH2722" s="77"/>
      <c r="BI2722" s="77"/>
    </row>
    <row r="2723" spans="1:61" x14ac:dyDescent="0.25">
      <c r="A2723" s="62" t="s">
        <v>1003</v>
      </c>
      <c r="B2723" s="62" t="s">
        <v>1003</v>
      </c>
      <c r="C2723" s="63"/>
      <c r="D2723" s="64"/>
      <c r="E2723" s="65"/>
      <c r="F2723" s="66"/>
      <c r="G2723" s="63"/>
      <c r="H2723" s="67"/>
      <c r="I2723" s="68"/>
      <c r="J2723" s="68"/>
      <c r="K2723" s="32"/>
      <c r="L2723" s="75">
        <v>2723</v>
      </c>
      <c r="M2723" s="75"/>
      <c r="N2723" s="70"/>
      <c r="O2723" s="77" t="s">
        <v>179</v>
      </c>
      <c r="P2723" s="79">
        <v>44944.73609953704</v>
      </c>
      <c r="Q2723" s="77" t="s">
        <v>3735</v>
      </c>
      <c r="R2723" s="77">
        <v>0</v>
      </c>
      <c r="S2723" s="77">
        <v>0</v>
      </c>
      <c r="T2723" s="77">
        <v>0</v>
      </c>
      <c r="U2723" s="77">
        <v>0</v>
      </c>
      <c r="V2723" s="77">
        <v>56</v>
      </c>
      <c r="W2723" s="82" t="s">
        <v>5794</v>
      </c>
      <c r="X2723" s="77"/>
      <c r="Y2723" s="77"/>
      <c r="Z2723" s="77"/>
      <c r="AA2723" s="77" t="s">
        <v>7628</v>
      </c>
      <c r="AB2723" s="77" t="s">
        <v>7696</v>
      </c>
      <c r="AC2723" s="82" t="s">
        <v>7706</v>
      </c>
      <c r="AD2723" s="77" t="s">
        <v>7745</v>
      </c>
      <c r="AE2723" s="80" t="str">
        <f>HYPERLINK("https://twitter.com/investfrugal/status/1615765962879377408")</f>
        <v>https://twitter.com/investfrugal/status/1615765962879377408</v>
      </c>
      <c r="AF2723" s="79">
        <v>44944.73609953704</v>
      </c>
      <c r="AG2723" s="85">
        <v>44944</v>
      </c>
      <c r="AH2723" s="82" t="s">
        <v>10208</v>
      </c>
      <c r="AI2723" s="77" t="b">
        <v>0</v>
      </c>
      <c r="AJ2723" s="77"/>
      <c r="AK2723" s="77"/>
      <c r="AL2723" s="77"/>
      <c r="AM2723" s="77"/>
      <c r="AN2723" s="77"/>
      <c r="AO2723" s="77"/>
      <c r="AP2723" s="77"/>
      <c r="AQ2723" s="77" t="s">
        <v>12134</v>
      </c>
      <c r="AR2723" s="77"/>
      <c r="AS2723" s="77"/>
      <c r="AT2723" s="77"/>
      <c r="AU2723" s="77"/>
      <c r="AV2723" s="80" t="str">
        <f>HYPERLINK("https://pbs.twimg.com/media/FmxakvlWAAsCgXc.jpg")</f>
        <v>https://pbs.twimg.com/media/FmxakvlWAAsCgXc.jpg</v>
      </c>
      <c r="AW2723" s="82" t="s">
        <v>14878</v>
      </c>
      <c r="AX2723" s="82" t="s">
        <v>14878</v>
      </c>
      <c r="AY2723" s="77"/>
      <c r="AZ2723" s="82" t="s">
        <v>15804</v>
      </c>
      <c r="BA2723" s="82" t="s">
        <v>15804</v>
      </c>
      <c r="BB2723" s="82" t="s">
        <v>15804</v>
      </c>
      <c r="BC2723" s="82" t="s">
        <v>14878</v>
      </c>
      <c r="BD2723" s="82" t="s">
        <v>16574</v>
      </c>
      <c r="BE2723" s="77"/>
      <c r="BF2723" s="77"/>
      <c r="BG2723" s="77"/>
      <c r="BH2723" s="77"/>
      <c r="BI2723" s="77"/>
    </row>
    <row r="2724" spans="1:61" x14ac:dyDescent="0.25">
      <c r="A2724" s="62" t="s">
        <v>1003</v>
      </c>
      <c r="B2724" s="62" t="s">
        <v>1003</v>
      </c>
      <c r="C2724" s="63"/>
      <c r="D2724" s="64"/>
      <c r="E2724" s="65"/>
      <c r="F2724" s="66"/>
      <c r="G2724" s="63"/>
      <c r="H2724" s="67"/>
      <c r="I2724" s="68"/>
      <c r="J2724" s="68"/>
      <c r="K2724" s="32"/>
      <c r="L2724" s="75">
        <v>2724</v>
      </c>
      <c r="M2724" s="75"/>
      <c r="N2724" s="70"/>
      <c r="O2724" s="77" t="s">
        <v>179</v>
      </c>
      <c r="P2724" s="79">
        <v>44932.737604166665</v>
      </c>
      <c r="Q2724" s="77" t="s">
        <v>3736</v>
      </c>
      <c r="R2724" s="77">
        <v>0</v>
      </c>
      <c r="S2724" s="77">
        <v>0</v>
      </c>
      <c r="T2724" s="77">
        <v>0</v>
      </c>
      <c r="U2724" s="77">
        <v>0</v>
      </c>
      <c r="V2724" s="77">
        <v>20</v>
      </c>
      <c r="W2724" s="82" t="s">
        <v>5795</v>
      </c>
      <c r="X2724" s="77"/>
      <c r="Y2724" s="77"/>
      <c r="Z2724" s="77"/>
      <c r="AA2724" s="77" t="s">
        <v>7629</v>
      </c>
      <c r="AB2724" s="77" t="s">
        <v>7696</v>
      </c>
      <c r="AC2724" s="82" t="s">
        <v>7706</v>
      </c>
      <c r="AD2724" s="77" t="s">
        <v>7745</v>
      </c>
      <c r="AE2724" s="80" t="str">
        <f>HYPERLINK("https://twitter.com/investfrugal/status/1611417852866867200")</f>
        <v>https://twitter.com/investfrugal/status/1611417852866867200</v>
      </c>
      <c r="AF2724" s="79">
        <v>44932.737604166665</v>
      </c>
      <c r="AG2724" s="85">
        <v>44932</v>
      </c>
      <c r="AH2724" s="82" t="s">
        <v>10209</v>
      </c>
      <c r="AI2724" s="77" t="b">
        <v>0</v>
      </c>
      <c r="AJ2724" s="77"/>
      <c r="AK2724" s="77"/>
      <c r="AL2724" s="77"/>
      <c r="AM2724" s="77"/>
      <c r="AN2724" s="77"/>
      <c r="AO2724" s="77"/>
      <c r="AP2724" s="77"/>
      <c r="AQ2724" s="77" t="s">
        <v>12135</v>
      </c>
      <c r="AR2724" s="77"/>
      <c r="AS2724" s="77"/>
      <c r="AT2724" s="77"/>
      <c r="AU2724" s="77"/>
      <c r="AV2724" s="80" t="str">
        <f>HYPERLINK("https://pbs.twimg.com/media/Flzn_EOWQBg4Hp3.jpg")</f>
        <v>https://pbs.twimg.com/media/Flzn_EOWQBg4Hp3.jpg</v>
      </c>
      <c r="AW2724" s="82" t="s">
        <v>14879</v>
      </c>
      <c r="AX2724" s="82" t="s">
        <v>14879</v>
      </c>
      <c r="AY2724" s="77"/>
      <c r="AZ2724" s="82" t="s">
        <v>15804</v>
      </c>
      <c r="BA2724" s="82" t="s">
        <v>15804</v>
      </c>
      <c r="BB2724" s="82" t="s">
        <v>15804</v>
      </c>
      <c r="BC2724" s="82" t="s">
        <v>14879</v>
      </c>
      <c r="BD2724" s="82" t="s">
        <v>16574</v>
      </c>
      <c r="BE2724" s="77"/>
      <c r="BF2724" s="77"/>
      <c r="BG2724" s="77"/>
      <c r="BH2724" s="77"/>
      <c r="BI2724" s="77"/>
    </row>
    <row r="2725" spans="1:61" x14ac:dyDescent="0.25">
      <c r="A2725" s="62" t="s">
        <v>1003</v>
      </c>
      <c r="B2725" s="62" t="s">
        <v>1003</v>
      </c>
      <c r="C2725" s="63"/>
      <c r="D2725" s="64"/>
      <c r="E2725" s="65"/>
      <c r="F2725" s="66"/>
      <c r="G2725" s="63"/>
      <c r="H2725" s="67"/>
      <c r="I2725" s="68"/>
      <c r="J2725" s="68"/>
      <c r="K2725" s="32"/>
      <c r="L2725" s="75">
        <v>2725</v>
      </c>
      <c r="M2725" s="75"/>
      <c r="N2725" s="70"/>
      <c r="O2725" s="77" t="s">
        <v>179</v>
      </c>
      <c r="P2725" s="79">
        <v>45090.580069444448</v>
      </c>
      <c r="Q2725" s="77" t="s">
        <v>3737</v>
      </c>
      <c r="R2725" s="77">
        <v>0</v>
      </c>
      <c r="S2725" s="77">
        <v>1</v>
      </c>
      <c r="T2725" s="77">
        <v>0</v>
      </c>
      <c r="U2725" s="77">
        <v>0</v>
      </c>
      <c r="V2725" s="77">
        <v>85</v>
      </c>
      <c r="W2725" s="82" t="s">
        <v>5792</v>
      </c>
      <c r="X2725" s="77"/>
      <c r="Y2725" s="77"/>
      <c r="Z2725" s="77"/>
      <c r="AA2725" s="77" t="s">
        <v>7630</v>
      </c>
      <c r="AB2725" s="77" t="s">
        <v>7696</v>
      </c>
      <c r="AC2725" s="82" t="s">
        <v>7706</v>
      </c>
      <c r="AD2725" s="77" t="s">
        <v>7745</v>
      </c>
      <c r="AE2725" s="80" t="str">
        <f>HYPERLINK("https://twitter.com/investfrugal/status/1668618046305624068")</f>
        <v>https://twitter.com/investfrugal/status/1668618046305624068</v>
      </c>
      <c r="AF2725" s="79">
        <v>45090.580069444448</v>
      </c>
      <c r="AG2725" s="85">
        <v>45090</v>
      </c>
      <c r="AH2725" s="82" t="s">
        <v>10210</v>
      </c>
      <c r="AI2725" s="77" t="b">
        <v>0</v>
      </c>
      <c r="AJ2725" s="77"/>
      <c r="AK2725" s="77"/>
      <c r="AL2725" s="77"/>
      <c r="AM2725" s="77"/>
      <c r="AN2725" s="77"/>
      <c r="AO2725" s="77"/>
      <c r="AP2725" s="77"/>
      <c r="AQ2725" s="77" t="s">
        <v>12136</v>
      </c>
      <c r="AR2725" s="77"/>
      <c r="AS2725" s="77"/>
      <c r="AT2725" s="77"/>
      <c r="AU2725" s="77"/>
      <c r="AV2725" s="80" t="str">
        <f>HYPERLINK("https://pbs.twimg.com/media/FygfQ2uaYAE2jvl.png")</f>
        <v>https://pbs.twimg.com/media/FygfQ2uaYAE2jvl.png</v>
      </c>
      <c r="AW2725" s="82" t="s">
        <v>14880</v>
      </c>
      <c r="AX2725" s="82" t="s">
        <v>14880</v>
      </c>
      <c r="AY2725" s="77"/>
      <c r="AZ2725" s="82" t="s">
        <v>15804</v>
      </c>
      <c r="BA2725" s="82" t="s">
        <v>15804</v>
      </c>
      <c r="BB2725" s="82" t="s">
        <v>15804</v>
      </c>
      <c r="BC2725" s="82" t="s">
        <v>14880</v>
      </c>
      <c r="BD2725" s="82" t="s">
        <v>16574</v>
      </c>
      <c r="BE2725" s="77"/>
      <c r="BF2725" s="77"/>
      <c r="BG2725" s="77"/>
      <c r="BH2725" s="77"/>
      <c r="BI2725" s="77"/>
    </row>
    <row r="2726" spans="1:61" x14ac:dyDescent="0.25">
      <c r="A2726" s="62" t="s">
        <v>1003</v>
      </c>
      <c r="B2726" s="62" t="s">
        <v>1003</v>
      </c>
      <c r="C2726" s="63"/>
      <c r="D2726" s="64"/>
      <c r="E2726" s="65"/>
      <c r="F2726" s="66"/>
      <c r="G2726" s="63"/>
      <c r="H2726" s="67"/>
      <c r="I2726" s="68"/>
      <c r="J2726" s="68"/>
      <c r="K2726" s="32"/>
      <c r="L2726" s="75">
        <v>2726</v>
      </c>
      <c r="M2726" s="75"/>
      <c r="N2726" s="70"/>
      <c r="O2726" s="77" t="s">
        <v>179</v>
      </c>
      <c r="P2726" s="79">
        <v>44981.74726851852</v>
      </c>
      <c r="Q2726" s="77" t="s">
        <v>3738</v>
      </c>
      <c r="R2726" s="77">
        <v>0</v>
      </c>
      <c r="S2726" s="77">
        <v>0</v>
      </c>
      <c r="T2726" s="77">
        <v>0</v>
      </c>
      <c r="U2726" s="77">
        <v>0</v>
      </c>
      <c r="V2726" s="77">
        <v>28</v>
      </c>
      <c r="W2726" s="82" t="s">
        <v>4282</v>
      </c>
      <c r="X2726" s="77"/>
      <c r="Y2726" s="77"/>
      <c r="Z2726" s="77"/>
      <c r="AA2726" s="77" t="s">
        <v>7631</v>
      </c>
      <c r="AB2726" s="77" t="s">
        <v>7696</v>
      </c>
      <c r="AC2726" s="82" t="s">
        <v>7706</v>
      </c>
      <c r="AD2726" s="77" t="s">
        <v>7745</v>
      </c>
      <c r="AE2726" s="80" t="str">
        <f>HYPERLINK("https://twitter.com/investfrugal/status/1629178362508853249")</f>
        <v>https://twitter.com/investfrugal/status/1629178362508853249</v>
      </c>
      <c r="AF2726" s="79">
        <v>44981.74726851852</v>
      </c>
      <c r="AG2726" s="85">
        <v>44981</v>
      </c>
      <c r="AH2726" s="82" t="s">
        <v>10211</v>
      </c>
      <c r="AI2726" s="77" t="b">
        <v>0</v>
      </c>
      <c r="AJ2726" s="77"/>
      <c r="AK2726" s="77"/>
      <c r="AL2726" s="77"/>
      <c r="AM2726" s="77"/>
      <c r="AN2726" s="77"/>
      <c r="AO2726" s="77"/>
      <c r="AP2726" s="77"/>
      <c r="AQ2726" s="77" t="s">
        <v>12137</v>
      </c>
      <c r="AR2726" s="77"/>
      <c r="AS2726" s="77"/>
      <c r="AT2726" s="77"/>
      <c r="AU2726" s="77"/>
      <c r="AV2726" s="80" t="str">
        <f>HYPERLINK("https://pbs.twimg.com/media/FpwBEqMX0AIhS94.jpg")</f>
        <v>https://pbs.twimg.com/media/FpwBEqMX0AIhS94.jpg</v>
      </c>
      <c r="AW2726" s="82" t="s">
        <v>14881</v>
      </c>
      <c r="AX2726" s="82" t="s">
        <v>14881</v>
      </c>
      <c r="AY2726" s="77"/>
      <c r="AZ2726" s="82" t="s">
        <v>15804</v>
      </c>
      <c r="BA2726" s="82" t="s">
        <v>15804</v>
      </c>
      <c r="BB2726" s="82" t="s">
        <v>15804</v>
      </c>
      <c r="BC2726" s="82" t="s">
        <v>14881</v>
      </c>
      <c r="BD2726" s="82" t="s">
        <v>16574</v>
      </c>
      <c r="BE2726" s="77"/>
      <c r="BF2726" s="77"/>
      <c r="BG2726" s="77"/>
      <c r="BH2726" s="77"/>
      <c r="BI2726" s="77"/>
    </row>
    <row r="2727" spans="1:61" x14ac:dyDescent="0.25">
      <c r="A2727" s="62" t="s">
        <v>1003</v>
      </c>
      <c r="B2727" s="62" t="s">
        <v>1003</v>
      </c>
      <c r="C2727" s="63"/>
      <c r="D2727" s="64"/>
      <c r="E2727" s="65"/>
      <c r="F2727" s="66"/>
      <c r="G2727" s="63"/>
      <c r="H2727" s="67"/>
      <c r="I2727" s="68"/>
      <c r="J2727" s="68"/>
      <c r="K2727" s="32"/>
      <c r="L2727" s="75">
        <v>2727</v>
      </c>
      <c r="M2727" s="75"/>
      <c r="N2727" s="70"/>
      <c r="O2727" s="77" t="s">
        <v>179</v>
      </c>
      <c r="P2727" s="79">
        <v>44929.735532407409</v>
      </c>
      <c r="Q2727" s="77" t="s">
        <v>3739</v>
      </c>
      <c r="R2727" s="77">
        <v>0</v>
      </c>
      <c r="S2727" s="77">
        <v>0</v>
      </c>
      <c r="T2727" s="77">
        <v>0</v>
      </c>
      <c r="U2727" s="77">
        <v>0</v>
      </c>
      <c r="V2727" s="77">
        <v>17</v>
      </c>
      <c r="W2727" s="82" t="s">
        <v>5796</v>
      </c>
      <c r="X2727" s="77"/>
      <c r="Y2727" s="77"/>
      <c r="Z2727" s="77"/>
      <c r="AA2727" s="77"/>
      <c r="AB2727" s="77"/>
      <c r="AC2727" s="82" t="s">
        <v>7706</v>
      </c>
      <c r="AD2727" s="77" t="s">
        <v>7745</v>
      </c>
      <c r="AE2727" s="80" t="str">
        <f>HYPERLINK("https://twitter.com/investfrugal/status/1610329938082816000")</f>
        <v>https://twitter.com/investfrugal/status/1610329938082816000</v>
      </c>
      <c r="AF2727" s="79">
        <v>44929.735532407409</v>
      </c>
      <c r="AG2727" s="85">
        <v>44929</v>
      </c>
      <c r="AH2727" s="82" t="s">
        <v>10212</v>
      </c>
      <c r="AI2727" s="77"/>
      <c r="AJ2727" s="77"/>
      <c r="AK2727" s="77"/>
      <c r="AL2727" s="77"/>
      <c r="AM2727" s="77"/>
      <c r="AN2727" s="77"/>
      <c r="AO2727" s="77"/>
      <c r="AP2727" s="77"/>
      <c r="AQ2727" s="77"/>
      <c r="AR2727" s="77"/>
      <c r="AS2727" s="77"/>
      <c r="AT2727" s="77"/>
      <c r="AU2727" s="77"/>
      <c r="AV2727" s="80" t="str">
        <f>HYPERLINK("https://pbs.twimg.com/profile_images/1417120451755663368/-SfZzyXw_normal.png")</f>
        <v>https://pbs.twimg.com/profile_images/1417120451755663368/-SfZzyXw_normal.png</v>
      </c>
      <c r="AW2727" s="82" t="s">
        <v>14882</v>
      </c>
      <c r="AX2727" s="82" t="s">
        <v>14882</v>
      </c>
      <c r="AY2727" s="77"/>
      <c r="AZ2727" s="82" t="s">
        <v>15804</v>
      </c>
      <c r="BA2727" s="82" t="s">
        <v>15804</v>
      </c>
      <c r="BB2727" s="82" t="s">
        <v>15804</v>
      </c>
      <c r="BC2727" s="82" t="s">
        <v>14882</v>
      </c>
      <c r="BD2727" s="82" t="s">
        <v>16574</v>
      </c>
      <c r="BE2727" s="77"/>
      <c r="BF2727" s="77"/>
      <c r="BG2727" s="77"/>
      <c r="BH2727" s="77"/>
      <c r="BI2727" s="77"/>
    </row>
    <row r="2728" spans="1:61" x14ac:dyDescent="0.25">
      <c r="A2728" s="62" t="s">
        <v>1003</v>
      </c>
      <c r="B2728" s="62" t="s">
        <v>1003</v>
      </c>
      <c r="C2728" s="63"/>
      <c r="D2728" s="64"/>
      <c r="E2728" s="65"/>
      <c r="F2728" s="66"/>
      <c r="G2728" s="63"/>
      <c r="H2728" s="67"/>
      <c r="I2728" s="68"/>
      <c r="J2728" s="68"/>
      <c r="K2728" s="32"/>
      <c r="L2728" s="75">
        <v>2728</v>
      </c>
      <c r="M2728" s="75"/>
      <c r="N2728" s="70"/>
      <c r="O2728" s="77" t="s">
        <v>179</v>
      </c>
      <c r="P2728" s="79">
        <v>45117.904756944445</v>
      </c>
      <c r="Q2728" s="77" t="s">
        <v>3740</v>
      </c>
      <c r="R2728" s="77">
        <v>0</v>
      </c>
      <c r="S2728" s="77">
        <v>1</v>
      </c>
      <c r="T2728" s="77">
        <v>0</v>
      </c>
      <c r="U2728" s="77">
        <v>0</v>
      </c>
      <c r="V2728" s="77">
        <v>54</v>
      </c>
      <c r="W2728" s="82" t="s">
        <v>5797</v>
      </c>
      <c r="X2728" s="80" t="str">
        <f>HYPERLINK("https://www.investidorfrugal.com/porque-nao-devemos-comprar-acoes-individuais-mas-sim-o-indice/")</f>
        <v>https://www.investidorfrugal.com/porque-nao-devemos-comprar-acoes-individuais-mas-sim-o-indice/</v>
      </c>
      <c r="Y2728" s="77" t="s">
        <v>6113</v>
      </c>
      <c r="Z2728" s="77"/>
      <c r="AA2728" s="77"/>
      <c r="AB2728" s="77"/>
      <c r="AC2728" s="82" t="s">
        <v>7706</v>
      </c>
      <c r="AD2728" s="77" t="s">
        <v>7745</v>
      </c>
      <c r="AE2728" s="80" t="str">
        <f>HYPERLINK("https://twitter.com/investfrugal/status/1678520182686339072")</f>
        <v>https://twitter.com/investfrugal/status/1678520182686339072</v>
      </c>
      <c r="AF2728" s="79">
        <v>45117.904756944445</v>
      </c>
      <c r="AG2728" s="85">
        <v>45117</v>
      </c>
      <c r="AH2728" s="82" t="s">
        <v>10213</v>
      </c>
      <c r="AI2728" s="77" t="b">
        <v>0</v>
      </c>
      <c r="AJ2728" s="77"/>
      <c r="AK2728" s="77"/>
      <c r="AL2728" s="77"/>
      <c r="AM2728" s="77"/>
      <c r="AN2728" s="77"/>
      <c r="AO2728" s="77"/>
      <c r="AP2728" s="77"/>
      <c r="AQ2728" s="77"/>
      <c r="AR2728" s="77"/>
      <c r="AS2728" s="77"/>
      <c r="AT2728" s="77"/>
      <c r="AU2728" s="77"/>
      <c r="AV2728" s="80" t="str">
        <f>HYPERLINK("https://pbs.twimg.com/profile_images/1417120451755663368/-SfZzyXw_normal.png")</f>
        <v>https://pbs.twimg.com/profile_images/1417120451755663368/-SfZzyXw_normal.png</v>
      </c>
      <c r="AW2728" s="82" t="s">
        <v>14883</v>
      </c>
      <c r="AX2728" s="82" t="s">
        <v>14883</v>
      </c>
      <c r="AY2728" s="77"/>
      <c r="AZ2728" s="82" t="s">
        <v>15804</v>
      </c>
      <c r="BA2728" s="82" t="s">
        <v>15804</v>
      </c>
      <c r="BB2728" s="82" t="s">
        <v>15804</v>
      </c>
      <c r="BC2728" s="82" t="s">
        <v>14883</v>
      </c>
      <c r="BD2728" s="82" t="s">
        <v>16574</v>
      </c>
      <c r="BE2728" s="77"/>
      <c r="BF2728" s="77"/>
      <c r="BG2728" s="77"/>
      <c r="BH2728" s="77"/>
      <c r="BI2728" s="77"/>
    </row>
    <row r="2729" spans="1:61" x14ac:dyDescent="0.25">
      <c r="A2729" s="62" t="s">
        <v>1003</v>
      </c>
      <c r="B2729" s="62" t="s">
        <v>1003</v>
      </c>
      <c r="C2729" s="63"/>
      <c r="D2729" s="64"/>
      <c r="E2729" s="65"/>
      <c r="F2729" s="66"/>
      <c r="G2729" s="63"/>
      <c r="H2729" s="67"/>
      <c r="I2729" s="68"/>
      <c r="J2729" s="68"/>
      <c r="K2729" s="32"/>
      <c r="L2729" s="75">
        <v>2729</v>
      </c>
      <c r="M2729" s="75"/>
      <c r="N2729" s="70"/>
      <c r="O2729" s="77" t="s">
        <v>179</v>
      </c>
      <c r="P2729" s="79">
        <v>45098.743055555555</v>
      </c>
      <c r="Q2729" s="77" t="s">
        <v>3741</v>
      </c>
      <c r="R2729" s="77">
        <v>0</v>
      </c>
      <c r="S2729" s="77">
        <v>2</v>
      </c>
      <c r="T2729" s="77">
        <v>0</v>
      </c>
      <c r="U2729" s="77">
        <v>0</v>
      </c>
      <c r="V2729" s="77">
        <v>91</v>
      </c>
      <c r="W2729" s="82" t="s">
        <v>5798</v>
      </c>
      <c r="X2729" s="77"/>
      <c r="Y2729" s="77"/>
      <c r="Z2729" s="77"/>
      <c r="AA2729" s="77" t="s">
        <v>7632</v>
      </c>
      <c r="AB2729" s="77" t="s">
        <v>7696</v>
      </c>
      <c r="AC2729" s="82" t="s">
        <v>7706</v>
      </c>
      <c r="AD2729" s="77" t="s">
        <v>7745</v>
      </c>
      <c r="AE2729" s="80" t="str">
        <f>HYPERLINK("https://twitter.com/investfrugal/status/1671576213725360130")</f>
        <v>https://twitter.com/investfrugal/status/1671576213725360130</v>
      </c>
      <c r="AF2729" s="79">
        <v>45098.743055555555</v>
      </c>
      <c r="AG2729" s="85">
        <v>45098</v>
      </c>
      <c r="AH2729" s="82" t="s">
        <v>10214</v>
      </c>
      <c r="AI2729" s="77" t="b">
        <v>0</v>
      </c>
      <c r="AJ2729" s="77"/>
      <c r="AK2729" s="77"/>
      <c r="AL2729" s="77"/>
      <c r="AM2729" s="77"/>
      <c r="AN2729" s="77"/>
      <c r="AO2729" s="77"/>
      <c r="AP2729" s="77"/>
      <c r="AQ2729" s="77" t="s">
        <v>12138</v>
      </c>
      <c r="AR2729" s="77"/>
      <c r="AS2729" s="77"/>
      <c r="AT2729" s="77"/>
      <c r="AU2729" s="77"/>
      <c r="AV2729" s="80" t="str">
        <f>HYPERLINK("https://pbs.twimg.com/media/FzKhrgLWYAEY4A-.jpg")</f>
        <v>https://pbs.twimg.com/media/FzKhrgLWYAEY4A-.jpg</v>
      </c>
      <c r="AW2729" s="82" t="s">
        <v>14884</v>
      </c>
      <c r="AX2729" s="82" t="s">
        <v>14884</v>
      </c>
      <c r="AY2729" s="77"/>
      <c r="AZ2729" s="82" t="s">
        <v>15804</v>
      </c>
      <c r="BA2729" s="82" t="s">
        <v>15804</v>
      </c>
      <c r="BB2729" s="82" t="s">
        <v>15804</v>
      </c>
      <c r="BC2729" s="82" t="s">
        <v>14884</v>
      </c>
      <c r="BD2729" s="82" t="s">
        <v>16574</v>
      </c>
      <c r="BE2729" s="77"/>
      <c r="BF2729" s="77"/>
      <c r="BG2729" s="77"/>
      <c r="BH2729" s="77"/>
      <c r="BI2729" s="77"/>
    </row>
    <row r="2730" spans="1:61" x14ac:dyDescent="0.25">
      <c r="A2730" s="62" t="s">
        <v>1003</v>
      </c>
      <c r="B2730" s="62" t="s">
        <v>1003</v>
      </c>
      <c r="C2730" s="63"/>
      <c r="D2730" s="64"/>
      <c r="E2730" s="65"/>
      <c r="F2730" s="66"/>
      <c r="G2730" s="63"/>
      <c r="H2730" s="67"/>
      <c r="I2730" s="68"/>
      <c r="J2730" s="68"/>
      <c r="K2730" s="32"/>
      <c r="L2730" s="75">
        <v>2730</v>
      </c>
      <c r="M2730" s="75"/>
      <c r="N2730" s="70"/>
      <c r="O2730" s="77" t="s">
        <v>179</v>
      </c>
      <c r="P2730" s="79">
        <v>45051.711238425924</v>
      </c>
      <c r="Q2730" s="77" t="s">
        <v>3742</v>
      </c>
      <c r="R2730" s="77">
        <v>0</v>
      </c>
      <c r="S2730" s="77">
        <v>0</v>
      </c>
      <c r="T2730" s="77">
        <v>0</v>
      </c>
      <c r="U2730" s="77">
        <v>0</v>
      </c>
      <c r="V2730" s="77">
        <v>66</v>
      </c>
      <c r="W2730" s="82" t="s">
        <v>5799</v>
      </c>
      <c r="X2730" s="77"/>
      <c r="Y2730" s="77"/>
      <c r="Z2730" s="77"/>
      <c r="AA2730" s="77" t="s">
        <v>7633</v>
      </c>
      <c r="AB2730" s="77" t="s">
        <v>7696</v>
      </c>
      <c r="AC2730" s="82" t="s">
        <v>7706</v>
      </c>
      <c r="AD2730" s="77" t="s">
        <v>7745</v>
      </c>
      <c r="AE2730" s="80" t="str">
        <f>HYPERLINK("https://twitter.com/investfrugal/status/1654532453447368704")</f>
        <v>https://twitter.com/investfrugal/status/1654532453447368704</v>
      </c>
      <c r="AF2730" s="79">
        <v>45051.711238425924</v>
      </c>
      <c r="AG2730" s="85">
        <v>45051</v>
      </c>
      <c r="AH2730" s="82" t="s">
        <v>10215</v>
      </c>
      <c r="AI2730" s="77" t="b">
        <v>0</v>
      </c>
      <c r="AJ2730" s="77"/>
      <c r="AK2730" s="77"/>
      <c r="AL2730" s="77"/>
      <c r="AM2730" s="77"/>
      <c r="AN2730" s="77"/>
      <c r="AO2730" s="77"/>
      <c r="AP2730" s="77"/>
      <c r="AQ2730" s="77" t="s">
        <v>12139</v>
      </c>
      <c r="AR2730" s="77"/>
      <c r="AS2730" s="77"/>
      <c r="AT2730" s="77"/>
      <c r="AU2730" s="77"/>
      <c r="AV2730" s="80" t="str">
        <f>HYPERLINK("https://pbs.twimg.com/media/FvYUe6rWIAEFOrf.jpg")</f>
        <v>https://pbs.twimg.com/media/FvYUe6rWIAEFOrf.jpg</v>
      </c>
      <c r="AW2730" s="82" t="s">
        <v>14885</v>
      </c>
      <c r="AX2730" s="82" t="s">
        <v>14885</v>
      </c>
      <c r="AY2730" s="77"/>
      <c r="AZ2730" s="82" t="s">
        <v>15804</v>
      </c>
      <c r="BA2730" s="82" t="s">
        <v>15804</v>
      </c>
      <c r="BB2730" s="82" t="s">
        <v>15804</v>
      </c>
      <c r="BC2730" s="82" t="s">
        <v>14885</v>
      </c>
      <c r="BD2730" s="82" t="s">
        <v>16574</v>
      </c>
      <c r="BE2730" s="77"/>
      <c r="BF2730" s="77"/>
      <c r="BG2730" s="77"/>
      <c r="BH2730" s="77"/>
      <c r="BI2730" s="77"/>
    </row>
    <row r="2731" spans="1:61" x14ac:dyDescent="0.25">
      <c r="A2731" s="62" t="s">
        <v>1003</v>
      </c>
      <c r="B2731" s="62" t="s">
        <v>1003</v>
      </c>
      <c r="C2731" s="63"/>
      <c r="D2731" s="64"/>
      <c r="E2731" s="65"/>
      <c r="F2731" s="66"/>
      <c r="G2731" s="63"/>
      <c r="H2731" s="67"/>
      <c r="I2731" s="68"/>
      <c r="J2731" s="68"/>
      <c r="K2731" s="32"/>
      <c r="L2731" s="75">
        <v>2731</v>
      </c>
      <c r="M2731" s="75"/>
      <c r="N2731" s="70"/>
      <c r="O2731" s="77" t="s">
        <v>179</v>
      </c>
      <c r="P2731" s="79">
        <v>45122.88082175926</v>
      </c>
      <c r="Q2731" s="77" t="s">
        <v>3743</v>
      </c>
      <c r="R2731" s="77">
        <v>0</v>
      </c>
      <c r="S2731" s="77">
        <v>0</v>
      </c>
      <c r="T2731" s="77">
        <v>0</v>
      </c>
      <c r="U2731" s="77">
        <v>0</v>
      </c>
      <c r="V2731" s="77">
        <v>66</v>
      </c>
      <c r="W2731" s="82" t="s">
        <v>5792</v>
      </c>
      <c r="X2731" s="77"/>
      <c r="Y2731" s="77"/>
      <c r="Z2731" s="77"/>
      <c r="AA2731" s="77" t="s">
        <v>7634</v>
      </c>
      <c r="AB2731" s="77" t="s">
        <v>7696</v>
      </c>
      <c r="AC2731" s="82" t="s">
        <v>7706</v>
      </c>
      <c r="AD2731" s="77" t="s">
        <v>7745</v>
      </c>
      <c r="AE2731" s="80" t="str">
        <f>HYPERLINK("https://twitter.com/investfrugal/status/1680323448910802947")</f>
        <v>https://twitter.com/investfrugal/status/1680323448910802947</v>
      </c>
      <c r="AF2731" s="79">
        <v>45122.88082175926</v>
      </c>
      <c r="AG2731" s="85">
        <v>45122</v>
      </c>
      <c r="AH2731" s="82" t="s">
        <v>10216</v>
      </c>
      <c r="AI2731" s="77" t="b">
        <v>0</v>
      </c>
      <c r="AJ2731" s="77"/>
      <c r="AK2731" s="77"/>
      <c r="AL2731" s="77"/>
      <c r="AM2731" s="77"/>
      <c r="AN2731" s="77"/>
      <c r="AO2731" s="77"/>
      <c r="AP2731" s="77"/>
      <c r="AQ2731" s="77" t="s">
        <v>12140</v>
      </c>
      <c r="AR2731" s="77"/>
      <c r="AS2731" s="77"/>
      <c r="AT2731" s="77"/>
      <c r="AU2731" s="77"/>
      <c r="AV2731" s="80" t="str">
        <f>HYPERLINK("https://pbs.twimg.com/media/F1G1QZbX0AAFXWo.png")</f>
        <v>https://pbs.twimg.com/media/F1G1QZbX0AAFXWo.png</v>
      </c>
      <c r="AW2731" s="82" t="s">
        <v>14886</v>
      </c>
      <c r="AX2731" s="82" t="s">
        <v>14886</v>
      </c>
      <c r="AY2731" s="77"/>
      <c r="AZ2731" s="82" t="s">
        <v>15804</v>
      </c>
      <c r="BA2731" s="82" t="s">
        <v>15804</v>
      </c>
      <c r="BB2731" s="82" t="s">
        <v>15804</v>
      </c>
      <c r="BC2731" s="82" t="s">
        <v>14886</v>
      </c>
      <c r="BD2731" s="82" t="s">
        <v>16574</v>
      </c>
      <c r="BE2731" s="77"/>
      <c r="BF2731" s="77"/>
      <c r="BG2731" s="77"/>
      <c r="BH2731" s="77"/>
      <c r="BI2731" s="77"/>
    </row>
    <row r="2732" spans="1:61" x14ac:dyDescent="0.25">
      <c r="A2732" s="62" t="s">
        <v>1003</v>
      </c>
      <c r="B2732" s="62" t="s">
        <v>1003</v>
      </c>
      <c r="C2732" s="63"/>
      <c r="D2732" s="64"/>
      <c r="E2732" s="65"/>
      <c r="F2732" s="66"/>
      <c r="G2732" s="63"/>
      <c r="H2732" s="67"/>
      <c r="I2732" s="68"/>
      <c r="J2732" s="68"/>
      <c r="K2732" s="32"/>
      <c r="L2732" s="75">
        <v>2732</v>
      </c>
      <c r="M2732" s="75"/>
      <c r="N2732" s="70"/>
      <c r="O2732" s="77" t="s">
        <v>179</v>
      </c>
      <c r="P2732" s="79">
        <v>45106.67732638889</v>
      </c>
      <c r="Q2732" s="77" t="s">
        <v>3744</v>
      </c>
      <c r="R2732" s="77">
        <v>0</v>
      </c>
      <c r="S2732" s="77">
        <v>0</v>
      </c>
      <c r="T2732" s="77">
        <v>0</v>
      </c>
      <c r="U2732" s="77">
        <v>0</v>
      </c>
      <c r="V2732" s="77">
        <v>54</v>
      </c>
      <c r="W2732" s="82" t="s">
        <v>5733</v>
      </c>
      <c r="X2732" s="80" t="str">
        <f>HYPERLINK("https://www.investidorfrugal.com/portfolio-if-2042-atualizacao-2ot-2023/")</f>
        <v>https://www.investidorfrugal.com/portfolio-if-2042-atualizacao-2ot-2023/</v>
      </c>
      <c r="Y2732" s="77" t="s">
        <v>6113</v>
      </c>
      <c r="Z2732" s="77"/>
      <c r="AA2732" s="77"/>
      <c r="AB2732" s="77"/>
      <c r="AC2732" s="82" t="s">
        <v>7706</v>
      </c>
      <c r="AD2732" s="77" t="s">
        <v>7745</v>
      </c>
      <c r="AE2732" s="80" t="str">
        <f>HYPERLINK("https://twitter.com/investfrugal/status/1674451499135520769")</f>
        <v>https://twitter.com/investfrugal/status/1674451499135520769</v>
      </c>
      <c r="AF2732" s="79">
        <v>45106.67732638889</v>
      </c>
      <c r="AG2732" s="85">
        <v>45106</v>
      </c>
      <c r="AH2732" s="82" t="s">
        <v>10217</v>
      </c>
      <c r="AI2732" s="77" t="b">
        <v>0</v>
      </c>
      <c r="AJ2732" s="77"/>
      <c r="AK2732" s="77"/>
      <c r="AL2732" s="77"/>
      <c r="AM2732" s="77"/>
      <c r="AN2732" s="77"/>
      <c r="AO2732" s="77"/>
      <c r="AP2732" s="77"/>
      <c r="AQ2732" s="77"/>
      <c r="AR2732" s="77"/>
      <c r="AS2732" s="77"/>
      <c r="AT2732" s="77"/>
      <c r="AU2732" s="77"/>
      <c r="AV2732" s="80" t="str">
        <f>HYPERLINK("https://pbs.twimg.com/profile_images/1417120451755663368/-SfZzyXw_normal.png")</f>
        <v>https://pbs.twimg.com/profile_images/1417120451755663368/-SfZzyXw_normal.png</v>
      </c>
      <c r="AW2732" s="82" t="s">
        <v>14887</v>
      </c>
      <c r="AX2732" s="82" t="s">
        <v>14887</v>
      </c>
      <c r="AY2732" s="77"/>
      <c r="AZ2732" s="82" t="s">
        <v>15804</v>
      </c>
      <c r="BA2732" s="82" t="s">
        <v>15804</v>
      </c>
      <c r="BB2732" s="82" t="s">
        <v>15804</v>
      </c>
      <c r="BC2732" s="82" t="s">
        <v>14887</v>
      </c>
      <c r="BD2732" s="82" t="s">
        <v>16574</v>
      </c>
      <c r="BE2732" s="77"/>
      <c r="BF2732" s="77"/>
      <c r="BG2732" s="77"/>
      <c r="BH2732" s="77"/>
      <c r="BI2732" s="77"/>
    </row>
    <row r="2733" spans="1:61" x14ac:dyDescent="0.25">
      <c r="A2733" s="62" t="s">
        <v>1003</v>
      </c>
      <c r="B2733" s="62" t="s">
        <v>1003</v>
      </c>
      <c r="C2733" s="63"/>
      <c r="D2733" s="64"/>
      <c r="E2733" s="65"/>
      <c r="F2733" s="66"/>
      <c r="G2733" s="63"/>
      <c r="H2733" s="67"/>
      <c r="I2733" s="68"/>
      <c r="J2733" s="68"/>
      <c r="K2733" s="32"/>
      <c r="L2733" s="75">
        <v>2733</v>
      </c>
      <c r="M2733" s="75"/>
      <c r="N2733" s="70"/>
      <c r="O2733" s="77" t="s">
        <v>179</v>
      </c>
      <c r="P2733" s="79">
        <v>45013.650081018517</v>
      </c>
      <c r="Q2733" s="77" t="s">
        <v>3745</v>
      </c>
      <c r="R2733" s="77">
        <v>0</v>
      </c>
      <c r="S2733" s="77">
        <v>0</v>
      </c>
      <c r="T2733" s="77">
        <v>0</v>
      </c>
      <c r="U2733" s="77">
        <v>0</v>
      </c>
      <c r="V2733" s="77">
        <v>31</v>
      </c>
      <c r="W2733" s="82" t="s">
        <v>5800</v>
      </c>
      <c r="X2733" s="77"/>
      <c r="Y2733" s="77"/>
      <c r="Z2733" s="77"/>
      <c r="AA2733" s="77" t="s">
        <v>7635</v>
      </c>
      <c r="AB2733" s="77" t="s">
        <v>7696</v>
      </c>
      <c r="AC2733" s="82" t="s">
        <v>7706</v>
      </c>
      <c r="AD2733" s="77" t="s">
        <v>7745</v>
      </c>
      <c r="AE2733" s="80" t="str">
        <f>HYPERLINK("https://twitter.com/investfrugal/status/1640739553727086594")</f>
        <v>https://twitter.com/investfrugal/status/1640739553727086594</v>
      </c>
      <c r="AF2733" s="79">
        <v>45013.650081018517</v>
      </c>
      <c r="AG2733" s="85">
        <v>45013</v>
      </c>
      <c r="AH2733" s="82" t="s">
        <v>10218</v>
      </c>
      <c r="AI2733" s="77" t="b">
        <v>0</v>
      </c>
      <c r="AJ2733" s="77"/>
      <c r="AK2733" s="77"/>
      <c r="AL2733" s="77"/>
      <c r="AM2733" s="77"/>
      <c r="AN2733" s="77"/>
      <c r="AO2733" s="77"/>
      <c r="AP2733" s="77"/>
      <c r="AQ2733" s="77" t="s">
        <v>12141</v>
      </c>
      <c r="AR2733" s="77"/>
      <c r="AS2733" s="77"/>
      <c r="AT2733" s="77"/>
      <c r="AU2733" s="77"/>
      <c r="AV2733" s="80" t="str">
        <f>HYPERLINK("https://pbs.twimg.com/media/FsUT6ckXoAMQ46c.jpg")</f>
        <v>https://pbs.twimg.com/media/FsUT6ckXoAMQ46c.jpg</v>
      </c>
      <c r="AW2733" s="82" t="s">
        <v>14888</v>
      </c>
      <c r="AX2733" s="82" t="s">
        <v>14888</v>
      </c>
      <c r="AY2733" s="77"/>
      <c r="AZ2733" s="82" t="s">
        <v>15804</v>
      </c>
      <c r="BA2733" s="82" t="s">
        <v>15804</v>
      </c>
      <c r="BB2733" s="82" t="s">
        <v>15804</v>
      </c>
      <c r="BC2733" s="82" t="s">
        <v>14888</v>
      </c>
      <c r="BD2733" s="82" t="s">
        <v>16574</v>
      </c>
      <c r="BE2733" s="77"/>
      <c r="BF2733" s="77"/>
      <c r="BG2733" s="77"/>
      <c r="BH2733" s="77"/>
      <c r="BI2733" s="77"/>
    </row>
    <row r="2734" spans="1:61" x14ac:dyDescent="0.25">
      <c r="A2734" s="62" t="s">
        <v>1003</v>
      </c>
      <c r="B2734" s="62" t="s">
        <v>1003</v>
      </c>
      <c r="C2734" s="63"/>
      <c r="D2734" s="64"/>
      <c r="E2734" s="65"/>
      <c r="F2734" s="66"/>
      <c r="G2734" s="63"/>
      <c r="H2734" s="67"/>
      <c r="I2734" s="68"/>
      <c r="J2734" s="68"/>
      <c r="K2734" s="32"/>
      <c r="L2734" s="75">
        <v>2734</v>
      </c>
      <c r="M2734" s="75"/>
      <c r="N2734" s="70"/>
      <c r="O2734" s="77" t="s">
        <v>179</v>
      </c>
      <c r="P2734" s="79">
        <v>44961.16369212963</v>
      </c>
      <c r="Q2734" s="77" t="s">
        <v>3746</v>
      </c>
      <c r="R2734" s="77">
        <v>0</v>
      </c>
      <c r="S2734" s="77">
        <v>0</v>
      </c>
      <c r="T2734" s="77">
        <v>0</v>
      </c>
      <c r="U2734" s="77">
        <v>0</v>
      </c>
      <c r="V2734" s="77">
        <v>17</v>
      </c>
      <c r="W2734" s="82" t="s">
        <v>5801</v>
      </c>
      <c r="X2734" s="80" t="str">
        <f>HYPERLINK("https://investidorfrugal.com/wp-content/uploads/Investidor-Frugal-Portfolios-Modelo.pdf")</f>
        <v>https://investidorfrugal.com/wp-content/uploads/Investidor-Frugal-Portfolios-Modelo.pdf</v>
      </c>
      <c r="Y2734" s="77" t="s">
        <v>6113</v>
      </c>
      <c r="Z2734" s="77"/>
      <c r="AA2734" s="77" t="s">
        <v>7636</v>
      </c>
      <c r="AB2734" s="77" t="s">
        <v>7696</v>
      </c>
      <c r="AC2734" s="82" t="s">
        <v>7706</v>
      </c>
      <c r="AD2734" s="77" t="s">
        <v>7745</v>
      </c>
      <c r="AE2734" s="80" t="str">
        <f>HYPERLINK("https://twitter.com/investfrugal/status/1621719120784891908")</f>
        <v>https://twitter.com/investfrugal/status/1621719120784891908</v>
      </c>
      <c r="AF2734" s="79">
        <v>44961.16369212963</v>
      </c>
      <c r="AG2734" s="85">
        <v>44961</v>
      </c>
      <c r="AH2734" s="82" t="s">
        <v>10219</v>
      </c>
      <c r="AI2734" s="77" t="b">
        <v>0</v>
      </c>
      <c r="AJ2734" s="77"/>
      <c r="AK2734" s="77"/>
      <c r="AL2734" s="77"/>
      <c r="AM2734" s="77"/>
      <c r="AN2734" s="77"/>
      <c r="AO2734" s="77"/>
      <c r="AP2734" s="77"/>
      <c r="AQ2734" s="77" t="s">
        <v>12142</v>
      </c>
      <c r="AR2734" s="77"/>
      <c r="AS2734" s="77"/>
      <c r="AT2734" s="77"/>
      <c r="AU2734" s="77"/>
      <c r="AV2734" s="80" t="str">
        <f>HYPERLINK("https://pbs.twimg.com/media/FoGA8HMXwAYTfyS.jpg")</f>
        <v>https://pbs.twimg.com/media/FoGA8HMXwAYTfyS.jpg</v>
      </c>
      <c r="AW2734" s="82" t="s">
        <v>14889</v>
      </c>
      <c r="AX2734" s="82" t="s">
        <v>14889</v>
      </c>
      <c r="AY2734" s="77"/>
      <c r="AZ2734" s="82" t="s">
        <v>15804</v>
      </c>
      <c r="BA2734" s="82" t="s">
        <v>15804</v>
      </c>
      <c r="BB2734" s="82" t="s">
        <v>15804</v>
      </c>
      <c r="BC2734" s="82" t="s">
        <v>14889</v>
      </c>
      <c r="BD2734" s="82" t="s">
        <v>16574</v>
      </c>
      <c r="BE2734" s="77"/>
      <c r="BF2734" s="77"/>
      <c r="BG2734" s="77"/>
      <c r="BH2734" s="77"/>
      <c r="BI2734" s="77"/>
    </row>
    <row r="2735" spans="1:61" x14ac:dyDescent="0.25">
      <c r="A2735" s="62" t="s">
        <v>1003</v>
      </c>
      <c r="B2735" s="62" t="s">
        <v>1003</v>
      </c>
      <c r="C2735" s="63"/>
      <c r="D2735" s="64"/>
      <c r="E2735" s="65"/>
      <c r="F2735" s="66"/>
      <c r="G2735" s="63"/>
      <c r="H2735" s="67"/>
      <c r="I2735" s="68"/>
      <c r="J2735" s="68"/>
      <c r="K2735" s="32"/>
      <c r="L2735" s="75">
        <v>2735</v>
      </c>
      <c r="M2735" s="75"/>
      <c r="N2735" s="70"/>
      <c r="O2735" s="77" t="s">
        <v>179</v>
      </c>
      <c r="P2735" s="79">
        <v>45139.566435185188</v>
      </c>
      <c r="Q2735" s="77" t="s">
        <v>3747</v>
      </c>
      <c r="R2735" s="77">
        <v>0</v>
      </c>
      <c r="S2735" s="77">
        <v>3</v>
      </c>
      <c r="T2735" s="77">
        <v>1</v>
      </c>
      <c r="U2735" s="77">
        <v>0</v>
      </c>
      <c r="V2735" s="77">
        <v>131</v>
      </c>
      <c r="W2735" s="82" t="s">
        <v>5792</v>
      </c>
      <c r="X2735" s="77"/>
      <c r="Y2735" s="77"/>
      <c r="Z2735" s="77"/>
      <c r="AA2735" s="77" t="s">
        <v>7637</v>
      </c>
      <c r="AB2735" s="77" t="s">
        <v>7696</v>
      </c>
      <c r="AC2735" s="82" t="s">
        <v>7706</v>
      </c>
      <c r="AD2735" s="77" t="s">
        <v>7745</v>
      </c>
      <c r="AE2735" s="80" t="str">
        <f>HYPERLINK("https://twitter.com/investfrugal/status/1686370110838321154")</f>
        <v>https://twitter.com/investfrugal/status/1686370110838321154</v>
      </c>
      <c r="AF2735" s="79">
        <v>45139.566435185188</v>
      </c>
      <c r="AG2735" s="85">
        <v>45139</v>
      </c>
      <c r="AH2735" s="82" t="s">
        <v>10220</v>
      </c>
      <c r="AI2735" s="77" t="b">
        <v>0</v>
      </c>
      <c r="AJ2735" s="77"/>
      <c r="AK2735" s="77"/>
      <c r="AL2735" s="77"/>
      <c r="AM2735" s="77"/>
      <c r="AN2735" s="77"/>
      <c r="AO2735" s="77"/>
      <c r="AP2735" s="77"/>
      <c r="AQ2735" s="77" t="s">
        <v>12143</v>
      </c>
      <c r="AR2735" s="77"/>
      <c r="AS2735" s="77"/>
      <c r="AT2735" s="77"/>
      <c r="AU2735" s="77"/>
      <c r="AV2735" s="80" t="str">
        <f>HYPERLINK("https://pbs.twimg.com/media/F2cwo2FagAAtJoi.png")</f>
        <v>https://pbs.twimg.com/media/F2cwo2FagAAtJoi.png</v>
      </c>
      <c r="AW2735" s="82" t="s">
        <v>14890</v>
      </c>
      <c r="AX2735" s="82" t="s">
        <v>14890</v>
      </c>
      <c r="AY2735" s="77"/>
      <c r="AZ2735" s="82" t="s">
        <v>15804</v>
      </c>
      <c r="BA2735" s="82" t="s">
        <v>15804</v>
      </c>
      <c r="BB2735" s="82" t="s">
        <v>15804</v>
      </c>
      <c r="BC2735" s="82" t="s">
        <v>14890</v>
      </c>
      <c r="BD2735" s="82" t="s">
        <v>16574</v>
      </c>
      <c r="BE2735" s="77"/>
      <c r="BF2735" s="77"/>
      <c r="BG2735" s="77"/>
      <c r="BH2735" s="77"/>
      <c r="BI2735" s="77"/>
    </row>
    <row r="2736" spans="1:61" x14ac:dyDescent="0.25">
      <c r="A2736" s="62" t="s">
        <v>1003</v>
      </c>
      <c r="B2736" s="62" t="s">
        <v>1003</v>
      </c>
      <c r="C2736" s="63"/>
      <c r="D2736" s="64"/>
      <c r="E2736" s="65"/>
      <c r="F2736" s="66"/>
      <c r="G2736" s="63"/>
      <c r="H2736" s="67"/>
      <c r="I2736" s="68"/>
      <c r="J2736" s="68"/>
      <c r="K2736" s="32"/>
      <c r="L2736" s="75">
        <v>2736</v>
      </c>
      <c r="M2736" s="75"/>
      <c r="N2736" s="70"/>
      <c r="O2736" s="77" t="s">
        <v>179</v>
      </c>
      <c r="P2736" s="79">
        <v>45020.718136574076</v>
      </c>
      <c r="Q2736" s="77" t="s">
        <v>3748</v>
      </c>
      <c r="R2736" s="77">
        <v>0</v>
      </c>
      <c r="S2736" s="77">
        <v>0</v>
      </c>
      <c r="T2736" s="77">
        <v>0</v>
      </c>
      <c r="U2736" s="77">
        <v>0</v>
      </c>
      <c r="V2736" s="77">
        <v>31</v>
      </c>
      <c r="W2736" s="82" t="s">
        <v>5802</v>
      </c>
      <c r="X2736" s="77"/>
      <c r="Y2736" s="77"/>
      <c r="Z2736" s="77"/>
      <c r="AA2736" s="77" t="s">
        <v>7638</v>
      </c>
      <c r="AB2736" s="77" t="s">
        <v>7696</v>
      </c>
      <c r="AC2736" s="82" t="s">
        <v>7706</v>
      </c>
      <c r="AD2736" s="77" t="s">
        <v>7745</v>
      </c>
      <c r="AE2736" s="80" t="str">
        <f>HYPERLINK("https://twitter.com/investfrugal/status/1643300928852746266")</f>
        <v>https://twitter.com/investfrugal/status/1643300928852746266</v>
      </c>
      <c r="AF2736" s="79">
        <v>45020.718136574076</v>
      </c>
      <c r="AG2736" s="85">
        <v>45020</v>
      </c>
      <c r="AH2736" s="82" t="s">
        <v>10221</v>
      </c>
      <c r="AI2736" s="77" t="b">
        <v>0</v>
      </c>
      <c r="AJ2736" s="77"/>
      <c r="AK2736" s="77"/>
      <c r="AL2736" s="77"/>
      <c r="AM2736" s="77"/>
      <c r="AN2736" s="77"/>
      <c r="AO2736" s="77"/>
      <c r="AP2736" s="77"/>
      <c r="AQ2736" s="77" t="s">
        <v>12144</v>
      </c>
      <c r="AR2736" s="77"/>
      <c r="AS2736" s="77"/>
      <c r="AT2736" s="77"/>
      <c r="AU2736" s="77"/>
      <c r="AV2736" s="80" t="str">
        <f>HYPERLINK("https://pbs.twimg.com/media/Fs4tXKYWYAcdxfG.jpg")</f>
        <v>https://pbs.twimg.com/media/Fs4tXKYWYAcdxfG.jpg</v>
      </c>
      <c r="AW2736" s="82" t="s">
        <v>14891</v>
      </c>
      <c r="AX2736" s="82" t="s">
        <v>14891</v>
      </c>
      <c r="AY2736" s="77"/>
      <c r="AZ2736" s="82" t="s">
        <v>15804</v>
      </c>
      <c r="BA2736" s="82" t="s">
        <v>15804</v>
      </c>
      <c r="BB2736" s="82" t="s">
        <v>15804</v>
      </c>
      <c r="BC2736" s="82" t="s">
        <v>14891</v>
      </c>
      <c r="BD2736" s="82" t="s">
        <v>16574</v>
      </c>
      <c r="BE2736" s="77"/>
      <c r="BF2736" s="77"/>
      <c r="BG2736" s="77"/>
      <c r="BH2736" s="77"/>
      <c r="BI2736" s="77"/>
    </row>
    <row r="2737" spans="1:61" x14ac:dyDescent="0.25">
      <c r="A2737" s="62" t="s">
        <v>1003</v>
      </c>
      <c r="B2737" s="62" t="s">
        <v>1003</v>
      </c>
      <c r="C2737" s="63"/>
      <c r="D2737" s="64"/>
      <c r="E2737" s="65"/>
      <c r="F2737" s="66"/>
      <c r="G2737" s="63"/>
      <c r="H2737" s="67"/>
      <c r="I2737" s="68"/>
      <c r="J2737" s="68"/>
      <c r="K2737" s="32"/>
      <c r="L2737" s="75">
        <v>2737</v>
      </c>
      <c r="M2737" s="75"/>
      <c r="N2737" s="70"/>
      <c r="O2737" s="77" t="s">
        <v>179</v>
      </c>
      <c r="P2737" s="79">
        <v>45016.777939814812</v>
      </c>
      <c r="Q2737" s="77" t="s">
        <v>3749</v>
      </c>
      <c r="R2737" s="77">
        <v>0</v>
      </c>
      <c r="S2737" s="77">
        <v>0</v>
      </c>
      <c r="T2737" s="77">
        <v>0</v>
      </c>
      <c r="U2737" s="77">
        <v>0</v>
      </c>
      <c r="V2737" s="77">
        <v>43</v>
      </c>
      <c r="W2737" s="82" t="s">
        <v>5803</v>
      </c>
      <c r="X2737" s="77"/>
      <c r="Y2737" s="77"/>
      <c r="Z2737" s="77"/>
      <c r="AA2737" s="77" t="s">
        <v>7639</v>
      </c>
      <c r="AB2737" s="77" t="s">
        <v>7698</v>
      </c>
      <c r="AC2737" s="82" t="s">
        <v>7706</v>
      </c>
      <c r="AD2737" s="77" t="s">
        <v>7745</v>
      </c>
      <c r="AE2737" s="80" t="str">
        <f>HYPERLINK("https://twitter.com/investfrugal/status/1641873051225579536")</f>
        <v>https://twitter.com/investfrugal/status/1641873051225579536</v>
      </c>
      <c r="AF2737" s="79">
        <v>45016.777939814812</v>
      </c>
      <c r="AG2737" s="85">
        <v>45016</v>
      </c>
      <c r="AH2737" s="82" t="s">
        <v>10222</v>
      </c>
      <c r="AI2737" s="77" t="b">
        <v>0</v>
      </c>
      <c r="AJ2737" s="77"/>
      <c r="AK2737" s="77"/>
      <c r="AL2737" s="77"/>
      <c r="AM2737" s="77"/>
      <c r="AN2737" s="77"/>
      <c r="AO2737" s="77"/>
      <c r="AP2737" s="77"/>
      <c r="AQ2737" s="77" t="s">
        <v>12145</v>
      </c>
      <c r="AR2737" s="77"/>
      <c r="AS2737" s="77"/>
      <c r="AT2737" s="77"/>
      <c r="AU2737" s="77"/>
      <c r="AV2737" s="80" t="str">
        <f>HYPERLINK("https://pbs.twimg.com/media/Fska0ThWAAE-QBY.jpg")</f>
        <v>https://pbs.twimg.com/media/Fska0ThWAAE-QBY.jpg</v>
      </c>
      <c r="AW2737" s="82" t="s">
        <v>14892</v>
      </c>
      <c r="AX2737" s="82" t="s">
        <v>14892</v>
      </c>
      <c r="AY2737" s="77"/>
      <c r="AZ2737" s="82" t="s">
        <v>15804</v>
      </c>
      <c r="BA2737" s="82" t="s">
        <v>15804</v>
      </c>
      <c r="BB2737" s="82" t="s">
        <v>15804</v>
      </c>
      <c r="BC2737" s="82" t="s">
        <v>14892</v>
      </c>
      <c r="BD2737" s="82" t="s">
        <v>16574</v>
      </c>
      <c r="BE2737" s="77"/>
      <c r="BF2737" s="77"/>
      <c r="BG2737" s="77"/>
      <c r="BH2737" s="77"/>
      <c r="BI2737" s="77"/>
    </row>
    <row r="2738" spans="1:61" x14ac:dyDescent="0.25">
      <c r="A2738" s="62" t="s">
        <v>1003</v>
      </c>
      <c r="B2738" s="62" t="s">
        <v>1003</v>
      </c>
      <c r="C2738" s="63"/>
      <c r="D2738" s="64"/>
      <c r="E2738" s="65"/>
      <c r="F2738" s="66"/>
      <c r="G2738" s="63"/>
      <c r="H2738" s="67"/>
      <c r="I2738" s="68"/>
      <c r="J2738" s="68"/>
      <c r="K2738" s="32"/>
      <c r="L2738" s="75">
        <v>2738</v>
      </c>
      <c r="M2738" s="75"/>
      <c r="N2738" s="70"/>
      <c r="O2738" s="77" t="s">
        <v>179</v>
      </c>
      <c r="P2738" s="79">
        <v>45137.332916666666</v>
      </c>
      <c r="Q2738" s="77" t="s">
        <v>3750</v>
      </c>
      <c r="R2738" s="77">
        <v>1</v>
      </c>
      <c r="S2738" s="77">
        <v>9</v>
      </c>
      <c r="T2738" s="77">
        <v>2</v>
      </c>
      <c r="U2738" s="77">
        <v>1</v>
      </c>
      <c r="V2738" s="77">
        <v>2681</v>
      </c>
      <c r="W2738" s="82" t="s">
        <v>5804</v>
      </c>
      <c r="X2738" s="80" t="str">
        <f>HYPERLINK("https://www.investidorfrugal.com/portugueses-desperdicam-anualmente-100-milhoes-de-euros-em-fundos-de-investimento-de-acoes/")</f>
        <v>https://www.investidorfrugal.com/portugueses-desperdicam-anualmente-100-milhoes-de-euros-em-fundos-de-investimento-de-acoes/</v>
      </c>
      <c r="Y2738" s="77" t="s">
        <v>6113</v>
      </c>
      <c r="Z2738" s="77"/>
      <c r="AA2738" s="77"/>
      <c r="AB2738" s="77"/>
      <c r="AC2738" s="82" t="s">
        <v>7706</v>
      </c>
      <c r="AD2738" s="77" t="s">
        <v>7745</v>
      </c>
      <c r="AE2738" s="80" t="str">
        <f>HYPERLINK("https://twitter.com/investfrugal/status/1685560712280616960")</f>
        <v>https://twitter.com/investfrugal/status/1685560712280616960</v>
      </c>
      <c r="AF2738" s="79">
        <v>45137.332916666666</v>
      </c>
      <c r="AG2738" s="85">
        <v>45137</v>
      </c>
      <c r="AH2738" s="82" t="s">
        <v>10223</v>
      </c>
      <c r="AI2738" s="77" t="b">
        <v>0</v>
      </c>
      <c r="AJ2738" s="77"/>
      <c r="AK2738" s="77"/>
      <c r="AL2738" s="77"/>
      <c r="AM2738" s="77"/>
      <c r="AN2738" s="77"/>
      <c r="AO2738" s="77"/>
      <c r="AP2738" s="77"/>
      <c r="AQ2738" s="77"/>
      <c r="AR2738" s="77"/>
      <c r="AS2738" s="77"/>
      <c r="AT2738" s="77"/>
      <c r="AU2738" s="77"/>
      <c r="AV2738" s="80" t="str">
        <f>HYPERLINK("https://pbs.twimg.com/profile_images/1417120451755663368/-SfZzyXw_normal.png")</f>
        <v>https://pbs.twimg.com/profile_images/1417120451755663368/-SfZzyXw_normal.png</v>
      </c>
      <c r="AW2738" s="82" t="s">
        <v>14893</v>
      </c>
      <c r="AX2738" s="82" t="s">
        <v>14893</v>
      </c>
      <c r="AY2738" s="77"/>
      <c r="AZ2738" s="82" t="s">
        <v>15804</v>
      </c>
      <c r="BA2738" s="82" t="s">
        <v>15804</v>
      </c>
      <c r="BB2738" s="82" t="s">
        <v>15804</v>
      </c>
      <c r="BC2738" s="82" t="s">
        <v>14893</v>
      </c>
      <c r="BD2738" s="82" t="s">
        <v>16574</v>
      </c>
      <c r="BE2738" s="77"/>
      <c r="BF2738" s="77"/>
      <c r="BG2738" s="77"/>
      <c r="BH2738" s="77"/>
      <c r="BI2738" s="77"/>
    </row>
    <row r="2739" spans="1:61" x14ac:dyDescent="0.25">
      <c r="A2739" s="62" t="s">
        <v>1003</v>
      </c>
      <c r="B2739" s="62" t="s">
        <v>1003</v>
      </c>
      <c r="C2739" s="63"/>
      <c r="D2739" s="64"/>
      <c r="E2739" s="65"/>
      <c r="F2739" s="66"/>
      <c r="G2739" s="63"/>
      <c r="H2739" s="67"/>
      <c r="I2739" s="68"/>
      <c r="J2739" s="68"/>
      <c r="K2739" s="32"/>
      <c r="L2739" s="75">
        <v>2739</v>
      </c>
      <c r="M2739" s="75"/>
      <c r="N2739" s="70"/>
      <c r="O2739" s="77" t="s">
        <v>179</v>
      </c>
      <c r="P2739" s="79">
        <v>45178.563842592594</v>
      </c>
      <c r="Q2739" s="77" t="s">
        <v>3751</v>
      </c>
      <c r="R2739" s="77">
        <v>1</v>
      </c>
      <c r="S2739" s="77">
        <v>3</v>
      </c>
      <c r="T2739" s="77">
        <v>0</v>
      </c>
      <c r="U2739" s="77">
        <v>0</v>
      </c>
      <c r="V2739" s="77">
        <v>153</v>
      </c>
      <c r="W2739" s="82" t="s">
        <v>5792</v>
      </c>
      <c r="X2739" s="77"/>
      <c r="Y2739" s="77"/>
      <c r="Z2739" s="77"/>
      <c r="AA2739" s="77" t="s">
        <v>7640</v>
      </c>
      <c r="AB2739" s="77" t="s">
        <v>7696</v>
      </c>
      <c r="AC2739" s="82" t="s">
        <v>7706</v>
      </c>
      <c r="AD2739" s="77" t="s">
        <v>7745</v>
      </c>
      <c r="AE2739" s="80" t="str">
        <f>HYPERLINK("https://twitter.com/investfrugal/status/1700502299842412607")</f>
        <v>https://twitter.com/investfrugal/status/1700502299842412607</v>
      </c>
      <c r="AF2739" s="79">
        <v>45178.563842592594</v>
      </c>
      <c r="AG2739" s="85">
        <v>45178</v>
      </c>
      <c r="AH2739" s="82" t="s">
        <v>10224</v>
      </c>
      <c r="AI2739" s="77" t="b">
        <v>0</v>
      </c>
      <c r="AJ2739" s="77"/>
      <c r="AK2739" s="77"/>
      <c r="AL2739" s="77"/>
      <c r="AM2739" s="77"/>
      <c r="AN2739" s="77"/>
      <c r="AO2739" s="77"/>
      <c r="AP2739" s="77"/>
      <c r="AQ2739" s="77" t="s">
        <v>12146</v>
      </c>
      <c r="AR2739" s="77"/>
      <c r="AS2739" s="77"/>
      <c r="AT2739" s="77"/>
      <c r="AU2739" s="77"/>
      <c r="AV2739" s="80" t="str">
        <f>HYPERLINK("https://pbs.twimg.com/media/F5llzeoXcAA8TBm.png")</f>
        <v>https://pbs.twimg.com/media/F5llzeoXcAA8TBm.png</v>
      </c>
      <c r="AW2739" s="82" t="s">
        <v>14894</v>
      </c>
      <c r="AX2739" s="82" t="s">
        <v>14894</v>
      </c>
      <c r="AY2739" s="77"/>
      <c r="AZ2739" s="82" t="s">
        <v>15804</v>
      </c>
      <c r="BA2739" s="82" t="s">
        <v>15804</v>
      </c>
      <c r="BB2739" s="82" t="s">
        <v>15804</v>
      </c>
      <c r="BC2739" s="82" t="s">
        <v>14894</v>
      </c>
      <c r="BD2739" s="82" t="s">
        <v>16574</v>
      </c>
      <c r="BE2739" s="77"/>
      <c r="BF2739" s="77"/>
      <c r="BG2739" s="77"/>
      <c r="BH2739" s="77"/>
      <c r="BI2739" s="77"/>
    </row>
    <row r="2740" spans="1:61" x14ac:dyDescent="0.25">
      <c r="A2740" s="62" t="s">
        <v>1003</v>
      </c>
      <c r="B2740" s="62" t="s">
        <v>1003</v>
      </c>
      <c r="C2740" s="63"/>
      <c r="D2740" s="64"/>
      <c r="E2740" s="65"/>
      <c r="F2740" s="66"/>
      <c r="G2740" s="63"/>
      <c r="H2740" s="67"/>
      <c r="I2740" s="68"/>
      <c r="J2740" s="68"/>
      <c r="K2740" s="32"/>
      <c r="L2740" s="75">
        <v>2740</v>
      </c>
      <c r="M2740" s="75"/>
      <c r="N2740" s="70"/>
      <c r="O2740" s="77" t="s">
        <v>179</v>
      </c>
      <c r="P2740" s="79">
        <v>45175.39984953704</v>
      </c>
      <c r="Q2740" s="77" t="s">
        <v>3752</v>
      </c>
      <c r="R2740" s="77">
        <v>0</v>
      </c>
      <c r="S2740" s="77">
        <v>0</v>
      </c>
      <c r="T2740" s="77">
        <v>0</v>
      </c>
      <c r="U2740" s="77">
        <v>0</v>
      </c>
      <c r="V2740" s="77">
        <v>81</v>
      </c>
      <c r="W2740" s="82" t="s">
        <v>5805</v>
      </c>
      <c r="X2740" s="77"/>
      <c r="Y2740" s="77"/>
      <c r="Z2740" s="77"/>
      <c r="AA2740" s="77" t="s">
        <v>7641</v>
      </c>
      <c r="AB2740" s="77" t="s">
        <v>7696</v>
      </c>
      <c r="AC2740" s="82" t="s">
        <v>7706</v>
      </c>
      <c r="AD2740" s="77" t="s">
        <v>7745</v>
      </c>
      <c r="AE2740" s="80" t="str">
        <f>HYPERLINK("https://twitter.com/investfrugal/status/1699355706090979633")</f>
        <v>https://twitter.com/investfrugal/status/1699355706090979633</v>
      </c>
      <c r="AF2740" s="79">
        <v>45175.39984953704</v>
      </c>
      <c r="AG2740" s="85">
        <v>45175</v>
      </c>
      <c r="AH2740" s="82" t="s">
        <v>10225</v>
      </c>
      <c r="AI2740" s="77" t="b">
        <v>0</v>
      </c>
      <c r="AJ2740" s="77"/>
      <c r="AK2740" s="77"/>
      <c r="AL2740" s="77"/>
      <c r="AM2740" s="77"/>
      <c r="AN2740" s="77"/>
      <c r="AO2740" s="77"/>
      <c r="AP2740" s="77"/>
      <c r="AQ2740" s="77" t="s">
        <v>12147</v>
      </c>
      <c r="AR2740" s="77"/>
      <c r="AS2740" s="77"/>
      <c r="AT2740" s="77"/>
      <c r="AU2740" s="77"/>
      <c r="AV2740" s="80" t="str">
        <f>HYPERLINK("https://pbs.twimg.com/media/F5VS__VXIAAmJOY.jpg")</f>
        <v>https://pbs.twimg.com/media/F5VS__VXIAAmJOY.jpg</v>
      </c>
      <c r="AW2740" s="82" t="s">
        <v>14895</v>
      </c>
      <c r="AX2740" s="82" t="s">
        <v>14895</v>
      </c>
      <c r="AY2740" s="77"/>
      <c r="AZ2740" s="82" t="s">
        <v>15804</v>
      </c>
      <c r="BA2740" s="82" t="s">
        <v>15804</v>
      </c>
      <c r="BB2740" s="82" t="s">
        <v>15804</v>
      </c>
      <c r="BC2740" s="82" t="s">
        <v>14895</v>
      </c>
      <c r="BD2740" s="82" t="s">
        <v>16574</v>
      </c>
      <c r="BE2740" s="77"/>
      <c r="BF2740" s="77"/>
      <c r="BG2740" s="77"/>
      <c r="BH2740" s="77"/>
      <c r="BI2740" s="77"/>
    </row>
    <row r="2741" spans="1:61" x14ac:dyDescent="0.25">
      <c r="A2741" s="62" t="s">
        <v>1003</v>
      </c>
      <c r="B2741" s="62" t="s">
        <v>1003</v>
      </c>
      <c r="C2741" s="63"/>
      <c r="D2741" s="64"/>
      <c r="E2741" s="65"/>
      <c r="F2741" s="66"/>
      <c r="G2741" s="63"/>
      <c r="H2741" s="67"/>
      <c r="I2741" s="68"/>
      <c r="J2741" s="68"/>
      <c r="K2741" s="32"/>
      <c r="L2741" s="75">
        <v>2741</v>
      </c>
      <c r="M2741" s="75"/>
      <c r="N2741" s="70"/>
      <c r="O2741" s="77" t="s">
        <v>179</v>
      </c>
      <c r="P2741" s="79">
        <v>45134.298159722224</v>
      </c>
      <c r="Q2741" s="77" t="s">
        <v>3753</v>
      </c>
      <c r="R2741" s="77">
        <v>0</v>
      </c>
      <c r="S2741" s="77">
        <v>0</v>
      </c>
      <c r="T2741" s="77">
        <v>0</v>
      </c>
      <c r="U2741" s="77">
        <v>0</v>
      </c>
      <c r="V2741" s="77">
        <v>69</v>
      </c>
      <c r="W2741" s="82" t="s">
        <v>5806</v>
      </c>
      <c r="X2741" s="77"/>
      <c r="Y2741" s="77"/>
      <c r="Z2741" s="77"/>
      <c r="AA2741" s="77" t="s">
        <v>7642</v>
      </c>
      <c r="AB2741" s="77" t="s">
        <v>7696</v>
      </c>
      <c r="AC2741" s="82" t="s">
        <v>7706</v>
      </c>
      <c r="AD2741" s="77" t="s">
        <v>7745</v>
      </c>
      <c r="AE2741" s="80" t="str">
        <f>HYPERLINK("https://twitter.com/investfrugal/status/1684460952543014913")</f>
        <v>https://twitter.com/investfrugal/status/1684460952543014913</v>
      </c>
      <c r="AF2741" s="79">
        <v>45134.298159722224</v>
      </c>
      <c r="AG2741" s="85">
        <v>45134</v>
      </c>
      <c r="AH2741" s="82" t="s">
        <v>10226</v>
      </c>
      <c r="AI2741" s="77" t="b">
        <v>0</v>
      </c>
      <c r="AJ2741" s="77"/>
      <c r="AK2741" s="77"/>
      <c r="AL2741" s="77"/>
      <c r="AM2741" s="77"/>
      <c r="AN2741" s="77"/>
      <c r="AO2741" s="77"/>
      <c r="AP2741" s="77"/>
      <c r="AQ2741" s="77" t="s">
        <v>12148</v>
      </c>
      <c r="AR2741" s="77"/>
      <c r="AS2741" s="77"/>
      <c r="AT2741" s="77"/>
      <c r="AU2741" s="77"/>
      <c r="AV2741" s="80" t="str">
        <f>HYPERLINK("https://pbs.twimg.com/media/F2BoLFBXgAEjwYM.jpg")</f>
        <v>https://pbs.twimg.com/media/F2BoLFBXgAEjwYM.jpg</v>
      </c>
      <c r="AW2741" s="82" t="s">
        <v>14896</v>
      </c>
      <c r="AX2741" s="82" t="s">
        <v>14896</v>
      </c>
      <c r="AY2741" s="77"/>
      <c r="AZ2741" s="82" t="s">
        <v>15804</v>
      </c>
      <c r="BA2741" s="82" t="s">
        <v>15804</v>
      </c>
      <c r="BB2741" s="82" t="s">
        <v>15804</v>
      </c>
      <c r="BC2741" s="82" t="s">
        <v>14896</v>
      </c>
      <c r="BD2741" s="82" t="s">
        <v>16574</v>
      </c>
      <c r="BE2741" s="77"/>
      <c r="BF2741" s="77"/>
      <c r="BG2741" s="77"/>
      <c r="BH2741" s="77"/>
      <c r="BI2741" s="77"/>
    </row>
    <row r="2742" spans="1:61" x14ac:dyDescent="0.25">
      <c r="A2742" s="62" t="s">
        <v>1003</v>
      </c>
      <c r="B2742" s="62" t="s">
        <v>1003</v>
      </c>
      <c r="C2742" s="63"/>
      <c r="D2742" s="64"/>
      <c r="E2742" s="65"/>
      <c r="F2742" s="66"/>
      <c r="G2742" s="63"/>
      <c r="H2742" s="67"/>
      <c r="I2742" s="68"/>
      <c r="J2742" s="68"/>
      <c r="K2742" s="32"/>
      <c r="L2742" s="75">
        <v>2742</v>
      </c>
      <c r="M2742" s="75"/>
      <c r="N2742" s="70"/>
      <c r="O2742" s="77" t="s">
        <v>179</v>
      </c>
      <c r="P2742" s="79">
        <v>45037.384837962964</v>
      </c>
      <c r="Q2742" s="77" t="s">
        <v>3754</v>
      </c>
      <c r="R2742" s="77">
        <v>0</v>
      </c>
      <c r="S2742" s="77">
        <v>0</v>
      </c>
      <c r="T2742" s="77">
        <v>0</v>
      </c>
      <c r="U2742" s="77">
        <v>0</v>
      </c>
      <c r="V2742" s="77">
        <v>39</v>
      </c>
      <c r="W2742" s="82" t="s">
        <v>5807</v>
      </c>
      <c r="X2742" s="77"/>
      <c r="Y2742" s="77"/>
      <c r="Z2742" s="77"/>
      <c r="AA2742" s="77" t="s">
        <v>7643</v>
      </c>
      <c r="AB2742" s="77" t="s">
        <v>7696</v>
      </c>
      <c r="AC2742" s="82" t="s">
        <v>7706</v>
      </c>
      <c r="AD2742" s="77" t="s">
        <v>7745</v>
      </c>
      <c r="AE2742" s="80" t="str">
        <f>HYPERLINK("https://twitter.com/investfrugal/status/1649340742018498562")</f>
        <v>https://twitter.com/investfrugal/status/1649340742018498562</v>
      </c>
      <c r="AF2742" s="79">
        <v>45037.384837962964</v>
      </c>
      <c r="AG2742" s="85">
        <v>45037</v>
      </c>
      <c r="AH2742" s="82" t="s">
        <v>10227</v>
      </c>
      <c r="AI2742" s="77" t="b">
        <v>0</v>
      </c>
      <c r="AJ2742" s="77"/>
      <c r="AK2742" s="77"/>
      <c r="AL2742" s="77"/>
      <c r="AM2742" s="77"/>
      <c r="AN2742" s="77"/>
      <c r="AO2742" s="77"/>
      <c r="AP2742" s="77"/>
      <c r="AQ2742" s="77" t="s">
        <v>12149</v>
      </c>
      <c r="AR2742" s="77"/>
      <c r="AS2742" s="77"/>
      <c r="AT2742" s="77"/>
      <c r="AU2742" s="77"/>
      <c r="AV2742" s="80" t="str">
        <f>HYPERLINK("https://pbs.twimg.com/media/FuOiqJuWYAIaScy.jpg")</f>
        <v>https://pbs.twimg.com/media/FuOiqJuWYAIaScy.jpg</v>
      </c>
      <c r="AW2742" s="82" t="s">
        <v>14897</v>
      </c>
      <c r="AX2742" s="82" t="s">
        <v>14897</v>
      </c>
      <c r="AY2742" s="77"/>
      <c r="AZ2742" s="82" t="s">
        <v>15804</v>
      </c>
      <c r="BA2742" s="82" t="s">
        <v>15804</v>
      </c>
      <c r="BB2742" s="82" t="s">
        <v>15804</v>
      </c>
      <c r="BC2742" s="82" t="s">
        <v>14897</v>
      </c>
      <c r="BD2742" s="82" t="s">
        <v>16574</v>
      </c>
      <c r="BE2742" s="77"/>
      <c r="BF2742" s="77"/>
      <c r="BG2742" s="77"/>
      <c r="BH2742" s="77"/>
      <c r="BI2742" s="77"/>
    </row>
    <row r="2743" spans="1:61" x14ac:dyDescent="0.25">
      <c r="A2743" s="62" t="s">
        <v>1003</v>
      </c>
      <c r="B2743" s="62" t="s">
        <v>1003</v>
      </c>
      <c r="C2743" s="63"/>
      <c r="D2743" s="64"/>
      <c r="E2743" s="65"/>
      <c r="F2743" s="66"/>
      <c r="G2743" s="63"/>
      <c r="H2743" s="67"/>
      <c r="I2743" s="68"/>
      <c r="J2743" s="68"/>
      <c r="K2743" s="32"/>
      <c r="L2743" s="75">
        <v>2743</v>
      </c>
      <c r="M2743" s="75"/>
      <c r="N2743" s="70"/>
      <c r="O2743" s="77" t="s">
        <v>179</v>
      </c>
      <c r="P2743" s="79">
        <v>45034.691608796296</v>
      </c>
      <c r="Q2743" s="77" t="s">
        <v>3755</v>
      </c>
      <c r="R2743" s="77">
        <v>0</v>
      </c>
      <c r="S2743" s="77">
        <v>1</v>
      </c>
      <c r="T2743" s="77">
        <v>0</v>
      </c>
      <c r="U2743" s="77">
        <v>0</v>
      </c>
      <c r="V2743" s="77">
        <v>50</v>
      </c>
      <c r="W2743" s="82" t="s">
        <v>5808</v>
      </c>
      <c r="X2743" s="77"/>
      <c r="Y2743" s="77"/>
      <c r="Z2743" s="77"/>
      <c r="AA2743" s="77" t="s">
        <v>7644</v>
      </c>
      <c r="AB2743" s="77" t="s">
        <v>7696</v>
      </c>
      <c r="AC2743" s="82" t="s">
        <v>7706</v>
      </c>
      <c r="AD2743" s="77" t="s">
        <v>7745</v>
      </c>
      <c r="AE2743" s="80" t="str">
        <f>HYPERLINK("https://twitter.com/investfrugal/status/1648364748520538121")</f>
        <v>https://twitter.com/investfrugal/status/1648364748520538121</v>
      </c>
      <c r="AF2743" s="79">
        <v>45034.691608796296</v>
      </c>
      <c r="AG2743" s="85">
        <v>45034</v>
      </c>
      <c r="AH2743" s="82" t="s">
        <v>10228</v>
      </c>
      <c r="AI2743" s="77" t="b">
        <v>0</v>
      </c>
      <c r="AJ2743" s="77"/>
      <c r="AK2743" s="77"/>
      <c r="AL2743" s="77"/>
      <c r="AM2743" s="77"/>
      <c r="AN2743" s="77"/>
      <c r="AO2743" s="77"/>
      <c r="AP2743" s="77"/>
      <c r="AQ2743" s="77" t="s">
        <v>12150</v>
      </c>
      <c r="AR2743" s="77"/>
      <c r="AS2743" s="77"/>
      <c r="AT2743" s="77"/>
      <c r="AU2743" s="77"/>
      <c r="AV2743" s="80" t="str">
        <f>HYPERLINK("https://pbs.twimg.com/media/FuAq_6CXwAIQELp.jpg")</f>
        <v>https://pbs.twimg.com/media/FuAq_6CXwAIQELp.jpg</v>
      </c>
      <c r="AW2743" s="82" t="s">
        <v>14898</v>
      </c>
      <c r="AX2743" s="82" t="s">
        <v>14898</v>
      </c>
      <c r="AY2743" s="77"/>
      <c r="AZ2743" s="82" t="s">
        <v>15804</v>
      </c>
      <c r="BA2743" s="82" t="s">
        <v>15804</v>
      </c>
      <c r="BB2743" s="82" t="s">
        <v>15804</v>
      </c>
      <c r="BC2743" s="82" t="s">
        <v>14898</v>
      </c>
      <c r="BD2743" s="82" t="s">
        <v>16574</v>
      </c>
      <c r="BE2743" s="77"/>
      <c r="BF2743" s="77"/>
      <c r="BG2743" s="77"/>
      <c r="BH2743" s="77"/>
      <c r="BI2743" s="77"/>
    </row>
    <row r="2744" spans="1:61" x14ac:dyDescent="0.25">
      <c r="A2744" s="62" t="s">
        <v>1003</v>
      </c>
      <c r="B2744" s="62" t="s">
        <v>1003</v>
      </c>
      <c r="C2744" s="63"/>
      <c r="D2744" s="64"/>
      <c r="E2744" s="65"/>
      <c r="F2744" s="66"/>
      <c r="G2744" s="63"/>
      <c r="H2744" s="67"/>
      <c r="I2744" s="68"/>
      <c r="J2744" s="68"/>
      <c r="K2744" s="32"/>
      <c r="L2744" s="75">
        <v>2744</v>
      </c>
      <c r="M2744" s="75"/>
      <c r="N2744" s="70"/>
      <c r="O2744" s="77" t="s">
        <v>179</v>
      </c>
      <c r="P2744" s="79">
        <v>45033.75072916667</v>
      </c>
      <c r="Q2744" s="77" t="s">
        <v>3756</v>
      </c>
      <c r="R2744" s="77">
        <v>0</v>
      </c>
      <c r="S2744" s="77">
        <v>0</v>
      </c>
      <c r="T2744" s="77">
        <v>0</v>
      </c>
      <c r="U2744" s="77">
        <v>0</v>
      </c>
      <c r="V2744" s="77">
        <v>22</v>
      </c>
      <c r="W2744" s="82" t="s">
        <v>5809</v>
      </c>
      <c r="X2744" s="77" t="s">
        <v>5999</v>
      </c>
      <c r="Y2744" s="77" t="s">
        <v>6114</v>
      </c>
      <c r="Z2744" s="77"/>
      <c r="AA2744" s="77"/>
      <c r="AB2744" s="77"/>
      <c r="AC2744" s="82" t="s">
        <v>7706</v>
      </c>
      <c r="AD2744" s="77" t="s">
        <v>7745</v>
      </c>
      <c r="AE2744" s="80" t="str">
        <f>HYPERLINK("https://twitter.com/investfrugal/status/1648023785189044236")</f>
        <v>https://twitter.com/investfrugal/status/1648023785189044236</v>
      </c>
      <c r="AF2744" s="79">
        <v>45033.75072916667</v>
      </c>
      <c r="AG2744" s="85">
        <v>45033</v>
      </c>
      <c r="AH2744" s="82" t="s">
        <v>10229</v>
      </c>
      <c r="AI2744" s="77" t="b">
        <v>0</v>
      </c>
      <c r="AJ2744" s="77"/>
      <c r="AK2744" s="77"/>
      <c r="AL2744" s="77"/>
      <c r="AM2744" s="77"/>
      <c r="AN2744" s="77"/>
      <c r="AO2744" s="77"/>
      <c r="AP2744" s="77"/>
      <c r="AQ2744" s="77"/>
      <c r="AR2744" s="77"/>
      <c r="AS2744" s="77"/>
      <c r="AT2744" s="77"/>
      <c r="AU2744" s="77"/>
      <c r="AV2744" s="80" t="str">
        <f>HYPERLINK("https://pbs.twimg.com/profile_images/1417120451755663368/-SfZzyXw_normal.png")</f>
        <v>https://pbs.twimg.com/profile_images/1417120451755663368/-SfZzyXw_normal.png</v>
      </c>
      <c r="AW2744" s="82" t="s">
        <v>14899</v>
      </c>
      <c r="AX2744" s="82" t="s">
        <v>14899</v>
      </c>
      <c r="AY2744" s="77"/>
      <c r="AZ2744" s="82" t="s">
        <v>15804</v>
      </c>
      <c r="BA2744" s="82" t="s">
        <v>15804</v>
      </c>
      <c r="BB2744" s="82" t="s">
        <v>15804</v>
      </c>
      <c r="BC2744" s="82" t="s">
        <v>14899</v>
      </c>
      <c r="BD2744" s="82" t="s">
        <v>16574</v>
      </c>
      <c r="BE2744" s="77"/>
      <c r="BF2744" s="77"/>
      <c r="BG2744" s="77"/>
      <c r="BH2744" s="77"/>
      <c r="BI2744" s="77"/>
    </row>
    <row r="2745" spans="1:61" x14ac:dyDescent="0.25">
      <c r="A2745" s="62" t="s">
        <v>1003</v>
      </c>
      <c r="B2745" s="62" t="s">
        <v>1003</v>
      </c>
      <c r="C2745" s="63"/>
      <c r="D2745" s="64"/>
      <c r="E2745" s="65"/>
      <c r="F2745" s="66"/>
      <c r="G2745" s="63"/>
      <c r="H2745" s="67"/>
      <c r="I2745" s="68"/>
      <c r="J2745" s="68"/>
      <c r="K2745" s="32"/>
      <c r="L2745" s="75">
        <v>2745</v>
      </c>
      <c r="M2745" s="75"/>
      <c r="N2745" s="70"/>
      <c r="O2745" s="77" t="s">
        <v>179</v>
      </c>
      <c r="P2745" s="79">
        <v>44987.702824074076</v>
      </c>
      <c r="Q2745" s="77" t="s">
        <v>3757</v>
      </c>
      <c r="R2745" s="77">
        <v>0</v>
      </c>
      <c r="S2745" s="77">
        <v>0</v>
      </c>
      <c r="T2745" s="77">
        <v>0</v>
      </c>
      <c r="U2745" s="77">
        <v>0</v>
      </c>
      <c r="V2745" s="77">
        <v>27</v>
      </c>
      <c r="W2745" s="82" t="s">
        <v>5801</v>
      </c>
      <c r="X2745" s="80" t="str">
        <f>HYPERLINK("https://investidorfrugal.com/wp-content/uploads/Investidor-Frugal-Portfolios-Modelo.pdf")</f>
        <v>https://investidorfrugal.com/wp-content/uploads/Investidor-Frugal-Portfolios-Modelo.pdf</v>
      </c>
      <c r="Y2745" s="77" t="s">
        <v>6113</v>
      </c>
      <c r="Z2745" s="77"/>
      <c r="AA2745" s="77" t="s">
        <v>7645</v>
      </c>
      <c r="AB2745" s="77" t="s">
        <v>7696</v>
      </c>
      <c r="AC2745" s="82" t="s">
        <v>7706</v>
      </c>
      <c r="AD2745" s="77" t="s">
        <v>7745</v>
      </c>
      <c r="AE2745" s="80" t="str">
        <f>HYPERLINK("https://twitter.com/investfrugal/status/1631336580714569729")</f>
        <v>https://twitter.com/investfrugal/status/1631336580714569729</v>
      </c>
      <c r="AF2745" s="79">
        <v>44987.702824074076</v>
      </c>
      <c r="AG2745" s="85">
        <v>44987</v>
      </c>
      <c r="AH2745" s="82" t="s">
        <v>10230</v>
      </c>
      <c r="AI2745" s="77" t="b">
        <v>0</v>
      </c>
      <c r="AJ2745" s="77"/>
      <c r="AK2745" s="77"/>
      <c r="AL2745" s="77"/>
      <c r="AM2745" s="77"/>
      <c r="AN2745" s="77"/>
      <c r="AO2745" s="77"/>
      <c r="AP2745" s="77"/>
      <c r="AQ2745" s="77" t="s">
        <v>12151</v>
      </c>
      <c r="AR2745" s="77"/>
      <c r="AS2745" s="77"/>
      <c r="AT2745" s="77"/>
      <c r="AU2745" s="77"/>
      <c r="AV2745" s="80" t="str">
        <f>HYPERLINK("https://pbs.twimg.com/media/FqOr93wXoAMC6SM.jpg")</f>
        <v>https://pbs.twimg.com/media/FqOr93wXoAMC6SM.jpg</v>
      </c>
      <c r="AW2745" s="82" t="s">
        <v>14900</v>
      </c>
      <c r="AX2745" s="82" t="s">
        <v>14900</v>
      </c>
      <c r="AY2745" s="77"/>
      <c r="AZ2745" s="82" t="s">
        <v>15804</v>
      </c>
      <c r="BA2745" s="82" t="s">
        <v>15804</v>
      </c>
      <c r="BB2745" s="82" t="s">
        <v>15804</v>
      </c>
      <c r="BC2745" s="82" t="s">
        <v>14900</v>
      </c>
      <c r="BD2745" s="82" t="s">
        <v>16574</v>
      </c>
      <c r="BE2745" s="77"/>
      <c r="BF2745" s="77"/>
      <c r="BG2745" s="77"/>
      <c r="BH2745" s="77"/>
      <c r="BI2745" s="77"/>
    </row>
    <row r="2746" spans="1:61" x14ac:dyDescent="0.25">
      <c r="A2746" s="62" t="s">
        <v>1004</v>
      </c>
      <c r="B2746" s="62" t="s">
        <v>1004</v>
      </c>
      <c r="C2746" s="63"/>
      <c r="D2746" s="64"/>
      <c r="E2746" s="65"/>
      <c r="F2746" s="66"/>
      <c r="G2746" s="63"/>
      <c r="H2746" s="67"/>
      <c r="I2746" s="68"/>
      <c r="J2746" s="68"/>
      <c r="K2746" s="32"/>
      <c r="L2746" s="75">
        <v>2746</v>
      </c>
      <c r="M2746" s="75"/>
      <c r="N2746" s="70"/>
      <c r="O2746" s="77" t="s">
        <v>179</v>
      </c>
      <c r="P2746" s="79">
        <v>45052.187534722223</v>
      </c>
      <c r="Q2746" s="77" t="s">
        <v>3758</v>
      </c>
      <c r="R2746" s="77">
        <v>0</v>
      </c>
      <c r="S2746" s="77">
        <v>0</v>
      </c>
      <c r="T2746" s="77">
        <v>0</v>
      </c>
      <c r="U2746" s="77">
        <v>0</v>
      </c>
      <c r="V2746" s="77">
        <v>5</v>
      </c>
      <c r="W2746" s="82" t="s">
        <v>5810</v>
      </c>
      <c r="X2746" s="80" t="str">
        <f>HYPERLINK("https://wp.me/p5JI4H-34h")</f>
        <v>https://wp.me/p5JI4H-34h</v>
      </c>
      <c r="Y2746" s="77" t="s">
        <v>6115</v>
      </c>
      <c r="Z2746" s="77"/>
      <c r="AA2746" s="77"/>
      <c r="AB2746" s="77"/>
      <c r="AC2746" s="82" t="s">
        <v>7728</v>
      </c>
      <c r="AD2746" s="77" t="s">
        <v>7745</v>
      </c>
      <c r="AE2746" s="80" t="str">
        <f>HYPERLINK("https://twitter.com/aulaplusbr/status/1654705059676971009")</f>
        <v>https://twitter.com/aulaplusbr/status/1654705059676971009</v>
      </c>
      <c r="AF2746" s="79">
        <v>45052.187534722223</v>
      </c>
      <c r="AG2746" s="85">
        <v>45052</v>
      </c>
      <c r="AH2746" s="82" t="s">
        <v>10231</v>
      </c>
      <c r="AI2746" s="77" t="b">
        <v>0</v>
      </c>
      <c r="AJ2746" s="77"/>
      <c r="AK2746" s="77"/>
      <c r="AL2746" s="77"/>
      <c r="AM2746" s="77"/>
      <c r="AN2746" s="77"/>
      <c r="AO2746" s="77"/>
      <c r="AP2746" s="77"/>
      <c r="AQ2746" s="77"/>
      <c r="AR2746" s="77"/>
      <c r="AS2746" s="77"/>
      <c r="AT2746" s="77"/>
      <c r="AU2746" s="77"/>
      <c r="AV2746" s="80" t="str">
        <f>HYPERLINK("https://pbs.twimg.com/profile_images/1621996204325277699/phtn6C0w_normal.jpg")</f>
        <v>https://pbs.twimg.com/profile_images/1621996204325277699/phtn6C0w_normal.jpg</v>
      </c>
      <c r="AW2746" s="82" t="s">
        <v>14901</v>
      </c>
      <c r="AX2746" s="82" t="s">
        <v>14901</v>
      </c>
      <c r="AY2746" s="77"/>
      <c r="AZ2746" s="82" t="s">
        <v>15804</v>
      </c>
      <c r="BA2746" s="82" t="s">
        <v>15804</v>
      </c>
      <c r="BB2746" s="82" t="s">
        <v>15804</v>
      </c>
      <c r="BC2746" s="82" t="s">
        <v>14901</v>
      </c>
      <c r="BD2746" s="77">
        <v>37329759</v>
      </c>
      <c r="BE2746" s="77"/>
      <c r="BF2746" s="77"/>
      <c r="BG2746" s="77"/>
      <c r="BH2746" s="77"/>
      <c r="BI2746" s="77"/>
    </row>
    <row r="2747" spans="1:61" x14ac:dyDescent="0.25">
      <c r="A2747" s="62" t="s">
        <v>1004</v>
      </c>
      <c r="B2747" s="62" t="s">
        <v>1004</v>
      </c>
      <c r="C2747" s="63"/>
      <c r="D2747" s="64"/>
      <c r="E2747" s="65"/>
      <c r="F2747" s="66"/>
      <c r="G2747" s="63"/>
      <c r="H2747" s="67"/>
      <c r="I2747" s="68"/>
      <c r="J2747" s="68"/>
      <c r="K2747" s="32"/>
      <c r="L2747" s="75">
        <v>2747</v>
      </c>
      <c r="M2747" s="75"/>
      <c r="N2747" s="70"/>
      <c r="O2747" s="77" t="s">
        <v>179</v>
      </c>
      <c r="P2747" s="79">
        <v>45094.854201388887</v>
      </c>
      <c r="Q2747" s="77" t="s">
        <v>3759</v>
      </c>
      <c r="R2747" s="77">
        <v>0</v>
      </c>
      <c r="S2747" s="77">
        <v>0</v>
      </c>
      <c r="T2747" s="77">
        <v>0</v>
      </c>
      <c r="U2747" s="77">
        <v>0</v>
      </c>
      <c r="V2747" s="77">
        <v>4</v>
      </c>
      <c r="W2747" s="82" t="s">
        <v>5811</v>
      </c>
      <c r="X2747" s="80" t="str">
        <f>HYPERLINK("https://wp.me/p5JI4H-34h")</f>
        <v>https://wp.me/p5JI4H-34h</v>
      </c>
      <c r="Y2747" s="77" t="s">
        <v>6115</v>
      </c>
      <c r="Z2747" s="77"/>
      <c r="AA2747" s="77"/>
      <c r="AB2747" s="77"/>
      <c r="AC2747" s="82" t="s">
        <v>7728</v>
      </c>
      <c r="AD2747" s="77" t="s">
        <v>7745</v>
      </c>
      <c r="AE2747" s="80" t="str">
        <f>HYPERLINK("https://twitter.com/aulaplusbr/status/1670166939132411905")</f>
        <v>https://twitter.com/aulaplusbr/status/1670166939132411905</v>
      </c>
      <c r="AF2747" s="79">
        <v>45094.854201388887</v>
      </c>
      <c r="AG2747" s="85">
        <v>45094</v>
      </c>
      <c r="AH2747" s="82" t="s">
        <v>10232</v>
      </c>
      <c r="AI2747" s="77" t="b">
        <v>0</v>
      </c>
      <c r="AJ2747" s="77"/>
      <c r="AK2747" s="77"/>
      <c r="AL2747" s="77"/>
      <c r="AM2747" s="77"/>
      <c r="AN2747" s="77"/>
      <c r="AO2747" s="77"/>
      <c r="AP2747" s="77"/>
      <c r="AQ2747" s="77"/>
      <c r="AR2747" s="77"/>
      <c r="AS2747" s="77"/>
      <c r="AT2747" s="77"/>
      <c r="AU2747" s="77"/>
      <c r="AV2747" s="80" t="str">
        <f>HYPERLINK("https://pbs.twimg.com/profile_images/1621996204325277699/phtn6C0w_normal.jpg")</f>
        <v>https://pbs.twimg.com/profile_images/1621996204325277699/phtn6C0w_normal.jpg</v>
      </c>
      <c r="AW2747" s="82" t="s">
        <v>14902</v>
      </c>
      <c r="AX2747" s="82" t="s">
        <v>14902</v>
      </c>
      <c r="AY2747" s="77"/>
      <c r="AZ2747" s="82" t="s">
        <v>15804</v>
      </c>
      <c r="BA2747" s="82" t="s">
        <v>15804</v>
      </c>
      <c r="BB2747" s="82" t="s">
        <v>15804</v>
      </c>
      <c r="BC2747" s="82" t="s">
        <v>14902</v>
      </c>
      <c r="BD2747" s="77">
        <v>37329759</v>
      </c>
      <c r="BE2747" s="77"/>
      <c r="BF2747" s="77"/>
      <c r="BG2747" s="77"/>
      <c r="BH2747" s="77"/>
      <c r="BI2747" s="77"/>
    </row>
    <row r="2748" spans="1:61" x14ac:dyDescent="0.25">
      <c r="A2748" s="62" t="s">
        <v>1005</v>
      </c>
      <c r="B2748" s="62" t="s">
        <v>1005</v>
      </c>
      <c r="C2748" s="63"/>
      <c r="D2748" s="64"/>
      <c r="E2748" s="65"/>
      <c r="F2748" s="66"/>
      <c r="G2748" s="63"/>
      <c r="H2748" s="67"/>
      <c r="I2748" s="68"/>
      <c r="J2748" s="68"/>
      <c r="K2748" s="32"/>
      <c r="L2748" s="75">
        <v>2748</v>
      </c>
      <c r="M2748" s="75"/>
      <c r="N2748" s="70"/>
      <c r="O2748" s="77" t="s">
        <v>179</v>
      </c>
      <c r="P2748" s="79">
        <v>45003.90761574074</v>
      </c>
      <c r="Q2748" s="77" t="s">
        <v>3760</v>
      </c>
      <c r="R2748" s="77">
        <v>0</v>
      </c>
      <c r="S2748" s="77">
        <v>0</v>
      </c>
      <c r="T2748" s="77">
        <v>0</v>
      </c>
      <c r="U2748" s="77">
        <v>0</v>
      </c>
      <c r="V2748" s="77">
        <v>153</v>
      </c>
      <c r="W2748" s="82" t="s">
        <v>4080</v>
      </c>
      <c r="X2748" s="77"/>
      <c r="Y2748" s="77"/>
      <c r="Z2748" s="77"/>
      <c r="AA2748" s="77" t="s">
        <v>7646</v>
      </c>
      <c r="AB2748" s="77" t="s">
        <v>7696</v>
      </c>
      <c r="AC2748" s="82" t="s">
        <v>7707</v>
      </c>
      <c r="AD2748" s="77" t="s">
        <v>7745</v>
      </c>
      <c r="AE2748" s="80" t="str">
        <f>HYPERLINK("https://twitter.com/waupalma/status/1637209001514487810")</f>
        <v>https://twitter.com/waupalma/status/1637209001514487810</v>
      </c>
      <c r="AF2748" s="79">
        <v>45003.90761574074</v>
      </c>
      <c r="AG2748" s="85">
        <v>45003</v>
      </c>
      <c r="AH2748" s="82" t="s">
        <v>8262</v>
      </c>
      <c r="AI2748" s="77" t="b">
        <v>0</v>
      </c>
      <c r="AJ2748" s="77"/>
      <c r="AK2748" s="77"/>
      <c r="AL2748" s="77"/>
      <c r="AM2748" s="77"/>
      <c r="AN2748" s="77"/>
      <c r="AO2748" s="77"/>
      <c r="AP2748" s="77"/>
      <c r="AQ2748" s="77" t="s">
        <v>12152</v>
      </c>
      <c r="AR2748" s="77"/>
      <c r="AS2748" s="77"/>
      <c r="AT2748" s="77"/>
      <c r="AU2748" s="77"/>
      <c r="AV2748" s="80" t="str">
        <f>HYPERLINK("https://pbs.twimg.com/media/FriI6RZWYAIvWwc.jpg")</f>
        <v>https://pbs.twimg.com/media/FriI6RZWYAIvWwc.jpg</v>
      </c>
      <c r="AW2748" s="82" t="s">
        <v>14903</v>
      </c>
      <c r="AX2748" s="82" t="s">
        <v>14903</v>
      </c>
      <c r="AY2748" s="77"/>
      <c r="AZ2748" s="82" t="s">
        <v>15804</v>
      </c>
      <c r="BA2748" s="82" t="s">
        <v>15804</v>
      </c>
      <c r="BB2748" s="82" t="s">
        <v>15804</v>
      </c>
      <c r="BC2748" s="82" t="s">
        <v>14903</v>
      </c>
      <c r="BD2748" s="77">
        <v>2769956031</v>
      </c>
      <c r="BE2748" s="77"/>
      <c r="BF2748" s="77"/>
      <c r="BG2748" s="77"/>
      <c r="BH2748" s="77"/>
      <c r="BI2748" s="77"/>
    </row>
    <row r="2749" spans="1:61" x14ac:dyDescent="0.25">
      <c r="A2749" s="62" t="s">
        <v>1006</v>
      </c>
      <c r="B2749" s="62" t="s">
        <v>1006</v>
      </c>
      <c r="C2749" s="63"/>
      <c r="D2749" s="64"/>
      <c r="E2749" s="65"/>
      <c r="F2749" s="66"/>
      <c r="G2749" s="63"/>
      <c r="H2749" s="67"/>
      <c r="I2749" s="68"/>
      <c r="J2749" s="68"/>
      <c r="K2749" s="32"/>
      <c r="L2749" s="75">
        <v>2749</v>
      </c>
      <c r="M2749" s="75"/>
      <c r="N2749" s="70"/>
      <c r="O2749" s="77" t="s">
        <v>179</v>
      </c>
      <c r="P2749" s="79">
        <v>45144.975173611114</v>
      </c>
      <c r="Q2749" s="77" t="s">
        <v>3761</v>
      </c>
      <c r="R2749" s="77">
        <v>0</v>
      </c>
      <c r="S2749" s="77">
        <v>0</v>
      </c>
      <c r="T2749" s="77">
        <v>0</v>
      </c>
      <c r="U2749" s="77">
        <v>0</v>
      </c>
      <c r="V2749" s="77">
        <v>32</v>
      </c>
      <c r="W2749" s="82" t="s">
        <v>5812</v>
      </c>
      <c r="X2749" s="80" t="str">
        <f>HYPERLINK("https://www.clinicawashingtonamancio.com/")</f>
        <v>https://www.clinicawashingtonamancio.com/</v>
      </c>
      <c r="Y2749" s="77" t="s">
        <v>6116</v>
      </c>
      <c r="Z2749" s="77"/>
      <c r="AA2749" s="77" t="s">
        <v>7647</v>
      </c>
      <c r="AB2749" s="77" t="s">
        <v>7696</v>
      </c>
      <c r="AC2749" s="82" t="s">
        <v>7706</v>
      </c>
      <c r="AD2749" s="77" t="s">
        <v>7746</v>
      </c>
      <c r="AE2749" s="80" t="str">
        <f>HYPERLINK("https://twitter.com/marcia23403/status/1688330171613433862")</f>
        <v>https://twitter.com/marcia23403/status/1688330171613433862</v>
      </c>
      <c r="AF2749" s="79">
        <v>45144.975173611114</v>
      </c>
      <c r="AG2749" s="85">
        <v>45144</v>
      </c>
      <c r="AH2749" s="82" t="s">
        <v>10233</v>
      </c>
      <c r="AI2749" s="77" t="b">
        <v>0</v>
      </c>
      <c r="AJ2749" s="77"/>
      <c r="AK2749" s="77"/>
      <c r="AL2749" s="77"/>
      <c r="AM2749" s="77"/>
      <c r="AN2749" s="77"/>
      <c r="AO2749" s="77"/>
      <c r="AP2749" s="77"/>
      <c r="AQ2749" s="77" t="s">
        <v>12153</v>
      </c>
      <c r="AR2749" s="77"/>
      <c r="AS2749" s="77"/>
      <c r="AT2749" s="77"/>
      <c r="AU2749" s="77"/>
      <c r="AV2749" s="80" t="str">
        <f>HYPERLINK("https://pbs.twimg.com/media/F24m-z_WgAAgVP0.jpg")</f>
        <v>https://pbs.twimg.com/media/F24m-z_WgAAgVP0.jpg</v>
      </c>
      <c r="AW2749" s="82" t="s">
        <v>14904</v>
      </c>
      <c r="AX2749" s="82" t="s">
        <v>14904</v>
      </c>
      <c r="AY2749" s="77"/>
      <c r="AZ2749" s="82" t="s">
        <v>15804</v>
      </c>
      <c r="BA2749" s="82" t="s">
        <v>15804</v>
      </c>
      <c r="BB2749" s="82" t="s">
        <v>15804</v>
      </c>
      <c r="BC2749" s="82" t="s">
        <v>14904</v>
      </c>
      <c r="BD2749" s="82" t="s">
        <v>16575</v>
      </c>
      <c r="BE2749" s="77"/>
      <c r="BF2749" s="77"/>
      <c r="BG2749" s="77"/>
      <c r="BH2749" s="77"/>
      <c r="BI2749" s="77"/>
    </row>
    <row r="2750" spans="1:61" x14ac:dyDescent="0.25">
      <c r="A2750" s="62" t="s">
        <v>1006</v>
      </c>
      <c r="B2750" s="62" t="s">
        <v>1006</v>
      </c>
      <c r="C2750" s="63"/>
      <c r="D2750" s="64"/>
      <c r="E2750" s="65"/>
      <c r="F2750" s="66"/>
      <c r="G2750" s="63"/>
      <c r="H2750" s="67"/>
      <c r="I2750" s="68"/>
      <c r="J2750" s="68"/>
      <c r="K2750" s="32"/>
      <c r="L2750" s="75">
        <v>2750</v>
      </c>
      <c r="M2750" s="75"/>
      <c r="N2750" s="70"/>
      <c r="O2750" s="77" t="s">
        <v>179</v>
      </c>
      <c r="P2750" s="79">
        <v>45117.857453703706</v>
      </c>
      <c r="Q2750" s="77" t="s">
        <v>3762</v>
      </c>
      <c r="R2750" s="77">
        <v>0</v>
      </c>
      <c r="S2750" s="77">
        <v>0</v>
      </c>
      <c r="T2750" s="77">
        <v>0</v>
      </c>
      <c r="U2750" s="77">
        <v>0</v>
      </c>
      <c r="V2750" s="77">
        <v>28</v>
      </c>
      <c r="W2750" s="82" t="s">
        <v>5813</v>
      </c>
      <c r="X2750" s="77"/>
      <c r="Y2750" s="77"/>
      <c r="Z2750" s="77"/>
      <c r="AA2750" s="77" t="s">
        <v>7648</v>
      </c>
      <c r="AB2750" s="77" t="s">
        <v>7696</v>
      </c>
      <c r="AC2750" s="82" t="s">
        <v>7706</v>
      </c>
      <c r="AD2750" s="77" t="s">
        <v>7746</v>
      </c>
      <c r="AE2750" s="80" t="str">
        <f>HYPERLINK("https://twitter.com/marcia23403/status/1678503040465137664")</f>
        <v>https://twitter.com/marcia23403/status/1678503040465137664</v>
      </c>
      <c r="AF2750" s="79">
        <v>45117.857453703706</v>
      </c>
      <c r="AG2750" s="85">
        <v>45117</v>
      </c>
      <c r="AH2750" s="82" t="s">
        <v>10234</v>
      </c>
      <c r="AI2750" s="77" t="b">
        <v>0</v>
      </c>
      <c r="AJ2750" s="77"/>
      <c r="AK2750" s="77"/>
      <c r="AL2750" s="77"/>
      <c r="AM2750" s="77"/>
      <c r="AN2750" s="77"/>
      <c r="AO2750" s="77"/>
      <c r="AP2750" s="77"/>
      <c r="AQ2750" s="77" t="s">
        <v>12154</v>
      </c>
      <c r="AR2750" s="77"/>
      <c r="AS2750" s="77"/>
      <c r="AT2750" s="77"/>
      <c r="AU2750" s="77"/>
      <c r="AV2750" s="80" t="str">
        <f>HYPERLINK("https://pbs.twimg.com/media/F0s9i_BWcAcsg_-.jpg")</f>
        <v>https://pbs.twimg.com/media/F0s9i_BWcAcsg_-.jpg</v>
      </c>
      <c r="AW2750" s="82" t="s">
        <v>14905</v>
      </c>
      <c r="AX2750" s="82" t="s">
        <v>14905</v>
      </c>
      <c r="AY2750" s="77"/>
      <c r="AZ2750" s="82" t="s">
        <v>15804</v>
      </c>
      <c r="BA2750" s="82" t="s">
        <v>15804</v>
      </c>
      <c r="BB2750" s="82" t="s">
        <v>15804</v>
      </c>
      <c r="BC2750" s="82" t="s">
        <v>14905</v>
      </c>
      <c r="BD2750" s="82" t="s">
        <v>16575</v>
      </c>
      <c r="BE2750" s="77"/>
      <c r="BF2750" s="77"/>
      <c r="BG2750" s="77"/>
      <c r="BH2750" s="77"/>
      <c r="BI2750" s="77"/>
    </row>
    <row r="2751" spans="1:61" x14ac:dyDescent="0.25">
      <c r="A2751" s="62" t="s">
        <v>1006</v>
      </c>
      <c r="B2751" s="62" t="s">
        <v>1006</v>
      </c>
      <c r="C2751" s="63"/>
      <c r="D2751" s="64"/>
      <c r="E2751" s="65"/>
      <c r="F2751" s="66"/>
      <c r="G2751" s="63"/>
      <c r="H2751" s="67"/>
      <c r="I2751" s="68"/>
      <c r="J2751" s="68"/>
      <c r="K2751" s="32"/>
      <c r="L2751" s="75">
        <v>2751</v>
      </c>
      <c r="M2751" s="75"/>
      <c r="N2751" s="70"/>
      <c r="O2751" s="77" t="s">
        <v>179</v>
      </c>
      <c r="P2751" s="79">
        <v>45175.560208333336</v>
      </c>
      <c r="Q2751" s="77" t="s">
        <v>3763</v>
      </c>
      <c r="R2751" s="77">
        <v>0</v>
      </c>
      <c r="S2751" s="77">
        <v>0</v>
      </c>
      <c r="T2751" s="77">
        <v>0</v>
      </c>
      <c r="U2751" s="77">
        <v>0</v>
      </c>
      <c r="V2751" s="77">
        <v>12</v>
      </c>
      <c r="W2751" s="82" t="s">
        <v>5814</v>
      </c>
      <c r="X2751" s="80" t="str">
        <f>HYPERLINK("http://www.clinicawashingtonamancio.com/")</f>
        <v>http://www.clinicawashingtonamancio.com/</v>
      </c>
      <c r="Y2751" s="77" t="s">
        <v>6116</v>
      </c>
      <c r="Z2751" s="77"/>
      <c r="AA2751" s="77" t="s">
        <v>7649</v>
      </c>
      <c r="AB2751" s="77" t="s">
        <v>7696</v>
      </c>
      <c r="AC2751" s="82" t="s">
        <v>7706</v>
      </c>
      <c r="AD2751" s="77" t="s">
        <v>7746</v>
      </c>
      <c r="AE2751" s="80" t="str">
        <f>HYPERLINK("https://twitter.com/marcia23403/status/1699413819770958223")</f>
        <v>https://twitter.com/marcia23403/status/1699413819770958223</v>
      </c>
      <c r="AF2751" s="79">
        <v>45175.560208333336</v>
      </c>
      <c r="AG2751" s="85">
        <v>45175</v>
      </c>
      <c r="AH2751" s="82" t="s">
        <v>10235</v>
      </c>
      <c r="AI2751" s="77" t="b">
        <v>0</v>
      </c>
      <c r="AJ2751" s="77"/>
      <c r="AK2751" s="77"/>
      <c r="AL2751" s="77"/>
      <c r="AM2751" s="77"/>
      <c r="AN2751" s="77"/>
      <c r="AO2751" s="77"/>
      <c r="AP2751" s="77"/>
      <c r="AQ2751" s="77" t="s">
        <v>12155</v>
      </c>
      <c r="AR2751" s="77"/>
      <c r="AS2751" s="77"/>
      <c r="AT2751" s="77"/>
      <c r="AU2751" s="77"/>
      <c r="AV2751" s="80" t="str">
        <f>HYPERLINK("https://pbs.twimg.com/media/F5WHrSmXgAAqHYs.jpg")</f>
        <v>https://pbs.twimg.com/media/F5WHrSmXgAAqHYs.jpg</v>
      </c>
      <c r="AW2751" s="82" t="s">
        <v>14906</v>
      </c>
      <c r="AX2751" s="82" t="s">
        <v>14906</v>
      </c>
      <c r="AY2751" s="77"/>
      <c r="AZ2751" s="82" t="s">
        <v>15804</v>
      </c>
      <c r="BA2751" s="82" t="s">
        <v>15804</v>
      </c>
      <c r="BB2751" s="82" t="s">
        <v>15804</v>
      </c>
      <c r="BC2751" s="82" t="s">
        <v>14906</v>
      </c>
      <c r="BD2751" s="82" t="s">
        <v>16575</v>
      </c>
      <c r="BE2751" s="77"/>
      <c r="BF2751" s="77"/>
      <c r="BG2751" s="77"/>
      <c r="BH2751" s="77"/>
      <c r="BI2751" s="77"/>
    </row>
    <row r="2752" spans="1:61" x14ac:dyDescent="0.25">
      <c r="A2752" s="62" t="s">
        <v>1007</v>
      </c>
      <c r="B2752" s="62" t="s">
        <v>1007</v>
      </c>
      <c r="C2752" s="63"/>
      <c r="D2752" s="64"/>
      <c r="E2752" s="65"/>
      <c r="F2752" s="66"/>
      <c r="G2752" s="63"/>
      <c r="H2752" s="67"/>
      <c r="I2752" s="68"/>
      <c r="J2752" s="68"/>
      <c r="K2752" s="32"/>
      <c r="L2752" s="75">
        <v>2752</v>
      </c>
      <c r="M2752" s="75"/>
      <c r="N2752" s="70"/>
      <c r="O2752" s="77" t="s">
        <v>179</v>
      </c>
      <c r="P2752" s="79">
        <v>44992.788518518515</v>
      </c>
      <c r="Q2752" s="77" t="s">
        <v>3764</v>
      </c>
      <c r="R2752" s="77">
        <v>0</v>
      </c>
      <c r="S2752" s="77">
        <v>0</v>
      </c>
      <c r="T2752" s="77">
        <v>0</v>
      </c>
      <c r="U2752" s="77">
        <v>1</v>
      </c>
      <c r="V2752" s="77">
        <v>17</v>
      </c>
      <c r="W2752" s="82" t="s">
        <v>5815</v>
      </c>
      <c r="X2752" s="80" t="str">
        <f>HYPERLINK("https://noticiasdeagora.net.br/index.php/2023/03/07/criacao-do-pix-internacional-e-pronunciado-pelo-banco-central/")</f>
        <v>https://noticiasdeagora.net.br/index.php/2023/03/07/criacao-do-pix-internacional-e-pronunciado-pelo-banco-central/</v>
      </c>
      <c r="Y2752" s="77" t="s">
        <v>6117</v>
      </c>
      <c r="Z2752" s="77"/>
      <c r="AA2752" s="77" t="s">
        <v>7650</v>
      </c>
      <c r="AB2752" s="77" t="s">
        <v>7696</v>
      </c>
      <c r="AC2752" s="82" t="s">
        <v>7706</v>
      </c>
      <c r="AD2752" s="77" t="s">
        <v>7745</v>
      </c>
      <c r="AE2752" s="80" t="str">
        <f>HYPERLINK("https://twitter.com/noticiasagora23/status/1633179573792776194")</f>
        <v>https://twitter.com/noticiasagora23/status/1633179573792776194</v>
      </c>
      <c r="AF2752" s="79">
        <v>44992.788518518515</v>
      </c>
      <c r="AG2752" s="85">
        <v>44992</v>
      </c>
      <c r="AH2752" s="82" t="s">
        <v>10236</v>
      </c>
      <c r="AI2752" s="77" t="b">
        <v>0</v>
      </c>
      <c r="AJ2752" s="77"/>
      <c r="AK2752" s="77"/>
      <c r="AL2752" s="77"/>
      <c r="AM2752" s="77"/>
      <c r="AN2752" s="77"/>
      <c r="AO2752" s="77"/>
      <c r="AP2752" s="77"/>
      <c r="AQ2752" s="77" t="s">
        <v>12156</v>
      </c>
      <c r="AR2752" s="77"/>
      <c r="AS2752" s="77"/>
      <c r="AT2752" s="77"/>
      <c r="AU2752" s="77"/>
      <c r="AV2752" s="80" t="str">
        <f>HYPERLINK("https://pbs.twimg.com/media/Fqo4KWwXoAMgVTg.jpg")</f>
        <v>https://pbs.twimg.com/media/Fqo4KWwXoAMgVTg.jpg</v>
      </c>
      <c r="AW2752" s="82" t="s">
        <v>14907</v>
      </c>
      <c r="AX2752" s="82" t="s">
        <v>14907</v>
      </c>
      <c r="AY2752" s="77"/>
      <c r="AZ2752" s="82" t="s">
        <v>15804</v>
      </c>
      <c r="BA2752" s="82" t="s">
        <v>15804</v>
      </c>
      <c r="BB2752" s="82" t="s">
        <v>15804</v>
      </c>
      <c r="BC2752" s="82" t="s">
        <v>14907</v>
      </c>
      <c r="BD2752" s="82" t="s">
        <v>16576</v>
      </c>
      <c r="BE2752" s="77"/>
      <c r="BF2752" s="77"/>
      <c r="BG2752" s="77"/>
      <c r="BH2752" s="77"/>
      <c r="BI2752" s="77"/>
    </row>
    <row r="2753" spans="1:61" x14ac:dyDescent="0.25">
      <c r="A2753" s="62" t="s">
        <v>1008</v>
      </c>
      <c r="B2753" s="62" t="s">
        <v>1008</v>
      </c>
      <c r="C2753" s="63"/>
      <c r="D2753" s="64"/>
      <c r="E2753" s="65"/>
      <c r="F2753" s="66"/>
      <c r="G2753" s="63"/>
      <c r="H2753" s="67"/>
      <c r="I2753" s="68"/>
      <c r="J2753" s="68"/>
      <c r="K2753" s="32"/>
      <c r="L2753" s="75">
        <v>2753</v>
      </c>
      <c r="M2753" s="75"/>
      <c r="N2753" s="70"/>
      <c r="O2753" s="77" t="s">
        <v>179</v>
      </c>
      <c r="P2753" s="79">
        <v>45050.657708333332</v>
      </c>
      <c r="Q2753" s="77" t="s">
        <v>3765</v>
      </c>
      <c r="R2753" s="77">
        <v>0</v>
      </c>
      <c r="S2753" s="77">
        <v>0</v>
      </c>
      <c r="T2753" s="77">
        <v>0</v>
      </c>
      <c r="U2753" s="77">
        <v>0</v>
      </c>
      <c r="V2753" s="77">
        <v>12</v>
      </c>
      <c r="W2753" s="82" t="s">
        <v>5816</v>
      </c>
      <c r="X2753" s="80" t="str">
        <f>HYPERLINK("https://youtu.be/ic3drsg7CrU")</f>
        <v>https://youtu.be/ic3drsg7CrU</v>
      </c>
      <c r="Y2753" s="77" t="s">
        <v>6003</v>
      </c>
      <c r="Z2753" s="77"/>
      <c r="AA2753" s="77"/>
      <c r="AB2753" s="77"/>
      <c r="AC2753" s="82" t="s">
        <v>7707</v>
      </c>
      <c r="AD2753" s="77" t="s">
        <v>7745</v>
      </c>
      <c r="AE2753" s="80" t="str">
        <f>HYPERLINK("https://twitter.com/redacontf/status/1654150668393799680")</f>
        <v>https://twitter.com/redacontf/status/1654150668393799680</v>
      </c>
      <c r="AF2753" s="79">
        <v>45050.657708333332</v>
      </c>
      <c r="AG2753" s="85">
        <v>45050</v>
      </c>
      <c r="AH2753" s="82" t="s">
        <v>10237</v>
      </c>
      <c r="AI2753" s="77" t="b">
        <v>0</v>
      </c>
      <c r="AJ2753" s="77"/>
      <c r="AK2753" s="77"/>
      <c r="AL2753" s="77"/>
      <c r="AM2753" s="77"/>
      <c r="AN2753" s="77"/>
      <c r="AO2753" s="77"/>
      <c r="AP2753" s="77"/>
      <c r="AQ2753" s="77"/>
      <c r="AR2753" s="77"/>
      <c r="AS2753" s="77"/>
      <c r="AT2753" s="77"/>
      <c r="AU2753" s="77"/>
      <c r="AV2753" s="80" t="str">
        <f>HYPERLINK("https://pbs.twimg.com/profile_images/1543934829326213121/vSR3V6-r_normal.jpg")</f>
        <v>https://pbs.twimg.com/profile_images/1543934829326213121/vSR3V6-r_normal.jpg</v>
      </c>
      <c r="AW2753" s="82" t="s">
        <v>14908</v>
      </c>
      <c r="AX2753" s="82" t="s">
        <v>14908</v>
      </c>
      <c r="AY2753" s="77"/>
      <c r="AZ2753" s="82" t="s">
        <v>15804</v>
      </c>
      <c r="BA2753" s="82" t="s">
        <v>15804</v>
      </c>
      <c r="BB2753" s="82" t="s">
        <v>15804</v>
      </c>
      <c r="BC2753" s="82" t="s">
        <v>14908</v>
      </c>
      <c r="BD2753" s="82" t="s">
        <v>16577</v>
      </c>
      <c r="BE2753" s="77"/>
      <c r="BF2753" s="77"/>
      <c r="BG2753" s="77"/>
      <c r="BH2753" s="77"/>
      <c r="BI2753" s="77"/>
    </row>
    <row r="2754" spans="1:61" x14ac:dyDescent="0.25">
      <c r="A2754" s="62" t="s">
        <v>1009</v>
      </c>
      <c r="B2754" s="62" t="s">
        <v>1009</v>
      </c>
      <c r="C2754" s="63"/>
      <c r="D2754" s="64"/>
      <c r="E2754" s="65"/>
      <c r="F2754" s="66"/>
      <c r="G2754" s="63"/>
      <c r="H2754" s="67"/>
      <c r="I2754" s="68"/>
      <c r="J2754" s="68"/>
      <c r="K2754" s="32"/>
      <c r="L2754" s="75">
        <v>2754</v>
      </c>
      <c r="M2754" s="75"/>
      <c r="N2754" s="70"/>
      <c r="O2754" s="77" t="s">
        <v>179</v>
      </c>
      <c r="P2754" s="79">
        <v>45066.149259259262</v>
      </c>
      <c r="Q2754" s="77" t="s">
        <v>3766</v>
      </c>
      <c r="R2754" s="77">
        <v>0</v>
      </c>
      <c r="S2754" s="77">
        <v>0</v>
      </c>
      <c r="T2754" s="77">
        <v>0</v>
      </c>
      <c r="U2754" s="77">
        <v>0</v>
      </c>
      <c r="V2754" s="77">
        <v>1</v>
      </c>
      <c r="W2754" s="82" t="s">
        <v>4160</v>
      </c>
      <c r="X2754" s="80" t="str">
        <f>HYPERLINK("https://www.admleogaspar.com/post/o-que-%C3%A9-fluxograma-de-finan%C3%A7as-pessoais")</f>
        <v>https://www.admleogaspar.com/post/o-que-%C3%A9-fluxograma-de-finan%C3%A7as-pessoais</v>
      </c>
      <c r="Y2754" s="77" t="s">
        <v>6118</v>
      </c>
      <c r="Z2754" s="77"/>
      <c r="AA2754" s="77"/>
      <c r="AB2754" s="77"/>
      <c r="AC2754" s="82" t="s">
        <v>7706</v>
      </c>
      <c r="AD2754" s="77" t="s">
        <v>7746</v>
      </c>
      <c r="AE2754" s="80" t="str">
        <f>HYPERLINK("https://twitter.com/leogaspar002/status/1659764619580260354")</f>
        <v>https://twitter.com/leogaspar002/status/1659764619580260354</v>
      </c>
      <c r="AF2754" s="79">
        <v>45066.149259259262</v>
      </c>
      <c r="AG2754" s="85">
        <v>45066</v>
      </c>
      <c r="AH2754" s="82" t="s">
        <v>10238</v>
      </c>
      <c r="AI2754" s="77" t="b">
        <v>0</v>
      </c>
      <c r="AJ2754" s="77"/>
      <c r="AK2754" s="77"/>
      <c r="AL2754" s="77"/>
      <c r="AM2754" s="77"/>
      <c r="AN2754" s="77"/>
      <c r="AO2754" s="77"/>
      <c r="AP2754" s="77"/>
      <c r="AQ2754" s="77"/>
      <c r="AR2754" s="77"/>
      <c r="AS2754" s="77"/>
      <c r="AT2754" s="77"/>
      <c r="AU2754" s="77"/>
      <c r="AV2754" s="80" t="str">
        <f>HYPERLINK("https://pbs.twimg.com/profile_images/1324130476290985990/bxDy52tJ_normal.jpg")</f>
        <v>https://pbs.twimg.com/profile_images/1324130476290985990/bxDy52tJ_normal.jpg</v>
      </c>
      <c r="AW2754" s="82" t="s">
        <v>14909</v>
      </c>
      <c r="AX2754" s="82" t="s">
        <v>14909</v>
      </c>
      <c r="AY2754" s="77"/>
      <c r="AZ2754" s="82" t="s">
        <v>15804</v>
      </c>
      <c r="BA2754" s="82" t="s">
        <v>15804</v>
      </c>
      <c r="BB2754" s="82" t="s">
        <v>15804</v>
      </c>
      <c r="BC2754" s="82" t="s">
        <v>14909</v>
      </c>
      <c r="BD2754" s="77">
        <v>1574281260</v>
      </c>
      <c r="BE2754" s="77"/>
      <c r="BF2754" s="77"/>
      <c r="BG2754" s="77"/>
      <c r="BH2754" s="77"/>
      <c r="BI2754" s="77"/>
    </row>
    <row r="2755" spans="1:61" x14ac:dyDescent="0.25">
      <c r="A2755" s="62" t="s">
        <v>1010</v>
      </c>
      <c r="B2755" s="62" t="s">
        <v>1010</v>
      </c>
      <c r="C2755" s="63"/>
      <c r="D2755" s="64"/>
      <c r="E2755" s="65"/>
      <c r="F2755" s="66"/>
      <c r="G2755" s="63"/>
      <c r="H2755" s="67"/>
      <c r="I2755" s="68"/>
      <c r="J2755" s="68"/>
      <c r="K2755" s="32"/>
      <c r="L2755" s="75">
        <v>2755</v>
      </c>
      <c r="M2755" s="75"/>
      <c r="N2755" s="70"/>
      <c r="O2755" s="77" t="s">
        <v>179</v>
      </c>
      <c r="P2755" s="79">
        <v>45081.590266203704</v>
      </c>
      <c r="Q2755" s="77" t="s">
        <v>3767</v>
      </c>
      <c r="R2755" s="77">
        <v>2550</v>
      </c>
      <c r="S2755" s="77">
        <v>37725</v>
      </c>
      <c r="T2755" s="77">
        <v>552</v>
      </c>
      <c r="U2755" s="77">
        <v>296</v>
      </c>
      <c r="V2755" s="77">
        <v>2040123</v>
      </c>
      <c r="W2755" s="77"/>
      <c r="X2755" s="80" t="str">
        <f>HYPERLINK("https://extra.globo.com/economia/noticia/2023/06/voce-pode-ter-direito-saiba-como-pedir-estorno-de-tarifas-bancarias.ghtml")</f>
        <v>https://extra.globo.com/economia/noticia/2023/06/voce-pode-ter-direito-saiba-como-pedir-estorno-de-tarifas-bancarias.ghtml</v>
      </c>
      <c r="Y2755" s="77" t="s">
        <v>6037</v>
      </c>
      <c r="Z2755" s="77"/>
      <c r="AA2755" s="77"/>
      <c r="AB2755" s="77"/>
      <c r="AC2755" s="82" t="s">
        <v>7705</v>
      </c>
      <c r="AD2755" s="77" t="s">
        <v>7745</v>
      </c>
      <c r="AE2755" s="80" t="str">
        <f>HYPERLINK("https://twitter.com/nathfinancas/status/1665360251669954561")</f>
        <v>https://twitter.com/nathfinancas/status/1665360251669954561</v>
      </c>
      <c r="AF2755" s="79">
        <v>45081.590266203704</v>
      </c>
      <c r="AG2755" s="85">
        <v>45081</v>
      </c>
      <c r="AH2755" s="82" t="s">
        <v>10239</v>
      </c>
      <c r="AI2755" s="77" t="b">
        <v>0</v>
      </c>
      <c r="AJ2755" s="77"/>
      <c r="AK2755" s="77"/>
      <c r="AL2755" s="77"/>
      <c r="AM2755" s="77"/>
      <c r="AN2755" s="77"/>
      <c r="AO2755" s="77"/>
      <c r="AP2755" s="77"/>
      <c r="AQ2755" s="77"/>
      <c r="AR2755" s="77"/>
      <c r="AS2755" s="77"/>
      <c r="AT2755" s="77"/>
      <c r="AU2755" s="77"/>
      <c r="AV2755" s="80" t="str">
        <f>HYPERLINK("https://pbs.twimg.com/profile_images/1668797105282985984/UUZWzpjy_normal.jpg")</f>
        <v>https://pbs.twimg.com/profile_images/1668797105282985984/UUZWzpjy_normal.jpg</v>
      </c>
      <c r="AW2755" s="82" t="s">
        <v>14910</v>
      </c>
      <c r="AX2755" s="82" t="s">
        <v>14910</v>
      </c>
      <c r="AY2755" s="77"/>
      <c r="AZ2755" s="82" t="s">
        <v>15804</v>
      </c>
      <c r="BA2755" s="82" t="s">
        <v>15804</v>
      </c>
      <c r="BB2755" s="82" t="s">
        <v>15804</v>
      </c>
      <c r="BC2755" s="82" t="s">
        <v>14910</v>
      </c>
      <c r="BD2755" s="82" t="s">
        <v>16578</v>
      </c>
      <c r="BE2755" s="77"/>
      <c r="BF2755" s="77"/>
      <c r="BG2755" s="77"/>
      <c r="BH2755" s="77"/>
      <c r="BI2755" s="77"/>
    </row>
    <row r="2756" spans="1:61" x14ac:dyDescent="0.25">
      <c r="A2756" s="62" t="s">
        <v>1011</v>
      </c>
      <c r="B2756" s="62" t="s">
        <v>1010</v>
      </c>
      <c r="C2756" s="63"/>
      <c r="D2756" s="64"/>
      <c r="E2756" s="65"/>
      <c r="F2756" s="66"/>
      <c r="G2756" s="63"/>
      <c r="H2756" s="67"/>
      <c r="I2756" s="68"/>
      <c r="J2756" s="68"/>
      <c r="K2756" s="32"/>
      <c r="L2756" s="75">
        <v>2756</v>
      </c>
      <c r="M2756" s="75"/>
      <c r="N2756" s="70"/>
      <c r="O2756" s="77" t="s">
        <v>1133</v>
      </c>
      <c r="P2756" s="79">
        <v>44947.934953703705</v>
      </c>
      <c r="Q2756" s="77" t="s">
        <v>3768</v>
      </c>
      <c r="R2756" s="77">
        <v>0</v>
      </c>
      <c r="S2756" s="77">
        <v>140</v>
      </c>
      <c r="T2756" s="77">
        <v>1</v>
      </c>
      <c r="U2756" s="77">
        <v>1</v>
      </c>
      <c r="V2756" s="77">
        <v>43591</v>
      </c>
      <c r="W2756" s="77"/>
      <c r="X2756" s="77"/>
      <c r="Y2756" s="77"/>
      <c r="Z2756" s="77" t="s">
        <v>1010</v>
      </c>
      <c r="AA2756" s="77"/>
      <c r="AB2756" s="77"/>
      <c r="AC2756" s="82" t="s">
        <v>7707</v>
      </c>
      <c r="AD2756" s="77" t="s">
        <v>7745</v>
      </c>
      <c r="AE2756" s="80" t="str">
        <f>HYPERLINK("https://twitter.com/jessiviesil/status/1616925188490231811")</f>
        <v>https://twitter.com/jessiviesil/status/1616925188490231811</v>
      </c>
      <c r="AF2756" s="79">
        <v>44947.934953703705</v>
      </c>
      <c r="AG2756" s="85">
        <v>44947</v>
      </c>
      <c r="AH2756" s="82" t="s">
        <v>10240</v>
      </c>
      <c r="AI2756" s="77"/>
      <c r="AJ2756" s="77"/>
      <c r="AK2756" s="77"/>
      <c r="AL2756" s="77"/>
      <c r="AM2756" s="77"/>
      <c r="AN2756" s="77"/>
      <c r="AO2756" s="77"/>
      <c r="AP2756" s="77"/>
      <c r="AQ2756" s="77"/>
      <c r="AR2756" s="77"/>
      <c r="AS2756" s="77"/>
      <c r="AT2756" s="77"/>
      <c r="AU2756" s="77"/>
      <c r="AV2756" s="80" t="str">
        <f>HYPERLINK("https://pbs.twimg.com/profile_images/1617997699940339721/qAAS3acV_normal.jpg")</f>
        <v>https://pbs.twimg.com/profile_images/1617997699940339721/qAAS3acV_normal.jpg</v>
      </c>
      <c r="AW2756" s="82" t="s">
        <v>14911</v>
      </c>
      <c r="AX2756" s="82" t="s">
        <v>14911</v>
      </c>
      <c r="AY2756" s="77"/>
      <c r="AZ2756" s="82" t="s">
        <v>15804</v>
      </c>
      <c r="BA2756" s="82" t="s">
        <v>15804</v>
      </c>
      <c r="BB2756" s="82" t="s">
        <v>15804</v>
      </c>
      <c r="BC2756" s="82" t="s">
        <v>14911</v>
      </c>
      <c r="BD2756" s="77">
        <v>53097336</v>
      </c>
      <c r="BE2756" s="77"/>
      <c r="BF2756" s="77"/>
      <c r="BG2756" s="77"/>
      <c r="BH2756" s="77"/>
      <c r="BI2756" s="77"/>
    </row>
    <row r="2757" spans="1:61" x14ac:dyDescent="0.25">
      <c r="A2757" s="62" t="s">
        <v>1012</v>
      </c>
      <c r="B2757" s="62" t="s">
        <v>1012</v>
      </c>
      <c r="C2757" s="63"/>
      <c r="D2757" s="64"/>
      <c r="E2757" s="65"/>
      <c r="F2757" s="66"/>
      <c r="G2757" s="63"/>
      <c r="H2757" s="67"/>
      <c r="I2757" s="68"/>
      <c r="J2757" s="68"/>
      <c r="K2757" s="32"/>
      <c r="L2757" s="75">
        <v>2757</v>
      </c>
      <c r="M2757" s="75"/>
      <c r="N2757" s="70"/>
      <c r="O2757" s="77" t="s">
        <v>179</v>
      </c>
      <c r="P2757" s="79">
        <v>44981.835995370369</v>
      </c>
      <c r="Q2757" s="77" t="s">
        <v>3769</v>
      </c>
      <c r="R2757" s="77">
        <v>0</v>
      </c>
      <c r="S2757" s="77">
        <v>0</v>
      </c>
      <c r="T2757" s="77">
        <v>0</v>
      </c>
      <c r="U2757" s="77">
        <v>0</v>
      </c>
      <c r="V2757" s="77">
        <v>15</v>
      </c>
      <c r="W2757" s="82" t="s">
        <v>5071</v>
      </c>
      <c r="X2757" s="77"/>
      <c r="Y2757" s="77"/>
      <c r="Z2757" s="77"/>
      <c r="AA2757" s="77"/>
      <c r="AB2757" s="77"/>
      <c r="AC2757" s="82" t="s">
        <v>7705</v>
      </c>
      <c r="AD2757" s="77" t="s">
        <v>7745</v>
      </c>
      <c r="AE2757" s="80" t="str">
        <f>HYPERLINK("https://twitter.com/bruno_kleinlein/status/1629210514923429889")</f>
        <v>https://twitter.com/bruno_kleinlein/status/1629210514923429889</v>
      </c>
      <c r="AF2757" s="79">
        <v>44981.835995370369</v>
      </c>
      <c r="AG2757" s="85">
        <v>44981</v>
      </c>
      <c r="AH2757" s="82" t="s">
        <v>10241</v>
      </c>
      <c r="AI2757" s="77"/>
      <c r="AJ2757" s="77"/>
      <c r="AK2757" s="77"/>
      <c r="AL2757" s="77"/>
      <c r="AM2757" s="77"/>
      <c r="AN2757" s="77"/>
      <c r="AO2757" s="77"/>
      <c r="AP2757" s="77"/>
      <c r="AQ2757" s="77"/>
      <c r="AR2757" s="77"/>
      <c r="AS2757" s="77"/>
      <c r="AT2757" s="77"/>
      <c r="AU2757" s="77"/>
      <c r="AV2757" s="80" t="str">
        <f>HYPERLINK("https://pbs.twimg.com/profile_images/1600867993721999363/wEiaL4xT_normal.jpg")</f>
        <v>https://pbs.twimg.com/profile_images/1600867993721999363/wEiaL4xT_normal.jpg</v>
      </c>
      <c r="AW2757" s="82" t="s">
        <v>14912</v>
      </c>
      <c r="AX2757" s="82" t="s">
        <v>14912</v>
      </c>
      <c r="AY2757" s="77"/>
      <c r="AZ2757" s="82" t="s">
        <v>15804</v>
      </c>
      <c r="BA2757" s="82" t="s">
        <v>15804</v>
      </c>
      <c r="BB2757" s="82" t="s">
        <v>15804</v>
      </c>
      <c r="BC2757" s="82" t="s">
        <v>14912</v>
      </c>
      <c r="BD2757" s="77">
        <v>140982512</v>
      </c>
      <c r="BE2757" s="77"/>
      <c r="BF2757" s="77"/>
      <c r="BG2757" s="77"/>
      <c r="BH2757" s="77"/>
      <c r="BI2757" s="77"/>
    </row>
    <row r="2758" spans="1:61" x14ac:dyDescent="0.25">
      <c r="A2758" s="62" t="s">
        <v>1013</v>
      </c>
      <c r="B2758" s="62" t="s">
        <v>1106</v>
      </c>
      <c r="C2758" s="63"/>
      <c r="D2758" s="64"/>
      <c r="E2758" s="65"/>
      <c r="F2758" s="66"/>
      <c r="G2758" s="63"/>
      <c r="H2758" s="67"/>
      <c r="I2758" s="68"/>
      <c r="J2758" s="68"/>
      <c r="K2758" s="32"/>
      <c r="L2758" s="75">
        <v>2758</v>
      </c>
      <c r="M2758" s="75"/>
      <c r="N2758" s="70"/>
      <c r="O2758" s="77" t="s">
        <v>1133</v>
      </c>
      <c r="P2758" s="79">
        <v>45132.701111111113</v>
      </c>
      <c r="Q2758" s="77" t="s">
        <v>3770</v>
      </c>
      <c r="R2758" s="77">
        <v>0</v>
      </c>
      <c r="S2758" s="77">
        <v>0</v>
      </c>
      <c r="T2758" s="77">
        <v>0</v>
      </c>
      <c r="U2758" s="77">
        <v>0</v>
      </c>
      <c r="V2758" s="77">
        <v>3</v>
      </c>
      <c r="W2758" s="82" t="s">
        <v>5817</v>
      </c>
      <c r="X2758" s="80" t="str">
        <f>HYPERLINK("https://amzn.to/3Q8yFMT")</f>
        <v>https://amzn.to/3Q8yFMT</v>
      </c>
      <c r="Y2758" s="77" t="s">
        <v>6043</v>
      </c>
      <c r="Z2758" s="77" t="s">
        <v>1106</v>
      </c>
      <c r="AA2758" s="77"/>
      <c r="AB2758" s="77"/>
      <c r="AC2758" s="82" t="s">
        <v>7706</v>
      </c>
      <c r="AD2758" s="77" t="s">
        <v>7745</v>
      </c>
      <c r="AE2758" s="80" t="str">
        <f>HYPERLINK("https://twitter.com/rafaelaon/status/1683882199622332435")</f>
        <v>https://twitter.com/rafaelaon/status/1683882199622332435</v>
      </c>
      <c r="AF2758" s="79">
        <v>45132.701111111113</v>
      </c>
      <c r="AG2758" s="85">
        <v>45132</v>
      </c>
      <c r="AH2758" s="82" t="s">
        <v>10242</v>
      </c>
      <c r="AI2758" s="77" t="b">
        <v>1</v>
      </c>
      <c r="AJ2758" s="77"/>
      <c r="AK2758" s="77"/>
      <c r="AL2758" s="77"/>
      <c r="AM2758" s="77"/>
      <c r="AN2758" s="77"/>
      <c r="AO2758" s="77"/>
      <c r="AP2758" s="77"/>
      <c r="AQ2758" s="77"/>
      <c r="AR2758" s="77"/>
      <c r="AS2758" s="77"/>
      <c r="AT2758" s="77"/>
      <c r="AU2758" s="77"/>
      <c r="AV2758" s="80" t="str">
        <f>HYPERLINK("https://pbs.twimg.com/profile_images/908099396746833921/oJObXf7s_normal.jpg")</f>
        <v>https://pbs.twimg.com/profile_images/908099396746833921/oJObXf7s_normal.jpg</v>
      </c>
      <c r="AW2758" s="82" t="s">
        <v>14913</v>
      </c>
      <c r="AX2758" s="82" t="s">
        <v>14913</v>
      </c>
      <c r="AY2758" s="77"/>
      <c r="AZ2758" s="82" t="s">
        <v>15804</v>
      </c>
      <c r="BA2758" s="82" t="s">
        <v>15804</v>
      </c>
      <c r="BB2758" s="82" t="s">
        <v>15804</v>
      </c>
      <c r="BC2758" s="82" t="s">
        <v>14913</v>
      </c>
      <c r="BD2758" s="77">
        <v>29331023</v>
      </c>
      <c r="BE2758" s="77"/>
      <c r="BF2758" s="77"/>
      <c r="BG2758" s="77"/>
      <c r="BH2758" s="77"/>
      <c r="BI2758" s="77"/>
    </row>
    <row r="2759" spans="1:61" x14ac:dyDescent="0.25">
      <c r="A2759" s="62" t="s">
        <v>1014</v>
      </c>
      <c r="B2759" s="62" t="s">
        <v>1014</v>
      </c>
      <c r="C2759" s="63"/>
      <c r="D2759" s="64"/>
      <c r="E2759" s="65"/>
      <c r="F2759" s="66"/>
      <c r="G2759" s="63"/>
      <c r="H2759" s="67"/>
      <c r="I2759" s="68"/>
      <c r="J2759" s="68"/>
      <c r="K2759" s="32"/>
      <c r="L2759" s="75">
        <v>2759</v>
      </c>
      <c r="M2759" s="75"/>
      <c r="N2759" s="70"/>
      <c r="O2759" s="77" t="s">
        <v>179</v>
      </c>
      <c r="P2759" s="79">
        <v>45153.582881944443</v>
      </c>
      <c r="Q2759" s="77" t="s">
        <v>3771</v>
      </c>
      <c r="R2759" s="77">
        <v>0</v>
      </c>
      <c r="S2759" s="77">
        <v>0</v>
      </c>
      <c r="T2759" s="77">
        <v>0</v>
      </c>
      <c r="U2759" s="77">
        <v>0</v>
      </c>
      <c r="V2759" s="77">
        <v>93</v>
      </c>
      <c r="W2759" s="82" t="s">
        <v>5818</v>
      </c>
      <c r="X2759" s="77"/>
      <c r="Y2759" s="77"/>
      <c r="Z2759" s="77"/>
      <c r="AA2759" s="77" t="s">
        <v>7651</v>
      </c>
      <c r="AB2759" s="77" t="s">
        <v>7696</v>
      </c>
      <c r="AC2759" s="82" t="s">
        <v>7706</v>
      </c>
      <c r="AD2759" s="77" t="s">
        <v>7745</v>
      </c>
      <c r="AE2759" s="80" t="str">
        <f>HYPERLINK("https://twitter.com/carlosunrise74/status/1691449501893242881")</f>
        <v>https://twitter.com/carlosunrise74/status/1691449501893242881</v>
      </c>
      <c r="AF2759" s="79">
        <v>45153.582881944443</v>
      </c>
      <c r="AG2759" s="85">
        <v>45153</v>
      </c>
      <c r="AH2759" s="82" t="s">
        <v>10243</v>
      </c>
      <c r="AI2759" s="77" t="b">
        <v>0</v>
      </c>
      <c r="AJ2759" s="77"/>
      <c r="AK2759" s="77"/>
      <c r="AL2759" s="77"/>
      <c r="AM2759" s="77"/>
      <c r="AN2759" s="77"/>
      <c r="AO2759" s="77"/>
      <c r="AP2759" s="77"/>
      <c r="AQ2759" s="77" t="s">
        <v>12157</v>
      </c>
      <c r="AR2759" s="77"/>
      <c r="AS2759" s="77"/>
      <c r="AT2759" s="77"/>
      <c r="AU2759" s="77"/>
      <c r="AV2759" s="80" t="str">
        <f>HYPERLINK("https://pbs.twimg.com/media/F3k8U2WakAAyQAz.jpg")</f>
        <v>https://pbs.twimg.com/media/F3k8U2WakAAyQAz.jpg</v>
      </c>
      <c r="AW2759" s="82" t="s">
        <v>14914</v>
      </c>
      <c r="AX2759" s="82" t="s">
        <v>14914</v>
      </c>
      <c r="AY2759" s="77"/>
      <c r="AZ2759" s="82" t="s">
        <v>15804</v>
      </c>
      <c r="BA2759" s="82" t="s">
        <v>15804</v>
      </c>
      <c r="BB2759" s="82" t="s">
        <v>15804</v>
      </c>
      <c r="BC2759" s="82" t="s">
        <v>14914</v>
      </c>
      <c r="BD2759" s="82" t="s">
        <v>16579</v>
      </c>
      <c r="BE2759" s="77"/>
      <c r="BF2759" s="77"/>
      <c r="BG2759" s="77"/>
      <c r="BH2759" s="77"/>
      <c r="BI2759" s="77"/>
    </row>
    <row r="2760" spans="1:61" x14ac:dyDescent="0.25">
      <c r="A2760" s="62" t="s">
        <v>1015</v>
      </c>
      <c r="B2760" s="62" t="s">
        <v>1015</v>
      </c>
      <c r="C2760" s="63"/>
      <c r="D2760" s="64"/>
      <c r="E2760" s="65"/>
      <c r="F2760" s="66"/>
      <c r="G2760" s="63"/>
      <c r="H2760" s="67"/>
      <c r="I2760" s="68"/>
      <c r="J2760" s="68"/>
      <c r="K2760" s="32"/>
      <c r="L2760" s="75">
        <v>2760</v>
      </c>
      <c r="M2760" s="75"/>
      <c r="N2760" s="70"/>
      <c r="O2760" s="77" t="s">
        <v>179</v>
      </c>
      <c r="P2760" s="79">
        <v>45048.490601851852</v>
      </c>
      <c r="Q2760" s="77" t="s">
        <v>3772</v>
      </c>
      <c r="R2760" s="77">
        <v>0</v>
      </c>
      <c r="S2760" s="77">
        <v>1</v>
      </c>
      <c r="T2760" s="77">
        <v>0</v>
      </c>
      <c r="U2760" s="77">
        <v>0</v>
      </c>
      <c r="V2760" s="77">
        <v>11</v>
      </c>
      <c r="W2760" s="82" t="s">
        <v>5819</v>
      </c>
      <c r="X2760" s="80" t="str">
        <f>HYPERLINK("https://www.evertonlopes.com.br/livros")</f>
        <v>https://www.evertonlopes.com.br/livros</v>
      </c>
      <c r="Y2760" s="77" t="s">
        <v>6002</v>
      </c>
      <c r="Z2760" s="77"/>
      <c r="AA2760" s="77"/>
      <c r="AB2760" s="77"/>
      <c r="AC2760" s="82" t="s">
        <v>7705</v>
      </c>
      <c r="AD2760" s="77" t="s">
        <v>7745</v>
      </c>
      <c r="AE2760" s="80" t="str">
        <f>HYPERLINK("https://twitter.com/lopeseconomista/status/1653365335729340418")</f>
        <v>https://twitter.com/lopeseconomista/status/1653365335729340418</v>
      </c>
      <c r="AF2760" s="79">
        <v>45048.490601851852</v>
      </c>
      <c r="AG2760" s="85">
        <v>45048</v>
      </c>
      <c r="AH2760" s="82" t="s">
        <v>10244</v>
      </c>
      <c r="AI2760" s="77" t="b">
        <v>0</v>
      </c>
      <c r="AJ2760" s="77"/>
      <c r="AK2760" s="77"/>
      <c r="AL2760" s="77"/>
      <c r="AM2760" s="77"/>
      <c r="AN2760" s="77"/>
      <c r="AO2760" s="77"/>
      <c r="AP2760" s="77"/>
      <c r="AQ2760" s="77"/>
      <c r="AR2760" s="77"/>
      <c r="AS2760" s="77"/>
      <c r="AT2760" s="77"/>
      <c r="AU2760" s="77"/>
      <c r="AV2760" s="80" t="str">
        <f>HYPERLINK("https://pbs.twimg.com/profile_images/1256996109337190400/krLYrVpV_normal.jpg")</f>
        <v>https://pbs.twimg.com/profile_images/1256996109337190400/krLYrVpV_normal.jpg</v>
      </c>
      <c r="AW2760" s="82" t="s">
        <v>14915</v>
      </c>
      <c r="AX2760" s="82" t="s">
        <v>14915</v>
      </c>
      <c r="AY2760" s="77"/>
      <c r="AZ2760" s="82" t="s">
        <v>15804</v>
      </c>
      <c r="BA2760" s="82" t="s">
        <v>15804</v>
      </c>
      <c r="BB2760" s="82" t="s">
        <v>15804</v>
      </c>
      <c r="BC2760" s="82" t="s">
        <v>14915</v>
      </c>
      <c r="BD2760" s="82" t="s">
        <v>16580</v>
      </c>
      <c r="BE2760" s="77"/>
      <c r="BF2760" s="77"/>
      <c r="BG2760" s="77"/>
      <c r="BH2760" s="77"/>
      <c r="BI2760" s="77"/>
    </row>
    <row r="2761" spans="1:61" x14ac:dyDescent="0.25">
      <c r="A2761" s="62" t="s">
        <v>1015</v>
      </c>
      <c r="B2761" s="62" t="s">
        <v>1015</v>
      </c>
      <c r="C2761" s="63"/>
      <c r="D2761" s="64"/>
      <c r="E2761" s="65"/>
      <c r="F2761" s="66"/>
      <c r="G2761" s="63"/>
      <c r="H2761" s="67"/>
      <c r="I2761" s="68"/>
      <c r="J2761" s="68"/>
      <c r="K2761" s="32"/>
      <c r="L2761" s="75">
        <v>2761</v>
      </c>
      <c r="M2761" s="75"/>
      <c r="N2761" s="70"/>
      <c r="O2761" s="77" t="s">
        <v>179</v>
      </c>
      <c r="P2761" s="79">
        <v>45097.882881944446</v>
      </c>
      <c r="Q2761" s="77" t="s">
        <v>3773</v>
      </c>
      <c r="R2761" s="77">
        <v>0</v>
      </c>
      <c r="S2761" s="77">
        <v>0</v>
      </c>
      <c r="T2761" s="77">
        <v>0</v>
      </c>
      <c r="U2761" s="77">
        <v>0</v>
      </c>
      <c r="V2761" s="77">
        <v>30</v>
      </c>
      <c r="W2761" s="82" t="s">
        <v>5820</v>
      </c>
      <c r="X2761" s="77"/>
      <c r="Y2761" s="77"/>
      <c r="Z2761" s="77"/>
      <c r="AA2761" s="77" t="s">
        <v>7652</v>
      </c>
      <c r="AB2761" s="77" t="s">
        <v>7696</v>
      </c>
      <c r="AC2761" s="82" t="s">
        <v>7705</v>
      </c>
      <c r="AD2761" s="77" t="s">
        <v>7745</v>
      </c>
      <c r="AE2761" s="80" t="str">
        <f>HYPERLINK("https://twitter.com/lopeseconomista/status/1671264497003294722")</f>
        <v>https://twitter.com/lopeseconomista/status/1671264497003294722</v>
      </c>
      <c r="AF2761" s="79">
        <v>45097.882881944446</v>
      </c>
      <c r="AG2761" s="85">
        <v>45097</v>
      </c>
      <c r="AH2761" s="82" t="s">
        <v>10245</v>
      </c>
      <c r="AI2761" s="77" t="b">
        <v>0</v>
      </c>
      <c r="AJ2761" s="77"/>
      <c r="AK2761" s="77"/>
      <c r="AL2761" s="77"/>
      <c r="AM2761" s="77"/>
      <c r="AN2761" s="77"/>
      <c r="AO2761" s="77"/>
      <c r="AP2761" s="77"/>
      <c r="AQ2761" s="77" t="s">
        <v>12158</v>
      </c>
      <c r="AR2761" s="77"/>
      <c r="AS2761" s="77"/>
      <c r="AT2761" s="77"/>
      <c r="AU2761" s="77"/>
      <c r="AV2761" s="80" t="str">
        <f>HYPERLINK("https://pbs.twimg.com/media/FzGGMwhWwAQeRI9.jpg")</f>
        <v>https://pbs.twimg.com/media/FzGGMwhWwAQeRI9.jpg</v>
      </c>
      <c r="AW2761" s="82" t="s">
        <v>14916</v>
      </c>
      <c r="AX2761" s="82" t="s">
        <v>14916</v>
      </c>
      <c r="AY2761" s="77"/>
      <c r="AZ2761" s="82" t="s">
        <v>15804</v>
      </c>
      <c r="BA2761" s="82" t="s">
        <v>15804</v>
      </c>
      <c r="BB2761" s="82" t="s">
        <v>15804</v>
      </c>
      <c r="BC2761" s="82" t="s">
        <v>14916</v>
      </c>
      <c r="BD2761" s="82" t="s">
        <v>16580</v>
      </c>
      <c r="BE2761" s="77"/>
      <c r="BF2761" s="77"/>
      <c r="BG2761" s="77"/>
      <c r="BH2761" s="77"/>
      <c r="BI2761" s="77"/>
    </row>
    <row r="2762" spans="1:61" x14ac:dyDescent="0.25">
      <c r="A2762" s="62" t="s">
        <v>1015</v>
      </c>
      <c r="B2762" s="62" t="s">
        <v>1015</v>
      </c>
      <c r="C2762" s="63"/>
      <c r="D2762" s="64"/>
      <c r="E2762" s="65"/>
      <c r="F2762" s="66"/>
      <c r="G2762" s="63"/>
      <c r="H2762" s="67"/>
      <c r="I2762" s="68"/>
      <c r="J2762" s="68"/>
      <c r="K2762" s="32"/>
      <c r="L2762" s="75">
        <v>2762</v>
      </c>
      <c r="M2762" s="75"/>
      <c r="N2762" s="70"/>
      <c r="O2762" s="77" t="s">
        <v>179</v>
      </c>
      <c r="P2762" s="79">
        <v>45076.538888888892</v>
      </c>
      <c r="Q2762" s="77" t="s">
        <v>3774</v>
      </c>
      <c r="R2762" s="77">
        <v>0</v>
      </c>
      <c r="S2762" s="77">
        <v>0</v>
      </c>
      <c r="T2762" s="77">
        <v>0</v>
      </c>
      <c r="U2762" s="77">
        <v>0</v>
      </c>
      <c r="V2762" s="77">
        <v>18</v>
      </c>
      <c r="W2762" s="82" t="s">
        <v>5821</v>
      </c>
      <c r="X2762" s="77"/>
      <c r="Y2762" s="77"/>
      <c r="Z2762" s="77"/>
      <c r="AA2762" s="77" t="s">
        <v>7653</v>
      </c>
      <c r="AB2762" s="77" t="s">
        <v>7696</v>
      </c>
      <c r="AC2762" s="82" t="s">
        <v>7705</v>
      </c>
      <c r="AD2762" s="77" t="s">
        <v>7745</v>
      </c>
      <c r="AE2762" s="80" t="str">
        <f>HYPERLINK("https://twitter.com/lopeseconomista/status/1663529692349997060")</f>
        <v>https://twitter.com/lopeseconomista/status/1663529692349997060</v>
      </c>
      <c r="AF2762" s="79">
        <v>45076.538888888892</v>
      </c>
      <c r="AG2762" s="85">
        <v>45076</v>
      </c>
      <c r="AH2762" s="82" t="s">
        <v>10246</v>
      </c>
      <c r="AI2762" s="77" t="b">
        <v>0</v>
      </c>
      <c r="AJ2762" s="77"/>
      <c r="AK2762" s="77"/>
      <c r="AL2762" s="77"/>
      <c r="AM2762" s="77"/>
      <c r="AN2762" s="77"/>
      <c r="AO2762" s="77"/>
      <c r="AP2762" s="77"/>
      <c r="AQ2762" s="77" t="s">
        <v>12159</v>
      </c>
      <c r="AR2762" s="77"/>
      <c r="AS2762" s="77"/>
      <c r="AT2762" s="77"/>
      <c r="AU2762" s="77"/>
      <c r="AV2762" s="80" t="str">
        <f>HYPERLINK("https://pbs.twimg.com/media/FxYLbxtXsAAOt49.jpg")</f>
        <v>https://pbs.twimg.com/media/FxYLbxtXsAAOt49.jpg</v>
      </c>
      <c r="AW2762" s="82" t="s">
        <v>14917</v>
      </c>
      <c r="AX2762" s="82" t="s">
        <v>14917</v>
      </c>
      <c r="AY2762" s="77"/>
      <c r="AZ2762" s="82" t="s">
        <v>15804</v>
      </c>
      <c r="BA2762" s="82" t="s">
        <v>15804</v>
      </c>
      <c r="BB2762" s="82" t="s">
        <v>15804</v>
      </c>
      <c r="BC2762" s="82" t="s">
        <v>14917</v>
      </c>
      <c r="BD2762" s="82" t="s">
        <v>16580</v>
      </c>
      <c r="BE2762" s="77"/>
      <c r="BF2762" s="77"/>
      <c r="BG2762" s="77"/>
      <c r="BH2762" s="77"/>
      <c r="BI2762" s="77"/>
    </row>
    <row r="2763" spans="1:61" x14ac:dyDescent="0.25">
      <c r="A2763" s="62" t="s">
        <v>1015</v>
      </c>
      <c r="B2763" s="62" t="s">
        <v>1015</v>
      </c>
      <c r="C2763" s="63"/>
      <c r="D2763" s="64"/>
      <c r="E2763" s="65"/>
      <c r="F2763" s="66"/>
      <c r="G2763" s="63"/>
      <c r="H2763" s="67"/>
      <c r="I2763" s="68"/>
      <c r="J2763" s="68"/>
      <c r="K2763" s="32"/>
      <c r="L2763" s="75">
        <v>2763</v>
      </c>
      <c r="M2763" s="75"/>
      <c r="N2763" s="70"/>
      <c r="O2763" s="77" t="s">
        <v>179</v>
      </c>
      <c r="P2763" s="79">
        <v>45104.059328703705</v>
      </c>
      <c r="Q2763" s="77" t="s">
        <v>3775</v>
      </c>
      <c r="R2763" s="77">
        <v>0</v>
      </c>
      <c r="S2763" s="77">
        <v>0</v>
      </c>
      <c r="T2763" s="77">
        <v>0</v>
      </c>
      <c r="U2763" s="77">
        <v>0</v>
      </c>
      <c r="V2763" s="77">
        <v>28</v>
      </c>
      <c r="W2763" s="82" t="s">
        <v>5822</v>
      </c>
      <c r="X2763" s="77"/>
      <c r="Y2763" s="77"/>
      <c r="Z2763" s="77"/>
      <c r="AA2763" s="77" t="s">
        <v>7654</v>
      </c>
      <c r="AB2763" s="77" t="s">
        <v>7696</v>
      </c>
      <c r="AC2763" s="82" t="s">
        <v>7705</v>
      </c>
      <c r="AD2763" s="77" t="s">
        <v>7745</v>
      </c>
      <c r="AE2763" s="80" t="str">
        <f>HYPERLINK("https://twitter.com/lopeseconomista/status/1673502767560773638")</f>
        <v>https://twitter.com/lopeseconomista/status/1673502767560773638</v>
      </c>
      <c r="AF2763" s="79">
        <v>45104.059328703705</v>
      </c>
      <c r="AG2763" s="85">
        <v>45104</v>
      </c>
      <c r="AH2763" s="82" t="s">
        <v>10247</v>
      </c>
      <c r="AI2763" s="77" t="b">
        <v>0</v>
      </c>
      <c r="AJ2763" s="77"/>
      <c r="AK2763" s="77"/>
      <c r="AL2763" s="77"/>
      <c r="AM2763" s="77"/>
      <c r="AN2763" s="77"/>
      <c r="AO2763" s="77"/>
      <c r="AP2763" s="77"/>
      <c r="AQ2763" s="77" t="s">
        <v>12160</v>
      </c>
      <c r="AR2763" s="77"/>
      <c r="AS2763" s="77"/>
      <c r="AT2763" s="77"/>
      <c r="AU2763" s="77"/>
      <c r="AV2763" s="80" t="str">
        <f>HYPERLINK("https://pbs.twimg.com/media/Fzl55OpXgAQOPU5.jpg")</f>
        <v>https://pbs.twimg.com/media/Fzl55OpXgAQOPU5.jpg</v>
      </c>
      <c r="AW2763" s="82" t="s">
        <v>14918</v>
      </c>
      <c r="AX2763" s="82" t="s">
        <v>14918</v>
      </c>
      <c r="AY2763" s="77"/>
      <c r="AZ2763" s="82" t="s">
        <v>15804</v>
      </c>
      <c r="BA2763" s="82" t="s">
        <v>15804</v>
      </c>
      <c r="BB2763" s="82" t="s">
        <v>15804</v>
      </c>
      <c r="BC2763" s="82" t="s">
        <v>14918</v>
      </c>
      <c r="BD2763" s="82" t="s">
        <v>16580</v>
      </c>
      <c r="BE2763" s="77"/>
      <c r="BF2763" s="77"/>
      <c r="BG2763" s="77"/>
      <c r="BH2763" s="77"/>
      <c r="BI2763" s="77"/>
    </row>
    <row r="2764" spans="1:61" x14ac:dyDescent="0.25">
      <c r="A2764" s="62" t="s">
        <v>1015</v>
      </c>
      <c r="B2764" s="62" t="s">
        <v>1015</v>
      </c>
      <c r="C2764" s="63"/>
      <c r="D2764" s="64"/>
      <c r="E2764" s="65"/>
      <c r="F2764" s="66"/>
      <c r="G2764" s="63"/>
      <c r="H2764" s="67"/>
      <c r="I2764" s="68"/>
      <c r="J2764" s="68"/>
      <c r="K2764" s="32"/>
      <c r="L2764" s="75">
        <v>2764</v>
      </c>
      <c r="M2764" s="75"/>
      <c r="N2764" s="70"/>
      <c r="O2764" s="77" t="s">
        <v>179</v>
      </c>
      <c r="P2764" s="79">
        <v>45083.008032407408</v>
      </c>
      <c r="Q2764" s="77" t="s">
        <v>3776</v>
      </c>
      <c r="R2764" s="77">
        <v>0</v>
      </c>
      <c r="S2764" s="77">
        <v>0</v>
      </c>
      <c r="T2764" s="77">
        <v>0</v>
      </c>
      <c r="U2764" s="77">
        <v>0</v>
      </c>
      <c r="V2764" s="77">
        <v>15</v>
      </c>
      <c r="W2764" s="82" t="s">
        <v>5823</v>
      </c>
      <c r="X2764" s="77"/>
      <c r="Y2764" s="77"/>
      <c r="Z2764" s="77"/>
      <c r="AA2764" s="77" t="s">
        <v>7655</v>
      </c>
      <c r="AB2764" s="77" t="s">
        <v>7697</v>
      </c>
      <c r="AC2764" s="82" t="s">
        <v>7705</v>
      </c>
      <c r="AD2764" s="77" t="s">
        <v>7745</v>
      </c>
      <c r="AE2764" s="80" t="str">
        <f>HYPERLINK("https://twitter.com/lopeseconomista/status/1665874033135460354")</f>
        <v>https://twitter.com/lopeseconomista/status/1665874033135460354</v>
      </c>
      <c r="AF2764" s="79">
        <v>45083.008032407408</v>
      </c>
      <c r="AG2764" s="85">
        <v>45083</v>
      </c>
      <c r="AH2764" s="82" t="s">
        <v>10248</v>
      </c>
      <c r="AI2764" s="77" t="b">
        <v>0</v>
      </c>
      <c r="AJ2764" s="77"/>
      <c r="AK2764" s="77"/>
      <c r="AL2764" s="77"/>
      <c r="AM2764" s="77"/>
      <c r="AN2764" s="77"/>
      <c r="AO2764" s="77"/>
      <c r="AP2764" s="77"/>
      <c r="AQ2764" s="77" t="s">
        <v>12161</v>
      </c>
      <c r="AR2764" s="77">
        <v>5000</v>
      </c>
      <c r="AS2764" s="77"/>
      <c r="AT2764" s="77"/>
      <c r="AU2764" s="77">
        <v>7</v>
      </c>
      <c r="AV2764" s="80" t="str">
        <f>HYPERLINK("https://pbs.twimg.com/ext_tw_video_thumb/1665874003309875201/pu/img/V73YGL0APkvqn5gE.jpg")</f>
        <v>https://pbs.twimg.com/ext_tw_video_thumb/1665874003309875201/pu/img/V73YGL0APkvqn5gE.jpg</v>
      </c>
      <c r="AW2764" s="82" t="s">
        <v>14919</v>
      </c>
      <c r="AX2764" s="82" t="s">
        <v>14919</v>
      </c>
      <c r="AY2764" s="77"/>
      <c r="AZ2764" s="82" t="s">
        <v>15804</v>
      </c>
      <c r="BA2764" s="82" t="s">
        <v>15804</v>
      </c>
      <c r="BB2764" s="82" t="s">
        <v>15804</v>
      </c>
      <c r="BC2764" s="82" t="s">
        <v>14919</v>
      </c>
      <c r="BD2764" s="82" t="s">
        <v>16580</v>
      </c>
      <c r="BE2764" s="77"/>
      <c r="BF2764" s="77"/>
      <c r="BG2764" s="77"/>
      <c r="BH2764" s="77"/>
      <c r="BI2764" s="77"/>
    </row>
    <row r="2765" spans="1:61" x14ac:dyDescent="0.25">
      <c r="A2765" s="62" t="s">
        <v>1015</v>
      </c>
      <c r="B2765" s="62" t="s">
        <v>1015</v>
      </c>
      <c r="C2765" s="63"/>
      <c r="D2765" s="64"/>
      <c r="E2765" s="65"/>
      <c r="F2765" s="66"/>
      <c r="G2765" s="63"/>
      <c r="H2765" s="67"/>
      <c r="I2765" s="68"/>
      <c r="J2765" s="68"/>
      <c r="K2765" s="32"/>
      <c r="L2765" s="75">
        <v>2765</v>
      </c>
      <c r="M2765" s="75"/>
      <c r="N2765" s="70"/>
      <c r="O2765" s="77" t="s">
        <v>179</v>
      </c>
      <c r="P2765" s="79">
        <v>45065.332511574074</v>
      </c>
      <c r="Q2765" s="77" t="s">
        <v>3777</v>
      </c>
      <c r="R2765" s="77">
        <v>0</v>
      </c>
      <c r="S2765" s="77">
        <v>0</v>
      </c>
      <c r="T2765" s="77">
        <v>0</v>
      </c>
      <c r="U2765" s="77">
        <v>0</v>
      </c>
      <c r="V2765" s="77">
        <v>44</v>
      </c>
      <c r="W2765" s="82" t="s">
        <v>5824</v>
      </c>
      <c r="X2765" s="77"/>
      <c r="Y2765" s="77"/>
      <c r="Z2765" s="77"/>
      <c r="AA2765" s="77" t="s">
        <v>7656</v>
      </c>
      <c r="AB2765" s="77" t="s">
        <v>7696</v>
      </c>
      <c r="AC2765" s="82" t="s">
        <v>7705</v>
      </c>
      <c r="AD2765" s="77" t="s">
        <v>7745</v>
      </c>
      <c r="AE2765" s="80" t="str">
        <f>HYPERLINK("https://twitter.com/lopeseconomista/status/1659468640431886336")</f>
        <v>https://twitter.com/lopeseconomista/status/1659468640431886336</v>
      </c>
      <c r="AF2765" s="79">
        <v>45065.332511574074</v>
      </c>
      <c r="AG2765" s="85">
        <v>45065</v>
      </c>
      <c r="AH2765" s="82" t="s">
        <v>10249</v>
      </c>
      <c r="AI2765" s="77" t="b">
        <v>0</v>
      </c>
      <c r="AJ2765" s="77"/>
      <c r="AK2765" s="77"/>
      <c r="AL2765" s="77"/>
      <c r="AM2765" s="77"/>
      <c r="AN2765" s="77"/>
      <c r="AO2765" s="77"/>
      <c r="AP2765" s="77"/>
      <c r="AQ2765" s="77" t="s">
        <v>12162</v>
      </c>
      <c r="AR2765" s="77"/>
      <c r="AS2765" s="77"/>
      <c r="AT2765" s="77"/>
      <c r="AU2765" s="77"/>
      <c r="AV2765" s="80" t="str">
        <f>HYPERLINK("https://pbs.twimg.com/media/Fwed7i_XsAMnwbo.jpg")</f>
        <v>https://pbs.twimg.com/media/Fwed7i_XsAMnwbo.jpg</v>
      </c>
      <c r="AW2765" s="82" t="s">
        <v>14920</v>
      </c>
      <c r="AX2765" s="82" t="s">
        <v>14920</v>
      </c>
      <c r="AY2765" s="77"/>
      <c r="AZ2765" s="82" t="s">
        <v>15804</v>
      </c>
      <c r="BA2765" s="82" t="s">
        <v>15804</v>
      </c>
      <c r="BB2765" s="82" t="s">
        <v>15804</v>
      </c>
      <c r="BC2765" s="82" t="s">
        <v>14920</v>
      </c>
      <c r="BD2765" s="82" t="s">
        <v>16580</v>
      </c>
      <c r="BE2765" s="77"/>
      <c r="BF2765" s="77"/>
      <c r="BG2765" s="77"/>
      <c r="BH2765" s="77"/>
      <c r="BI2765" s="77"/>
    </row>
    <row r="2766" spans="1:61" x14ac:dyDescent="0.25">
      <c r="A2766" s="62" t="s">
        <v>1015</v>
      </c>
      <c r="B2766" s="62" t="s">
        <v>1015</v>
      </c>
      <c r="C2766" s="63"/>
      <c r="D2766" s="64"/>
      <c r="E2766" s="65"/>
      <c r="F2766" s="66"/>
      <c r="G2766" s="63"/>
      <c r="H2766" s="67"/>
      <c r="I2766" s="68"/>
      <c r="J2766" s="68"/>
      <c r="K2766" s="32"/>
      <c r="L2766" s="75">
        <v>2766</v>
      </c>
      <c r="M2766" s="75"/>
      <c r="N2766" s="70"/>
      <c r="O2766" s="77" t="s">
        <v>179</v>
      </c>
      <c r="P2766" s="79">
        <v>45167.049826388888</v>
      </c>
      <c r="Q2766" s="77" t="s">
        <v>3778</v>
      </c>
      <c r="R2766" s="77">
        <v>0</v>
      </c>
      <c r="S2766" s="77">
        <v>0</v>
      </c>
      <c r="T2766" s="77">
        <v>0</v>
      </c>
      <c r="U2766" s="77">
        <v>0</v>
      </c>
      <c r="V2766" s="77">
        <v>43</v>
      </c>
      <c r="W2766" s="82" t="s">
        <v>5825</v>
      </c>
      <c r="X2766" s="77"/>
      <c r="Y2766" s="77"/>
      <c r="Z2766" s="77"/>
      <c r="AA2766" s="77" t="s">
        <v>7657</v>
      </c>
      <c r="AB2766" s="77" t="s">
        <v>7696</v>
      </c>
      <c r="AC2766" s="82" t="s">
        <v>7705</v>
      </c>
      <c r="AD2766" s="77" t="s">
        <v>7745</v>
      </c>
      <c r="AE2766" s="80" t="str">
        <f>HYPERLINK("https://twitter.com/lopeseconomista/status/1696329757414015249")</f>
        <v>https://twitter.com/lopeseconomista/status/1696329757414015249</v>
      </c>
      <c r="AF2766" s="79">
        <v>45167.049826388888</v>
      </c>
      <c r="AG2766" s="85">
        <v>45167</v>
      </c>
      <c r="AH2766" s="82" t="s">
        <v>10250</v>
      </c>
      <c r="AI2766" s="77" t="b">
        <v>0</v>
      </c>
      <c r="AJ2766" s="77"/>
      <c r="AK2766" s="77"/>
      <c r="AL2766" s="77"/>
      <c r="AM2766" s="77"/>
      <c r="AN2766" s="77"/>
      <c r="AO2766" s="77"/>
      <c r="AP2766" s="77"/>
      <c r="AQ2766" s="77" t="s">
        <v>12163</v>
      </c>
      <c r="AR2766" s="77"/>
      <c r="AS2766" s="77"/>
      <c r="AT2766" s="77"/>
      <c r="AU2766" s="77"/>
      <c r="AV2766" s="80" t="str">
        <f>HYPERLINK("https://pbs.twimg.com/media/F4qS67TWQAA6qdh.jpg")</f>
        <v>https://pbs.twimg.com/media/F4qS67TWQAA6qdh.jpg</v>
      </c>
      <c r="AW2766" s="82" t="s">
        <v>14921</v>
      </c>
      <c r="AX2766" s="82" t="s">
        <v>14921</v>
      </c>
      <c r="AY2766" s="77"/>
      <c r="AZ2766" s="82" t="s">
        <v>15804</v>
      </c>
      <c r="BA2766" s="82" t="s">
        <v>15804</v>
      </c>
      <c r="BB2766" s="82" t="s">
        <v>15804</v>
      </c>
      <c r="BC2766" s="82" t="s">
        <v>14921</v>
      </c>
      <c r="BD2766" s="82" t="s">
        <v>16580</v>
      </c>
      <c r="BE2766" s="77"/>
      <c r="BF2766" s="77"/>
      <c r="BG2766" s="77"/>
      <c r="BH2766" s="77"/>
      <c r="BI2766" s="77"/>
    </row>
    <row r="2767" spans="1:61" x14ac:dyDescent="0.25">
      <c r="A2767" s="62" t="s">
        <v>1015</v>
      </c>
      <c r="B2767" s="62" t="s">
        <v>1015</v>
      </c>
      <c r="C2767" s="63"/>
      <c r="D2767" s="64"/>
      <c r="E2767" s="65"/>
      <c r="F2767" s="66"/>
      <c r="G2767" s="63"/>
      <c r="H2767" s="67"/>
      <c r="I2767" s="68"/>
      <c r="J2767" s="68"/>
      <c r="K2767" s="32"/>
      <c r="L2767" s="75">
        <v>2767</v>
      </c>
      <c r="M2767" s="75"/>
      <c r="N2767" s="70"/>
      <c r="O2767" s="77" t="s">
        <v>179</v>
      </c>
      <c r="P2767" s="79">
        <v>45128.905416666668</v>
      </c>
      <c r="Q2767" s="77" t="s">
        <v>3779</v>
      </c>
      <c r="R2767" s="77">
        <v>0</v>
      </c>
      <c r="S2767" s="77">
        <v>1</v>
      </c>
      <c r="T2767" s="77">
        <v>0</v>
      </c>
      <c r="U2767" s="77">
        <v>0</v>
      </c>
      <c r="V2767" s="77">
        <v>53</v>
      </c>
      <c r="W2767" s="82" t="s">
        <v>5826</v>
      </c>
      <c r="X2767" s="77"/>
      <c r="Y2767" s="77"/>
      <c r="Z2767" s="77"/>
      <c r="AA2767" s="77" t="s">
        <v>7658</v>
      </c>
      <c r="AB2767" s="77" t="s">
        <v>7696</v>
      </c>
      <c r="AC2767" s="82" t="s">
        <v>7705</v>
      </c>
      <c r="AD2767" s="77" t="s">
        <v>7745</v>
      </c>
      <c r="AE2767" s="80" t="str">
        <f>HYPERLINK("https://twitter.com/lopeseconomista/status/1682506687964430337")</f>
        <v>https://twitter.com/lopeseconomista/status/1682506687964430337</v>
      </c>
      <c r="AF2767" s="79">
        <v>45128.905416666668</v>
      </c>
      <c r="AG2767" s="85">
        <v>45128</v>
      </c>
      <c r="AH2767" s="82" t="s">
        <v>10251</v>
      </c>
      <c r="AI2767" s="77" t="b">
        <v>0</v>
      </c>
      <c r="AJ2767" s="77"/>
      <c r="AK2767" s="77"/>
      <c r="AL2767" s="77"/>
      <c r="AM2767" s="77"/>
      <c r="AN2767" s="77"/>
      <c r="AO2767" s="77"/>
      <c r="AP2767" s="77"/>
      <c r="AQ2767" s="77" t="s">
        <v>12164</v>
      </c>
      <c r="AR2767" s="77"/>
      <c r="AS2767" s="77"/>
      <c r="AT2767" s="77"/>
      <c r="AU2767" s="77"/>
      <c r="AV2767" s="80" t="str">
        <f>HYPERLINK("https://pbs.twimg.com/media/F1l26cLXsAAESKT.jpg")</f>
        <v>https://pbs.twimg.com/media/F1l26cLXsAAESKT.jpg</v>
      </c>
      <c r="AW2767" s="82" t="s">
        <v>14922</v>
      </c>
      <c r="AX2767" s="82" t="s">
        <v>14922</v>
      </c>
      <c r="AY2767" s="77"/>
      <c r="AZ2767" s="82" t="s">
        <v>15804</v>
      </c>
      <c r="BA2767" s="82" t="s">
        <v>15804</v>
      </c>
      <c r="BB2767" s="82" t="s">
        <v>15804</v>
      </c>
      <c r="BC2767" s="82" t="s">
        <v>14922</v>
      </c>
      <c r="BD2767" s="82" t="s">
        <v>16580</v>
      </c>
      <c r="BE2767" s="77"/>
      <c r="BF2767" s="77"/>
      <c r="BG2767" s="77"/>
      <c r="BH2767" s="77"/>
      <c r="BI2767" s="77"/>
    </row>
    <row r="2768" spans="1:61" x14ac:dyDescent="0.25">
      <c r="A2768" s="62" t="s">
        <v>1016</v>
      </c>
      <c r="B2768" s="62" t="s">
        <v>1016</v>
      </c>
      <c r="C2768" s="63"/>
      <c r="D2768" s="64"/>
      <c r="E2768" s="65"/>
      <c r="F2768" s="66"/>
      <c r="G2768" s="63"/>
      <c r="H2768" s="67"/>
      <c r="I2768" s="68"/>
      <c r="J2768" s="68"/>
      <c r="K2768" s="32"/>
      <c r="L2768" s="75">
        <v>2768</v>
      </c>
      <c r="M2768" s="75"/>
      <c r="N2768" s="70"/>
      <c r="O2768" s="77" t="s">
        <v>179</v>
      </c>
      <c r="P2768" s="79">
        <v>44954.797951388886</v>
      </c>
      <c r="Q2768" s="77" t="s">
        <v>3780</v>
      </c>
      <c r="R2768" s="77">
        <v>1</v>
      </c>
      <c r="S2768" s="77">
        <v>2</v>
      </c>
      <c r="T2768" s="77">
        <v>1</v>
      </c>
      <c r="U2768" s="77">
        <v>0</v>
      </c>
      <c r="V2768" s="77">
        <v>273</v>
      </c>
      <c r="W2768" s="82" t="s">
        <v>5827</v>
      </c>
      <c r="X2768" s="77"/>
      <c r="Y2768" s="77"/>
      <c r="Z2768" s="77"/>
      <c r="AA2768" s="77" t="s">
        <v>7659</v>
      </c>
      <c r="AB2768" s="77" t="s">
        <v>7696</v>
      </c>
      <c r="AC2768" s="82" t="s">
        <v>7706</v>
      </c>
      <c r="AD2768" s="77" t="s">
        <v>7745</v>
      </c>
      <c r="AE2768" s="80" t="str">
        <f>HYPERLINK("https://twitter.com/aposentandonovo/status/1619412254553948160")</f>
        <v>https://twitter.com/aposentandonovo/status/1619412254553948160</v>
      </c>
      <c r="AF2768" s="79">
        <v>44954.797951388886</v>
      </c>
      <c r="AG2768" s="85">
        <v>44954</v>
      </c>
      <c r="AH2768" s="82" t="s">
        <v>10252</v>
      </c>
      <c r="AI2768" s="77" t="b">
        <v>0</v>
      </c>
      <c r="AJ2768" s="77"/>
      <c r="AK2768" s="77"/>
      <c r="AL2768" s="77"/>
      <c r="AM2768" s="77"/>
      <c r="AN2768" s="77"/>
      <c r="AO2768" s="77"/>
      <c r="AP2768" s="77"/>
      <c r="AQ2768" s="77" t="s">
        <v>12165</v>
      </c>
      <c r="AR2768" s="77"/>
      <c r="AS2768" s="77"/>
      <c r="AT2768" s="77"/>
      <c r="AU2768" s="77"/>
      <c r="AV2768" s="80" t="str">
        <f>HYPERLINK("https://pbs.twimg.com/media/FnlOs5MXgAEIwkv.jpg")</f>
        <v>https://pbs.twimg.com/media/FnlOs5MXgAEIwkv.jpg</v>
      </c>
      <c r="AW2768" s="82" t="s">
        <v>14923</v>
      </c>
      <c r="AX2768" s="82" t="s">
        <v>14923</v>
      </c>
      <c r="AY2768" s="77"/>
      <c r="AZ2768" s="82" t="s">
        <v>15804</v>
      </c>
      <c r="BA2768" s="82" t="s">
        <v>15804</v>
      </c>
      <c r="BB2768" s="82" t="s">
        <v>15804</v>
      </c>
      <c r="BC2768" s="82" t="s">
        <v>14923</v>
      </c>
      <c r="BD2768" s="82" t="s">
        <v>16581</v>
      </c>
      <c r="BE2768" s="77"/>
      <c r="BF2768" s="77"/>
      <c r="BG2768" s="77"/>
      <c r="BH2768" s="77"/>
      <c r="BI2768" s="77"/>
    </row>
    <row r="2769" spans="1:61" x14ac:dyDescent="0.25">
      <c r="A2769" s="62" t="s">
        <v>1017</v>
      </c>
      <c r="B2769" s="62" t="s">
        <v>1017</v>
      </c>
      <c r="C2769" s="63"/>
      <c r="D2769" s="64"/>
      <c r="E2769" s="65"/>
      <c r="F2769" s="66"/>
      <c r="G2769" s="63"/>
      <c r="H2769" s="67"/>
      <c r="I2769" s="68"/>
      <c r="J2769" s="68"/>
      <c r="K2769" s="32"/>
      <c r="L2769" s="75">
        <v>2769</v>
      </c>
      <c r="M2769" s="75"/>
      <c r="N2769" s="70"/>
      <c r="O2769" s="77" t="s">
        <v>179</v>
      </c>
      <c r="P2769" s="79">
        <v>44959.764097222222</v>
      </c>
      <c r="Q2769" s="77" t="s">
        <v>3781</v>
      </c>
      <c r="R2769" s="77">
        <v>0</v>
      </c>
      <c r="S2769" s="77">
        <v>1</v>
      </c>
      <c r="T2769" s="77">
        <v>0</v>
      </c>
      <c r="U2769" s="77">
        <v>0</v>
      </c>
      <c r="V2769" s="77">
        <v>28</v>
      </c>
      <c r="W2769" s="82" t="s">
        <v>5828</v>
      </c>
      <c r="X2769" s="80" t="str">
        <f>HYPERLINK("http://www.contacomigo.prevcom.com.br")</f>
        <v>http://www.contacomigo.prevcom.com.br</v>
      </c>
      <c r="Y2769" s="77" t="s">
        <v>6002</v>
      </c>
      <c r="Z2769" s="77"/>
      <c r="AA2769" s="77" t="s">
        <v>7660</v>
      </c>
      <c r="AB2769" s="77" t="s">
        <v>7696</v>
      </c>
      <c r="AC2769" s="82" t="s">
        <v>7708</v>
      </c>
      <c r="AD2769" s="77" t="s">
        <v>7745</v>
      </c>
      <c r="AE2769" s="80" t="str">
        <f>HYPERLINK("https://twitter.com/spprevcom/status/1621211928046485505")</f>
        <v>https://twitter.com/spprevcom/status/1621211928046485505</v>
      </c>
      <c r="AF2769" s="79">
        <v>44959.764097222222</v>
      </c>
      <c r="AG2769" s="85">
        <v>44959</v>
      </c>
      <c r="AH2769" s="82" t="s">
        <v>10253</v>
      </c>
      <c r="AI2769" s="77" t="b">
        <v>0</v>
      </c>
      <c r="AJ2769" s="77"/>
      <c r="AK2769" s="77"/>
      <c r="AL2769" s="77"/>
      <c r="AM2769" s="77"/>
      <c r="AN2769" s="77"/>
      <c r="AO2769" s="77"/>
      <c r="AP2769" s="77"/>
      <c r="AQ2769" s="77" t="s">
        <v>12166</v>
      </c>
      <c r="AR2769" s="77"/>
      <c r="AS2769" s="77"/>
      <c r="AT2769" s="77"/>
      <c r="AU2769" s="77"/>
      <c r="AV2769" s="80" t="str">
        <f>HYPERLINK("https://pbs.twimg.com/media/Fn-zqCfX0AIJS-5.jpg")</f>
        <v>https://pbs.twimg.com/media/Fn-zqCfX0AIJS-5.jpg</v>
      </c>
      <c r="AW2769" s="82" t="s">
        <v>14924</v>
      </c>
      <c r="AX2769" s="82" t="s">
        <v>14924</v>
      </c>
      <c r="AY2769" s="77"/>
      <c r="AZ2769" s="82" t="s">
        <v>15804</v>
      </c>
      <c r="BA2769" s="82" t="s">
        <v>15804</v>
      </c>
      <c r="BB2769" s="82" t="s">
        <v>15804</v>
      </c>
      <c r="BC2769" s="82" t="s">
        <v>14924</v>
      </c>
      <c r="BD2769" s="77">
        <v>593015078</v>
      </c>
      <c r="BE2769" s="77"/>
      <c r="BF2769" s="77"/>
      <c r="BG2769" s="77"/>
      <c r="BH2769" s="77"/>
      <c r="BI2769" s="77"/>
    </row>
    <row r="2770" spans="1:61" x14ac:dyDescent="0.25">
      <c r="A2770" s="62" t="s">
        <v>1017</v>
      </c>
      <c r="B2770" s="62" t="s">
        <v>1017</v>
      </c>
      <c r="C2770" s="63"/>
      <c r="D2770" s="64"/>
      <c r="E2770" s="65"/>
      <c r="F2770" s="66"/>
      <c r="G2770" s="63"/>
      <c r="H2770" s="67"/>
      <c r="I2770" s="68"/>
      <c r="J2770" s="68"/>
      <c r="K2770" s="32"/>
      <c r="L2770" s="75">
        <v>2770</v>
      </c>
      <c r="M2770" s="75"/>
      <c r="N2770" s="70"/>
      <c r="O2770" s="77" t="s">
        <v>179</v>
      </c>
      <c r="P2770" s="79">
        <v>45033.65552083333</v>
      </c>
      <c r="Q2770" s="77" t="s">
        <v>3782</v>
      </c>
      <c r="R2770" s="77">
        <v>0</v>
      </c>
      <c r="S2770" s="77">
        <v>0</v>
      </c>
      <c r="T2770" s="77">
        <v>0</v>
      </c>
      <c r="U2770" s="77">
        <v>0</v>
      </c>
      <c r="V2770" s="77">
        <v>28</v>
      </c>
      <c r="W2770" s="82" t="s">
        <v>5829</v>
      </c>
      <c r="X2770" s="80" t="str">
        <f>HYPERLINK("https://docs.google.com/forms/d/e/1FAIpQLSezr-hN--qHVZH1fkKt8Tb6CeEJD9lrdnLZbUA74n1VkDw5mA/viewform")</f>
        <v>https://docs.google.com/forms/d/e/1FAIpQLSezr-hN--qHVZH1fkKt8Tb6CeEJD9lrdnLZbUA74n1VkDw5mA/viewform</v>
      </c>
      <c r="Y2770" s="77" t="s">
        <v>6072</v>
      </c>
      <c r="Z2770" s="77"/>
      <c r="AA2770" s="77" t="s">
        <v>7661</v>
      </c>
      <c r="AB2770" s="77" t="s">
        <v>7697</v>
      </c>
      <c r="AC2770" s="82" t="s">
        <v>7708</v>
      </c>
      <c r="AD2770" s="77" t="s">
        <v>7745</v>
      </c>
      <c r="AE2770" s="80" t="str">
        <f>HYPERLINK("https://twitter.com/spprevcom/status/1647989281963515906")</f>
        <v>https://twitter.com/spprevcom/status/1647989281963515906</v>
      </c>
      <c r="AF2770" s="79">
        <v>45033.65552083333</v>
      </c>
      <c r="AG2770" s="85">
        <v>45033</v>
      </c>
      <c r="AH2770" s="82" t="s">
        <v>10254</v>
      </c>
      <c r="AI2770" s="77" t="b">
        <v>0</v>
      </c>
      <c r="AJ2770" s="77"/>
      <c r="AK2770" s="77"/>
      <c r="AL2770" s="77"/>
      <c r="AM2770" s="77"/>
      <c r="AN2770" s="77"/>
      <c r="AO2770" s="77"/>
      <c r="AP2770" s="77"/>
      <c r="AQ2770" s="77" t="s">
        <v>12167</v>
      </c>
      <c r="AR2770" s="77">
        <v>23000</v>
      </c>
      <c r="AS2770" s="77"/>
      <c r="AT2770" s="77"/>
      <c r="AU2770" s="77">
        <v>5</v>
      </c>
      <c r="AV2770" s="80" t="str">
        <f>HYPERLINK("https://pbs.twimg.com/ext_tw_video_thumb/1647989218243739649/pu/img/EYbQb5ZATMp5P6t0.jpg")</f>
        <v>https://pbs.twimg.com/ext_tw_video_thumb/1647989218243739649/pu/img/EYbQb5ZATMp5P6t0.jpg</v>
      </c>
      <c r="AW2770" s="82" t="s">
        <v>14925</v>
      </c>
      <c r="AX2770" s="82" t="s">
        <v>14925</v>
      </c>
      <c r="AY2770" s="77"/>
      <c r="AZ2770" s="82" t="s">
        <v>15804</v>
      </c>
      <c r="BA2770" s="82" t="s">
        <v>15804</v>
      </c>
      <c r="BB2770" s="82" t="s">
        <v>15804</v>
      </c>
      <c r="BC2770" s="82" t="s">
        <v>14925</v>
      </c>
      <c r="BD2770" s="77">
        <v>593015078</v>
      </c>
      <c r="BE2770" s="77"/>
      <c r="BF2770" s="77"/>
      <c r="BG2770" s="77"/>
      <c r="BH2770" s="77"/>
      <c r="BI2770" s="77"/>
    </row>
    <row r="2771" spans="1:61" x14ac:dyDescent="0.25">
      <c r="A2771" s="62" t="s">
        <v>1017</v>
      </c>
      <c r="B2771" s="62" t="s">
        <v>1017</v>
      </c>
      <c r="C2771" s="63"/>
      <c r="D2771" s="64"/>
      <c r="E2771" s="65"/>
      <c r="F2771" s="66"/>
      <c r="G2771" s="63"/>
      <c r="H2771" s="67"/>
      <c r="I2771" s="68"/>
      <c r="J2771" s="68"/>
      <c r="K2771" s="32"/>
      <c r="L2771" s="75">
        <v>2771</v>
      </c>
      <c r="M2771" s="75"/>
      <c r="N2771" s="70"/>
      <c r="O2771" s="77" t="s">
        <v>179</v>
      </c>
      <c r="P2771" s="79">
        <v>45166.542199074072</v>
      </c>
      <c r="Q2771" s="77" t="s">
        <v>3783</v>
      </c>
      <c r="R2771" s="77">
        <v>0</v>
      </c>
      <c r="S2771" s="77">
        <v>0</v>
      </c>
      <c r="T2771" s="77">
        <v>0</v>
      </c>
      <c r="U2771" s="77">
        <v>0</v>
      </c>
      <c r="V2771" s="77">
        <v>15</v>
      </c>
      <c r="W2771" s="82" t="s">
        <v>5830</v>
      </c>
      <c r="X2771" s="77"/>
      <c r="Y2771" s="77"/>
      <c r="Z2771" s="77"/>
      <c r="AA2771" s="77" t="s">
        <v>7662</v>
      </c>
      <c r="AB2771" s="77" t="s">
        <v>7696</v>
      </c>
      <c r="AC2771" s="82" t="s">
        <v>7708</v>
      </c>
      <c r="AD2771" s="77" t="s">
        <v>7745</v>
      </c>
      <c r="AE2771" s="80" t="str">
        <f>HYPERLINK("https://twitter.com/spprevcom/status/1696145801976721716")</f>
        <v>https://twitter.com/spprevcom/status/1696145801976721716</v>
      </c>
      <c r="AF2771" s="79">
        <v>45166.542199074072</v>
      </c>
      <c r="AG2771" s="85">
        <v>45166</v>
      </c>
      <c r="AH2771" s="82" t="s">
        <v>10255</v>
      </c>
      <c r="AI2771" s="77" t="b">
        <v>0</v>
      </c>
      <c r="AJ2771" s="77"/>
      <c r="AK2771" s="77"/>
      <c r="AL2771" s="77"/>
      <c r="AM2771" s="77"/>
      <c r="AN2771" s="77"/>
      <c r="AO2771" s="77"/>
      <c r="AP2771" s="77"/>
      <c r="AQ2771" s="77" t="s">
        <v>12168</v>
      </c>
      <c r="AR2771" s="77"/>
      <c r="AS2771" s="77"/>
      <c r="AT2771" s="77"/>
      <c r="AU2771" s="77"/>
      <c r="AV2771" s="80" t="str">
        <f>HYPERLINK("https://pbs.twimg.com/media/F4nrnlxWAAAVFEd.jpg")</f>
        <v>https://pbs.twimg.com/media/F4nrnlxWAAAVFEd.jpg</v>
      </c>
      <c r="AW2771" s="82" t="s">
        <v>14926</v>
      </c>
      <c r="AX2771" s="82" t="s">
        <v>14926</v>
      </c>
      <c r="AY2771" s="77"/>
      <c r="AZ2771" s="82" t="s">
        <v>15804</v>
      </c>
      <c r="BA2771" s="82" t="s">
        <v>15804</v>
      </c>
      <c r="BB2771" s="82" t="s">
        <v>15804</v>
      </c>
      <c r="BC2771" s="82" t="s">
        <v>14926</v>
      </c>
      <c r="BD2771" s="77">
        <v>593015078</v>
      </c>
      <c r="BE2771" s="77"/>
      <c r="BF2771" s="77"/>
      <c r="BG2771" s="77"/>
      <c r="BH2771" s="77"/>
      <c r="BI2771" s="77"/>
    </row>
    <row r="2772" spans="1:61" x14ac:dyDescent="0.25">
      <c r="A2772" s="62" t="s">
        <v>1018</v>
      </c>
      <c r="B2772" s="62" t="s">
        <v>1018</v>
      </c>
      <c r="C2772" s="63"/>
      <c r="D2772" s="64"/>
      <c r="E2772" s="65"/>
      <c r="F2772" s="66"/>
      <c r="G2772" s="63"/>
      <c r="H2772" s="67"/>
      <c r="I2772" s="68"/>
      <c r="J2772" s="68"/>
      <c r="K2772" s="32"/>
      <c r="L2772" s="75">
        <v>2772</v>
      </c>
      <c r="M2772" s="75"/>
      <c r="N2772" s="70"/>
      <c r="O2772" s="77" t="s">
        <v>1132</v>
      </c>
      <c r="P2772" s="79">
        <v>45165.640266203707</v>
      </c>
      <c r="Q2772" s="77" t="s">
        <v>3784</v>
      </c>
      <c r="R2772" s="77">
        <v>0</v>
      </c>
      <c r="S2772" s="77">
        <v>0</v>
      </c>
      <c r="T2772" s="77">
        <v>0</v>
      </c>
      <c r="U2772" s="77">
        <v>0</v>
      </c>
      <c r="V2772" s="77">
        <v>16</v>
      </c>
      <c r="W2772" s="82" t="s">
        <v>5831</v>
      </c>
      <c r="X2772" s="77"/>
      <c r="Y2772" s="77"/>
      <c r="Z2772" s="77"/>
      <c r="AA2772" s="77"/>
      <c r="AB2772" s="77"/>
      <c r="AC2772" s="82" t="s">
        <v>7706</v>
      </c>
      <c r="AD2772" s="77" t="s">
        <v>7745</v>
      </c>
      <c r="AE2772" s="80" t="str">
        <f>HYPERLINK("https://twitter.com/viniciusantosa/status/1695818951123522014")</f>
        <v>https://twitter.com/viniciusantosa/status/1695818951123522014</v>
      </c>
      <c r="AF2772" s="79">
        <v>45165.640266203707</v>
      </c>
      <c r="AG2772" s="85">
        <v>45165</v>
      </c>
      <c r="AH2772" s="82" t="s">
        <v>10256</v>
      </c>
      <c r="AI2772" s="77"/>
      <c r="AJ2772" s="77"/>
      <c r="AK2772" s="77"/>
      <c r="AL2772" s="77"/>
      <c r="AM2772" s="77"/>
      <c r="AN2772" s="77"/>
      <c r="AO2772" s="77"/>
      <c r="AP2772" s="77"/>
      <c r="AQ2772" s="77"/>
      <c r="AR2772" s="77"/>
      <c r="AS2772" s="77"/>
      <c r="AT2772" s="77"/>
      <c r="AU2772" s="77"/>
      <c r="AV2772" s="80" t="str">
        <f>HYPERLINK("https://pbs.twimg.com/profile_images/1629500901529378816/tRvt-cH__normal.jpg")</f>
        <v>https://pbs.twimg.com/profile_images/1629500901529378816/tRvt-cH__normal.jpg</v>
      </c>
      <c r="AW2772" s="82" t="s">
        <v>14927</v>
      </c>
      <c r="AX2772" s="82" t="s">
        <v>14928</v>
      </c>
      <c r="AY2772" s="82" t="s">
        <v>15798</v>
      </c>
      <c r="AZ2772" s="82" t="s">
        <v>16131</v>
      </c>
      <c r="BA2772" s="82" t="s">
        <v>15804</v>
      </c>
      <c r="BB2772" s="82" t="s">
        <v>15804</v>
      </c>
      <c r="BC2772" s="82" t="s">
        <v>16131</v>
      </c>
      <c r="BD2772" s="77">
        <v>1483647062</v>
      </c>
      <c r="BE2772" s="77"/>
      <c r="BF2772" s="77"/>
      <c r="BG2772" s="77"/>
      <c r="BH2772" s="77"/>
      <c r="BI2772" s="77"/>
    </row>
    <row r="2773" spans="1:61" x14ac:dyDescent="0.25">
      <c r="A2773" s="62" t="s">
        <v>1018</v>
      </c>
      <c r="B2773" s="62" t="s">
        <v>1018</v>
      </c>
      <c r="C2773" s="63"/>
      <c r="D2773" s="64"/>
      <c r="E2773" s="65"/>
      <c r="F2773" s="66"/>
      <c r="G2773" s="63"/>
      <c r="H2773" s="67"/>
      <c r="I2773" s="68"/>
      <c r="J2773" s="68"/>
      <c r="K2773" s="32"/>
      <c r="L2773" s="75">
        <v>2773</v>
      </c>
      <c r="M2773" s="75"/>
      <c r="N2773" s="70"/>
      <c r="O2773" s="77" t="s">
        <v>179</v>
      </c>
      <c r="P2773" s="79">
        <v>45165.64025462963</v>
      </c>
      <c r="Q2773" s="77" t="s">
        <v>3785</v>
      </c>
      <c r="R2773" s="77">
        <v>0</v>
      </c>
      <c r="S2773" s="77">
        <v>0</v>
      </c>
      <c r="T2773" s="77">
        <v>1</v>
      </c>
      <c r="U2773" s="77">
        <v>0</v>
      </c>
      <c r="V2773" s="77">
        <v>32</v>
      </c>
      <c r="W2773" s="82" t="s">
        <v>5831</v>
      </c>
      <c r="X2773" s="77"/>
      <c r="Y2773" s="77"/>
      <c r="Z2773" s="77"/>
      <c r="AA2773" s="77" t="s">
        <v>7663</v>
      </c>
      <c r="AB2773" s="77" t="s">
        <v>7696</v>
      </c>
      <c r="AC2773" s="82" t="s">
        <v>7706</v>
      </c>
      <c r="AD2773" s="77" t="s">
        <v>7745</v>
      </c>
      <c r="AE2773" s="80" t="str">
        <f>HYPERLINK("https://twitter.com/viniciusantosa/status/1695818945868038426")</f>
        <v>https://twitter.com/viniciusantosa/status/1695818945868038426</v>
      </c>
      <c r="AF2773" s="79">
        <v>45165.64025462963</v>
      </c>
      <c r="AG2773" s="85">
        <v>45165</v>
      </c>
      <c r="AH2773" s="82" t="s">
        <v>10257</v>
      </c>
      <c r="AI2773" s="77" t="b">
        <v>0</v>
      </c>
      <c r="AJ2773" s="77"/>
      <c r="AK2773" s="77"/>
      <c r="AL2773" s="77"/>
      <c r="AM2773" s="77"/>
      <c r="AN2773" s="77"/>
      <c r="AO2773" s="77"/>
      <c r="AP2773" s="77"/>
      <c r="AQ2773" s="77" t="s">
        <v>12169</v>
      </c>
      <c r="AR2773" s="77"/>
      <c r="AS2773" s="77"/>
      <c r="AT2773" s="77"/>
      <c r="AU2773" s="77"/>
      <c r="AV2773" s="80" t="str">
        <f>HYPERLINK("https://pbs.twimg.com/media/F4jBDRNX0AAYo8F.jpg")</f>
        <v>https://pbs.twimg.com/media/F4jBDRNX0AAYo8F.jpg</v>
      </c>
      <c r="AW2773" s="82" t="s">
        <v>14928</v>
      </c>
      <c r="AX2773" s="82" t="s">
        <v>14928</v>
      </c>
      <c r="AY2773" s="77"/>
      <c r="AZ2773" s="82" t="s">
        <v>15804</v>
      </c>
      <c r="BA2773" s="82" t="s">
        <v>15804</v>
      </c>
      <c r="BB2773" s="82" t="s">
        <v>15804</v>
      </c>
      <c r="BC2773" s="82" t="s">
        <v>14928</v>
      </c>
      <c r="BD2773" s="77">
        <v>1483647062</v>
      </c>
      <c r="BE2773" s="77"/>
      <c r="BF2773" s="77"/>
      <c r="BG2773" s="77"/>
      <c r="BH2773" s="77"/>
      <c r="BI2773" s="77"/>
    </row>
    <row r="2774" spans="1:61" x14ac:dyDescent="0.25">
      <c r="A2774" s="62" t="s">
        <v>1019</v>
      </c>
      <c r="B2774" s="62" t="s">
        <v>1019</v>
      </c>
      <c r="C2774" s="63"/>
      <c r="D2774" s="64"/>
      <c r="E2774" s="65"/>
      <c r="F2774" s="66"/>
      <c r="G2774" s="63"/>
      <c r="H2774" s="67"/>
      <c r="I2774" s="68"/>
      <c r="J2774" s="68"/>
      <c r="K2774" s="32"/>
      <c r="L2774" s="75">
        <v>2774</v>
      </c>
      <c r="M2774" s="75"/>
      <c r="N2774" s="70"/>
      <c r="O2774" s="77" t="s">
        <v>179</v>
      </c>
      <c r="P2774" s="79">
        <v>45071.569560185184</v>
      </c>
      <c r="Q2774" s="77" t="s">
        <v>3786</v>
      </c>
      <c r="R2774" s="77">
        <v>0</v>
      </c>
      <c r="S2774" s="77">
        <v>0</v>
      </c>
      <c r="T2774" s="77">
        <v>0</v>
      </c>
      <c r="U2774" s="77">
        <v>0</v>
      </c>
      <c r="V2774" s="77">
        <v>2</v>
      </c>
      <c r="W2774" s="82" t="s">
        <v>5832</v>
      </c>
      <c r="X2774" s="80" t="str">
        <f>HYPERLINK("https://rnainvest.com.br/como-funciona-o-mercado-de-opcoes-guia-completo/")</f>
        <v>https://rnainvest.com.br/como-funciona-o-mercado-de-opcoes-guia-completo/</v>
      </c>
      <c r="Y2774" s="77" t="s">
        <v>6002</v>
      </c>
      <c r="Z2774" s="77"/>
      <c r="AA2774" s="77" t="s">
        <v>7664</v>
      </c>
      <c r="AB2774" s="77" t="s">
        <v>7696</v>
      </c>
      <c r="AC2774" s="82" t="s">
        <v>7708</v>
      </c>
      <c r="AD2774" s="77" t="s">
        <v>7745</v>
      </c>
      <c r="AE2774" s="80" t="str">
        <f>HYPERLINK("https://twitter.com/rnainvest/status/1661728871043964928")</f>
        <v>https://twitter.com/rnainvest/status/1661728871043964928</v>
      </c>
      <c r="AF2774" s="79">
        <v>45071.569560185184</v>
      </c>
      <c r="AG2774" s="85">
        <v>45071</v>
      </c>
      <c r="AH2774" s="82" t="s">
        <v>10258</v>
      </c>
      <c r="AI2774" s="77" t="b">
        <v>0</v>
      </c>
      <c r="AJ2774" s="77"/>
      <c r="AK2774" s="77"/>
      <c r="AL2774" s="77"/>
      <c r="AM2774" s="77"/>
      <c r="AN2774" s="77"/>
      <c r="AO2774" s="77"/>
      <c r="AP2774" s="77"/>
      <c r="AQ2774" s="77" t="s">
        <v>12170</v>
      </c>
      <c r="AR2774" s="77"/>
      <c r="AS2774" s="77"/>
      <c r="AT2774" s="77"/>
      <c r="AU2774" s="77"/>
      <c r="AV2774" s="80" t="str">
        <f>HYPERLINK("https://pbs.twimg.com/media/Fw-lmgZaYAQ-eGa.jpg")</f>
        <v>https://pbs.twimg.com/media/Fw-lmgZaYAQ-eGa.jpg</v>
      </c>
      <c r="AW2774" s="82" t="s">
        <v>14929</v>
      </c>
      <c r="AX2774" s="82" t="s">
        <v>14929</v>
      </c>
      <c r="AY2774" s="77"/>
      <c r="AZ2774" s="82" t="s">
        <v>15804</v>
      </c>
      <c r="BA2774" s="82" t="s">
        <v>15804</v>
      </c>
      <c r="BB2774" s="82" t="s">
        <v>15804</v>
      </c>
      <c r="BC2774" s="82" t="s">
        <v>14929</v>
      </c>
      <c r="BD2774" s="82" t="s">
        <v>16582</v>
      </c>
      <c r="BE2774" s="77"/>
      <c r="BF2774" s="77"/>
      <c r="BG2774" s="77"/>
      <c r="BH2774" s="77"/>
      <c r="BI2774" s="77"/>
    </row>
    <row r="2775" spans="1:61" x14ac:dyDescent="0.25">
      <c r="A2775" s="62" t="s">
        <v>1019</v>
      </c>
      <c r="B2775" s="62" t="s">
        <v>1019</v>
      </c>
      <c r="C2775" s="63"/>
      <c r="D2775" s="64"/>
      <c r="E2775" s="65"/>
      <c r="F2775" s="66"/>
      <c r="G2775" s="63"/>
      <c r="H2775" s="67"/>
      <c r="I2775" s="68"/>
      <c r="J2775" s="68"/>
      <c r="K2775" s="32"/>
      <c r="L2775" s="75">
        <v>2775</v>
      </c>
      <c r="M2775" s="75"/>
      <c r="N2775" s="70"/>
      <c r="O2775" s="77" t="s">
        <v>179</v>
      </c>
      <c r="P2775" s="79">
        <v>45106.500497685185</v>
      </c>
      <c r="Q2775" s="77" t="s">
        <v>3787</v>
      </c>
      <c r="R2775" s="77">
        <v>1</v>
      </c>
      <c r="S2775" s="77">
        <v>2</v>
      </c>
      <c r="T2775" s="77">
        <v>0</v>
      </c>
      <c r="U2775" s="77">
        <v>0</v>
      </c>
      <c r="V2775" s="77">
        <v>20</v>
      </c>
      <c r="W2775" s="82" t="s">
        <v>5833</v>
      </c>
      <c r="X2775" s="77"/>
      <c r="Y2775" s="77"/>
      <c r="Z2775" s="77"/>
      <c r="AA2775" s="77" t="s">
        <v>7665</v>
      </c>
      <c r="AB2775" s="77" t="s">
        <v>7696</v>
      </c>
      <c r="AC2775" s="82" t="s">
        <v>7708</v>
      </c>
      <c r="AD2775" s="77" t="s">
        <v>7745</v>
      </c>
      <c r="AE2775" s="80" t="str">
        <f>HYPERLINK("https://twitter.com/rnainvest/status/1674387415451021313")</f>
        <v>https://twitter.com/rnainvest/status/1674387415451021313</v>
      </c>
      <c r="AF2775" s="79">
        <v>45106.500497685185</v>
      </c>
      <c r="AG2775" s="85">
        <v>45106</v>
      </c>
      <c r="AH2775" s="82" t="s">
        <v>8974</v>
      </c>
      <c r="AI2775" s="77" t="b">
        <v>0</v>
      </c>
      <c r="AJ2775" s="77"/>
      <c r="AK2775" s="77"/>
      <c r="AL2775" s="77"/>
      <c r="AM2775" s="77"/>
      <c r="AN2775" s="77"/>
      <c r="AO2775" s="77"/>
      <c r="AP2775" s="77"/>
      <c r="AQ2775" s="77" t="s">
        <v>12171</v>
      </c>
      <c r="AR2775" s="77"/>
      <c r="AS2775" s="77"/>
      <c r="AT2775" s="77"/>
      <c r="AU2775" s="77"/>
      <c r="AV2775" s="80" t="str">
        <f>HYPERLINK("https://pbs.twimg.com/media/FzyeesrWwAEi7q-.jpg")</f>
        <v>https://pbs.twimg.com/media/FzyeesrWwAEi7q-.jpg</v>
      </c>
      <c r="AW2775" s="82" t="s">
        <v>14930</v>
      </c>
      <c r="AX2775" s="82" t="s">
        <v>14930</v>
      </c>
      <c r="AY2775" s="77"/>
      <c r="AZ2775" s="82" t="s">
        <v>15804</v>
      </c>
      <c r="BA2775" s="82" t="s">
        <v>15804</v>
      </c>
      <c r="BB2775" s="82" t="s">
        <v>15804</v>
      </c>
      <c r="BC2775" s="82" t="s">
        <v>14930</v>
      </c>
      <c r="BD2775" s="82" t="s">
        <v>16582</v>
      </c>
      <c r="BE2775" s="77"/>
      <c r="BF2775" s="77"/>
      <c r="BG2775" s="77"/>
      <c r="BH2775" s="77"/>
      <c r="BI2775" s="77"/>
    </row>
    <row r="2776" spans="1:61" x14ac:dyDescent="0.25">
      <c r="A2776" s="62" t="s">
        <v>1019</v>
      </c>
      <c r="B2776" s="62" t="s">
        <v>1019</v>
      </c>
      <c r="C2776" s="63"/>
      <c r="D2776" s="64"/>
      <c r="E2776" s="65"/>
      <c r="F2776" s="66"/>
      <c r="G2776" s="63"/>
      <c r="H2776" s="67"/>
      <c r="I2776" s="68"/>
      <c r="J2776" s="68"/>
      <c r="K2776" s="32"/>
      <c r="L2776" s="75">
        <v>2776</v>
      </c>
      <c r="M2776" s="75"/>
      <c r="N2776" s="70"/>
      <c r="O2776" s="77" t="s">
        <v>179</v>
      </c>
      <c r="P2776" s="79">
        <v>45062.500462962962</v>
      </c>
      <c r="Q2776" s="77" t="s">
        <v>3788</v>
      </c>
      <c r="R2776" s="77">
        <v>0</v>
      </c>
      <c r="S2776" s="77">
        <v>0</v>
      </c>
      <c r="T2776" s="77">
        <v>0</v>
      </c>
      <c r="U2776" s="77">
        <v>0</v>
      </c>
      <c r="V2776" s="77">
        <v>2</v>
      </c>
      <c r="W2776" s="82" t="s">
        <v>5834</v>
      </c>
      <c r="X2776" s="77"/>
      <c r="Y2776" s="77"/>
      <c r="Z2776" s="77"/>
      <c r="AA2776" s="77" t="s">
        <v>7666</v>
      </c>
      <c r="AB2776" s="77" t="s">
        <v>7696</v>
      </c>
      <c r="AC2776" s="82" t="s">
        <v>7708</v>
      </c>
      <c r="AD2776" s="77" t="s">
        <v>7745</v>
      </c>
      <c r="AE2776" s="80" t="str">
        <f>HYPERLINK("https://twitter.com/rnainvest/status/1658442338773921792")</f>
        <v>https://twitter.com/rnainvest/status/1658442338773921792</v>
      </c>
      <c r="AF2776" s="79">
        <v>45062.500462962962</v>
      </c>
      <c r="AG2776" s="85">
        <v>45062</v>
      </c>
      <c r="AH2776" s="82" t="s">
        <v>10259</v>
      </c>
      <c r="AI2776" s="77" t="b">
        <v>0</v>
      </c>
      <c r="AJ2776" s="77"/>
      <c r="AK2776" s="77"/>
      <c r="AL2776" s="77"/>
      <c r="AM2776" s="77"/>
      <c r="AN2776" s="77"/>
      <c r="AO2776" s="77"/>
      <c r="AP2776" s="77"/>
      <c r="AQ2776" s="77" t="s">
        <v>12172</v>
      </c>
      <c r="AR2776" s="77"/>
      <c r="AS2776" s="77"/>
      <c r="AT2776" s="77"/>
      <c r="AU2776" s="77"/>
      <c r="AV2776" s="80" t="str">
        <f>HYPERLINK("https://pbs.twimg.com/media/FwP4hMsWIAEUnYG.jpg")</f>
        <v>https://pbs.twimg.com/media/FwP4hMsWIAEUnYG.jpg</v>
      </c>
      <c r="AW2776" s="82" t="s">
        <v>14931</v>
      </c>
      <c r="AX2776" s="82" t="s">
        <v>14931</v>
      </c>
      <c r="AY2776" s="77"/>
      <c r="AZ2776" s="82" t="s">
        <v>15804</v>
      </c>
      <c r="BA2776" s="82" t="s">
        <v>15804</v>
      </c>
      <c r="BB2776" s="82" t="s">
        <v>15804</v>
      </c>
      <c r="BC2776" s="82" t="s">
        <v>14931</v>
      </c>
      <c r="BD2776" s="82" t="s">
        <v>16582</v>
      </c>
      <c r="BE2776" s="77"/>
      <c r="BF2776" s="77"/>
      <c r="BG2776" s="77"/>
      <c r="BH2776" s="77"/>
      <c r="BI2776" s="77"/>
    </row>
    <row r="2777" spans="1:61" x14ac:dyDescent="0.25">
      <c r="A2777" s="62" t="s">
        <v>1019</v>
      </c>
      <c r="B2777" s="62" t="s">
        <v>1019</v>
      </c>
      <c r="C2777" s="63"/>
      <c r="D2777" s="64"/>
      <c r="E2777" s="65"/>
      <c r="F2777" s="66"/>
      <c r="G2777" s="63"/>
      <c r="H2777" s="67"/>
      <c r="I2777" s="68"/>
      <c r="J2777" s="68"/>
      <c r="K2777" s="32"/>
      <c r="L2777" s="75">
        <v>2777</v>
      </c>
      <c r="M2777" s="75"/>
      <c r="N2777" s="70"/>
      <c r="O2777" s="77" t="s">
        <v>179</v>
      </c>
      <c r="P2777" s="79">
        <v>45061.531585648147</v>
      </c>
      <c r="Q2777" s="77" t="s">
        <v>3789</v>
      </c>
      <c r="R2777" s="77">
        <v>0</v>
      </c>
      <c r="S2777" s="77">
        <v>1</v>
      </c>
      <c r="T2777" s="77">
        <v>0</v>
      </c>
      <c r="U2777" s="77">
        <v>0</v>
      </c>
      <c r="V2777" s="77">
        <v>57</v>
      </c>
      <c r="W2777" s="82" t="s">
        <v>5835</v>
      </c>
      <c r="X2777" s="77"/>
      <c r="Y2777" s="77"/>
      <c r="Z2777" s="77"/>
      <c r="AA2777" s="77" t="s">
        <v>7667</v>
      </c>
      <c r="AB2777" s="77" t="s">
        <v>7696</v>
      </c>
      <c r="AC2777" s="82" t="s">
        <v>7708</v>
      </c>
      <c r="AD2777" s="77" t="s">
        <v>7745</v>
      </c>
      <c r="AE2777" s="80" t="str">
        <f>HYPERLINK("https://twitter.com/rnainvest/status/1658091229500809218")</f>
        <v>https://twitter.com/rnainvest/status/1658091229500809218</v>
      </c>
      <c r="AF2777" s="79">
        <v>45061.531585648147</v>
      </c>
      <c r="AG2777" s="85">
        <v>45061</v>
      </c>
      <c r="AH2777" s="82" t="s">
        <v>10260</v>
      </c>
      <c r="AI2777" s="77" t="b">
        <v>0</v>
      </c>
      <c r="AJ2777" s="77"/>
      <c r="AK2777" s="77"/>
      <c r="AL2777" s="77"/>
      <c r="AM2777" s="77"/>
      <c r="AN2777" s="77"/>
      <c r="AO2777" s="77"/>
      <c r="AP2777" s="77"/>
      <c r="AQ2777" s="77" t="s">
        <v>12173</v>
      </c>
      <c r="AR2777" s="77"/>
      <c r="AS2777" s="77"/>
      <c r="AT2777" s="77"/>
      <c r="AU2777" s="77"/>
      <c r="AV2777" s="80" t="str">
        <f>HYPERLINK("https://pbs.twimg.com/media/FwK5L7IWIAAD9jf.jpg")</f>
        <v>https://pbs.twimg.com/media/FwK5L7IWIAAD9jf.jpg</v>
      </c>
      <c r="AW2777" s="82" t="s">
        <v>14932</v>
      </c>
      <c r="AX2777" s="82" t="s">
        <v>14932</v>
      </c>
      <c r="AY2777" s="77"/>
      <c r="AZ2777" s="82" t="s">
        <v>15804</v>
      </c>
      <c r="BA2777" s="82" t="s">
        <v>15804</v>
      </c>
      <c r="BB2777" s="82" t="s">
        <v>15804</v>
      </c>
      <c r="BC2777" s="82" t="s">
        <v>14932</v>
      </c>
      <c r="BD2777" s="82" t="s">
        <v>16582</v>
      </c>
      <c r="BE2777" s="77"/>
      <c r="BF2777" s="77"/>
      <c r="BG2777" s="77"/>
      <c r="BH2777" s="77"/>
      <c r="BI2777" s="77"/>
    </row>
    <row r="2778" spans="1:61" x14ac:dyDescent="0.25">
      <c r="A2778" s="62" t="s">
        <v>1019</v>
      </c>
      <c r="B2778" s="62" t="s">
        <v>1019</v>
      </c>
      <c r="C2778" s="63"/>
      <c r="D2778" s="64"/>
      <c r="E2778" s="65"/>
      <c r="F2778" s="66"/>
      <c r="G2778" s="63"/>
      <c r="H2778" s="67"/>
      <c r="I2778" s="68"/>
      <c r="J2778" s="68"/>
      <c r="K2778" s="32"/>
      <c r="L2778" s="75">
        <v>2778</v>
      </c>
      <c r="M2778" s="75"/>
      <c r="N2778" s="70"/>
      <c r="O2778" s="77" t="s">
        <v>179</v>
      </c>
      <c r="P2778" s="79">
        <v>45092.531435185185</v>
      </c>
      <c r="Q2778" s="77" t="s">
        <v>3790</v>
      </c>
      <c r="R2778" s="77">
        <v>0</v>
      </c>
      <c r="S2778" s="77">
        <v>0</v>
      </c>
      <c r="T2778" s="77">
        <v>0</v>
      </c>
      <c r="U2778" s="77">
        <v>0</v>
      </c>
      <c r="V2778" s="77">
        <v>7</v>
      </c>
      <c r="W2778" s="82" t="s">
        <v>5836</v>
      </c>
      <c r="X2778" s="80" t="str">
        <f>HYPERLINK("https://rnainvest.com.br/como-escolher-o-melhor-produto-de-renda-fixa/")</f>
        <v>https://rnainvest.com.br/como-escolher-o-melhor-produto-de-renda-fixa/</v>
      </c>
      <c r="Y2778" s="77" t="s">
        <v>6002</v>
      </c>
      <c r="Z2778" s="77"/>
      <c r="AA2778" s="77" t="s">
        <v>7668</v>
      </c>
      <c r="AB2778" s="77" t="s">
        <v>7696</v>
      </c>
      <c r="AC2778" s="82" t="s">
        <v>7708</v>
      </c>
      <c r="AD2778" s="77" t="s">
        <v>7745</v>
      </c>
      <c r="AE2778" s="80" t="str">
        <f>HYPERLINK("https://twitter.com/rnainvest/status/1669325197613191168")</f>
        <v>https://twitter.com/rnainvest/status/1669325197613191168</v>
      </c>
      <c r="AF2778" s="79">
        <v>45092.531435185185</v>
      </c>
      <c r="AG2778" s="85">
        <v>45092</v>
      </c>
      <c r="AH2778" s="82" t="s">
        <v>10261</v>
      </c>
      <c r="AI2778" s="77" t="b">
        <v>0</v>
      </c>
      <c r="AJ2778" s="77"/>
      <c r="AK2778" s="77"/>
      <c r="AL2778" s="77"/>
      <c r="AM2778" s="77"/>
      <c r="AN2778" s="77"/>
      <c r="AO2778" s="77"/>
      <c r="AP2778" s="77"/>
      <c r="AQ2778" s="77" t="s">
        <v>12174</v>
      </c>
      <c r="AR2778" s="77"/>
      <c r="AS2778" s="77"/>
      <c r="AT2778" s="77"/>
      <c r="AU2778" s="77"/>
      <c r="AV2778" s="80" t="str">
        <f>HYPERLINK("https://pbs.twimg.com/media/Fyqia7MWIAcD02S.jpg")</f>
        <v>https://pbs.twimg.com/media/Fyqia7MWIAcD02S.jpg</v>
      </c>
      <c r="AW2778" s="82" t="s">
        <v>14933</v>
      </c>
      <c r="AX2778" s="82" t="s">
        <v>14933</v>
      </c>
      <c r="AY2778" s="77"/>
      <c r="AZ2778" s="82" t="s">
        <v>15804</v>
      </c>
      <c r="BA2778" s="82" t="s">
        <v>15804</v>
      </c>
      <c r="BB2778" s="82" t="s">
        <v>15804</v>
      </c>
      <c r="BC2778" s="82" t="s">
        <v>14933</v>
      </c>
      <c r="BD2778" s="82" t="s">
        <v>16582</v>
      </c>
      <c r="BE2778" s="77"/>
      <c r="BF2778" s="77"/>
      <c r="BG2778" s="77"/>
      <c r="BH2778" s="77"/>
      <c r="BI2778" s="77"/>
    </row>
    <row r="2779" spans="1:61" x14ac:dyDescent="0.25">
      <c r="A2779" s="62" t="s">
        <v>1019</v>
      </c>
      <c r="B2779" s="62" t="s">
        <v>1019</v>
      </c>
      <c r="C2779" s="63"/>
      <c r="D2779" s="64"/>
      <c r="E2779" s="65"/>
      <c r="F2779" s="66"/>
      <c r="G2779" s="63"/>
      <c r="H2779" s="67"/>
      <c r="I2779" s="68"/>
      <c r="J2779" s="68"/>
      <c r="K2779" s="32"/>
      <c r="L2779" s="75">
        <v>2779</v>
      </c>
      <c r="M2779" s="75"/>
      <c r="N2779" s="70"/>
      <c r="O2779" s="77" t="s">
        <v>179</v>
      </c>
      <c r="P2779" s="79">
        <v>45113.500462962962</v>
      </c>
      <c r="Q2779" s="77" t="s">
        <v>3791</v>
      </c>
      <c r="R2779" s="77">
        <v>0</v>
      </c>
      <c r="S2779" s="77">
        <v>0</v>
      </c>
      <c r="T2779" s="77">
        <v>0</v>
      </c>
      <c r="U2779" s="77">
        <v>0</v>
      </c>
      <c r="V2779" s="77">
        <v>11</v>
      </c>
      <c r="W2779" s="82" t="s">
        <v>5837</v>
      </c>
      <c r="X2779" s="77"/>
      <c r="Y2779" s="77"/>
      <c r="Z2779" s="77"/>
      <c r="AA2779" s="77" t="s">
        <v>7669</v>
      </c>
      <c r="AB2779" s="77" t="s">
        <v>7696</v>
      </c>
      <c r="AC2779" s="82" t="s">
        <v>7708</v>
      </c>
      <c r="AD2779" s="77" t="s">
        <v>7745</v>
      </c>
      <c r="AE2779" s="80" t="str">
        <f>HYPERLINK("https://twitter.com/rnainvest/status/1676924121396006912")</f>
        <v>https://twitter.com/rnainvest/status/1676924121396006912</v>
      </c>
      <c r="AF2779" s="79">
        <v>45113.500462962962</v>
      </c>
      <c r="AG2779" s="85">
        <v>45113</v>
      </c>
      <c r="AH2779" s="82" t="s">
        <v>10259</v>
      </c>
      <c r="AI2779" s="77" t="b">
        <v>0</v>
      </c>
      <c r="AJ2779" s="77"/>
      <c r="AK2779" s="77"/>
      <c r="AL2779" s="77"/>
      <c r="AM2779" s="77"/>
      <c r="AN2779" s="77"/>
      <c r="AO2779" s="77"/>
      <c r="AP2779" s="77"/>
      <c r="AQ2779" s="77" t="s">
        <v>12175</v>
      </c>
      <c r="AR2779" s="77"/>
      <c r="AS2779" s="77"/>
      <c r="AT2779" s="77"/>
      <c r="AU2779" s="77"/>
      <c r="AV2779" s="80" t="str">
        <f>HYPERLINK("https://pbs.twimg.com/media/F0WhmaWWcAU3OK3.jpg")</f>
        <v>https://pbs.twimg.com/media/F0WhmaWWcAU3OK3.jpg</v>
      </c>
      <c r="AW2779" s="82" t="s">
        <v>14934</v>
      </c>
      <c r="AX2779" s="82" t="s">
        <v>14934</v>
      </c>
      <c r="AY2779" s="77"/>
      <c r="AZ2779" s="82" t="s">
        <v>15804</v>
      </c>
      <c r="BA2779" s="82" t="s">
        <v>15804</v>
      </c>
      <c r="BB2779" s="82" t="s">
        <v>15804</v>
      </c>
      <c r="BC2779" s="82" t="s">
        <v>14934</v>
      </c>
      <c r="BD2779" s="82" t="s">
        <v>16582</v>
      </c>
      <c r="BE2779" s="77"/>
      <c r="BF2779" s="77"/>
      <c r="BG2779" s="77"/>
      <c r="BH2779" s="77"/>
      <c r="BI2779" s="77"/>
    </row>
    <row r="2780" spans="1:61" x14ac:dyDescent="0.25">
      <c r="A2780" s="62" t="s">
        <v>1019</v>
      </c>
      <c r="B2780" s="62" t="s">
        <v>1019</v>
      </c>
      <c r="C2780" s="63"/>
      <c r="D2780" s="64"/>
      <c r="E2780" s="65"/>
      <c r="F2780" s="66"/>
      <c r="G2780" s="63"/>
      <c r="H2780" s="67"/>
      <c r="I2780" s="68"/>
      <c r="J2780" s="68"/>
      <c r="K2780" s="32"/>
      <c r="L2780" s="75">
        <v>2780</v>
      </c>
      <c r="M2780" s="75"/>
      <c r="N2780" s="70"/>
      <c r="O2780" s="77" t="s">
        <v>179</v>
      </c>
      <c r="P2780" s="79">
        <v>45112.500543981485</v>
      </c>
      <c r="Q2780" s="77" t="s">
        <v>3792</v>
      </c>
      <c r="R2780" s="77">
        <v>0</v>
      </c>
      <c r="S2780" s="77">
        <v>0</v>
      </c>
      <c r="T2780" s="77">
        <v>0</v>
      </c>
      <c r="U2780" s="77">
        <v>0</v>
      </c>
      <c r="V2780" s="77">
        <v>13</v>
      </c>
      <c r="W2780" s="82" t="s">
        <v>5838</v>
      </c>
      <c r="X2780" s="80" t="str">
        <f>HYPERLINK("https://rnainvest.com.br/como-escolher-uma-conta-digital-sem-taxas-mensais")</f>
        <v>https://rnainvest.com.br/como-escolher-uma-conta-digital-sem-taxas-mensais</v>
      </c>
      <c r="Y2780" s="77" t="s">
        <v>6002</v>
      </c>
      <c r="Z2780" s="77"/>
      <c r="AA2780" s="77" t="s">
        <v>7670</v>
      </c>
      <c r="AB2780" s="77" t="s">
        <v>7696</v>
      </c>
      <c r="AC2780" s="82" t="s">
        <v>7708</v>
      </c>
      <c r="AD2780" s="77" t="s">
        <v>7745</v>
      </c>
      <c r="AE2780" s="80" t="str">
        <f>HYPERLINK("https://twitter.com/rnainvest/status/1676561759539286021")</f>
        <v>https://twitter.com/rnainvest/status/1676561759539286021</v>
      </c>
      <c r="AF2780" s="79">
        <v>45112.500543981485</v>
      </c>
      <c r="AG2780" s="85">
        <v>45112</v>
      </c>
      <c r="AH2780" s="82" t="s">
        <v>10262</v>
      </c>
      <c r="AI2780" s="77" t="b">
        <v>0</v>
      </c>
      <c r="AJ2780" s="77"/>
      <c r="AK2780" s="77"/>
      <c r="AL2780" s="77"/>
      <c r="AM2780" s="77"/>
      <c r="AN2780" s="77"/>
      <c r="AO2780" s="77"/>
      <c r="AP2780" s="77"/>
      <c r="AQ2780" s="77" t="s">
        <v>12176</v>
      </c>
      <c r="AR2780" s="77"/>
      <c r="AS2780" s="77"/>
      <c r="AT2780" s="77"/>
      <c r="AU2780" s="77"/>
      <c r="AV2780" s="80" t="str">
        <f>HYPERLINK("https://pbs.twimg.com/media/F0RYCNIXgAA62_l.jpg")</f>
        <v>https://pbs.twimg.com/media/F0RYCNIXgAA62_l.jpg</v>
      </c>
      <c r="AW2780" s="82" t="s">
        <v>14935</v>
      </c>
      <c r="AX2780" s="82" t="s">
        <v>14935</v>
      </c>
      <c r="AY2780" s="77"/>
      <c r="AZ2780" s="82" t="s">
        <v>15804</v>
      </c>
      <c r="BA2780" s="82" t="s">
        <v>15804</v>
      </c>
      <c r="BB2780" s="82" t="s">
        <v>15804</v>
      </c>
      <c r="BC2780" s="82" t="s">
        <v>14935</v>
      </c>
      <c r="BD2780" s="82" t="s">
        <v>16582</v>
      </c>
      <c r="BE2780" s="77"/>
      <c r="BF2780" s="77"/>
      <c r="BG2780" s="77"/>
      <c r="BH2780" s="77"/>
      <c r="BI2780" s="77"/>
    </row>
    <row r="2781" spans="1:61" x14ac:dyDescent="0.25">
      <c r="A2781" s="62" t="s">
        <v>1019</v>
      </c>
      <c r="B2781" s="62" t="s">
        <v>1019</v>
      </c>
      <c r="C2781" s="63"/>
      <c r="D2781" s="64"/>
      <c r="E2781" s="65"/>
      <c r="F2781" s="66"/>
      <c r="G2781" s="63"/>
      <c r="H2781" s="67"/>
      <c r="I2781" s="68"/>
      <c r="J2781" s="68"/>
      <c r="K2781" s="32"/>
      <c r="L2781" s="75">
        <v>2781</v>
      </c>
      <c r="M2781" s="75"/>
      <c r="N2781" s="70"/>
      <c r="O2781" s="77" t="s">
        <v>179</v>
      </c>
      <c r="P2781" s="79">
        <v>45111.500509259262</v>
      </c>
      <c r="Q2781" s="77" t="s">
        <v>3793</v>
      </c>
      <c r="R2781" s="77">
        <v>1</v>
      </c>
      <c r="S2781" s="77">
        <v>1</v>
      </c>
      <c r="T2781" s="77">
        <v>0</v>
      </c>
      <c r="U2781" s="77">
        <v>0</v>
      </c>
      <c r="V2781" s="77">
        <v>8</v>
      </c>
      <c r="W2781" s="82" t="s">
        <v>5839</v>
      </c>
      <c r="X2781" s="80" t="str">
        <f>HYPERLINK("https://rnainvest.com.br/como-evitar-tarifas-bancarias-em-investimentos-financeiros/")</f>
        <v>https://rnainvest.com.br/como-evitar-tarifas-bancarias-em-investimentos-financeiros/</v>
      </c>
      <c r="Y2781" s="77" t="s">
        <v>6002</v>
      </c>
      <c r="Z2781" s="77"/>
      <c r="AA2781" s="77" t="s">
        <v>7671</v>
      </c>
      <c r="AB2781" s="77" t="s">
        <v>7696</v>
      </c>
      <c r="AC2781" s="82" t="s">
        <v>7708</v>
      </c>
      <c r="AD2781" s="77" t="s">
        <v>7745</v>
      </c>
      <c r="AE2781" s="80" t="str">
        <f>HYPERLINK("https://twitter.com/rnainvest/status/1676199362257465345")</f>
        <v>https://twitter.com/rnainvest/status/1676199362257465345</v>
      </c>
      <c r="AF2781" s="79">
        <v>45111.500509259262</v>
      </c>
      <c r="AG2781" s="85">
        <v>45111</v>
      </c>
      <c r="AH2781" s="82" t="s">
        <v>10263</v>
      </c>
      <c r="AI2781" s="77" t="b">
        <v>0</v>
      </c>
      <c r="AJ2781" s="77"/>
      <c r="AK2781" s="77"/>
      <c r="AL2781" s="77"/>
      <c r="AM2781" s="77"/>
      <c r="AN2781" s="77"/>
      <c r="AO2781" s="77"/>
      <c r="AP2781" s="77"/>
      <c r="AQ2781" s="77" t="s">
        <v>12177</v>
      </c>
      <c r="AR2781" s="77"/>
      <c r="AS2781" s="77"/>
      <c r="AT2781" s="77"/>
      <c r="AU2781" s="77"/>
      <c r="AV2781" s="80" t="str">
        <f>HYPERLINK("https://pbs.twimg.com/media/F0MOb5cWwAAmIZS.jpg")</f>
        <v>https://pbs.twimg.com/media/F0MOb5cWwAAmIZS.jpg</v>
      </c>
      <c r="AW2781" s="82" t="s">
        <v>14936</v>
      </c>
      <c r="AX2781" s="82" t="s">
        <v>14936</v>
      </c>
      <c r="AY2781" s="77"/>
      <c r="AZ2781" s="82" t="s">
        <v>15804</v>
      </c>
      <c r="BA2781" s="82" t="s">
        <v>15804</v>
      </c>
      <c r="BB2781" s="82" t="s">
        <v>15804</v>
      </c>
      <c r="BC2781" s="82" t="s">
        <v>14936</v>
      </c>
      <c r="BD2781" s="82" t="s">
        <v>16582</v>
      </c>
      <c r="BE2781" s="77"/>
      <c r="BF2781" s="77"/>
      <c r="BG2781" s="77"/>
      <c r="BH2781" s="77"/>
      <c r="BI2781" s="77"/>
    </row>
    <row r="2782" spans="1:61" x14ac:dyDescent="0.25">
      <c r="A2782" s="62" t="s">
        <v>1019</v>
      </c>
      <c r="B2782" s="62" t="s">
        <v>1019</v>
      </c>
      <c r="C2782" s="63"/>
      <c r="D2782" s="64"/>
      <c r="E2782" s="65"/>
      <c r="F2782" s="66"/>
      <c r="G2782" s="63"/>
      <c r="H2782" s="67"/>
      <c r="I2782" s="68"/>
      <c r="J2782" s="68"/>
      <c r="K2782" s="32"/>
      <c r="L2782" s="75">
        <v>2782</v>
      </c>
      <c r="M2782" s="75"/>
      <c r="N2782" s="70"/>
      <c r="O2782" s="77" t="s">
        <v>179</v>
      </c>
      <c r="P2782" s="79">
        <v>45076.500659722224</v>
      </c>
      <c r="Q2782" s="77" t="s">
        <v>3794</v>
      </c>
      <c r="R2782" s="77">
        <v>0</v>
      </c>
      <c r="S2782" s="77">
        <v>0</v>
      </c>
      <c r="T2782" s="77">
        <v>0</v>
      </c>
      <c r="U2782" s="77">
        <v>0</v>
      </c>
      <c r="V2782" s="77">
        <v>10</v>
      </c>
      <c r="W2782" s="82" t="s">
        <v>5840</v>
      </c>
      <c r="X2782" s="77"/>
      <c r="Y2782" s="77"/>
      <c r="Z2782" s="77"/>
      <c r="AA2782" s="77" t="s">
        <v>7672</v>
      </c>
      <c r="AB2782" s="77" t="s">
        <v>7696</v>
      </c>
      <c r="AC2782" s="82" t="s">
        <v>7708</v>
      </c>
      <c r="AD2782" s="77" t="s">
        <v>7745</v>
      </c>
      <c r="AE2782" s="80" t="str">
        <f>HYPERLINK("https://twitter.com/rnainvest/status/1663515840619114497")</f>
        <v>https://twitter.com/rnainvest/status/1663515840619114497</v>
      </c>
      <c r="AF2782" s="79">
        <v>45076.500659722224</v>
      </c>
      <c r="AG2782" s="85">
        <v>45076</v>
      </c>
      <c r="AH2782" s="82" t="s">
        <v>10264</v>
      </c>
      <c r="AI2782" s="77" t="b">
        <v>0</v>
      </c>
      <c r="AJ2782" s="77"/>
      <c r="AK2782" s="77"/>
      <c r="AL2782" s="77"/>
      <c r="AM2782" s="77"/>
      <c r="AN2782" s="77"/>
      <c r="AO2782" s="77"/>
      <c r="AP2782" s="77"/>
      <c r="AQ2782" s="77" t="s">
        <v>12178</v>
      </c>
      <c r="AR2782" s="77"/>
      <c r="AS2782" s="77"/>
      <c r="AT2782" s="77"/>
      <c r="AU2782" s="77"/>
      <c r="AV2782" s="80" t="str">
        <f>HYPERLINK("https://pbs.twimg.com/media/FxX-1y1WwAIKd9O.jpg")</f>
        <v>https://pbs.twimg.com/media/FxX-1y1WwAIKd9O.jpg</v>
      </c>
      <c r="AW2782" s="82" t="s">
        <v>14937</v>
      </c>
      <c r="AX2782" s="82" t="s">
        <v>14937</v>
      </c>
      <c r="AY2782" s="77"/>
      <c r="AZ2782" s="82" t="s">
        <v>15804</v>
      </c>
      <c r="BA2782" s="82" t="s">
        <v>15804</v>
      </c>
      <c r="BB2782" s="82" t="s">
        <v>15804</v>
      </c>
      <c r="BC2782" s="82" t="s">
        <v>14937</v>
      </c>
      <c r="BD2782" s="82" t="s">
        <v>16582</v>
      </c>
      <c r="BE2782" s="77"/>
      <c r="BF2782" s="77"/>
      <c r="BG2782" s="77"/>
      <c r="BH2782" s="77"/>
      <c r="BI2782" s="77"/>
    </row>
    <row r="2783" spans="1:61" x14ac:dyDescent="0.25">
      <c r="A2783" s="62" t="s">
        <v>1019</v>
      </c>
      <c r="B2783" s="62" t="s">
        <v>1019</v>
      </c>
      <c r="C2783" s="63"/>
      <c r="D2783" s="64"/>
      <c r="E2783" s="65"/>
      <c r="F2783" s="66"/>
      <c r="G2783" s="63"/>
      <c r="H2783" s="67"/>
      <c r="I2783" s="68"/>
      <c r="J2783" s="68"/>
      <c r="K2783" s="32"/>
      <c r="L2783" s="75">
        <v>2783</v>
      </c>
      <c r="M2783" s="75"/>
      <c r="N2783" s="70"/>
      <c r="O2783" s="77" t="s">
        <v>179</v>
      </c>
      <c r="P2783" s="79">
        <v>45121.667141203703</v>
      </c>
      <c r="Q2783" s="77" t="s">
        <v>3795</v>
      </c>
      <c r="R2783" s="77">
        <v>0</v>
      </c>
      <c r="S2783" s="77">
        <v>0</v>
      </c>
      <c r="T2783" s="77">
        <v>0</v>
      </c>
      <c r="U2783" s="77">
        <v>0</v>
      </c>
      <c r="V2783" s="77">
        <v>3</v>
      </c>
      <c r="W2783" s="82" t="s">
        <v>5841</v>
      </c>
      <c r="X2783" s="77"/>
      <c r="Y2783" s="77"/>
      <c r="Z2783" s="77"/>
      <c r="AA2783" s="77" t="s">
        <v>7673</v>
      </c>
      <c r="AB2783" s="77" t="s">
        <v>7696</v>
      </c>
      <c r="AC2783" s="82" t="s">
        <v>7708</v>
      </c>
      <c r="AD2783" s="77" t="s">
        <v>7745</v>
      </c>
      <c r="AE2783" s="80" t="str">
        <f>HYPERLINK("https://twitter.com/rnainvest/status/1679883622617174018")</f>
        <v>https://twitter.com/rnainvest/status/1679883622617174018</v>
      </c>
      <c r="AF2783" s="79">
        <v>45121.667141203703</v>
      </c>
      <c r="AG2783" s="85">
        <v>45121</v>
      </c>
      <c r="AH2783" s="82" t="s">
        <v>7762</v>
      </c>
      <c r="AI2783" s="77" t="b">
        <v>0</v>
      </c>
      <c r="AJ2783" s="77"/>
      <c r="AK2783" s="77"/>
      <c r="AL2783" s="77"/>
      <c r="AM2783" s="77"/>
      <c r="AN2783" s="77"/>
      <c r="AO2783" s="77"/>
      <c r="AP2783" s="77"/>
      <c r="AQ2783" s="77" t="s">
        <v>12179</v>
      </c>
      <c r="AR2783" s="77"/>
      <c r="AS2783" s="77"/>
      <c r="AT2783" s="77"/>
      <c r="AU2783" s="77"/>
      <c r="AV2783" s="80" t="str">
        <f>HYPERLINK("https://pbs.twimg.com/media/F1AlQHDWAAMr6Z2.jpg")</f>
        <v>https://pbs.twimg.com/media/F1AlQHDWAAMr6Z2.jpg</v>
      </c>
      <c r="AW2783" s="82" t="s">
        <v>14938</v>
      </c>
      <c r="AX2783" s="82" t="s">
        <v>14938</v>
      </c>
      <c r="AY2783" s="77"/>
      <c r="AZ2783" s="82" t="s">
        <v>15804</v>
      </c>
      <c r="BA2783" s="82" t="s">
        <v>15804</v>
      </c>
      <c r="BB2783" s="82" t="s">
        <v>15804</v>
      </c>
      <c r="BC2783" s="82" t="s">
        <v>14938</v>
      </c>
      <c r="BD2783" s="82" t="s">
        <v>16582</v>
      </c>
      <c r="BE2783" s="77"/>
      <c r="BF2783" s="77"/>
      <c r="BG2783" s="77"/>
      <c r="BH2783" s="77"/>
      <c r="BI2783" s="77"/>
    </row>
    <row r="2784" spans="1:61" x14ac:dyDescent="0.25">
      <c r="A2784" s="62" t="s">
        <v>1019</v>
      </c>
      <c r="B2784" s="62" t="s">
        <v>1019</v>
      </c>
      <c r="C2784" s="63"/>
      <c r="D2784" s="64"/>
      <c r="E2784" s="65"/>
      <c r="F2784" s="66"/>
      <c r="G2784" s="63"/>
      <c r="H2784" s="67"/>
      <c r="I2784" s="68"/>
      <c r="J2784" s="68"/>
      <c r="K2784" s="32"/>
      <c r="L2784" s="75">
        <v>2784</v>
      </c>
      <c r="M2784" s="75"/>
      <c r="N2784" s="70"/>
      <c r="O2784" s="77" t="s">
        <v>179</v>
      </c>
      <c r="P2784" s="79">
        <v>45084.500497685185</v>
      </c>
      <c r="Q2784" s="77" t="s">
        <v>3796</v>
      </c>
      <c r="R2784" s="77">
        <v>0</v>
      </c>
      <c r="S2784" s="77">
        <v>0</v>
      </c>
      <c r="T2784" s="77">
        <v>0</v>
      </c>
      <c r="U2784" s="77">
        <v>0</v>
      </c>
      <c r="V2784" s="77">
        <v>1</v>
      </c>
      <c r="W2784" s="82" t="s">
        <v>5842</v>
      </c>
      <c r="X2784" s="80" t="str">
        <f>HYPERLINK("https://rnainvest.com.br/os-melhores-investimentos-de-curto-prazo-maximizando-retornos-financeiros/")</f>
        <v>https://rnainvest.com.br/os-melhores-investimentos-de-curto-prazo-maximizando-retornos-financeiros/</v>
      </c>
      <c r="Y2784" s="77" t="s">
        <v>6002</v>
      </c>
      <c r="Z2784" s="77"/>
      <c r="AA2784" s="77" t="s">
        <v>7674</v>
      </c>
      <c r="AB2784" s="77" t="s">
        <v>7696</v>
      </c>
      <c r="AC2784" s="82" t="s">
        <v>7708</v>
      </c>
      <c r="AD2784" s="77" t="s">
        <v>7745</v>
      </c>
      <c r="AE2784" s="80" t="str">
        <f>HYPERLINK("https://twitter.com/rnainvest/status/1666414885868040197")</f>
        <v>https://twitter.com/rnainvest/status/1666414885868040197</v>
      </c>
      <c r="AF2784" s="79">
        <v>45084.500497685185</v>
      </c>
      <c r="AG2784" s="85">
        <v>45084</v>
      </c>
      <c r="AH2784" s="82" t="s">
        <v>8974</v>
      </c>
      <c r="AI2784" s="77" t="b">
        <v>0</v>
      </c>
      <c r="AJ2784" s="77"/>
      <c r="AK2784" s="77"/>
      <c r="AL2784" s="77"/>
      <c r="AM2784" s="77"/>
      <c r="AN2784" s="77"/>
      <c r="AO2784" s="77"/>
      <c r="AP2784" s="77"/>
      <c r="AQ2784" s="77" t="s">
        <v>12180</v>
      </c>
      <c r="AR2784" s="77"/>
      <c r="AS2784" s="77"/>
      <c r="AT2784" s="77"/>
      <c r="AU2784" s="77"/>
      <c r="AV2784" s="80" t="str">
        <f>HYPERLINK("https://pbs.twimg.com/media/FyBLgdHX0AEu6H7.jpg")</f>
        <v>https://pbs.twimg.com/media/FyBLgdHX0AEu6H7.jpg</v>
      </c>
      <c r="AW2784" s="82" t="s">
        <v>14939</v>
      </c>
      <c r="AX2784" s="82" t="s">
        <v>14939</v>
      </c>
      <c r="AY2784" s="77"/>
      <c r="AZ2784" s="82" t="s">
        <v>15804</v>
      </c>
      <c r="BA2784" s="82" t="s">
        <v>15804</v>
      </c>
      <c r="BB2784" s="82" t="s">
        <v>15804</v>
      </c>
      <c r="BC2784" s="82" t="s">
        <v>14939</v>
      </c>
      <c r="BD2784" s="82" t="s">
        <v>16582</v>
      </c>
      <c r="BE2784" s="77"/>
      <c r="BF2784" s="77"/>
      <c r="BG2784" s="77"/>
      <c r="BH2784" s="77"/>
      <c r="BI2784" s="77"/>
    </row>
    <row r="2785" spans="1:61" x14ac:dyDescent="0.25">
      <c r="A2785" s="62" t="s">
        <v>1019</v>
      </c>
      <c r="B2785" s="62" t="s">
        <v>1019</v>
      </c>
      <c r="C2785" s="63"/>
      <c r="D2785" s="64"/>
      <c r="E2785" s="65"/>
      <c r="F2785" s="66"/>
      <c r="G2785" s="63"/>
      <c r="H2785" s="67"/>
      <c r="I2785" s="68"/>
      <c r="J2785" s="68"/>
      <c r="K2785" s="32"/>
      <c r="L2785" s="75">
        <v>2785</v>
      </c>
      <c r="M2785" s="75"/>
      <c r="N2785" s="70"/>
      <c r="O2785" s="77" t="s">
        <v>179</v>
      </c>
      <c r="P2785" s="79">
        <v>45082.607800925929</v>
      </c>
      <c r="Q2785" s="77" t="s">
        <v>3797</v>
      </c>
      <c r="R2785" s="77">
        <v>0</v>
      </c>
      <c r="S2785" s="77">
        <v>0</v>
      </c>
      <c r="T2785" s="77">
        <v>0</v>
      </c>
      <c r="U2785" s="77">
        <v>0</v>
      </c>
      <c r="V2785" s="77">
        <v>18</v>
      </c>
      <c r="W2785" s="82" t="s">
        <v>5843</v>
      </c>
      <c r="X2785" s="80" t="str">
        <f>HYPERLINK("https://rnainvest.com.br/o-que-e-rating-e-para-que-ele-serve/")</f>
        <v>https://rnainvest.com.br/o-que-e-rating-e-para-que-ele-serve/</v>
      </c>
      <c r="Y2785" s="77" t="s">
        <v>6002</v>
      </c>
      <c r="Z2785" s="77"/>
      <c r="AA2785" s="77" t="s">
        <v>7675</v>
      </c>
      <c r="AB2785" s="77" t="s">
        <v>7696</v>
      </c>
      <c r="AC2785" s="82" t="s">
        <v>7708</v>
      </c>
      <c r="AD2785" s="77" t="s">
        <v>7745</v>
      </c>
      <c r="AE2785" s="80" t="str">
        <f>HYPERLINK("https://twitter.com/rnainvest/status/1665728992253452290")</f>
        <v>https://twitter.com/rnainvest/status/1665728992253452290</v>
      </c>
      <c r="AF2785" s="79">
        <v>45082.607800925929</v>
      </c>
      <c r="AG2785" s="85">
        <v>45082</v>
      </c>
      <c r="AH2785" s="82" t="s">
        <v>10265</v>
      </c>
      <c r="AI2785" s="77" t="b">
        <v>0</v>
      </c>
      <c r="AJ2785" s="77"/>
      <c r="AK2785" s="77"/>
      <c r="AL2785" s="77"/>
      <c r="AM2785" s="77"/>
      <c r="AN2785" s="77"/>
      <c r="AO2785" s="77"/>
      <c r="AP2785" s="77"/>
      <c r="AQ2785" s="77" t="s">
        <v>12181</v>
      </c>
      <c r="AR2785" s="77"/>
      <c r="AS2785" s="77"/>
      <c r="AT2785" s="77"/>
      <c r="AU2785" s="77"/>
      <c r="AV2785" s="80" t="str">
        <f>HYPERLINK("https://pbs.twimg.com/media/Fx3bsOMWYAE3-9o.jpg")</f>
        <v>https://pbs.twimg.com/media/Fx3bsOMWYAE3-9o.jpg</v>
      </c>
      <c r="AW2785" s="82" t="s">
        <v>14940</v>
      </c>
      <c r="AX2785" s="82" t="s">
        <v>14940</v>
      </c>
      <c r="AY2785" s="77"/>
      <c r="AZ2785" s="82" t="s">
        <v>15804</v>
      </c>
      <c r="BA2785" s="82" t="s">
        <v>15804</v>
      </c>
      <c r="BB2785" s="82" t="s">
        <v>15804</v>
      </c>
      <c r="BC2785" s="82" t="s">
        <v>14940</v>
      </c>
      <c r="BD2785" s="82" t="s">
        <v>16582</v>
      </c>
      <c r="BE2785" s="77"/>
      <c r="BF2785" s="77"/>
      <c r="BG2785" s="77"/>
      <c r="BH2785" s="77"/>
      <c r="BI2785" s="77"/>
    </row>
    <row r="2786" spans="1:61" x14ac:dyDescent="0.25">
      <c r="A2786" s="62" t="s">
        <v>1019</v>
      </c>
      <c r="B2786" s="62" t="s">
        <v>1019</v>
      </c>
      <c r="C2786" s="63"/>
      <c r="D2786" s="64"/>
      <c r="E2786" s="65"/>
      <c r="F2786" s="66"/>
      <c r="G2786" s="63"/>
      <c r="H2786" s="67"/>
      <c r="I2786" s="68"/>
      <c r="J2786" s="68"/>
      <c r="K2786" s="32"/>
      <c r="L2786" s="75">
        <v>2786</v>
      </c>
      <c r="M2786" s="75"/>
      <c r="N2786" s="70"/>
      <c r="O2786" s="77" t="s">
        <v>179</v>
      </c>
      <c r="P2786" s="79">
        <v>45126.632245370369</v>
      </c>
      <c r="Q2786" s="77" t="s">
        <v>3798</v>
      </c>
      <c r="R2786" s="77">
        <v>0</v>
      </c>
      <c r="S2786" s="77">
        <v>0</v>
      </c>
      <c r="T2786" s="77">
        <v>0</v>
      </c>
      <c r="U2786" s="77">
        <v>0</v>
      </c>
      <c r="V2786" s="77">
        <v>8</v>
      </c>
      <c r="W2786" s="82" t="s">
        <v>5844</v>
      </c>
      <c r="X2786" s="77"/>
      <c r="Y2786" s="77"/>
      <c r="Z2786" s="77"/>
      <c r="AA2786" s="77" t="s">
        <v>7676</v>
      </c>
      <c r="AB2786" s="77" t="s">
        <v>7696</v>
      </c>
      <c r="AC2786" s="82" t="s">
        <v>7708</v>
      </c>
      <c r="AD2786" s="77" t="s">
        <v>7745</v>
      </c>
      <c r="AE2786" s="80" t="str">
        <f>HYPERLINK("https://twitter.com/rnainvest/status/1681682916198236161")</f>
        <v>https://twitter.com/rnainvest/status/1681682916198236161</v>
      </c>
      <c r="AF2786" s="79">
        <v>45126.632245370369</v>
      </c>
      <c r="AG2786" s="85">
        <v>45126</v>
      </c>
      <c r="AH2786" s="82" t="s">
        <v>10266</v>
      </c>
      <c r="AI2786" s="77" t="b">
        <v>0</v>
      </c>
      <c r="AJ2786" s="77"/>
      <c r="AK2786" s="77"/>
      <c r="AL2786" s="77"/>
      <c r="AM2786" s="77"/>
      <c r="AN2786" s="77"/>
      <c r="AO2786" s="77"/>
      <c r="AP2786" s="77"/>
      <c r="AQ2786" s="77" t="s">
        <v>12182</v>
      </c>
      <c r="AR2786" s="77"/>
      <c r="AS2786" s="77"/>
      <c r="AT2786" s="77"/>
      <c r="AU2786" s="77"/>
      <c r="AV2786" s="80" t="str">
        <f>HYPERLINK("https://pbs.twimg.com/media/F1aJs0gWwAIu-4P.png")</f>
        <v>https://pbs.twimg.com/media/F1aJs0gWwAIu-4P.png</v>
      </c>
      <c r="AW2786" s="82" t="s">
        <v>14941</v>
      </c>
      <c r="AX2786" s="82" t="s">
        <v>14941</v>
      </c>
      <c r="AY2786" s="77"/>
      <c r="AZ2786" s="82" t="s">
        <v>15804</v>
      </c>
      <c r="BA2786" s="82" t="s">
        <v>15804</v>
      </c>
      <c r="BB2786" s="82" t="s">
        <v>15804</v>
      </c>
      <c r="BC2786" s="82" t="s">
        <v>14941</v>
      </c>
      <c r="BD2786" s="82" t="s">
        <v>16582</v>
      </c>
      <c r="BE2786" s="77"/>
      <c r="BF2786" s="77"/>
      <c r="BG2786" s="77"/>
      <c r="BH2786" s="77"/>
      <c r="BI2786" s="77"/>
    </row>
    <row r="2787" spans="1:61" x14ac:dyDescent="0.25">
      <c r="A2787" s="62" t="s">
        <v>1019</v>
      </c>
      <c r="B2787" s="62" t="s">
        <v>1019</v>
      </c>
      <c r="C2787" s="63"/>
      <c r="D2787" s="64"/>
      <c r="E2787" s="65"/>
      <c r="F2787" s="66"/>
      <c r="G2787" s="63"/>
      <c r="H2787" s="67"/>
      <c r="I2787" s="68"/>
      <c r="J2787" s="68"/>
      <c r="K2787" s="32"/>
      <c r="L2787" s="75">
        <v>2787</v>
      </c>
      <c r="M2787" s="75"/>
      <c r="N2787" s="70"/>
      <c r="O2787" s="77" t="s">
        <v>179</v>
      </c>
      <c r="P2787" s="79">
        <v>45110.505995370368</v>
      </c>
      <c r="Q2787" s="77" t="s">
        <v>3799</v>
      </c>
      <c r="R2787" s="77">
        <v>2</v>
      </c>
      <c r="S2787" s="77">
        <v>3</v>
      </c>
      <c r="T2787" s="77">
        <v>0</v>
      </c>
      <c r="U2787" s="77">
        <v>0</v>
      </c>
      <c r="V2787" s="77">
        <v>91</v>
      </c>
      <c r="W2787" s="82" t="s">
        <v>5845</v>
      </c>
      <c r="X2787" s="77"/>
      <c r="Y2787" s="77"/>
      <c r="Z2787" s="77"/>
      <c r="AA2787" s="77" t="s">
        <v>7677</v>
      </c>
      <c r="AB2787" s="77" t="s">
        <v>7696</v>
      </c>
      <c r="AC2787" s="82" t="s">
        <v>7708</v>
      </c>
      <c r="AD2787" s="77" t="s">
        <v>7745</v>
      </c>
      <c r="AE2787" s="80" t="str">
        <f>HYPERLINK("https://twitter.com/rnainvest/status/1675838962835890176")</f>
        <v>https://twitter.com/rnainvest/status/1675838962835890176</v>
      </c>
      <c r="AF2787" s="79">
        <v>45110.505995370368</v>
      </c>
      <c r="AG2787" s="85">
        <v>45110</v>
      </c>
      <c r="AH2787" s="82" t="s">
        <v>10267</v>
      </c>
      <c r="AI2787" s="77" t="b">
        <v>0</v>
      </c>
      <c r="AJ2787" s="77"/>
      <c r="AK2787" s="77"/>
      <c r="AL2787" s="77"/>
      <c r="AM2787" s="77"/>
      <c r="AN2787" s="77"/>
      <c r="AO2787" s="77"/>
      <c r="AP2787" s="77"/>
      <c r="AQ2787" s="77" t="s">
        <v>12183</v>
      </c>
      <c r="AR2787" s="77"/>
      <c r="AS2787" s="77"/>
      <c r="AT2787" s="77"/>
      <c r="AU2787" s="77"/>
      <c r="AV2787" s="80" t="str">
        <f>HYPERLINK("https://pbs.twimg.com/media/F0HGp9AWYAArCb3.jpg")</f>
        <v>https://pbs.twimg.com/media/F0HGp9AWYAArCb3.jpg</v>
      </c>
      <c r="AW2787" s="82" t="s">
        <v>14942</v>
      </c>
      <c r="AX2787" s="82" t="s">
        <v>14942</v>
      </c>
      <c r="AY2787" s="77"/>
      <c r="AZ2787" s="82" t="s">
        <v>15804</v>
      </c>
      <c r="BA2787" s="82" t="s">
        <v>15804</v>
      </c>
      <c r="BB2787" s="82" t="s">
        <v>15804</v>
      </c>
      <c r="BC2787" s="82" t="s">
        <v>14942</v>
      </c>
      <c r="BD2787" s="82" t="s">
        <v>16582</v>
      </c>
      <c r="BE2787" s="77"/>
      <c r="BF2787" s="77"/>
      <c r="BG2787" s="77"/>
      <c r="BH2787" s="77"/>
      <c r="BI2787" s="77"/>
    </row>
    <row r="2788" spans="1:61" x14ac:dyDescent="0.25">
      <c r="A2788" s="62" t="s">
        <v>1019</v>
      </c>
      <c r="B2788" s="62" t="s">
        <v>1019</v>
      </c>
      <c r="C2788" s="63"/>
      <c r="D2788" s="64"/>
      <c r="E2788" s="65"/>
      <c r="F2788" s="66"/>
      <c r="G2788" s="63"/>
      <c r="H2788" s="67"/>
      <c r="I2788" s="68"/>
      <c r="J2788" s="68"/>
      <c r="K2788" s="32"/>
      <c r="L2788" s="75">
        <v>2788</v>
      </c>
      <c r="M2788" s="75"/>
      <c r="N2788" s="70"/>
      <c r="O2788" s="77" t="s">
        <v>179</v>
      </c>
      <c r="P2788" s="79">
        <v>45138.58394675926</v>
      </c>
      <c r="Q2788" s="77" t="s">
        <v>3800</v>
      </c>
      <c r="R2788" s="77">
        <v>0</v>
      </c>
      <c r="S2788" s="77">
        <v>1</v>
      </c>
      <c r="T2788" s="77">
        <v>0</v>
      </c>
      <c r="U2788" s="77">
        <v>0</v>
      </c>
      <c r="V2788" s="77">
        <v>21</v>
      </c>
      <c r="W2788" s="82" t="s">
        <v>5846</v>
      </c>
      <c r="X2788" s="77"/>
      <c r="Y2788" s="77"/>
      <c r="Z2788" s="77"/>
      <c r="AA2788" s="77" t="s">
        <v>7678</v>
      </c>
      <c r="AB2788" s="77" t="s">
        <v>7696</v>
      </c>
      <c r="AC2788" s="82" t="s">
        <v>7708</v>
      </c>
      <c r="AD2788" s="77" t="s">
        <v>7745</v>
      </c>
      <c r="AE2788" s="80" t="str">
        <f>HYPERLINK("https://twitter.com/rnainvest/status/1686014067968733186")</f>
        <v>https://twitter.com/rnainvest/status/1686014067968733186</v>
      </c>
      <c r="AF2788" s="79">
        <v>45138.58394675926</v>
      </c>
      <c r="AG2788" s="85">
        <v>45138</v>
      </c>
      <c r="AH2788" s="82" t="s">
        <v>9691</v>
      </c>
      <c r="AI2788" s="77" t="b">
        <v>0</v>
      </c>
      <c r="AJ2788" s="77"/>
      <c r="AK2788" s="77"/>
      <c r="AL2788" s="77"/>
      <c r="AM2788" s="77"/>
      <c r="AN2788" s="77"/>
      <c r="AO2788" s="77"/>
      <c r="AP2788" s="77"/>
      <c r="AQ2788" s="77" t="s">
        <v>12184</v>
      </c>
      <c r="AR2788" s="77"/>
      <c r="AS2788" s="77"/>
      <c r="AT2788" s="77"/>
      <c r="AU2788" s="77"/>
      <c r="AV2788" s="80" t="str">
        <f>HYPERLINK("https://pbs.twimg.com/media/F2Xs2-PWAAAGT5_.jpg")</f>
        <v>https://pbs.twimg.com/media/F2Xs2-PWAAAGT5_.jpg</v>
      </c>
      <c r="AW2788" s="82" t="s">
        <v>14943</v>
      </c>
      <c r="AX2788" s="82" t="s">
        <v>14943</v>
      </c>
      <c r="AY2788" s="77"/>
      <c r="AZ2788" s="82" t="s">
        <v>15804</v>
      </c>
      <c r="BA2788" s="82" t="s">
        <v>15804</v>
      </c>
      <c r="BB2788" s="82" t="s">
        <v>15804</v>
      </c>
      <c r="BC2788" s="82" t="s">
        <v>14943</v>
      </c>
      <c r="BD2788" s="82" t="s">
        <v>16582</v>
      </c>
      <c r="BE2788" s="77"/>
      <c r="BF2788" s="77"/>
      <c r="BG2788" s="77"/>
      <c r="BH2788" s="77"/>
      <c r="BI2788" s="77"/>
    </row>
    <row r="2789" spans="1:61" x14ac:dyDescent="0.25">
      <c r="A2789" s="62" t="s">
        <v>1019</v>
      </c>
      <c r="B2789" s="62" t="s">
        <v>1019</v>
      </c>
      <c r="C2789" s="63"/>
      <c r="D2789" s="64"/>
      <c r="E2789" s="65"/>
      <c r="F2789" s="66"/>
      <c r="G2789" s="63"/>
      <c r="H2789" s="67"/>
      <c r="I2789" s="68"/>
      <c r="J2789" s="68"/>
      <c r="K2789" s="32"/>
      <c r="L2789" s="75">
        <v>2789</v>
      </c>
      <c r="M2789" s="75"/>
      <c r="N2789" s="70"/>
      <c r="O2789" s="77" t="s">
        <v>179</v>
      </c>
      <c r="P2789" s="79">
        <v>45058.58394675926</v>
      </c>
      <c r="Q2789" s="77" t="s">
        <v>3801</v>
      </c>
      <c r="R2789" s="77">
        <v>0</v>
      </c>
      <c r="S2789" s="77">
        <v>0</v>
      </c>
      <c r="T2789" s="77">
        <v>0</v>
      </c>
      <c r="U2789" s="77">
        <v>0</v>
      </c>
      <c r="V2789" s="77">
        <v>2</v>
      </c>
      <c r="W2789" s="82" t="s">
        <v>5842</v>
      </c>
      <c r="X2789" s="80" t="str">
        <f>HYPERLINK("https://rnainvest.com.br/melhores-investimentos-em-renda-fixa-para-iniciantes/")</f>
        <v>https://rnainvest.com.br/melhores-investimentos-em-renda-fixa-para-iniciantes/</v>
      </c>
      <c r="Y2789" s="77" t="s">
        <v>6002</v>
      </c>
      <c r="Z2789" s="77"/>
      <c r="AA2789" s="77" t="s">
        <v>7679</v>
      </c>
      <c r="AB2789" s="77" t="s">
        <v>7696</v>
      </c>
      <c r="AC2789" s="82" t="s">
        <v>7708</v>
      </c>
      <c r="AD2789" s="77" t="s">
        <v>7745</v>
      </c>
      <c r="AE2789" s="80" t="str">
        <f>HYPERLINK("https://twitter.com/rnainvest/status/1657023038821416963")</f>
        <v>https://twitter.com/rnainvest/status/1657023038821416963</v>
      </c>
      <c r="AF2789" s="79">
        <v>45058.58394675926</v>
      </c>
      <c r="AG2789" s="85">
        <v>45058</v>
      </c>
      <c r="AH2789" s="82" t="s">
        <v>9691</v>
      </c>
      <c r="AI2789" s="77" t="b">
        <v>0</v>
      </c>
      <c r="AJ2789" s="77"/>
      <c r="AK2789" s="77"/>
      <c r="AL2789" s="77"/>
      <c r="AM2789" s="77"/>
      <c r="AN2789" s="77"/>
      <c r="AO2789" s="77"/>
      <c r="AP2789" s="77"/>
      <c r="AQ2789" s="77" t="s">
        <v>12185</v>
      </c>
      <c r="AR2789" s="77"/>
      <c r="AS2789" s="77"/>
      <c r="AT2789" s="77"/>
      <c r="AU2789" s="77"/>
      <c r="AV2789" s="80" t="str">
        <f>HYPERLINK("https://pbs.twimg.com/media/Fv7tq-9X0AYagK9.jpg")</f>
        <v>https://pbs.twimg.com/media/Fv7tq-9X0AYagK9.jpg</v>
      </c>
      <c r="AW2789" s="82" t="s">
        <v>14944</v>
      </c>
      <c r="AX2789" s="82" t="s">
        <v>14944</v>
      </c>
      <c r="AY2789" s="77"/>
      <c r="AZ2789" s="82" t="s">
        <v>15804</v>
      </c>
      <c r="BA2789" s="82" t="s">
        <v>15804</v>
      </c>
      <c r="BB2789" s="82" t="s">
        <v>15804</v>
      </c>
      <c r="BC2789" s="82" t="s">
        <v>14944</v>
      </c>
      <c r="BD2789" s="82" t="s">
        <v>16582</v>
      </c>
      <c r="BE2789" s="77"/>
      <c r="BF2789" s="77"/>
      <c r="BG2789" s="77"/>
      <c r="BH2789" s="77"/>
      <c r="BI2789" s="77"/>
    </row>
    <row r="2790" spans="1:61" x14ac:dyDescent="0.25">
      <c r="A2790" s="62" t="s">
        <v>1020</v>
      </c>
      <c r="B2790" s="62" t="s">
        <v>1020</v>
      </c>
      <c r="C2790" s="63"/>
      <c r="D2790" s="64"/>
      <c r="E2790" s="65"/>
      <c r="F2790" s="66"/>
      <c r="G2790" s="63"/>
      <c r="H2790" s="67"/>
      <c r="I2790" s="68"/>
      <c r="J2790" s="68"/>
      <c r="K2790" s="32"/>
      <c r="L2790" s="75">
        <v>2790</v>
      </c>
      <c r="M2790" s="75"/>
      <c r="N2790" s="70"/>
      <c r="O2790" s="77" t="s">
        <v>179</v>
      </c>
      <c r="P2790" s="79">
        <v>44943.690335648149</v>
      </c>
      <c r="Q2790" s="77" t="s">
        <v>3802</v>
      </c>
      <c r="R2790" s="77">
        <v>0</v>
      </c>
      <c r="S2790" s="77">
        <v>0</v>
      </c>
      <c r="T2790" s="77">
        <v>0</v>
      </c>
      <c r="U2790" s="77">
        <v>0</v>
      </c>
      <c r="V2790" s="77">
        <v>30</v>
      </c>
      <c r="W2790" s="82" t="s">
        <v>5847</v>
      </c>
      <c r="X2790" s="80" t="str">
        <f>HYPERLINK("https://www.instagram.com/p/Cnhez_jpG7g/?igshid=YTgzYjQ4ZTY=")</f>
        <v>https://www.instagram.com/p/Cnhez_jpG7g/?igshid=YTgzYjQ4ZTY=</v>
      </c>
      <c r="Y2790" s="77" t="s">
        <v>6000</v>
      </c>
      <c r="Z2790" s="77"/>
      <c r="AA2790" s="77"/>
      <c r="AB2790" s="77"/>
      <c r="AC2790" s="82" t="s">
        <v>7704</v>
      </c>
      <c r="AD2790" s="77" t="s">
        <v>7745</v>
      </c>
      <c r="AE2790" s="80" t="str">
        <f>HYPERLINK("https://twitter.com/helder_pereirah/status/1615386989833895938")</f>
        <v>https://twitter.com/helder_pereirah/status/1615386989833895938</v>
      </c>
      <c r="AF2790" s="79">
        <v>44943.690335648149</v>
      </c>
      <c r="AG2790" s="85">
        <v>44943</v>
      </c>
      <c r="AH2790" s="82" t="s">
        <v>10268</v>
      </c>
      <c r="AI2790" s="77" t="b">
        <v>0</v>
      </c>
      <c r="AJ2790" s="77" t="s">
        <v>10551</v>
      </c>
      <c r="AK2790" s="77" t="s">
        <v>10552</v>
      </c>
      <c r="AL2790" s="77" t="s">
        <v>10555</v>
      </c>
      <c r="AM2790" s="77" t="s">
        <v>10587</v>
      </c>
      <c r="AN2790" s="77" t="s">
        <v>10618</v>
      </c>
      <c r="AO2790" s="77" t="s">
        <v>10648</v>
      </c>
      <c r="AP2790" s="77" t="s">
        <v>10649</v>
      </c>
      <c r="AQ2790" s="77"/>
      <c r="AR2790" s="77"/>
      <c r="AS2790" s="77"/>
      <c r="AT2790" s="77"/>
      <c r="AU2790" s="77"/>
      <c r="AV2790" s="80" t="str">
        <f>HYPERLINK("https://pbs.twimg.com/profile_images/1634273311432556546/Ls2sXNqG_normal.jpg")</f>
        <v>https://pbs.twimg.com/profile_images/1634273311432556546/Ls2sXNqG_normal.jpg</v>
      </c>
      <c r="AW2790" s="82" t="s">
        <v>14945</v>
      </c>
      <c r="AX2790" s="82" t="s">
        <v>14945</v>
      </c>
      <c r="AY2790" s="77"/>
      <c r="AZ2790" s="82" t="s">
        <v>15804</v>
      </c>
      <c r="BA2790" s="82" t="s">
        <v>15804</v>
      </c>
      <c r="BB2790" s="82" t="s">
        <v>15804</v>
      </c>
      <c r="BC2790" s="82" t="s">
        <v>14945</v>
      </c>
      <c r="BD2790" s="77">
        <v>197945370</v>
      </c>
      <c r="BE2790" s="77"/>
      <c r="BF2790" s="77"/>
      <c r="BG2790" s="77"/>
      <c r="BH2790" s="77"/>
      <c r="BI2790" s="77"/>
    </row>
    <row r="2791" spans="1:61" x14ac:dyDescent="0.25">
      <c r="A2791" s="62" t="s">
        <v>1021</v>
      </c>
      <c r="B2791" s="62" t="s">
        <v>1058</v>
      </c>
      <c r="C2791" s="63"/>
      <c r="D2791" s="64"/>
      <c r="E2791" s="65"/>
      <c r="F2791" s="66"/>
      <c r="G2791" s="63"/>
      <c r="H2791" s="67"/>
      <c r="I2791" s="68"/>
      <c r="J2791" s="68"/>
      <c r="K2791" s="32"/>
      <c r="L2791" s="75">
        <v>2791</v>
      </c>
      <c r="M2791" s="75"/>
      <c r="N2791" s="70"/>
      <c r="O2791" s="77" t="s">
        <v>1133</v>
      </c>
      <c r="P2791" s="79">
        <v>45084.981215277781</v>
      </c>
      <c r="Q2791" s="77" t="s">
        <v>3803</v>
      </c>
      <c r="R2791" s="77">
        <v>0</v>
      </c>
      <c r="S2791" s="77">
        <v>1</v>
      </c>
      <c r="T2791" s="77">
        <v>0</v>
      </c>
      <c r="U2791" s="77">
        <v>0</v>
      </c>
      <c r="V2791" s="77">
        <v>16</v>
      </c>
      <c r="W2791" s="82" t="s">
        <v>5848</v>
      </c>
      <c r="X2791" s="80" t="str">
        <f>HYPERLINK("https://youtu.be/cjJsKqNlquI")</f>
        <v>https://youtu.be/cjJsKqNlquI</v>
      </c>
      <c r="Y2791" s="77" t="s">
        <v>6003</v>
      </c>
      <c r="Z2791" s="77" t="s">
        <v>1058</v>
      </c>
      <c r="AA2791" s="77"/>
      <c r="AB2791" s="77"/>
      <c r="AC2791" s="82" t="s">
        <v>7706</v>
      </c>
      <c r="AD2791" s="77" t="s">
        <v>7745</v>
      </c>
      <c r="AE2791" s="80" t="str">
        <f>HYPERLINK("https://twitter.com/assunitel/status/1666589092136484868")</f>
        <v>https://twitter.com/assunitel/status/1666589092136484868</v>
      </c>
      <c r="AF2791" s="79">
        <v>45084.981215277781</v>
      </c>
      <c r="AG2791" s="85">
        <v>45084</v>
      </c>
      <c r="AH2791" s="82" t="s">
        <v>10269</v>
      </c>
      <c r="AI2791" s="77" t="b">
        <v>0</v>
      </c>
      <c r="AJ2791" s="77"/>
      <c r="AK2791" s="77"/>
      <c r="AL2791" s="77"/>
      <c r="AM2791" s="77"/>
      <c r="AN2791" s="77"/>
      <c r="AO2791" s="77"/>
      <c r="AP2791" s="77"/>
      <c r="AQ2791" s="77"/>
      <c r="AR2791" s="77"/>
      <c r="AS2791" s="77"/>
      <c r="AT2791" s="77"/>
      <c r="AU2791" s="77"/>
      <c r="AV2791" s="80" t="str">
        <f>HYPERLINK("https://pbs.twimg.com/profile_images/1587944549959311361/ekB9sPmG_normal.jpg")</f>
        <v>https://pbs.twimg.com/profile_images/1587944549959311361/ekB9sPmG_normal.jpg</v>
      </c>
      <c r="AW2791" s="82" t="s">
        <v>14946</v>
      </c>
      <c r="AX2791" s="82" t="s">
        <v>14946</v>
      </c>
      <c r="AY2791" s="77"/>
      <c r="AZ2791" s="82" t="s">
        <v>15804</v>
      </c>
      <c r="BA2791" s="82" t="s">
        <v>15804</v>
      </c>
      <c r="BB2791" s="82" t="s">
        <v>15804</v>
      </c>
      <c r="BC2791" s="82" t="s">
        <v>14946</v>
      </c>
      <c r="BD2791" s="77">
        <v>2493446468</v>
      </c>
      <c r="BE2791" s="77"/>
      <c r="BF2791" s="77"/>
      <c r="BG2791" s="77"/>
      <c r="BH2791" s="77"/>
      <c r="BI2791" s="77"/>
    </row>
    <row r="2792" spans="1:61" x14ac:dyDescent="0.25">
      <c r="A2792" s="62" t="s">
        <v>1022</v>
      </c>
      <c r="B2792" s="62" t="s">
        <v>1022</v>
      </c>
      <c r="C2792" s="63"/>
      <c r="D2792" s="64"/>
      <c r="E2792" s="65"/>
      <c r="F2792" s="66"/>
      <c r="G2792" s="63"/>
      <c r="H2792" s="67"/>
      <c r="I2792" s="68"/>
      <c r="J2792" s="68"/>
      <c r="K2792" s="32"/>
      <c r="L2792" s="75">
        <v>2792</v>
      </c>
      <c r="M2792" s="75"/>
      <c r="N2792" s="70"/>
      <c r="O2792" s="77" t="s">
        <v>179</v>
      </c>
      <c r="P2792" s="79">
        <v>45127.78528935185</v>
      </c>
      <c r="Q2792" s="77" t="s">
        <v>3804</v>
      </c>
      <c r="R2792" s="77">
        <v>0</v>
      </c>
      <c r="S2792" s="77">
        <v>0</v>
      </c>
      <c r="T2792" s="77">
        <v>0</v>
      </c>
      <c r="U2792" s="77">
        <v>0</v>
      </c>
      <c r="V2792" s="77">
        <v>6</v>
      </c>
      <c r="W2792" s="82" t="s">
        <v>5849</v>
      </c>
      <c r="X2792" s="77"/>
      <c r="Y2792" s="77"/>
      <c r="Z2792" s="77"/>
      <c r="AA2792" s="77"/>
      <c r="AB2792" s="77"/>
      <c r="AC2792" s="82" t="s">
        <v>7705</v>
      </c>
      <c r="AD2792" s="77" t="s">
        <v>7745</v>
      </c>
      <c r="AE2792" s="80" t="str">
        <f>HYPERLINK("https://twitter.com/m_milionarios/status/1682100765274325000")</f>
        <v>https://twitter.com/m_milionarios/status/1682100765274325000</v>
      </c>
      <c r="AF2792" s="79">
        <v>45127.78528935185</v>
      </c>
      <c r="AG2792" s="85">
        <v>45127</v>
      </c>
      <c r="AH2792" s="82" t="s">
        <v>10270</v>
      </c>
      <c r="AI2792" s="77"/>
      <c r="AJ2792" s="77"/>
      <c r="AK2792" s="77"/>
      <c r="AL2792" s="77"/>
      <c r="AM2792" s="77"/>
      <c r="AN2792" s="77"/>
      <c r="AO2792" s="77"/>
      <c r="AP2792" s="77"/>
      <c r="AQ2792" s="77"/>
      <c r="AR2792" s="77"/>
      <c r="AS2792" s="77"/>
      <c r="AT2792" s="77"/>
      <c r="AU2792" s="77"/>
      <c r="AV2792" s="80" t="str">
        <f>HYPERLINK("https://pbs.twimg.com/profile_images/1681891735759142913/zi-CLzLc_normal.jpg")</f>
        <v>https://pbs.twimg.com/profile_images/1681891735759142913/zi-CLzLc_normal.jpg</v>
      </c>
      <c r="AW2792" s="82" t="s">
        <v>14947</v>
      </c>
      <c r="AX2792" s="82" t="s">
        <v>14947</v>
      </c>
      <c r="AY2792" s="77"/>
      <c r="AZ2792" s="82" t="s">
        <v>15804</v>
      </c>
      <c r="BA2792" s="82" t="s">
        <v>15804</v>
      </c>
      <c r="BB2792" s="82" t="s">
        <v>15804</v>
      </c>
      <c r="BC2792" s="82" t="s">
        <v>14947</v>
      </c>
      <c r="BD2792" s="82" t="s">
        <v>16583</v>
      </c>
      <c r="BE2792" s="77"/>
      <c r="BF2792" s="77"/>
      <c r="BG2792" s="77"/>
      <c r="BH2792" s="77"/>
      <c r="BI2792" s="77"/>
    </row>
    <row r="2793" spans="1:61" x14ac:dyDescent="0.25">
      <c r="A2793" s="62" t="s">
        <v>1023</v>
      </c>
      <c r="B2793" s="62" t="s">
        <v>1131</v>
      </c>
      <c r="C2793" s="63"/>
      <c r="D2793" s="64"/>
      <c r="E2793" s="65"/>
      <c r="F2793" s="66"/>
      <c r="G2793" s="63"/>
      <c r="H2793" s="67"/>
      <c r="I2793" s="68"/>
      <c r="J2793" s="68"/>
      <c r="K2793" s="32"/>
      <c r="L2793" s="75">
        <v>2793</v>
      </c>
      <c r="M2793" s="75"/>
      <c r="N2793" s="70"/>
      <c r="O2793" s="77" t="s">
        <v>1133</v>
      </c>
      <c r="P2793" s="79">
        <v>44983.673703703702</v>
      </c>
      <c r="Q2793" s="77" t="s">
        <v>3805</v>
      </c>
      <c r="R2793" s="77">
        <v>25</v>
      </c>
      <c r="S2793" s="77">
        <v>1399</v>
      </c>
      <c r="T2793" s="77">
        <v>119</v>
      </c>
      <c r="U2793" s="77">
        <v>27</v>
      </c>
      <c r="V2793" s="77">
        <v>118752</v>
      </c>
      <c r="W2793" s="77"/>
      <c r="X2793" s="77"/>
      <c r="Y2793" s="77"/>
      <c r="Z2793" s="77" t="s">
        <v>1131</v>
      </c>
      <c r="AA2793" s="77" t="s">
        <v>7680</v>
      </c>
      <c r="AB2793" s="77" t="s">
        <v>7696</v>
      </c>
      <c r="AC2793" s="82" t="s">
        <v>7707</v>
      </c>
      <c r="AD2793" s="77" t="s">
        <v>7745</v>
      </c>
      <c r="AE2793" s="80" t="str">
        <f>HYPERLINK("https://twitter.com/newscolina/status/1629876478044151812")</f>
        <v>https://twitter.com/newscolina/status/1629876478044151812</v>
      </c>
      <c r="AF2793" s="79">
        <v>44983.673703703702</v>
      </c>
      <c r="AG2793" s="85">
        <v>44983</v>
      </c>
      <c r="AH2793" s="82" t="s">
        <v>10271</v>
      </c>
      <c r="AI2793" s="77" t="b">
        <v>0</v>
      </c>
      <c r="AJ2793" s="77"/>
      <c r="AK2793" s="77"/>
      <c r="AL2793" s="77"/>
      <c r="AM2793" s="77"/>
      <c r="AN2793" s="77"/>
      <c r="AO2793" s="77"/>
      <c r="AP2793" s="77"/>
      <c r="AQ2793" s="77" t="s">
        <v>12186</v>
      </c>
      <c r="AR2793" s="77"/>
      <c r="AS2793" s="77"/>
      <c r="AT2793" s="77"/>
      <c r="AU2793" s="77"/>
      <c r="AV2793" s="80" t="str">
        <f>HYPERLINK("https://pbs.twimg.com/media/Fp58BPOWIA0vWbE.jpg")</f>
        <v>https://pbs.twimg.com/media/Fp58BPOWIA0vWbE.jpg</v>
      </c>
      <c r="AW2793" s="82" t="s">
        <v>14948</v>
      </c>
      <c r="AX2793" s="82" t="s">
        <v>14948</v>
      </c>
      <c r="AY2793" s="77"/>
      <c r="AZ2793" s="82" t="s">
        <v>15804</v>
      </c>
      <c r="BA2793" s="82" t="s">
        <v>15804</v>
      </c>
      <c r="BB2793" s="82" t="s">
        <v>15804</v>
      </c>
      <c r="BC2793" s="82" t="s">
        <v>14948</v>
      </c>
      <c r="BD2793" s="77">
        <v>3406306762</v>
      </c>
      <c r="BE2793" s="77"/>
      <c r="BF2793" s="77"/>
      <c r="BG2793" s="77"/>
      <c r="BH2793" s="77"/>
      <c r="BI2793" s="77"/>
    </row>
    <row r="2794" spans="1:61" x14ac:dyDescent="0.25">
      <c r="A2794" s="62" t="s">
        <v>1024</v>
      </c>
      <c r="B2794" s="62" t="s">
        <v>1024</v>
      </c>
      <c r="C2794" s="63"/>
      <c r="D2794" s="64"/>
      <c r="E2794" s="65"/>
      <c r="F2794" s="66"/>
      <c r="G2794" s="63"/>
      <c r="H2794" s="67"/>
      <c r="I2794" s="68"/>
      <c r="J2794" s="68"/>
      <c r="K2794" s="32"/>
      <c r="L2794" s="75">
        <v>2794</v>
      </c>
      <c r="M2794" s="75"/>
      <c r="N2794" s="70"/>
      <c r="O2794" s="77" t="s">
        <v>179</v>
      </c>
      <c r="P2794" s="79">
        <v>45023.609074074076</v>
      </c>
      <c r="Q2794" s="77" t="s">
        <v>3806</v>
      </c>
      <c r="R2794" s="77">
        <v>0</v>
      </c>
      <c r="S2794" s="77">
        <v>0</v>
      </c>
      <c r="T2794" s="77">
        <v>0</v>
      </c>
      <c r="U2794" s="77">
        <v>0</v>
      </c>
      <c r="V2794" s="77">
        <v>26</v>
      </c>
      <c r="W2794" s="82" t="s">
        <v>5850</v>
      </c>
      <c r="X2794" s="80" t="str">
        <f>HYPERLINK("https://wp.me/p4RTuC-LrU")</f>
        <v>https://wp.me/p4RTuC-LrU</v>
      </c>
      <c r="Y2794" s="77" t="s">
        <v>6115</v>
      </c>
      <c r="Z2794" s="77"/>
      <c r="AA2794" s="77"/>
      <c r="AB2794" s="77"/>
      <c r="AC2794" s="82" t="s">
        <v>7706</v>
      </c>
      <c r="AD2794" s="77" t="s">
        <v>7745</v>
      </c>
      <c r="AE2794" s="80" t="str">
        <f>HYPERLINK("https://twitter.com/rafaelporcari/status/1644348572979044355")</f>
        <v>https://twitter.com/rafaelporcari/status/1644348572979044355</v>
      </c>
      <c r="AF2794" s="79">
        <v>45023.609074074076</v>
      </c>
      <c r="AG2794" s="85">
        <v>45023</v>
      </c>
      <c r="AH2794" s="82" t="s">
        <v>10272</v>
      </c>
      <c r="AI2794" s="77" t="b">
        <v>0</v>
      </c>
      <c r="AJ2794" s="77"/>
      <c r="AK2794" s="77"/>
      <c r="AL2794" s="77"/>
      <c r="AM2794" s="77"/>
      <c r="AN2794" s="77"/>
      <c r="AO2794" s="77"/>
      <c r="AP2794" s="77"/>
      <c r="AQ2794" s="77"/>
      <c r="AR2794" s="77"/>
      <c r="AS2794" s="77"/>
      <c r="AT2794" s="77"/>
      <c r="AU2794" s="77"/>
      <c r="AV2794" s="80" t="str">
        <f>HYPERLINK("https://pbs.twimg.com/profile_images/1406282412871630856/W89Wdi2l_normal.jpg")</f>
        <v>https://pbs.twimg.com/profile_images/1406282412871630856/W89Wdi2l_normal.jpg</v>
      </c>
      <c r="AW2794" s="82" t="s">
        <v>14949</v>
      </c>
      <c r="AX2794" s="82" t="s">
        <v>14949</v>
      </c>
      <c r="AY2794" s="77"/>
      <c r="AZ2794" s="82" t="s">
        <v>15804</v>
      </c>
      <c r="BA2794" s="82" t="s">
        <v>15804</v>
      </c>
      <c r="BB2794" s="82" t="s">
        <v>15804</v>
      </c>
      <c r="BC2794" s="82" t="s">
        <v>14949</v>
      </c>
      <c r="BD2794" s="77">
        <v>51565827</v>
      </c>
      <c r="BE2794" s="77"/>
      <c r="BF2794" s="77"/>
      <c r="BG2794" s="77"/>
      <c r="BH2794" s="77"/>
      <c r="BI2794" s="77"/>
    </row>
    <row r="2795" spans="1:61" x14ac:dyDescent="0.25">
      <c r="A2795" s="62" t="s">
        <v>1025</v>
      </c>
      <c r="B2795" s="62" t="s">
        <v>1025</v>
      </c>
      <c r="C2795" s="63"/>
      <c r="D2795" s="64"/>
      <c r="E2795" s="65"/>
      <c r="F2795" s="66"/>
      <c r="G2795" s="63"/>
      <c r="H2795" s="67"/>
      <c r="I2795" s="68"/>
      <c r="J2795" s="68"/>
      <c r="K2795" s="32"/>
      <c r="L2795" s="75">
        <v>2795</v>
      </c>
      <c r="M2795" s="75"/>
      <c r="N2795" s="70"/>
      <c r="O2795" s="77" t="s">
        <v>179</v>
      </c>
      <c r="P2795" s="79">
        <v>44966.64607638889</v>
      </c>
      <c r="Q2795" s="77" t="s">
        <v>3807</v>
      </c>
      <c r="R2795" s="77">
        <v>0</v>
      </c>
      <c r="S2795" s="77">
        <v>0</v>
      </c>
      <c r="T2795" s="77">
        <v>0</v>
      </c>
      <c r="U2795" s="77">
        <v>0</v>
      </c>
      <c r="V2795" s="77">
        <v>66</v>
      </c>
      <c r="W2795" s="82" t="s">
        <v>5851</v>
      </c>
      <c r="X2795" s="80" t="str">
        <f>HYPERLINK("https://rb.gy/zltgrf")</f>
        <v>https://rb.gy/zltgrf</v>
      </c>
      <c r="Y2795" s="77" t="s">
        <v>6011</v>
      </c>
      <c r="Z2795" s="77"/>
      <c r="AA2795" s="77" t="s">
        <v>7681</v>
      </c>
      <c r="AB2795" s="77" t="s">
        <v>7696</v>
      </c>
      <c r="AC2795" s="82" t="s">
        <v>7708</v>
      </c>
      <c r="AD2795" s="77" t="s">
        <v>7745</v>
      </c>
      <c r="AE2795" s="80" t="str">
        <f>HYPERLINK("https://twitter.com/canalbussola/status/1623705872303095808")</f>
        <v>https://twitter.com/canalbussola/status/1623705872303095808</v>
      </c>
      <c r="AF2795" s="79">
        <v>44966.64607638889</v>
      </c>
      <c r="AG2795" s="85">
        <v>44966</v>
      </c>
      <c r="AH2795" s="82" t="s">
        <v>10273</v>
      </c>
      <c r="AI2795" s="77" t="b">
        <v>0</v>
      </c>
      <c r="AJ2795" s="77"/>
      <c r="AK2795" s="77"/>
      <c r="AL2795" s="77"/>
      <c r="AM2795" s="77"/>
      <c r="AN2795" s="77"/>
      <c r="AO2795" s="77"/>
      <c r="AP2795" s="77"/>
      <c r="AQ2795" s="77" t="s">
        <v>12187</v>
      </c>
      <c r="AR2795" s="77"/>
      <c r="AS2795" s="77"/>
      <c r="AT2795" s="77"/>
      <c r="AU2795" s="77"/>
      <c r="AV2795" s="80" t="str">
        <f>HYPERLINK("https://pbs.twimg.com/media/FoiP4tBXoAEIXOj.jpg")</f>
        <v>https://pbs.twimg.com/media/FoiP4tBXoAEIXOj.jpg</v>
      </c>
      <c r="AW2795" s="82" t="s">
        <v>14950</v>
      </c>
      <c r="AX2795" s="82" t="s">
        <v>14950</v>
      </c>
      <c r="AY2795" s="77"/>
      <c r="AZ2795" s="82" t="s">
        <v>15804</v>
      </c>
      <c r="BA2795" s="82" t="s">
        <v>15804</v>
      </c>
      <c r="BB2795" s="82" t="s">
        <v>15804</v>
      </c>
      <c r="BC2795" s="82" t="s">
        <v>14950</v>
      </c>
      <c r="BD2795" s="82" t="s">
        <v>16584</v>
      </c>
      <c r="BE2795" s="77"/>
      <c r="BF2795" s="77"/>
      <c r="BG2795" s="77"/>
      <c r="BH2795" s="77"/>
      <c r="BI2795" s="77"/>
    </row>
    <row r="2796" spans="1:61" x14ac:dyDescent="0.25">
      <c r="A2796" s="62" t="s">
        <v>1025</v>
      </c>
      <c r="B2796" s="62" t="s">
        <v>1025</v>
      </c>
      <c r="C2796" s="63"/>
      <c r="D2796" s="64"/>
      <c r="E2796" s="65"/>
      <c r="F2796" s="66"/>
      <c r="G2796" s="63"/>
      <c r="H2796" s="67"/>
      <c r="I2796" s="68"/>
      <c r="J2796" s="68"/>
      <c r="K2796" s="32"/>
      <c r="L2796" s="75">
        <v>2796</v>
      </c>
      <c r="M2796" s="75"/>
      <c r="N2796" s="70"/>
      <c r="O2796" s="77" t="s">
        <v>179</v>
      </c>
      <c r="P2796" s="79">
        <v>44965.542013888888</v>
      </c>
      <c r="Q2796" s="77" t="s">
        <v>3808</v>
      </c>
      <c r="R2796" s="77">
        <v>0</v>
      </c>
      <c r="S2796" s="77">
        <v>24</v>
      </c>
      <c r="T2796" s="77">
        <v>0</v>
      </c>
      <c r="U2796" s="77">
        <v>0</v>
      </c>
      <c r="V2796" s="77">
        <v>19227</v>
      </c>
      <c r="W2796" s="82" t="s">
        <v>5852</v>
      </c>
      <c r="X2796" s="80" t="str">
        <f>HYPERLINK("https://rb.gy/k5n4iq")</f>
        <v>https://rb.gy/k5n4iq</v>
      </c>
      <c r="Y2796" s="77" t="s">
        <v>6011</v>
      </c>
      <c r="Z2796" s="77"/>
      <c r="AA2796" s="77" t="s">
        <v>7682</v>
      </c>
      <c r="AB2796" s="77" t="s">
        <v>7696</v>
      </c>
      <c r="AC2796" s="82" t="s">
        <v>7708</v>
      </c>
      <c r="AD2796" s="77" t="s">
        <v>7745</v>
      </c>
      <c r="AE2796" s="80" t="str">
        <f>HYPERLINK("https://twitter.com/canalbussola/status/1623305774620352512")</f>
        <v>https://twitter.com/canalbussola/status/1623305774620352512</v>
      </c>
      <c r="AF2796" s="79">
        <v>44965.542013888888</v>
      </c>
      <c r="AG2796" s="85">
        <v>44965</v>
      </c>
      <c r="AH2796" s="82" t="s">
        <v>8671</v>
      </c>
      <c r="AI2796" s="77" t="b">
        <v>0</v>
      </c>
      <c r="AJ2796" s="77"/>
      <c r="AK2796" s="77"/>
      <c r="AL2796" s="77"/>
      <c r="AM2796" s="77"/>
      <c r="AN2796" s="77"/>
      <c r="AO2796" s="77"/>
      <c r="AP2796" s="77"/>
      <c r="AQ2796" s="77" t="s">
        <v>12188</v>
      </c>
      <c r="AR2796" s="77"/>
      <c r="AS2796" s="77"/>
      <c r="AT2796" s="77"/>
      <c r="AU2796" s="77"/>
      <c r="AV2796" s="80" t="str">
        <f>HYPERLINK("https://pbs.twimg.com/media/Focj_6wXEAMVcrb.jpg")</f>
        <v>https://pbs.twimg.com/media/Focj_6wXEAMVcrb.jpg</v>
      </c>
      <c r="AW2796" s="82" t="s">
        <v>14951</v>
      </c>
      <c r="AX2796" s="82" t="s">
        <v>14951</v>
      </c>
      <c r="AY2796" s="77"/>
      <c r="AZ2796" s="82" t="s">
        <v>15804</v>
      </c>
      <c r="BA2796" s="82" t="s">
        <v>15804</v>
      </c>
      <c r="BB2796" s="82" t="s">
        <v>15804</v>
      </c>
      <c r="BC2796" s="82" t="s">
        <v>14951</v>
      </c>
      <c r="BD2796" s="82" t="s">
        <v>16584</v>
      </c>
      <c r="BE2796" s="77"/>
      <c r="BF2796" s="77"/>
      <c r="BG2796" s="77"/>
      <c r="BH2796" s="77"/>
      <c r="BI2796" s="77"/>
    </row>
    <row r="2797" spans="1:61" x14ac:dyDescent="0.25">
      <c r="A2797" s="62" t="s">
        <v>1026</v>
      </c>
      <c r="B2797" s="62" t="s">
        <v>1026</v>
      </c>
      <c r="C2797" s="63"/>
      <c r="D2797" s="64"/>
      <c r="E2797" s="65"/>
      <c r="F2797" s="66"/>
      <c r="G2797" s="63"/>
      <c r="H2797" s="67"/>
      <c r="I2797" s="68"/>
      <c r="J2797" s="68"/>
      <c r="K2797" s="32"/>
      <c r="L2797" s="75">
        <v>2797</v>
      </c>
      <c r="M2797" s="75"/>
      <c r="N2797" s="70"/>
      <c r="O2797" s="77" t="s">
        <v>179</v>
      </c>
      <c r="P2797" s="79">
        <v>45172.63009259259</v>
      </c>
      <c r="Q2797" s="77" t="s">
        <v>3809</v>
      </c>
      <c r="R2797" s="77">
        <v>0</v>
      </c>
      <c r="S2797" s="77">
        <v>0</v>
      </c>
      <c r="T2797" s="77">
        <v>0</v>
      </c>
      <c r="U2797" s="77">
        <v>0</v>
      </c>
      <c r="V2797" s="77">
        <v>7</v>
      </c>
      <c r="W2797" s="82" t="s">
        <v>5853</v>
      </c>
      <c r="X2797" s="80" t="str">
        <f>HYPERLINK("https://youtube.com/@TVMadeHits?si=pit3Sc78ST98sF0f")</f>
        <v>https://youtube.com/@TVMadeHits?si=pit3Sc78ST98sF0f</v>
      </c>
      <c r="Y2797" s="77" t="s">
        <v>6006</v>
      </c>
      <c r="Z2797" s="77"/>
      <c r="AA2797" s="77" t="s">
        <v>7683</v>
      </c>
      <c r="AB2797" s="77" t="s">
        <v>7701</v>
      </c>
      <c r="AC2797" s="82" t="s">
        <v>7707</v>
      </c>
      <c r="AD2797" s="77" t="s">
        <v>7745</v>
      </c>
      <c r="AE2797" s="80" t="str">
        <f>HYPERLINK("https://twitter.com/made_hits/status/1698351981348147374")</f>
        <v>https://twitter.com/made_hits/status/1698351981348147374</v>
      </c>
      <c r="AF2797" s="79">
        <v>45172.63009259259</v>
      </c>
      <c r="AG2797" s="85">
        <v>45172</v>
      </c>
      <c r="AH2797" s="82" t="s">
        <v>8530</v>
      </c>
      <c r="AI2797" s="77" t="b">
        <v>0</v>
      </c>
      <c r="AJ2797" s="77"/>
      <c r="AK2797" s="77"/>
      <c r="AL2797" s="77"/>
      <c r="AM2797" s="77"/>
      <c r="AN2797" s="77"/>
      <c r="AO2797" s="77"/>
      <c r="AP2797" s="77"/>
      <c r="AQ2797" s="77" t="s">
        <v>12189</v>
      </c>
      <c r="AR2797" s="77"/>
      <c r="AS2797" s="77"/>
      <c r="AT2797" s="77"/>
      <c r="AU2797" s="77"/>
      <c r="AV2797" s="80" t="str">
        <f>HYPERLINK("https://pbs.twimg.com/media/F5HCHjKWUAETWua.jpg")</f>
        <v>https://pbs.twimg.com/media/F5HCHjKWUAETWua.jpg</v>
      </c>
      <c r="AW2797" s="82" t="s">
        <v>14952</v>
      </c>
      <c r="AX2797" s="82" t="s">
        <v>14952</v>
      </c>
      <c r="AY2797" s="77"/>
      <c r="AZ2797" s="82" t="s">
        <v>15804</v>
      </c>
      <c r="BA2797" s="82" t="s">
        <v>15804</v>
      </c>
      <c r="BB2797" s="82" t="s">
        <v>15804</v>
      </c>
      <c r="BC2797" s="82" t="s">
        <v>14952</v>
      </c>
      <c r="BD2797" s="82" t="s">
        <v>16585</v>
      </c>
      <c r="BE2797" s="77"/>
      <c r="BF2797" s="77"/>
      <c r="BG2797" s="77"/>
      <c r="BH2797" s="77"/>
      <c r="BI2797" s="77"/>
    </row>
    <row r="2798" spans="1:61" x14ac:dyDescent="0.25">
      <c r="A2798" s="62" t="s">
        <v>1026</v>
      </c>
      <c r="B2798" s="62" t="s">
        <v>1026</v>
      </c>
      <c r="C2798" s="63"/>
      <c r="D2798" s="64"/>
      <c r="E2798" s="65"/>
      <c r="F2798" s="66"/>
      <c r="G2798" s="63"/>
      <c r="H2798" s="67"/>
      <c r="I2798" s="68"/>
      <c r="J2798" s="68"/>
      <c r="K2798" s="32"/>
      <c r="L2798" s="75">
        <v>2798</v>
      </c>
      <c r="M2798" s="75"/>
      <c r="N2798" s="70"/>
      <c r="O2798" s="77" t="s">
        <v>179</v>
      </c>
      <c r="P2798" s="79">
        <v>45175.515451388892</v>
      </c>
      <c r="Q2798" s="77" t="s">
        <v>3810</v>
      </c>
      <c r="R2798" s="77">
        <v>0</v>
      </c>
      <c r="S2798" s="77">
        <v>0</v>
      </c>
      <c r="T2798" s="77">
        <v>0</v>
      </c>
      <c r="U2798" s="77">
        <v>0</v>
      </c>
      <c r="V2798" s="77">
        <v>39</v>
      </c>
      <c r="W2798" s="82" t="s">
        <v>5854</v>
      </c>
      <c r="X2798" s="77"/>
      <c r="Y2798" s="77"/>
      <c r="Z2798" s="77"/>
      <c r="AA2798" s="77" t="s">
        <v>7684</v>
      </c>
      <c r="AB2798" s="77" t="s">
        <v>7697</v>
      </c>
      <c r="AC2798" s="82" t="s">
        <v>7707</v>
      </c>
      <c r="AD2798" s="77" t="s">
        <v>7745</v>
      </c>
      <c r="AE2798" s="80" t="str">
        <f>HYPERLINK("https://twitter.com/made_hits/status/1699397599898554634")</f>
        <v>https://twitter.com/made_hits/status/1699397599898554634</v>
      </c>
      <c r="AF2798" s="79">
        <v>45175.515451388892</v>
      </c>
      <c r="AG2798" s="85">
        <v>45175</v>
      </c>
      <c r="AH2798" s="82" t="s">
        <v>10274</v>
      </c>
      <c r="AI2798" s="77" t="b">
        <v>0</v>
      </c>
      <c r="AJ2798" s="77"/>
      <c r="AK2798" s="77"/>
      <c r="AL2798" s="77"/>
      <c r="AM2798" s="77"/>
      <c r="AN2798" s="77"/>
      <c r="AO2798" s="77"/>
      <c r="AP2798" s="77"/>
      <c r="AQ2798" s="77" t="s">
        <v>12190</v>
      </c>
      <c r="AR2798" s="77">
        <v>7520</v>
      </c>
      <c r="AS2798" s="77"/>
      <c r="AT2798" s="77"/>
      <c r="AU2798" s="77">
        <v>3</v>
      </c>
      <c r="AV2798" s="80" t="str">
        <f>HYPERLINK("https://pbs.twimg.com/ext_tw_video_thumb/1699397156237418496/pu/img/Zr1WAWd5Sfe0qnBH.jpg")</f>
        <v>https://pbs.twimg.com/ext_tw_video_thumb/1699397156237418496/pu/img/Zr1WAWd5Sfe0qnBH.jpg</v>
      </c>
      <c r="AW2798" s="82" t="s">
        <v>14953</v>
      </c>
      <c r="AX2798" s="82" t="s">
        <v>14953</v>
      </c>
      <c r="AY2798" s="77"/>
      <c r="AZ2798" s="82" t="s">
        <v>15804</v>
      </c>
      <c r="BA2798" s="82" t="s">
        <v>15804</v>
      </c>
      <c r="BB2798" s="82" t="s">
        <v>15804</v>
      </c>
      <c r="BC2798" s="82" t="s">
        <v>14953</v>
      </c>
      <c r="BD2798" s="82" t="s">
        <v>16585</v>
      </c>
      <c r="BE2798" s="77"/>
      <c r="BF2798" s="77"/>
      <c r="BG2798" s="77"/>
      <c r="BH2798" s="77"/>
      <c r="BI2798" s="77"/>
    </row>
    <row r="2799" spans="1:61" x14ac:dyDescent="0.25">
      <c r="A2799" s="62" t="s">
        <v>1027</v>
      </c>
      <c r="B2799" s="62" t="s">
        <v>1027</v>
      </c>
      <c r="C2799" s="63"/>
      <c r="D2799" s="64"/>
      <c r="E2799" s="65"/>
      <c r="F2799" s="66"/>
      <c r="G2799" s="63"/>
      <c r="H2799" s="67"/>
      <c r="I2799" s="68"/>
      <c r="J2799" s="68"/>
      <c r="K2799" s="32"/>
      <c r="L2799" s="75">
        <v>2799</v>
      </c>
      <c r="M2799" s="75"/>
      <c r="N2799" s="70"/>
      <c r="O2799" s="77" t="s">
        <v>179</v>
      </c>
      <c r="P2799" s="79">
        <v>45076.984282407408</v>
      </c>
      <c r="Q2799" s="77" t="s">
        <v>3811</v>
      </c>
      <c r="R2799" s="77">
        <v>0</v>
      </c>
      <c r="S2799" s="77">
        <v>3</v>
      </c>
      <c r="T2799" s="77">
        <v>0</v>
      </c>
      <c r="U2799" s="77">
        <v>0</v>
      </c>
      <c r="V2799" s="77">
        <v>1637</v>
      </c>
      <c r="W2799" s="82" t="s">
        <v>5855</v>
      </c>
      <c r="X2799" s="80" t="str">
        <f>HYPERLINK("https://www.moneytimes.com.br/ainda-da-tempo-prazo-para-entrega-da-declaracao-anual-do-mei-termina-nesta-quarta-31-veja-regras/")</f>
        <v>https://www.moneytimes.com.br/ainda-da-tempo-prazo-para-entrega-da-declaracao-anual-do-mei-termina-nesta-quarta-31-veja-regras/</v>
      </c>
      <c r="Y2799" s="77" t="s">
        <v>6002</v>
      </c>
      <c r="Z2799" s="77"/>
      <c r="AA2799" s="77"/>
      <c r="AB2799" s="77"/>
      <c r="AC2799" s="82" t="s">
        <v>7718</v>
      </c>
      <c r="AD2799" s="77" t="s">
        <v>7745</v>
      </c>
      <c r="AE2799" s="80" t="str">
        <f>HYPERLINK("https://twitter.com/leiamoneytimes/status/1663691099003658240")</f>
        <v>https://twitter.com/leiamoneytimes/status/1663691099003658240</v>
      </c>
      <c r="AF2799" s="79">
        <v>45076.984282407408</v>
      </c>
      <c r="AG2799" s="85">
        <v>45076</v>
      </c>
      <c r="AH2799" s="82" t="s">
        <v>10275</v>
      </c>
      <c r="AI2799" s="77" t="b">
        <v>0</v>
      </c>
      <c r="AJ2799" s="77"/>
      <c r="AK2799" s="77"/>
      <c r="AL2799" s="77"/>
      <c r="AM2799" s="77"/>
      <c r="AN2799" s="77"/>
      <c r="AO2799" s="77"/>
      <c r="AP2799" s="77"/>
      <c r="AQ2799" s="77"/>
      <c r="AR2799" s="77"/>
      <c r="AS2799" s="77"/>
      <c r="AT2799" s="77"/>
      <c r="AU2799" s="77"/>
      <c r="AV2799" s="80" t="str">
        <f>HYPERLINK("https://pbs.twimg.com/profile_images/1559883556846977024/bXHnQFY0_normal.jpg")</f>
        <v>https://pbs.twimg.com/profile_images/1559883556846977024/bXHnQFY0_normal.jpg</v>
      </c>
      <c r="AW2799" s="82" t="s">
        <v>14954</v>
      </c>
      <c r="AX2799" s="82" t="s">
        <v>14954</v>
      </c>
      <c r="AY2799" s="77"/>
      <c r="AZ2799" s="82" t="s">
        <v>15804</v>
      </c>
      <c r="BA2799" s="82" t="s">
        <v>15804</v>
      </c>
      <c r="BB2799" s="82" t="s">
        <v>15804</v>
      </c>
      <c r="BC2799" s="82" t="s">
        <v>14954</v>
      </c>
      <c r="BD2799" s="77">
        <v>51150679</v>
      </c>
      <c r="BE2799" s="77"/>
      <c r="BF2799" s="77"/>
      <c r="BG2799" s="77"/>
      <c r="BH2799" s="77"/>
      <c r="BI2799" s="77"/>
    </row>
    <row r="2800" spans="1:61" x14ac:dyDescent="0.25">
      <c r="A2800" s="62" t="s">
        <v>1027</v>
      </c>
      <c r="B2800" s="62" t="s">
        <v>1027</v>
      </c>
      <c r="C2800" s="63"/>
      <c r="D2800" s="64"/>
      <c r="E2800" s="65"/>
      <c r="F2800" s="66"/>
      <c r="G2800" s="63"/>
      <c r="H2800" s="67"/>
      <c r="I2800" s="68"/>
      <c r="J2800" s="68"/>
      <c r="K2800" s="32"/>
      <c r="L2800" s="75">
        <v>2800</v>
      </c>
      <c r="M2800" s="75"/>
      <c r="N2800" s="70"/>
      <c r="O2800" s="77" t="s">
        <v>179</v>
      </c>
      <c r="P2800" s="79">
        <v>45071.645833333336</v>
      </c>
      <c r="Q2800" s="77" t="s">
        <v>3812</v>
      </c>
      <c r="R2800" s="77">
        <v>0</v>
      </c>
      <c r="S2800" s="77">
        <v>1</v>
      </c>
      <c r="T2800" s="77">
        <v>0</v>
      </c>
      <c r="U2800" s="77">
        <v>0</v>
      </c>
      <c r="V2800" s="77">
        <v>805</v>
      </c>
      <c r="W2800" s="82" t="s">
        <v>5856</v>
      </c>
      <c r="X2800" s="80" t="str">
        <f>HYPERLINK("https://www.moneytimes.com.br/imposto-de-renda-e-decore-conheca-o-metodo-e-saiba-como-emitir-o-documento/")</f>
        <v>https://www.moneytimes.com.br/imposto-de-renda-e-decore-conheca-o-metodo-e-saiba-como-emitir-o-documento/</v>
      </c>
      <c r="Y2800" s="77" t="s">
        <v>6002</v>
      </c>
      <c r="Z2800" s="77"/>
      <c r="AA2800" s="77"/>
      <c r="AB2800" s="77"/>
      <c r="AC2800" s="82" t="s">
        <v>7718</v>
      </c>
      <c r="AD2800" s="77" t="s">
        <v>7745</v>
      </c>
      <c r="AE2800" s="80" t="str">
        <f>HYPERLINK("https://twitter.com/leiamoneytimes/status/1661756507585642497")</f>
        <v>https://twitter.com/leiamoneytimes/status/1661756507585642497</v>
      </c>
      <c r="AF2800" s="79">
        <v>45071.645833333336</v>
      </c>
      <c r="AG2800" s="85">
        <v>45071</v>
      </c>
      <c r="AH2800" s="82" t="s">
        <v>8996</v>
      </c>
      <c r="AI2800" s="77" t="b">
        <v>0</v>
      </c>
      <c r="AJ2800" s="77"/>
      <c r="AK2800" s="77"/>
      <c r="AL2800" s="77"/>
      <c r="AM2800" s="77"/>
      <c r="AN2800" s="77"/>
      <c r="AO2800" s="77"/>
      <c r="AP2800" s="77"/>
      <c r="AQ2800" s="77"/>
      <c r="AR2800" s="77"/>
      <c r="AS2800" s="77"/>
      <c r="AT2800" s="77"/>
      <c r="AU2800" s="77"/>
      <c r="AV2800" s="80" t="str">
        <f>HYPERLINK("https://pbs.twimg.com/profile_images/1559883556846977024/bXHnQFY0_normal.jpg")</f>
        <v>https://pbs.twimg.com/profile_images/1559883556846977024/bXHnQFY0_normal.jpg</v>
      </c>
      <c r="AW2800" s="82" t="s">
        <v>14955</v>
      </c>
      <c r="AX2800" s="82" t="s">
        <v>14955</v>
      </c>
      <c r="AY2800" s="77"/>
      <c r="AZ2800" s="82" t="s">
        <v>15804</v>
      </c>
      <c r="BA2800" s="82" t="s">
        <v>15804</v>
      </c>
      <c r="BB2800" s="82" t="s">
        <v>15804</v>
      </c>
      <c r="BC2800" s="82" t="s">
        <v>14955</v>
      </c>
      <c r="BD2800" s="77">
        <v>51150679</v>
      </c>
      <c r="BE2800" s="77"/>
      <c r="BF2800" s="77"/>
      <c r="BG2800" s="77"/>
      <c r="BH2800" s="77"/>
      <c r="BI2800" s="77"/>
    </row>
    <row r="2801" spans="1:61" x14ac:dyDescent="0.25">
      <c r="A2801" s="62" t="s">
        <v>1027</v>
      </c>
      <c r="B2801" s="62" t="s">
        <v>1027</v>
      </c>
      <c r="C2801" s="63"/>
      <c r="D2801" s="64"/>
      <c r="E2801" s="65"/>
      <c r="F2801" s="66"/>
      <c r="G2801" s="63"/>
      <c r="H2801" s="67"/>
      <c r="I2801" s="68"/>
      <c r="J2801" s="68"/>
      <c r="K2801" s="32"/>
      <c r="L2801" s="75">
        <v>2801</v>
      </c>
      <c r="M2801" s="75"/>
      <c r="N2801" s="70"/>
      <c r="O2801" s="77" t="s">
        <v>179</v>
      </c>
      <c r="P2801" s="79">
        <v>45071.41847222222</v>
      </c>
      <c r="Q2801" s="77" t="s">
        <v>3813</v>
      </c>
      <c r="R2801" s="77">
        <v>0</v>
      </c>
      <c r="S2801" s="77">
        <v>0</v>
      </c>
      <c r="T2801" s="77">
        <v>0</v>
      </c>
      <c r="U2801" s="77">
        <v>0</v>
      </c>
      <c r="V2801" s="77">
        <v>1541</v>
      </c>
      <c r="W2801" s="82" t="s">
        <v>5857</v>
      </c>
      <c r="X2801" s="80" t="str">
        <f>HYPERLINK("https://www.moneytimes.com.br/estagiario-precisa-declarar-imposto-de-renda/")</f>
        <v>https://www.moneytimes.com.br/estagiario-precisa-declarar-imposto-de-renda/</v>
      </c>
      <c r="Y2801" s="77" t="s">
        <v>6002</v>
      </c>
      <c r="Z2801" s="77"/>
      <c r="AA2801" s="77"/>
      <c r="AB2801" s="77"/>
      <c r="AC2801" s="82" t="s">
        <v>7718</v>
      </c>
      <c r="AD2801" s="77" t="s">
        <v>7745</v>
      </c>
      <c r="AE2801" s="80" t="str">
        <f>HYPERLINK("https://twitter.com/leiamoneytimes/status/1661674116116623367")</f>
        <v>https://twitter.com/leiamoneytimes/status/1661674116116623367</v>
      </c>
      <c r="AF2801" s="79">
        <v>45071.41847222222</v>
      </c>
      <c r="AG2801" s="85">
        <v>45071</v>
      </c>
      <c r="AH2801" s="82" t="s">
        <v>10276</v>
      </c>
      <c r="AI2801" s="77" t="b">
        <v>0</v>
      </c>
      <c r="AJ2801" s="77"/>
      <c r="AK2801" s="77"/>
      <c r="AL2801" s="77"/>
      <c r="AM2801" s="77"/>
      <c r="AN2801" s="77"/>
      <c r="AO2801" s="77"/>
      <c r="AP2801" s="77"/>
      <c r="AQ2801" s="77"/>
      <c r="AR2801" s="77"/>
      <c r="AS2801" s="77"/>
      <c r="AT2801" s="77"/>
      <c r="AU2801" s="77"/>
      <c r="AV2801" s="80" t="str">
        <f>HYPERLINK("https://pbs.twimg.com/profile_images/1559883556846977024/bXHnQFY0_normal.jpg")</f>
        <v>https://pbs.twimg.com/profile_images/1559883556846977024/bXHnQFY0_normal.jpg</v>
      </c>
      <c r="AW2801" s="82" t="s">
        <v>14956</v>
      </c>
      <c r="AX2801" s="82" t="s">
        <v>14956</v>
      </c>
      <c r="AY2801" s="77"/>
      <c r="AZ2801" s="82" t="s">
        <v>15804</v>
      </c>
      <c r="BA2801" s="82" t="s">
        <v>15804</v>
      </c>
      <c r="BB2801" s="82" t="s">
        <v>15804</v>
      </c>
      <c r="BC2801" s="82" t="s">
        <v>14956</v>
      </c>
      <c r="BD2801" s="77">
        <v>51150679</v>
      </c>
      <c r="BE2801" s="77"/>
      <c r="BF2801" s="77"/>
      <c r="BG2801" s="77"/>
      <c r="BH2801" s="77"/>
      <c r="BI2801" s="77"/>
    </row>
    <row r="2802" spans="1:61" x14ac:dyDescent="0.25">
      <c r="A2802" s="62" t="s">
        <v>1027</v>
      </c>
      <c r="B2802" s="62" t="s">
        <v>1027</v>
      </c>
      <c r="C2802" s="63"/>
      <c r="D2802" s="64"/>
      <c r="E2802" s="65"/>
      <c r="F2802" s="66"/>
      <c r="G2802" s="63"/>
      <c r="H2802" s="67"/>
      <c r="I2802" s="68"/>
      <c r="J2802" s="68"/>
      <c r="K2802" s="32"/>
      <c r="L2802" s="75">
        <v>2802</v>
      </c>
      <c r="M2802" s="75"/>
      <c r="N2802" s="70"/>
      <c r="O2802" s="77" t="s">
        <v>179</v>
      </c>
      <c r="P2802" s="79">
        <v>45070.397129629629</v>
      </c>
      <c r="Q2802" s="77" t="s">
        <v>3814</v>
      </c>
      <c r="R2802" s="77">
        <v>0</v>
      </c>
      <c r="S2802" s="77">
        <v>3</v>
      </c>
      <c r="T2802" s="77">
        <v>0</v>
      </c>
      <c r="U2802" s="77">
        <v>0</v>
      </c>
      <c r="V2802" s="77">
        <v>1814</v>
      </c>
      <c r="W2802" s="82" t="s">
        <v>5858</v>
      </c>
      <c r="X2802" s="80" t="str">
        <f>HYPERLINK("https://www.moneytimes.com.br/imposto-de-renda-como-saber-em-qual-lote-a-restituicao-do-ir-vai-ser-paga/")</f>
        <v>https://www.moneytimes.com.br/imposto-de-renda-como-saber-em-qual-lote-a-restituicao-do-ir-vai-ser-paga/</v>
      </c>
      <c r="Y2802" s="77" t="s">
        <v>6002</v>
      </c>
      <c r="Z2802" s="77"/>
      <c r="AA2802" s="77"/>
      <c r="AB2802" s="77"/>
      <c r="AC2802" s="82" t="s">
        <v>7718</v>
      </c>
      <c r="AD2802" s="77" t="s">
        <v>7745</v>
      </c>
      <c r="AE2802" s="80" t="str">
        <f>HYPERLINK("https://twitter.com/leiamoneytimes/status/1661303992943624192")</f>
        <v>https://twitter.com/leiamoneytimes/status/1661303992943624192</v>
      </c>
      <c r="AF2802" s="79">
        <v>45070.397129629629</v>
      </c>
      <c r="AG2802" s="85">
        <v>45070</v>
      </c>
      <c r="AH2802" s="82" t="s">
        <v>10277</v>
      </c>
      <c r="AI2802" s="77" t="b">
        <v>0</v>
      </c>
      <c r="AJ2802" s="77"/>
      <c r="AK2802" s="77"/>
      <c r="AL2802" s="77"/>
      <c r="AM2802" s="77"/>
      <c r="AN2802" s="77"/>
      <c r="AO2802" s="77"/>
      <c r="AP2802" s="77"/>
      <c r="AQ2802" s="77"/>
      <c r="AR2802" s="77"/>
      <c r="AS2802" s="77"/>
      <c r="AT2802" s="77"/>
      <c r="AU2802" s="77"/>
      <c r="AV2802" s="80" t="str">
        <f>HYPERLINK("https://pbs.twimg.com/profile_images/1559883556846977024/bXHnQFY0_normal.jpg")</f>
        <v>https://pbs.twimg.com/profile_images/1559883556846977024/bXHnQFY0_normal.jpg</v>
      </c>
      <c r="AW2802" s="82" t="s">
        <v>14957</v>
      </c>
      <c r="AX2802" s="82" t="s">
        <v>14957</v>
      </c>
      <c r="AY2802" s="77"/>
      <c r="AZ2802" s="82" t="s">
        <v>15804</v>
      </c>
      <c r="BA2802" s="82" t="s">
        <v>15804</v>
      </c>
      <c r="BB2802" s="82" t="s">
        <v>15804</v>
      </c>
      <c r="BC2802" s="82" t="s">
        <v>14957</v>
      </c>
      <c r="BD2802" s="77">
        <v>51150679</v>
      </c>
      <c r="BE2802" s="77"/>
      <c r="BF2802" s="77"/>
      <c r="BG2802" s="77"/>
      <c r="BH2802" s="77"/>
      <c r="BI2802" s="77"/>
    </row>
    <row r="2803" spans="1:61" x14ac:dyDescent="0.25">
      <c r="A2803" s="62" t="s">
        <v>1027</v>
      </c>
      <c r="B2803" s="62" t="s">
        <v>1027</v>
      </c>
      <c r="C2803" s="63"/>
      <c r="D2803" s="64"/>
      <c r="E2803" s="65"/>
      <c r="F2803" s="66"/>
      <c r="G2803" s="63"/>
      <c r="H2803" s="67"/>
      <c r="I2803" s="68"/>
      <c r="J2803" s="68"/>
      <c r="K2803" s="32"/>
      <c r="L2803" s="75">
        <v>2803</v>
      </c>
      <c r="M2803" s="75"/>
      <c r="N2803" s="70"/>
      <c r="O2803" s="77" t="s">
        <v>179</v>
      </c>
      <c r="P2803" s="79">
        <v>45047.56622685185</v>
      </c>
      <c r="Q2803" s="77" t="s">
        <v>3815</v>
      </c>
      <c r="R2803" s="77">
        <v>0</v>
      </c>
      <c r="S2803" s="77">
        <v>1</v>
      </c>
      <c r="T2803" s="77">
        <v>2</v>
      </c>
      <c r="U2803" s="77">
        <v>0</v>
      </c>
      <c r="V2803" s="77">
        <v>1396</v>
      </c>
      <c r="W2803" s="82" t="s">
        <v>5859</v>
      </c>
      <c r="X2803" s="80" t="str">
        <f>HYPERLINK("https://www.moneytimes.com.br/mega-sena-apostas-nas-loterias-ficam-mais-caras-a-partir-desta-semana-veja-novos-valores/")</f>
        <v>https://www.moneytimes.com.br/mega-sena-apostas-nas-loterias-ficam-mais-caras-a-partir-desta-semana-veja-novos-valores/</v>
      </c>
      <c r="Y2803" s="77" t="s">
        <v>6002</v>
      </c>
      <c r="Z2803" s="77"/>
      <c r="AA2803" s="77"/>
      <c r="AB2803" s="77"/>
      <c r="AC2803" s="82" t="s">
        <v>7718</v>
      </c>
      <c r="AD2803" s="77" t="s">
        <v>7745</v>
      </c>
      <c r="AE2803" s="80" t="str">
        <f>HYPERLINK("https://twitter.com/leiamoneytimes/status/1653030351999062018")</f>
        <v>https://twitter.com/leiamoneytimes/status/1653030351999062018</v>
      </c>
      <c r="AF2803" s="79">
        <v>45047.56622685185</v>
      </c>
      <c r="AG2803" s="85">
        <v>45047</v>
      </c>
      <c r="AH2803" s="82" t="s">
        <v>10278</v>
      </c>
      <c r="AI2803" s="77" t="b">
        <v>0</v>
      </c>
      <c r="AJ2803" s="77"/>
      <c r="AK2803" s="77"/>
      <c r="AL2803" s="77"/>
      <c r="AM2803" s="77"/>
      <c r="AN2803" s="77"/>
      <c r="AO2803" s="77"/>
      <c r="AP2803" s="77"/>
      <c r="AQ2803" s="77"/>
      <c r="AR2803" s="77"/>
      <c r="AS2803" s="77"/>
      <c r="AT2803" s="77"/>
      <c r="AU2803" s="77"/>
      <c r="AV2803" s="80" t="str">
        <f>HYPERLINK("https://pbs.twimg.com/profile_images/1559883556846977024/bXHnQFY0_normal.jpg")</f>
        <v>https://pbs.twimg.com/profile_images/1559883556846977024/bXHnQFY0_normal.jpg</v>
      </c>
      <c r="AW2803" s="82" t="s">
        <v>14958</v>
      </c>
      <c r="AX2803" s="82" t="s">
        <v>14958</v>
      </c>
      <c r="AY2803" s="77"/>
      <c r="AZ2803" s="82" t="s">
        <v>15804</v>
      </c>
      <c r="BA2803" s="82" t="s">
        <v>15804</v>
      </c>
      <c r="BB2803" s="82" t="s">
        <v>15804</v>
      </c>
      <c r="BC2803" s="82" t="s">
        <v>14958</v>
      </c>
      <c r="BD2803" s="77">
        <v>51150679</v>
      </c>
      <c r="BE2803" s="77"/>
      <c r="BF2803" s="77"/>
      <c r="BG2803" s="77"/>
      <c r="BH2803" s="77"/>
      <c r="BI2803" s="77"/>
    </row>
    <row r="2804" spans="1:61" x14ac:dyDescent="0.25">
      <c r="A2804" s="62" t="s">
        <v>1027</v>
      </c>
      <c r="B2804" s="62" t="s">
        <v>1027</v>
      </c>
      <c r="C2804" s="63"/>
      <c r="D2804" s="64"/>
      <c r="E2804" s="65"/>
      <c r="F2804" s="66"/>
      <c r="G2804" s="63"/>
      <c r="H2804" s="67"/>
      <c r="I2804" s="68"/>
      <c r="J2804" s="68"/>
      <c r="K2804" s="32"/>
      <c r="L2804" s="75">
        <v>2804</v>
      </c>
      <c r="M2804" s="75"/>
      <c r="N2804" s="70"/>
      <c r="O2804" s="77" t="s">
        <v>179</v>
      </c>
      <c r="P2804" s="79">
        <v>45046.592557870368</v>
      </c>
      <c r="Q2804" s="77" t="s">
        <v>3816</v>
      </c>
      <c r="R2804" s="77">
        <v>0</v>
      </c>
      <c r="S2804" s="77">
        <v>9</v>
      </c>
      <c r="T2804" s="77">
        <v>1</v>
      </c>
      <c r="U2804" s="77">
        <v>0</v>
      </c>
      <c r="V2804" s="77">
        <v>2244</v>
      </c>
      <c r="W2804" s="82" t="s">
        <v>5860</v>
      </c>
      <c r="X2804" s="80" t="str">
        <f>HYPERLINK("https://www.moneytimes.com.br/mega-sena-apenas-um-apostador-levou-bolada-de-r-61-milhoes/")</f>
        <v>https://www.moneytimes.com.br/mega-sena-apenas-um-apostador-levou-bolada-de-r-61-milhoes/</v>
      </c>
      <c r="Y2804" s="77" t="s">
        <v>6002</v>
      </c>
      <c r="Z2804" s="77"/>
      <c r="AA2804" s="77"/>
      <c r="AB2804" s="77"/>
      <c r="AC2804" s="82" t="s">
        <v>7718</v>
      </c>
      <c r="AD2804" s="77" t="s">
        <v>7745</v>
      </c>
      <c r="AE2804" s="80" t="str">
        <f>HYPERLINK("https://twitter.com/leiamoneytimes/status/1652677506833457154")</f>
        <v>https://twitter.com/leiamoneytimes/status/1652677506833457154</v>
      </c>
      <c r="AF2804" s="79">
        <v>45046.592557870368</v>
      </c>
      <c r="AG2804" s="85">
        <v>45046</v>
      </c>
      <c r="AH2804" s="82" t="s">
        <v>10279</v>
      </c>
      <c r="AI2804" s="77" t="b">
        <v>0</v>
      </c>
      <c r="AJ2804" s="77"/>
      <c r="AK2804" s="77"/>
      <c r="AL2804" s="77"/>
      <c r="AM2804" s="77"/>
      <c r="AN2804" s="77"/>
      <c r="AO2804" s="77"/>
      <c r="AP2804" s="77"/>
      <c r="AQ2804" s="77"/>
      <c r="AR2804" s="77"/>
      <c r="AS2804" s="77"/>
      <c r="AT2804" s="77"/>
      <c r="AU2804" s="77"/>
      <c r="AV2804" s="80" t="str">
        <f>HYPERLINK("https://pbs.twimg.com/profile_images/1559883556846977024/bXHnQFY0_normal.jpg")</f>
        <v>https://pbs.twimg.com/profile_images/1559883556846977024/bXHnQFY0_normal.jpg</v>
      </c>
      <c r="AW2804" s="82" t="s">
        <v>14959</v>
      </c>
      <c r="AX2804" s="82" t="s">
        <v>14959</v>
      </c>
      <c r="AY2804" s="77"/>
      <c r="AZ2804" s="82" t="s">
        <v>15804</v>
      </c>
      <c r="BA2804" s="82" t="s">
        <v>15804</v>
      </c>
      <c r="BB2804" s="82" t="s">
        <v>15804</v>
      </c>
      <c r="BC2804" s="82" t="s">
        <v>14959</v>
      </c>
      <c r="BD2804" s="77">
        <v>51150679</v>
      </c>
      <c r="BE2804" s="77"/>
      <c r="BF2804" s="77"/>
      <c r="BG2804" s="77"/>
      <c r="BH2804" s="77"/>
      <c r="BI2804" s="77"/>
    </row>
    <row r="2805" spans="1:61" x14ac:dyDescent="0.25">
      <c r="A2805" s="62" t="s">
        <v>1027</v>
      </c>
      <c r="B2805" s="62" t="s">
        <v>1027</v>
      </c>
      <c r="C2805" s="63"/>
      <c r="D2805" s="64"/>
      <c r="E2805" s="65"/>
      <c r="F2805" s="66"/>
      <c r="G2805" s="63"/>
      <c r="H2805" s="67"/>
      <c r="I2805" s="68"/>
      <c r="J2805" s="68"/>
      <c r="K2805" s="32"/>
      <c r="L2805" s="75">
        <v>2805</v>
      </c>
      <c r="M2805" s="75"/>
      <c r="N2805" s="70"/>
      <c r="O2805" s="77" t="s">
        <v>179</v>
      </c>
      <c r="P2805" s="79">
        <v>45045.995266203703</v>
      </c>
      <c r="Q2805" s="77" t="s">
        <v>3817</v>
      </c>
      <c r="R2805" s="77">
        <v>1</v>
      </c>
      <c r="S2805" s="77">
        <v>4</v>
      </c>
      <c r="T2805" s="77">
        <v>1</v>
      </c>
      <c r="U2805" s="77">
        <v>0</v>
      </c>
      <c r="V2805" s="77">
        <v>2612</v>
      </c>
      <c r="W2805" s="82" t="s">
        <v>5860</v>
      </c>
      <c r="X2805" s="80" t="str">
        <f>HYPERLINK("https://www.moneytimes.com.br/mega-sena-veja-os-numeros-sorteados-no-concurso-2587-neste-sabado-29-cujo-premio-e-de-r-60-milhoes/")</f>
        <v>https://www.moneytimes.com.br/mega-sena-veja-os-numeros-sorteados-no-concurso-2587-neste-sabado-29-cujo-premio-e-de-r-60-milhoes/</v>
      </c>
      <c r="Y2805" s="77" t="s">
        <v>6002</v>
      </c>
      <c r="Z2805" s="77"/>
      <c r="AA2805" s="77"/>
      <c r="AB2805" s="77"/>
      <c r="AC2805" s="82" t="s">
        <v>7718</v>
      </c>
      <c r="AD2805" s="77" t="s">
        <v>7745</v>
      </c>
      <c r="AE2805" s="80" t="str">
        <f>HYPERLINK("https://twitter.com/leiamoneytimes/status/1652461057292529665")</f>
        <v>https://twitter.com/leiamoneytimes/status/1652461057292529665</v>
      </c>
      <c r="AF2805" s="79">
        <v>45045.995266203703</v>
      </c>
      <c r="AG2805" s="85">
        <v>45045</v>
      </c>
      <c r="AH2805" s="82" t="s">
        <v>10280</v>
      </c>
      <c r="AI2805" s="77" t="b">
        <v>0</v>
      </c>
      <c r="AJ2805" s="77"/>
      <c r="AK2805" s="77"/>
      <c r="AL2805" s="77"/>
      <c r="AM2805" s="77"/>
      <c r="AN2805" s="77"/>
      <c r="AO2805" s="77"/>
      <c r="AP2805" s="77"/>
      <c r="AQ2805" s="77"/>
      <c r="AR2805" s="77"/>
      <c r="AS2805" s="77"/>
      <c r="AT2805" s="77"/>
      <c r="AU2805" s="77"/>
      <c r="AV2805" s="80" t="str">
        <f>HYPERLINK("https://pbs.twimg.com/profile_images/1559883556846977024/bXHnQFY0_normal.jpg")</f>
        <v>https://pbs.twimg.com/profile_images/1559883556846977024/bXHnQFY0_normal.jpg</v>
      </c>
      <c r="AW2805" s="82" t="s">
        <v>14960</v>
      </c>
      <c r="AX2805" s="82" t="s">
        <v>14960</v>
      </c>
      <c r="AY2805" s="77"/>
      <c r="AZ2805" s="82" t="s">
        <v>15804</v>
      </c>
      <c r="BA2805" s="82" t="s">
        <v>15804</v>
      </c>
      <c r="BB2805" s="82" t="s">
        <v>15804</v>
      </c>
      <c r="BC2805" s="82" t="s">
        <v>14960</v>
      </c>
      <c r="BD2805" s="77">
        <v>51150679</v>
      </c>
      <c r="BE2805" s="77"/>
      <c r="BF2805" s="77"/>
      <c r="BG2805" s="77"/>
      <c r="BH2805" s="77"/>
      <c r="BI2805" s="77"/>
    </row>
    <row r="2806" spans="1:61" x14ac:dyDescent="0.25">
      <c r="A2806" s="62" t="s">
        <v>1027</v>
      </c>
      <c r="B2806" s="62" t="s">
        <v>1027</v>
      </c>
      <c r="C2806" s="63"/>
      <c r="D2806" s="64"/>
      <c r="E2806" s="65"/>
      <c r="F2806" s="66"/>
      <c r="G2806" s="63"/>
      <c r="H2806" s="67"/>
      <c r="I2806" s="68"/>
      <c r="J2806" s="68"/>
      <c r="K2806" s="32"/>
      <c r="L2806" s="75">
        <v>2806</v>
      </c>
      <c r="M2806" s="75"/>
      <c r="N2806" s="70"/>
      <c r="O2806" s="77" t="s">
        <v>179</v>
      </c>
      <c r="P2806" s="79">
        <v>45045.754386574074</v>
      </c>
      <c r="Q2806" s="77" t="s">
        <v>3818</v>
      </c>
      <c r="R2806" s="77">
        <v>0</v>
      </c>
      <c r="S2806" s="77">
        <v>0</v>
      </c>
      <c r="T2806" s="77">
        <v>0</v>
      </c>
      <c r="U2806" s="77">
        <v>0</v>
      </c>
      <c r="V2806" s="77">
        <v>1505</v>
      </c>
      <c r="W2806" s="82" t="s">
        <v>5861</v>
      </c>
      <c r="X2806" s="80" t="str">
        <f>HYPERLINK("https://www.moneytimes.com.br/mega-sena-os-5-piores-numeros-para-voce-apostar-e-arriscar-perder-os-r-60-milhoes-hoje/")</f>
        <v>https://www.moneytimes.com.br/mega-sena-os-5-piores-numeros-para-voce-apostar-e-arriscar-perder-os-r-60-milhoes-hoje/</v>
      </c>
      <c r="Y2806" s="77" t="s">
        <v>6002</v>
      </c>
      <c r="Z2806" s="77"/>
      <c r="AA2806" s="77"/>
      <c r="AB2806" s="77"/>
      <c r="AC2806" s="82" t="s">
        <v>7718</v>
      </c>
      <c r="AD2806" s="77" t="s">
        <v>7745</v>
      </c>
      <c r="AE2806" s="80" t="str">
        <f>HYPERLINK("https://twitter.com/leiamoneytimes/status/1652373763357286403")</f>
        <v>https://twitter.com/leiamoneytimes/status/1652373763357286403</v>
      </c>
      <c r="AF2806" s="79">
        <v>45045.754386574074</v>
      </c>
      <c r="AG2806" s="85">
        <v>45045</v>
      </c>
      <c r="AH2806" s="82" t="s">
        <v>10281</v>
      </c>
      <c r="AI2806" s="77" t="b">
        <v>0</v>
      </c>
      <c r="AJ2806" s="77"/>
      <c r="AK2806" s="77"/>
      <c r="AL2806" s="77"/>
      <c r="AM2806" s="77"/>
      <c r="AN2806" s="77"/>
      <c r="AO2806" s="77"/>
      <c r="AP2806" s="77"/>
      <c r="AQ2806" s="77"/>
      <c r="AR2806" s="77"/>
      <c r="AS2806" s="77"/>
      <c r="AT2806" s="77"/>
      <c r="AU2806" s="77"/>
      <c r="AV2806" s="80" t="str">
        <f>HYPERLINK("https://pbs.twimg.com/profile_images/1559883556846977024/bXHnQFY0_normal.jpg")</f>
        <v>https://pbs.twimg.com/profile_images/1559883556846977024/bXHnQFY0_normal.jpg</v>
      </c>
      <c r="AW2806" s="82" t="s">
        <v>14961</v>
      </c>
      <c r="AX2806" s="82" t="s">
        <v>14961</v>
      </c>
      <c r="AY2806" s="77"/>
      <c r="AZ2806" s="82" t="s">
        <v>15804</v>
      </c>
      <c r="BA2806" s="82" t="s">
        <v>15804</v>
      </c>
      <c r="BB2806" s="82" t="s">
        <v>15804</v>
      </c>
      <c r="BC2806" s="82" t="s">
        <v>14961</v>
      </c>
      <c r="BD2806" s="77">
        <v>51150679</v>
      </c>
      <c r="BE2806" s="77"/>
      <c r="BF2806" s="77"/>
      <c r="BG2806" s="77"/>
      <c r="BH2806" s="77"/>
      <c r="BI2806" s="77"/>
    </row>
    <row r="2807" spans="1:61" x14ac:dyDescent="0.25">
      <c r="A2807" s="62" t="s">
        <v>1027</v>
      </c>
      <c r="B2807" s="62" t="s">
        <v>1027</v>
      </c>
      <c r="C2807" s="63"/>
      <c r="D2807" s="64"/>
      <c r="E2807" s="65"/>
      <c r="F2807" s="66"/>
      <c r="G2807" s="63"/>
      <c r="H2807" s="67"/>
      <c r="I2807" s="68"/>
      <c r="J2807" s="68"/>
      <c r="K2807" s="32"/>
      <c r="L2807" s="75">
        <v>2807</v>
      </c>
      <c r="M2807" s="75"/>
      <c r="N2807" s="70"/>
      <c r="O2807" s="77" t="s">
        <v>179</v>
      </c>
      <c r="P2807" s="79">
        <v>45045.724259259259</v>
      </c>
      <c r="Q2807" s="77" t="s">
        <v>3819</v>
      </c>
      <c r="R2807" s="77">
        <v>0</v>
      </c>
      <c r="S2807" s="77">
        <v>1</v>
      </c>
      <c r="T2807" s="77">
        <v>1</v>
      </c>
      <c r="U2807" s="77">
        <v>0</v>
      </c>
      <c r="V2807" s="77">
        <v>1502</v>
      </c>
      <c r="W2807" s="82" t="s">
        <v>5862</v>
      </c>
      <c r="X2807" s="80" t="str">
        <f>HYPERLINK("https://www.moneytimes.com.br/mega-sena-veja-os-numeros-mais-sorteados-no-ano-e-amplie-suas-chances-de-ganhar-r-60-milhoes-hoje-29/")</f>
        <v>https://www.moneytimes.com.br/mega-sena-veja-os-numeros-mais-sorteados-no-ano-e-amplie-suas-chances-de-ganhar-r-60-milhoes-hoje-29/</v>
      </c>
      <c r="Y2807" s="77" t="s">
        <v>6002</v>
      </c>
      <c r="Z2807" s="77"/>
      <c r="AA2807" s="77"/>
      <c r="AB2807" s="77"/>
      <c r="AC2807" s="82" t="s">
        <v>7718</v>
      </c>
      <c r="AD2807" s="77" t="s">
        <v>7745</v>
      </c>
      <c r="AE2807" s="80" t="str">
        <f>HYPERLINK("https://twitter.com/leiamoneytimes/status/1652362846234193920")</f>
        <v>https://twitter.com/leiamoneytimes/status/1652362846234193920</v>
      </c>
      <c r="AF2807" s="79">
        <v>45045.724259259259</v>
      </c>
      <c r="AG2807" s="85">
        <v>45045</v>
      </c>
      <c r="AH2807" s="82" t="s">
        <v>10282</v>
      </c>
      <c r="AI2807" s="77" t="b">
        <v>0</v>
      </c>
      <c r="AJ2807" s="77"/>
      <c r="AK2807" s="77"/>
      <c r="AL2807" s="77"/>
      <c r="AM2807" s="77"/>
      <c r="AN2807" s="77"/>
      <c r="AO2807" s="77"/>
      <c r="AP2807" s="77"/>
      <c r="AQ2807" s="77"/>
      <c r="AR2807" s="77"/>
      <c r="AS2807" s="77"/>
      <c r="AT2807" s="77"/>
      <c r="AU2807" s="77"/>
      <c r="AV2807" s="80" t="str">
        <f>HYPERLINK("https://pbs.twimg.com/profile_images/1559883556846977024/bXHnQFY0_normal.jpg")</f>
        <v>https://pbs.twimg.com/profile_images/1559883556846977024/bXHnQFY0_normal.jpg</v>
      </c>
      <c r="AW2807" s="82" t="s">
        <v>14962</v>
      </c>
      <c r="AX2807" s="82" t="s">
        <v>14962</v>
      </c>
      <c r="AY2807" s="77"/>
      <c r="AZ2807" s="82" t="s">
        <v>15804</v>
      </c>
      <c r="BA2807" s="82" t="s">
        <v>15804</v>
      </c>
      <c r="BB2807" s="82" t="s">
        <v>15804</v>
      </c>
      <c r="BC2807" s="82" t="s">
        <v>14962</v>
      </c>
      <c r="BD2807" s="77">
        <v>51150679</v>
      </c>
      <c r="BE2807" s="77"/>
      <c r="BF2807" s="77"/>
      <c r="BG2807" s="77"/>
      <c r="BH2807" s="77"/>
      <c r="BI2807" s="77"/>
    </row>
    <row r="2808" spans="1:61" x14ac:dyDescent="0.25">
      <c r="A2808" s="62" t="s">
        <v>1027</v>
      </c>
      <c r="B2808" s="62" t="s">
        <v>1027</v>
      </c>
      <c r="C2808" s="63"/>
      <c r="D2808" s="64"/>
      <c r="E2808" s="65"/>
      <c r="F2808" s="66"/>
      <c r="G2808" s="63"/>
      <c r="H2808" s="67"/>
      <c r="I2808" s="68"/>
      <c r="J2808" s="68"/>
      <c r="K2808" s="32"/>
      <c r="L2808" s="75">
        <v>2808</v>
      </c>
      <c r="M2808" s="75"/>
      <c r="N2808" s="70"/>
      <c r="O2808" s="77" t="s">
        <v>179</v>
      </c>
      <c r="P2808" s="79">
        <v>45045.626250000001</v>
      </c>
      <c r="Q2808" s="77" t="s">
        <v>3820</v>
      </c>
      <c r="R2808" s="77">
        <v>0</v>
      </c>
      <c r="S2808" s="77">
        <v>6</v>
      </c>
      <c r="T2808" s="77">
        <v>1</v>
      </c>
      <c r="U2808" s="77">
        <v>0</v>
      </c>
      <c r="V2808" s="77">
        <v>1625</v>
      </c>
      <c r="W2808" s="82" t="s">
        <v>5863</v>
      </c>
      <c r="X2808" s="80" t="str">
        <f>HYPERLINK("https://www.moneytimes.com.br/financas-pessoais-como-a-vida-financeira-interfere-na-carreira-profissional/")</f>
        <v>https://www.moneytimes.com.br/financas-pessoais-como-a-vida-financeira-interfere-na-carreira-profissional/</v>
      </c>
      <c r="Y2808" s="77" t="s">
        <v>6002</v>
      </c>
      <c r="Z2808" s="77"/>
      <c r="AA2808" s="77"/>
      <c r="AB2808" s="77"/>
      <c r="AC2808" s="82" t="s">
        <v>7718</v>
      </c>
      <c r="AD2808" s="77" t="s">
        <v>7745</v>
      </c>
      <c r="AE2808" s="80" t="str">
        <f>HYPERLINK("https://twitter.com/leiamoneytimes/status/1652327327492079617")</f>
        <v>https://twitter.com/leiamoneytimes/status/1652327327492079617</v>
      </c>
      <c r="AF2808" s="79">
        <v>45045.626250000001</v>
      </c>
      <c r="AG2808" s="85">
        <v>45045</v>
      </c>
      <c r="AH2808" s="82" t="s">
        <v>10283</v>
      </c>
      <c r="AI2808" s="77" t="b">
        <v>0</v>
      </c>
      <c r="AJ2808" s="77"/>
      <c r="AK2808" s="77"/>
      <c r="AL2808" s="77"/>
      <c r="AM2808" s="77"/>
      <c r="AN2808" s="77"/>
      <c r="AO2808" s="77"/>
      <c r="AP2808" s="77"/>
      <c r="AQ2808" s="77"/>
      <c r="AR2808" s="77"/>
      <c r="AS2808" s="77"/>
      <c r="AT2808" s="77"/>
      <c r="AU2808" s="77"/>
      <c r="AV2808" s="80" t="str">
        <f>HYPERLINK("https://pbs.twimg.com/profile_images/1559883556846977024/bXHnQFY0_normal.jpg")</f>
        <v>https://pbs.twimg.com/profile_images/1559883556846977024/bXHnQFY0_normal.jpg</v>
      </c>
      <c r="AW2808" s="82" t="s">
        <v>14963</v>
      </c>
      <c r="AX2808" s="82" t="s">
        <v>14963</v>
      </c>
      <c r="AY2808" s="77"/>
      <c r="AZ2808" s="82" t="s">
        <v>15804</v>
      </c>
      <c r="BA2808" s="82" t="s">
        <v>15804</v>
      </c>
      <c r="BB2808" s="82" t="s">
        <v>15804</v>
      </c>
      <c r="BC2808" s="82" t="s">
        <v>14963</v>
      </c>
      <c r="BD2808" s="77">
        <v>51150679</v>
      </c>
      <c r="BE2808" s="77"/>
      <c r="BF2808" s="77"/>
      <c r="BG2808" s="77"/>
      <c r="BH2808" s="77"/>
      <c r="BI2808" s="77"/>
    </row>
    <row r="2809" spans="1:61" x14ac:dyDescent="0.25">
      <c r="A2809" s="62" t="s">
        <v>1027</v>
      </c>
      <c r="B2809" s="62" t="s">
        <v>1027</v>
      </c>
      <c r="C2809" s="63"/>
      <c r="D2809" s="64"/>
      <c r="E2809" s="65"/>
      <c r="F2809" s="66"/>
      <c r="G2809" s="63"/>
      <c r="H2809" s="67"/>
      <c r="I2809" s="68"/>
      <c r="J2809" s="68"/>
      <c r="K2809" s="32"/>
      <c r="L2809" s="75">
        <v>2809</v>
      </c>
      <c r="M2809" s="75"/>
      <c r="N2809" s="70"/>
      <c r="O2809" s="77" t="s">
        <v>179</v>
      </c>
      <c r="P2809" s="79">
        <v>45045.563576388886</v>
      </c>
      <c r="Q2809" s="77" t="s">
        <v>3821</v>
      </c>
      <c r="R2809" s="77">
        <v>0</v>
      </c>
      <c r="S2809" s="77">
        <v>4</v>
      </c>
      <c r="T2809" s="77">
        <v>1</v>
      </c>
      <c r="U2809" s="77">
        <v>0</v>
      </c>
      <c r="V2809" s="77">
        <v>1660</v>
      </c>
      <c r="W2809" s="82" t="s">
        <v>5864</v>
      </c>
      <c r="X2809" s="80" t="str">
        <f>HYPERLINK("https://www.moneytimes.com.br/mega-sena-paga-r-60-milhoes-veja-como-apostar-e-acompanhar-o-sorteio/")</f>
        <v>https://www.moneytimes.com.br/mega-sena-paga-r-60-milhoes-veja-como-apostar-e-acompanhar-o-sorteio/</v>
      </c>
      <c r="Y2809" s="77" t="s">
        <v>6002</v>
      </c>
      <c r="Z2809" s="77"/>
      <c r="AA2809" s="77"/>
      <c r="AB2809" s="77"/>
      <c r="AC2809" s="82" t="s">
        <v>7718</v>
      </c>
      <c r="AD2809" s="77" t="s">
        <v>7745</v>
      </c>
      <c r="AE2809" s="80" t="str">
        <f>HYPERLINK("https://twitter.com/leiamoneytimes/status/1652304617718284290")</f>
        <v>https://twitter.com/leiamoneytimes/status/1652304617718284290</v>
      </c>
      <c r="AF2809" s="79">
        <v>45045.563576388886</v>
      </c>
      <c r="AG2809" s="85">
        <v>45045</v>
      </c>
      <c r="AH2809" s="82" t="s">
        <v>10284</v>
      </c>
      <c r="AI2809" s="77" t="b">
        <v>0</v>
      </c>
      <c r="AJ2809" s="77"/>
      <c r="AK2809" s="77"/>
      <c r="AL2809" s="77"/>
      <c r="AM2809" s="77"/>
      <c r="AN2809" s="77"/>
      <c r="AO2809" s="77"/>
      <c r="AP2809" s="77"/>
      <c r="AQ2809" s="77"/>
      <c r="AR2809" s="77"/>
      <c r="AS2809" s="77"/>
      <c r="AT2809" s="77"/>
      <c r="AU2809" s="77"/>
      <c r="AV2809" s="80" t="str">
        <f>HYPERLINK("https://pbs.twimg.com/profile_images/1559883556846977024/bXHnQFY0_normal.jpg")</f>
        <v>https://pbs.twimg.com/profile_images/1559883556846977024/bXHnQFY0_normal.jpg</v>
      </c>
      <c r="AW2809" s="82" t="s">
        <v>14964</v>
      </c>
      <c r="AX2809" s="82" t="s">
        <v>14964</v>
      </c>
      <c r="AY2809" s="77"/>
      <c r="AZ2809" s="82" t="s">
        <v>15804</v>
      </c>
      <c r="BA2809" s="82" t="s">
        <v>15804</v>
      </c>
      <c r="BB2809" s="82" t="s">
        <v>15804</v>
      </c>
      <c r="BC2809" s="82" t="s">
        <v>14964</v>
      </c>
      <c r="BD2809" s="77">
        <v>51150679</v>
      </c>
      <c r="BE2809" s="77"/>
      <c r="BF2809" s="77"/>
      <c r="BG2809" s="77"/>
      <c r="BH2809" s="77"/>
      <c r="BI2809" s="77"/>
    </row>
    <row r="2810" spans="1:61" x14ac:dyDescent="0.25">
      <c r="A2810" s="62" t="s">
        <v>1027</v>
      </c>
      <c r="B2810" s="62" t="s">
        <v>1027</v>
      </c>
      <c r="C2810" s="63"/>
      <c r="D2810" s="64"/>
      <c r="E2810" s="65"/>
      <c r="F2810" s="66"/>
      <c r="G2810" s="63"/>
      <c r="H2810" s="67"/>
      <c r="I2810" s="68"/>
      <c r="J2810" s="68"/>
      <c r="K2810" s="32"/>
      <c r="L2810" s="75">
        <v>2810</v>
      </c>
      <c r="M2810" s="75"/>
      <c r="N2810" s="70"/>
      <c r="O2810" s="77" t="s">
        <v>179</v>
      </c>
      <c r="P2810" s="79">
        <v>45041.868020833332</v>
      </c>
      <c r="Q2810" s="77" t="s">
        <v>3822</v>
      </c>
      <c r="R2810" s="77">
        <v>0</v>
      </c>
      <c r="S2810" s="77">
        <v>4</v>
      </c>
      <c r="T2810" s="77">
        <v>0</v>
      </c>
      <c r="U2810" s="77">
        <v>0</v>
      </c>
      <c r="V2810" s="77">
        <v>1210</v>
      </c>
      <c r="W2810" s="82" t="s">
        <v>5865</v>
      </c>
      <c r="X2810" s="80" t="str">
        <f>HYPERLINK("https://www.moneytimes.com.br/imposto-de-renda-2023-qual-e-o-melhor-tipo-de-declaracao-para-nao-cair-na-malha-fina/")</f>
        <v>https://www.moneytimes.com.br/imposto-de-renda-2023-qual-e-o-melhor-tipo-de-declaracao-para-nao-cair-na-malha-fina/</v>
      </c>
      <c r="Y2810" s="77" t="s">
        <v>6002</v>
      </c>
      <c r="Z2810" s="77"/>
      <c r="AA2810" s="77"/>
      <c r="AB2810" s="77"/>
      <c r="AC2810" s="82" t="s">
        <v>7718</v>
      </c>
      <c r="AD2810" s="77" t="s">
        <v>7745</v>
      </c>
      <c r="AE2810" s="80" t="str">
        <f>HYPERLINK("https://twitter.com/leiamoneytimes/status/1650965390619541505")</f>
        <v>https://twitter.com/leiamoneytimes/status/1650965390619541505</v>
      </c>
      <c r="AF2810" s="79">
        <v>45041.868020833332</v>
      </c>
      <c r="AG2810" s="85">
        <v>45041</v>
      </c>
      <c r="AH2810" s="82" t="s">
        <v>10285</v>
      </c>
      <c r="AI2810" s="77" t="b">
        <v>0</v>
      </c>
      <c r="AJ2810" s="77"/>
      <c r="AK2810" s="77"/>
      <c r="AL2810" s="77"/>
      <c r="AM2810" s="77"/>
      <c r="AN2810" s="77"/>
      <c r="AO2810" s="77"/>
      <c r="AP2810" s="77"/>
      <c r="AQ2810" s="77"/>
      <c r="AR2810" s="77"/>
      <c r="AS2810" s="77"/>
      <c r="AT2810" s="77"/>
      <c r="AU2810" s="77"/>
      <c r="AV2810" s="80" t="str">
        <f>HYPERLINK("https://pbs.twimg.com/profile_images/1559883556846977024/bXHnQFY0_normal.jpg")</f>
        <v>https://pbs.twimg.com/profile_images/1559883556846977024/bXHnQFY0_normal.jpg</v>
      </c>
      <c r="AW2810" s="82" t="s">
        <v>14965</v>
      </c>
      <c r="AX2810" s="82" t="s">
        <v>14965</v>
      </c>
      <c r="AY2810" s="77"/>
      <c r="AZ2810" s="82" t="s">
        <v>15804</v>
      </c>
      <c r="BA2810" s="82" t="s">
        <v>15804</v>
      </c>
      <c r="BB2810" s="82" t="s">
        <v>15804</v>
      </c>
      <c r="BC2810" s="82" t="s">
        <v>14965</v>
      </c>
      <c r="BD2810" s="77">
        <v>51150679</v>
      </c>
      <c r="BE2810" s="77"/>
      <c r="BF2810" s="77"/>
      <c r="BG2810" s="77"/>
      <c r="BH2810" s="77"/>
      <c r="BI2810" s="77"/>
    </row>
    <row r="2811" spans="1:61" x14ac:dyDescent="0.25">
      <c r="A2811" s="62" t="s">
        <v>1027</v>
      </c>
      <c r="B2811" s="62" t="s">
        <v>1027</v>
      </c>
      <c r="C2811" s="63"/>
      <c r="D2811" s="64"/>
      <c r="E2811" s="65"/>
      <c r="F2811" s="66"/>
      <c r="G2811" s="63"/>
      <c r="H2811" s="67"/>
      <c r="I2811" s="68"/>
      <c r="J2811" s="68"/>
      <c r="K2811" s="32"/>
      <c r="L2811" s="75">
        <v>2811</v>
      </c>
      <c r="M2811" s="75"/>
      <c r="N2811" s="70"/>
      <c r="O2811" s="77" t="s">
        <v>179</v>
      </c>
      <c r="P2811" s="79">
        <v>45031.460231481484</v>
      </c>
      <c r="Q2811" s="77" t="s">
        <v>3823</v>
      </c>
      <c r="R2811" s="77">
        <v>0</v>
      </c>
      <c r="S2811" s="77">
        <v>4</v>
      </c>
      <c r="T2811" s="77">
        <v>0</v>
      </c>
      <c r="U2811" s="77">
        <v>0</v>
      </c>
      <c r="V2811" s="77">
        <v>1976</v>
      </c>
      <c r="W2811" s="82" t="s">
        <v>5866</v>
      </c>
      <c r="X2811" s="80" t="str">
        <f>HYPERLINK("https://www.moneytimes.com.br/brasileirao-2023-apostas-podem-render-ate-r-45-mil-veja-os-melhores-lances/")</f>
        <v>https://www.moneytimes.com.br/brasileirao-2023-apostas-podem-render-ate-r-45-mil-veja-os-melhores-lances/</v>
      </c>
      <c r="Y2811" s="77" t="s">
        <v>6002</v>
      </c>
      <c r="Z2811" s="77"/>
      <c r="AA2811" s="77"/>
      <c r="AB2811" s="77"/>
      <c r="AC2811" s="82" t="s">
        <v>7718</v>
      </c>
      <c r="AD2811" s="77" t="s">
        <v>7745</v>
      </c>
      <c r="AE2811" s="80" t="str">
        <f>HYPERLINK("https://twitter.com/leiamoneytimes/status/1647193736441393153")</f>
        <v>https://twitter.com/leiamoneytimes/status/1647193736441393153</v>
      </c>
      <c r="AF2811" s="79">
        <v>45031.460231481484</v>
      </c>
      <c r="AG2811" s="85">
        <v>45031</v>
      </c>
      <c r="AH2811" s="82" t="s">
        <v>10286</v>
      </c>
      <c r="AI2811" s="77" t="b">
        <v>0</v>
      </c>
      <c r="AJ2811" s="77"/>
      <c r="AK2811" s="77"/>
      <c r="AL2811" s="77"/>
      <c r="AM2811" s="77"/>
      <c r="AN2811" s="77"/>
      <c r="AO2811" s="77"/>
      <c r="AP2811" s="77"/>
      <c r="AQ2811" s="77"/>
      <c r="AR2811" s="77"/>
      <c r="AS2811" s="77"/>
      <c r="AT2811" s="77"/>
      <c r="AU2811" s="77"/>
      <c r="AV2811" s="80" t="str">
        <f>HYPERLINK("https://pbs.twimg.com/profile_images/1559883556846977024/bXHnQFY0_normal.jpg")</f>
        <v>https://pbs.twimg.com/profile_images/1559883556846977024/bXHnQFY0_normal.jpg</v>
      </c>
      <c r="AW2811" s="82" t="s">
        <v>14966</v>
      </c>
      <c r="AX2811" s="82" t="s">
        <v>14966</v>
      </c>
      <c r="AY2811" s="77"/>
      <c r="AZ2811" s="82" t="s">
        <v>15804</v>
      </c>
      <c r="BA2811" s="82" t="s">
        <v>15804</v>
      </c>
      <c r="BB2811" s="82" t="s">
        <v>15804</v>
      </c>
      <c r="BC2811" s="82" t="s">
        <v>14966</v>
      </c>
      <c r="BD2811" s="77">
        <v>51150679</v>
      </c>
      <c r="BE2811" s="77"/>
      <c r="BF2811" s="77"/>
      <c r="BG2811" s="77"/>
      <c r="BH2811" s="77"/>
      <c r="BI2811" s="77"/>
    </row>
    <row r="2812" spans="1:61" x14ac:dyDescent="0.25">
      <c r="A2812" s="62" t="s">
        <v>1027</v>
      </c>
      <c r="B2812" s="62" t="s">
        <v>1027</v>
      </c>
      <c r="C2812" s="63"/>
      <c r="D2812" s="64"/>
      <c r="E2812" s="65"/>
      <c r="F2812" s="66"/>
      <c r="G2812" s="63"/>
      <c r="H2812" s="67"/>
      <c r="I2812" s="68"/>
      <c r="J2812" s="68"/>
      <c r="K2812" s="32"/>
      <c r="L2812" s="75">
        <v>2812</v>
      </c>
      <c r="M2812" s="75"/>
      <c r="N2812" s="70"/>
      <c r="O2812" s="77" t="s">
        <v>179</v>
      </c>
      <c r="P2812" s="79">
        <v>45004.667430555557</v>
      </c>
      <c r="Q2812" s="77" t="s">
        <v>3824</v>
      </c>
      <c r="R2812" s="77">
        <v>0</v>
      </c>
      <c r="S2812" s="77">
        <v>8</v>
      </c>
      <c r="T2812" s="77">
        <v>0</v>
      </c>
      <c r="U2812" s="77">
        <v>0</v>
      </c>
      <c r="V2812" s="77">
        <v>1482</v>
      </c>
      <c r="W2812" s="82" t="s">
        <v>5867</v>
      </c>
      <c r="X2812" s="80" t="str">
        <f>HYPERLINK("https://www.moneytimes.com.br/imposto-de-renda-2023-5-passos-para-declarar-acoes-ao-leao/")</f>
        <v>https://www.moneytimes.com.br/imposto-de-renda-2023-5-passos-para-declarar-acoes-ao-leao/</v>
      </c>
      <c r="Y2812" s="77" t="s">
        <v>6002</v>
      </c>
      <c r="Z2812" s="77"/>
      <c r="AA2812" s="77"/>
      <c r="AB2812" s="77"/>
      <c r="AC2812" s="82" t="s">
        <v>7718</v>
      </c>
      <c r="AD2812" s="77" t="s">
        <v>7745</v>
      </c>
      <c r="AE2812" s="80" t="str">
        <f>HYPERLINK("https://twitter.com/leiamoneytimes/status/1637484349233975296")</f>
        <v>https://twitter.com/leiamoneytimes/status/1637484349233975296</v>
      </c>
      <c r="AF2812" s="79">
        <v>45004.667430555557</v>
      </c>
      <c r="AG2812" s="85">
        <v>45004</v>
      </c>
      <c r="AH2812" s="82" t="s">
        <v>10287</v>
      </c>
      <c r="AI2812" s="77" t="b">
        <v>0</v>
      </c>
      <c r="AJ2812" s="77"/>
      <c r="AK2812" s="77"/>
      <c r="AL2812" s="77"/>
      <c r="AM2812" s="77"/>
      <c r="AN2812" s="77"/>
      <c r="AO2812" s="77"/>
      <c r="AP2812" s="77"/>
      <c r="AQ2812" s="77"/>
      <c r="AR2812" s="77"/>
      <c r="AS2812" s="77"/>
      <c r="AT2812" s="77"/>
      <c r="AU2812" s="77"/>
      <c r="AV2812" s="80" t="str">
        <f>HYPERLINK("https://pbs.twimg.com/profile_images/1559883556846977024/bXHnQFY0_normal.jpg")</f>
        <v>https://pbs.twimg.com/profile_images/1559883556846977024/bXHnQFY0_normal.jpg</v>
      </c>
      <c r="AW2812" s="82" t="s">
        <v>14967</v>
      </c>
      <c r="AX2812" s="82" t="s">
        <v>14967</v>
      </c>
      <c r="AY2812" s="77"/>
      <c r="AZ2812" s="82" t="s">
        <v>15804</v>
      </c>
      <c r="BA2812" s="82" t="s">
        <v>15804</v>
      </c>
      <c r="BB2812" s="82" t="s">
        <v>15804</v>
      </c>
      <c r="BC2812" s="82" t="s">
        <v>14967</v>
      </c>
      <c r="BD2812" s="77">
        <v>51150679</v>
      </c>
      <c r="BE2812" s="77"/>
      <c r="BF2812" s="77"/>
      <c r="BG2812" s="77"/>
      <c r="BH2812" s="77"/>
      <c r="BI2812" s="77"/>
    </row>
    <row r="2813" spans="1:61" x14ac:dyDescent="0.25">
      <c r="A2813" s="62" t="s">
        <v>1027</v>
      </c>
      <c r="B2813" s="62" t="s">
        <v>1027</v>
      </c>
      <c r="C2813" s="63"/>
      <c r="D2813" s="64"/>
      <c r="E2813" s="65"/>
      <c r="F2813" s="66"/>
      <c r="G2813" s="63"/>
      <c r="H2813" s="67"/>
      <c r="I2813" s="68"/>
      <c r="J2813" s="68"/>
      <c r="K2813" s="32"/>
      <c r="L2813" s="75">
        <v>2813</v>
      </c>
      <c r="M2813" s="75"/>
      <c r="N2813" s="70"/>
      <c r="O2813" s="77" t="s">
        <v>179</v>
      </c>
      <c r="P2813" s="79">
        <v>45003.500694444447</v>
      </c>
      <c r="Q2813" s="77" t="s">
        <v>3825</v>
      </c>
      <c r="R2813" s="77">
        <v>0</v>
      </c>
      <c r="S2813" s="77">
        <v>5</v>
      </c>
      <c r="T2813" s="77">
        <v>0</v>
      </c>
      <c r="U2813" s="77">
        <v>1</v>
      </c>
      <c r="V2813" s="77">
        <v>1514</v>
      </c>
      <c r="W2813" s="82" t="s">
        <v>5868</v>
      </c>
      <c r="X2813" s="80" t="str">
        <f>HYPERLINK("https://www.moneytimes.com.br/imposto-de-renda-2023-como-calcular-e-como-pagar-darf-em-atraso/")</f>
        <v>https://www.moneytimes.com.br/imposto-de-renda-2023-como-calcular-e-como-pagar-darf-em-atraso/</v>
      </c>
      <c r="Y2813" s="77" t="s">
        <v>6002</v>
      </c>
      <c r="Z2813" s="77"/>
      <c r="AA2813" s="77"/>
      <c r="AB2813" s="77"/>
      <c r="AC2813" s="82" t="s">
        <v>7718</v>
      </c>
      <c r="AD2813" s="77" t="s">
        <v>7745</v>
      </c>
      <c r="AE2813" s="80" t="str">
        <f>HYPERLINK("https://twitter.com/leiamoneytimes/status/1637061536190537729")</f>
        <v>https://twitter.com/leiamoneytimes/status/1637061536190537729</v>
      </c>
      <c r="AF2813" s="79">
        <v>45003.500694444447</v>
      </c>
      <c r="AG2813" s="85">
        <v>45003</v>
      </c>
      <c r="AH2813" s="82" t="s">
        <v>8304</v>
      </c>
      <c r="AI2813" s="77" t="b">
        <v>0</v>
      </c>
      <c r="AJ2813" s="77"/>
      <c r="AK2813" s="77"/>
      <c r="AL2813" s="77"/>
      <c r="AM2813" s="77"/>
      <c r="AN2813" s="77"/>
      <c r="AO2813" s="77"/>
      <c r="AP2813" s="77"/>
      <c r="AQ2813" s="77"/>
      <c r="AR2813" s="77"/>
      <c r="AS2813" s="77"/>
      <c r="AT2813" s="77"/>
      <c r="AU2813" s="77"/>
      <c r="AV2813" s="80" t="str">
        <f>HYPERLINK("https://pbs.twimg.com/profile_images/1559883556846977024/bXHnQFY0_normal.jpg")</f>
        <v>https://pbs.twimg.com/profile_images/1559883556846977024/bXHnQFY0_normal.jpg</v>
      </c>
      <c r="AW2813" s="82" t="s">
        <v>14968</v>
      </c>
      <c r="AX2813" s="82" t="s">
        <v>14968</v>
      </c>
      <c r="AY2813" s="77"/>
      <c r="AZ2813" s="82" t="s">
        <v>15804</v>
      </c>
      <c r="BA2813" s="82" t="s">
        <v>15804</v>
      </c>
      <c r="BB2813" s="82" t="s">
        <v>15804</v>
      </c>
      <c r="BC2813" s="82" t="s">
        <v>14968</v>
      </c>
      <c r="BD2813" s="77">
        <v>51150679</v>
      </c>
      <c r="BE2813" s="77"/>
      <c r="BF2813" s="77"/>
      <c r="BG2813" s="77"/>
      <c r="BH2813" s="77"/>
      <c r="BI2813" s="77"/>
    </row>
    <row r="2814" spans="1:61" x14ac:dyDescent="0.25">
      <c r="A2814" s="62" t="s">
        <v>1027</v>
      </c>
      <c r="B2814" s="62" t="s">
        <v>1027</v>
      </c>
      <c r="C2814" s="63"/>
      <c r="D2814" s="64"/>
      <c r="E2814" s="65"/>
      <c r="F2814" s="66"/>
      <c r="G2814" s="63"/>
      <c r="H2814" s="67"/>
      <c r="I2814" s="68"/>
      <c r="J2814" s="68"/>
      <c r="K2814" s="32"/>
      <c r="L2814" s="75">
        <v>2814</v>
      </c>
      <c r="M2814" s="75"/>
      <c r="N2814" s="70"/>
      <c r="O2814" s="77" t="s">
        <v>179</v>
      </c>
      <c r="P2814" s="79">
        <v>45002.658761574072</v>
      </c>
      <c r="Q2814" s="77" t="s">
        <v>3826</v>
      </c>
      <c r="R2814" s="77">
        <v>0</v>
      </c>
      <c r="S2814" s="77">
        <v>2</v>
      </c>
      <c r="T2814" s="77">
        <v>0</v>
      </c>
      <c r="U2814" s="77">
        <v>0</v>
      </c>
      <c r="V2814" s="77">
        <v>1060</v>
      </c>
      <c r="W2814" s="82" t="s">
        <v>5869</v>
      </c>
      <c r="X2814" s="80" t="str">
        <f>HYPERLINK("https://www.moneytimes.com.br/imposto-de-renda-2023-como-declarar-bdrs/")</f>
        <v>https://www.moneytimes.com.br/imposto-de-renda-2023-como-declarar-bdrs/</v>
      </c>
      <c r="Y2814" s="77" t="s">
        <v>6002</v>
      </c>
      <c r="Z2814" s="77"/>
      <c r="AA2814" s="77"/>
      <c r="AB2814" s="77"/>
      <c r="AC2814" s="82" t="s">
        <v>7718</v>
      </c>
      <c r="AD2814" s="77" t="s">
        <v>7745</v>
      </c>
      <c r="AE2814" s="80" t="str">
        <f>HYPERLINK("https://twitter.com/leiamoneytimes/status/1636756431889223680")</f>
        <v>https://twitter.com/leiamoneytimes/status/1636756431889223680</v>
      </c>
      <c r="AF2814" s="79">
        <v>45002.658761574072</v>
      </c>
      <c r="AG2814" s="85">
        <v>45002</v>
      </c>
      <c r="AH2814" s="82" t="s">
        <v>10288</v>
      </c>
      <c r="AI2814" s="77" t="b">
        <v>0</v>
      </c>
      <c r="AJ2814" s="77"/>
      <c r="AK2814" s="77"/>
      <c r="AL2814" s="77"/>
      <c r="AM2814" s="77"/>
      <c r="AN2814" s="77"/>
      <c r="AO2814" s="77"/>
      <c r="AP2814" s="77"/>
      <c r="AQ2814" s="77"/>
      <c r="AR2814" s="77"/>
      <c r="AS2814" s="77"/>
      <c r="AT2814" s="77"/>
      <c r="AU2814" s="77"/>
      <c r="AV2814" s="80" t="str">
        <f>HYPERLINK("https://pbs.twimg.com/profile_images/1559883556846977024/bXHnQFY0_normal.jpg")</f>
        <v>https://pbs.twimg.com/profile_images/1559883556846977024/bXHnQFY0_normal.jpg</v>
      </c>
      <c r="AW2814" s="82" t="s">
        <v>14969</v>
      </c>
      <c r="AX2814" s="82" t="s">
        <v>14969</v>
      </c>
      <c r="AY2814" s="77"/>
      <c r="AZ2814" s="82" t="s">
        <v>15804</v>
      </c>
      <c r="BA2814" s="82" t="s">
        <v>15804</v>
      </c>
      <c r="BB2814" s="82" t="s">
        <v>15804</v>
      </c>
      <c r="BC2814" s="82" t="s">
        <v>14969</v>
      </c>
      <c r="BD2814" s="77">
        <v>51150679</v>
      </c>
      <c r="BE2814" s="77"/>
      <c r="BF2814" s="77"/>
      <c r="BG2814" s="77"/>
      <c r="BH2814" s="77"/>
      <c r="BI2814" s="77"/>
    </row>
    <row r="2815" spans="1:61" x14ac:dyDescent="0.25">
      <c r="A2815" s="62" t="s">
        <v>1027</v>
      </c>
      <c r="B2815" s="62" t="s">
        <v>1027</v>
      </c>
      <c r="C2815" s="63"/>
      <c r="D2815" s="64"/>
      <c r="E2815" s="65"/>
      <c r="F2815" s="66"/>
      <c r="G2815" s="63"/>
      <c r="H2815" s="67"/>
      <c r="I2815" s="68"/>
      <c r="J2815" s="68"/>
      <c r="K2815" s="32"/>
      <c r="L2815" s="75">
        <v>2815</v>
      </c>
      <c r="M2815" s="75"/>
      <c r="N2815" s="70"/>
      <c r="O2815" s="77" t="s">
        <v>179</v>
      </c>
      <c r="P2815" s="79">
        <v>44995.804791666669</v>
      </c>
      <c r="Q2815" s="77" t="s">
        <v>3827</v>
      </c>
      <c r="R2815" s="77">
        <v>0</v>
      </c>
      <c r="S2815" s="77">
        <v>2</v>
      </c>
      <c r="T2815" s="77">
        <v>0</v>
      </c>
      <c r="U2815" s="77">
        <v>0</v>
      </c>
      <c r="V2815" s="77">
        <v>1018</v>
      </c>
      <c r="W2815" s="82" t="s">
        <v>5870</v>
      </c>
      <c r="X2815" s="80" t="str">
        <f>HYPERLINK("https://www.moneytimes.com.br/imposto-de-renda-2023-o-que-e-imposto-de-renda-retido-na-fonte/")</f>
        <v>https://www.moneytimes.com.br/imposto-de-renda-2023-o-que-e-imposto-de-renda-retido-na-fonte/</v>
      </c>
      <c r="Y2815" s="77" t="s">
        <v>6002</v>
      </c>
      <c r="Z2815" s="77"/>
      <c r="AA2815" s="77"/>
      <c r="AB2815" s="77"/>
      <c r="AC2815" s="82" t="s">
        <v>7718</v>
      </c>
      <c r="AD2815" s="77" t="s">
        <v>7745</v>
      </c>
      <c r="AE2815" s="80" t="str">
        <f>HYPERLINK("https://twitter.com/leiamoneytimes/status/1634272635956649985")</f>
        <v>https://twitter.com/leiamoneytimes/status/1634272635956649985</v>
      </c>
      <c r="AF2815" s="79">
        <v>44995.804791666669</v>
      </c>
      <c r="AG2815" s="85">
        <v>44995</v>
      </c>
      <c r="AH2815" s="82" t="s">
        <v>10289</v>
      </c>
      <c r="AI2815" s="77" t="b">
        <v>0</v>
      </c>
      <c r="AJ2815" s="77"/>
      <c r="AK2815" s="77"/>
      <c r="AL2815" s="77"/>
      <c r="AM2815" s="77"/>
      <c r="AN2815" s="77"/>
      <c r="AO2815" s="77"/>
      <c r="AP2815" s="77"/>
      <c r="AQ2815" s="77"/>
      <c r="AR2815" s="77"/>
      <c r="AS2815" s="77"/>
      <c r="AT2815" s="77"/>
      <c r="AU2815" s="77"/>
      <c r="AV2815" s="80" t="str">
        <f>HYPERLINK("https://pbs.twimg.com/profile_images/1559883556846977024/bXHnQFY0_normal.jpg")</f>
        <v>https://pbs.twimg.com/profile_images/1559883556846977024/bXHnQFY0_normal.jpg</v>
      </c>
      <c r="AW2815" s="82" t="s">
        <v>14970</v>
      </c>
      <c r="AX2815" s="82" t="s">
        <v>14970</v>
      </c>
      <c r="AY2815" s="77"/>
      <c r="AZ2815" s="82" t="s">
        <v>15804</v>
      </c>
      <c r="BA2815" s="82" t="s">
        <v>15804</v>
      </c>
      <c r="BB2815" s="82" t="s">
        <v>15804</v>
      </c>
      <c r="BC2815" s="82" t="s">
        <v>14970</v>
      </c>
      <c r="BD2815" s="77">
        <v>51150679</v>
      </c>
      <c r="BE2815" s="77"/>
      <c r="BF2815" s="77"/>
      <c r="BG2815" s="77"/>
      <c r="BH2815" s="77"/>
      <c r="BI2815" s="77"/>
    </row>
    <row r="2816" spans="1:61" x14ac:dyDescent="0.25">
      <c r="A2816" s="62" t="s">
        <v>1027</v>
      </c>
      <c r="B2816" s="62" t="s">
        <v>1027</v>
      </c>
      <c r="C2816" s="63"/>
      <c r="D2816" s="64"/>
      <c r="E2816" s="65"/>
      <c r="F2816" s="66"/>
      <c r="G2816" s="63"/>
      <c r="H2816" s="67"/>
      <c r="I2816" s="68"/>
      <c r="J2816" s="68"/>
      <c r="K2816" s="32"/>
      <c r="L2816" s="75">
        <v>2816</v>
      </c>
      <c r="M2816" s="75"/>
      <c r="N2816" s="70"/>
      <c r="O2816" s="77" t="s">
        <v>179</v>
      </c>
      <c r="P2816" s="79">
        <v>44994.900057870371</v>
      </c>
      <c r="Q2816" s="77" t="s">
        <v>3828</v>
      </c>
      <c r="R2816" s="77">
        <v>1</v>
      </c>
      <c r="S2816" s="77">
        <v>2</v>
      </c>
      <c r="T2816" s="77">
        <v>0</v>
      </c>
      <c r="U2816" s="77">
        <v>0</v>
      </c>
      <c r="V2816" s="77">
        <v>1198</v>
      </c>
      <c r="W2816" s="82" t="s">
        <v>5870</v>
      </c>
      <c r="X2816" s="80" t="str">
        <f>HYPERLINK("https://www.moneytimes.com.br/como-pagar-imposto-de-renda-atrasado-de-outros-anos/")</f>
        <v>https://www.moneytimes.com.br/como-pagar-imposto-de-renda-atrasado-de-outros-anos/</v>
      </c>
      <c r="Y2816" s="77" t="s">
        <v>6002</v>
      </c>
      <c r="Z2816" s="77"/>
      <c r="AA2816" s="77"/>
      <c r="AB2816" s="77"/>
      <c r="AC2816" s="82" t="s">
        <v>7718</v>
      </c>
      <c r="AD2816" s="77" t="s">
        <v>7745</v>
      </c>
      <c r="AE2816" s="80" t="str">
        <f>HYPERLINK("https://twitter.com/leiamoneytimes/status/1633944773500502016")</f>
        <v>https://twitter.com/leiamoneytimes/status/1633944773500502016</v>
      </c>
      <c r="AF2816" s="79">
        <v>44994.900057870371</v>
      </c>
      <c r="AG2816" s="85">
        <v>44994</v>
      </c>
      <c r="AH2816" s="82" t="s">
        <v>10290</v>
      </c>
      <c r="AI2816" s="77" t="b">
        <v>0</v>
      </c>
      <c r="AJ2816" s="77"/>
      <c r="AK2816" s="77"/>
      <c r="AL2816" s="77"/>
      <c r="AM2816" s="77"/>
      <c r="AN2816" s="77"/>
      <c r="AO2816" s="77"/>
      <c r="AP2816" s="77"/>
      <c r="AQ2816" s="77"/>
      <c r="AR2816" s="77"/>
      <c r="AS2816" s="77"/>
      <c r="AT2816" s="77"/>
      <c r="AU2816" s="77"/>
      <c r="AV2816" s="80" t="str">
        <f>HYPERLINK("https://pbs.twimg.com/profile_images/1559883556846977024/bXHnQFY0_normal.jpg")</f>
        <v>https://pbs.twimg.com/profile_images/1559883556846977024/bXHnQFY0_normal.jpg</v>
      </c>
      <c r="AW2816" s="82" t="s">
        <v>14971</v>
      </c>
      <c r="AX2816" s="82" t="s">
        <v>14971</v>
      </c>
      <c r="AY2816" s="77"/>
      <c r="AZ2816" s="82" t="s">
        <v>15804</v>
      </c>
      <c r="BA2816" s="82" t="s">
        <v>15804</v>
      </c>
      <c r="BB2816" s="82" t="s">
        <v>15804</v>
      </c>
      <c r="BC2816" s="82" t="s">
        <v>14971</v>
      </c>
      <c r="BD2816" s="77">
        <v>51150679</v>
      </c>
      <c r="BE2816" s="77"/>
      <c r="BF2816" s="77"/>
      <c r="BG2816" s="77"/>
      <c r="BH2816" s="77"/>
      <c r="BI2816" s="77"/>
    </row>
    <row r="2817" spans="1:61" x14ac:dyDescent="0.25">
      <c r="A2817" s="62" t="s">
        <v>1027</v>
      </c>
      <c r="B2817" s="62" t="s">
        <v>1027</v>
      </c>
      <c r="C2817" s="63"/>
      <c r="D2817" s="64"/>
      <c r="E2817" s="65"/>
      <c r="F2817" s="66"/>
      <c r="G2817" s="63"/>
      <c r="H2817" s="67"/>
      <c r="I2817" s="68"/>
      <c r="J2817" s="68"/>
      <c r="K2817" s="32"/>
      <c r="L2817" s="75">
        <v>2817</v>
      </c>
      <c r="M2817" s="75"/>
      <c r="N2817" s="70"/>
      <c r="O2817" s="77" t="s">
        <v>179</v>
      </c>
      <c r="P2817" s="79">
        <v>44994.567141203705</v>
      </c>
      <c r="Q2817" s="77" t="s">
        <v>3829</v>
      </c>
      <c r="R2817" s="77">
        <v>0</v>
      </c>
      <c r="S2817" s="77">
        <v>3</v>
      </c>
      <c r="T2817" s="77">
        <v>1</v>
      </c>
      <c r="U2817" s="77">
        <v>0</v>
      </c>
      <c r="V2817" s="77">
        <v>1462</v>
      </c>
      <c r="W2817" s="82" t="s">
        <v>5871</v>
      </c>
      <c r="X2817" s="80" t="str">
        <f>HYPERLINK("https://www.moneytimes.com.br/imposto-de-renda-2023-posso-colocar-maiores-de-24-anos-como-dependentes/")</f>
        <v>https://www.moneytimes.com.br/imposto-de-renda-2023-posso-colocar-maiores-de-24-anos-como-dependentes/</v>
      </c>
      <c r="Y2817" s="77" t="s">
        <v>6002</v>
      </c>
      <c r="Z2817" s="77"/>
      <c r="AA2817" s="77"/>
      <c r="AB2817" s="77"/>
      <c r="AC2817" s="82" t="s">
        <v>7718</v>
      </c>
      <c r="AD2817" s="77" t="s">
        <v>7745</v>
      </c>
      <c r="AE2817" s="80" t="str">
        <f>HYPERLINK("https://twitter.com/leiamoneytimes/status/1633824127592148992")</f>
        <v>https://twitter.com/leiamoneytimes/status/1633824127592148992</v>
      </c>
      <c r="AF2817" s="79">
        <v>44994.567141203705</v>
      </c>
      <c r="AG2817" s="85">
        <v>44994</v>
      </c>
      <c r="AH2817" s="82" t="s">
        <v>10291</v>
      </c>
      <c r="AI2817" s="77" t="b">
        <v>0</v>
      </c>
      <c r="AJ2817" s="77"/>
      <c r="AK2817" s="77"/>
      <c r="AL2817" s="77"/>
      <c r="AM2817" s="77"/>
      <c r="AN2817" s="77"/>
      <c r="AO2817" s="77"/>
      <c r="AP2817" s="77"/>
      <c r="AQ2817" s="77"/>
      <c r="AR2817" s="77"/>
      <c r="AS2817" s="77"/>
      <c r="AT2817" s="77"/>
      <c r="AU2817" s="77"/>
      <c r="AV2817" s="80" t="str">
        <f>HYPERLINK("https://pbs.twimg.com/profile_images/1559883556846977024/bXHnQFY0_normal.jpg")</f>
        <v>https://pbs.twimg.com/profile_images/1559883556846977024/bXHnQFY0_normal.jpg</v>
      </c>
      <c r="AW2817" s="82" t="s">
        <v>14972</v>
      </c>
      <c r="AX2817" s="82" t="s">
        <v>14972</v>
      </c>
      <c r="AY2817" s="77"/>
      <c r="AZ2817" s="82" t="s">
        <v>15804</v>
      </c>
      <c r="BA2817" s="82" t="s">
        <v>15804</v>
      </c>
      <c r="BB2817" s="82" t="s">
        <v>15804</v>
      </c>
      <c r="BC2817" s="82" t="s">
        <v>14972</v>
      </c>
      <c r="BD2817" s="77">
        <v>51150679</v>
      </c>
      <c r="BE2817" s="77"/>
      <c r="BF2817" s="77"/>
      <c r="BG2817" s="77"/>
      <c r="BH2817" s="77"/>
      <c r="BI2817" s="77"/>
    </row>
    <row r="2818" spans="1:61" x14ac:dyDescent="0.25">
      <c r="A2818" s="62" t="s">
        <v>1027</v>
      </c>
      <c r="B2818" s="62" t="s">
        <v>1027</v>
      </c>
      <c r="C2818" s="63"/>
      <c r="D2818" s="64"/>
      <c r="E2818" s="65"/>
      <c r="F2818" s="66"/>
      <c r="G2818" s="63"/>
      <c r="H2818" s="67"/>
      <c r="I2818" s="68"/>
      <c r="J2818" s="68"/>
      <c r="K2818" s="32"/>
      <c r="L2818" s="75">
        <v>2818</v>
      </c>
      <c r="M2818" s="75"/>
      <c r="N2818" s="70"/>
      <c r="O2818" s="77" t="s">
        <v>179</v>
      </c>
      <c r="P2818" s="79">
        <v>44994.466041666667</v>
      </c>
      <c r="Q2818" s="77" t="s">
        <v>3830</v>
      </c>
      <c r="R2818" s="77">
        <v>0</v>
      </c>
      <c r="S2818" s="77">
        <v>4</v>
      </c>
      <c r="T2818" s="77">
        <v>1</v>
      </c>
      <c r="U2818" s="77">
        <v>0</v>
      </c>
      <c r="V2818" s="77">
        <v>1023</v>
      </c>
      <c r="W2818" s="82" t="s">
        <v>5871</v>
      </c>
      <c r="X2818" s="80" t="str">
        <f>HYPERLINK("https://www.moneytimes.com.br/imposto-de-renda-2023-como-fazer-o-download-do-programa-da-receita-federal/")</f>
        <v>https://www.moneytimes.com.br/imposto-de-renda-2023-como-fazer-o-download-do-programa-da-receita-federal/</v>
      </c>
      <c r="Y2818" s="77" t="s">
        <v>6002</v>
      </c>
      <c r="Z2818" s="77"/>
      <c r="AA2818" s="77"/>
      <c r="AB2818" s="77"/>
      <c r="AC2818" s="82" t="s">
        <v>7718</v>
      </c>
      <c r="AD2818" s="77" t="s">
        <v>7745</v>
      </c>
      <c r="AE2818" s="80" t="str">
        <f>HYPERLINK("https://twitter.com/leiamoneytimes/status/1633787490686435330")</f>
        <v>https://twitter.com/leiamoneytimes/status/1633787490686435330</v>
      </c>
      <c r="AF2818" s="79">
        <v>44994.466041666667</v>
      </c>
      <c r="AG2818" s="85">
        <v>44994</v>
      </c>
      <c r="AH2818" s="82" t="s">
        <v>10292</v>
      </c>
      <c r="AI2818" s="77" t="b">
        <v>0</v>
      </c>
      <c r="AJ2818" s="77"/>
      <c r="AK2818" s="77"/>
      <c r="AL2818" s="77"/>
      <c r="AM2818" s="77"/>
      <c r="AN2818" s="77"/>
      <c r="AO2818" s="77"/>
      <c r="AP2818" s="77"/>
      <c r="AQ2818" s="77"/>
      <c r="AR2818" s="77"/>
      <c r="AS2818" s="77"/>
      <c r="AT2818" s="77"/>
      <c r="AU2818" s="77"/>
      <c r="AV2818" s="80" t="str">
        <f>HYPERLINK("https://pbs.twimg.com/profile_images/1559883556846977024/bXHnQFY0_normal.jpg")</f>
        <v>https://pbs.twimg.com/profile_images/1559883556846977024/bXHnQFY0_normal.jpg</v>
      </c>
      <c r="AW2818" s="82" t="s">
        <v>14973</v>
      </c>
      <c r="AX2818" s="82" t="s">
        <v>14973</v>
      </c>
      <c r="AY2818" s="77"/>
      <c r="AZ2818" s="82" t="s">
        <v>15804</v>
      </c>
      <c r="BA2818" s="82" t="s">
        <v>15804</v>
      </c>
      <c r="BB2818" s="82" t="s">
        <v>15804</v>
      </c>
      <c r="BC2818" s="82" t="s">
        <v>14973</v>
      </c>
      <c r="BD2818" s="77">
        <v>51150679</v>
      </c>
      <c r="BE2818" s="77"/>
      <c r="BF2818" s="77"/>
      <c r="BG2818" s="77"/>
      <c r="BH2818" s="77"/>
      <c r="BI2818" s="77"/>
    </row>
    <row r="2819" spans="1:61" x14ac:dyDescent="0.25">
      <c r="A2819" s="62" t="s">
        <v>1027</v>
      </c>
      <c r="B2819" s="62" t="s">
        <v>1027</v>
      </c>
      <c r="C2819" s="63"/>
      <c r="D2819" s="64"/>
      <c r="E2819" s="65"/>
      <c r="F2819" s="66"/>
      <c r="G2819" s="63"/>
      <c r="H2819" s="67"/>
      <c r="I2819" s="68"/>
      <c r="J2819" s="68"/>
      <c r="K2819" s="32"/>
      <c r="L2819" s="75">
        <v>2819</v>
      </c>
      <c r="M2819" s="75"/>
      <c r="N2819" s="70"/>
      <c r="O2819" s="77" t="s">
        <v>179</v>
      </c>
      <c r="P2819" s="79">
        <v>44993.844212962962</v>
      </c>
      <c r="Q2819" s="77" t="s">
        <v>3831</v>
      </c>
      <c r="R2819" s="77">
        <v>0</v>
      </c>
      <c r="S2819" s="77">
        <v>4</v>
      </c>
      <c r="T2819" s="77">
        <v>0</v>
      </c>
      <c r="U2819" s="77">
        <v>0</v>
      </c>
      <c r="V2819" s="77">
        <v>1342</v>
      </c>
      <c r="W2819" s="82" t="s">
        <v>5870</v>
      </c>
      <c r="X2819" s="80" t="str">
        <f>HYPERLINK("https://www.moneytimes.com.br/imposto-de-renda-aposentados-e-pensionistas-precisam-declarar/")</f>
        <v>https://www.moneytimes.com.br/imposto-de-renda-aposentados-e-pensionistas-precisam-declarar/</v>
      </c>
      <c r="Y2819" s="77" t="s">
        <v>6002</v>
      </c>
      <c r="Z2819" s="77"/>
      <c r="AA2819" s="77"/>
      <c r="AB2819" s="77"/>
      <c r="AC2819" s="82" t="s">
        <v>7718</v>
      </c>
      <c r="AD2819" s="77" t="s">
        <v>7745</v>
      </c>
      <c r="AE2819" s="80" t="str">
        <f>HYPERLINK("https://twitter.com/leiamoneytimes/status/1633562146935296001")</f>
        <v>https://twitter.com/leiamoneytimes/status/1633562146935296001</v>
      </c>
      <c r="AF2819" s="79">
        <v>44993.844212962962</v>
      </c>
      <c r="AG2819" s="85">
        <v>44993</v>
      </c>
      <c r="AH2819" s="82" t="s">
        <v>10293</v>
      </c>
      <c r="AI2819" s="77" t="b">
        <v>0</v>
      </c>
      <c r="AJ2819" s="77"/>
      <c r="AK2819" s="77"/>
      <c r="AL2819" s="77"/>
      <c r="AM2819" s="77"/>
      <c r="AN2819" s="77"/>
      <c r="AO2819" s="77"/>
      <c r="AP2819" s="77"/>
      <c r="AQ2819" s="77"/>
      <c r="AR2819" s="77"/>
      <c r="AS2819" s="77"/>
      <c r="AT2819" s="77"/>
      <c r="AU2819" s="77"/>
      <c r="AV2819" s="80" t="str">
        <f>HYPERLINK("https://pbs.twimg.com/profile_images/1559883556846977024/bXHnQFY0_normal.jpg")</f>
        <v>https://pbs.twimg.com/profile_images/1559883556846977024/bXHnQFY0_normal.jpg</v>
      </c>
      <c r="AW2819" s="82" t="s">
        <v>14974</v>
      </c>
      <c r="AX2819" s="82" t="s">
        <v>14974</v>
      </c>
      <c r="AY2819" s="77"/>
      <c r="AZ2819" s="82" t="s">
        <v>15804</v>
      </c>
      <c r="BA2819" s="82" t="s">
        <v>15804</v>
      </c>
      <c r="BB2819" s="82" t="s">
        <v>15804</v>
      </c>
      <c r="BC2819" s="82" t="s">
        <v>14974</v>
      </c>
      <c r="BD2819" s="77">
        <v>51150679</v>
      </c>
      <c r="BE2819" s="77"/>
      <c r="BF2819" s="77"/>
      <c r="BG2819" s="77"/>
      <c r="BH2819" s="77"/>
      <c r="BI2819" s="77"/>
    </row>
    <row r="2820" spans="1:61" x14ac:dyDescent="0.25">
      <c r="A2820" s="62" t="s">
        <v>1027</v>
      </c>
      <c r="B2820" s="62" t="s">
        <v>1027</v>
      </c>
      <c r="C2820" s="63"/>
      <c r="D2820" s="64"/>
      <c r="E2820" s="65"/>
      <c r="F2820" s="66"/>
      <c r="G2820" s="63"/>
      <c r="H2820" s="67"/>
      <c r="I2820" s="68"/>
      <c r="J2820" s="68"/>
      <c r="K2820" s="32"/>
      <c r="L2820" s="75">
        <v>2820</v>
      </c>
      <c r="M2820" s="75"/>
      <c r="N2820" s="70"/>
      <c r="O2820" s="77" t="s">
        <v>179</v>
      </c>
      <c r="P2820" s="79">
        <v>44993.79105324074</v>
      </c>
      <c r="Q2820" s="77" t="s">
        <v>3832</v>
      </c>
      <c r="R2820" s="77">
        <v>0</v>
      </c>
      <c r="S2820" s="77">
        <v>1</v>
      </c>
      <c r="T2820" s="77">
        <v>1</v>
      </c>
      <c r="U2820" s="77">
        <v>0</v>
      </c>
      <c r="V2820" s="77">
        <v>944</v>
      </c>
      <c r="W2820" s="82" t="s">
        <v>5870</v>
      </c>
      <c r="X2820" s="80" t="str">
        <f>HYPERLINK("https://www.moneytimes.com.br/imposto-de-renda-2023-posso-colocar-meus-pais-como-dependentes/")</f>
        <v>https://www.moneytimes.com.br/imposto-de-renda-2023-posso-colocar-meus-pais-como-dependentes/</v>
      </c>
      <c r="Y2820" s="77" t="s">
        <v>6002</v>
      </c>
      <c r="Z2820" s="77"/>
      <c r="AA2820" s="77"/>
      <c r="AB2820" s="77"/>
      <c r="AC2820" s="82" t="s">
        <v>7718</v>
      </c>
      <c r="AD2820" s="77" t="s">
        <v>7745</v>
      </c>
      <c r="AE2820" s="80" t="str">
        <f>HYPERLINK("https://twitter.com/leiamoneytimes/status/1633542880060121088")</f>
        <v>https://twitter.com/leiamoneytimes/status/1633542880060121088</v>
      </c>
      <c r="AF2820" s="79">
        <v>44993.79105324074</v>
      </c>
      <c r="AG2820" s="85">
        <v>44993</v>
      </c>
      <c r="AH2820" s="82" t="s">
        <v>10294</v>
      </c>
      <c r="AI2820" s="77" t="b">
        <v>0</v>
      </c>
      <c r="AJ2820" s="77"/>
      <c r="AK2820" s="77"/>
      <c r="AL2820" s="77"/>
      <c r="AM2820" s="77"/>
      <c r="AN2820" s="77"/>
      <c r="AO2820" s="77"/>
      <c r="AP2820" s="77"/>
      <c r="AQ2820" s="77"/>
      <c r="AR2820" s="77"/>
      <c r="AS2820" s="77"/>
      <c r="AT2820" s="77"/>
      <c r="AU2820" s="77"/>
      <c r="AV2820" s="80" t="str">
        <f>HYPERLINK("https://pbs.twimg.com/profile_images/1559883556846977024/bXHnQFY0_normal.jpg")</f>
        <v>https://pbs.twimg.com/profile_images/1559883556846977024/bXHnQFY0_normal.jpg</v>
      </c>
      <c r="AW2820" s="82" t="s">
        <v>14975</v>
      </c>
      <c r="AX2820" s="82" t="s">
        <v>14975</v>
      </c>
      <c r="AY2820" s="77"/>
      <c r="AZ2820" s="82" t="s">
        <v>15804</v>
      </c>
      <c r="BA2820" s="82" t="s">
        <v>15804</v>
      </c>
      <c r="BB2820" s="82" t="s">
        <v>15804</v>
      </c>
      <c r="BC2820" s="82" t="s">
        <v>14975</v>
      </c>
      <c r="BD2820" s="77">
        <v>51150679</v>
      </c>
      <c r="BE2820" s="77"/>
      <c r="BF2820" s="77"/>
      <c r="BG2820" s="77"/>
      <c r="BH2820" s="77"/>
      <c r="BI2820" s="77"/>
    </row>
    <row r="2821" spans="1:61" x14ac:dyDescent="0.25">
      <c r="A2821" s="62" t="s">
        <v>1027</v>
      </c>
      <c r="B2821" s="62" t="s">
        <v>1027</v>
      </c>
      <c r="C2821" s="63"/>
      <c r="D2821" s="64"/>
      <c r="E2821" s="65"/>
      <c r="F2821" s="66"/>
      <c r="G2821" s="63"/>
      <c r="H2821" s="67"/>
      <c r="I2821" s="68"/>
      <c r="J2821" s="68"/>
      <c r="K2821" s="32"/>
      <c r="L2821" s="75">
        <v>2821</v>
      </c>
      <c r="M2821" s="75"/>
      <c r="N2821" s="70"/>
      <c r="O2821" s="77" t="s">
        <v>179</v>
      </c>
      <c r="P2821" s="79">
        <v>44993.75072916667</v>
      </c>
      <c r="Q2821" s="77" t="s">
        <v>3833</v>
      </c>
      <c r="R2821" s="77">
        <v>0</v>
      </c>
      <c r="S2821" s="77">
        <v>1</v>
      </c>
      <c r="T2821" s="77">
        <v>0</v>
      </c>
      <c r="U2821" s="77">
        <v>0</v>
      </c>
      <c r="V2821" s="77">
        <v>977</v>
      </c>
      <c r="W2821" s="82" t="s">
        <v>5872</v>
      </c>
      <c r="X2821" s="80" t="str">
        <f>HYPERLINK("https://www.moneytimes.com.br/dia-da-mulher-quem-e-a-mulher-mais-rica-do-mundo-e-o-que-ela-faz/")</f>
        <v>https://www.moneytimes.com.br/dia-da-mulher-quem-e-a-mulher-mais-rica-do-mundo-e-o-que-ela-faz/</v>
      </c>
      <c r="Y2821" s="77" t="s">
        <v>6002</v>
      </c>
      <c r="Z2821" s="77"/>
      <c r="AA2821" s="77"/>
      <c r="AB2821" s="77"/>
      <c r="AC2821" s="82" t="s">
        <v>7718</v>
      </c>
      <c r="AD2821" s="77" t="s">
        <v>7745</v>
      </c>
      <c r="AE2821" s="80" t="str">
        <f>HYPERLINK("https://twitter.com/leiamoneytimes/status/1633528268552015872")</f>
        <v>https://twitter.com/leiamoneytimes/status/1633528268552015872</v>
      </c>
      <c r="AF2821" s="79">
        <v>44993.75072916667</v>
      </c>
      <c r="AG2821" s="85">
        <v>44993</v>
      </c>
      <c r="AH2821" s="82" t="s">
        <v>10229</v>
      </c>
      <c r="AI2821" s="77" t="b">
        <v>0</v>
      </c>
      <c r="AJ2821" s="77"/>
      <c r="AK2821" s="77"/>
      <c r="AL2821" s="77"/>
      <c r="AM2821" s="77"/>
      <c r="AN2821" s="77"/>
      <c r="AO2821" s="77"/>
      <c r="AP2821" s="77"/>
      <c r="AQ2821" s="77"/>
      <c r="AR2821" s="77"/>
      <c r="AS2821" s="77"/>
      <c r="AT2821" s="77"/>
      <c r="AU2821" s="77"/>
      <c r="AV2821" s="80" t="str">
        <f>HYPERLINK("https://pbs.twimg.com/profile_images/1559883556846977024/bXHnQFY0_normal.jpg")</f>
        <v>https://pbs.twimg.com/profile_images/1559883556846977024/bXHnQFY0_normal.jpg</v>
      </c>
      <c r="AW2821" s="82" t="s">
        <v>14976</v>
      </c>
      <c r="AX2821" s="82" t="s">
        <v>14976</v>
      </c>
      <c r="AY2821" s="77"/>
      <c r="AZ2821" s="82" t="s">
        <v>15804</v>
      </c>
      <c r="BA2821" s="82" t="s">
        <v>15804</v>
      </c>
      <c r="BB2821" s="82" t="s">
        <v>15804</v>
      </c>
      <c r="BC2821" s="82" t="s">
        <v>14976</v>
      </c>
      <c r="BD2821" s="77">
        <v>51150679</v>
      </c>
      <c r="BE2821" s="77"/>
      <c r="BF2821" s="77"/>
      <c r="BG2821" s="77"/>
      <c r="BH2821" s="77"/>
      <c r="BI2821" s="77"/>
    </row>
    <row r="2822" spans="1:61" x14ac:dyDescent="0.25">
      <c r="A2822" s="62" t="s">
        <v>1027</v>
      </c>
      <c r="B2822" s="62" t="s">
        <v>1027</v>
      </c>
      <c r="C2822" s="63"/>
      <c r="D2822" s="64"/>
      <c r="E2822" s="65"/>
      <c r="F2822" s="66"/>
      <c r="G2822" s="63"/>
      <c r="H2822" s="67"/>
      <c r="I2822" s="68"/>
      <c r="J2822" s="68"/>
      <c r="K2822" s="32"/>
      <c r="L2822" s="75">
        <v>2822</v>
      </c>
      <c r="M2822" s="75"/>
      <c r="N2822" s="70"/>
      <c r="O2822" s="77" t="s">
        <v>179</v>
      </c>
      <c r="P2822" s="79">
        <v>44993.74486111111</v>
      </c>
      <c r="Q2822" s="77" t="s">
        <v>3834</v>
      </c>
      <c r="R2822" s="77">
        <v>1</v>
      </c>
      <c r="S2822" s="77">
        <v>3</v>
      </c>
      <c r="T2822" s="77">
        <v>0</v>
      </c>
      <c r="U2822" s="77">
        <v>0</v>
      </c>
      <c r="V2822" s="77">
        <v>1176</v>
      </c>
      <c r="W2822" s="82" t="s">
        <v>5871</v>
      </c>
      <c r="X2822" s="80" t="str">
        <f>HYPERLINK("https://www.moneytimes.com.br/imposto-de-renda-2023-receita-adianta-liberacao-do-programa-para-quinta-feira-9/")</f>
        <v>https://www.moneytimes.com.br/imposto-de-renda-2023-receita-adianta-liberacao-do-programa-para-quinta-feira-9/</v>
      </c>
      <c r="Y2822" s="77" t="s">
        <v>6002</v>
      </c>
      <c r="Z2822" s="77"/>
      <c r="AA2822" s="77"/>
      <c r="AB2822" s="77"/>
      <c r="AC2822" s="82" t="s">
        <v>7718</v>
      </c>
      <c r="AD2822" s="77" t="s">
        <v>7745</v>
      </c>
      <c r="AE2822" s="80" t="str">
        <f>HYPERLINK("https://twitter.com/leiamoneytimes/status/1633526140911652865")</f>
        <v>https://twitter.com/leiamoneytimes/status/1633526140911652865</v>
      </c>
      <c r="AF2822" s="79">
        <v>44993.74486111111</v>
      </c>
      <c r="AG2822" s="85">
        <v>44993</v>
      </c>
      <c r="AH2822" s="82" t="s">
        <v>10295</v>
      </c>
      <c r="AI2822" s="77" t="b">
        <v>0</v>
      </c>
      <c r="AJ2822" s="77"/>
      <c r="AK2822" s="77"/>
      <c r="AL2822" s="77"/>
      <c r="AM2822" s="77"/>
      <c r="AN2822" s="77"/>
      <c r="AO2822" s="77"/>
      <c r="AP2822" s="77"/>
      <c r="AQ2822" s="77"/>
      <c r="AR2822" s="77"/>
      <c r="AS2822" s="77"/>
      <c r="AT2822" s="77"/>
      <c r="AU2822" s="77"/>
      <c r="AV2822" s="80" t="str">
        <f>HYPERLINK("https://pbs.twimg.com/profile_images/1559883556846977024/bXHnQFY0_normal.jpg")</f>
        <v>https://pbs.twimg.com/profile_images/1559883556846977024/bXHnQFY0_normal.jpg</v>
      </c>
      <c r="AW2822" s="82" t="s">
        <v>14977</v>
      </c>
      <c r="AX2822" s="82" t="s">
        <v>14977</v>
      </c>
      <c r="AY2822" s="77"/>
      <c r="AZ2822" s="82" t="s">
        <v>15804</v>
      </c>
      <c r="BA2822" s="82" t="s">
        <v>15804</v>
      </c>
      <c r="BB2822" s="82" t="s">
        <v>15804</v>
      </c>
      <c r="BC2822" s="82" t="s">
        <v>14977</v>
      </c>
      <c r="BD2822" s="77">
        <v>51150679</v>
      </c>
      <c r="BE2822" s="77"/>
      <c r="BF2822" s="77"/>
      <c r="BG2822" s="77"/>
      <c r="BH2822" s="77"/>
      <c r="BI2822" s="77"/>
    </row>
    <row r="2823" spans="1:61" x14ac:dyDescent="0.25">
      <c r="A2823" s="62" t="s">
        <v>1027</v>
      </c>
      <c r="B2823" s="62" t="s">
        <v>1027</v>
      </c>
      <c r="C2823" s="63"/>
      <c r="D2823" s="64"/>
      <c r="E2823" s="65"/>
      <c r="F2823" s="66"/>
      <c r="G2823" s="63"/>
      <c r="H2823" s="67"/>
      <c r="I2823" s="68"/>
      <c r="J2823" s="68"/>
      <c r="K2823" s="32"/>
      <c r="L2823" s="75">
        <v>2823</v>
      </c>
      <c r="M2823" s="75"/>
      <c r="N2823" s="70"/>
      <c r="O2823" s="77" t="s">
        <v>179</v>
      </c>
      <c r="P2823" s="79">
        <v>45105.59652777778</v>
      </c>
      <c r="Q2823" s="77" t="s">
        <v>3835</v>
      </c>
      <c r="R2823" s="77">
        <v>0</v>
      </c>
      <c r="S2823" s="77">
        <v>2</v>
      </c>
      <c r="T2823" s="77">
        <v>1</v>
      </c>
      <c r="U2823" s="77">
        <v>0</v>
      </c>
      <c r="V2823" s="77">
        <v>1099</v>
      </c>
      <c r="W2823" s="82" t="s">
        <v>5871</v>
      </c>
      <c r="X2823" s="80" t="str">
        <f>HYPERLINK("https://www.moneytimes.com.br/imposto-de-renda-segundo-lote-da-restituicao-tera-reajuste-de-1-veja-quem-recebe-nesta-sexta-30/")</f>
        <v>https://www.moneytimes.com.br/imposto-de-renda-segundo-lote-da-restituicao-tera-reajuste-de-1-veja-quem-recebe-nesta-sexta-30/</v>
      </c>
      <c r="Y2823" s="77" t="s">
        <v>6002</v>
      </c>
      <c r="Z2823" s="77"/>
      <c r="AA2823" s="77"/>
      <c r="AB2823" s="77"/>
      <c r="AC2823" s="82" t="s">
        <v>7718</v>
      </c>
      <c r="AD2823" s="77" t="s">
        <v>7745</v>
      </c>
      <c r="AE2823" s="80" t="str">
        <f>HYPERLINK("https://twitter.com/leiamoneytimes/status/1674059828384153601")</f>
        <v>https://twitter.com/leiamoneytimes/status/1674059828384153601</v>
      </c>
      <c r="AF2823" s="79">
        <v>45105.59652777778</v>
      </c>
      <c r="AG2823" s="85">
        <v>45105</v>
      </c>
      <c r="AH2823" s="82" t="s">
        <v>10296</v>
      </c>
      <c r="AI2823" s="77" t="b">
        <v>0</v>
      </c>
      <c r="AJ2823" s="77"/>
      <c r="AK2823" s="77"/>
      <c r="AL2823" s="77"/>
      <c r="AM2823" s="77"/>
      <c r="AN2823" s="77"/>
      <c r="AO2823" s="77"/>
      <c r="AP2823" s="77"/>
      <c r="AQ2823" s="77"/>
      <c r="AR2823" s="77"/>
      <c r="AS2823" s="77"/>
      <c r="AT2823" s="77"/>
      <c r="AU2823" s="77"/>
      <c r="AV2823" s="80" t="str">
        <f>HYPERLINK("https://pbs.twimg.com/profile_images/1559883556846977024/bXHnQFY0_normal.jpg")</f>
        <v>https://pbs.twimg.com/profile_images/1559883556846977024/bXHnQFY0_normal.jpg</v>
      </c>
      <c r="AW2823" s="82" t="s">
        <v>14978</v>
      </c>
      <c r="AX2823" s="82" t="s">
        <v>14978</v>
      </c>
      <c r="AY2823" s="77"/>
      <c r="AZ2823" s="82" t="s">
        <v>15804</v>
      </c>
      <c r="BA2823" s="82" t="s">
        <v>15804</v>
      </c>
      <c r="BB2823" s="82" t="s">
        <v>15804</v>
      </c>
      <c r="BC2823" s="82" t="s">
        <v>14978</v>
      </c>
      <c r="BD2823" s="77">
        <v>51150679</v>
      </c>
      <c r="BE2823" s="77"/>
      <c r="BF2823" s="77"/>
      <c r="BG2823" s="77"/>
      <c r="BH2823" s="77"/>
      <c r="BI2823" s="77"/>
    </row>
    <row r="2824" spans="1:61" x14ac:dyDescent="0.25">
      <c r="A2824" s="62" t="s">
        <v>1027</v>
      </c>
      <c r="B2824" s="62" t="s">
        <v>1027</v>
      </c>
      <c r="C2824" s="63"/>
      <c r="D2824" s="64"/>
      <c r="E2824" s="65"/>
      <c r="F2824" s="66"/>
      <c r="G2824" s="63"/>
      <c r="H2824" s="67"/>
      <c r="I2824" s="68"/>
      <c r="J2824" s="68"/>
      <c r="K2824" s="32"/>
      <c r="L2824" s="75">
        <v>2824</v>
      </c>
      <c r="M2824" s="75"/>
      <c r="N2824" s="70"/>
      <c r="O2824" s="77" t="s">
        <v>179</v>
      </c>
      <c r="P2824" s="79">
        <v>45048.522581018522</v>
      </c>
      <c r="Q2824" s="77" t="s">
        <v>3836</v>
      </c>
      <c r="R2824" s="77">
        <v>0</v>
      </c>
      <c r="S2824" s="77">
        <v>3</v>
      </c>
      <c r="T2824" s="77">
        <v>1</v>
      </c>
      <c r="U2824" s="77">
        <v>0</v>
      </c>
      <c r="V2824" s="77">
        <v>1144</v>
      </c>
      <c r="W2824" s="82" t="s">
        <v>5873</v>
      </c>
      <c r="X2824" s="80" t="str">
        <f>HYPERLINK("https://www.moneytimes.com.br/como-declarar-venda-de-imoveis-no-imposto-de-renda-2023/")</f>
        <v>https://www.moneytimes.com.br/como-declarar-venda-de-imoveis-no-imposto-de-renda-2023/</v>
      </c>
      <c r="Y2824" s="77" t="s">
        <v>6002</v>
      </c>
      <c r="Z2824" s="77"/>
      <c r="AA2824" s="77"/>
      <c r="AB2824" s="77"/>
      <c r="AC2824" s="82" t="s">
        <v>7718</v>
      </c>
      <c r="AD2824" s="77" t="s">
        <v>7745</v>
      </c>
      <c r="AE2824" s="80" t="str">
        <f>HYPERLINK("https://twitter.com/leiamoneytimes/status/1653376925157543938")</f>
        <v>https://twitter.com/leiamoneytimes/status/1653376925157543938</v>
      </c>
      <c r="AF2824" s="79">
        <v>45048.522581018522</v>
      </c>
      <c r="AG2824" s="85">
        <v>45048</v>
      </c>
      <c r="AH2824" s="82" t="s">
        <v>10297</v>
      </c>
      <c r="AI2824" s="77" t="b">
        <v>0</v>
      </c>
      <c r="AJ2824" s="77"/>
      <c r="AK2824" s="77"/>
      <c r="AL2824" s="77"/>
      <c r="AM2824" s="77"/>
      <c r="AN2824" s="77"/>
      <c r="AO2824" s="77"/>
      <c r="AP2824" s="77"/>
      <c r="AQ2824" s="77"/>
      <c r="AR2824" s="77"/>
      <c r="AS2824" s="77"/>
      <c r="AT2824" s="77"/>
      <c r="AU2824" s="77"/>
      <c r="AV2824" s="80" t="str">
        <f>HYPERLINK("https://pbs.twimg.com/profile_images/1559883556846977024/bXHnQFY0_normal.jpg")</f>
        <v>https://pbs.twimg.com/profile_images/1559883556846977024/bXHnQFY0_normal.jpg</v>
      </c>
      <c r="AW2824" s="82" t="s">
        <v>14979</v>
      </c>
      <c r="AX2824" s="82" t="s">
        <v>14979</v>
      </c>
      <c r="AY2824" s="77"/>
      <c r="AZ2824" s="82" t="s">
        <v>15804</v>
      </c>
      <c r="BA2824" s="82" t="s">
        <v>15804</v>
      </c>
      <c r="BB2824" s="82" t="s">
        <v>15804</v>
      </c>
      <c r="BC2824" s="82" t="s">
        <v>14979</v>
      </c>
      <c r="BD2824" s="77">
        <v>51150679</v>
      </c>
      <c r="BE2824" s="77"/>
      <c r="BF2824" s="77"/>
      <c r="BG2824" s="77"/>
      <c r="BH2824" s="77"/>
      <c r="BI2824" s="77"/>
    </row>
    <row r="2825" spans="1:61" x14ac:dyDescent="0.25">
      <c r="A2825" s="62" t="s">
        <v>1027</v>
      </c>
      <c r="B2825" s="62" t="s">
        <v>1027</v>
      </c>
      <c r="C2825" s="63"/>
      <c r="D2825" s="64"/>
      <c r="E2825" s="65"/>
      <c r="F2825" s="66"/>
      <c r="G2825" s="63"/>
      <c r="H2825" s="67"/>
      <c r="I2825" s="68"/>
      <c r="J2825" s="68"/>
      <c r="K2825" s="32"/>
      <c r="L2825" s="75">
        <v>2825</v>
      </c>
      <c r="M2825" s="75"/>
      <c r="N2825" s="70"/>
      <c r="O2825" s="77" t="s">
        <v>179</v>
      </c>
      <c r="P2825" s="79">
        <v>45047.736226851855</v>
      </c>
      <c r="Q2825" s="77" t="s">
        <v>3837</v>
      </c>
      <c r="R2825" s="77">
        <v>0</v>
      </c>
      <c r="S2825" s="77">
        <v>3</v>
      </c>
      <c r="T2825" s="77">
        <v>1</v>
      </c>
      <c r="U2825" s="77">
        <v>0</v>
      </c>
      <c r="V2825" s="77">
        <v>1761</v>
      </c>
      <c r="W2825" s="82" t="s">
        <v>5871</v>
      </c>
      <c r="X2825" s="80" t="str">
        <f>HYPERLINK("https://www.moneytimes.com.br/imposto-de-renda-confira-a-atual-tabela-de-descontos-com-a-nova-isencao/")</f>
        <v>https://www.moneytimes.com.br/imposto-de-renda-confira-a-atual-tabela-de-descontos-com-a-nova-isencao/</v>
      </c>
      <c r="Y2825" s="77" t="s">
        <v>6002</v>
      </c>
      <c r="Z2825" s="77"/>
      <c r="AA2825" s="77"/>
      <c r="AB2825" s="77"/>
      <c r="AC2825" s="82" t="s">
        <v>7718</v>
      </c>
      <c r="AD2825" s="77" t="s">
        <v>7745</v>
      </c>
      <c r="AE2825" s="80" t="str">
        <f>HYPERLINK("https://twitter.com/leiamoneytimes/status/1653091960117231616")</f>
        <v>https://twitter.com/leiamoneytimes/status/1653091960117231616</v>
      </c>
      <c r="AF2825" s="79">
        <v>45047.736226851855</v>
      </c>
      <c r="AG2825" s="85">
        <v>45047</v>
      </c>
      <c r="AH2825" s="82" t="s">
        <v>10298</v>
      </c>
      <c r="AI2825" s="77" t="b">
        <v>0</v>
      </c>
      <c r="AJ2825" s="77"/>
      <c r="AK2825" s="77"/>
      <c r="AL2825" s="77"/>
      <c r="AM2825" s="77"/>
      <c r="AN2825" s="77"/>
      <c r="AO2825" s="77"/>
      <c r="AP2825" s="77"/>
      <c r="AQ2825" s="77"/>
      <c r="AR2825" s="77"/>
      <c r="AS2825" s="77"/>
      <c r="AT2825" s="77"/>
      <c r="AU2825" s="77"/>
      <c r="AV2825" s="80" t="str">
        <f>HYPERLINK("https://pbs.twimg.com/profile_images/1559883556846977024/bXHnQFY0_normal.jpg")</f>
        <v>https://pbs.twimg.com/profile_images/1559883556846977024/bXHnQFY0_normal.jpg</v>
      </c>
      <c r="AW2825" s="82" t="s">
        <v>14980</v>
      </c>
      <c r="AX2825" s="82" t="s">
        <v>14980</v>
      </c>
      <c r="AY2825" s="77"/>
      <c r="AZ2825" s="82" t="s">
        <v>15804</v>
      </c>
      <c r="BA2825" s="82" t="s">
        <v>15804</v>
      </c>
      <c r="BB2825" s="82" t="s">
        <v>15804</v>
      </c>
      <c r="BC2825" s="82" t="s">
        <v>14980</v>
      </c>
      <c r="BD2825" s="77">
        <v>51150679</v>
      </c>
      <c r="BE2825" s="77"/>
      <c r="BF2825" s="77"/>
      <c r="BG2825" s="77"/>
      <c r="BH2825" s="77"/>
      <c r="BI2825" s="77"/>
    </row>
    <row r="2826" spans="1:61" x14ac:dyDescent="0.25">
      <c r="A2826" s="62" t="s">
        <v>1027</v>
      </c>
      <c r="B2826" s="62" t="s">
        <v>1027</v>
      </c>
      <c r="C2826" s="63"/>
      <c r="D2826" s="64"/>
      <c r="E2826" s="65"/>
      <c r="F2826" s="66"/>
      <c r="G2826" s="63"/>
      <c r="H2826" s="67"/>
      <c r="I2826" s="68"/>
      <c r="J2826" s="68"/>
      <c r="K2826" s="32"/>
      <c r="L2826" s="75">
        <v>2826</v>
      </c>
      <c r="M2826" s="75"/>
      <c r="N2826" s="70"/>
      <c r="O2826" s="77" t="s">
        <v>179</v>
      </c>
      <c r="P2826" s="79">
        <v>45047.60297453704</v>
      </c>
      <c r="Q2826" s="77" t="s">
        <v>3838</v>
      </c>
      <c r="R2826" s="77">
        <v>0</v>
      </c>
      <c r="S2826" s="77">
        <v>0</v>
      </c>
      <c r="T2826" s="77">
        <v>1</v>
      </c>
      <c r="U2826" s="77">
        <v>0</v>
      </c>
      <c r="V2826" s="77">
        <v>1429</v>
      </c>
      <c r="W2826" s="82" t="s">
        <v>5874</v>
      </c>
      <c r="X2826" s="80" t="str">
        <f>HYPERLINK("https://www.moneytimes.com.br/novo-salario-minimo-tudo-o-que-voce-precisa-saber-sobre-a-mudanca-do-piso/")</f>
        <v>https://www.moneytimes.com.br/novo-salario-minimo-tudo-o-que-voce-precisa-saber-sobre-a-mudanca-do-piso/</v>
      </c>
      <c r="Y2826" s="77" t="s">
        <v>6002</v>
      </c>
      <c r="Z2826" s="77"/>
      <c r="AA2826" s="77"/>
      <c r="AB2826" s="77"/>
      <c r="AC2826" s="82" t="s">
        <v>7718</v>
      </c>
      <c r="AD2826" s="77" t="s">
        <v>7745</v>
      </c>
      <c r="AE2826" s="80" t="str">
        <f>HYPERLINK("https://twitter.com/leiamoneytimes/status/1653043671305003017")</f>
        <v>https://twitter.com/leiamoneytimes/status/1653043671305003017</v>
      </c>
      <c r="AF2826" s="79">
        <v>45047.60297453704</v>
      </c>
      <c r="AG2826" s="85">
        <v>45047</v>
      </c>
      <c r="AH2826" s="82" t="s">
        <v>10299</v>
      </c>
      <c r="AI2826" s="77" t="b">
        <v>0</v>
      </c>
      <c r="AJ2826" s="77"/>
      <c r="AK2826" s="77"/>
      <c r="AL2826" s="77"/>
      <c r="AM2826" s="77"/>
      <c r="AN2826" s="77"/>
      <c r="AO2826" s="77"/>
      <c r="AP2826" s="77"/>
      <c r="AQ2826" s="77"/>
      <c r="AR2826" s="77"/>
      <c r="AS2826" s="77"/>
      <c r="AT2826" s="77"/>
      <c r="AU2826" s="77"/>
      <c r="AV2826" s="80" t="str">
        <f>HYPERLINK("https://pbs.twimg.com/profile_images/1559883556846977024/bXHnQFY0_normal.jpg")</f>
        <v>https://pbs.twimg.com/profile_images/1559883556846977024/bXHnQFY0_normal.jpg</v>
      </c>
      <c r="AW2826" s="82" t="s">
        <v>14981</v>
      </c>
      <c r="AX2826" s="82" t="s">
        <v>14981</v>
      </c>
      <c r="AY2826" s="77"/>
      <c r="AZ2826" s="82" t="s">
        <v>15804</v>
      </c>
      <c r="BA2826" s="82" t="s">
        <v>15804</v>
      </c>
      <c r="BB2826" s="82" t="s">
        <v>15804</v>
      </c>
      <c r="BC2826" s="82" t="s">
        <v>14981</v>
      </c>
      <c r="BD2826" s="77">
        <v>51150679</v>
      </c>
      <c r="BE2826" s="77"/>
      <c r="BF2826" s="77"/>
      <c r="BG2826" s="77"/>
      <c r="BH2826" s="77"/>
      <c r="BI2826" s="77"/>
    </row>
    <row r="2827" spans="1:61" x14ac:dyDescent="0.25">
      <c r="A2827" s="62" t="s">
        <v>1027</v>
      </c>
      <c r="B2827" s="62" t="s">
        <v>1027</v>
      </c>
      <c r="C2827" s="63"/>
      <c r="D2827" s="64"/>
      <c r="E2827" s="65"/>
      <c r="F2827" s="66"/>
      <c r="G2827" s="63"/>
      <c r="H2827" s="67"/>
      <c r="I2827" s="68"/>
      <c r="J2827" s="68"/>
      <c r="K2827" s="32"/>
      <c r="L2827" s="75">
        <v>2827</v>
      </c>
      <c r="M2827" s="75"/>
      <c r="N2827" s="70"/>
      <c r="O2827" s="77" t="s">
        <v>179</v>
      </c>
      <c r="P2827" s="79">
        <v>45040.84033564815</v>
      </c>
      <c r="Q2827" s="77" t="s">
        <v>3839</v>
      </c>
      <c r="R2827" s="77">
        <v>1</v>
      </c>
      <c r="S2827" s="77">
        <v>1</v>
      </c>
      <c r="T2827" s="77">
        <v>0</v>
      </c>
      <c r="U2827" s="77">
        <v>0</v>
      </c>
      <c r="V2827" s="77">
        <v>1199</v>
      </c>
      <c r="W2827" s="82" t="s">
        <v>5870</v>
      </c>
      <c r="X2827" s="80" t="str">
        <f>HYPERLINK("https://www.moneytimes.com.br/imposto-de-renda-2023-investimentos-em-renda-fixa-isentos-de-ir-devem-ser-declarados-veja-como/")</f>
        <v>https://www.moneytimes.com.br/imposto-de-renda-2023-investimentos-em-renda-fixa-isentos-de-ir-devem-ser-declarados-veja-como/</v>
      </c>
      <c r="Y2827" s="77" t="s">
        <v>6002</v>
      </c>
      <c r="Z2827" s="77"/>
      <c r="AA2827" s="77"/>
      <c r="AB2827" s="77"/>
      <c r="AC2827" s="82" t="s">
        <v>7718</v>
      </c>
      <c r="AD2827" s="77" t="s">
        <v>7745</v>
      </c>
      <c r="AE2827" s="80" t="str">
        <f>HYPERLINK("https://twitter.com/leiamoneytimes/status/1650592972272967681")</f>
        <v>https://twitter.com/leiamoneytimes/status/1650592972272967681</v>
      </c>
      <c r="AF2827" s="79">
        <v>45040.84033564815</v>
      </c>
      <c r="AG2827" s="85">
        <v>45040</v>
      </c>
      <c r="AH2827" s="82" t="s">
        <v>10300</v>
      </c>
      <c r="AI2827" s="77" t="b">
        <v>0</v>
      </c>
      <c r="AJ2827" s="77"/>
      <c r="AK2827" s="77"/>
      <c r="AL2827" s="77"/>
      <c r="AM2827" s="77"/>
      <c r="AN2827" s="77"/>
      <c r="AO2827" s="77"/>
      <c r="AP2827" s="77"/>
      <c r="AQ2827" s="77"/>
      <c r="AR2827" s="77"/>
      <c r="AS2827" s="77"/>
      <c r="AT2827" s="77"/>
      <c r="AU2827" s="77"/>
      <c r="AV2827" s="80" t="str">
        <f>HYPERLINK("https://pbs.twimg.com/profile_images/1559883556846977024/bXHnQFY0_normal.jpg")</f>
        <v>https://pbs.twimg.com/profile_images/1559883556846977024/bXHnQFY0_normal.jpg</v>
      </c>
      <c r="AW2827" s="82" t="s">
        <v>14982</v>
      </c>
      <c r="AX2827" s="82" t="s">
        <v>14982</v>
      </c>
      <c r="AY2827" s="77"/>
      <c r="AZ2827" s="82" t="s">
        <v>15804</v>
      </c>
      <c r="BA2827" s="82" t="s">
        <v>15804</v>
      </c>
      <c r="BB2827" s="82" t="s">
        <v>15804</v>
      </c>
      <c r="BC2827" s="82" t="s">
        <v>14982</v>
      </c>
      <c r="BD2827" s="77">
        <v>51150679</v>
      </c>
      <c r="BE2827" s="77"/>
      <c r="BF2827" s="77"/>
      <c r="BG2827" s="77"/>
      <c r="BH2827" s="77"/>
      <c r="BI2827" s="77"/>
    </row>
    <row r="2828" spans="1:61" x14ac:dyDescent="0.25">
      <c r="A2828" s="62" t="s">
        <v>1027</v>
      </c>
      <c r="B2828" s="62" t="s">
        <v>1027</v>
      </c>
      <c r="C2828" s="63"/>
      <c r="D2828" s="64"/>
      <c r="E2828" s="65"/>
      <c r="F2828" s="66"/>
      <c r="G2828" s="63"/>
      <c r="H2828" s="67"/>
      <c r="I2828" s="68"/>
      <c r="J2828" s="68"/>
      <c r="K2828" s="32"/>
      <c r="L2828" s="75">
        <v>2828</v>
      </c>
      <c r="M2828" s="75"/>
      <c r="N2828" s="70"/>
      <c r="O2828" s="77" t="s">
        <v>179</v>
      </c>
      <c r="P2828" s="79">
        <v>45040.579108796293</v>
      </c>
      <c r="Q2828" s="77" t="s">
        <v>3840</v>
      </c>
      <c r="R2828" s="77">
        <v>0</v>
      </c>
      <c r="S2828" s="77">
        <v>1</v>
      </c>
      <c r="T2828" s="77">
        <v>0</v>
      </c>
      <c r="U2828" s="77">
        <v>0</v>
      </c>
      <c r="V2828" s="77">
        <v>1077</v>
      </c>
      <c r="W2828" s="82" t="s">
        <v>5875</v>
      </c>
      <c r="X2828" s="80" t="str">
        <f>HYPERLINK("https://www.moneytimes.com.br/como-declarar-dinheiro-aplicado-na-nuconta-no-imposto-de-renda-2023/")</f>
        <v>https://www.moneytimes.com.br/como-declarar-dinheiro-aplicado-na-nuconta-no-imposto-de-renda-2023/</v>
      </c>
      <c r="Y2828" s="77" t="s">
        <v>6002</v>
      </c>
      <c r="Z2828" s="77"/>
      <c r="AA2828" s="77"/>
      <c r="AB2828" s="77"/>
      <c r="AC2828" s="82" t="s">
        <v>7718</v>
      </c>
      <c r="AD2828" s="77" t="s">
        <v>7745</v>
      </c>
      <c r="AE2828" s="80" t="str">
        <f>HYPERLINK("https://twitter.com/leiamoneytimes/status/1650498305657298945")</f>
        <v>https://twitter.com/leiamoneytimes/status/1650498305657298945</v>
      </c>
      <c r="AF2828" s="79">
        <v>45040.579108796293</v>
      </c>
      <c r="AG2828" s="85">
        <v>45040</v>
      </c>
      <c r="AH2828" s="82" t="s">
        <v>10301</v>
      </c>
      <c r="AI2828" s="77" t="b">
        <v>0</v>
      </c>
      <c r="AJ2828" s="77"/>
      <c r="AK2828" s="77"/>
      <c r="AL2828" s="77"/>
      <c r="AM2828" s="77"/>
      <c r="AN2828" s="77"/>
      <c r="AO2828" s="77"/>
      <c r="AP2828" s="77"/>
      <c r="AQ2828" s="77"/>
      <c r="AR2828" s="77"/>
      <c r="AS2828" s="77"/>
      <c r="AT2828" s="77"/>
      <c r="AU2828" s="77"/>
      <c r="AV2828" s="80" t="str">
        <f>HYPERLINK("https://pbs.twimg.com/profile_images/1559883556846977024/bXHnQFY0_normal.jpg")</f>
        <v>https://pbs.twimg.com/profile_images/1559883556846977024/bXHnQFY0_normal.jpg</v>
      </c>
      <c r="AW2828" s="82" t="s">
        <v>14983</v>
      </c>
      <c r="AX2828" s="82" t="s">
        <v>14983</v>
      </c>
      <c r="AY2828" s="77"/>
      <c r="AZ2828" s="82" t="s">
        <v>15804</v>
      </c>
      <c r="BA2828" s="82" t="s">
        <v>15804</v>
      </c>
      <c r="BB2828" s="82" t="s">
        <v>15804</v>
      </c>
      <c r="BC2828" s="82" t="s">
        <v>14983</v>
      </c>
      <c r="BD2828" s="77">
        <v>51150679</v>
      </c>
      <c r="BE2828" s="77"/>
      <c r="BF2828" s="77"/>
      <c r="BG2828" s="77"/>
      <c r="BH2828" s="77"/>
      <c r="BI2828" s="77"/>
    </row>
    <row r="2829" spans="1:61" x14ac:dyDescent="0.25">
      <c r="A2829" s="62" t="s">
        <v>1027</v>
      </c>
      <c r="B2829" s="62" t="s">
        <v>1027</v>
      </c>
      <c r="C2829" s="63"/>
      <c r="D2829" s="64"/>
      <c r="E2829" s="65"/>
      <c r="F2829" s="66"/>
      <c r="G2829" s="63"/>
      <c r="H2829" s="67"/>
      <c r="I2829" s="68"/>
      <c r="J2829" s="68"/>
      <c r="K2829" s="32"/>
      <c r="L2829" s="75">
        <v>2829</v>
      </c>
      <c r="M2829" s="75"/>
      <c r="N2829" s="70"/>
      <c r="O2829" s="77" t="s">
        <v>179</v>
      </c>
      <c r="P2829" s="79">
        <v>45038.876180555555</v>
      </c>
      <c r="Q2829" s="77" t="s">
        <v>3841</v>
      </c>
      <c r="R2829" s="77">
        <v>0</v>
      </c>
      <c r="S2829" s="77">
        <v>6</v>
      </c>
      <c r="T2829" s="77">
        <v>0</v>
      </c>
      <c r="U2829" s="77">
        <v>0</v>
      </c>
      <c r="V2829" s="77">
        <v>2240</v>
      </c>
      <c r="W2829" s="82" t="s">
        <v>5871</v>
      </c>
      <c r="X2829" s="80" t="str">
        <f>HYPERLINK("https://www.moneytimes.com.br/imposto-de-renda-voce-esta-caindo-em-algum-dos-erros-mais-comuns-dos-investidores-iniciantes/")</f>
        <v>https://www.moneytimes.com.br/imposto-de-renda-voce-esta-caindo-em-algum-dos-erros-mais-comuns-dos-investidores-iniciantes/</v>
      </c>
      <c r="Y2829" s="77" t="s">
        <v>6002</v>
      </c>
      <c r="Z2829" s="77"/>
      <c r="AA2829" s="77"/>
      <c r="AB2829" s="77"/>
      <c r="AC2829" s="82" t="s">
        <v>7718</v>
      </c>
      <c r="AD2829" s="77" t="s">
        <v>7745</v>
      </c>
      <c r="AE2829" s="80" t="str">
        <f>HYPERLINK("https://twitter.com/leiamoneytimes/status/1649881185110163456")</f>
        <v>https://twitter.com/leiamoneytimes/status/1649881185110163456</v>
      </c>
      <c r="AF2829" s="79">
        <v>45038.876180555555</v>
      </c>
      <c r="AG2829" s="85">
        <v>45038</v>
      </c>
      <c r="AH2829" s="82" t="s">
        <v>10302</v>
      </c>
      <c r="AI2829" s="77" t="b">
        <v>0</v>
      </c>
      <c r="AJ2829" s="77"/>
      <c r="AK2829" s="77"/>
      <c r="AL2829" s="77"/>
      <c r="AM2829" s="77"/>
      <c r="AN2829" s="77"/>
      <c r="AO2829" s="77"/>
      <c r="AP2829" s="77"/>
      <c r="AQ2829" s="77"/>
      <c r="AR2829" s="77"/>
      <c r="AS2829" s="77"/>
      <c r="AT2829" s="77"/>
      <c r="AU2829" s="77"/>
      <c r="AV2829" s="80" t="str">
        <f>HYPERLINK("https://pbs.twimg.com/profile_images/1559883556846977024/bXHnQFY0_normal.jpg")</f>
        <v>https://pbs.twimg.com/profile_images/1559883556846977024/bXHnQFY0_normal.jpg</v>
      </c>
      <c r="AW2829" s="82" t="s">
        <v>14984</v>
      </c>
      <c r="AX2829" s="82" t="s">
        <v>14984</v>
      </c>
      <c r="AY2829" s="77"/>
      <c r="AZ2829" s="82" t="s">
        <v>15804</v>
      </c>
      <c r="BA2829" s="82" t="s">
        <v>15804</v>
      </c>
      <c r="BB2829" s="82" t="s">
        <v>15804</v>
      </c>
      <c r="BC2829" s="82" t="s">
        <v>14984</v>
      </c>
      <c r="BD2829" s="77">
        <v>51150679</v>
      </c>
      <c r="BE2829" s="77"/>
      <c r="BF2829" s="77"/>
      <c r="BG2829" s="77"/>
      <c r="BH2829" s="77"/>
      <c r="BI2829" s="77"/>
    </row>
    <row r="2830" spans="1:61" x14ac:dyDescent="0.25">
      <c r="A2830" s="62" t="s">
        <v>1027</v>
      </c>
      <c r="B2830" s="62" t="s">
        <v>1027</v>
      </c>
      <c r="C2830" s="63"/>
      <c r="D2830" s="64"/>
      <c r="E2830" s="65"/>
      <c r="F2830" s="66"/>
      <c r="G2830" s="63"/>
      <c r="H2830" s="67"/>
      <c r="I2830" s="68"/>
      <c r="J2830" s="68"/>
      <c r="K2830" s="32"/>
      <c r="L2830" s="75">
        <v>2830</v>
      </c>
      <c r="M2830" s="75"/>
      <c r="N2830" s="70"/>
      <c r="O2830" s="77" t="s">
        <v>179</v>
      </c>
      <c r="P2830" s="79">
        <v>45038.642893518518</v>
      </c>
      <c r="Q2830" s="77" t="s">
        <v>3842</v>
      </c>
      <c r="R2830" s="77">
        <v>1</v>
      </c>
      <c r="S2830" s="77">
        <v>1</v>
      </c>
      <c r="T2830" s="77">
        <v>0</v>
      </c>
      <c r="U2830" s="77">
        <v>0</v>
      </c>
      <c r="V2830" s="77">
        <v>1699</v>
      </c>
      <c r="W2830" s="82" t="s">
        <v>5860</v>
      </c>
      <c r="X2830" s="80" t="str">
        <f>HYPERLINK("https://www.moneytimes.com.br/mega-sena-acumulada-veja-os-5-numeros-mais-pes-frios-deste-ano-2-nem-foram-sorteados-ainda/")</f>
        <v>https://www.moneytimes.com.br/mega-sena-acumulada-veja-os-5-numeros-mais-pes-frios-deste-ano-2-nem-foram-sorteados-ainda/</v>
      </c>
      <c r="Y2830" s="77" t="s">
        <v>6002</v>
      </c>
      <c r="Z2830" s="77"/>
      <c r="AA2830" s="77"/>
      <c r="AB2830" s="77"/>
      <c r="AC2830" s="82" t="s">
        <v>7718</v>
      </c>
      <c r="AD2830" s="77" t="s">
        <v>7745</v>
      </c>
      <c r="AE2830" s="80" t="str">
        <f>HYPERLINK("https://twitter.com/leiamoneytimes/status/1649796644194467842")</f>
        <v>https://twitter.com/leiamoneytimes/status/1649796644194467842</v>
      </c>
      <c r="AF2830" s="79">
        <v>45038.642893518518</v>
      </c>
      <c r="AG2830" s="85">
        <v>45038</v>
      </c>
      <c r="AH2830" s="82" t="s">
        <v>10303</v>
      </c>
      <c r="AI2830" s="77" t="b">
        <v>0</v>
      </c>
      <c r="AJ2830" s="77"/>
      <c r="AK2830" s="77"/>
      <c r="AL2830" s="77"/>
      <c r="AM2830" s="77"/>
      <c r="AN2830" s="77"/>
      <c r="AO2830" s="77"/>
      <c r="AP2830" s="77"/>
      <c r="AQ2830" s="77"/>
      <c r="AR2830" s="77"/>
      <c r="AS2830" s="77"/>
      <c r="AT2830" s="77"/>
      <c r="AU2830" s="77"/>
      <c r="AV2830" s="80" t="str">
        <f>HYPERLINK("https://pbs.twimg.com/profile_images/1559883556846977024/bXHnQFY0_normal.jpg")</f>
        <v>https://pbs.twimg.com/profile_images/1559883556846977024/bXHnQFY0_normal.jpg</v>
      </c>
      <c r="AW2830" s="82" t="s">
        <v>14985</v>
      </c>
      <c r="AX2830" s="82" t="s">
        <v>14985</v>
      </c>
      <c r="AY2830" s="77"/>
      <c r="AZ2830" s="82" t="s">
        <v>15804</v>
      </c>
      <c r="BA2830" s="82" t="s">
        <v>15804</v>
      </c>
      <c r="BB2830" s="82" t="s">
        <v>15804</v>
      </c>
      <c r="BC2830" s="82" t="s">
        <v>14985</v>
      </c>
      <c r="BD2830" s="77">
        <v>51150679</v>
      </c>
      <c r="BE2830" s="77"/>
      <c r="BF2830" s="77"/>
      <c r="BG2830" s="77"/>
      <c r="BH2830" s="77"/>
      <c r="BI2830" s="77"/>
    </row>
    <row r="2831" spans="1:61" x14ac:dyDescent="0.25">
      <c r="A2831" s="62" t="s">
        <v>1027</v>
      </c>
      <c r="B2831" s="62" t="s">
        <v>1027</v>
      </c>
      <c r="C2831" s="63"/>
      <c r="D2831" s="64"/>
      <c r="E2831" s="65"/>
      <c r="F2831" s="66"/>
      <c r="G2831" s="63"/>
      <c r="H2831" s="67"/>
      <c r="I2831" s="68"/>
      <c r="J2831" s="68"/>
      <c r="K2831" s="32"/>
      <c r="L2831" s="75">
        <v>2831</v>
      </c>
      <c r="M2831" s="75"/>
      <c r="N2831" s="70"/>
      <c r="O2831" s="77" t="s">
        <v>179</v>
      </c>
      <c r="P2831" s="79">
        <v>45038.603773148148</v>
      </c>
      <c r="Q2831" s="77" t="s">
        <v>3843</v>
      </c>
      <c r="R2831" s="77">
        <v>0</v>
      </c>
      <c r="S2831" s="77">
        <v>0</v>
      </c>
      <c r="T2831" s="77">
        <v>0</v>
      </c>
      <c r="U2831" s="77">
        <v>0</v>
      </c>
      <c r="V2831" s="77">
        <v>1326</v>
      </c>
      <c r="W2831" s="82" t="s">
        <v>5860</v>
      </c>
      <c r="X2831" s="80" t="str">
        <f>HYPERLINK("https://www.moneytimes.com.br/mega-sena-acumulada-veja-os-5-numeros-mais-jogados-por-ganhadores-da-mega-neste-ano/")</f>
        <v>https://www.moneytimes.com.br/mega-sena-acumulada-veja-os-5-numeros-mais-jogados-por-ganhadores-da-mega-neste-ano/</v>
      </c>
      <c r="Y2831" s="77" t="s">
        <v>6002</v>
      </c>
      <c r="Z2831" s="77"/>
      <c r="AA2831" s="77"/>
      <c r="AB2831" s="77"/>
      <c r="AC2831" s="82" t="s">
        <v>7718</v>
      </c>
      <c r="AD2831" s="77" t="s">
        <v>7745</v>
      </c>
      <c r="AE2831" s="80" t="str">
        <f>HYPERLINK("https://twitter.com/leiamoneytimes/status/1649782469917396992")</f>
        <v>https://twitter.com/leiamoneytimes/status/1649782469917396992</v>
      </c>
      <c r="AF2831" s="79">
        <v>45038.603773148148</v>
      </c>
      <c r="AG2831" s="85">
        <v>45038</v>
      </c>
      <c r="AH2831" s="82" t="s">
        <v>10304</v>
      </c>
      <c r="AI2831" s="77" t="b">
        <v>0</v>
      </c>
      <c r="AJ2831" s="77"/>
      <c r="AK2831" s="77"/>
      <c r="AL2831" s="77"/>
      <c r="AM2831" s="77"/>
      <c r="AN2831" s="77"/>
      <c r="AO2831" s="77"/>
      <c r="AP2831" s="77"/>
      <c r="AQ2831" s="77"/>
      <c r="AR2831" s="77"/>
      <c r="AS2831" s="77"/>
      <c r="AT2831" s="77"/>
      <c r="AU2831" s="77"/>
      <c r="AV2831" s="80" t="str">
        <f>HYPERLINK("https://pbs.twimg.com/profile_images/1559883556846977024/bXHnQFY0_normal.jpg")</f>
        <v>https://pbs.twimg.com/profile_images/1559883556846977024/bXHnQFY0_normal.jpg</v>
      </c>
      <c r="AW2831" s="82" t="s">
        <v>14986</v>
      </c>
      <c r="AX2831" s="82" t="s">
        <v>14986</v>
      </c>
      <c r="AY2831" s="77"/>
      <c r="AZ2831" s="82" t="s">
        <v>15804</v>
      </c>
      <c r="BA2831" s="82" t="s">
        <v>15804</v>
      </c>
      <c r="BB2831" s="82" t="s">
        <v>15804</v>
      </c>
      <c r="BC2831" s="82" t="s">
        <v>14986</v>
      </c>
      <c r="BD2831" s="77">
        <v>51150679</v>
      </c>
      <c r="BE2831" s="77"/>
      <c r="BF2831" s="77"/>
      <c r="BG2831" s="77"/>
      <c r="BH2831" s="77"/>
      <c r="BI2831" s="77"/>
    </row>
    <row r="2832" spans="1:61" x14ac:dyDescent="0.25">
      <c r="A2832" s="62" t="s">
        <v>1027</v>
      </c>
      <c r="B2832" s="62" t="s">
        <v>1027</v>
      </c>
      <c r="C2832" s="63"/>
      <c r="D2832" s="64"/>
      <c r="E2832" s="65"/>
      <c r="F2832" s="66"/>
      <c r="G2832" s="63"/>
      <c r="H2832" s="67"/>
      <c r="I2832" s="68"/>
      <c r="J2832" s="68"/>
      <c r="K2832" s="32"/>
      <c r="L2832" s="75">
        <v>2832</v>
      </c>
      <c r="M2832" s="75"/>
      <c r="N2832" s="70"/>
      <c r="O2832" s="77" t="s">
        <v>179</v>
      </c>
      <c r="P2832" s="79">
        <v>45002.621365740742</v>
      </c>
      <c r="Q2832" s="77" t="s">
        <v>3844</v>
      </c>
      <c r="R2832" s="77">
        <v>0</v>
      </c>
      <c r="S2832" s="77">
        <v>1</v>
      </c>
      <c r="T2832" s="77">
        <v>0</v>
      </c>
      <c r="U2832" s="77">
        <v>0</v>
      </c>
      <c r="V2832" s="77">
        <v>1056</v>
      </c>
      <c r="W2832" s="82" t="s">
        <v>5876</v>
      </c>
      <c r="X2832" s="80" t="str">
        <f>HYPERLINK("https://www.moneytimes.com.br/impostos-de-renda-2023-como-recuperar-o-numero-do-recibo-da-declaracao/")</f>
        <v>https://www.moneytimes.com.br/impostos-de-renda-2023-como-recuperar-o-numero-do-recibo-da-declaracao/</v>
      </c>
      <c r="Y2832" s="77" t="s">
        <v>6002</v>
      </c>
      <c r="Z2832" s="77"/>
      <c r="AA2832" s="77"/>
      <c r="AB2832" s="77"/>
      <c r="AC2832" s="82" t="s">
        <v>7718</v>
      </c>
      <c r="AD2832" s="77" t="s">
        <v>7745</v>
      </c>
      <c r="AE2832" s="80" t="str">
        <f>HYPERLINK("https://twitter.com/leiamoneytimes/status/1636742880118165507")</f>
        <v>https://twitter.com/leiamoneytimes/status/1636742880118165507</v>
      </c>
      <c r="AF2832" s="79">
        <v>45002.621365740742</v>
      </c>
      <c r="AG2832" s="85">
        <v>45002</v>
      </c>
      <c r="AH2832" s="82" t="s">
        <v>10305</v>
      </c>
      <c r="AI2832" s="77" t="b">
        <v>0</v>
      </c>
      <c r="AJ2832" s="77"/>
      <c r="AK2832" s="77"/>
      <c r="AL2832" s="77"/>
      <c r="AM2832" s="77"/>
      <c r="AN2832" s="77"/>
      <c r="AO2832" s="77"/>
      <c r="AP2832" s="77"/>
      <c r="AQ2832" s="77"/>
      <c r="AR2832" s="77"/>
      <c r="AS2832" s="77"/>
      <c r="AT2832" s="77"/>
      <c r="AU2832" s="77"/>
      <c r="AV2832" s="80" t="str">
        <f>HYPERLINK("https://pbs.twimg.com/profile_images/1559883556846977024/bXHnQFY0_normal.jpg")</f>
        <v>https://pbs.twimg.com/profile_images/1559883556846977024/bXHnQFY0_normal.jpg</v>
      </c>
      <c r="AW2832" s="82" t="s">
        <v>14987</v>
      </c>
      <c r="AX2832" s="82" t="s">
        <v>14987</v>
      </c>
      <c r="AY2832" s="77"/>
      <c r="AZ2832" s="82" t="s">
        <v>15804</v>
      </c>
      <c r="BA2832" s="82" t="s">
        <v>15804</v>
      </c>
      <c r="BB2832" s="82" t="s">
        <v>15804</v>
      </c>
      <c r="BC2832" s="82" t="s">
        <v>14987</v>
      </c>
      <c r="BD2832" s="77">
        <v>51150679</v>
      </c>
      <c r="BE2832" s="77"/>
      <c r="BF2832" s="77"/>
      <c r="BG2832" s="77"/>
      <c r="BH2832" s="77"/>
      <c r="BI2832" s="77"/>
    </row>
    <row r="2833" spans="1:61" x14ac:dyDescent="0.25">
      <c r="A2833" s="62" t="s">
        <v>1027</v>
      </c>
      <c r="B2833" s="62" t="s">
        <v>1027</v>
      </c>
      <c r="C2833" s="63"/>
      <c r="D2833" s="64"/>
      <c r="E2833" s="65"/>
      <c r="F2833" s="66"/>
      <c r="G2833" s="63"/>
      <c r="H2833" s="67"/>
      <c r="I2833" s="68"/>
      <c r="J2833" s="68"/>
      <c r="K2833" s="32"/>
      <c r="L2833" s="75">
        <v>2833</v>
      </c>
      <c r="M2833" s="75"/>
      <c r="N2833" s="70"/>
      <c r="O2833" s="77" t="s">
        <v>179</v>
      </c>
      <c r="P2833" s="79">
        <v>45002.576874999999</v>
      </c>
      <c r="Q2833" s="77" t="s">
        <v>3845</v>
      </c>
      <c r="R2833" s="77">
        <v>1</v>
      </c>
      <c r="S2833" s="77">
        <v>4</v>
      </c>
      <c r="T2833" s="77">
        <v>0</v>
      </c>
      <c r="U2833" s="77">
        <v>0</v>
      </c>
      <c r="V2833" s="77">
        <v>1086</v>
      </c>
      <c r="W2833" s="82" t="s">
        <v>5877</v>
      </c>
      <c r="X2833" s="80" t="str">
        <f>HYPERLINK("https://www.moneytimes.com.br/como-ficar-rico-ser-inteligente-nao-e-um-criterio-para-alcancar-a-liberdade-financeira-entenda/")</f>
        <v>https://www.moneytimes.com.br/como-ficar-rico-ser-inteligente-nao-e-um-criterio-para-alcancar-a-liberdade-financeira-entenda/</v>
      </c>
      <c r="Y2833" s="77" t="s">
        <v>6002</v>
      </c>
      <c r="Z2833" s="77"/>
      <c r="AA2833" s="77"/>
      <c r="AB2833" s="77"/>
      <c r="AC2833" s="82" t="s">
        <v>7718</v>
      </c>
      <c r="AD2833" s="77" t="s">
        <v>7745</v>
      </c>
      <c r="AE2833" s="80" t="str">
        <f>HYPERLINK("https://twitter.com/leiamoneytimes/status/1636726755674271746")</f>
        <v>https://twitter.com/leiamoneytimes/status/1636726755674271746</v>
      </c>
      <c r="AF2833" s="79">
        <v>45002.576874999999</v>
      </c>
      <c r="AG2833" s="85">
        <v>45002</v>
      </c>
      <c r="AH2833" s="82" t="s">
        <v>10306</v>
      </c>
      <c r="AI2833" s="77" t="b">
        <v>0</v>
      </c>
      <c r="AJ2833" s="77"/>
      <c r="AK2833" s="77"/>
      <c r="AL2833" s="77"/>
      <c r="AM2833" s="77"/>
      <c r="AN2833" s="77"/>
      <c r="AO2833" s="77"/>
      <c r="AP2833" s="77"/>
      <c r="AQ2833" s="77"/>
      <c r="AR2833" s="77"/>
      <c r="AS2833" s="77"/>
      <c r="AT2833" s="77"/>
      <c r="AU2833" s="77"/>
      <c r="AV2833" s="80" t="str">
        <f>HYPERLINK("https://pbs.twimg.com/profile_images/1559883556846977024/bXHnQFY0_normal.jpg")</f>
        <v>https://pbs.twimg.com/profile_images/1559883556846977024/bXHnQFY0_normal.jpg</v>
      </c>
      <c r="AW2833" s="82" t="s">
        <v>14988</v>
      </c>
      <c r="AX2833" s="82" t="s">
        <v>14988</v>
      </c>
      <c r="AY2833" s="77"/>
      <c r="AZ2833" s="82" t="s">
        <v>15804</v>
      </c>
      <c r="BA2833" s="82" t="s">
        <v>15804</v>
      </c>
      <c r="BB2833" s="82" t="s">
        <v>15804</v>
      </c>
      <c r="BC2833" s="82" t="s">
        <v>14988</v>
      </c>
      <c r="BD2833" s="77">
        <v>51150679</v>
      </c>
      <c r="BE2833" s="77"/>
      <c r="BF2833" s="77"/>
      <c r="BG2833" s="77"/>
      <c r="BH2833" s="77"/>
      <c r="BI2833" s="77"/>
    </row>
    <row r="2834" spans="1:61" x14ac:dyDescent="0.25">
      <c r="A2834" s="62" t="s">
        <v>1027</v>
      </c>
      <c r="B2834" s="62" t="s">
        <v>1027</v>
      </c>
      <c r="C2834" s="63"/>
      <c r="D2834" s="64"/>
      <c r="E2834" s="65"/>
      <c r="F2834" s="66"/>
      <c r="G2834" s="63"/>
      <c r="H2834" s="67"/>
      <c r="I2834" s="68"/>
      <c r="J2834" s="68"/>
      <c r="K2834" s="32"/>
      <c r="L2834" s="75">
        <v>2834</v>
      </c>
      <c r="M2834" s="75"/>
      <c r="N2834" s="70"/>
      <c r="O2834" s="77" t="s">
        <v>179</v>
      </c>
      <c r="P2834" s="79">
        <v>45002.410520833335</v>
      </c>
      <c r="Q2834" s="77" t="s">
        <v>3846</v>
      </c>
      <c r="R2834" s="77">
        <v>0</v>
      </c>
      <c r="S2834" s="77">
        <v>6</v>
      </c>
      <c r="T2834" s="77">
        <v>0</v>
      </c>
      <c r="U2834" s="77">
        <v>0</v>
      </c>
      <c r="V2834" s="77">
        <v>1457</v>
      </c>
      <c r="W2834" s="82" t="s">
        <v>5870</v>
      </c>
      <c r="X2834" s="80" t="str">
        <f>HYPERLINK("https://www.moneytimes.com.br/imposto-de-renda-2023-confira-a-lista-dos-rendimentos-isentos-de-ir/")</f>
        <v>https://www.moneytimes.com.br/imposto-de-renda-2023-confira-a-lista-dos-rendimentos-isentos-de-ir/</v>
      </c>
      <c r="Y2834" s="77" t="s">
        <v>6002</v>
      </c>
      <c r="Z2834" s="77"/>
      <c r="AA2834" s="77"/>
      <c r="AB2834" s="77"/>
      <c r="AC2834" s="82" t="s">
        <v>7718</v>
      </c>
      <c r="AD2834" s="77" t="s">
        <v>7745</v>
      </c>
      <c r="AE2834" s="80" t="str">
        <f>HYPERLINK("https://twitter.com/leiamoneytimes/status/1636666471299403777")</f>
        <v>https://twitter.com/leiamoneytimes/status/1636666471299403777</v>
      </c>
      <c r="AF2834" s="79">
        <v>45002.410520833335</v>
      </c>
      <c r="AG2834" s="85">
        <v>45002</v>
      </c>
      <c r="AH2834" s="82" t="s">
        <v>10307</v>
      </c>
      <c r="AI2834" s="77" t="b">
        <v>0</v>
      </c>
      <c r="AJ2834" s="77"/>
      <c r="AK2834" s="77"/>
      <c r="AL2834" s="77"/>
      <c r="AM2834" s="77"/>
      <c r="AN2834" s="77"/>
      <c r="AO2834" s="77"/>
      <c r="AP2834" s="77"/>
      <c r="AQ2834" s="77"/>
      <c r="AR2834" s="77"/>
      <c r="AS2834" s="77"/>
      <c r="AT2834" s="77"/>
      <c r="AU2834" s="77"/>
      <c r="AV2834" s="80" t="str">
        <f>HYPERLINK("https://pbs.twimg.com/profile_images/1559883556846977024/bXHnQFY0_normal.jpg")</f>
        <v>https://pbs.twimg.com/profile_images/1559883556846977024/bXHnQFY0_normal.jpg</v>
      </c>
      <c r="AW2834" s="82" t="s">
        <v>14989</v>
      </c>
      <c r="AX2834" s="82" t="s">
        <v>14989</v>
      </c>
      <c r="AY2834" s="77"/>
      <c r="AZ2834" s="82" t="s">
        <v>15804</v>
      </c>
      <c r="BA2834" s="82" t="s">
        <v>15804</v>
      </c>
      <c r="BB2834" s="82" t="s">
        <v>15804</v>
      </c>
      <c r="BC2834" s="82" t="s">
        <v>14989</v>
      </c>
      <c r="BD2834" s="77">
        <v>51150679</v>
      </c>
      <c r="BE2834" s="77"/>
      <c r="BF2834" s="77"/>
      <c r="BG2834" s="77"/>
      <c r="BH2834" s="77"/>
      <c r="BI2834" s="77"/>
    </row>
    <row r="2835" spans="1:61" x14ac:dyDescent="0.25">
      <c r="A2835" s="62" t="s">
        <v>1027</v>
      </c>
      <c r="B2835" s="62" t="s">
        <v>1027</v>
      </c>
      <c r="C2835" s="63"/>
      <c r="D2835" s="64"/>
      <c r="E2835" s="65"/>
      <c r="F2835" s="66"/>
      <c r="G2835" s="63"/>
      <c r="H2835" s="67"/>
      <c r="I2835" s="68"/>
      <c r="J2835" s="68"/>
      <c r="K2835" s="32"/>
      <c r="L2835" s="75">
        <v>2835</v>
      </c>
      <c r="M2835" s="75"/>
      <c r="N2835" s="70"/>
      <c r="O2835" s="77" t="s">
        <v>179</v>
      </c>
      <c r="P2835" s="79">
        <v>45001.861724537041</v>
      </c>
      <c r="Q2835" s="77" t="s">
        <v>3847</v>
      </c>
      <c r="R2835" s="77">
        <v>0</v>
      </c>
      <c r="S2835" s="77">
        <v>1</v>
      </c>
      <c r="T2835" s="77">
        <v>0</v>
      </c>
      <c r="U2835" s="77">
        <v>0</v>
      </c>
      <c r="V2835" s="77">
        <v>1246</v>
      </c>
      <c r="W2835" s="82" t="s">
        <v>5870</v>
      </c>
      <c r="X2835" s="80" t="str">
        <f>HYPERLINK("https://www.moneytimes.com.br/imposta-de-renda-como-engordar-a-restituicao-usando-a-selic/")</f>
        <v>https://www.moneytimes.com.br/imposta-de-renda-como-engordar-a-restituicao-usando-a-selic/</v>
      </c>
      <c r="Y2835" s="77" t="s">
        <v>6002</v>
      </c>
      <c r="Z2835" s="77"/>
      <c r="AA2835" s="77"/>
      <c r="AB2835" s="77"/>
      <c r="AC2835" s="82" t="s">
        <v>7718</v>
      </c>
      <c r="AD2835" s="77" t="s">
        <v>7745</v>
      </c>
      <c r="AE2835" s="80" t="str">
        <f>HYPERLINK("https://twitter.com/leiamoneytimes/status/1636467596114403338")</f>
        <v>https://twitter.com/leiamoneytimes/status/1636467596114403338</v>
      </c>
      <c r="AF2835" s="79">
        <v>45001.861724537041</v>
      </c>
      <c r="AG2835" s="85">
        <v>45001</v>
      </c>
      <c r="AH2835" s="82" t="s">
        <v>10308</v>
      </c>
      <c r="AI2835" s="77" t="b">
        <v>0</v>
      </c>
      <c r="AJ2835" s="77"/>
      <c r="AK2835" s="77"/>
      <c r="AL2835" s="77"/>
      <c r="AM2835" s="77"/>
      <c r="AN2835" s="77"/>
      <c r="AO2835" s="77"/>
      <c r="AP2835" s="77"/>
      <c r="AQ2835" s="77"/>
      <c r="AR2835" s="77"/>
      <c r="AS2835" s="77"/>
      <c r="AT2835" s="77"/>
      <c r="AU2835" s="77"/>
      <c r="AV2835" s="80" t="str">
        <f>HYPERLINK("https://pbs.twimg.com/profile_images/1559883556846977024/bXHnQFY0_normal.jpg")</f>
        <v>https://pbs.twimg.com/profile_images/1559883556846977024/bXHnQFY0_normal.jpg</v>
      </c>
      <c r="AW2835" s="82" t="s">
        <v>14990</v>
      </c>
      <c r="AX2835" s="82" t="s">
        <v>14990</v>
      </c>
      <c r="AY2835" s="77"/>
      <c r="AZ2835" s="82" t="s">
        <v>15804</v>
      </c>
      <c r="BA2835" s="82" t="s">
        <v>15804</v>
      </c>
      <c r="BB2835" s="82" t="s">
        <v>15804</v>
      </c>
      <c r="BC2835" s="82" t="s">
        <v>14990</v>
      </c>
      <c r="BD2835" s="77">
        <v>51150679</v>
      </c>
      <c r="BE2835" s="77"/>
      <c r="BF2835" s="77"/>
      <c r="BG2835" s="77"/>
      <c r="BH2835" s="77"/>
      <c r="BI2835" s="77"/>
    </row>
    <row r="2836" spans="1:61" x14ac:dyDescent="0.25">
      <c r="A2836" s="62" t="s">
        <v>1027</v>
      </c>
      <c r="B2836" s="62" t="s">
        <v>1027</v>
      </c>
      <c r="C2836" s="63"/>
      <c r="D2836" s="64"/>
      <c r="E2836" s="65"/>
      <c r="F2836" s="66"/>
      <c r="G2836" s="63"/>
      <c r="H2836" s="67"/>
      <c r="I2836" s="68"/>
      <c r="J2836" s="68"/>
      <c r="K2836" s="32"/>
      <c r="L2836" s="75">
        <v>2836</v>
      </c>
      <c r="M2836" s="75"/>
      <c r="N2836" s="70"/>
      <c r="O2836" s="77" t="s">
        <v>179</v>
      </c>
      <c r="P2836" s="79">
        <v>45001.630601851852</v>
      </c>
      <c r="Q2836" s="77" t="s">
        <v>3848</v>
      </c>
      <c r="R2836" s="77">
        <v>0</v>
      </c>
      <c r="S2836" s="77">
        <v>5</v>
      </c>
      <c r="T2836" s="77">
        <v>0</v>
      </c>
      <c r="U2836" s="77">
        <v>0</v>
      </c>
      <c r="V2836" s="77">
        <v>2081</v>
      </c>
      <c r="W2836" s="82" t="s">
        <v>5878</v>
      </c>
      <c r="X2836" s="80" t="str">
        <f>HYPERLINK("https://www.moneytimes.com.br/imposto-de-renda-2023-conheca-o-servico-de-contador-online-para-declarar-ir/")</f>
        <v>https://www.moneytimes.com.br/imposto-de-renda-2023-conheca-o-servico-de-contador-online-para-declarar-ir/</v>
      </c>
      <c r="Y2836" s="77" t="s">
        <v>6002</v>
      </c>
      <c r="Z2836" s="77"/>
      <c r="AA2836" s="77"/>
      <c r="AB2836" s="77"/>
      <c r="AC2836" s="82" t="s">
        <v>7718</v>
      </c>
      <c r="AD2836" s="77" t="s">
        <v>7745</v>
      </c>
      <c r="AE2836" s="80" t="str">
        <f>HYPERLINK("https://twitter.com/leiamoneytimes/status/1636383837386338304")</f>
        <v>https://twitter.com/leiamoneytimes/status/1636383837386338304</v>
      </c>
      <c r="AF2836" s="79">
        <v>45001.630601851852</v>
      </c>
      <c r="AG2836" s="85">
        <v>45001</v>
      </c>
      <c r="AH2836" s="82" t="s">
        <v>10309</v>
      </c>
      <c r="AI2836" s="77" t="b">
        <v>0</v>
      </c>
      <c r="AJ2836" s="77"/>
      <c r="AK2836" s="77"/>
      <c r="AL2836" s="77"/>
      <c r="AM2836" s="77"/>
      <c r="AN2836" s="77"/>
      <c r="AO2836" s="77"/>
      <c r="AP2836" s="77"/>
      <c r="AQ2836" s="77"/>
      <c r="AR2836" s="77"/>
      <c r="AS2836" s="77"/>
      <c r="AT2836" s="77"/>
      <c r="AU2836" s="77"/>
      <c r="AV2836" s="80" t="str">
        <f>HYPERLINK("https://pbs.twimg.com/profile_images/1559883556846977024/bXHnQFY0_normal.jpg")</f>
        <v>https://pbs.twimg.com/profile_images/1559883556846977024/bXHnQFY0_normal.jpg</v>
      </c>
      <c r="AW2836" s="82" t="s">
        <v>14991</v>
      </c>
      <c r="AX2836" s="82" t="s">
        <v>14991</v>
      </c>
      <c r="AY2836" s="77"/>
      <c r="AZ2836" s="82" t="s">
        <v>15804</v>
      </c>
      <c r="BA2836" s="82" t="s">
        <v>15804</v>
      </c>
      <c r="BB2836" s="82" t="s">
        <v>15804</v>
      </c>
      <c r="BC2836" s="82" t="s">
        <v>14991</v>
      </c>
      <c r="BD2836" s="77">
        <v>51150679</v>
      </c>
      <c r="BE2836" s="77"/>
      <c r="BF2836" s="77"/>
      <c r="BG2836" s="77"/>
      <c r="BH2836" s="77"/>
      <c r="BI2836" s="77"/>
    </row>
    <row r="2837" spans="1:61" x14ac:dyDescent="0.25">
      <c r="A2837" s="62" t="s">
        <v>1027</v>
      </c>
      <c r="B2837" s="62" t="s">
        <v>1027</v>
      </c>
      <c r="C2837" s="63"/>
      <c r="D2837" s="64"/>
      <c r="E2837" s="65"/>
      <c r="F2837" s="66"/>
      <c r="G2837" s="63"/>
      <c r="H2837" s="67"/>
      <c r="I2837" s="68"/>
      <c r="J2837" s="68"/>
      <c r="K2837" s="32"/>
      <c r="L2837" s="75">
        <v>2837</v>
      </c>
      <c r="M2837" s="75"/>
      <c r="N2837" s="70"/>
      <c r="O2837" s="77" t="s">
        <v>179</v>
      </c>
      <c r="P2837" s="79">
        <v>45000.878819444442</v>
      </c>
      <c r="Q2837" s="77" t="s">
        <v>3849</v>
      </c>
      <c r="R2837" s="77">
        <v>0</v>
      </c>
      <c r="S2837" s="77">
        <v>0</v>
      </c>
      <c r="T2837" s="77">
        <v>0</v>
      </c>
      <c r="U2837" s="77">
        <v>0</v>
      </c>
      <c r="V2837" s="77">
        <v>1132</v>
      </c>
      <c r="W2837" s="82" t="s">
        <v>5870</v>
      </c>
      <c r="X2837" s="80" t="str">
        <f>HYPERLINK("https://www.moneytimes.com.br/imposto-de-renda-2023-bate-recorde-de-entregas-no-1o-dia-com-mais-de-meio-milhao-de-declaracoes-ja-protocoladas/")</f>
        <v>https://www.moneytimes.com.br/imposto-de-renda-2023-bate-recorde-de-entregas-no-1o-dia-com-mais-de-meio-milhao-de-declaracoes-ja-protocoladas/</v>
      </c>
      <c r="Y2837" s="77" t="s">
        <v>6002</v>
      </c>
      <c r="Z2837" s="77"/>
      <c r="AA2837" s="77"/>
      <c r="AB2837" s="77"/>
      <c r="AC2837" s="82" t="s">
        <v>7718</v>
      </c>
      <c r="AD2837" s="77" t="s">
        <v>7745</v>
      </c>
      <c r="AE2837" s="80" t="str">
        <f>HYPERLINK("https://twitter.com/leiamoneytimes/status/1636111401424158720")</f>
        <v>https://twitter.com/leiamoneytimes/status/1636111401424158720</v>
      </c>
      <c r="AF2837" s="79">
        <v>45000.878819444442</v>
      </c>
      <c r="AG2837" s="85">
        <v>45000</v>
      </c>
      <c r="AH2837" s="82" t="s">
        <v>10310</v>
      </c>
      <c r="AI2837" s="77" t="b">
        <v>0</v>
      </c>
      <c r="AJ2837" s="77"/>
      <c r="AK2837" s="77"/>
      <c r="AL2837" s="77"/>
      <c r="AM2837" s="77"/>
      <c r="AN2837" s="77"/>
      <c r="AO2837" s="77"/>
      <c r="AP2837" s="77"/>
      <c r="AQ2837" s="77"/>
      <c r="AR2837" s="77"/>
      <c r="AS2837" s="77"/>
      <c r="AT2837" s="77"/>
      <c r="AU2837" s="77"/>
      <c r="AV2837" s="80" t="str">
        <f>HYPERLINK("https://pbs.twimg.com/profile_images/1559883556846977024/bXHnQFY0_normal.jpg")</f>
        <v>https://pbs.twimg.com/profile_images/1559883556846977024/bXHnQFY0_normal.jpg</v>
      </c>
      <c r="AW2837" s="82" t="s">
        <v>14992</v>
      </c>
      <c r="AX2837" s="82" t="s">
        <v>14992</v>
      </c>
      <c r="AY2837" s="77"/>
      <c r="AZ2837" s="82" t="s">
        <v>15804</v>
      </c>
      <c r="BA2837" s="82" t="s">
        <v>15804</v>
      </c>
      <c r="BB2837" s="82" t="s">
        <v>15804</v>
      </c>
      <c r="BC2837" s="82" t="s">
        <v>14992</v>
      </c>
      <c r="BD2837" s="77">
        <v>51150679</v>
      </c>
      <c r="BE2837" s="77"/>
      <c r="BF2837" s="77"/>
      <c r="BG2837" s="77"/>
      <c r="BH2837" s="77"/>
      <c r="BI2837" s="77"/>
    </row>
    <row r="2838" spans="1:61" x14ac:dyDescent="0.25">
      <c r="A2838" s="62" t="s">
        <v>1027</v>
      </c>
      <c r="B2838" s="62" t="s">
        <v>1027</v>
      </c>
      <c r="C2838" s="63"/>
      <c r="D2838" s="64"/>
      <c r="E2838" s="65"/>
      <c r="F2838" s="66"/>
      <c r="G2838" s="63"/>
      <c r="H2838" s="67"/>
      <c r="I2838" s="68"/>
      <c r="J2838" s="68"/>
      <c r="K2838" s="32"/>
      <c r="L2838" s="75">
        <v>2838</v>
      </c>
      <c r="M2838" s="75"/>
      <c r="N2838" s="70"/>
      <c r="O2838" s="77" t="s">
        <v>179</v>
      </c>
      <c r="P2838" s="79">
        <v>45000.573888888888</v>
      </c>
      <c r="Q2838" s="77" t="s">
        <v>3850</v>
      </c>
      <c r="R2838" s="77">
        <v>0</v>
      </c>
      <c r="S2838" s="77">
        <v>1</v>
      </c>
      <c r="T2838" s="77">
        <v>0</v>
      </c>
      <c r="U2838" s="77">
        <v>0</v>
      </c>
      <c r="V2838" s="77">
        <v>995</v>
      </c>
      <c r="W2838" s="82" t="s">
        <v>5870</v>
      </c>
      <c r="X2838" s="80" t="str">
        <f>HYPERLINK("https://www.moneytimes.com.br/app-meu-imposto-de-renda-fica-fora-do-ar-no-primeiro-dia-de-declaracao/")</f>
        <v>https://www.moneytimes.com.br/app-meu-imposto-de-renda-fica-fora-do-ar-no-primeiro-dia-de-declaracao/</v>
      </c>
      <c r="Y2838" s="77" t="s">
        <v>6002</v>
      </c>
      <c r="Z2838" s="77"/>
      <c r="AA2838" s="77"/>
      <c r="AB2838" s="77"/>
      <c r="AC2838" s="82" t="s">
        <v>7718</v>
      </c>
      <c r="AD2838" s="77" t="s">
        <v>7745</v>
      </c>
      <c r="AE2838" s="80" t="str">
        <f>HYPERLINK("https://twitter.com/leiamoneytimes/status/1636000897384718337")</f>
        <v>https://twitter.com/leiamoneytimes/status/1636000897384718337</v>
      </c>
      <c r="AF2838" s="79">
        <v>45000.573888888888</v>
      </c>
      <c r="AG2838" s="85">
        <v>45000</v>
      </c>
      <c r="AH2838" s="82" t="s">
        <v>10311</v>
      </c>
      <c r="AI2838" s="77" t="b">
        <v>0</v>
      </c>
      <c r="AJ2838" s="77"/>
      <c r="AK2838" s="77"/>
      <c r="AL2838" s="77"/>
      <c r="AM2838" s="77"/>
      <c r="AN2838" s="77"/>
      <c r="AO2838" s="77"/>
      <c r="AP2838" s="77"/>
      <c r="AQ2838" s="77"/>
      <c r="AR2838" s="77"/>
      <c r="AS2838" s="77"/>
      <c r="AT2838" s="77"/>
      <c r="AU2838" s="77"/>
      <c r="AV2838" s="80" t="str">
        <f>HYPERLINK("https://pbs.twimg.com/profile_images/1559883556846977024/bXHnQFY0_normal.jpg")</f>
        <v>https://pbs.twimg.com/profile_images/1559883556846977024/bXHnQFY0_normal.jpg</v>
      </c>
      <c r="AW2838" s="82" t="s">
        <v>14993</v>
      </c>
      <c r="AX2838" s="82" t="s">
        <v>14993</v>
      </c>
      <c r="AY2838" s="77"/>
      <c r="AZ2838" s="82" t="s">
        <v>15804</v>
      </c>
      <c r="BA2838" s="82" t="s">
        <v>15804</v>
      </c>
      <c r="BB2838" s="82" t="s">
        <v>15804</v>
      </c>
      <c r="BC2838" s="82" t="s">
        <v>14993</v>
      </c>
      <c r="BD2838" s="77">
        <v>51150679</v>
      </c>
      <c r="BE2838" s="77"/>
      <c r="BF2838" s="77"/>
      <c r="BG2838" s="77"/>
      <c r="BH2838" s="77"/>
      <c r="BI2838" s="77"/>
    </row>
    <row r="2839" spans="1:61" x14ac:dyDescent="0.25">
      <c r="A2839" s="62" t="s">
        <v>1027</v>
      </c>
      <c r="B2839" s="62" t="s">
        <v>1027</v>
      </c>
      <c r="C2839" s="63"/>
      <c r="D2839" s="64"/>
      <c r="E2839" s="65"/>
      <c r="F2839" s="66"/>
      <c r="G2839" s="63"/>
      <c r="H2839" s="67"/>
      <c r="I2839" s="68"/>
      <c r="J2839" s="68"/>
      <c r="K2839" s="32"/>
      <c r="L2839" s="75">
        <v>2839</v>
      </c>
      <c r="M2839" s="75"/>
      <c r="N2839" s="70"/>
      <c r="O2839" s="77" t="s">
        <v>179</v>
      </c>
      <c r="P2839" s="79">
        <v>45000.410486111112</v>
      </c>
      <c r="Q2839" s="77" t="s">
        <v>3851</v>
      </c>
      <c r="R2839" s="77">
        <v>1</v>
      </c>
      <c r="S2839" s="77">
        <v>3</v>
      </c>
      <c r="T2839" s="77">
        <v>0</v>
      </c>
      <c r="U2839" s="77">
        <v>0</v>
      </c>
      <c r="V2839" s="77">
        <v>1481</v>
      </c>
      <c r="W2839" s="82" t="s">
        <v>5870</v>
      </c>
      <c r="X2839" s="80" t="str">
        <f>HYPERLINK("https://www.moneytimes.com.br/imposto-de-renda-2023-comeca-hoje-o-periodo-de-entrega-saiba-como-declarar/")</f>
        <v>https://www.moneytimes.com.br/imposto-de-renda-2023-comeca-hoje-o-periodo-de-entrega-saiba-como-declarar/</v>
      </c>
      <c r="Y2839" s="77" t="s">
        <v>6002</v>
      </c>
      <c r="Z2839" s="77"/>
      <c r="AA2839" s="77"/>
      <c r="AB2839" s="77"/>
      <c r="AC2839" s="82" t="s">
        <v>7718</v>
      </c>
      <c r="AD2839" s="77" t="s">
        <v>7745</v>
      </c>
      <c r="AE2839" s="80" t="str">
        <f>HYPERLINK("https://twitter.com/leiamoneytimes/status/1635941684356739074")</f>
        <v>https://twitter.com/leiamoneytimes/status/1635941684356739074</v>
      </c>
      <c r="AF2839" s="79">
        <v>45000.410486111112</v>
      </c>
      <c r="AG2839" s="85">
        <v>45000</v>
      </c>
      <c r="AH2839" s="82" t="s">
        <v>10312</v>
      </c>
      <c r="AI2839" s="77" t="b">
        <v>0</v>
      </c>
      <c r="AJ2839" s="77"/>
      <c r="AK2839" s="77"/>
      <c r="AL2839" s="77"/>
      <c r="AM2839" s="77"/>
      <c r="AN2839" s="77"/>
      <c r="AO2839" s="77"/>
      <c r="AP2839" s="77"/>
      <c r="AQ2839" s="77"/>
      <c r="AR2839" s="77"/>
      <c r="AS2839" s="77"/>
      <c r="AT2839" s="77"/>
      <c r="AU2839" s="77"/>
      <c r="AV2839" s="80" t="str">
        <f>HYPERLINK("https://pbs.twimg.com/profile_images/1559883556846977024/bXHnQFY0_normal.jpg")</f>
        <v>https://pbs.twimg.com/profile_images/1559883556846977024/bXHnQFY0_normal.jpg</v>
      </c>
      <c r="AW2839" s="82" t="s">
        <v>14994</v>
      </c>
      <c r="AX2839" s="82" t="s">
        <v>14994</v>
      </c>
      <c r="AY2839" s="77"/>
      <c r="AZ2839" s="82" t="s">
        <v>15804</v>
      </c>
      <c r="BA2839" s="82" t="s">
        <v>15804</v>
      </c>
      <c r="BB2839" s="82" t="s">
        <v>15804</v>
      </c>
      <c r="BC2839" s="82" t="s">
        <v>14994</v>
      </c>
      <c r="BD2839" s="77">
        <v>51150679</v>
      </c>
      <c r="BE2839" s="77"/>
      <c r="BF2839" s="77"/>
      <c r="BG2839" s="77"/>
      <c r="BH2839" s="77"/>
      <c r="BI2839" s="77"/>
    </row>
    <row r="2840" spans="1:61" x14ac:dyDescent="0.25">
      <c r="A2840" s="62" t="s">
        <v>1027</v>
      </c>
      <c r="B2840" s="62" t="s">
        <v>1027</v>
      </c>
      <c r="C2840" s="63"/>
      <c r="D2840" s="64"/>
      <c r="E2840" s="65"/>
      <c r="F2840" s="66"/>
      <c r="G2840" s="63"/>
      <c r="H2840" s="67"/>
      <c r="I2840" s="68"/>
      <c r="J2840" s="68"/>
      <c r="K2840" s="32"/>
      <c r="L2840" s="75">
        <v>2840</v>
      </c>
      <c r="M2840" s="75"/>
      <c r="N2840" s="70"/>
      <c r="O2840" s="77" t="s">
        <v>179</v>
      </c>
      <c r="P2840" s="79">
        <v>44999.99664351852</v>
      </c>
      <c r="Q2840" s="77" t="s">
        <v>3852</v>
      </c>
      <c r="R2840" s="77">
        <v>1</v>
      </c>
      <c r="S2840" s="77">
        <v>1</v>
      </c>
      <c r="T2840" s="77">
        <v>0</v>
      </c>
      <c r="U2840" s="77">
        <v>0</v>
      </c>
      <c r="V2840" s="77">
        <v>1689</v>
      </c>
      <c r="W2840" s="82" t="s">
        <v>5879</v>
      </c>
      <c r="X2840" s="80" t="str">
        <f>HYPERLINK("https://www.moneytimes.com.br/liberdade-financeira-e-hora-de-comecar-a-pensar-no-futuro/")</f>
        <v>https://www.moneytimes.com.br/liberdade-financeira-e-hora-de-comecar-a-pensar-no-futuro/</v>
      </c>
      <c r="Y2840" s="77" t="s">
        <v>6002</v>
      </c>
      <c r="Z2840" s="77"/>
      <c r="AA2840" s="77"/>
      <c r="AB2840" s="77"/>
      <c r="AC2840" s="82" t="s">
        <v>7718</v>
      </c>
      <c r="AD2840" s="77" t="s">
        <v>7745</v>
      </c>
      <c r="AE2840" s="80" t="str">
        <f>HYPERLINK("https://twitter.com/leiamoneytimes/status/1635791711124201473")</f>
        <v>https://twitter.com/leiamoneytimes/status/1635791711124201473</v>
      </c>
      <c r="AF2840" s="79">
        <v>44999.99664351852</v>
      </c>
      <c r="AG2840" s="85">
        <v>44999</v>
      </c>
      <c r="AH2840" s="82" t="s">
        <v>10313</v>
      </c>
      <c r="AI2840" s="77" t="b">
        <v>0</v>
      </c>
      <c r="AJ2840" s="77"/>
      <c r="AK2840" s="77"/>
      <c r="AL2840" s="77"/>
      <c r="AM2840" s="77"/>
      <c r="AN2840" s="77"/>
      <c r="AO2840" s="77"/>
      <c r="AP2840" s="77"/>
      <c r="AQ2840" s="77"/>
      <c r="AR2840" s="77"/>
      <c r="AS2840" s="77"/>
      <c r="AT2840" s="77"/>
      <c r="AU2840" s="77"/>
      <c r="AV2840" s="80" t="str">
        <f>HYPERLINK("https://pbs.twimg.com/profile_images/1559883556846977024/bXHnQFY0_normal.jpg")</f>
        <v>https://pbs.twimg.com/profile_images/1559883556846977024/bXHnQFY0_normal.jpg</v>
      </c>
      <c r="AW2840" s="82" t="s">
        <v>14995</v>
      </c>
      <c r="AX2840" s="82" t="s">
        <v>14995</v>
      </c>
      <c r="AY2840" s="77"/>
      <c r="AZ2840" s="82" t="s">
        <v>15804</v>
      </c>
      <c r="BA2840" s="82" t="s">
        <v>15804</v>
      </c>
      <c r="BB2840" s="82" t="s">
        <v>15804</v>
      </c>
      <c r="BC2840" s="82" t="s">
        <v>14995</v>
      </c>
      <c r="BD2840" s="77">
        <v>51150679</v>
      </c>
      <c r="BE2840" s="77"/>
      <c r="BF2840" s="77"/>
      <c r="BG2840" s="77"/>
      <c r="BH2840" s="77"/>
      <c r="BI2840" s="77"/>
    </row>
    <row r="2841" spans="1:61" x14ac:dyDescent="0.25">
      <c r="A2841" s="62" t="s">
        <v>1027</v>
      </c>
      <c r="B2841" s="62" t="s">
        <v>1027</v>
      </c>
      <c r="C2841" s="63"/>
      <c r="D2841" s="64"/>
      <c r="E2841" s="65"/>
      <c r="F2841" s="66"/>
      <c r="G2841" s="63"/>
      <c r="H2841" s="67"/>
      <c r="I2841" s="68"/>
      <c r="J2841" s="68"/>
      <c r="K2841" s="32"/>
      <c r="L2841" s="75">
        <v>2841</v>
      </c>
      <c r="M2841" s="75"/>
      <c r="N2841" s="70"/>
      <c r="O2841" s="77" t="s">
        <v>179</v>
      </c>
      <c r="P2841" s="79">
        <v>44999.815127314818</v>
      </c>
      <c r="Q2841" s="77" t="s">
        <v>3853</v>
      </c>
      <c r="R2841" s="77">
        <v>0</v>
      </c>
      <c r="S2841" s="77">
        <v>1</v>
      </c>
      <c r="T2841" s="77">
        <v>0</v>
      </c>
      <c r="U2841" s="77">
        <v>0</v>
      </c>
      <c r="V2841" s="77">
        <v>972</v>
      </c>
      <c r="W2841" s="82" t="s">
        <v>5871</v>
      </c>
      <c r="X2841" s="80" t="str">
        <f>HYPERLINK("https://www.moneytimes.com.br/imposto-de-renda-2023-como-funciona-a-compensacao-de-prejuizo/")</f>
        <v>https://www.moneytimes.com.br/imposto-de-renda-2023-como-funciona-a-compensacao-de-prejuizo/</v>
      </c>
      <c r="Y2841" s="77" t="s">
        <v>6002</v>
      </c>
      <c r="Z2841" s="77"/>
      <c r="AA2841" s="77"/>
      <c r="AB2841" s="77"/>
      <c r="AC2841" s="82" t="s">
        <v>7718</v>
      </c>
      <c r="AD2841" s="77" t="s">
        <v>7745</v>
      </c>
      <c r="AE2841" s="80" t="str">
        <f>HYPERLINK("https://twitter.com/leiamoneytimes/status/1635725934635409409")</f>
        <v>https://twitter.com/leiamoneytimes/status/1635725934635409409</v>
      </c>
      <c r="AF2841" s="79">
        <v>44999.815127314818</v>
      </c>
      <c r="AG2841" s="85">
        <v>44999</v>
      </c>
      <c r="AH2841" s="82" t="s">
        <v>10314</v>
      </c>
      <c r="AI2841" s="77" t="b">
        <v>0</v>
      </c>
      <c r="AJ2841" s="77"/>
      <c r="AK2841" s="77"/>
      <c r="AL2841" s="77"/>
      <c r="AM2841" s="77"/>
      <c r="AN2841" s="77"/>
      <c r="AO2841" s="77"/>
      <c r="AP2841" s="77"/>
      <c r="AQ2841" s="77"/>
      <c r="AR2841" s="77"/>
      <c r="AS2841" s="77"/>
      <c r="AT2841" s="77"/>
      <c r="AU2841" s="77"/>
      <c r="AV2841" s="80" t="str">
        <f>HYPERLINK("https://pbs.twimg.com/profile_images/1559883556846977024/bXHnQFY0_normal.jpg")</f>
        <v>https://pbs.twimg.com/profile_images/1559883556846977024/bXHnQFY0_normal.jpg</v>
      </c>
      <c r="AW2841" s="82" t="s">
        <v>14996</v>
      </c>
      <c r="AX2841" s="82" t="s">
        <v>14996</v>
      </c>
      <c r="AY2841" s="77"/>
      <c r="AZ2841" s="82" t="s">
        <v>15804</v>
      </c>
      <c r="BA2841" s="82" t="s">
        <v>15804</v>
      </c>
      <c r="BB2841" s="82" t="s">
        <v>15804</v>
      </c>
      <c r="BC2841" s="82" t="s">
        <v>14996</v>
      </c>
      <c r="BD2841" s="77">
        <v>51150679</v>
      </c>
      <c r="BE2841" s="77"/>
      <c r="BF2841" s="77"/>
      <c r="BG2841" s="77"/>
      <c r="BH2841" s="77"/>
      <c r="BI2841" s="77"/>
    </row>
    <row r="2842" spans="1:61" x14ac:dyDescent="0.25">
      <c r="A2842" s="62" t="s">
        <v>1027</v>
      </c>
      <c r="B2842" s="62" t="s">
        <v>1027</v>
      </c>
      <c r="C2842" s="63"/>
      <c r="D2842" s="64"/>
      <c r="E2842" s="65"/>
      <c r="F2842" s="66"/>
      <c r="G2842" s="63"/>
      <c r="H2842" s="67"/>
      <c r="I2842" s="68"/>
      <c r="J2842" s="68"/>
      <c r="K2842" s="32"/>
      <c r="L2842" s="75">
        <v>2842</v>
      </c>
      <c r="M2842" s="75"/>
      <c r="N2842" s="70"/>
      <c r="O2842" s="77" t="s">
        <v>179</v>
      </c>
      <c r="P2842" s="79">
        <v>44999.655312499999</v>
      </c>
      <c r="Q2842" s="77" t="s">
        <v>3854</v>
      </c>
      <c r="R2842" s="77">
        <v>0</v>
      </c>
      <c r="S2842" s="77">
        <v>1</v>
      </c>
      <c r="T2842" s="77">
        <v>0</v>
      </c>
      <c r="U2842" s="77">
        <v>0</v>
      </c>
      <c r="V2842" s="77">
        <v>1045</v>
      </c>
      <c r="W2842" s="82" t="s">
        <v>5880</v>
      </c>
      <c r="X2842" s="80" t="str">
        <f>HYPERLINK("https://www.moneytimes.com.br/imposto-de-renda-2023-saiba-quais-sao-os-rendimentos-tributaveis-e-como-declara-los/")</f>
        <v>https://www.moneytimes.com.br/imposto-de-renda-2023-saiba-quais-sao-os-rendimentos-tributaveis-e-como-declara-los/</v>
      </c>
      <c r="Y2842" s="77" t="s">
        <v>6002</v>
      </c>
      <c r="Z2842" s="77"/>
      <c r="AA2842" s="77"/>
      <c r="AB2842" s="77"/>
      <c r="AC2842" s="82" t="s">
        <v>7718</v>
      </c>
      <c r="AD2842" s="77" t="s">
        <v>7745</v>
      </c>
      <c r="AE2842" s="80" t="str">
        <f>HYPERLINK("https://twitter.com/leiamoneytimes/status/1635668016607182848")</f>
        <v>https://twitter.com/leiamoneytimes/status/1635668016607182848</v>
      </c>
      <c r="AF2842" s="79">
        <v>44999.655312499999</v>
      </c>
      <c r="AG2842" s="85">
        <v>44999</v>
      </c>
      <c r="AH2842" s="82" t="s">
        <v>10315</v>
      </c>
      <c r="AI2842" s="77" t="b">
        <v>0</v>
      </c>
      <c r="AJ2842" s="77"/>
      <c r="AK2842" s="77"/>
      <c r="AL2842" s="77"/>
      <c r="AM2842" s="77"/>
      <c r="AN2842" s="77"/>
      <c r="AO2842" s="77"/>
      <c r="AP2842" s="77"/>
      <c r="AQ2842" s="77"/>
      <c r="AR2842" s="77"/>
      <c r="AS2842" s="77"/>
      <c r="AT2842" s="77"/>
      <c r="AU2842" s="77"/>
      <c r="AV2842" s="80" t="str">
        <f>HYPERLINK("https://pbs.twimg.com/profile_images/1559883556846977024/bXHnQFY0_normal.jpg")</f>
        <v>https://pbs.twimg.com/profile_images/1559883556846977024/bXHnQFY0_normal.jpg</v>
      </c>
      <c r="AW2842" s="82" t="s">
        <v>14997</v>
      </c>
      <c r="AX2842" s="82" t="s">
        <v>14997</v>
      </c>
      <c r="AY2842" s="77"/>
      <c r="AZ2842" s="82" t="s">
        <v>15804</v>
      </c>
      <c r="BA2842" s="82" t="s">
        <v>15804</v>
      </c>
      <c r="BB2842" s="82" t="s">
        <v>15804</v>
      </c>
      <c r="BC2842" s="82" t="s">
        <v>14997</v>
      </c>
      <c r="BD2842" s="77">
        <v>51150679</v>
      </c>
      <c r="BE2842" s="77"/>
      <c r="BF2842" s="77"/>
      <c r="BG2842" s="77"/>
      <c r="BH2842" s="77"/>
      <c r="BI2842" s="77"/>
    </row>
    <row r="2843" spans="1:61" x14ac:dyDescent="0.25">
      <c r="A2843" s="62" t="s">
        <v>1027</v>
      </c>
      <c r="B2843" s="62" t="s">
        <v>1027</v>
      </c>
      <c r="C2843" s="63"/>
      <c r="D2843" s="64"/>
      <c r="E2843" s="65"/>
      <c r="F2843" s="66"/>
      <c r="G2843" s="63"/>
      <c r="H2843" s="67"/>
      <c r="I2843" s="68"/>
      <c r="J2843" s="68"/>
      <c r="K2843" s="32"/>
      <c r="L2843" s="75">
        <v>2843</v>
      </c>
      <c r="M2843" s="75"/>
      <c r="N2843" s="70"/>
      <c r="O2843" s="77" t="s">
        <v>179</v>
      </c>
      <c r="P2843" s="79">
        <v>44999.58452546296</v>
      </c>
      <c r="Q2843" s="77" t="s">
        <v>3855</v>
      </c>
      <c r="R2843" s="77">
        <v>2</v>
      </c>
      <c r="S2843" s="77">
        <v>2</v>
      </c>
      <c r="T2843" s="77">
        <v>0</v>
      </c>
      <c r="U2843" s="77">
        <v>0</v>
      </c>
      <c r="V2843" s="77">
        <v>866</v>
      </c>
      <c r="W2843" s="82" t="s">
        <v>5870</v>
      </c>
      <c r="X2843" s="80" t="str">
        <f>HYPERLINK("https://www.moneytimes.com.br/imposto-de-renda-2023-como-fazer-a-declaracao-pre-preenchida/")</f>
        <v>https://www.moneytimes.com.br/imposto-de-renda-2023-como-fazer-a-declaracao-pre-preenchida/</v>
      </c>
      <c r="Y2843" s="77" t="s">
        <v>6002</v>
      </c>
      <c r="Z2843" s="77"/>
      <c r="AA2843" s="77"/>
      <c r="AB2843" s="77"/>
      <c r="AC2843" s="82" t="s">
        <v>7718</v>
      </c>
      <c r="AD2843" s="77" t="s">
        <v>7745</v>
      </c>
      <c r="AE2843" s="80" t="str">
        <f>HYPERLINK("https://twitter.com/leiamoneytimes/status/1635642364436832256")</f>
        <v>https://twitter.com/leiamoneytimes/status/1635642364436832256</v>
      </c>
      <c r="AF2843" s="79">
        <v>44999.58452546296</v>
      </c>
      <c r="AG2843" s="85">
        <v>44999</v>
      </c>
      <c r="AH2843" s="82" t="s">
        <v>10316</v>
      </c>
      <c r="AI2843" s="77" t="b">
        <v>0</v>
      </c>
      <c r="AJ2843" s="77"/>
      <c r="AK2843" s="77"/>
      <c r="AL2843" s="77"/>
      <c r="AM2843" s="77"/>
      <c r="AN2843" s="77"/>
      <c r="AO2843" s="77"/>
      <c r="AP2843" s="77"/>
      <c r="AQ2843" s="77"/>
      <c r="AR2843" s="77"/>
      <c r="AS2843" s="77"/>
      <c r="AT2843" s="77"/>
      <c r="AU2843" s="77"/>
      <c r="AV2843" s="80" t="str">
        <f>HYPERLINK("https://pbs.twimg.com/profile_images/1559883556846977024/bXHnQFY0_normal.jpg")</f>
        <v>https://pbs.twimg.com/profile_images/1559883556846977024/bXHnQFY0_normal.jpg</v>
      </c>
      <c r="AW2843" s="82" t="s">
        <v>14998</v>
      </c>
      <c r="AX2843" s="82" t="s">
        <v>14998</v>
      </c>
      <c r="AY2843" s="77"/>
      <c r="AZ2843" s="82" t="s">
        <v>15804</v>
      </c>
      <c r="BA2843" s="82" t="s">
        <v>15804</v>
      </c>
      <c r="BB2843" s="82" t="s">
        <v>15804</v>
      </c>
      <c r="BC2843" s="82" t="s">
        <v>14998</v>
      </c>
      <c r="BD2843" s="77">
        <v>51150679</v>
      </c>
      <c r="BE2843" s="77"/>
      <c r="BF2843" s="77"/>
      <c r="BG2843" s="77"/>
      <c r="BH2843" s="77"/>
      <c r="BI2843" s="77"/>
    </row>
    <row r="2844" spans="1:61" x14ac:dyDescent="0.25">
      <c r="A2844" s="62" t="s">
        <v>1027</v>
      </c>
      <c r="B2844" s="62" t="s">
        <v>1027</v>
      </c>
      <c r="C2844" s="63"/>
      <c r="D2844" s="64"/>
      <c r="E2844" s="65"/>
      <c r="F2844" s="66"/>
      <c r="G2844" s="63"/>
      <c r="H2844" s="67"/>
      <c r="I2844" s="68"/>
      <c r="J2844" s="68"/>
      <c r="K2844" s="32"/>
      <c r="L2844" s="75">
        <v>2844</v>
      </c>
      <c r="M2844" s="75"/>
      <c r="N2844" s="70"/>
      <c r="O2844" s="77" t="s">
        <v>179</v>
      </c>
      <c r="P2844" s="79">
        <v>44999.500787037039</v>
      </c>
      <c r="Q2844" s="77" t="s">
        <v>3856</v>
      </c>
      <c r="R2844" s="77">
        <v>2</v>
      </c>
      <c r="S2844" s="77">
        <v>2</v>
      </c>
      <c r="T2844" s="77">
        <v>0</v>
      </c>
      <c r="U2844" s="77">
        <v>0</v>
      </c>
      <c r="V2844" s="77">
        <v>1079</v>
      </c>
      <c r="W2844" s="82" t="s">
        <v>5881</v>
      </c>
      <c r="X2844" s="80" t="str">
        <f>HYPERLINK("https://www.moneytimes.com.br/imposto-de-renda-comeca-amanha-veja-se-voce-precisa-declarar-e-como-fazer-download-do-programa/")</f>
        <v>https://www.moneytimes.com.br/imposto-de-renda-comeca-amanha-veja-se-voce-precisa-declarar-e-como-fazer-download-do-programa/</v>
      </c>
      <c r="Y2844" s="77" t="s">
        <v>6002</v>
      </c>
      <c r="Z2844" s="77"/>
      <c r="AA2844" s="77"/>
      <c r="AB2844" s="77"/>
      <c r="AC2844" s="82" t="s">
        <v>7718</v>
      </c>
      <c r="AD2844" s="77" t="s">
        <v>7745</v>
      </c>
      <c r="AE2844" s="80" t="str">
        <f>HYPERLINK("https://twitter.com/leiamoneytimes/status/1635612021365383170")</f>
        <v>https://twitter.com/leiamoneytimes/status/1635612021365383170</v>
      </c>
      <c r="AF2844" s="79">
        <v>44999.500787037039</v>
      </c>
      <c r="AG2844" s="85">
        <v>44999</v>
      </c>
      <c r="AH2844" s="82" t="s">
        <v>10317</v>
      </c>
      <c r="AI2844" s="77" t="b">
        <v>0</v>
      </c>
      <c r="AJ2844" s="77"/>
      <c r="AK2844" s="77"/>
      <c r="AL2844" s="77"/>
      <c r="AM2844" s="77"/>
      <c r="AN2844" s="77"/>
      <c r="AO2844" s="77"/>
      <c r="AP2844" s="77"/>
      <c r="AQ2844" s="77"/>
      <c r="AR2844" s="77"/>
      <c r="AS2844" s="77"/>
      <c r="AT2844" s="77"/>
      <c r="AU2844" s="77"/>
      <c r="AV2844" s="80" t="str">
        <f>HYPERLINK("https://pbs.twimg.com/profile_images/1559883556846977024/bXHnQFY0_normal.jpg")</f>
        <v>https://pbs.twimg.com/profile_images/1559883556846977024/bXHnQFY0_normal.jpg</v>
      </c>
      <c r="AW2844" s="82" t="s">
        <v>14999</v>
      </c>
      <c r="AX2844" s="82" t="s">
        <v>14999</v>
      </c>
      <c r="AY2844" s="77"/>
      <c r="AZ2844" s="82" t="s">
        <v>15804</v>
      </c>
      <c r="BA2844" s="82" t="s">
        <v>15804</v>
      </c>
      <c r="BB2844" s="82" t="s">
        <v>15804</v>
      </c>
      <c r="BC2844" s="82" t="s">
        <v>14999</v>
      </c>
      <c r="BD2844" s="77">
        <v>51150679</v>
      </c>
      <c r="BE2844" s="77"/>
      <c r="BF2844" s="77"/>
      <c r="BG2844" s="77"/>
      <c r="BH2844" s="77"/>
      <c r="BI2844" s="77"/>
    </row>
    <row r="2845" spans="1:61" x14ac:dyDescent="0.25">
      <c r="A2845" s="62" t="s">
        <v>1027</v>
      </c>
      <c r="B2845" s="62" t="s">
        <v>1027</v>
      </c>
      <c r="C2845" s="63"/>
      <c r="D2845" s="64"/>
      <c r="E2845" s="65"/>
      <c r="F2845" s="66"/>
      <c r="G2845" s="63"/>
      <c r="H2845" s="67"/>
      <c r="I2845" s="68"/>
      <c r="J2845" s="68"/>
      <c r="K2845" s="32"/>
      <c r="L2845" s="75">
        <v>2845</v>
      </c>
      <c r="M2845" s="75"/>
      <c r="N2845" s="70"/>
      <c r="O2845" s="77" t="s">
        <v>179</v>
      </c>
      <c r="P2845" s="79">
        <v>44998.855428240742</v>
      </c>
      <c r="Q2845" s="77" t="s">
        <v>3857</v>
      </c>
      <c r="R2845" s="77">
        <v>1</v>
      </c>
      <c r="S2845" s="77">
        <v>2</v>
      </c>
      <c r="T2845" s="77">
        <v>1</v>
      </c>
      <c r="U2845" s="77">
        <v>0</v>
      </c>
      <c r="V2845" s="77">
        <v>1353</v>
      </c>
      <c r="W2845" s="82" t="s">
        <v>5880</v>
      </c>
      <c r="X2845" s="80" t="str">
        <f>HYPERLINK("https://www.moneytimes.com.br/imposto-de-renda-2023-com-liberacao-do-programa-ja-posso-deixar-declaracao-pronta/")</f>
        <v>https://www.moneytimes.com.br/imposto-de-renda-2023-com-liberacao-do-programa-ja-posso-deixar-declaracao-pronta/</v>
      </c>
      <c r="Y2845" s="77" t="s">
        <v>6002</v>
      </c>
      <c r="Z2845" s="77"/>
      <c r="AA2845" s="77"/>
      <c r="AB2845" s="77"/>
      <c r="AC2845" s="82" t="s">
        <v>7718</v>
      </c>
      <c r="AD2845" s="77" t="s">
        <v>7745</v>
      </c>
      <c r="AE2845" s="80" t="str">
        <f>HYPERLINK("https://twitter.com/leiamoneytimes/status/1635378149222494208")</f>
        <v>https://twitter.com/leiamoneytimes/status/1635378149222494208</v>
      </c>
      <c r="AF2845" s="79">
        <v>44998.855428240742</v>
      </c>
      <c r="AG2845" s="85">
        <v>44998</v>
      </c>
      <c r="AH2845" s="82" t="s">
        <v>10318</v>
      </c>
      <c r="AI2845" s="77" t="b">
        <v>0</v>
      </c>
      <c r="AJ2845" s="77"/>
      <c r="AK2845" s="77"/>
      <c r="AL2845" s="77"/>
      <c r="AM2845" s="77"/>
      <c r="AN2845" s="77"/>
      <c r="AO2845" s="77"/>
      <c r="AP2845" s="77"/>
      <c r="AQ2845" s="77"/>
      <c r="AR2845" s="77"/>
      <c r="AS2845" s="77"/>
      <c r="AT2845" s="77"/>
      <c r="AU2845" s="77"/>
      <c r="AV2845" s="80" t="str">
        <f>HYPERLINK("https://pbs.twimg.com/profile_images/1559883556846977024/bXHnQFY0_normal.jpg")</f>
        <v>https://pbs.twimg.com/profile_images/1559883556846977024/bXHnQFY0_normal.jpg</v>
      </c>
      <c r="AW2845" s="82" t="s">
        <v>15000</v>
      </c>
      <c r="AX2845" s="82" t="s">
        <v>15000</v>
      </c>
      <c r="AY2845" s="77"/>
      <c r="AZ2845" s="82" t="s">
        <v>15804</v>
      </c>
      <c r="BA2845" s="82" t="s">
        <v>15804</v>
      </c>
      <c r="BB2845" s="82" t="s">
        <v>15804</v>
      </c>
      <c r="BC2845" s="82" t="s">
        <v>15000</v>
      </c>
      <c r="BD2845" s="77">
        <v>51150679</v>
      </c>
      <c r="BE2845" s="77"/>
      <c r="BF2845" s="77"/>
      <c r="BG2845" s="77"/>
      <c r="BH2845" s="77"/>
      <c r="BI2845" s="77"/>
    </row>
    <row r="2846" spans="1:61" x14ac:dyDescent="0.25">
      <c r="A2846" s="62" t="s">
        <v>1027</v>
      </c>
      <c r="B2846" s="62" t="s">
        <v>1027</v>
      </c>
      <c r="C2846" s="63"/>
      <c r="D2846" s="64"/>
      <c r="E2846" s="65"/>
      <c r="F2846" s="66"/>
      <c r="G2846" s="63"/>
      <c r="H2846" s="67"/>
      <c r="I2846" s="68"/>
      <c r="J2846" s="68"/>
      <c r="K2846" s="32"/>
      <c r="L2846" s="75">
        <v>2846</v>
      </c>
      <c r="M2846" s="75"/>
      <c r="N2846" s="70"/>
      <c r="O2846" s="77" t="s">
        <v>179</v>
      </c>
      <c r="P2846" s="79">
        <v>44998.823321759257</v>
      </c>
      <c r="Q2846" s="77" t="s">
        <v>3858</v>
      </c>
      <c r="R2846" s="77">
        <v>1</v>
      </c>
      <c r="S2846" s="77">
        <v>2</v>
      </c>
      <c r="T2846" s="77">
        <v>0</v>
      </c>
      <c r="U2846" s="77">
        <v>0</v>
      </c>
      <c r="V2846" s="77">
        <v>1047</v>
      </c>
      <c r="W2846" s="82" t="s">
        <v>5870</v>
      </c>
      <c r="X2846" s="80" t="str">
        <f>HYPERLINK("https://www.moneytimes.com.br/troquei-de-emprego-como-declarar-no-imposto-de-renda-2023/")</f>
        <v>https://www.moneytimes.com.br/troquei-de-emprego-como-declarar-no-imposto-de-renda-2023/</v>
      </c>
      <c r="Y2846" s="77" t="s">
        <v>6002</v>
      </c>
      <c r="Z2846" s="77"/>
      <c r="AA2846" s="77"/>
      <c r="AB2846" s="77"/>
      <c r="AC2846" s="82" t="s">
        <v>7718</v>
      </c>
      <c r="AD2846" s="77" t="s">
        <v>7745</v>
      </c>
      <c r="AE2846" s="80" t="str">
        <f>HYPERLINK("https://twitter.com/leiamoneytimes/status/1635366514646741010")</f>
        <v>https://twitter.com/leiamoneytimes/status/1635366514646741010</v>
      </c>
      <c r="AF2846" s="79">
        <v>44998.823321759257</v>
      </c>
      <c r="AG2846" s="85">
        <v>44998</v>
      </c>
      <c r="AH2846" s="82" t="s">
        <v>10319</v>
      </c>
      <c r="AI2846" s="77" t="b">
        <v>0</v>
      </c>
      <c r="AJ2846" s="77"/>
      <c r="AK2846" s="77"/>
      <c r="AL2846" s="77"/>
      <c r="AM2846" s="77"/>
      <c r="AN2846" s="77"/>
      <c r="AO2846" s="77"/>
      <c r="AP2846" s="77"/>
      <c r="AQ2846" s="77"/>
      <c r="AR2846" s="77"/>
      <c r="AS2846" s="77"/>
      <c r="AT2846" s="77"/>
      <c r="AU2846" s="77"/>
      <c r="AV2846" s="80" t="str">
        <f>HYPERLINK("https://pbs.twimg.com/profile_images/1559883556846977024/bXHnQFY0_normal.jpg")</f>
        <v>https://pbs.twimg.com/profile_images/1559883556846977024/bXHnQFY0_normal.jpg</v>
      </c>
      <c r="AW2846" s="82" t="s">
        <v>15001</v>
      </c>
      <c r="AX2846" s="82" t="s">
        <v>15001</v>
      </c>
      <c r="AY2846" s="77"/>
      <c r="AZ2846" s="82" t="s">
        <v>15804</v>
      </c>
      <c r="BA2846" s="82" t="s">
        <v>15804</v>
      </c>
      <c r="BB2846" s="82" t="s">
        <v>15804</v>
      </c>
      <c r="BC2846" s="82" t="s">
        <v>15001</v>
      </c>
      <c r="BD2846" s="77">
        <v>51150679</v>
      </c>
      <c r="BE2846" s="77"/>
      <c r="BF2846" s="77"/>
      <c r="BG2846" s="77"/>
      <c r="BH2846" s="77"/>
      <c r="BI2846" s="77"/>
    </row>
    <row r="2847" spans="1:61" x14ac:dyDescent="0.25">
      <c r="A2847" s="62" t="s">
        <v>1027</v>
      </c>
      <c r="B2847" s="62" t="s">
        <v>1027</v>
      </c>
      <c r="C2847" s="63"/>
      <c r="D2847" s="64"/>
      <c r="E2847" s="65"/>
      <c r="F2847" s="66"/>
      <c r="G2847" s="63"/>
      <c r="H2847" s="67"/>
      <c r="I2847" s="68"/>
      <c r="J2847" s="68"/>
      <c r="K2847" s="32"/>
      <c r="L2847" s="75">
        <v>2847</v>
      </c>
      <c r="M2847" s="75"/>
      <c r="N2847" s="70"/>
      <c r="O2847" s="77" t="s">
        <v>179</v>
      </c>
      <c r="P2847" s="79">
        <v>44998.820370370369</v>
      </c>
      <c r="Q2847" s="77" t="s">
        <v>3859</v>
      </c>
      <c r="R2847" s="77">
        <v>1</v>
      </c>
      <c r="S2847" s="77">
        <v>1</v>
      </c>
      <c r="T2847" s="77">
        <v>0</v>
      </c>
      <c r="U2847" s="77">
        <v>0</v>
      </c>
      <c r="V2847" s="77">
        <v>1011</v>
      </c>
      <c r="W2847" s="82" t="s">
        <v>5871</v>
      </c>
      <c r="X2847" s="80" t="str">
        <f>HYPERLINK("https://www.moneytimes.com.br/imposto-de-renda-2023-o-que-muda-na-declaracao-de-quem-tem-investimento-para-quem-nao-tem/")</f>
        <v>https://www.moneytimes.com.br/imposto-de-renda-2023-o-que-muda-na-declaracao-de-quem-tem-investimento-para-quem-nao-tem/</v>
      </c>
      <c r="Y2847" s="77" t="s">
        <v>6002</v>
      </c>
      <c r="Z2847" s="77"/>
      <c r="AA2847" s="77"/>
      <c r="AB2847" s="77"/>
      <c r="AC2847" s="82" t="s">
        <v>7718</v>
      </c>
      <c r="AD2847" s="77" t="s">
        <v>7745</v>
      </c>
      <c r="AE2847" s="80" t="str">
        <f>HYPERLINK("https://twitter.com/leiamoneytimes/status/1635365443924815874")</f>
        <v>https://twitter.com/leiamoneytimes/status/1635365443924815874</v>
      </c>
      <c r="AF2847" s="79">
        <v>44998.820370370369</v>
      </c>
      <c r="AG2847" s="85">
        <v>44998</v>
      </c>
      <c r="AH2847" s="82" t="s">
        <v>10320</v>
      </c>
      <c r="AI2847" s="77" t="b">
        <v>0</v>
      </c>
      <c r="AJ2847" s="77"/>
      <c r="AK2847" s="77"/>
      <c r="AL2847" s="77"/>
      <c r="AM2847" s="77"/>
      <c r="AN2847" s="77"/>
      <c r="AO2847" s="77"/>
      <c r="AP2847" s="77"/>
      <c r="AQ2847" s="77"/>
      <c r="AR2847" s="77"/>
      <c r="AS2847" s="77"/>
      <c r="AT2847" s="77"/>
      <c r="AU2847" s="77"/>
      <c r="AV2847" s="80" t="str">
        <f>HYPERLINK("https://pbs.twimg.com/profile_images/1559883556846977024/bXHnQFY0_normal.jpg")</f>
        <v>https://pbs.twimg.com/profile_images/1559883556846977024/bXHnQFY0_normal.jpg</v>
      </c>
      <c r="AW2847" s="82" t="s">
        <v>15002</v>
      </c>
      <c r="AX2847" s="82" t="s">
        <v>15002</v>
      </c>
      <c r="AY2847" s="77"/>
      <c r="AZ2847" s="82" t="s">
        <v>15804</v>
      </c>
      <c r="BA2847" s="82" t="s">
        <v>15804</v>
      </c>
      <c r="BB2847" s="82" t="s">
        <v>15804</v>
      </c>
      <c r="BC2847" s="82" t="s">
        <v>15002</v>
      </c>
      <c r="BD2847" s="77">
        <v>51150679</v>
      </c>
      <c r="BE2847" s="77"/>
      <c r="BF2847" s="77"/>
      <c r="BG2847" s="77"/>
      <c r="BH2847" s="77"/>
      <c r="BI2847" s="77"/>
    </row>
    <row r="2848" spans="1:61" x14ac:dyDescent="0.25">
      <c r="A2848" s="62" t="s">
        <v>1027</v>
      </c>
      <c r="B2848" s="62" t="s">
        <v>1027</v>
      </c>
      <c r="C2848" s="63"/>
      <c r="D2848" s="64"/>
      <c r="E2848" s="65"/>
      <c r="F2848" s="66"/>
      <c r="G2848" s="63"/>
      <c r="H2848" s="67"/>
      <c r="I2848" s="68"/>
      <c r="J2848" s="68"/>
      <c r="K2848" s="32"/>
      <c r="L2848" s="75">
        <v>2848</v>
      </c>
      <c r="M2848" s="75"/>
      <c r="N2848" s="70"/>
      <c r="O2848" s="77" t="s">
        <v>179</v>
      </c>
      <c r="P2848" s="79">
        <v>44943.736898148149</v>
      </c>
      <c r="Q2848" s="77" t="s">
        <v>3860</v>
      </c>
      <c r="R2848" s="77">
        <v>0</v>
      </c>
      <c r="S2848" s="77">
        <v>3</v>
      </c>
      <c r="T2848" s="77">
        <v>1</v>
      </c>
      <c r="U2848" s="77">
        <v>0</v>
      </c>
      <c r="V2848" s="77">
        <v>877</v>
      </c>
      <c r="W2848" s="82" t="s">
        <v>5882</v>
      </c>
      <c r="X2848" s="80" t="str">
        <f>HYPERLINK("https://www.moneytimes.com.br/imoveis-os-10-bairros-com-o-aluguel-mais-caro-em-sao-paulo/")</f>
        <v>https://www.moneytimes.com.br/imoveis-os-10-bairros-com-o-aluguel-mais-caro-em-sao-paulo/</v>
      </c>
      <c r="Y2848" s="77" t="s">
        <v>6002</v>
      </c>
      <c r="Z2848" s="77"/>
      <c r="AA2848" s="77"/>
      <c r="AB2848" s="77"/>
      <c r="AC2848" s="82" t="s">
        <v>7718</v>
      </c>
      <c r="AD2848" s="77" t="s">
        <v>7745</v>
      </c>
      <c r="AE2848" s="80" t="str">
        <f>HYPERLINK("https://twitter.com/leiamoneytimes/status/1615403862789165058")</f>
        <v>https://twitter.com/leiamoneytimes/status/1615403862789165058</v>
      </c>
      <c r="AF2848" s="79">
        <v>44943.736898148149</v>
      </c>
      <c r="AG2848" s="85">
        <v>44943</v>
      </c>
      <c r="AH2848" s="82" t="s">
        <v>10321</v>
      </c>
      <c r="AI2848" s="77" t="b">
        <v>0</v>
      </c>
      <c r="AJ2848" s="77"/>
      <c r="AK2848" s="77"/>
      <c r="AL2848" s="77"/>
      <c r="AM2848" s="77"/>
      <c r="AN2848" s="77"/>
      <c r="AO2848" s="77"/>
      <c r="AP2848" s="77"/>
      <c r="AQ2848" s="77"/>
      <c r="AR2848" s="77"/>
      <c r="AS2848" s="77"/>
      <c r="AT2848" s="77"/>
      <c r="AU2848" s="77"/>
      <c r="AV2848" s="80" t="str">
        <f>HYPERLINK("https://pbs.twimg.com/profile_images/1559883556846977024/bXHnQFY0_normal.jpg")</f>
        <v>https://pbs.twimg.com/profile_images/1559883556846977024/bXHnQFY0_normal.jpg</v>
      </c>
      <c r="AW2848" s="82" t="s">
        <v>15003</v>
      </c>
      <c r="AX2848" s="82" t="s">
        <v>15003</v>
      </c>
      <c r="AY2848" s="77"/>
      <c r="AZ2848" s="82" t="s">
        <v>15804</v>
      </c>
      <c r="BA2848" s="82" t="s">
        <v>15804</v>
      </c>
      <c r="BB2848" s="82" t="s">
        <v>15804</v>
      </c>
      <c r="BC2848" s="82" t="s">
        <v>15003</v>
      </c>
      <c r="BD2848" s="77">
        <v>51150679</v>
      </c>
      <c r="BE2848" s="77"/>
      <c r="BF2848" s="77"/>
      <c r="BG2848" s="77"/>
      <c r="BH2848" s="77"/>
      <c r="BI2848" s="77"/>
    </row>
    <row r="2849" spans="1:61" x14ac:dyDescent="0.25">
      <c r="A2849" s="62" t="s">
        <v>1027</v>
      </c>
      <c r="B2849" s="62" t="s">
        <v>1027</v>
      </c>
      <c r="C2849" s="63"/>
      <c r="D2849" s="64"/>
      <c r="E2849" s="65"/>
      <c r="F2849" s="66"/>
      <c r="G2849" s="63"/>
      <c r="H2849" s="67"/>
      <c r="I2849" s="68"/>
      <c r="J2849" s="68"/>
      <c r="K2849" s="32"/>
      <c r="L2849" s="75">
        <v>2849</v>
      </c>
      <c r="M2849" s="75"/>
      <c r="N2849" s="70"/>
      <c r="O2849" s="77" t="s">
        <v>179</v>
      </c>
      <c r="P2849" s="79">
        <v>44943.537245370368</v>
      </c>
      <c r="Q2849" s="77" t="s">
        <v>3861</v>
      </c>
      <c r="R2849" s="77">
        <v>0</v>
      </c>
      <c r="S2849" s="77">
        <v>2</v>
      </c>
      <c r="T2849" s="77">
        <v>1</v>
      </c>
      <c r="U2849" s="77">
        <v>0</v>
      </c>
      <c r="V2849" s="77">
        <v>827</v>
      </c>
      <c r="W2849" s="82" t="s">
        <v>5883</v>
      </c>
      <c r="X2849" s="80" t="str">
        <f>HYPERLINK("https://www.moneytimes.com.br/imoveis-preco-de-aluguel-residencial-dispara-e-fica-tres-vezes-acima-da-inflacao/")</f>
        <v>https://www.moneytimes.com.br/imoveis-preco-de-aluguel-residencial-dispara-e-fica-tres-vezes-acima-da-inflacao/</v>
      </c>
      <c r="Y2849" s="77" t="s">
        <v>6002</v>
      </c>
      <c r="Z2849" s="77"/>
      <c r="AA2849" s="77"/>
      <c r="AB2849" s="77"/>
      <c r="AC2849" s="82" t="s">
        <v>7718</v>
      </c>
      <c r="AD2849" s="77" t="s">
        <v>7745</v>
      </c>
      <c r="AE2849" s="80" t="str">
        <f>HYPERLINK("https://twitter.com/leiamoneytimes/status/1615331512831938560")</f>
        <v>https://twitter.com/leiamoneytimes/status/1615331512831938560</v>
      </c>
      <c r="AF2849" s="79">
        <v>44943.537245370368</v>
      </c>
      <c r="AG2849" s="85">
        <v>44943</v>
      </c>
      <c r="AH2849" s="82" t="s">
        <v>10322</v>
      </c>
      <c r="AI2849" s="77" t="b">
        <v>0</v>
      </c>
      <c r="AJ2849" s="77"/>
      <c r="AK2849" s="77"/>
      <c r="AL2849" s="77"/>
      <c r="AM2849" s="77"/>
      <c r="AN2849" s="77"/>
      <c r="AO2849" s="77"/>
      <c r="AP2849" s="77"/>
      <c r="AQ2849" s="77"/>
      <c r="AR2849" s="77"/>
      <c r="AS2849" s="77"/>
      <c r="AT2849" s="77"/>
      <c r="AU2849" s="77"/>
      <c r="AV2849" s="80" t="str">
        <f>HYPERLINK("https://pbs.twimg.com/profile_images/1559883556846977024/bXHnQFY0_normal.jpg")</f>
        <v>https://pbs.twimg.com/profile_images/1559883556846977024/bXHnQFY0_normal.jpg</v>
      </c>
      <c r="AW2849" s="82" t="s">
        <v>15004</v>
      </c>
      <c r="AX2849" s="82" t="s">
        <v>15004</v>
      </c>
      <c r="AY2849" s="77"/>
      <c r="AZ2849" s="82" t="s">
        <v>15804</v>
      </c>
      <c r="BA2849" s="82" t="s">
        <v>15804</v>
      </c>
      <c r="BB2849" s="82" t="s">
        <v>15804</v>
      </c>
      <c r="BC2849" s="82" t="s">
        <v>15004</v>
      </c>
      <c r="BD2849" s="77">
        <v>51150679</v>
      </c>
      <c r="BE2849" s="77"/>
      <c r="BF2849" s="77"/>
      <c r="BG2849" s="77"/>
      <c r="BH2849" s="77"/>
      <c r="BI2849" s="77"/>
    </row>
    <row r="2850" spans="1:61" x14ac:dyDescent="0.25">
      <c r="A2850" s="62" t="s">
        <v>1027</v>
      </c>
      <c r="B2850" s="62" t="s">
        <v>1027</v>
      </c>
      <c r="C2850" s="63"/>
      <c r="D2850" s="64"/>
      <c r="E2850" s="65"/>
      <c r="F2850" s="66"/>
      <c r="G2850" s="63"/>
      <c r="H2850" s="67"/>
      <c r="I2850" s="68"/>
      <c r="J2850" s="68"/>
      <c r="K2850" s="32"/>
      <c r="L2850" s="75">
        <v>2850</v>
      </c>
      <c r="M2850" s="75"/>
      <c r="N2850" s="70"/>
      <c r="O2850" s="77" t="s">
        <v>179</v>
      </c>
      <c r="P2850" s="79">
        <v>45108.610034722224</v>
      </c>
      <c r="Q2850" s="77" t="s">
        <v>3862</v>
      </c>
      <c r="R2850" s="77">
        <v>0</v>
      </c>
      <c r="S2850" s="77">
        <v>0</v>
      </c>
      <c r="T2850" s="77">
        <v>1</v>
      </c>
      <c r="U2850" s="77">
        <v>0</v>
      </c>
      <c r="V2850" s="77">
        <v>1060</v>
      </c>
      <c r="W2850" s="82" t="s">
        <v>5884</v>
      </c>
      <c r="X2850" s="80" t="str">
        <f>HYPERLINK("https://www.moneytimes.com.br/mega-sena-sorteia-premio-de-r-43-milhoes-neste-sabado-1/")</f>
        <v>https://www.moneytimes.com.br/mega-sena-sorteia-premio-de-r-43-milhoes-neste-sabado-1/</v>
      </c>
      <c r="Y2850" s="77" t="s">
        <v>6002</v>
      </c>
      <c r="Z2850" s="77"/>
      <c r="AA2850" s="77"/>
      <c r="AB2850" s="77"/>
      <c r="AC2850" s="82" t="s">
        <v>7718</v>
      </c>
      <c r="AD2850" s="77" t="s">
        <v>7745</v>
      </c>
      <c r="AE2850" s="80" t="str">
        <f>HYPERLINK("https://twitter.com/leiamoneytimes/status/1675151888650518528")</f>
        <v>https://twitter.com/leiamoneytimes/status/1675151888650518528</v>
      </c>
      <c r="AF2850" s="79">
        <v>45108.610034722224</v>
      </c>
      <c r="AG2850" s="85">
        <v>45108</v>
      </c>
      <c r="AH2850" s="82" t="s">
        <v>10323</v>
      </c>
      <c r="AI2850" s="77" t="b">
        <v>0</v>
      </c>
      <c r="AJ2850" s="77"/>
      <c r="AK2850" s="77"/>
      <c r="AL2850" s="77"/>
      <c r="AM2850" s="77"/>
      <c r="AN2850" s="77"/>
      <c r="AO2850" s="77"/>
      <c r="AP2850" s="77"/>
      <c r="AQ2850" s="77"/>
      <c r="AR2850" s="77"/>
      <c r="AS2850" s="77"/>
      <c r="AT2850" s="77"/>
      <c r="AU2850" s="77"/>
      <c r="AV2850" s="80" t="str">
        <f>HYPERLINK("https://pbs.twimg.com/profile_images/1559883556846977024/bXHnQFY0_normal.jpg")</f>
        <v>https://pbs.twimg.com/profile_images/1559883556846977024/bXHnQFY0_normal.jpg</v>
      </c>
      <c r="AW2850" s="82" t="s">
        <v>15005</v>
      </c>
      <c r="AX2850" s="82" t="s">
        <v>15005</v>
      </c>
      <c r="AY2850" s="77"/>
      <c r="AZ2850" s="82" t="s">
        <v>15804</v>
      </c>
      <c r="BA2850" s="82" t="s">
        <v>15804</v>
      </c>
      <c r="BB2850" s="82" t="s">
        <v>15804</v>
      </c>
      <c r="BC2850" s="82" t="s">
        <v>15005</v>
      </c>
      <c r="BD2850" s="77">
        <v>51150679</v>
      </c>
      <c r="BE2850" s="77"/>
      <c r="BF2850" s="77"/>
      <c r="BG2850" s="77"/>
      <c r="BH2850" s="77"/>
      <c r="BI2850" s="77"/>
    </row>
    <row r="2851" spans="1:61" x14ac:dyDescent="0.25">
      <c r="A2851" s="62" t="s">
        <v>1027</v>
      </c>
      <c r="B2851" s="62" t="s">
        <v>1027</v>
      </c>
      <c r="C2851" s="63"/>
      <c r="D2851" s="64"/>
      <c r="E2851" s="65"/>
      <c r="F2851" s="66"/>
      <c r="G2851" s="63"/>
      <c r="H2851" s="67"/>
      <c r="I2851" s="68"/>
      <c r="J2851" s="68"/>
      <c r="K2851" s="32"/>
      <c r="L2851" s="75">
        <v>2851</v>
      </c>
      <c r="M2851" s="75"/>
      <c r="N2851" s="70"/>
      <c r="O2851" s="77" t="s">
        <v>179</v>
      </c>
      <c r="P2851" s="79">
        <v>45077.768530092595</v>
      </c>
      <c r="Q2851" s="77" t="s">
        <v>3863</v>
      </c>
      <c r="R2851" s="77">
        <v>0</v>
      </c>
      <c r="S2851" s="77">
        <v>3</v>
      </c>
      <c r="T2851" s="77">
        <v>0</v>
      </c>
      <c r="U2851" s="77">
        <v>0</v>
      </c>
      <c r="V2851" s="77">
        <v>1194</v>
      </c>
      <c r="W2851" s="82" t="s">
        <v>5858</v>
      </c>
      <c r="X2851" s="80" t="str">
        <f>HYPERLINK("https://www.moneytimes.com.br/restituicao-do-imposto-de-renda-2023-o-que-fazer-com-o-dinheiro/")</f>
        <v>https://www.moneytimes.com.br/restituicao-do-imposto-de-renda-2023-o-que-fazer-com-o-dinheiro/</v>
      </c>
      <c r="Y2851" s="77" t="s">
        <v>6002</v>
      </c>
      <c r="Z2851" s="77"/>
      <c r="AA2851" s="77"/>
      <c r="AB2851" s="77"/>
      <c r="AC2851" s="82" t="s">
        <v>7718</v>
      </c>
      <c r="AD2851" s="77" t="s">
        <v>7745</v>
      </c>
      <c r="AE2851" s="80" t="str">
        <f>HYPERLINK("https://twitter.com/leiamoneytimes/status/1663975301724946450")</f>
        <v>https://twitter.com/leiamoneytimes/status/1663975301724946450</v>
      </c>
      <c r="AF2851" s="79">
        <v>45077.768530092595</v>
      </c>
      <c r="AG2851" s="85">
        <v>45077</v>
      </c>
      <c r="AH2851" s="82" t="s">
        <v>10324</v>
      </c>
      <c r="AI2851" s="77" t="b">
        <v>0</v>
      </c>
      <c r="AJ2851" s="77"/>
      <c r="AK2851" s="77"/>
      <c r="AL2851" s="77"/>
      <c r="AM2851" s="77"/>
      <c r="AN2851" s="77"/>
      <c r="AO2851" s="77"/>
      <c r="AP2851" s="77"/>
      <c r="AQ2851" s="77"/>
      <c r="AR2851" s="77"/>
      <c r="AS2851" s="77"/>
      <c r="AT2851" s="77"/>
      <c r="AU2851" s="77"/>
      <c r="AV2851" s="80" t="str">
        <f>HYPERLINK("https://pbs.twimg.com/profile_images/1559883556846977024/bXHnQFY0_normal.jpg")</f>
        <v>https://pbs.twimg.com/profile_images/1559883556846977024/bXHnQFY0_normal.jpg</v>
      </c>
      <c r="AW2851" s="82" t="s">
        <v>15006</v>
      </c>
      <c r="AX2851" s="82" t="s">
        <v>15006</v>
      </c>
      <c r="AY2851" s="77"/>
      <c r="AZ2851" s="82" t="s">
        <v>15804</v>
      </c>
      <c r="BA2851" s="82" t="s">
        <v>15804</v>
      </c>
      <c r="BB2851" s="82" t="s">
        <v>15804</v>
      </c>
      <c r="BC2851" s="82" t="s">
        <v>15006</v>
      </c>
      <c r="BD2851" s="77">
        <v>51150679</v>
      </c>
      <c r="BE2851" s="77"/>
      <c r="BF2851" s="77"/>
      <c r="BG2851" s="77"/>
      <c r="BH2851" s="77"/>
      <c r="BI2851" s="77"/>
    </row>
    <row r="2852" spans="1:61" x14ac:dyDescent="0.25">
      <c r="A2852" s="62" t="s">
        <v>1027</v>
      </c>
      <c r="B2852" s="62" t="s">
        <v>1027</v>
      </c>
      <c r="C2852" s="63"/>
      <c r="D2852" s="64"/>
      <c r="E2852" s="65"/>
      <c r="F2852" s="66"/>
      <c r="G2852" s="63"/>
      <c r="H2852" s="67"/>
      <c r="I2852" s="68"/>
      <c r="J2852" s="68"/>
      <c r="K2852" s="32"/>
      <c r="L2852" s="75">
        <v>2852</v>
      </c>
      <c r="M2852" s="75"/>
      <c r="N2852" s="70"/>
      <c r="O2852" s="77" t="s">
        <v>179</v>
      </c>
      <c r="P2852" s="79">
        <v>45077.652465277781</v>
      </c>
      <c r="Q2852" s="77" t="s">
        <v>3864</v>
      </c>
      <c r="R2852" s="77">
        <v>0</v>
      </c>
      <c r="S2852" s="77">
        <v>0</v>
      </c>
      <c r="T2852" s="77">
        <v>0</v>
      </c>
      <c r="U2852" s="77">
        <v>0</v>
      </c>
      <c r="V2852" s="77">
        <v>1048</v>
      </c>
      <c r="W2852" s="82" t="s">
        <v>5870</v>
      </c>
      <c r="X2852" s="80" t="str">
        <f>HYPERLINK("https://www.moneytimes.com.br/imposto-de-renda-2023-veja-como-declarar-investimentos-prazo-termina-hoje/")</f>
        <v>https://www.moneytimes.com.br/imposto-de-renda-2023-veja-como-declarar-investimentos-prazo-termina-hoje/</v>
      </c>
      <c r="Y2852" s="77" t="s">
        <v>6002</v>
      </c>
      <c r="Z2852" s="77"/>
      <c r="AA2852" s="77"/>
      <c r="AB2852" s="77"/>
      <c r="AC2852" s="82" t="s">
        <v>7718</v>
      </c>
      <c r="AD2852" s="77" t="s">
        <v>7745</v>
      </c>
      <c r="AE2852" s="80" t="str">
        <f>HYPERLINK("https://twitter.com/leiamoneytimes/status/1663933241403797506")</f>
        <v>https://twitter.com/leiamoneytimes/status/1663933241403797506</v>
      </c>
      <c r="AF2852" s="79">
        <v>45077.652465277781</v>
      </c>
      <c r="AG2852" s="85">
        <v>45077</v>
      </c>
      <c r="AH2852" s="82" t="s">
        <v>10325</v>
      </c>
      <c r="AI2852" s="77" t="b">
        <v>0</v>
      </c>
      <c r="AJ2852" s="77"/>
      <c r="AK2852" s="77"/>
      <c r="AL2852" s="77"/>
      <c r="AM2852" s="77"/>
      <c r="AN2852" s="77"/>
      <c r="AO2852" s="77"/>
      <c r="AP2852" s="77"/>
      <c r="AQ2852" s="77"/>
      <c r="AR2852" s="77"/>
      <c r="AS2852" s="77"/>
      <c r="AT2852" s="77"/>
      <c r="AU2852" s="77"/>
      <c r="AV2852" s="80" t="str">
        <f>HYPERLINK("https://pbs.twimg.com/profile_images/1559883556846977024/bXHnQFY0_normal.jpg")</f>
        <v>https://pbs.twimg.com/profile_images/1559883556846977024/bXHnQFY0_normal.jpg</v>
      </c>
      <c r="AW2852" s="82" t="s">
        <v>15007</v>
      </c>
      <c r="AX2852" s="82" t="s">
        <v>15007</v>
      </c>
      <c r="AY2852" s="77"/>
      <c r="AZ2852" s="82" t="s">
        <v>15804</v>
      </c>
      <c r="BA2852" s="82" t="s">
        <v>15804</v>
      </c>
      <c r="BB2852" s="82" t="s">
        <v>15804</v>
      </c>
      <c r="BC2852" s="82" t="s">
        <v>15007</v>
      </c>
      <c r="BD2852" s="77">
        <v>51150679</v>
      </c>
      <c r="BE2852" s="77"/>
      <c r="BF2852" s="77"/>
      <c r="BG2852" s="77"/>
      <c r="BH2852" s="77"/>
      <c r="BI2852" s="77"/>
    </row>
    <row r="2853" spans="1:61" x14ac:dyDescent="0.25">
      <c r="A2853" s="62" t="s">
        <v>1027</v>
      </c>
      <c r="B2853" s="62" t="s">
        <v>1027</v>
      </c>
      <c r="C2853" s="63"/>
      <c r="D2853" s="64"/>
      <c r="E2853" s="65"/>
      <c r="F2853" s="66"/>
      <c r="G2853" s="63"/>
      <c r="H2853" s="67"/>
      <c r="I2853" s="68"/>
      <c r="J2853" s="68"/>
      <c r="K2853" s="32"/>
      <c r="L2853" s="75">
        <v>2853</v>
      </c>
      <c r="M2853" s="75"/>
      <c r="N2853" s="70"/>
      <c r="O2853" s="77" t="s">
        <v>179</v>
      </c>
      <c r="P2853" s="79">
        <v>45077.542453703703</v>
      </c>
      <c r="Q2853" s="77" t="s">
        <v>3865</v>
      </c>
      <c r="R2853" s="77">
        <v>1</v>
      </c>
      <c r="S2853" s="77">
        <v>2</v>
      </c>
      <c r="T2853" s="77">
        <v>0</v>
      </c>
      <c r="U2853" s="77">
        <v>0</v>
      </c>
      <c r="V2853" s="77">
        <v>1003</v>
      </c>
      <c r="W2853" s="82" t="s">
        <v>5873</v>
      </c>
      <c r="X2853" s="80" t="str">
        <f>HYPERLINK("https://www.moneytimes.com.br/restituicao-do-imposto-de-renda-2023-veja-o-passo-a-passo-de-como-consultar/")</f>
        <v>https://www.moneytimes.com.br/restituicao-do-imposto-de-renda-2023-veja-o-passo-a-passo-de-como-consultar/</v>
      </c>
      <c r="Y2853" s="77" t="s">
        <v>6002</v>
      </c>
      <c r="Z2853" s="77"/>
      <c r="AA2853" s="77"/>
      <c r="AB2853" s="77"/>
      <c r="AC2853" s="82" t="s">
        <v>7718</v>
      </c>
      <c r="AD2853" s="77" t="s">
        <v>7745</v>
      </c>
      <c r="AE2853" s="80" t="str">
        <f>HYPERLINK("https://twitter.com/leiamoneytimes/status/1663893373621616641")</f>
        <v>https://twitter.com/leiamoneytimes/status/1663893373621616641</v>
      </c>
      <c r="AF2853" s="79">
        <v>45077.542453703703</v>
      </c>
      <c r="AG2853" s="85">
        <v>45077</v>
      </c>
      <c r="AH2853" s="82" t="s">
        <v>10326</v>
      </c>
      <c r="AI2853" s="77" t="b">
        <v>0</v>
      </c>
      <c r="AJ2853" s="77"/>
      <c r="AK2853" s="77"/>
      <c r="AL2853" s="77"/>
      <c r="AM2853" s="77"/>
      <c r="AN2853" s="77"/>
      <c r="AO2853" s="77"/>
      <c r="AP2853" s="77"/>
      <c r="AQ2853" s="77"/>
      <c r="AR2853" s="77"/>
      <c r="AS2853" s="77"/>
      <c r="AT2853" s="77"/>
      <c r="AU2853" s="77"/>
      <c r="AV2853" s="80" t="str">
        <f>HYPERLINK("https://pbs.twimg.com/profile_images/1559883556846977024/bXHnQFY0_normal.jpg")</f>
        <v>https://pbs.twimg.com/profile_images/1559883556846977024/bXHnQFY0_normal.jpg</v>
      </c>
      <c r="AW2853" s="82" t="s">
        <v>15008</v>
      </c>
      <c r="AX2853" s="82" t="s">
        <v>15008</v>
      </c>
      <c r="AY2853" s="77"/>
      <c r="AZ2853" s="82" t="s">
        <v>15804</v>
      </c>
      <c r="BA2853" s="82" t="s">
        <v>15804</v>
      </c>
      <c r="BB2853" s="82" t="s">
        <v>15804</v>
      </c>
      <c r="BC2853" s="82" t="s">
        <v>15008</v>
      </c>
      <c r="BD2853" s="77">
        <v>51150679</v>
      </c>
      <c r="BE2853" s="77"/>
      <c r="BF2853" s="77"/>
      <c r="BG2853" s="77"/>
      <c r="BH2853" s="77"/>
      <c r="BI2853" s="77"/>
    </row>
    <row r="2854" spans="1:61" x14ac:dyDescent="0.25">
      <c r="A2854" s="62" t="s">
        <v>1027</v>
      </c>
      <c r="B2854" s="62" t="s">
        <v>1027</v>
      </c>
      <c r="C2854" s="63"/>
      <c r="D2854" s="64"/>
      <c r="E2854" s="65"/>
      <c r="F2854" s="66"/>
      <c r="G2854" s="63"/>
      <c r="H2854" s="67"/>
      <c r="I2854" s="68"/>
      <c r="J2854" s="68"/>
      <c r="K2854" s="32"/>
      <c r="L2854" s="75">
        <v>2854</v>
      </c>
      <c r="M2854" s="75"/>
      <c r="N2854" s="70"/>
      <c r="O2854" s="77" t="s">
        <v>179</v>
      </c>
      <c r="P2854" s="79">
        <v>45077.375787037039</v>
      </c>
      <c r="Q2854" s="77" t="s">
        <v>3866</v>
      </c>
      <c r="R2854" s="77">
        <v>1</v>
      </c>
      <c r="S2854" s="77">
        <v>2</v>
      </c>
      <c r="T2854" s="77">
        <v>0</v>
      </c>
      <c r="U2854" s="77">
        <v>0</v>
      </c>
      <c r="V2854" s="77">
        <v>1542</v>
      </c>
      <c r="W2854" s="82" t="s">
        <v>5858</v>
      </c>
      <c r="X2854" s="80" t="str">
        <f>HYPERLINK("https://www.moneytimes.com.br/ultimo-dia-para-declarar-imposto-de-renda-tudo-que-voce-precisa-saber-para-nao-cair-na-malha-fina/")</f>
        <v>https://www.moneytimes.com.br/ultimo-dia-para-declarar-imposto-de-renda-tudo-que-voce-precisa-saber-para-nao-cair-na-malha-fina/</v>
      </c>
      <c r="Y2854" s="77" t="s">
        <v>6002</v>
      </c>
      <c r="Z2854" s="77"/>
      <c r="AA2854" s="77"/>
      <c r="AB2854" s="77"/>
      <c r="AC2854" s="82" t="s">
        <v>7718</v>
      </c>
      <c r="AD2854" s="77" t="s">
        <v>7745</v>
      </c>
      <c r="AE2854" s="80" t="str">
        <f>HYPERLINK("https://twitter.com/leiamoneytimes/status/1663832976411467776")</f>
        <v>https://twitter.com/leiamoneytimes/status/1663832976411467776</v>
      </c>
      <c r="AF2854" s="79">
        <v>45077.375787037039</v>
      </c>
      <c r="AG2854" s="85">
        <v>45077</v>
      </c>
      <c r="AH2854" s="82" t="s">
        <v>10327</v>
      </c>
      <c r="AI2854" s="77" t="b">
        <v>0</v>
      </c>
      <c r="AJ2854" s="77"/>
      <c r="AK2854" s="77"/>
      <c r="AL2854" s="77"/>
      <c r="AM2854" s="77"/>
      <c r="AN2854" s="77"/>
      <c r="AO2854" s="77"/>
      <c r="AP2854" s="77"/>
      <c r="AQ2854" s="77"/>
      <c r="AR2854" s="77"/>
      <c r="AS2854" s="77"/>
      <c r="AT2854" s="77"/>
      <c r="AU2854" s="77"/>
      <c r="AV2854" s="80" t="str">
        <f>HYPERLINK("https://pbs.twimg.com/profile_images/1559883556846977024/bXHnQFY0_normal.jpg")</f>
        <v>https://pbs.twimg.com/profile_images/1559883556846977024/bXHnQFY0_normal.jpg</v>
      </c>
      <c r="AW2854" s="82" t="s">
        <v>15009</v>
      </c>
      <c r="AX2854" s="82" t="s">
        <v>15009</v>
      </c>
      <c r="AY2854" s="77"/>
      <c r="AZ2854" s="82" t="s">
        <v>15804</v>
      </c>
      <c r="BA2854" s="82" t="s">
        <v>15804</v>
      </c>
      <c r="BB2854" s="82" t="s">
        <v>15804</v>
      </c>
      <c r="BC2854" s="82" t="s">
        <v>15009</v>
      </c>
      <c r="BD2854" s="77">
        <v>51150679</v>
      </c>
      <c r="BE2854" s="77"/>
      <c r="BF2854" s="77"/>
      <c r="BG2854" s="77"/>
      <c r="BH2854" s="77"/>
      <c r="BI2854" s="77"/>
    </row>
    <row r="2855" spans="1:61" x14ac:dyDescent="0.25">
      <c r="A2855" s="62" t="s">
        <v>1027</v>
      </c>
      <c r="B2855" s="62" t="s">
        <v>1027</v>
      </c>
      <c r="C2855" s="63"/>
      <c r="D2855" s="64"/>
      <c r="E2855" s="65"/>
      <c r="F2855" s="66"/>
      <c r="G2855" s="63"/>
      <c r="H2855" s="67"/>
      <c r="I2855" s="68"/>
      <c r="J2855" s="68"/>
      <c r="K2855" s="32"/>
      <c r="L2855" s="75">
        <v>2855</v>
      </c>
      <c r="M2855" s="75"/>
      <c r="N2855" s="70"/>
      <c r="O2855" s="77" t="s">
        <v>179</v>
      </c>
      <c r="P2855" s="79">
        <v>45070.859502314815</v>
      </c>
      <c r="Q2855" s="77" t="s">
        <v>3867</v>
      </c>
      <c r="R2855" s="77">
        <v>0</v>
      </c>
      <c r="S2855" s="77">
        <v>1</v>
      </c>
      <c r="T2855" s="77">
        <v>0</v>
      </c>
      <c r="U2855" s="77">
        <v>0</v>
      </c>
      <c r="V2855" s="77">
        <v>1023</v>
      </c>
      <c r="W2855" s="82" t="s">
        <v>5858</v>
      </c>
      <c r="X2855" s="80" t="str">
        <f>HYPERLINK("https://www.moneytimes.com.br/imposto-de-renda-2023-como-declarar-ganhos-de-capital/")</f>
        <v>https://www.moneytimes.com.br/imposto-de-renda-2023-como-declarar-ganhos-de-capital/</v>
      </c>
      <c r="Y2855" s="77" t="s">
        <v>6002</v>
      </c>
      <c r="Z2855" s="77"/>
      <c r="AA2855" s="77"/>
      <c r="AB2855" s="77"/>
      <c r="AC2855" s="82" t="s">
        <v>7718</v>
      </c>
      <c r="AD2855" s="77" t="s">
        <v>7745</v>
      </c>
      <c r="AE2855" s="80" t="str">
        <f>HYPERLINK("https://twitter.com/leiamoneytimes/status/1661471552397778945")</f>
        <v>https://twitter.com/leiamoneytimes/status/1661471552397778945</v>
      </c>
      <c r="AF2855" s="79">
        <v>45070.859502314815</v>
      </c>
      <c r="AG2855" s="85">
        <v>45070</v>
      </c>
      <c r="AH2855" s="82" t="s">
        <v>10328</v>
      </c>
      <c r="AI2855" s="77" t="b">
        <v>0</v>
      </c>
      <c r="AJ2855" s="77"/>
      <c r="AK2855" s="77"/>
      <c r="AL2855" s="77"/>
      <c r="AM2855" s="77"/>
      <c r="AN2855" s="77"/>
      <c r="AO2855" s="77"/>
      <c r="AP2855" s="77"/>
      <c r="AQ2855" s="77"/>
      <c r="AR2855" s="77"/>
      <c r="AS2855" s="77"/>
      <c r="AT2855" s="77"/>
      <c r="AU2855" s="77"/>
      <c r="AV2855" s="80" t="str">
        <f>HYPERLINK("https://pbs.twimg.com/profile_images/1559883556846977024/bXHnQFY0_normal.jpg")</f>
        <v>https://pbs.twimg.com/profile_images/1559883556846977024/bXHnQFY0_normal.jpg</v>
      </c>
      <c r="AW2855" s="82" t="s">
        <v>15010</v>
      </c>
      <c r="AX2855" s="82" t="s">
        <v>15010</v>
      </c>
      <c r="AY2855" s="77"/>
      <c r="AZ2855" s="82" t="s">
        <v>15804</v>
      </c>
      <c r="BA2855" s="82" t="s">
        <v>15804</v>
      </c>
      <c r="BB2855" s="82" t="s">
        <v>15804</v>
      </c>
      <c r="BC2855" s="82" t="s">
        <v>15010</v>
      </c>
      <c r="BD2855" s="77">
        <v>51150679</v>
      </c>
      <c r="BE2855" s="77"/>
      <c r="BF2855" s="77"/>
      <c r="BG2855" s="77"/>
      <c r="BH2855" s="77"/>
      <c r="BI2855" s="77"/>
    </row>
    <row r="2856" spans="1:61" x14ac:dyDescent="0.25">
      <c r="A2856" s="62" t="s">
        <v>1027</v>
      </c>
      <c r="B2856" s="62" t="s">
        <v>1027</v>
      </c>
      <c r="C2856" s="63"/>
      <c r="D2856" s="64"/>
      <c r="E2856" s="65"/>
      <c r="F2856" s="66"/>
      <c r="G2856" s="63"/>
      <c r="H2856" s="67"/>
      <c r="I2856" s="68"/>
      <c r="J2856" s="68"/>
      <c r="K2856" s="32"/>
      <c r="L2856" s="75">
        <v>2856</v>
      </c>
      <c r="M2856" s="75"/>
      <c r="N2856" s="70"/>
      <c r="O2856" s="77" t="s">
        <v>179</v>
      </c>
      <c r="P2856" s="79">
        <v>45070.840555555558</v>
      </c>
      <c r="Q2856" s="77" t="s">
        <v>3868</v>
      </c>
      <c r="R2856" s="77">
        <v>0</v>
      </c>
      <c r="S2856" s="77">
        <v>4</v>
      </c>
      <c r="T2856" s="77">
        <v>0</v>
      </c>
      <c r="U2856" s="77">
        <v>0</v>
      </c>
      <c r="V2856" s="77">
        <v>1229</v>
      </c>
      <c r="W2856" s="82" t="s">
        <v>5858</v>
      </c>
      <c r="X2856" s="80" t="str">
        <f>HYPERLINK("https://www.moneytimes.com.br/imposto-de-renda-erro-na-declaracao-pre-preenchida-pode-levar-a-malha-fina-saiba-como-resolver/")</f>
        <v>https://www.moneytimes.com.br/imposto-de-renda-erro-na-declaracao-pre-preenchida-pode-levar-a-malha-fina-saiba-como-resolver/</v>
      </c>
      <c r="Y2856" s="77" t="s">
        <v>6002</v>
      </c>
      <c r="Z2856" s="77"/>
      <c r="AA2856" s="77"/>
      <c r="AB2856" s="77"/>
      <c r="AC2856" s="82" t="s">
        <v>7718</v>
      </c>
      <c r="AD2856" s="77" t="s">
        <v>7745</v>
      </c>
      <c r="AE2856" s="80" t="str">
        <f>HYPERLINK("https://twitter.com/leiamoneytimes/status/1661464687802740737")</f>
        <v>https://twitter.com/leiamoneytimes/status/1661464687802740737</v>
      </c>
      <c r="AF2856" s="79">
        <v>45070.840555555558</v>
      </c>
      <c r="AG2856" s="85">
        <v>45070</v>
      </c>
      <c r="AH2856" s="82" t="s">
        <v>10329</v>
      </c>
      <c r="AI2856" s="77" t="b">
        <v>0</v>
      </c>
      <c r="AJ2856" s="77"/>
      <c r="AK2856" s="77"/>
      <c r="AL2856" s="77"/>
      <c r="AM2856" s="77"/>
      <c r="AN2856" s="77"/>
      <c r="AO2856" s="77"/>
      <c r="AP2856" s="77"/>
      <c r="AQ2856" s="77"/>
      <c r="AR2856" s="77"/>
      <c r="AS2856" s="77"/>
      <c r="AT2856" s="77"/>
      <c r="AU2856" s="77"/>
      <c r="AV2856" s="80" t="str">
        <f>HYPERLINK("https://pbs.twimg.com/profile_images/1559883556846977024/bXHnQFY0_normal.jpg")</f>
        <v>https://pbs.twimg.com/profile_images/1559883556846977024/bXHnQFY0_normal.jpg</v>
      </c>
      <c r="AW2856" s="82" t="s">
        <v>15011</v>
      </c>
      <c r="AX2856" s="82" t="s">
        <v>15011</v>
      </c>
      <c r="AY2856" s="77"/>
      <c r="AZ2856" s="82" t="s">
        <v>15804</v>
      </c>
      <c r="BA2856" s="82" t="s">
        <v>15804</v>
      </c>
      <c r="BB2856" s="82" t="s">
        <v>15804</v>
      </c>
      <c r="BC2856" s="82" t="s">
        <v>15011</v>
      </c>
      <c r="BD2856" s="77">
        <v>51150679</v>
      </c>
      <c r="BE2856" s="77"/>
      <c r="BF2856" s="77"/>
      <c r="BG2856" s="77"/>
      <c r="BH2856" s="77"/>
      <c r="BI2856" s="77"/>
    </row>
    <row r="2857" spans="1:61" x14ac:dyDescent="0.25">
      <c r="A2857" s="62" t="s">
        <v>1027</v>
      </c>
      <c r="B2857" s="62" t="s">
        <v>1027</v>
      </c>
      <c r="C2857" s="63"/>
      <c r="D2857" s="64"/>
      <c r="E2857" s="65"/>
      <c r="F2857" s="66"/>
      <c r="G2857" s="63"/>
      <c r="H2857" s="67"/>
      <c r="I2857" s="68"/>
      <c r="J2857" s="68"/>
      <c r="K2857" s="32"/>
      <c r="L2857" s="75">
        <v>2857</v>
      </c>
      <c r="M2857" s="75"/>
      <c r="N2857" s="70"/>
      <c r="O2857" s="77" t="s">
        <v>179</v>
      </c>
      <c r="P2857" s="79">
        <v>45070.820300925923</v>
      </c>
      <c r="Q2857" s="77" t="s">
        <v>3869</v>
      </c>
      <c r="R2857" s="77">
        <v>0</v>
      </c>
      <c r="S2857" s="77">
        <v>1</v>
      </c>
      <c r="T2857" s="77">
        <v>0</v>
      </c>
      <c r="U2857" s="77">
        <v>0</v>
      </c>
      <c r="V2857" s="77">
        <v>1024</v>
      </c>
      <c r="W2857" s="82" t="s">
        <v>5880</v>
      </c>
      <c r="X2857" s="80" t="str">
        <f>HYPERLINK("https://www.moneytimes.com.br/alem-da-cadeia-por-que-pagar-o-imposto-de-renda-e-para-onde-vai-esse-dinheiro/")</f>
        <v>https://www.moneytimes.com.br/alem-da-cadeia-por-que-pagar-o-imposto-de-renda-e-para-onde-vai-esse-dinheiro/</v>
      </c>
      <c r="Y2857" s="77" t="s">
        <v>6002</v>
      </c>
      <c r="Z2857" s="77"/>
      <c r="AA2857" s="77"/>
      <c r="AB2857" s="77"/>
      <c r="AC2857" s="82" t="s">
        <v>7718</v>
      </c>
      <c r="AD2857" s="77" t="s">
        <v>7745</v>
      </c>
      <c r="AE2857" s="80" t="str">
        <f>HYPERLINK("https://twitter.com/leiamoneytimes/status/1661457348269953034")</f>
        <v>https://twitter.com/leiamoneytimes/status/1661457348269953034</v>
      </c>
      <c r="AF2857" s="79">
        <v>45070.820300925923</v>
      </c>
      <c r="AG2857" s="85">
        <v>45070</v>
      </c>
      <c r="AH2857" s="82" t="s">
        <v>10330</v>
      </c>
      <c r="AI2857" s="77" t="b">
        <v>0</v>
      </c>
      <c r="AJ2857" s="77"/>
      <c r="AK2857" s="77"/>
      <c r="AL2857" s="77"/>
      <c r="AM2857" s="77"/>
      <c r="AN2857" s="77"/>
      <c r="AO2857" s="77"/>
      <c r="AP2857" s="77"/>
      <c r="AQ2857" s="77"/>
      <c r="AR2857" s="77"/>
      <c r="AS2857" s="77"/>
      <c r="AT2857" s="77"/>
      <c r="AU2857" s="77"/>
      <c r="AV2857" s="80" t="str">
        <f>HYPERLINK("https://pbs.twimg.com/profile_images/1559883556846977024/bXHnQFY0_normal.jpg")</f>
        <v>https://pbs.twimg.com/profile_images/1559883556846977024/bXHnQFY0_normal.jpg</v>
      </c>
      <c r="AW2857" s="82" t="s">
        <v>15012</v>
      </c>
      <c r="AX2857" s="82" t="s">
        <v>15012</v>
      </c>
      <c r="AY2857" s="77"/>
      <c r="AZ2857" s="82" t="s">
        <v>15804</v>
      </c>
      <c r="BA2857" s="82" t="s">
        <v>15804</v>
      </c>
      <c r="BB2857" s="82" t="s">
        <v>15804</v>
      </c>
      <c r="BC2857" s="82" t="s">
        <v>15012</v>
      </c>
      <c r="BD2857" s="77">
        <v>51150679</v>
      </c>
      <c r="BE2857" s="77"/>
      <c r="BF2857" s="77"/>
      <c r="BG2857" s="77"/>
      <c r="BH2857" s="77"/>
      <c r="BI2857" s="77"/>
    </row>
    <row r="2858" spans="1:61" x14ac:dyDescent="0.25">
      <c r="A2858" s="62" t="s">
        <v>1027</v>
      </c>
      <c r="B2858" s="62" t="s">
        <v>1027</v>
      </c>
      <c r="C2858" s="63"/>
      <c r="D2858" s="64"/>
      <c r="E2858" s="65"/>
      <c r="F2858" s="66"/>
      <c r="G2858" s="63"/>
      <c r="H2858" s="67"/>
      <c r="I2858" s="68"/>
      <c r="J2858" s="68"/>
      <c r="K2858" s="32"/>
      <c r="L2858" s="75">
        <v>2858</v>
      </c>
      <c r="M2858" s="75"/>
      <c r="N2858" s="70"/>
      <c r="O2858" s="77" t="s">
        <v>179</v>
      </c>
      <c r="P2858" s="79">
        <v>45070.463888888888</v>
      </c>
      <c r="Q2858" s="77" t="s">
        <v>3870</v>
      </c>
      <c r="R2858" s="77">
        <v>0</v>
      </c>
      <c r="S2858" s="77">
        <v>2</v>
      </c>
      <c r="T2858" s="77">
        <v>0</v>
      </c>
      <c r="U2858" s="77">
        <v>0</v>
      </c>
      <c r="V2858" s="77">
        <v>1457</v>
      </c>
      <c r="W2858" s="82" t="s">
        <v>5885</v>
      </c>
      <c r="X2858" s="80" t="str">
        <f>HYPERLINK("https://www.moneytimes.com.br/nuconta-no-imposto-de-renda-2023-como-declarar-dinheiro-no-nubank/")</f>
        <v>https://www.moneytimes.com.br/nuconta-no-imposto-de-renda-2023-como-declarar-dinheiro-no-nubank/</v>
      </c>
      <c r="Y2858" s="77" t="s">
        <v>6002</v>
      </c>
      <c r="Z2858" s="77"/>
      <c r="AA2858" s="77"/>
      <c r="AB2858" s="77"/>
      <c r="AC2858" s="82" t="s">
        <v>7718</v>
      </c>
      <c r="AD2858" s="77" t="s">
        <v>7745</v>
      </c>
      <c r="AE2858" s="80" t="str">
        <f>HYPERLINK("https://twitter.com/leiamoneytimes/status/1661328189040279553")</f>
        <v>https://twitter.com/leiamoneytimes/status/1661328189040279553</v>
      </c>
      <c r="AF2858" s="79">
        <v>45070.463888888888</v>
      </c>
      <c r="AG2858" s="85">
        <v>45070</v>
      </c>
      <c r="AH2858" s="82" t="s">
        <v>9398</v>
      </c>
      <c r="AI2858" s="77" t="b">
        <v>0</v>
      </c>
      <c r="AJ2858" s="77"/>
      <c r="AK2858" s="77"/>
      <c r="AL2858" s="77"/>
      <c r="AM2858" s="77"/>
      <c r="AN2858" s="77"/>
      <c r="AO2858" s="77"/>
      <c r="AP2858" s="77"/>
      <c r="AQ2858" s="77"/>
      <c r="AR2858" s="77"/>
      <c r="AS2858" s="77"/>
      <c r="AT2858" s="77"/>
      <c r="AU2858" s="77"/>
      <c r="AV2858" s="80" t="str">
        <f>HYPERLINK("https://pbs.twimg.com/profile_images/1559883556846977024/bXHnQFY0_normal.jpg")</f>
        <v>https://pbs.twimg.com/profile_images/1559883556846977024/bXHnQFY0_normal.jpg</v>
      </c>
      <c r="AW2858" s="82" t="s">
        <v>15013</v>
      </c>
      <c r="AX2858" s="82" t="s">
        <v>15013</v>
      </c>
      <c r="AY2858" s="77"/>
      <c r="AZ2858" s="82" t="s">
        <v>15804</v>
      </c>
      <c r="BA2858" s="82" t="s">
        <v>15804</v>
      </c>
      <c r="BB2858" s="82" t="s">
        <v>15804</v>
      </c>
      <c r="BC2858" s="82" t="s">
        <v>15013</v>
      </c>
      <c r="BD2858" s="77">
        <v>51150679</v>
      </c>
      <c r="BE2858" s="77"/>
      <c r="BF2858" s="77"/>
      <c r="BG2858" s="77"/>
      <c r="BH2858" s="77"/>
      <c r="BI2858" s="77"/>
    </row>
    <row r="2859" spans="1:61" x14ac:dyDescent="0.25">
      <c r="A2859" s="62" t="s">
        <v>1027</v>
      </c>
      <c r="B2859" s="62" t="s">
        <v>1027</v>
      </c>
      <c r="C2859" s="63"/>
      <c r="D2859" s="64"/>
      <c r="E2859" s="65"/>
      <c r="F2859" s="66"/>
      <c r="G2859" s="63"/>
      <c r="H2859" s="67"/>
      <c r="I2859" s="68"/>
      <c r="J2859" s="68"/>
      <c r="K2859" s="32"/>
      <c r="L2859" s="75">
        <v>2859</v>
      </c>
      <c r="M2859" s="75"/>
      <c r="N2859" s="70"/>
      <c r="O2859" s="77" t="s">
        <v>179</v>
      </c>
      <c r="P2859" s="79">
        <v>45050.60596064815</v>
      </c>
      <c r="Q2859" s="77" t="s">
        <v>3871</v>
      </c>
      <c r="R2859" s="77">
        <v>0</v>
      </c>
      <c r="S2859" s="77">
        <v>4</v>
      </c>
      <c r="T2859" s="77">
        <v>1</v>
      </c>
      <c r="U2859" s="77">
        <v>0</v>
      </c>
      <c r="V2859" s="77">
        <v>848</v>
      </c>
      <c r="W2859" s="82" t="s">
        <v>5886</v>
      </c>
      <c r="X2859" s="80" t="str">
        <f>HYPERLINK("https://www.moneytimes.com.br/bbb-o-que-fazer-com-o-premio-do-ano-que-vem-que-voce-vai-ganhar/")</f>
        <v>https://www.moneytimes.com.br/bbb-o-que-fazer-com-o-premio-do-ano-que-vem-que-voce-vai-ganhar/</v>
      </c>
      <c r="Y2859" s="77" t="s">
        <v>6002</v>
      </c>
      <c r="Z2859" s="77"/>
      <c r="AA2859" s="77"/>
      <c r="AB2859" s="77"/>
      <c r="AC2859" s="82" t="s">
        <v>7718</v>
      </c>
      <c r="AD2859" s="77" t="s">
        <v>7745</v>
      </c>
      <c r="AE2859" s="80" t="str">
        <f>HYPERLINK("https://twitter.com/leiamoneytimes/status/1654131916843499520")</f>
        <v>https://twitter.com/leiamoneytimes/status/1654131916843499520</v>
      </c>
      <c r="AF2859" s="79">
        <v>45050.60596064815</v>
      </c>
      <c r="AG2859" s="85">
        <v>45050</v>
      </c>
      <c r="AH2859" s="82" t="s">
        <v>10331</v>
      </c>
      <c r="AI2859" s="77" t="b">
        <v>0</v>
      </c>
      <c r="AJ2859" s="77"/>
      <c r="AK2859" s="77"/>
      <c r="AL2859" s="77"/>
      <c r="AM2859" s="77"/>
      <c r="AN2859" s="77"/>
      <c r="AO2859" s="77"/>
      <c r="AP2859" s="77"/>
      <c r="AQ2859" s="77"/>
      <c r="AR2859" s="77"/>
      <c r="AS2859" s="77"/>
      <c r="AT2859" s="77"/>
      <c r="AU2859" s="77"/>
      <c r="AV2859" s="80" t="str">
        <f>HYPERLINK("https://pbs.twimg.com/profile_images/1559883556846977024/bXHnQFY0_normal.jpg")</f>
        <v>https://pbs.twimg.com/profile_images/1559883556846977024/bXHnQFY0_normal.jpg</v>
      </c>
      <c r="AW2859" s="82" t="s">
        <v>15014</v>
      </c>
      <c r="AX2859" s="82" t="s">
        <v>15014</v>
      </c>
      <c r="AY2859" s="77"/>
      <c r="AZ2859" s="82" t="s">
        <v>15804</v>
      </c>
      <c r="BA2859" s="82" t="s">
        <v>15804</v>
      </c>
      <c r="BB2859" s="82" t="s">
        <v>15804</v>
      </c>
      <c r="BC2859" s="82" t="s">
        <v>15014</v>
      </c>
      <c r="BD2859" s="77">
        <v>51150679</v>
      </c>
      <c r="BE2859" s="77"/>
      <c r="BF2859" s="77"/>
      <c r="BG2859" s="77"/>
      <c r="BH2859" s="77"/>
      <c r="BI2859" s="77"/>
    </row>
    <row r="2860" spans="1:61" x14ac:dyDescent="0.25">
      <c r="A2860" s="62" t="s">
        <v>1027</v>
      </c>
      <c r="B2860" s="62" t="s">
        <v>1027</v>
      </c>
      <c r="C2860" s="63"/>
      <c r="D2860" s="64"/>
      <c r="E2860" s="65"/>
      <c r="F2860" s="66"/>
      <c r="G2860" s="63"/>
      <c r="H2860" s="67"/>
      <c r="I2860" s="68"/>
      <c r="J2860" s="68"/>
      <c r="K2860" s="32"/>
      <c r="L2860" s="75">
        <v>2860</v>
      </c>
      <c r="M2860" s="75"/>
      <c r="N2860" s="70"/>
      <c r="O2860" s="77" t="s">
        <v>179</v>
      </c>
      <c r="P2860" s="79">
        <v>45043.834756944445</v>
      </c>
      <c r="Q2860" s="77" t="s">
        <v>3872</v>
      </c>
      <c r="R2860" s="77">
        <v>0</v>
      </c>
      <c r="S2860" s="77">
        <v>0</v>
      </c>
      <c r="T2860" s="77">
        <v>0</v>
      </c>
      <c r="U2860" s="77">
        <v>0</v>
      </c>
      <c r="V2860" s="77">
        <v>920</v>
      </c>
      <c r="W2860" s="82" t="s">
        <v>5887</v>
      </c>
      <c r="X2860" s="80" t="str">
        <f>HYPERLINK("https://www.moneytimes.com.br/investe-em-fundos-imobiliarios-veja-como-declarar-no-imposto-de-renda/")</f>
        <v>https://www.moneytimes.com.br/investe-em-fundos-imobiliarios-veja-como-declarar-no-imposto-de-renda/</v>
      </c>
      <c r="Y2860" s="77" t="s">
        <v>6002</v>
      </c>
      <c r="Z2860" s="77"/>
      <c r="AA2860" s="77"/>
      <c r="AB2860" s="77"/>
      <c r="AC2860" s="82" t="s">
        <v>7718</v>
      </c>
      <c r="AD2860" s="77" t="s">
        <v>7745</v>
      </c>
      <c r="AE2860" s="80" t="str">
        <f>HYPERLINK("https://twitter.com/leiamoneytimes/status/1651678113930047491")</f>
        <v>https://twitter.com/leiamoneytimes/status/1651678113930047491</v>
      </c>
      <c r="AF2860" s="79">
        <v>45043.834756944445</v>
      </c>
      <c r="AG2860" s="85">
        <v>45043</v>
      </c>
      <c r="AH2860" s="82" t="s">
        <v>10332</v>
      </c>
      <c r="AI2860" s="77" t="b">
        <v>0</v>
      </c>
      <c r="AJ2860" s="77"/>
      <c r="AK2860" s="77"/>
      <c r="AL2860" s="77"/>
      <c r="AM2860" s="77"/>
      <c r="AN2860" s="77"/>
      <c r="AO2860" s="77"/>
      <c r="AP2860" s="77"/>
      <c r="AQ2860" s="77"/>
      <c r="AR2860" s="77"/>
      <c r="AS2860" s="77"/>
      <c r="AT2860" s="77"/>
      <c r="AU2860" s="77"/>
      <c r="AV2860" s="80" t="str">
        <f>HYPERLINK("https://pbs.twimg.com/profile_images/1559883556846977024/bXHnQFY0_normal.jpg")</f>
        <v>https://pbs.twimg.com/profile_images/1559883556846977024/bXHnQFY0_normal.jpg</v>
      </c>
      <c r="AW2860" s="82" t="s">
        <v>15015</v>
      </c>
      <c r="AX2860" s="82" t="s">
        <v>15015</v>
      </c>
      <c r="AY2860" s="77"/>
      <c r="AZ2860" s="82" t="s">
        <v>15804</v>
      </c>
      <c r="BA2860" s="82" t="s">
        <v>15804</v>
      </c>
      <c r="BB2860" s="82" t="s">
        <v>15804</v>
      </c>
      <c r="BC2860" s="82" t="s">
        <v>15015</v>
      </c>
      <c r="BD2860" s="77">
        <v>51150679</v>
      </c>
      <c r="BE2860" s="77"/>
      <c r="BF2860" s="77"/>
      <c r="BG2860" s="77"/>
      <c r="BH2860" s="77"/>
      <c r="BI2860" s="77"/>
    </row>
    <row r="2861" spans="1:61" x14ac:dyDescent="0.25">
      <c r="A2861" s="62" t="s">
        <v>1027</v>
      </c>
      <c r="B2861" s="62" t="s">
        <v>1027</v>
      </c>
      <c r="C2861" s="63"/>
      <c r="D2861" s="64"/>
      <c r="E2861" s="65"/>
      <c r="F2861" s="66"/>
      <c r="G2861" s="63"/>
      <c r="H2861" s="67"/>
      <c r="I2861" s="68"/>
      <c r="J2861" s="68"/>
      <c r="K2861" s="32"/>
      <c r="L2861" s="75">
        <v>2861</v>
      </c>
      <c r="M2861" s="75"/>
      <c r="N2861" s="70"/>
      <c r="O2861" s="77" t="s">
        <v>179</v>
      </c>
      <c r="P2861" s="79">
        <v>45043.614537037036</v>
      </c>
      <c r="Q2861" s="77" t="s">
        <v>3873</v>
      </c>
      <c r="R2861" s="77">
        <v>5</v>
      </c>
      <c r="S2861" s="77">
        <v>16</v>
      </c>
      <c r="T2861" s="77">
        <v>6</v>
      </c>
      <c r="U2861" s="77">
        <v>2</v>
      </c>
      <c r="V2861" s="77">
        <v>2600</v>
      </c>
      <c r="W2861" s="82" t="s">
        <v>5888</v>
      </c>
      <c r="X2861" s="80" t="str">
        <f>HYPERLINK("https://www.moneytimes.com.br/crise-na-globo-com-salarios-menores-atores-recorrem-a-vaquinhas-para-pagar-dividas-entenda/")</f>
        <v>https://www.moneytimes.com.br/crise-na-globo-com-salarios-menores-atores-recorrem-a-vaquinhas-para-pagar-dividas-entenda/</v>
      </c>
      <c r="Y2861" s="77" t="s">
        <v>6002</v>
      </c>
      <c r="Z2861" s="77"/>
      <c r="AA2861" s="77"/>
      <c r="AB2861" s="77"/>
      <c r="AC2861" s="82" t="s">
        <v>7718</v>
      </c>
      <c r="AD2861" s="77" t="s">
        <v>7745</v>
      </c>
      <c r="AE2861" s="80" t="str">
        <f>HYPERLINK("https://twitter.com/leiamoneytimes/status/1651598309843247104")</f>
        <v>https://twitter.com/leiamoneytimes/status/1651598309843247104</v>
      </c>
      <c r="AF2861" s="79">
        <v>45043.614537037036</v>
      </c>
      <c r="AG2861" s="85">
        <v>45043</v>
      </c>
      <c r="AH2861" s="82" t="s">
        <v>10333</v>
      </c>
      <c r="AI2861" s="77" t="b">
        <v>0</v>
      </c>
      <c r="AJ2861" s="77"/>
      <c r="AK2861" s="77"/>
      <c r="AL2861" s="77"/>
      <c r="AM2861" s="77"/>
      <c r="AN2861" s="77"/>
      <c r="AO2861" s="77"/>
      <c r="AP2861" s="77"/>
      <c r="AQ2861" s="77"/>
      <c r="AR2861" s="77"/>
      <c r="AS2861" s="77"/>
      <c r="AT2861" s="77"/>
      <c r="AU2861" s="77"/>
      <c r="AV2861" s="80" t="str">
        <f>HYPERLINK("https://pbs.twimg.com/profile_images/1559883556846977024/bXHnQFY0_normal.jpg")</f>
        <v>https://pbs.twimg.com/profile_images/1559883556846977024/bXHnQFY0_normal.jpg</v>
      </c>
      <c r="AW2861" s="82" t="s">
        <v>15016</v>
      </c>
      <c r="AX2861" s="82" t="s">
        <v>15016</v>
      </c>
      <c r="AY2861" s="77"/>
      <c r="AZ2861" s="82" t="s">
        <v>15804</v>
      </c>
      <c r="BA2861" s="82" t="s">
        <v>15804</v>
      </c>
      <c r="BB2861" s="82" t="s">
        <v>15804</v>
      </c>
      <c r="BC2861" s="82" t="s">
        <v>15016</v>
      </c>
      <c r="BD2861" s="77">
        <v>51150679</v>
      </c>
      <c r="BE2861" s="77"/>
      <c r="BF2861" s="77"/>
      <c r="BG2861" s="77"/>
      <c r="BH2861" s="77"/>
      <c r="BI2861" s="77"/>
    </row>
    <row r="2862" spans="1:61" x14ac:dyDescent="0.25">
      <c r="A2862" s="62" t="s">
        <v>1027</v>
      </c>
      <c r="B2862" s="62" t="s">
        <v>1027</v>
      </c>
      <c r="C2862" s="63"/>
      <c r="D2862" s="64"/>
      <c r="E2862" s="65"/>
      <c r="F2862" s="66"/>
      <c r="G2862" s="63"/>
      <c r="H2862" s="67"/>
      <c r="I2862" s="68"/>
      <c r="J2862" s="68"/>
      <c r="K2862" s="32"/>
      <c r="L2862" s="75">
        <v>2862</v>
      </c>
      <c r="M2862" s="75"/>
      <c r="N2862" s="70"/>
      <c r="O2862" s="77" t="s">
        <v>179</v>
      </c>
      <c r="P2862" s="79">
        <v>45042.81523148148</v>
      </c>
      <c r="Q2862" s="77" t="s">
        <v>3874</v>
      </c>
      <c r="R2862" s="77">
        <v>0</v>
      </c>
      <c r="S2862" s="77">
        <v>2</v>
      </c>
      <c r="T2862" s="77">
        <v>0</v>
      </c>
      <c r="U2862" s="77">
        <v>0</v>
      </c>
      <c r="V2862" s="77">
        <v>972</v>
      </c>
      <c r="W2862" s="82" t="s">
        <v>5889</v>
      </c>
      <c r="X2862" s="80" t="str">
        <f>HYPERLINK("https://www.moneytimes.com.br/mc-guime-enfrenta-divida-de-mais-de-r-3-milhoes-relembre-processos-do-cantor/")</f>
        <v>https://www.moneytimes.com.br/mc-guime-enfrenta-divida-de-mais-de-r-3-milhoes-relembre-processos-do-cantor/</v>
      </c>
      <c r="Y2862" s="77" t="s">
        <v>6002</v>
      </c>
      <c r="Z2862" s="77"/>
      <c r="AA2862" s="77"/>
      <c r="AB2862" s="77"/>
      <c r="AC2862" s="82" t="s">
        <v>7718</v>
      </c>
      <c r="AD2862" s="77" t="s">
        <v>7745</v>
      </c>
      <c r="AE2862" s="80" t="str">
        <f>HYPERLINK("https://twitter.com/leiamoneytimes/status/1651308648944074782")</f>
        <v>https://twitter.com/leiamoneytimes/status/1651308648944074782</v>
      </c>
      <c r="AF2862" s="79">
        <v>45042.81523148148</v>
      </c>
      <c r="AG2862" s="85">
        <v>45042</v>
      </c>
      <c r="AH2862" s="82" t="s">
        <v>10334</v>
      </c>
      <c r="AI2862" s="77" t="b">
        <v>0</v>
      </c>
      <c r="AJ2862" s="77"/>
      <c r="AK2862" s="77"/>
      <c r="AL2862" s="77"/>
      <c r="AM2862" s="77"/>
      <c r="AN2862" s="77"/>
      <c r="AO2862" s="77"/>
      <c r="AP2862" s="77"/>
      <c r="AQ2862" s="77"/>
      <c r="AR2862" s="77"/>
      <c r="AS2862" s="77"/>
      <c r="AT2862" s="77"/>
      <c r="AU2862" s="77"/>
      <c r="AV2862" s="80" t="str">
        <f>HYPERLINK("https://pbs.twimg.com/profile_images/1559883556846977024/bXHnQFY0_normal.jpg")</f>
        <v>https://pbs.twimg.com/profile_images/1559883556846977024/bXHnQFY0_normal.jpg</v>
      </c>
      <c r="AW2862" s="82" t="s">
        <v>15017</v>
      </c>
      <c r="AX2862" s="82" t="s">
        <v>15017</v>
      </c>
      <c r="AY2862" s="77"/>
      <c r="AZ2862" s="82" t="s">
        <v>15804</v>
      </c>
      <c r="BA2862" s="82" t="s">
        <v>15804</v>
      </c>
      <c r="BB2862" s="82" t="s">
        <v>15804</v>
      </c>
      <c r="BC2862" s="82" t="s">
        <v>15017</v>
      </c>
      <c r="BD2862" s="77">
        <v>51150679</v>
      </c>
      <c r="BE2862" s="77"/>
      <c r="BF2862" s="77"/>
      <c r="BG2862" s="77"/>
      <c r="BH2862" s="77"/>
      <c r="BI2862" s="77"/>
    </row>
    <row r="2863" spans="1:61" x14ac:dyDescent="0.25">
      <c r="A2863" s="62" t="s">
        <v>1027</v>
      </c>
      <c r="B2863" s="62" t="s">
        <v>1027</v>
      </c>
      <c r="C2863" s="63"/>
      <c r="D2863" s="64"/>
      <c r="E2863" s="65"/>
      <c r="F2863" s="66"/>
      <c r="G2863" s="63"/>
      <c r="H2863" s="67"/>
      <c r="I2863" s="68"/>
      <c r="J2863" s="68"/>
      <c r="K2863" s="32"/>
      <c r="L2863" s="75">
        <v>2863</v>
      </c>
      <c r="M2863" s="75"/>
      <c r="N2863" s="70"/>
      <c r="O2863" s="77" t="s">
        <v>179</v>
      </c>
      <c r="P2863" s="79">
        <v>45042.803495370368</v>
      </c>
      <c r="Q2863" s="77" t="s">
        <v>3875</v>
      </c>
      <c r="R2863" s="77">
        <v>0</v>
      </c>
      <c r="S2863" s="77">
        <v>1</v>
      </c>
      <c r="T2863" s="77">
        <v>0</v>
      </c>
      <c r="U2863" s="77">
        <v>0</v>
      </c>
      <c r="V2863" s="77">
        <v>897</v>
      </c>
      <c r="W2863" s="82" t="s">
        <v>5884</v>
      </c>
      <c r="X2863" s="80" t="str">
        <f>HYPERLINK("https://www.moneytimes.com.br/mega-sena-pode-pagar-r-50-milhoes-nesta-quarta-feira-26/")</f>
        <v>https://www.moneytimes.com.br/mega-sena-pode-pagar-r-50-milhoes-nesta-quarta-feira-26/</v>
      </c>
      <c r="Y2863" s="77" t="s">
        <v>6002</v>
      </c>
      <c r="Z2863" s="77"/>
      <c r="AA2863" s="77"/>
      <c r="AB2863" s="77"/>
      <c r="AC2863" s="82" t="s">
        <v>7718</v>
      </c>
      <c r="AD2863" s="77" t="s">
        <v>7745</v>
      </c>
      <c r="AE2863" s="80" t="str">
        <f>HYPERLINK("https://twitter.com/leiamoneytimes/status/1651304396188155909")</f>
        <v>https://twitter.com/leiamoneytimes/status/1651304396188155909</v>
      </c>
      <c r="AF2863" s="79">
        <v>45042.803495370368</v>
      </c>
      <c r="AG2863" s="85">
        <v>45042</v>
      </c>
      <c r="AH2863" s="82" t="s">
        <v>10335</v>
      </c>
      <c r="AI2863" s="77" t="b">
        <v>0</v>
      </c>
      <c r="AJ2863" s="77"/>
      <c r="AK2863" s="77"/>
      <c r="AL2863" s="77"/>
      <c r="AM2863" s="77"/>
      <c r="AN2863" s="77"/>
      <c r="AO2863" s="77"/>
      <c r="AP2863" s="77"/>
      <c r="AQ2863" s="77"/>
      <c r="AR2863" s="77"/>
      <c r="AS2863" s="77"/>
      <c r="AT2863" s="77"/>
      <c r="AU2863" s="77"/>
      <c r="AV2863" s="80" t="str">
        <f>HYPERLINK("https://pbs.twimg.com/profile_images/1559883556846977024/bXHnQFY0_normal.jpg")</f>
        <v>https://pbs.twimg.com/profile_images/1559883556846977024/bXHnQFY0_normal.jpg</v>
      </c>
      <c r="AW2863" s="82" t="s">
        <v>15018</v>
      </c>
      <c r="AX2863" s="82" t="s">
        <v>15018</v>
      </c>
      <c r="AY2863" s="77"/>
      <c r="AZ2863" s="82" t="s">
        <v>15804</v>
      </c>
      <c r="BA2863" s="82" t="s">
        <v>15804</v>
      </c>
      <c r="BB2863" s="82" t="s">
        <v>15804</v>
      </c>
      <c r="BC2863" s="82" t="s">
        <v>15018</v>
      </c>
      <c r="BD2863" s="77">
        <v>51150679</v>
      </c>
      <c r="BE2863" s="77"/>
      <c r="BF2863" s="77"/>
      <c r="BG2863" s="77"/>
      <c r="BH2863" s="77"/>
      <c r="BI2863" s="77"/>
    </row>
    <row r="2864" spans="1:61" x14ac:dyDescent="0.25">
      <c r="A2864" s="62" t="s">
        <v>1027</v>
      </c>
      <c r="B2864" s="62" t="s">
        <v>1027</v>
      </c>
      <c r="C2864" s="63"/>
      <c r="D2864" s="64"/>
      <c r="E2864" s="65"/>
      <c r="F2864" s="66"/>
      <c r="G2864" s="63"/>
      <c r="H2864" s="67"/>
      <c r="I2864" s="68"/>
      <c r="J2864" s="68"/>
      <c r="K2864" s="32"/>
      <c r="L2864" s="75">
        <v>2864</v>
      </c>
      <c r="M2864" s="75"/>
      <c r="N2864" s="70"/>
      <c r="O2864" s="77" t="s">
        <v>179</v>
      </c>
      <c r="P2864" s="79">
        <v>45027.584872685184</v>
      </c>
      <c r="Q2864" s="77" t="s">
        <v>3876</v>
      </c>
      <c r="R2864" s="77">
        <v>0</v>
      </c>
      <c r="S2864" s="77">
        <v>1</v>
      </c>
      <c r="T2864" s="77">
        <v>0</v>
      </c>
      <c r="U2864" s="77">
        <v>0</v>
      </c>
      <c r="V2864" s="77">
        <v>1031</v>
      </c>
      <c r="W2864" s="82" t="s">
        <v>5890</v>
      </c>
      <c r="X2864" s="80" t="str">
        <f>HYPERLINK("https://www.moneytimes.com.br/imposto-de-renda-veja-como-declarar-fundos-de-investimentos/")</f>
        <v>https://www.moneytimes.com.br/imposto-de-renda-veja-como-declarar-fundos-de-investimentos/</v>
      </c>
      <c r="Y2864" s="77" t="s">
        <v>6002</v>
      </c>
      <c r="Z2864" s="77"/>
      <c r="AA2864" s="77"/>
      <c r="AB2864" s="77"/>
      <c r="AC2864" s="82" t="s">
        <v>7718</v>
      </c>
      <c r="AD2864" s="77" t="s">
        <v>7745</v>
      </c>
      <c r="AE2864" s="80" t="str">
        <f>HYPERLINK("https://twitter.com/leiamoneytimes/status/1645789353220923392")</f>
        <v>https://twitter.com/leiamoneytimes/status/1645789353220923392</v>
      </c>
      <c r="AF2864" s="79">
        <v>45027.584872685184</v>
      </c>
      <c r="AG2864" s="85">
        <v>45027</v>
      </c>
      <c r="AH2864" s="82" t="s">
        <v>10336</v>
      </c>
      <c r="AI2864" s="77" t="b">
        <v>0</v>
      </c>
      <c r="AJ2864" s="77"/>
      <c r="AK2864" s="77"/>
      <c r="AL2864" s="77"/>
      <c r="AM2864" s="77"/>
      <c r="AN2864" s="77"/>
      <c r="AO2864" s="77"/>
      <c r="AP2864" s="77"/>
      <c r="AQ2864" s="77"/>
      <c r="AR2864" s="77"/>
      <c r="AS2864" s="77"/>
      <c r="AT2864" s="77"/>
      <c r="AU2864" s="77"/>
      <c r="AV2864" s="80" t="str">
        <f>HYPERLINK("https://pbs.twimg.com/profile_images/1559883556846977024/bXHnQFY0_normal.jpg")</f>
        <v>https://pbs.twimg.com/profile_images/1559883556846977024/bXHnQFY0_normal.jpg</v>
      </c>
      <c r="AW2864" s="82" t="s">
        <v>15019</v>
      </c>
      <c r="AX2864" s="82" t="s">
        <v>15019</v>
      </c>
      <c r="AY2864" s="77"/>
      <c r="AZ2864" s="82" t="s">
        <v>15804</v>
      </c>
      <c r="BA2864" s="82" t="s">
        <v>15804</v>
      </c>
      <c r="BB2864" s="82" t="s">
        <v>15804</v>
      </c>
      <c r="BC2864" s="82" t="s">
        <v>15019</v>
      </c>
      <c r="BD2864" s="77">
        <v>51150679</v>
      </c>
      <c r="BE2864" s="77"/>
      <c r="BF2864" s="77"/>
      <c r="BG2864" s="77"/>
      <c r="BH2864" s="77"/>
      <c r="BI2864" s="77"/>
    </row>
    <row r="2865" spans="1:61" x14ac:dyDescent="0.25">
      <c r="A2865" s="62" t="s">
        <v>1027</v>
      </c>
      <c r="B2865" s="62" t="s">
        <v>1027</v>
      </c>
      <c r="C2865" s="63"/>
      <c r="D2865" s="64"/>
      <c r="E2865" s="65"/>
      <c r="F2865" s="66"/>
      <c r="G2865" s="63"/>
      <c r="H2865" s="67"/>
      <c r="I2865" s="68"/>
      <c r="J2865" s="68"/>
      <c r="K2865" s="32"/>
      <c r="L2865" s="75">
        <v>2865</v>
      </c>
      <c r="M2865" s="75"/>
      <c r="N2865" s="70"/>
      <c r="O2865" s="77" t="s">
        <v>179</v>
      </c>
      <c r="P2865" s="79">
        <v>44998.725902777776</v>
      </c>
      <c r="Q2865" s="77" t="s">
        <v>3877</v>
      </c>
      <c r="R2865" s="77">
        <v>1</v>
      </c>
      <c r="S2865" s="77">
        <v>1</v>
      </c>
      <c r="T2865" s="77">
        <v>1</v>
      </c>
      <c r="U2865" s="77">
        <v>0</v>
      </c>
      <c r="V2865" s="77">
        <v>1072</v>
      </c>
      <c r="W2865" s="82" t="s">
        <v>5880</v>
      </c>
      <c r="X2865" s="80" t="str">
        <f>HYPERLINK("https://www.moneytimes.com.br/imposto-de-renda-2023-e-mei-tire-suas-duvidas-sobre-como-fazer-a-declaracao/")</f>
        <v>https://www.moneytimes.com.br/imposto-de-renda-2023-e-mei-tire-suas-duvidas-sobre-como-fazer-a-declaracao/</v>
      </c>
      <c r="Y2865" s="77" t="s">
        <v>6002</v>
      </c>
      <c r="Z2865" s="77"/>
      <c r="AA2865" s="77"/>
      <c r="AB2865" s="77"/>
      <c r="AC2865" s="82" t="s">
        <v>7718</v>
      </c>
      <c r="AD2865" s="77" t="s">
        <v>7745</v>
      </c>
      <c r="AE2865" s="80" t="str">
        <f>HYPERLINK("https://twitter.com/leiamoneytimes/status/1635331210363772935")</f>
        <v>https://twitter.com/leiamoneytimes/status/1635331210363772935</v>
      </c>
      <c r="AF2865" s="79">
        <v>44998.725902777776</v>
      </c>
      <c r="AG2865" s="85">
        <v>44998</v>
      </c>
      <c r="AH2865" s="82" t="s">
        <v>10337</v>
      </c>
      <c r="AI2865" s="77" t="b">
        <v>0</v>
      </c>
      <c r="AJ2865" s="77"/>
      <c r="AK2865" s="77"/>
      <c r="AL2865" s="77"/>
      <c r="AM2865" s="77"/>
      <c r="AN2865" s="77"/>
      <c r="AO2865" s="77"/>
      <c r="AP2865" s="77"/>
      <c r="AQ2865" s="77"/>
      <c r="AR2865" s="77"/>
      <c r="AS2865" s="77"/>
      <c r="AT2865" s="77"/>
      <c r="AU2865" s="77"/>
      <c r="AV2865" s="80" t="str">
        <f>HYPERLINK("https://pbs.twimg.com/profile_images/1559883556846977024/bXHnQFY0_normal.jpg")</f>
        <v>https://pbs.twimg.com/profile_images/1559883556846977024/bXHnQFY0_normal.jpg</v>
      </c>
      <c r="AW2865" s="82" t="s">
        <v>15020</v>
      </c>
      <c r="AX2865" s="82" t="s">
        <v>15020</v>
      </c>
      <c r="AY2865" s="77"/>
      <c r="AZ2865" s="82" t="s">
        <v>15804</v>
      </c>
      <c r="BA2865" s="82" t="s">
        <v>15804</v>
      </c>
      <c r="BB2865" s="82" t="s">
        <v>15804</v>
      </c>
      <c r="BC2865" s="82" t="s">
        <v>15020</v>
      </c>
      <c r="BD2865" s="77">
        <v>51150679</v>
      </c>
      <c r="BE2865" s="77"/>
      <c r="BF2865" s="77"/>
      <c r="BG2865" s="77"/>
      <c r="BH2865" s="77"/>
      <c r="BI2865" s="77"/>
    </row>
    <row r="2866" spans="1:61" x14ac:dyDescent="0.25">
      <c r="A2866" s="62" t="s">
        <v>1027</v>
      </c>
      <c r="B2866" s="62" t="s">
        <v>1027</v>
      </c>
      <c r="C2866" s="63"/>
      <c r="D2866" s="64"/>
      <c r="E2866" s="65"/>
      <c r="F2866" s="66"/>
      <c r="G2866" s="63"/>
      <c r="H2866" s="67"/>
      <c r="I2866" s="68"/>
      <c r="J2866" s="68"/>
      <c r="K2866" s="32"/>
      <c r="L2866" s="75">
        <v>2866</v>
      </c>
      <c r="M2866" s="75"/>
      <c r="N2866" s="70"/>
      <c r="O2866" s="77" t="s">
        <v>179</v>
      </c>
      <c r="P2866" s="79">
        <v>44998.416990740741</v>
      </c>
      <c r="Q2866" s="77" t="s">
        <v>3878</v>
      </c>
      <c r="R2866" s="77">
        <v>0</v>
      </c>
      <c r="S2866" s="77">
        <v>3</v>
      </c>
      <c r="T2866" s="77">
        <v>1</v>
      </c>
      <c r="U2866" s="77">
        <v>0</v>
      </c>
      <c r="V2866" s="77">
        <v>1666</v>
      </c>
      <c r="W2866" s="82" t="s">
        <v>5870</v>
      </c>
      <c r="X2866" s="80" t="str">
        <f>HYPERLINK("https://www.moneytimes.com.br/imposto-de-renda-2023-ate-que-idade-meus-filhos-podem-ser-declarados-dependentes/")</f>
        <v>https://www.moneytimes.com.br/imposto-de-renda-2023-ate-que-idade-meus-filhos-podem-ser-declarados-dependentes/</v>
      </c>
      <c r="Y2866" s="77" t="s">
        <v>6002</v>
      </c>
      <c r="Z2866" s="77"/>
      <c r="AA2866" s="77"/>
      <c r="AB2866" s="77"/>
      <c r="AC2866" s="82" t="s">
        <v>7718</v>
      </c>
      <c r="AD2866" s="77" t="s">
        <v>7745</v>
      </c>
      <c r="AE2866" s="80" t="str">
        <f>HYPERLINK("https://twitter.com/leiamoneytimes/status/1635219264461307904")</f>
        <v>https://twitter.com/leiamoneytimes/status/1635219264461307904</v>
      </c>
      <c r="AF2866" s="79">
        <v>44998.416990740741</v>
      </c>
      <c r="AG2866" s="85">
        <v>44998</v>
      </c>
      <c r="AH2866" s="82" t="s">
        <v>10338</v>
      </c>
      <c r="AI2866" s="77" t="b">
        <v>0</v>
      </c>
      <c r="AJ2866" s="77"/>
      <c r="AK2866" s="77"/>
      <c r="AL2866" s="77"/>
      <c r="AM2866" s="77"/>
      <c r="AN2866" s="77"/>
      <c r="AO2866" s="77"/>
      <c r="AP2866" s="77"/>
      <c r="AQ2866" s="77"/>
      <c r="AR2866" s="77"/>
      <c r="AS2866" s="77"/>
      <c r="AT2866" s="77"/>
      <c r="AU2866" s="77"/>
      <c r="AV2866" s="80" t="str">
        <f>HYPERLINK("https://pbs.twimg.com/profile_images/1559883556846977024/bXHnQFY0_normal.jpg")</f>
        <v>https://pbs.twimg.com/profile_images/1559883556846977024/bXHnQFY0_normal.jpg</v>
      </c>
      <c r="AW2866" s="82" t="s">
        <v>15021</v>
      </c>
      <c r="AX2866" s="82" t="s">
        <v>15021</v>
      </c>
      <c r="AY2866" s="77"/>
      <c r="AZ2866" s="82" t="s">
        <v>15804</v>
      </c>
      <c r="BA2866" s="82" t="s">
        <v>15804</v>
      </c>
      <c r="BB2866" s="82" t="s">
        <v>15804</v>
      </c>
      <c r="BC2866" s="82" t="s">
        <v>15021</v>
      </c>
      <c r="BD2866" s="77">
        <v>51150679</v>
      </c>
      <c r="BE2866" s="77"/>
      <c r="BF2866" s="77"/>
      <c r="BG2866" s="77"/>
      <c r="BH2866" s="77"/>
      <c r="BI2866" s="77"/>
    </row>
    <row r="2867" spans="1:61" x14ac:dyDescent="0.25">
      <c r="A2867" s="62" t="s">
        <v>1027</v>
      </c>
      <c r="B2867" s="62" t="s">
        <v>1027</v>
      </c>
      <c r="C2867" s="63"/>
      <c r="D2867" s="64"/>
      <c r="E2867" s="65"/>
      <c r="F2867" s="66"/>
      <c r="G2867" s="63"/>
      <c r="H2867" s="67"/>
      <c r="I2867" s="68"/>
      <c r="J2867" s="68"/>
      <c r="K2867" s="32"/>
      <c r="L2867" s="75">
        <v>2867</v>
      </c>
      <c r="M2867" s="75"/>
      <c r="N2867" s="70"/>
      <c r="O2867" s="77" t="s">
        <v>179</v>
      </c>
      <c r="P2867" s="79">
        <v>44997.746851851851</v>
      </c>
      <c r="Q2867" s="77" t="s">
        <v>3879</v>
      </c>
      <c r="R2867" s="77">
        <v>1</v>
      </c>
      <c r="S2867" s="77">
        <v>5</v>
      </c>
      <c r="T2867" s="77">
        <v>0</v>
      </c>
      <c r="U2867" s="77">
        <v>0</v>
      </c>
      <c r="V2867" s="77">
        <v>1884</v>
      </c>
      <c r="W2867" s="82" t="s">
        <v>5871</v>
      </c>
      <c r="X2867" s="80" t="str">
        <f>HYPERLINK("https://www.moneytimes.com.br/imposto-de-renda-2023-como-aumentar-a-restituicao-do-ir/")</f>
        <v>https://www.moneytimes.com.br/imposto-de-renda-2023-como-aumentar-a-restituicao-do-ir/</v>
      </c>
      <c r="Y2867" s="77" t="s">
        <v>6002</v>
      </c>
      <c r="Z2867" s="77"/>
      <c r="AA2867" s="77"/>
      <c r="AB2867" s="77"/>
      <c r="AC2867" s="82" t="s">
        <v>7718</v>
      </c>
      <c r="AD2867" s="77" t="s">
        <v>7745</v>
      </c>
      <c r="AE2867" s="80" t="str">
        <f>HYPERLINK("https://twitter.com/leiamoneytimes/status/1634976415018803200")</f>
        <v>https://twitter.com/leiamoneytimes/status/1634976415018803200</v>
      </c>
      <c r="AF2867" s="79">
        <v>44997.746851851851</v>
      </c>
      <c r="AG2867" s="85">
        <v>44997</v>
      </c>
      <c r="AH2867" s="82" t="s">
        <v>10339</v>
      </c>
      <c r="AI2867" s="77" t="b">
        <v>0</v>
      </c>
      <c r="AJ2867" s="77"/>
      <c r="AK2867" s="77"/>
      <c r="AL2867" s="77"/>
      <c r="AM2867" s="77"/>
      <c r="AN2867" s="77"/>
      <c r="AO2867" s="77"/>
      <c r="AP2867" s="77"/>
      <c r="AQ2867" s="77"/>
      <c r="AR2867" s="77"/>
      <c r="AS2867" s="77"/>
      <c r="AT2867" s="77"/>
      <c r="AU2867" s="77"/>
      <c r="AV2867" s="80" t="str">
        <f>HYPERLINK("https://pbs.twimg.com/profile_images/1559883556846977024/bXHnQFY0_normal.jpg")</f>
        <v>https://pbs.twimg.com/profile_images/1559883556846977024/bXHnQFY0_normal.jpg</v>
      </c>
      <c r="AW2867" s="82" t="s">
        <v>15022</v>
      </c>
      <c r="AX2867" s="82" t="s">
        <v>15022</v>
      </c>
      <c r="AY2867" s="77"/>
      <c r="AZ2867" s="82" t="s">
        <v>15804</v>
      </c>
      <c r="BA2867" s="82" t="s">
        <v>15804</v>
      </c>
      <c r="BB2867" s="82" t="s">
        <v>15804</v>
      </c>
      <c r="BC2867" s="82" t="s">
        <v>15022</v>
      </c>
      <c r="BD2867" s="77">
        <v>51150679</v>
      </c>
      <c r="BE2867" s="77"/>
      <c r="BF2867" s="77"/>
      <c r="BG2867" s="77"/>
      <c r="BH2867" s="77"/>
      <c r="BI2867" s="77"/>
    </row>
    <row r="2868" spans="1:61" x14ac:dyDescent="0.25">
      <c r="A2868" s="62" t="s">
        <v>1027</v>
      </c>
      <c r="B2868" s="62" t="s">
        <v>1027</v>
      </c>
      <c r="C2868" s="63"/>
      <c r="D2868" s="64"/>
      <c r="E2868" s="65"/>
      <c r="F2868" s="66"/>
      <c r="G2868" s="63"/>
      <c r="H2868" s="67"/>
      <c r="I2868" s="68"/>
      <c r="J2868" s="68"/>
      <c r="K2868" s="32"/>
      <c r="L2868" s="75">
        <v>2868</v>
      </c>
      <c r="M2868" s="75"/>
      <c r="N2868" s="70"/>
      <c r="O2868" s="77" t="s">
        <v>179</v>
      </c>
      <c r="P2868" s="79">
        <v>44997.667430555557</v>
      </c>
      <c r="Q2868" s="77" t="s">
        <v>3880</v>
      </c>
      <c r="R2868" s="77">
        <v>0</v>
      </c>
      <c r="S2868" s="77">
        <v>6</v>
      </c>
      <c r="T2868" s="77">
        <v>0</v>
      </c>
      <c r="U2868" s="77">
        <v>0</v>
      </c>
      <c r="V2868" s="77">
        <v>1696</v>
      </c>
      <c r="W2868" s="82" t="s">
        <v>5870</v>
      </c>
      <c r="X2868" s="80" t="str">
        <f>HYPERLINK("https://www.moneytimes.com.br/imposto-de-renda-por-que-o-leao-e-a-figura-que-representa-o-tributo/")</f>
        <v>https://www.moneytimes.com.br/imposto-de-renda-por-que-o-leao-e-a-figura-que-representa-o-tributo/</v>
      </c>
      <c r="Y2868" s="77" t="s">
        <v>6002</v>
      </c>
      <c r="Z2868" s="77"/>
      <c r="AA2868" s="77"/>
      <c r="AB2868" s="77"/>
      <c r="AC2868" s="82" t="s">
        <v>7718</v>
      </c>
      <c r="AD2868" s="77" t="s">
        <v>7745</v>
      </c>
      <c r="AE2868" s="80" t="str">
        <f>HYPERLINK("https://twitter.com/leiamoneytimes/status/1634947636057763840")</f>
        <v>https://twitter.com/leiamoneytimes/status/1634947636057763840</v>
      </c>
      <c r="AF2868" s="79">
        <v>44997.667430555557</v>
      </c>
      <c r="AG2868" s="85">
        <v>44997</v>
      </c>
      <c r="AH2868" s="82" t="s">
        <v>10287</v>
      </c>
      <c r="AI2868" s="77" t="b">
        <v>0</v>
      </c>
      <c r="AJ2868" s="77"/>
      <c r="AK2868" s="77"/>
      <c r="AL2868" s="77"/>
      <c r="AM2868" s="77"/>
      <c r="AN2868" s="77"/>
      <c r="AO2868" s="77"/>
      <c r="AP2868" s="77"/>
      <c r="AQ2868" s="77"/>
      <c r="AR2868" s="77"/>
      <c r="AS2868" s="77"/>
      <c r="AT2868" s="77"/>
      <c r="AU2868" s="77"/>
      <c r="AV2868" s="80" t="str">
        <f>HYPERLINK("https://pbs.twimg.com/profile_images/1559883556846977024/bXHnQFY0_normal.jpg")</f>
        <v>https://pbs.twimg.com/profile_images/1559883556846977024/bXHnQFY0_normal.jpg</v>
      </c>
      <c r="AW2868" s="82" t="s">
        <v>15023</v>
      </c>
      <c r="AX2868" s="82" t="s">
        <v>15023</v>
      </c>
      <c r="AY2868" s="77"/>
      <c r="AZ2868" s="82" t="s">
        <v>15804</v>
      </c>
      <c r="BA2868" s="82" t="s">
        <v>15804</v>
      </c>
      <c r="BB2868" s="82" t="s">
        <v>15804</v>
      </c>
      <c r="BC2868" s="82" t="s">
        <v>15023</v>
      </c>
      <c r="BD2868" s="77">
        <v>51150679</v>
      </c>
      <c r="BE2868" s="77"/>
      <c r="BF2868" s="77"/>
      <c r="BG2868" s="77"/>
      <c r="BH2868" s="77"/>
      <c r="BI2868" s="77"/>
    </row>
    <row r="2869" spans="1:61" x14ac:dyDescent="0.25">
      <c r="A2869" s="62" t="s">
        <v>1027</v>
      </c>
      <c r="B2869" s="62" t="s">
        <v>1027</v>
      </c>
      <c r="C2869" s="63"/>
      <c r="D2869" s="64"/>
      <c r="E2869" s="65"/>
      <c r="F2869" s="66"/>
      <c r="G2869" s="63"/>
      <c r="H2869" s="67"/>
      <c r="I2869" s="68"/>
      <c r="J2869" s="68"/>
      <c r="K2869" s="32"/>
      <c r="L2869" s="75">
        <v>2869</v>
      </c>
      <c r="M2869" s="75"/>
      <c r="N2869" s="70"/>
      <c r="O2869" s="77" t="s">
        <v>179</v>
      </c>
      <c r="P2869" s="79">
        <v>44984.629826388889</v>
      </c>
      <c r="Q2869" s="77" t="s">
        <v>3881</v>
      </c>
      <c r="R2869" s="77">
        <v>2</v>
      </c>
      <c r="S2869" s="77">
        <v>11</v>
      </c>
      <c r="T2869" s="77">
        <v>0</v>
      </c>
      <c r="U2869" s="77">
        <v>0</v>
      </c>
      <c r="V2869" s="77">
        <v>4884</v>
      </c>
      <c r="W2869" s="82" t="s">
        <v>5880</v>
      </c>
      <c r="X2869" s="80" t="str">
        <f>HYPERLINK("https://www.moneytimes.com.br/imposto-de-renda-2023-veja-quem-precisa-declarar-e-quem-esta-isento-este-ano/")</f>
        <v>https://www.moneytimes.com.br/imposto-de-renda-2023-veja-quem-precisa-declarar-e-quem-esta-isento-este-ano/</v>
      </c>
      <c r="Y2869" s="77" t="s">
        <v>6002</v>
      </c>
      <c r="Z2869" s="77"/>
      <c r="AA2869" s="77"/>
      <c r="AB2869" s="77"/>
      <c r="AC2869" s="82" t="s">
        <v>7718</v>
      </c>
      <c r="AD2869" s="77" t="s">
        <v>7745</v>
      </c>
      <c r="AE2869" s="80" t="str">
        <f>HYPERLINK("https://twitter.com/leiamoneytimes/status/1630222966641270793")</f>
        <v>https://twitter.com/leiamoneytimes/status/1630222966641270793</v>
      </c>
      <c r="AF2869" s="79">
        <v>44984.629826388889</v>
      </c>
      <c r="AG2869" s="85">
        <v>44984</v>
      </c>
      <c r="AH2869" s="82" t="s">
        <v>10340</v>
      </c>
      <c r="AI2869" s="77" t="b">
        <v>0</v>
      </c>
      <c r="AJ2869" s="77"/>
      <c r="AK2869" s="77"/>
      <c r="AL2869" s="77"/>
      <c r="AM2869" s="77"/>
      <c r="AN2869" s="77"/>
      <c r="AO2869" s="77"/>
      <c r="AP2869" s="77"/>
      <c r="AQ2869" s="77"/>
      <c r="AR2869" s="77"/>
      <c r="AS2869" s="77"/>
      <c r="AT2869" s="77"/>
      <c r="AU2869" s="77"/>
      <c r="AV2869" s="80" t="str">
        <f>HYPERLINK("https://pbs.twimg.com/profile_images/1559883556846977024/bXHnQFY0_normal.jpg")</f>
        <v>https://pbs.twimg.com/profile_images/1559883556846977024/bXHnQFY0_normal.jpg</v>
      </c>
      <c r="AW2869" s="82" t="s">
        <v>15024</v>
      </c>
      <c r="AX2869" s="82" t="s">
        <v>15024</v>
      </c>
      <c r="AY2869" s="77"/>
      <c r="AZ2869" s="82" t="s">
        <v>15804</v>
      </c>
      <c r="BA2869" s="82" t="s">
        <v>15804</v>
      </c>
      <c r="BB2869" s="82" t="s">
        <v>15804</v>
      </c>
      <c r="BC2869" s="82" t="s">
        <v>15024</v>
      </c>
      <c r="BD2869" s="77">
        <v>51150679</v>
      </c>
      <c r="BE2869" s="77"/>
      <c r="BF2869" s="77"/>
      <c r="BG2869" s="77"/>
      <c r="BH2869" s="77"/>
      <c r="BI2869" s="77"/>
    </row>
    <row r="2870" spans="1:61" x14ac:dyDescent="0.25">
      <c r="A2870" s="62" t="s">
        <v>1027</v>
      </c>
      <c r="B2870" s="62" t="s">
        <v>1027</v>
      </c>
      <c r="C2870" s="63"/>
      <c r="D2870" s="64"/>
      <c r="E2870" s="65"/>
      <c r="F2870" s="66"/>
      <c r="G2870" s="63"/>
      <c r="H2870" s="67"/>
      <c r="I2870" s="68"/>
      <c r="J2870" s="68"/>
      <c r="K2870" s="32"/>
      <c r="L2870" s="75">
        <v>2870</v>
      </c>
      <c r="M2870" s="75"/>
      <c r="N2870" s="70"/>
      <c r="O2870" s="77" t="s">
        <v>179</v>
      </c>
      <c r="P2870" s="79">
        <v>44984.542430555557</v>
      </c>
      <c r="Q2870" s="77" t="s">
        <v>3882</v>
      </c>
      <c r="R2870" s="77">
        <v>0</v>
      </c>
      <c r="S2870" s="77">
        <v>3</v>
      </c>
      <c r="T2870" s="77">
        <v>0</v>
      </c>
      <c r="U2870" s="77">
        <v>0</v>
      </c>
      <c r="V2870" s="77">
        <v>1004</v>
      </c>
      <c r="W2870" s="82" t="s">
        <v>5870</v>
      </c>
      <c r="X2870" s="80" t="str">
        <f>HYPERLINK("https://www.moneytimes.com.br/imposto-de-renda-como-aumentar-a-restituicao-e-reduzir-a-deducao-fiscal-confira-as-dicas/")</f>
        <v>https://www.moneytimes.com.br/imposto-de-renda-como-aumentar-a-restituicao-e-reduzir-a-deducao-fiscal-confira-as-dicas/</v>
      </c>
      <c r="Y2870" s="77" t="s">
        <v>6002</v>
      </c>
      <c r="Z2870" s="77"/>
      <c r="AA2870" s="77"/>
      <c r="AB2870" s="77"/>
      <c r="AC2870" s="82" t="s">
        <v>7718</v>
      </c>
      <c r="AD2870" s="77" t="s">
        <v>7745</v>
      </c>
      <c r="AE2870" s="80" t="str">
        <f>HYPERLINK("https://twitter.com/leiamoneytimes/status/1630191294180990979")</f>
        <v>https://twitter.com/leiamoneytimes/status/1630191294180990979</v>
      </c>
      <c r="AF2870" s="79">
        <v>44984.542430555557</v>
      </c>
      <c r="AG2870" s="85">
        <v>44984</v>
      </c>
      <c r="AH2870" s="82" t="s">
        <v>10341</v>
      </c>
      <c r="AI2870" s="77" t="b">
        <v>0</v>
      </c>
      <c r="AJ2870" s="77"/>
      <c r="AK2870" s="77"/>
      <c r="AL2870" s="77"/>
      <c r="AM2870" s="77"/>
      <c r="AN2870" s="77"/>
      <c r="AO2870" s="77"/>
      <c r="AP2870" s="77"/>
      <c r="AQ2870" s="77"/>
      <c r="AR2870" s="77"/>
      <c r="AS2870" s="77"/>
      <c r="AT2870" s="77"/>
      <c r="AU2870" s="77"/>
      <c r="AV2870" s="80" t="str">
        <f>HYPERLINK("https://pbs.twimg.com/profile_images/1559883556846977024/bXHnQFY0_normal.jpg")</f>
        <v>https://pbs.twimg.com/profile_images/1559883556846977024/bXHnQFY0_normal.jpg</v>
      </c>
      <c r="AW2870" s="82" t="s">
        <v>15025</v>
      </c>
      <c r="AX2870" s="82" t="s">
        <v>15025</v>
      </c>
      <c r="AY2870" s="77"/>
      <c r="AZ2870" s="82" t="s">
        <v>15804</v>
      </c>
      <c r="BA2870" s="82" t="s">
        <v>15804</v>
      </c>
      <c r="BB2870" s="82" t="s">
        <v>15804</v>
      </c>
      <c r="BC2870" s="82" t="s">
        <v>15025</v>
      </c>
      <c r="BD2870" s="77">
        <v>51150679</v>
      </c>
      <c r="BE2870" s="77"/>
      <c r="BF2870" s="77"/>
      <c r="BG2870" s="77"/>
      <c r="BH2870" s="77"/>
      <c r="BI2870" s="77"/>
    </row>
    <row r="2871" spans="1:61" x14ac:dyDescent="0.25">
      <c r="A2871" s="62" t="s">
        <v>1027</v>
      </c>
      <c r="B2871" s="62" t="s">
        <v>1027</v>
      </c>
      <c r="C2871" s="63"/>
      <c r="D2871" s="64"/>
      <c r="E2871" s="65"/>
      <c r="F2871" s="66"/>
      <c r="G2871" s="63"/>
      <c r="H2871" s="67"/>
      <c r="I2871" s="68"/>
      <c r="J2871" s="68"/>
      <c r="K2871" s="32"/>
      <c r="L2871" s="75">
        <v>2871</v>
      </c>
      <c r="M2871" s="75"/>
      <c r="N2871" s="70"/>
      <c r="O2871" s="77" t="s">
        <v>179</v>
      </c>
      <c r="P2871" s="79">
        <v>44984.532094907408</v>
      </c>
      <c r="Q2871" s="77" t="s">
        <v>3883</v>
      </c>
      <c r="R2871" s="77">
        <v>2</v>
      </c>
      <c r="S2871" s="77">
        <v>3</v>
      </c>
      <c r="T2871" s="77">
        <v>0</v>
      </c>
      <c r="U2871" s="77">
        <v>0</v>
      </c>
      <c r="V2871" s="77">
        <v>1137</v>
      </c>
      <c r="W2871" s="82" t="s">
        <v>5871</v>
      </c>
      <c r="X2871" s="80" t="str">
        <f>HYPERLINK("https://www.moneytimes.com.br/imposto-de-renda-2023-saiba-ate-quando-a-declaracao-pode-ser-enviada/")</f>
        <v>https://www.moneytimes.com.br/imposto-de-renda-2023-saiba-ate-quando-a-declaracao-pode-ser-enviada/</v>
      </c>
      <c r="Y2871" s="77" t="s">
        <v>6002</v>
      </c>
      <c r="Z2871" s="77"/>
      <c r="AA2871" s="77"/>
      <c r="AB2871" s="77"/>
      <c r="AC2871" s="82" t="s">
        <v>7718</v>
      </c>
      <c r="AD2871" s="77" t="s">
        <v>7745</v>
      </c>
      <c r="AE2871" s="80" t="str">
        <f>HYPERLINK("https://twitter.com/leiamoneytimes/status/1630187545924366336")</f>
        <v>https://twitter.com/leiamoneytimes/status/1630187545924366336</v>
      </c>
      <c r="AF2871" s="79">
        <v>44984.532094907408</v>
      </c>
      <c r="AG2871" s="85">
        <v>44984</v>
      </c>
      <c r="AH2871" s="82" t="s">
        <v>10342</v>
      </c>
      <c r="AI2871" s="77" t="b">
        <v>0</v>
      </c>
      <c r="AJ2871" s="77"/>
      <c r="AK2871" s="77"/>
      <c r="AL2871" s="77"/>
      <c r="AM2871" s="77"/>
      <c r="AN2871" s="77"/>
      <c r="AO2871" s="77"/>
      <c r="AP2871" s="77"/>
      <c r="AQ2871" s="77"/>
      <c r="AR2871" s="77"/>
      <c r="AS2871" s="77"/>
      <c r="AT2871" s="77"/>
      <c r="AU2871" s="77"/>
      <c r="AV2871" s="80" t="str">
        <f>HYPERLINK("https://pbs.twimg.com/profile_images/1559883556846977024/bXHnQFY0_normal.jpg")</f>
        <v>https://pbs.twimg.com/profile_images/1559883556846977024/bXHnQFY0_normal.jpg</v>
      </c>
      <c r="AW2871" s="82" t="s">
        <v>15026</v>
      </c>
      <c r="AX2871" s="82" t="s">
        <v>15026</v>
      </c>
      <c r="AY2871" s="77"/>
      <c r="AZ2871" s="82" t="s">
        <v>15804</v>
      </c>
      <c r="BA2871" s="82" t="s">
        <v>15804</v>
      </c>
      <c r="BB2871" s="82" t="s">
        <v>15804</v>
      </c>
      <c r="BC2871" s="82" t="s">
        <v>15026</v>
      </c>
      <c r="BD2871" s="77">
        <v>51150679</v>
      </c>
      <c r="BE2871" s="77"/>
      <c r="BF2871" s="77"/>
      <c r="BG2871" s="77"/>
      <c r="BH2871" s="77"/>
      <c r="BI2871" s="77"/>
    </row>
    <row r="2872" spans="1:61" x14ac:dyDescent="0.25">
      <c r="A2872" s="62" t="s">
        <v>1027</v>
      </c>
      <c r="B2872" s="62" t="s">
        <v>1027</v>
      </c>
      <c r="C2872" s="63"/>
      <c r="D2872" s="64"/>
      <c r="E2872" s="65"/>
      <c r="F2872" s="66"/>
      <c r="G2872" s="63"/>
      <c r="H2872" s="67"/>
      <c r="I2872" s="68"/>
      <c r="J2872" s="68"/>
      <c r="K2872" s="32"/>
      <c r="L2872" s="75">
        <v>2872</v>
      </c>
      <c r="M2872" s="75"/>
      <c r="N2872" s="70"/>
      <c r="O2872" s="77" t="s">
        <v>179</v>
      </c>
      <c r="P2872" s="79">
        <v>44981.417453703703</v>
      </c>
      <c r="Q2872" s="77" t="s">
        <v>3884</v>
      </c>
      <c r="R2872" s="77">
        <v>0</v>
      </c>
      <c r="S2872" s="77">
        <v>7</v>
      </c>
      <c r="T2872" s="77">
        <v>0</v>
      </c>
      <c r="U2872" s="77">
        <v>0</v>
      </c>
      <c r="V2872" s="77">
        <v>1487</v>
      </c>
      <c r="W2872" s="82" t="s">
        <v>5871</v>
      </c>
      <c r="X2872" s="80" t="str">
        <f>HYPERLINK("https://www.moneytimes.com.br/imposto-de-renda-2023-saiba-onde-consultar-e-como-retirar-o-informe-de-rendimentos/")</f>
        <v>https://www.moneytimes.com.br/imposto-de-renda-2023-saiba-onde-consultar-e-como-retirar-o-informe-de-rendimentos/</v>
      </c>
      <c r="Y2872" s="77" t="s">
        <v>6002</v>
      </c>
      <c r="Z2872" s="77"/>
      <c r="AA2872" s="77"/>
      <c r="AB2872" s="77"/>
      <c r="AC2872" s="82" t="s">
        <v>7718</v>
      </c>
      <c r="AD2872" s="77" t="s">
        <v>7745</v>
      </c>
      <c r="AE2872" s="80" t="str">
        <f>HYPERLINK("https://twitter.com/leiamoneytimes/status/1629058841663995906")</f>
        <v>https://twitter.com/leiamoneytimes/status/1629058841663995906</v>
      </c>
      <c r="AF2872" s="79">
        <v>44981.417453703703</v>
      </c>
      <c r="AG2872" s="85">
        <v>44981</v>
      </c>
      <c r="AH2872" s="82" t="s">
        <v>10343</v>
      </c>
      <c r="AI2872" s="77" t="b">
        <v>0</v>
      </c>
      <c r="AJ2872" s="77"/>
      <c r="AK2872" s="77"/>
      <c r="AL2872" s="77"/>
      <c r="AM2872" s="77"/>
      <c r="AN2872" s="77"/>
      <c r="AO2872" s="77"/>
      <c r="AP2872" s="77"/>
      <c r="AQ2872" s="77"/>
      <c r="AR2872" s="77"/>
      <c r="AS2872" s="77"/>
      <c r="AT2872" s="77"/>
      <c r="AU2872" s="77"/>
      <c r="AV2872" s="80" t="str">
        <f>HYPERLINK("https://pbs.twimg.com/profile_images/1559883556846977024/bXHnQFY0_normal.jpg")</f>
        <v>https://pbs.twimg.com/profile_images/1559883556846977024/bXHnQFY0_normal.jpg</v>
      </c>
      <c r="AW2872" s="82" t="s">
        <v>15027</v>
      </c>
      <c r="AX2872" s="82" t="s">
        <v>15027</v>
      </c>
      <c r="AY2872" s="77"/>
      <c r="AZ2872" s="82" t="s">
        <v>15804</v>
      </c>
      <c r="BA2872" s="82" t="s">
        <v>15804</v>
      </c>
      <c r="BB2872" s="82" t="s">
        <v>15804</v>
      </c>
      <c r="BC2872" s="82" t="s">
        <v>15027</v>
      </c>
      <c r="BD2872" s="77">
        <v>51150679</v>
      </c>
      <c r="BE2872" s="77"/>
      <c r="BF2872" s="77"/>
      <c r="BG2872" s="77"/>
      <c r="BH2872" s="77"/>
      <c r="BI2872" s="77"/>
    </row>
    <row r="2873" spans="1:61" x14ac:dyDescent="0.25">
      <c r="A2873" s="62" t="s">
        <v>1027</v>
      </c>
      <c r="B2873" s="62" t="s">
        <v>1027</v>
      </c>
      <c r="C2873" s="63"/>
      <c r="D2873" s="64"/>
      <c r="E2873" s="65"/>
      <c r="F2873" s="66"/>
      <c r="G2873" s="63"/>
      <c r="H2873" s="67"/>
      <c r="I2873" s="68"/>
      <c r="J2873" s="68"/>
      <c r="K2873" s="32"/>
      <c r="L2873" s="75">
        <v>2873</v>
      </c>
      <c r="M2873" s="75"/>
      <c r="N2873" s="70"/>
      <c r="O2873" s="77" t="s">
        <v>179</v>
      </c>
      <c r="P2873" s="79">
        <v>44980.78628472222</v>
      </c>
      <c r="Q2873" s="77" t="s">
        <v>3885</v>
      </c>
      <c r="R2873" s="77">
        <v>0</v>
      </c>
      <c r="S2873" s="77">
        <v>1</v>
      </c>
      <c r="T2873" s="77">
        <v>1</v>
      </c>
      <c r="U2873" s="77">
        <v>0</v>
      </c>
      <c r="V2873" s="77">
        <v>923</v>
      </c>
      <c r="W2873" s="82" t="s">
        <v>5891</v>
      </c>
      <c r="X2873" s="80" t="str">
        <f>HYPERLINK("https://www.moneytimes.com.br/imposto-de-renda-2023-como-retirar-o-informe-de-rendimentos-do-inss/")</f>
        <v>https://www.moneytimes.com.br/imposto-de-renda-2023-como-retirar-o-informe-de-rendimentos-do-inss/</v>
      </c>
      <c r="Y2873" s="77" t="s">
        <v>6002</v>
      </c>
      <c r="Z2873" s="77"/>
      <c r="AA2873" s="77"/>
      <c r="AB2873" s="77"/>
      <c r="AC2873" s="82" t="s">
        <v>7718</v>
      </c>
      <c r="AD2873" s="77" t="s">
        <v>7745</v>
      </c>
      <c r="AE2873" s="80" t="str">
        <f>HYPERLINK("https://twitter.com/leiamoneytimes/status/1628830111897161728")</f>
        <v>https://twitter.com/leiamoneytimes/status/1628830111897161728</v>
      </c>
      <c r="AF2873" s="79">
        <v>44980.78628472222</v>
      </c>
      <c r="AG2873" s="85">
        <v>44980</v>
      </c>
      <c r="AH2873" s="82" t="s">
        <v>10344</v>
      </c>
      <c r="AI2873" s="77" t="b">
        <v>0</v>
      </c>
      <c r="AJ2873" s="77"/>
      <c r="AK2873" s="77"/>
      <c r="AL2873" s="77"/>
      <c r="AM2873" s="77"/>
      <c r="AN2873" s="77"/>
      <c r="AO2873" s="77"/>
      <c r="AP2873" s="77"/>
      <c r="AQ2873" s="77"/>
      <c r="AR2873" s="77"/>
      <c r="AS2873" s="77"/>
      <c r="AT2873" s="77"/>
      <c r="AU2873" s="77"/>
      <c r="AV2873" s="80" t="str">
        <f>HYPERLINK("https://pbs.twimg.com/profile_images/1559883556846977024/bXHnQFY0_normal.jpg")</f>
        <v>https://pbs.twimg.com/profile_images/1559883556846977024/bXHnQFY0_normal.jpg</v>
      </c>
      <c r="AW2873" s="82" t="s">
        <v>15028</v>
      </c>
      <c r="AX2873" s="82" t="s">
        <v>15028</v>
      </c>
      <c r="AY2873" s="77"/>
      <c r="AZ2873" s="82" t="s">
        <v>15804</v>
      </c>
      <c r="BA2873" s="82" t="s">
        <v>15804</v>
      </c>
      <c r="BB2873" s="82" t="s">
        <v>15804</v>
      </c>
      <c r="BC2873" s="82" t="s">
        <v>15028</v>
      </c>
      <c r="BD2873" s="77">
        <v>51150679</v>
      </c>
      <c r="BE2873" s="77"/>
      <c r="BF2873" s="77"/>
      <c r="BG2873" s="77"/>
      <c r="BH2873" s="77"/>
      <c r="BI2873" s="77"/>
    </row>
    <row r="2874" spans="1:61" x14ac:dyDescent="0.25">
      <c r="A2874" s="62" t="s">
        <v>1027</v>
      </c>
      <c r="B2874" s="62" t="s">
        <v>1027</v>
      </c>
      <c r="C2874" s="63"/>
      <c r="D2874" s="64"/>
      <c r="E2874" s="65"/>
      <c r="F2874" s="66"/>
      <c r="G2874" s="63"/>
      <c r="H2874" s="67"/>
      <c r="I2874" s="68"/>
      <c r="J2874" s="68"/>
      <c r="K2874" s="32"/>
      <c r="L2874" s="75">
        <v>2874</v>
      </c>
      <c r="M2874" s="75"/>
      <c r="N2874" s="70"/>
      <c r="O2874" s="77" t="s">
        <v>179</v>
      </c>
      <c r="P2874" s="79">
        <v>44980.61509259259</v>
      </c>
      <c r="Q2874" s="77" t="s">
        <v>3886</v>
      </c>
      <c r="R2874" s="77">
        <v>0</v>
      </c>
      <c r="S2874" s="77">
        <v>1</v>
      </c>
      <c r="T2874" s="77">
        <v>1</v>
      </c>
      <c r="U2874" s="77">
        <v>0</v>
      </c>
      <c r="V2874" s="77">
        <v>929</v>
      </c>
      <c r="W2874" s="82" t="s">
        <v>5880</v>
      </c>
      <c r="X2874" s="80" t="str">
        <f>HYPERLINK("https://www.moneytimes.com.br/imposto-de-renda-2023-3-tarefas-que-da-para-resolver-agora-e-se-preparar/")</f>
        <v>https://www.moneytimes.com.br/imposto-de-renda-2023-3-tarefas-que-da-para-resolver-agora-e-se-preparar/</v>
      </c>
      <c r="Y2874" s="77" t="s">
        <v>6002</v>
      </c>
      <c r="Z2874" s="77"/>
      <c r="AA2874" s="77"/>
      <c r="AB2874" s="77"/>
      <c r="AC2874" s="82" t="s">
        <v>7718</v>
      </c>
      <c r="AD2874" s="77" t="s">
        <v>7745</v>
      </c>
      <c r="AE2874" s="80" t="str">
        <f>HYPERLINK("https://twitter.com/leiamoneytimes/status/1628768071929274371")</f>
        <v>https://twitter.com/leiamoneytimes/status/1628768071929274371</v>
      </c>
      <c r="AF2874" s="79">
        <v>44980.61509259259</v>
      </c>
      <c r="AG2874" s="85">
        <v>44980</v>
      </c>
      <c r="AH2874" s="82" t="s">
        <v>10345</v>
      </c>
      <c r="AI2874" s="77" t="b">
        <v>0</v>
      </c>
      <c r="AJ2874" s="77"/>
      <c r="AK2874" s="77"/>
      <c r="AL2874" s="77"/>
      <c r="AM2874" s="77"/>
      <c r="AN2874" s="77"/>
      <c r="AO2874" s="77"/>
      <c r="AP2874" s="77"/>
      <c r="AQ2874" s="77"/>
      <c r="AR2874" s="77"/>
      <c r="AS2874" s="77"/>
      <c r="AT2874" s="77"/>
      <c r="AU2874" s="77"/>
      <c r="AV2874" s="80" t="str">
        <f>HYPERLINK("https://pbs.twimg.com/profile_images/1559883556846977024/bXHnQFY0_normal.jpg")</f>
        <v>https://pbs.twimg.com/profile_images/1559883556846977024/bXHnQFY0_normal.jpg</v>
      </c>
      <c r="AW2874" s="82" t="s">
        <v>15029</v>
      </c>
      <c r="AX2874" s="82" t="s">
        <v>15029</v>
      </c>
      <c r="AY2874" s="77"/>
      <c r="AZ2874" s="82" t="s">
        <v>15804</v>
      </c>
      <c r="BA2874" s="82" t="s">
        <v>15804</v>
      </c>
      <c r="BB2874" s="82" t="s">
        <v>15804</v>
      </c>
      <c r="BC2874" s="82" t="s">
        <v>15029</v>
      </c>
      <c r="BD2874" s="77">
        <v>51150679</v>
      </c>
      <c r="BE2874" s="77"/>
      <c r="BF2874" s="77"/>
      <c r="BG2874" s="77"/>
      <c r="BH2874" s="77"/>
      <c r="BI2874" s="77"/>
    </row>
    <row r="2875" spans="1:61" x14ac:dyDescent="0.25">
      <c r="A2875" s="62" t="s">
        <v>1027</v>
      </c>
      <c r="B2875" s="62" t="s">
        <v>1027</v>
      </c>
      <c r="C2875" s="63"/>
      <c r="D2875" s="64"/>
      <c r="E2875" s="65"/>
      <c r="F2875" s="66"/>
      <c r="G2875" s="63"/>
      <c r="H2875" s="67"/>
      <c r="I2875" s="68"/>
      <c r="J2875" s="68"/>
      <c r="K2875" s="32"/>
      <c r="L2875" s="75">
        <v>2875</v>
      </c>
      <c r="M2875" s="75"/>
      <c r="N2875" s="70"/>
      <c r="O2875" s="77" t="s">
        <v>179</v>
      </c>
      <c r="P2875" s="79">
        <v>44980.559189814812</v>
      </c>
      <c r="Q2875" s="77" t="s">
        <v>3887</v>
      </c>
      <c r="R2875" s="77">
        <v>0</v>
      </c>
      <c r="S2875" s="77">
        <v>0</v>
      </c>
      <c r="T2875" s="77">
        <v>0</v>
      </c>
      <c r="U2875" s="77">
        <v>0</v>
      </c>
      <c r="V2875" s="77">
        <v>807</v>
      </c>
      <c r="W2875" s="82" t="s">
        <v>5871</v>
      </c>
      <c r="X2875" s="80" t="str">
        <f>HYPERLINK("https://www.moneytimes.com.br/imposto-de-renda-2023-qual-a-data-para-declarar-o-ir/")</f>
        <v>https://www.moneytimes.com.br/imposto-de-renda-2023-qual-a-data-para-declarar-o-ir/</v>
      </c>
      <c r="Y2875" s="77" t="s">
        <v>6002</v>
      </c>
      <c r="Z2875" s="77"/>
      <c r="AA2875" s="77"/>
      <c r="AB2875" s="77"/>
      <c r="AC2875" s="82" t="s">
        <v>7718</v>
      </c>
      <c r="AD2875" s="77" t="s">
        <v>7745</v>
      </c>
      <c r="AE2875" s="80" t="str">
        <f>HYPERLINK("https://twitter.com/leiamoneytimes/status/1628747814527270920")</f>
        <v>https://twitter.com/leiamoneytimes/status/1628747814527270920</v>
      </c>
      <c r="AF2875" s="79">
        <v>44980.559189814812</v>
      </c>
      <c r="AG2875" s="85">
        <v>44980</v>
      </c>
      <c r="AH2875" s="82" t="s">
        <v>10346</v>
      </c>
      <c r="AI2875" s="77" t="b">
        <v>0</v>
      </c>
      <c r="AJ2875" s="77"/>
      <c r="AK2875" s="77"/>
      <c r="AL2875" s="77"/>
      <c r="AM2875" s="77"/>
      <c r="AN2875" s="77"/>
      <c r="AO2875" s="77"/>
      <c r="AP2875" s="77"/>
      <c r="AQ2875" s="77"/>
      <c r="AR2875" s="77"/>
      <c r="AS2875" s="77"/>
      <c r="AT2875" s="77"/>
      <c r="AU2875" s="77"/>
      <c r="AV2875" s="80" t="str">
        <f>HYPERLINK("https://pbs.twimg.com/profile_images/1559883556846977024/bXHnQFY0_normal.jpg")</f>
        <v>https://pbs.twimg.com/profile_images/1559883556846977024/bXHnQFY0_normal.jpg</v>
      </c>
      <c r="AW2875" s="82" t="s">
        <v>15030</v>
      </c>
      <c r="AX2875" s="82" t="s">
        <v>15030</v>
      </c>
      <c r="AY2875" s="77"/>
      <c r="AZ2875" s="82" t="s">
        <v>15804</v>
      </c>
      <c r="BA2875" s="82" t="s">
        <v>15804</v>
      </c>
      <c r="BB2875" s="82" t="s">
        <v>15804</v>
      </c>
      <c r="BC2875" s="82" t="s">
        <v>15030</v>
      </c>
      <c r="BD2875" s="77">
        <v>51150679</v>
      </c>
      <c r="BE2875" s="77"/>
      <c r="BF2875" s="77"/>
      <c r="BG2875" s="77"/>
      <c r="BH2875" s="77"/>
      <c r="BI2875" s="77"/>
    </row>
    <row r="2876" spans="1:61" x14ac:dyDescent="0.25">
      <c r="A2876" s="62" t="s">
        <v>1027</v>
      </c>
      <c r="B2876" s="62" t="s">
        <v>1027</v>
      </c>
      <c r="C2876" s="63"/>
      <c r="D2876" s="64"/>
      <c r="E2876" s="65"/>
      <c r="F2876" s="66"/>
      <c r="G2876" s="63"/>
      <c r="H2876" s="67"/>
      <c r="I2876" s="68"/>
      <c r="J2876" s="68"/>
      <c r="K2876" s="32"/>
      <c r="L2876" s="75">
        <v>2876</v>
      </c>
      <c r="M2876" s="75"/>
      <c r="N2876" s="70"/>
      <c r="O2876" s="77" t="s">
        <v>179</v>
      </c>
      <c r="P2876" s="79">
        <v>44980.550567129627</v>
      </c>
      <c r="Q2876" s="77" t="s">
        <v>3888</v>
      </c>
      <c r="R2876" s="77">
        <v>0</v>
      </c>
      <c r="S2876" s="77">
        <v>1</v>
      </c>
      <c r="T2876" s="77">
        <v>0</v>
      </c>
      <c r="U2876" s="77">
        <v>0</v>
      </c>
      <c r="V2876" s="77">
        <v>803</v>
      </c>
      <c r="W2876" s="82" t="s">
        <v>5871</v>
      </c>
      <c r="X2876" s="80" t="str">
        <f>HYPERLINK("https://www.moneytimes.com.br/imposto-de-renda-137-milhoes-deixarao-de-pagar-ir-veja-se-voce-esta-entre-os-isentos-do-ano-que-vem/")</f>
        <v>https://www.moneytimes.com.br/imposto-de-renda-137-milhoes-deixarao-de-pagar-ir-veja-se-voce-esta-entre-os-isentos-do-ano-que-vem/</v>
      </c>
      <c r="Y2876" s="77" t="s">
        <v>6002</v>
      </c>
      <c r="Z2876" s="77"/>
      <c r="AA2876" s="77"/>
      <c r="AB2876" s="77"/>
      <c r="AC2876" s="82" t="s">
        <v>7718</v>
      </c>
      <c r="AD2876" s="77" t="s">
        <v>7745</v>
      </c>
      <c r="AE2876" s="80" t="str">
        <f>HYPERLINK("https://twitter.com/leiamoneytimes/status/1628744690982846466")</f>
        <v>https://twitter.com/leiamoneytimes/status/1628744690982846466</v>
      </c>
      <c r="AF2876" s="79">
        <v>44980.550567129627</v>
      </c>
      <c r="AG2876" s="85">
        <v>44980</v>
      </c>
      <c r="AH2876" s="82" t="s">
        <v>10347</v>
      </c>
      <c r="AI2876" s="77" t="b">
        <v>0</v>
      </c>
      <c r="AJ2876" s="77"/>
      <c r="AK2876" s="77"/>
      <c r="AL2876" s="77"/>
      <c r="AM2876" s="77"/>
      <c r="AN2876" s="77"/>
      <c r="AO2876" s="77"/>
      <c r="AP2876" s="77"/>
      <c r="AQ2876" s="77"/>
      <c r="AR2876" s="77"/>
      <c r="AS2876" s="77"/>
      <c r="AT2876" s="77"/>
      <c r="AU2876" s="77"/>
      <c r="AV2876" s="80" t="str">
        <f>HYPERLINK("https://pbs.twimg.com/profile_images/1559883556846977024/bXHnQFY0_normal.jpg")</f>
        <v>https://pbs.twimg.com/profile_images/1559883556846977024/bXHnQFY0_normal.jpg</v>
      </c>
      <c r="AW2876" s="82" t="s">
        <v>15031</v>
      </c>
      <c r="AX2876" s="82" t="s">
        <v>15031</v>
      </c>
      <c r="AY2876" s="77"/>
      <c r="AZ2876" s="82" t="s">
        <v>15804</v>
      </c>
      <c r="BA2876" s="82" t="s">
        <v>15804</v>
      </c>
      <c r="BB2876" s="82" t="s">
        <v>15804</v>
      </c>
      <c r="BC2876" s="82" t="s">
        <v>15031</v>
      </c>
      <c r="BD2876" s="77">
        <v>51150679</v>
      </c>
      <c r="BE2876" s="77"/>
      <c r="BF2876" s="77"/>
      <c r="BG2876" s="77"/>
      <c r="BH2876" s="77"/>
      <c r="BI2876" s="77"/>
    </row>
    <row r="2877" spans="1:61" x14ac:dyDescent="0.25">
      <c r="A2877" s="62" t="s">
        <v>1027</v>
      </c>
      <c r="B2877" s="62" t="s">
        <v>1027</v>
      </c>
      <c r="C2877" s="63"/>
      <c r="D2877" s="64"/>
      <c r="E2877" s="65"/>
      <c r="F2877" s="66"/>
      <c r="G2877" s="63"/>
      <c r="H2877" s="67"/>
      <c r="I2877" s="68"/>
      <c r="J2877" s="68"/>
      <c r="K2877" s="32"/>
      <c r="L2877" s="75">
        <v>2877</v>
      </c>
      <c r="M2877" s="75"/>
      <c r="N2877" s="70"/>
      <c r="O2877" s="77" t="s">
        <v>179</v>
      </c>
      <c r="P2877" s="79">
        <v>44979.784282407411</v>
      </c>
      <c r="Q2877" s="77" t="s">
        <v>3889</v>
      </c>
      <c r="R2877" s="77">
        <v>1</v>
      </c>
      <c r="S2877" s="77">
        <v>0</v>
      </c>
      <c r="T2877" s="77">
        <v>0</v>
      </c>
      <c r="U2877" s="77">
        <v>0</v>
      </c>
      <c r="V2877" s="77">
        <v>1013</v>
      </c>
      <c r="W2877" s="82" t="s">
        <v>5892</v>
      </c>
      <c r="X2877" s="80" t="str">
        <f>HYPERLINK("https://www.moneytimes.com.br/itau-libera-parcelamento-via-pix-em-ate-72-vezes-veja-como-funciona/")</f>
        <v>https://www.moneytimes.com.br/itau-libera-parcelamento-via-pix-em-ate-72-vezes-veja-como-funciona/</v>
      </c>
      <c r="Y2877" s="77" t="s">
        <v>6002</v>
      </c>
      <c r="Z2877" s="77"/>
      <c r="AA2877" s="77"/>
      <c r="AB2877" s="77"/>
      <c r="AC2877" s="82" t="s">
        <v>7718</v>
      </c>
      <c r="AD2877" s="77" t="s">
        <v>7745</v>
      </c>
      <c r="AE2877" s="80" t="str">
        <f>HYPERLINK("https://twitter.com/leiamoneytimes/status/1628466997687205888")</f>
        <v>https://twitter.com/leiamoneytimes/status/1628466997687205888</v>
      </c>
      <c r="AF2877" s="79">
        <v>44979.784282407411</v>
      </c>
      <c r="AG2877" s="85">
        <v>44979</v>
      </c>
      <c r="AH2877" s="82" t="s">
        <v>10348</v>
      </c>
      <c r="AI2877" s="77" t="b">
        <v>0</v>
      </c>
      <c r="AJ2877" s="77"/>
      <c r="AK2877" s="77"/>
      <c r="AL2877" s="77"/>
      <c r="AM2877" s="77"/>
      <c r="AN2877" s="77"/>
      <c r="AO2877" s="77"/>
      <c r="AP2877" s="77"/>
      <c r="AQ2877" s="77"/>
      <c r="AR2877" s="77"/>
      <c r="AS2877" s="77"/>
      <c r="AT2877" s="77"/>
      <c r="AU2877" s="77"/>
      <c r="AV2877" s="80" t="str">
        <f>HYPERLINK("https://pbs.twimg.com/profile_images/1559883556846977024/bXHnQFY0_normal.jpg")</f>
        <v>https://pbs.twimg.com/profile_images/1559883556846977024/bXHnQFY0_normal.jpg</v>
      </c>
      <c r="AW2877" s="82" t="s">
        <v>15032</v>
      </c>
      <c r="AX2877" s="82" t="s">
        <v>15032</v>
      </c>
      <c r="AY2877" s="77"/>
      <c r="AZ2877" s="82" t="s">
        <v>15804</v>
      </c>
      <c r="BA2877" s="82" t="s">
        <v>15804</v>
      </c>
      <c r="BB2877" s="82" t="s">
        <v>15804</v>
      </c>
      <c r="BC2877" s="82" t="s">
        <v>15032</v>
      </c>
      <c r="BD2877" s="77">
        <v>51150679</v>
      </c>
      <c r="BE2877" s="77"/>
      <c r="BF2877" s="77"/>
      <c r="BG2877" s="77"/>
      <c r="BH2877" s="77"/>
      <c r="BI2877" s="77"/>
    </row>
    <row r="2878" spans="1:61" x14ac:dyDescent="0.25">
      <c r="A2878" s="62" t="s">
        <v>1027</v>
      </c>
      <c r="B2878" s="62" t="s">
        <v>1027</v>
      </c>
      <c r="C2878" s="63"/>
      <c r="D2878" s="64"/>
      <c r="E2878" s="65"/>
      <c r="F2878" s="66"/>
      <c r="G2878" s="63"/>
      <c r="H2878" s="67"/>
      <c r="I2878" s="68"/>
      <c r="J2878" s="68"/>
      <c r="K2878" s="32"/>
      <c r="L2878" s="75">
        <v>2878</v>
      </c>
      <c r="M2878" s="75"/>
      <c r="N2878" s="70"/>
      <c r="O2878" s="77" t="s">
        <v>179</v>
      </c>
      <c r="P2878" s="79">
        <v>44979.680474537039</v>
      </c>
      <c r="Q2878" s="77" t="s">
        <v>3890</v>
      </c>
      <c r="R2878" s="77">
        <v>0</v>
      </c>
      <c r="S2878" s="77">
        <v>1</v>
      </c>
      <c r="T2878" s="77">
        <v>0</v>
      </c>
      <c r="U2878" s="77">
        <v>0</v>
      </c>
      <c r="V2878" s="77">
        <v>1020</v>
      </c>
      <c r="W2878" s="82" t="s">
        <v>5881</v>
      </c>
      <c r="X2878" s="80" t="str">
        <f>HYPERLINK("https://www.moneytimes.com.br/imposto-de-renda-2023-veja-as-datas-e-quem-esta-isento-da-declaracao-deste-ano/")</f>
        <v>https://www.moneytimes.com.br/imposto-de-renda-2023-veja-as-datas-e-quem-esta-isento-da-declaracao-deste-ano/</v>
      </c>
      <c r="Y2878" s="77" t="s">
        <v>6002</v>
      </c>
      <c r="Z2878" s="77"/>
      <c r="AA2878" s="77"/>
      <c r="AB2878" s="77"/>
      <c r="AC2878" s="82" t="s">
        <v>7718</v>
      </c>
      <c r="AD2878" s="77" t="s">
        <v>7745</v>
      </c>
      <c r="AE2878" s="80" t="str">
        <f>HYPERLINK("https://twitter.com/leiamoneytimes/status/1628429377603002371")</f>
        <v>https://twitter.com/leiamoneytimes/status/1628429377603002371</v>
      </c>
      <c r="AF2878" s="79">
        <v>44979.680474537039</v>
      </c>
      <c r="AG2878" s="85">
        <v>44979</v>
      </c>
      <c r="AH2878" s="82" t="s">
        <v>10349</v>
      </c>
      <c r="AI2878" s="77" t="b">
        <v>0</v>
      </c>
      <c r="AJ2878" s="77"/>
      <c r="AK2878" s="77"/>
      <c r="AL2878" s="77"/>
      <c r="AM2878" s="77"/>
      <c r="AN2878" s="77"/>
      <c r="AO2878" s="77"/>
      <c r="AP2878" s="77"/>
      <c r="AQ2878" s="77"/>
      <c r="AR2878" s="77"/>
      <c r="AS2878" s="77"/>
      <c r="AT2878" s="77"/>
      <c r="AU2878" s="77"/>
      <c r="AV2878" s="80" t="str">
        <f>HYPERLINK("https://pbs.twimg.com/profile_images/1559883556846977024/bXHnQFY0_normal.jpg")</f>
        <v>https://pbs.twimg.com/profile_images/1559883556846977024/bXHnQFY0_normal.jpg</v>
      </c>
      <c r="AW2878" s="82" t="s">
        <v>15033</v>
      </c>
      <c r="AX2878" s="82" t="s">
        <v>15033</v>
      </c>
      <c r="AY2878" s="77"/>
      <c r="AZ2878" s="82" t="s">
        <v>15804</v>
      </c>
      <c r="BA2878" s="82" t="s">
        <v>15804</v>
      </c>
      <c r="BB2878" s="82" t="s">
        <v>15804</v>
      </c>
      <c r="BC2878" s="82" t="s">
        <v>15033</v>
      </c>
      <c r="BD2878" s="77">
        <v>51150679</v>
      </c>
      <c r="BE2878" s="77"/>
      <c r="BF2878" s="77"/>
      <c r="BG2878" s="77"/>
      <c r="BH2878" s="77"/>
      <c r="BI2878" s="77"/>
    </row>
    <row r="2879" spans="1:61" x14ac:dyDescent="0.25">
      <c r="A2879" s="62" t="s">
        <v>1027</v>
      </c>
      <c r="B2879" s="62" t="s">
        <v>1027</v>
      </c>
      <c r="C2879" s="63"/>
      <c r="D2879" s="64"/>
      <c r="E2879" s="65"/>
      <c r="F2879" s="66"/>
      <c r="G2879" s="63"/>
      <c r="H2879" s="67"/>
      <c r="I2879" s="68"/>
      <c r="J2879" s="68"/>
      <c r="K2879" s="32"/>
      <c r="L2879" s="75">
        <v>2879</v>
      </c>
      <c r="M2879" s="75"/>
      <c r="N2879" s="70"/>
      <c r="O2879" s="77" t="s">
        <v>179</v>
      </c>
      <c r="P2879" s="79">
        <v>44979.531423611108</v>
      </c>
      <c r="Q2879" s="77" t="s">
        <v>3891</v>
      </c>
      <c r="R2879" s="77">
        <v>0</v>
      </c>
      <c r="S2879" s="77">
        <v>3</v>
      </c>
      <c r="T2879" s="77">
        <v>0</v>
      </c>
      <c r="U2879" s="77">
        <v>0</v>
      </c>
      <c r="V2879" s="77">
        <v>1168</v>
      </c>
      <c r="W2879" s="82" t="s">
        <v>5880</v>
      </c>
      <c r="X2879" s="80" t="str">
        <f>HYPERLINK("https://www.moneytimes.com.br/imposto-de-renda-confira-os-documentos-necessarios-para-fazer-a-declaracao/")</f>
        <v>https://www.moneytimes.com.br/imposto-de-renda-confira-os-documentos-necessarios-para-fazer-a-declaracao/</v>
      </c>
      <c r="Y2879" s="77" t="s">
        <v>6002</v>
      </c>
      <c r="Z2879" s="77"/>
      <c r="AA2879" s="77"/>
      <c r="AB2879" s="77"/>
      <c r="AC2879" s="82" t="s">
        <v>7718</v>
      </c>
      <c r="AD2879" s="77" t="s">
        <v>7745</v>
      </c>
      <c r="AE2879" s="80" t="str">
        <f>HYPERLINK("https://twitter.com/leiamoneytimes/status/1628375365822316544")</f>
        <v>https://twitter.com/leiamoneytimes/status/1628375365822316544</v>
      </c>
      <c r="AF2879" s="79">
        <v>44979.531423611108</v>
      </c>
      <c r="AG2879" s="85">
        <v>44979</v>
      </c>
      <c r="AH2879" s="82" t="s">
        <v>10350</v>
      </c>
      <c r="AI2879" s="77" t="b">
        <v>0</v>
      </c>
      <c r="AJ2879" s="77"/>
      <c r="AK2879" s="77"/>
      <c r="AL2879" s="77"/>
      <c r="AM2879" s="77"/>
      <c r="AN2879" s="77"/>
      <c r="AO2879" s="77"/>
      <c r="AP2879" s="77"/>
      <c r="AQ2879" s="77"/>
      <c r="AR2879" s="77"/>
      <c r="AS2879" s="77"/>
      <c r="AT2879" s="77"/>
      <c r="AU2879" s="77"/>
      <c r="AV2879" s="80" t="str">
        <f>HYPERLINK("https://pbs.twimg.com/profile_images/1559883556846977024/bXHnQFY0_normal.jpg")</f>
        <v>https://pbs.twimg.com/profile_images/1559883556846977024/bXHnQFY0_normal.jpg</v>
      </c>
      <c r="AW2879" s="82" t="s">
        <v>15034</v>
      </c>
      <c r="AX2879" s="82" t="s">
        <v>15034</v>
      </c>
      <c r="AY2879" s="77"/>
      <c r="AZ2879" s="82" t="s">
        <v>15804</v>
      </c>
      <c r="BA2879" s="82" t="s">
        <v>15804</v>
      </c>
      <c r="BB2879" s="82" t="s">
        <v>15804</v>
      </c>
      <c r="BC2879" s="82" t="s">
        <v>15034</v>
      </c>
      <c r="BD2879" s="77">
        <v>51150679</v>
      </c>
      <c r="BE2879" s="77"/>
      <c r="BF2879" s="77"/>
      <c r="BG2879" s="77"/>
      <c r="BH2879" s="77"/>
      <c r="BI2879" s="77"/>
    </row>
    <row r="2880" spans="1:61" x14ac:dyDescent="0.25">
      <c r="A2880" s="62" t="s">
        <v>1027</v>
      </c>
      <c r="B2880" s="62" t="s">
        <v>1027</v>
      </c>
      <c r="C2880" s="63"/>
      <c r="D2880" s="64"/>
      <c r="E2880" s="65"/>
      <c r="F2880" s="66"/>
      <c r="G2880" s="63"/>
      <c r="H2880" s="67"/>
      <c r="I2880" s="68"/>
      <c r="J2880" s="68"/>
      <c r="K2880" s="32"/>
      <c r="L2880" s="75">
        <v>2880</v>
      </c>
      <c r="M2880" s="75"/>
      <c r="N2880" s="70"/>
      <c r="O2880" s="77" t="s">
        <v>179</v>
      </c>
      <c r="P2880" s="79">
        <v>44929.834189814814</v>
      </c>
      <c r="Q2880" s="77" t="s">
        <v>3892</v>
      </c>
      <c r="R2880" s="77">
        <v>0</v>
      </c>
      <c r="S2880" s="77">
        <v>1</v>
      </c>
      <c r="T2880" s="77">
        <v>2</v>
      </c>
      <c r="U2880" s="77">
        <v>0</v>
      </c>
      <c r="V2880" s="77">
        <v>1158</v>
      </c>
      <c r="W2880" s="82" t="s">
        <v>5893</v>
      </c>
      <c r="X2880" s="80" t="str">
        <f>HYPERLINK("https://www.moneytimes.com.br/meta-para-2023-ganhar-dinheiro-empresa-de-investimentos-oferece-7-aulas-gratuitas-de-curso-para-te-ajudar-a-aumentar-o-patrimonio-veja-como-assistir-lbrdgf085-tsts/")</f>
        <v>https://www.moneytimes.com.br/meta-para-2023-ganhar-dinheiro-empresa-de-investimentos-oferece-7-aulas-gratuitas-de-curso-para-te-ajudar-a-aumentar-o-patrimonio-veja-como-assistir-lbrdgf085-tsts/</v>
      </c>
      <c r="Y2880" s="77" t="s">
        <v>6002</v>
      </c>
      <c r="Z2880" s="77"/>
      <c r="AA2880" s="77"/>
      <c r="AB2880" s="77"/>
      <c r="AC2880" s="82" t="s">
        <v>7718</v>
      </c>
      <c r="AD2880" s="77" t="s">
        <v>7745</v>
      </c>
      <c r="AE2880" s="80" t="str">
        <f>HYPERLINK("https://twitter.com/leiamoneytimes/status/1610365691856658434")</f>
        <v>https://twitter.com/leiamoneytimes/status/1610365691856658434</v>
      </c>
      <c r="AF2880" s="79">
        <v>44929.834189814814</v>
      </c>
      <c r="AG2880" s="85">
        <v>44929</v>
      </c>
      <c r="AH2880" s="82" t="s">
        <v>10351</v>
      </c>
      <c r="AI2880" s="77" t="b">
        <v>0</v>
      </c>
      <c r="AJ2880" s="77"/>
      <c r="AK2880" s="77"/>
      <c r="AL2880" s="77"/>
      <c r="AM2880" s="77"/>
      <c r="AN2880" s="77"/>
      <c r="AO2880" s="77"/>
      <c r="AP2880" s="77"/>
      <c r="AQ2880" s="77"/>
      <c r="AR2880" s="77"/>
      <c r="AS2880" s="77"/>
      <c r="AT2880" s="77"/>
      <c r="AU2880" s="77"/>
      <c r="AV2880" s="80" t="str">
        <f>HYPERLINK("https://pbs.twimg.com/profile_images/1559883556846977024/bXHnQFY0_normal.jpg")</f>
        <v>https://pbs.twimg.com/profile_images/1559883556846977024/bXHnQFY0_normal.jpg</v>
      </c>
      <c r="AW2880" s="82" t="s">
        <v>15035</v>
      </c>
      <c r="AX2880" s="82" t="s">
        <v>15035</v>
      </c>
      <c r="AY2880" s="77"/>
      <c r="AZ2880" s="82" t="s">
        <v>15804</v>
      </c>
      <c r="BA2880" s="82" t="s">
        <v>15804</v>
      </c>
      <c r="BB2880" s="82" t="s">
        <v>15804</v>
      </c>
      <c r="BC2880" s="82" t="s">
        <v>15035</v>
      </c>
      <c r="BD2880" s="77">
        <v>51150679</v>
      </c>
      <c r="BE2880" s="77"/>
      <c r="BF2880" s="77"/>
      <c r="BG2880" s="77"/>
      <c r="BH2880" s="77"/>
      <c r="BI2880" s="77"/>
    </row>
    <row r="2881" spans="1:61" x14ac:dyDescent="0.25">
      <c r="A2881" s="62" t="s">
        <v>1027</v>
      </c>
      <c r="B2881" s="62" t="s">
        <v>1027</v>
      </c>
      <c r="C2881" s="63"/>
      <c r="D2881" s="64"/>
      <c r="E2881" s="65"/>
      <c r="F2881" s="66"/>
      <c r="G2881" s="63"/>
      <c r="H2881" s="67"/>
      <c r="I2881" s="68"/>
      <c r="J2881" s="68"/>
      <c r="K2881" s="32"/>
      <c r="L2881" s="75">
        <v>2881</v>
      </c>
      <c r="M2881" s="75"/>
      <c r="N2881" s="70"/>
      <c r="O2881" s="77" t="s">
        <v>179</v>
      </c>
      <c r="P2881" s="79">
        <v>44928.500798611109</v>
      </c>
      <c r="Q2881" s="77" t="s">
        <v>3893</v>
      </c>
      <c r="R2881" s="77">
        <v>1</v>
      </c>
      <c r="S2881" s="77">
        <v>1</v>
      </c>
      <c r="T2881" s="77">
        <v>1</v>
      </c>
      <c r="U2881" s="77">
        <v>0</v>
      </c>
      <c r="V2881" s="77">
        <v>1406</v>
      </c>
      <c r="W2881" s="82" t="s">
        <v>5894</v>
      </c>
      <c r="X2881" s="80" t="str">
        <f>HYPERLINK("https://www.moneytimes.com.br/ipva-2023-confira-as-datas-e-o-custo-do-imposto-sobre-o-seu-veiculo/")</f>
        <v>https://www.moneytimes.com.br/ipva-2023-confira-as-datas-e-o-custo-do-imposto-sobre-o-seu-veiculo/</v>
      </c>
      <c r="Y2881" s="77" t="s">
        <v>6002</v>
      </c>
      <c r="Z2881" s="77"/>
      <c r="AA2881" s="77"/>
      <c r="AB2881" s="77"/>
      <c r="AC2881" s="82" t="s">
        <v>7718</v>
      </c>
      <c r="AD2881" s="77" t="s">
        <v>7745</v>
      </c>
      <c r="AE2881" s="80" t="str">
        <f>HYPERLINK("https://twitter.com/leiamoneytimes/status/1609882485633998848")</f>
        <v>https://twitter.com/leiamoneytimes/status/1609882485633998848</v>
      </c>
      <c r="AF2881" s="79">
        <v>44928.500798611109</v>
      </c>
      <c r="AG2881" s="85">
        <v>44928</v>
      </c>
      <c r="AH2881" s="82" t="s">
        <v>8513</v>
      </c>
      <c r="AI2881" s="77" t="b">
        <v>0</v>
      </c>
      <c r="AJ2881" s="77"/>
      <c r="AK2881" s="77"/>
      <c r="AL2881" s="77"/>
      <c r="AM2881" s="77"/>
      <c r="AN2881" s="77"/>
      <c r="AO2881" s="77"/>
      <c r="AP2881" s="77"/>
      <c r="AQ2881" s="77"/>
      <c r="AR2881" s="77"/>
      <c r="AS2881" s="77"/>
      <c r="AT2881" s="77"/>
      <c r="AU2881" s="77"/>
      <c r="AV2881" s="80" t="str">
        <f>HYPERLINK("https://pbs.twimg.com/profile_images/1559883556846977024/bXHnQFY0_normal.jpg")</f>
        <v>https://pbs.twimg.com/profile_images/1559883556846977024/bXHnQFY0_normal.jpg</v>
      </c>
      <c r="AW2881" s="82" t="s">
        <v>15036</v>
      </c>
      <c r="AX2881" s="82" t="s">
        <v>15036</v>
      </c>
      <c r="AY2881" s="77"/>
      <c r="AZ2881" s="82" t="s">
        <v>15804</v>
      </c>
      <c r="BA2881" s="82" t="s">
        <v>15804</v>
      </c>
      <c r="BB2881" s="82" t="s">
        <v>15804</v>
      </c>
      <c r="BC2881" s="82" t="s">
        <v>15036</v>
      </c>
      <c r="BD2881" s="77">
        <v>51150679</v>
      </c>
      <c r="BE2881" s="77"/>
      <c r="BF2881" s="77"/>
      <c r="BG2881" s="77"/>
      <c r="BH2881" s="77"/>
      <c r="BI2881" s="77"/>
    </row>
    <row r="2882" spans="1:61" x14ac:dyDescent="0.25">
      <c r="A2882" s="62" t="s">
        <v>1027</v>
      </c>
      <c r="B2882" s="62" t="s">
        <v>1027</v>
      </c>
      <c r="C2882" s="63"/>
      <c r="D2882" s="64"/>
      <c r="E2882" s="65"/>
      <c r="F2882" s="66"/>
      <c r="G2882" s="63"/>
      <c r="H2882" s="67"/>
      <c r="I2882" s="68"/>
      <c r="J2882" s="68"/>
      <c r="K2882" s="32"/>
      <c r="L2882" s="75">
        <v>2882</v>
      </c>
      <c r="M2882" s="75"/>
      <c r="N2882" s="70"/>
      <c r="O2882" s="77" t="s">
        <v>179</v>
      </c>
      <c r="P2882" s="79">
        <v>45159.605706018519</v>
      </c>
      <c r="Q2882" s="77" t="s">
        <v>3894</v>
      </c>
      <c r="R2882" s="77">
        <v>0</v>
      </c>
      <c r="S2882" s="77">
        <v>3</v>
      </c>
      <c r="T2882" s="77">
        <v>1</v>
      </c>
      <c r="U2882" s="77">
        <v>0</v>
      </c>
      <c r="V2882" s="77">
        <v>1587</v>
      </c>
      <c r="W2882" s="82" t="s">
        <v>5873</v>
      </c>
      <c r="X2882" s="80" t="str">
        <f>HYPERLINK("https://www.moneytimes.com.br/restituicao-do-imposto-de-renda-consulta-do-4o-lote-e-liberada-nesta-semana-veja-se-voce-recebe/")</f>
        <v>https://www.moneytimes.com.br/restituicao-do-imposto-de-renda-consulta-do-4o-lote-e-liberada-nesta-semana-veja-se-voce-recebe/</v>
      </c>
      <c r="Y2882" s="77" t="s">
        <v>6002</v>
      </c>
      <c r="Z2882" s="77"/>
      <c r="AA2882" s="77"/>
      <c r="AB2882" s="77"/>
      <c r="AC2882" s="82" t="s">
        <v>7718</v>
      </c>
      <c r="AD2882" s="77" t="s">
        <v>7745</v>
      </c>
      <c r="AE2882" s="80" t="str">
        <f>HYPERLINK("https://twitter.com/leiamoneytimes/status/1693632098488193164")</f>
        <v>https://twitter.com/leiamoneytimes/status/1693632098488193164</v>
      </c>
      <c r="AF2882" s="79">
        <v>45159.605706018519</v>
      </c>
      <c r="AG2882" s="85">
        <v>45159</v>
      </c>
      <c r="AH2882" s="82" t="s">
        <v>10352</v>
      </c>
      <c r="AI2882" s="77" t="b">
        <v>0</v>
      </c>
      <c r="AJ2882" s="77"/>
      <c r="AK2882" s="77"/>
      <c r="AL2882" s="77"/>
      <c r="AM2882" s="77"/>
      <c r="AN2882" s="77"/>
      <c r="AO2882" s="77"/>
      <c r="AP2882" s="77"/>
      <c r="AQ2882" s="77"/>
      <c r="AR2882" s="77"/>
      <c r="AS2882" s="77"/>
      <c r="AT2882" s="77"/>
      <c r="AU2882" s="77"/>
      <c r="AV2882" s="80" t="str">
        <f>HYPERLINK("https://pbs.twimg.com/profile_images/1559883556846977024/bXHnQFY0_normal.jpg")</f>
        <v>https://pbs.twimg.com/profile_images/1559883556846977024/bXHnQFY0_normal.jpg</v>
      </c>
      <c r="AW2882" s="82" t="s">
        <v>15037</v>
      </c>
      <c r="AX2882" s="82" t="s">
        <v>15037</v>
      </c>
      <c r="AY2882" s="77"/>
      <c r="AZ2882" s="82" t="s">
        <v>15804</v>
      </c>
      <c r="BA2882" s="82" t="s">
        <v>15804</v>
      </c>
      <c r="BB2882" s="82" t="s">
        <v>15804</v>
      </c>
      <c r="BC2882" s="82" t="s">
        <v>15037</v>
      </c>
      <c r="BD2882" s="77">
        <v>51150679</v>
      </c>
      <c r="BE2882" s="77"/>
      <c r="BF2882" s="77"/>
      <c r="BG2882" s="77"/>
      <c r="BH2882" s="77"/>
      <c r="BI2882" s="77"/>
    </row>
    <row r="2883" spans="1:61" x14ac:dyDescent="0.25">
      <c r="A2883" s="62" t="s">
        <v>1027</v>
      </c>
      <c r="B2883" s="62" t="s">
        <v>1027</v>
      </c>
      <c r="C2883" s="63"/>
      <c r="D2883" s="64"/>
      <c r="E2883" s="65"/>
      <c r="F2883" s="66"/>
      <c r="G2883" s="63"/>
      <c r="H2883" s="67"/>
      <c r="I2883" s="68"/>
      <c r="J2883" s="68"/>
      <c r="K2883" s="32"/>
      <c r="L2883" s="75">
        <v>2883</v>
      </c>
      <c r="M2883" s="75"/>
      <c r="N2883" s="70"/>
      <c r="O2883" s="77" t="s">
        <v>179</v>
      </c>
      <c r="P2883" s="79">
        <v>45138.530648148146</v>
      </c>
      <c r="Q2883" s="77" t="s">
        <v>3895</v>
      </c>
      <c r="R2883" s="77">
        <v>0</v>
      </c>
      <c r="S2883" s="77">
        <v>2</v>
      </c>
      <c r="T2883" s="77">
        <v>1</v>
      </c>
      <c r="U2883" s="77">
        <v>0</v>
      </c>
      <c r="V2883" s="77">
        <v>1015</v>
      </c>
      <c r="W2883" s="82" t="s">
        <v>5870</v>
      </c>
      <c r="X2883" s="80" t="str">
        <f>HYPERLINK("https://www.moneytimes.com.br/restituicao-do-imposto-de-renda-2023-nao-entrou-no-3o-lote-receita-fara-mais-dois-pagamentos-veja-calendario/")</f>
        <v>https://www.moneytimes.com.br/restituicao-do-imposto-de-renda-2023-nao-entrou-no-3o-lote-receita-fara-mais-dois-pagamentos-veja-calendario/</v>
      </c>
      <c r="Y2883" s="77" t="s">
        <v>6002</v>
      </c>
      <c r="Z2883" s="77"/>
      <c r="AA2883" s="77"/>
      <c r="AB2883" s="77"/>
      <c r="AC2883" s="82" t="s">
        <v>7718</v>
      </c>
      <c r="AD2883" s="77" t="s">
        <v>7745</v>
      </c>
      <c r="AE2883" s="80" t="str">
        <f>HYPERLINK("https://twitter.com/leiamoneytimes/status/1685994756243922945")</f>
        <v>https://twitter.com/leiamoneytimes/status/1685994756243922945</v>
      </c>
      <c r="AF2883" s="79">
        <v>45138.530648148146</v>
      </c>
      <c r="AG2883" s="85">
        <v>45138</v>
      </c>
      <c r="AH2883" s="82" t="s">
        <v>10353</v>
      </c>
      <c r="AI2883" s="77" t="b">
        <v>0</v>
      </c>
      <c r="AJ2883" s="77"/>
      <c r="AK2883" s="77"/>
      <c r="AL2883" s="77"/>
      <c r="AM2883" s="77"/>
      <c r="AN2883" s="77"/>
      <c r="AO2883" s="77"/>
      <c r="AP2883" s="77"/>
      <c r="AQ2883" s="77"/>
      <c r="AR2883" s="77"/>
      <c r="AS2883" s="77"/>
      <c r="AT2883" s="77"/>
      <c r="AU2883" s="77"/>
      <c r="AV2883" s="80" t="str">
        <f>HYPERLINK("https://pbs.twimg.com/profile_images/1559883556846977024/bXHnQFY0_normal.jpg")</f>
        <v>https://pbs.twimg.com/profile_images/1559883556846977024/bXHnQFY0_normal.jpg</v>
      </c>
      <c r="AW2883" s="82" t="s">
        <v>15038</v>
      </c>
      <c r="AX2883" s="82" t="s">
        <v>15038</v>
      </c>
      <c r="AY2883" s="77"/>
      <c r="AZ2883" s="82" t="s">
        <v>15804</v>
      </c>
      <c r="BA2883" s="82" t="s">
        <v>15804</v>
      </c>
      <c r="BB2883" s="82" t="s">
        <v>15804</v>
      </c>
      <c r="BC2883" s="82" t="s">
        <v>15038</v>
      </c>
      <c r="BD2883" s="77">
        <v>51150679</v>
      </c>
      <c r="BE2883" s="77"/>
      <c r="BF2883" s="77"/>
      <c r="BG2883" s="77"/>
      <c r="BH2883" s="77"/>
      <c r="BI2883" s="77"/>
    </row>
    <row r="2884" spans="1:61" x14ac:dyDescent="0.25">
      <c r="A2884" s="62" t="s">
        <v>1027</v>
      </c>
      <c r="B2884" s="62" t="s">
        <v>1027</v>
      </c>
      <c r="C2884" s="63"/>
      <c r="D2884" s="64"/>
      <c r="E2884" s="65"/>
      <c r="F2884" s="66"/>
      <c r="G2884" s="63"/>
      <c r="H2884" s="67"/>
      <c r="I2884" s="68"/>
      <c r="J2884" s="68"/>
      <c r="K2884" s="32"/>
      <c r="L2884" s="75">
        <v>2884</v>
      </c>
      <c r="M2884" s="75"/>
      <c r="N2884" s="70"/>
      <c r="O2884" s="77" t="s">
        <v>179</v>
      </c>
      <c r="P2884" s="79">
        <v>45138.459131944444</v>
      </c>
      <c r="Q2884" s="77" t="s">
        <v>3896</v>
      </c>
      <c r="R2884" s="77">
        <v>0</v>
      </c>
      <c r="S2884" s="77">
        <v>3</v>
      </c>
      <c r="T2884" s="77">
        <v>1</v>
      </c>
      <c r="U2884" s="77">
        <v>0</v>
      </c>
      <c r="V2884" s="77">
        <v>1218</v>
      </c>
      <c r="W2884" s="82" t="s">
        <v>5873</v>
      </c>
      <c r="X2884" s="80" t="str">
        <f>HYPERLINK("https://www.moneytimes.com.br/restituicao-do-imposto-de-renda-2023-receita-paga-3o-lote-nesta-segunda-31-veja-se-voce-recebe/")</f>
        <v>https://www.moneytimes.com.br/restituicao-do-imposto-de-renda-2023-receita-paga-3o-lote-nesta-segunda-31-veja-se-voce-recebe/</v>
      </c>
      <c r="Y2884" s="77" t="s">
        <v>6002</v>
      </c>
      <c r="Z2884" s="77"/>
      <c r="AA2884" s="77"/>
      <c r="AB2884" s="77"/>
      <c r="AC2884" s="82" t="s">
        <v>7718</v>
      </c>
      <c r="AD2884" s="77" t="s">
        <v>7745</v>
      </c>
      <c r="AE2884" s="80" t="str">
        <f>HYPERLINK("https://twitter.com/leiamoneytimes/status/1685968837936578561")</f>
        <v>https://twitter.com/leiamoneytimes/status/1685968837936578561</v>
      </c>
      <c r="AF2884" s="79">
        <v>45138.459131944444</v>
      </c>
      <c r="AG2884" s="85">
        <v>45138</v>
      </c>
      <c r="AH2884" s="82" t="s">
        <v>10354</v>
      </c>
      <c r="AI2884" s="77" t="b">
        <v>0</v>
      </c>
      <c r="AJ2884" s="77"/>
      <c r="AK2884" s="77"/>
      <c r="AL2884" s="77"/>
      <c r="AM2884" s="77"/>
      <c r="AN2884" s="77"/>
      <c r="AO2884" s="77"/>
      <c r="AP2884" s="77"/>
      <c r="AQ2884" s="77"/>
      <c r="AR2884" s="77"/>
      <c r="AS2884" s="77"/>
      <c r="AT2884" s="77"/>
      <c r="AU2884" s="77"/>
      <c r="AV2884" s="80" t="str">
        <f>HYPERLINK("https://pbs.twimg.com/profile_images/1559883556846977024/bXHnQFY0_normal.jpg")</f>
        <v>https://pbs.twimg.com/profile_images/1559883556846977024/bXHnQFY0_normal.jpg</v>
      </c>
      <c r="AW2884" s="82" t="s">
        <v>15039</v>
      </c>
      <c r="AX2884" s="82" t="s">
        <v>15039</v>
      </c>
      <c r="AY2884" s="77"/>
      <c r="AZ2884" s="82" t="s">
        <v>15804</v>
      </c>
      <c r="BA2884" s="82" t="s">
        <v>15804</v>
      </c>
      <c r="BB2884" s="82" t="s">
        <v>15804</v>
      </c>
      <c r="BC2884" s="82" t="s">
        <v>15039</v>
      </c>
      <c r="BD2884" s="77">
        <v>51150679</v>
      </c>
      <c r="BE2884" s="77"/>
      <c r="BF2884" s="77"/>
      <c r="BG2884" s="77"/>
      <c r="BH2884" s="77"/>
      <c r="BI2884" s="77"/>
    </row>
    <row r="2885" spans="1:61" x14ac:dyDescent="0.25">
      <c r="A2885" s="62" t="s">
        <v>1027</v>
      </c>
      <c r="B2885" s="62" t="s">
        <v>1027</v>
      </c>
      <c r="C2885" s="63"/>
      <c r="D2885" s="64"/>
      <c r="E2885" s="65"/>
      <c r="F2885" s="66"/>
      <c r="G2885" s="63"/>
      <c r="H2885" s="67"/>
      <c r="I2885" s="68"/>
      <c r="J2885" s="68"/>
      <c r="K2885" s="32"/>
      <c r="L2885" s="75">
        <v>2885</v>
      </c>
      <c r="M2885" s="75"/>
      <c r="N2885" s="70"/>
      <c r="O2885" s="77" t="s">
        <v>179</v>
      </c>
      <c r="P2885" s="79">
        <v>45137.734247685185</v>
      </c>
      <c r="Q2885" s="77" t="s">
        <v>3897</v>
      </c>
      <c r="R2885" s="77">
        <v>0</v>
      </c>
      <c r="S2885" s="77">
        <v>0</v>
      </c>
      <c r="T2885" s="77">
        <v>1</v>
      </c>
      <c r="U2885" s="77">
        <v>0</v>
      </c>
      <c r="V2885" s="77">
        <v>1686</v>
      </c>
      <c r="W2885" s="82" t="s">
        <v>5880</v>
      </c>
      <c r="X2885" s="80" t="str">
        <f>HYPERLINK("https://www.moneytimes.com.br/imposto-de-renda-2023-receita-paga-3o-lote-da-restituicao-nesta-segunda-31-saiba-mais/")</f>
        <v>https://www.moneytimes.com.br/imposto-de-renda-2023-receita-paga-3o-lote-da-restituicao-nesta-segunda-31-saiba-mais/</v>
      </c>
      <c r="Y2885" s="77" t="s">
        <v>6002</v>
      </c>
      <c r="Z2885" s="77"/>
      <c r="AA2885" s="77"/>
      <c r="AB2885" s="77"/>
      <c r="AC2885" s="82" t="s">
        <v>7718</v>
      </c>
      <c r="AD2885" s="77" t="s">
        <v>7745</v>
      </c>
      <c r="AE2885" s="80" t="str">
        <f>HYPERLINK("https://twitter.com/leiamoneytimes/status/1685706149260066817")</f>
        <v>https://twitter.com/leiamoneytimes/status/1685706149260066817</v>
      </c>
      <c r="AF2885" s="79">
        <v>45137.734247685185</v>
      </c>
      <c r="AG2885" s="85">
        <v>45137</v>
      </c>
      <c r="AH2885" s="82" t="s">
        <v>10355</v>
      </c>
      <c r="AI2885" s="77" t="b">
        <v>0</v>
      </c>
      <c r="AJ2885" s="77"/>
      <c r="AK2885" s="77"/>
      <c r="AL2885" s="77"/>
      <c r="AM2885" s="77"/>
      <c r="AN2885" s="77"/>
      <c r="AO2885" s="77"/>
      <c r="AP2885" s="77"/>
      <c r="AQ2885" s="77"/>
      <c r="AR2885" s="77"/>
      <c r="AS2885" s="77"/>
      <c r="AT2885" s="77"/>
      <c r="AU2885" s="77"/>
      <c r="AV2885" s="80" t="str">
        <f>HYPERLINK("https://pbs.twimg.com/profile_images/1559883556846977024/bXHnQFY0_normal.jpg")</f>
        <v>https://pbs.twimg.com/profile_images/1559883556846977024/bXHnQFY0_normal.jpg</v>
      </c>
      <c r="AW2885" s="82" t="s">
        <v>15040</v>
      </c>
      <c r="AX2885" s="82" t="s">
        <v>15040</v>
      </c>
      <c r="AY2885" s="77"/>
      <c r="AZ2885" s="82" t="s">
        <v>15804</v>
      </c>
      <c r="BA2885" s="82" t="s">
        <v>15804</v>
      </c>
      <c r="BB2885" s="82" t="s">
        <v>15804</v>
      </c>
      <c r="BC2885" s="82" t="s">
        <v>15040</v>
      </c>
      <c r="BD2885" s="77">
        <v>51150679</v>
      </c>
      <c r="BE2885" s="77"/>
      <c r="BF2885" s="77"/>
      <c r="BG2885" s="77"/>
      <c r="BH2885" s="77"/>
      <c r="BI2885" s="77"/>
    </row>
    <row r="2886" spans="1:61" x14ac:dyDescent="0.25">
      <c r="A2886" s="62" t="s">
        <v>1027</v>
      </c>
      <c r="B2886" s="62" t="s">
        <v>1027</v>
      </c>
      <c r="C2886" s="63"/>
      <c r="D2886" s="64"/>
      <c r="E2886" s="65"/>
      <c r="F2886" s="66"/>
      <c r="G2886" s="63"/>
      <c r="H2886" s="67"/>
      <c r="I2886" s="68"/>
      <c r="J2886" s="68"/>
      <c r="K2886" s="32"/>
      <c r="L2886" s="75">
        <v>2886</v>
      </c>
      <c r="M2886" s="75"/>
      <c r="N2886" s="70"/>
      <c r="O2886" s="77" t="s">
        <v>179</v>
      </c>
      <c r="P2886" s="79">
        <v>45131.502129629633</v>
      </c>
      <c r="Q2886" s="77" t="s">
        <v>3898</v>
      </c>
      <c r="R2886" s="77">
        <v>0</v>
      </c>
      <c r="S2886" s="77">
        <v>1</v>
      </c>
      <c r="T2886" s="77">
        <v>1</v>
      </c>
      <c r="U2886" s="77">
        <v>1</v>
      </c>
      <c r="V2886" s="77">
        <v>1342</v>
      </c>
      <c r="W2886" s="82" t="s">
        <v>5895</v>
      </c>
      <c r="X2886" s="80" t="str">
        <f>HYPERLINK("https://www.moneytimes.com.br/restituicao-do-imposto-de-renda-2023-3o-lote-abre-para-consulta-veja-se-voce-recebe-em-31-de-julho/")</f>
        <v>https://www.moneytimes.com.br/restituicao-do-imposto-de-renda-2023-3o-lote-abre-para-consulta-veja-se-voce-recebe-em-31-de-julho/</v>
      </c>
      <c r="Y2886" s="77" t="s">
        <v>6002</v>
      </c>
      <c r="Z2886" s="77"/>
      <c r="AA2886" s="77"/>
      <c r="AB2886" s="77"/>
      <c r="AC2886" s="82" t="s">
        <v>7718</v>
      </c>
      <c r="AD2886" s="77" t="s">
        <v>7745</v>
      </c>
      <c r="AE2886" s="80" t="str">
        <f>HYPERLINK("https://twitter.com/leiamoneytimes/status/1683447704284811265")</f>
        <v>https://twitter.com/leiamoneytimes/status/1683447704284811265</v>
      </c>
      <c r="AF2886" s="79">
        <v>45131.502129629633</v>
      </c>
      <c r="AG2886" s="85">
        <v>45131</v>
      </c>
      <c r="AH2886" s="82" t="s">
        <v>10356</v>
      </c>
      <c r="AI2886" s="77" t="b">
        <v>0</v>
      </c>
      <c r="AJ2886" s="77"/>
      <c r="AK2886" s="77"/>
      <c r="AL2886" s="77"/>
      <c r="AM2886" s="77"/>
      <c r="AN2886" s="77"/>
      <c r="AO2886" s="77"/>
      <c r="AP2886" s="77"/>
      <c r="AQ2886" s="77"/>
      <c r="AR2886" s="77"/>
      <c r="AS2886" s="77"/>
      <c r="AT2886" s="77"/>
      <c r="AU2886" s="77"/>
      <c r="AV2886" s="80" t="str">
        <f>HYPERLINK("https://pbs.twimg.com/profile_images/1559883556846977024/bXHnQFY0_normal.jpg")</f>
        <v>https://pbs.twimg.com/profile_images/1559883556846977024/bXHnQFY0_normal.jpg</v>
      </c>
      <c r="AW2886" s="82" t="s">
        <v>15041</v>
      </c>
      <c r="AX2886" s="82" t="s">
        <v>15041</v>
      </c>
      <c r="AY2886" s="77"/>
      <c r="AZ2886" s="82" t="s">
        <v>15804</v>
      </c>
      <c r="BA2886" s="82" t="s">
        <v>15804</v>
      </c>
      <c r="BB2886" s="82" t="s">
        <v>15804</v>
      </c>
      <c r="BC2886" s="82" t="s">
        <v>15041</v>
      </c>
      <c r="BD2886" s="77">
        <v>51150679</v>
      </c>
      <c r="BE2886" s="77"/>
      <c r="BF2886" s="77"/>
      <c r="BG2886" s="77"/>
      <c r="BH2886" s="77"/>
      <c r="BI2886" s="77"/>
    </row>
    <row r="2887" spans="1:61" x14ac:dyDescent="0.25">
      <c r="A2887" s="62" t="s">
        <v>1027</v>
      </c>
      <c r="B2887" s="62" t="s">
        <v>1027</v>
      </c>
      <c r="C2887" s="63"/>
      <c r="D2887" s="64"/>
      <c r="E2887" s="65"/>
      <c r="F2887" s="66"/>
      <c r="G2887" s="63"/>
      <c r="H2887" s="67"/>
      <c r="I2887" s="68"/>
      <c r="J2887" s="68"/>
      <c r="K2887" s="32"/>
      <c r="L2887" s="75">
        <v>2887</v>
      </c>
      <c r="M2887" s="75"/>
      <c r="N2887" s="70"/>
      <c r="O2887" s="77" t="s">
        <v>179</v>
      </c>
      <c r="P2887" s="79">
        <v>45130.827268518522</v>
      </c>
      <c r="Q2887" s="77" t="s">
        <v>3899</v>
      </c>
      <c r="R2887" s="77">
        <v>0</v>
      </c>
      <c r="S2887" s="77">
        <v>8</v>
      </c>
      <c r="T2887" s="77">
        <v>1</v>
      </c>
      <c r="U2887" s="77">
        <v>0</v>
      </c>
      <c r="V2887" s="77">
        <v>2435</v>
      </c>
      <c r="W2887" s="82" t="s">
        <v>5896</v>
      </c>
      <c r="X2887" s="80" t="str">
        <f>HYPERLINK("https://www.moneytimes.com.br/ninguem-acerta-a-mega-sena-e-premio-acumula-em-r-70-milhoes/")</f>
        <v>https://www.moneytimes.com.br/ninguem-acerta-a-mega-sena-e-premio-acumula-em-r-70-milhoes/</v>
      </c>
      <c r="Y2887" s="77" t="s">
        <v>6002</v>
      </c>
      <c r="Z2887" s="77"/>
      <c r="AA2887" s="77"/>
      <c r="AB2887" s="77"/>
      <c r="AC2887" s="82" t="s">
        <v>7718</v>
      </c>
      <c r="AD2887" s="77" t="s">
        <v>7745</v>
      </c>
      <c r="AE2887" s="80" t="str">
        <f>HYPERLINK("https://twitter.com/leiamoneytimes/status/1683203142781902848")</f>
        <v>https://twitter.com/leiamoneytimes/status/1683203142781902848</v>
      </c>
      <c r="AF2887" s="79">
        <v>45130.827268518522</v>
      </c>
      <c r="AG2887" s="85">
        <v>45130</v>
      </c>
      <c r="AH2887" s="82" t="s">
        <v>10357</v>
      </c>
      <c r="AI2887" s="77" t="b">
        <v>0</v>
      </c>
      <c r="AJ2887" s="77"/>
      <c r="AK2887" s="77"/>
      <c r="AL2887" s="77"/>
      <c r="AM2887" s="77"/>
      <c r="AN2887" s="77"/>
      <c r="AO2887" s="77"/>
      <c r="AP2887" s="77"/>
      <c r="AQ2887" s="77"/>
      <c r="AR2887" s="77"/>
      <c r="AS2887" s="77"/>
      <c r="AT2887" s="77"/>
      <c r="AU2887" s="77"/>
      <c r="AV2887" s="80" t="str">
        <f>HYPERLINK("https://pbs.twimg.com/profile_images/1559883556846977024/bXHnQFY0_normal.jpg")</f>
        <v>https://pbs.twimg.com/profile_images/1559883556846977024/bXHnQFY0_normal.jpg</v>
      </c>
      <c r="AW2887" s="82" t="s">
        <v>15042</v>
      </c>
      <c r="AX2887" s="82" t="s">
        <v>15042</v>
      </c>
      <c r="AY2887" s="77"/>
      <c r="AZ2887" s="82" t="s">
        <v>15804</v>
      </c>
      <c r="BA2887" s="82" t="s">
        <v>15804</v>
      </c>
      <c r="BB2887" s="82" t="s">
        <v>15804</v>
      </c>
      <c r="BC2887" s="82" t="s">
        <v>15042</v>
      </c>
      <c r="BD2887" s="77">
        <v>51150679</v>
      </c>
      <c r="BE2887" s="77"/>
      <c r="BF2887" s="77"/>
      <c r="BG2887" s="77"/>
      <c r="BH2887" s="77"/>
      <c r="BI2887" s="77"/>
    </row>
    <row r="2888" spans="1:61" x14ac:dyDescent="0.25">
      <c r="A2888" s="62" t="s">
        <v>1027</v>
      </c>
      <c r="B2888" s="62" t="s">
        <v>1027</v>
      </c>
      <c r="C2888" s="63"/>
      <c r="D2888" s="64"/>
      <c r="E2888" s="65"/>
      <c r="F2888" s="66"/>
      <c r="G2888" s="63"/>
      <c r="H2888" s="67"/>
      <c r="I2888" s="68"/>
      <c r="J2888" s="68"/>
      <c r="K2888" s="32"/>
      <c r="L2888" s="75">
        <v>2888</v>
      </c>
      <c r="M2888" s="75"/>
      <c r="N2888" s="70"/>
      <c r="O2888" s="77" t="s">
        <v>179</v>
      </c>
      <c r="P2888" s="79">
        <v>45104.766574074078</v>
      </c>
      <c r="Q2888" s="77" t="s">
        <v>3900</v>
      </c>
      <c r="R2888" s="77">
        <v>0</v>
      </c>
      <c r="S2888" s="77">
        <v>6</v>
      </c>
      <c r="T2888" s="77">
        <v>1</v>
      </c>
      <c r="U2888" s="77">
        <v>0</v>
      </c>
      <c r="V2888" s="77">
        <v>1258</v>
      </c>
      <c r="W2888" s="82" t="s">
        <v>5897</v>
      </c>
      <c r="X2888" s="80" t="str">
        <f>HYPERLINK("https://www.moneytimes.com.br/passagem-aerea-azul-azul4-sai-na-frente-de-gol-goll4-e-latam-com-os-melhores-precos-confira/")</f>
        <v>https://www.moneytimes.com.br/passagem-aerea-azul-azul4-sai-na-frente-de-gol-goll4-e-latam-com-os-melhores-precos-confira/</v>
      </c>
      <c r="Y2888" s="77" t="s">
        <v>6002</v>
      </c>
      <c r="Z2888" s="77"/>
      <c r="AA2888" s="77"/>
      <c r="AB2888" s="77"/>
      <c r="AC2888" s="82" t="s">
        <v>7718</v>
      </c>
      <c r="AD2888" s="77" t="s">
        <v>7745</v>
      </c>
      <c r="AE2888" s="80" t="str">
        <f>HYPERLINK("https://twitter.com/leiamoneytimes/status/1673759063186743318")</f>
        <v>https://twitter.com/leiamoneytimes/status/1673759063186743318</v>
      </c>
      <c r="AF2888" s="79">
        <v>45104.766574074078</v>
      </c>
      <c r="AG2888" s="85">
        <v>45104</v>
      </c>
      <c r="AH2888" s="82" t="s">
        <v>10358</v>
      </c>
      <c r="AI2888" s="77" t="b">
        <v>0</v>
      </c>
      <c r="AJ2888" s="77"/>
      <c r="AK2888" s="77"/>
      <c r="AL2888" s="77"/>
      <c r="AM2888" s="77"/>
      <c r="AN2888" s="77"/>
      <c r="AO2888" s="77"/>
      <c r="AP2888" s="77"/>
      <c r="AQ2888" s="77"/>
      <c r="AR2888" s="77"/>
      <c r="AS2888" s="77"/>
      <c r="AT2888" s="77"/>
      <c r="AU2888" s="77"/>
      <c r="AV2888" s="80" t="str">
        <f>HYPERLINK("https://pbs.twimg.com/profile_images/1559883556846977024/bXHnQFY0_normal.jpg")</f>
        <v>https://pbs.twimg.com/profile_images/1559883556846977024/bXHnQFY0_normal.jpg</v>
      </c>
      <c r="AW2888" s="82" t="s">
        <v>15043</v>
      </c>
      <c r="AX2888" s="82" t="s">
        <v>15043</v>
      </c>
      <c r="AY2888" s="77"/>
      <c r="AZ2888" s="82" t="s">
        <v>15804</v>
      </c>
      <c r="BA2888" s="82" t="s">
        <v>15804</v>
      </c>
      <c r="BB2888" s="82" t="s">
        <v>15804</v>
      </c>
      <c r="BC2888" s="82" t="s">
        <v>15043</v>
      </c>
      <c r="BD2888" s="77">
        <v>51150679</v>
      </c>
      <c r="BE2888" s="77"/>
      <c r="BF2888" s="77"/>
      <c r="BG2888" s="77"/>
      <c r="BH2888" s="77"/>
      <c r="BI2888" s="77"/>
    </row>
    <row r="2889" spans="1:61" x14ac:dyDescent="0.25">
      <c r="A2889" s="62" t="s">
        <v>1027</v>
      </c>
      <c r="B2889" s="62" t="s">
        <v>1027</v>
      </c>
      <c r="C2889" s="63"/>
      <c r="D2889" s="64"/>
      <c r="E2889" s="65"/>
      <c r="F2889" s="66"/>
      <c r="G2889" s="63"/>
      <c r="H2889" s="67"/>
      <c r="I2889" s="68"/>
      <c r="J2889" s="68"/>
      <c r="K2889" s="32"/>
      <c r="L2889" s="75">
        <v>2889</v>
      </c>
      <c r="M2889" s="75"/>
      <c r="N2889" s="70"/>
      <c r="O2889" s="77" t="s">
        <v>179</v>
      </c>
      <c r="P2889" s="79">
        <v>45103.577222222222</v>
      </c>
      <c r="Q2889" s="77" t="s">
        <v>3901</v>
      </c>
      <c r="R2889" s="77">
        <v>0</v>
      </c>
      <c r="S2889" s="77">
        <v>3</v>
      </c>
      <c r="T2889" s="77">
        <v>1</v>
      </c>
      <c r="U2889" s="77">
        <v>0</v>
      </c>
      <c r="V2889" s="77">
        <v>1048</v>
      </c>
      <c r="W2889" s="82" t="s">
        <v>5865</v>
      </c>
      <c r="X2889" s="80" t="str">
        <f>HYPERLINK("https://www.moneytimes.com.br/restituicao-do-imposto-de-renda-2023-confira-se-voce-recebe-em-30-de-junho/")</f>
        <v>https://www.moneytimes.com.br/restituicao-do-imposto-de-renda-2023-confira-se-voce-recebe-em-30-de-junho/</v>
      </c>
      <c r="Y2889" s="77" t="s">
        <v>6002</v>
      </c>
      <c r="Z2889" s="77"/>
      <c r="AA2889" s="77"/>
      <c r="AB2889" s="77"/>
      <c r="AC2889" s="82" t="s">
        <v>7718</v>
      </c>
      <c r="AD2889" s="77" t="s">
        <v>7745</v>
      </c>
      <c r="AE2889" s="80" t="str">
        <f>HYPERLINK("https://twitter.com/leiamoneytimes/status/1673328057388507147")</f>
        <v>https://twitter.com/leiamoneytimes/status/1673328057388507147</v>
      </c>
      <c r="AF2889" s="79">
        <v>45103.577222222222</v>
      </c>
      <c r="AG2889" s="85">
        <v>45103</v>
      </c>
      <c r="AH2889" s="82" t="s">
        <v>10359</v>
      </c>
      <c r="AI2889" s="77" t="b">
        <v>0</v>
      </c>
      <c r="AJ2889" s="77"/>
      <c r="AK2889" s="77"/>
      <c r="AL2889" s="77"/>
      <c r="AM2889" s="77"/>
      <c r="AN2889" s="77"/>
      <c r="AO2889" s="77"/>
      <c r="AP2889" s="77"/>
      <c r="AQ2889" s="77"/>
      <c r="AR2889" s="77"/>
      <c r="AS2889" s="77"/>
      <c r="AT2889" s="77"/>
      <c r="AU2889" s="77"/>
      <c r="AV2889" s="80" t="str">
        <f>HYPERLINK("https://pbs.twimg.com/profile_images/1559883556846977024/bXHnQFY0_normal.jpg")</f>
        <v>https://pbs.twimg.com/profile_images/1559883556846977024/bXHnQFY0_normal.jpg</v>
      </c>
      <c r="AW2889" s="82" t="s">
        <v>15044</v>
      </c>
      <c r="AX2889" s="82" t="s">
        <v>15044</v>
      </c>
      <c r="AY2889" s="77"/>
      <c r="AZ2889" s="82" t="s">
        <v>15804</v>
      </c>
      <c r="BA2889" s="82" t="s">
        <v>15804</v>
      </c>
      <c r="BB2889" s="82" t="s">
        <v>15804</v>
      </c>
      <c r="BC2889" s="82" t="s">
        <v>15044</v>
      </c>
      <c r="BD2889" s="77">
        <v>51150679</v>
      </c>
      <c r="BE2889" s="77"/>
      <c r="BF2889" s="77"/>
      <c r="BG2889" s="77"/>
      <c r="BH2889" s="77"/>
      <c r="BI2889" s="77"/>
    </row>
    <row r="2890" spans="1:61" x14ac:dyDescent="0.25">
      <c r="A2890" s="62" t="s">
        <v>1027</v>
      </c>
      <c r="B2890" s="62" t="s">
        <v>1027</v>
      </c>
      <c r="C2890" s="63"/>
      <c r="D2890" s="64"/>
      <c r="E2890" s="65"/>
      <c r="F2890" s="66"/>
      <c r="G2890" s="63"/>
      <c r="H2890" s="67"/>
      <c r="I2890" s="68"/>
      <c r="J2890" s="68"/>
      <c r="K2890" s="32"/>
      <c r="L2890" s="75">
        <v>2890</v>
      </c>
      <c r="M2890" s="75"/>
      <c r="N2890" s="70"/>
      <c r="O2890" s="77" t="s">
        <v>179</v>
      </c>
      <c r="P2890" s="79">
        <v>45083.918310185189</v>
      </c>
      <c r="Q2890" s="77" t="s">
        <v>3902</v>
      </c>
      <c r="R2890" s="77">
        <v>0</v>
      </c>
      <c r="S2890" s="77">
        <v>4</v>
      </c>
      <c r="T2890" s="77">
        <v>0</v>
      </c>
      <c r="U2890" s="77">
        <v>0</v>
      </c>
      <c r="V2890" s="77">
        <v>1722</v>
      </c>
      <c r="W2890" s="82" t="s">
        <v>5898</v>
      </c>
      <c r="X2890" s="80" t="str">
        <f>HYPERLINK("https://www.moneytimes.com.br/itau-itub4-o-novo-leilao-de-casas-apartamentos-e-terrenos-do-banco/")</f>
        <v>https://www.moneytimes.com.br/itau-itub4-o-novo-leilao-de-casas-apartamentos-e-terrenos-do-banco/</v>
      </c>
      <c r="Y2890" s="77" t="s">
        <v>6002</v>
      </c>
      <c r="Z2890" s="77"/>
      <c r="AA2890" s="77"/>
      <c r="AB2890" s="77"/>
      <c r="AC2890" s="82" t="s">
        <v>7718</v>
      </c>
      <c r="AD2890" s="77" t="s">
        <v>7745</v>
      </c>
      <c r="AE2890" s="80" t="str">
        <f>HYPERLINK("https://twitter.com/leiamoneytimes/status/1666203904420245504")</f>
        <v>https://twitter.com/leiamoneytimes/status/1666203904420245504</v>
      </c>
      <c r="AF2890" s="79">
        <v>45083.918310185189</v>
      </c>
      <c r="AG2890" s="85">
        <v>45083</v>
      </c>
      <c r="AH2890" s="82" t="s">
        <v>10360</v>
      </c>
      <c r="AI2890" s="77" t="b">
        <v>0</v>
      </c>
      <c r="AJ2890" s="77"/>
      <c r="AK2890" s="77"/>
      <c r="AL2890" s="77"/>
      <c r="AM2890" s="77"/>
      <c r="AN2890" s="77"/>
      <c r="AO2890" s="77"/>
      <c r="AP2890" s="77"/>
      <c r="AQ2890" s="77"/>
      <c r="AR2890" s="77"/>
      <c r="AS2890" s="77"/>
      <c r="AT2890" s="77"/>
      <c r="AU2890" s="77"/>
      <c r="AV2890" s="80" t="str">
        <f>HYPERLINK("https://pbs.twimg.com/profile_images/1559883556846977024/bXHnQFY0_normal.jpg")</f>
        <v>https://pbs.twimg.com/profile_images/1559883556846977024/bXHnQFY0_normal.jpg</v>
      </c>
      <c r="AW2890" s="82" t="s">
        <v>15045</v>
      </c>
      <c r="AX2890" s="82" t="s">
        <v>15045</v>
      </c>
      <c r="AY2890" s="77"/>
      <c r="AZ2890" s="82" t="s">
        <v>15804</v>
      </c>
      <c r="BA2890" s="82" t="s">
        <v>15804</v>
      </c>
      <c r="BB2890" s="82" t="s">
        <v>15804</v>
      </c>
      <c r="BC2890" s="82" t="s">
        <v>15045</v>
      </c>
      <c r="BD2890" s="77">
        <v>51150679</v>
      </c>
      <c r="BE2890" s="77"/>
      <c r="BF2890" s="77"/>
      <c r="BG2890" s="77"/>
      <c r="BH2890" s="77"/>
      <c r="BI2890" s="77"/>
    </row>
    <row r="2891" spans="1:61" x14ac:dyDescent="0.25">
      <c r="A2891" s="62" t="s">
        <v>1027</v>
      </c>
      <c r="B2891" s="62" t="s">
        <v>1027</v>
      </c>
      <c r="C2891" s="63"/>
      <c r="D2891" s="64"/>
      <c r="E2891" s="65"/>
      <c r="F2891" s="66"/>
      <c r="G2891" s="63"/>
      <c r="H2891" s="67"/>
      <c r="I2891" s="68"/>
      <c r="J2891" s="68"/>
      <c r="K2891" s="32"/>
      <c r="L2891" s="75">
        <v>2891</v>
      </c>
      <c r="M2891" s="75"/>
      <c r="N2891" s="70"/>
      <c r="O2891" s="77" t="s">
        <v>179</v>
      </c>
      <c r="P2891" s="79">
        <v>45068.919849537036</v>
      </c>
      <c r="Q2891" s="77" t="s">
        <v>3903</v>
      </c>
      <c r="R2891" s="77">
        <v>0</v>
      </c>
      <c r="S2891" s="77">
        <v>5</v>
      </c>
      <c r="T2891" s="77">
        <v>0</v>
      </c>
      <c r="U2891" s="77">
        <v>0</v>
      </c>
      <c r="V2891" s="77">
        <v>1463</v>
      </c>
      <c r="W2891" s="82" t="s">
        <v>5880</v>
      </c>
      <c r="X2891" s="80" t="str">
        <f>HYPERLINK("https://www.moneytimes.com.br/imposto-de-renda-autonomos-e-informais-tambem-devem-declarar-veja-como/")</f>
        <v>https://www.moneytimes.com.br/imposto-de-renda-autonomos-e-informais-tambem-devem-declarar-veja-como/</v>
      </c>
      <c r="Y2891" s="77" t="s">
        <v>6002</v>
      </c>
      <c r="Z2891" s="77"/>
      <c r="AA2891" s="77"/>
      <c r="AB2891" s="77"/>
      <c r="AC2891" s="82" t="s">
        <v>7718</v>
      </c>
      <c r="AD2891" s="77" t="s">
        <v>7745</v>
      </c>
      <c r="AE2891" s="80" t="str">
        <f>HYPERLINK("https://twitter.com/leiamoneytimes/status/1660768645973196801")</f>
        <v>https://twitter.com/leiamoneytimes/status/1660768645973196801</v>
      </c>
      <c r="AF2891" s="79">
        <v>45068.919849537036</v>
      </c>
      <c r="AG2891" s="85">
        <v>45068</v>
      </c>
      <c r="AH2891" s="82" t="s">
        <v>10361</v>
      </c>
      <c r="AI2891" s="77" t="b">
        <v>0</v>
      </c>
      <c r="AJ2891" s="77"/>
      <c r="AK2891" s="77"/>
      <c r="AL2891" s="77"/>
      <c r="AM2891" s="77"/>
      <c r="AN2891" s="77"/>
      <c r="AO2891" s="77"/>
      <c r="AP2891" s="77"/>
      <c r="AQ2891" s="77"/>
      <c r="AR2891" s="77"/>
      <c r="AS2891" s="77"/>
      <c r="AT2891" s="77"/>
      <c r="AU2891" s="77"/>
      <c r="AV2891" s="80" t="str">
        <f>HYPERLINK("https://pbs.twimg.com/profile_images/1559883556846977024/bXHnQFY0_normal.jpg")</f>
        <v>https://pbs.twimg.com/profile_images/1559883556846977024/bXHnQFY0_normal.jpg</v>
      </c>
      <c r="AW2891" s="82" t="s">
        <v>15046</v>
      </c>
      <c r="AX2891" s="82" t="s">
        <v>15046</v>
      </c>
      <c r="AY2891" s="77"/>
      <c r="AZ2891" s="82" t="s">
        <v>15804</v>
      </c>
      <c r="BA2891" s="82" t="s">
        <v>15804</v>
      </c>
      <c r="BB2891" s="82" t="s">
        <v>15804</v>
      </c>
      <c r="BC2891" s="82" t="s">
        <v>15046</v>
      </c>
      <c r="BD2891" s="77">
        <v>51150679</v>
      </c>
      <c r="BE2891" s="77"/>
      <c r="BF2891" s="77"/>
      <c r="BG2891" s="77"/>
      <c r="BH2891" s="77"/>
      <c r="BI2891" s="77"/>
    </row>
    <row r="2892" spans="1:61" x14ac:dyDescent="0.25">
      <c r="A2892" s="62" t="s">
        <v>1027</v>
      </c>
      <c r="B2892" s="62" t="s">
        <v>1027</v>
      </c>
      <c r="C2892" s="63"/>
      <c r="D2892" s="64"/>
      <c r="E2892" s="65"/>
      <c r="F2892" s="66"/>
      <c r="G2892" s="63"/>
      <c r="H2892" s="67"/>
      <c r="I2892" s="68"/>
      <c r="J2892" s="68"/>
      <c r="K2892" s="32"/>
      <c r="L2892" s="75">
        <v>2892</v>
      </c>
      <c r="M2892" s="75"/>
      <c r="N2892" s="70"/>
      <c r="O2892" s="77" t="s">
        <v>179</v>
      </c>
      <c r="P2892" s="79">
        <v>45068.688414351855</v>
      </c>
      <c r="Q2892" s="77" t="s">
        <v>3904</v>
      </c>
      <c r="R2892" s="77">
        <v>0</v>
      </c>
      <c r="S2892" s="77">
        <v>5</v>
      </c>
      <c r="T2892" s="77">
        <v>0</v>
      </c>
      <c r="U2892" s="77">
        <v>0</v>
      </c>
      <c r="V2892" s="77">
        <v>1358</v>
      </c>
      <c r="W2892" s="82" t="s">
        <v>5865</v>
      </c>
      <c r="X2892" s="80" t="str">
        <f>HYPERLINK("https://www.moneytimes.com.br/imposto-de-renda-veja-o-valor-da-multa-por-atraso/")</f>
        <v>https://www.moneytimes.com.br/imposto-de-renda-veja-o-valor-da-multa-por-atraso/</v>
      </c>
      <c r="Y2892" s="77" t="s">
        <v>6002</v>
      </c>
      <c r="Z2892" s="77"/>
      <c r="AA2892" s="77"/>
      <c r="AB2892" s="77"/>
      <c r="AC2892" s="82" t="s">
        <v>7718</v>
      </c>
      <c r="AD2892" s="77" t="s">
        <v>7745</v>
      </c>
      <c r="AE2892" s="80" t="str">
        <f>HYPERLINK("https://twitter.com/leiamoneytimes/status/1660684777505058818")</f>
        <v>https://twitter.com/leiamoneytimes/status/1660684777505058818</v>
      </c>
      <c r="AF2892" s="79">
        <v>45068.688414351855</v>
      </c>
      <c r="AG2892" s="85">
        <v>45068</v>
      </c>
      <c r="AH2892" s="82" t="s">
        <v>10362</v>
      </c>
      <c r="AI2892" s="77" t="b">
        <v>0</v>
      </c>
      <c r="AJ2892" s="77"/>
      <c r="AK2892" s="77"/>
      <c r="AL2892" s="77"/>
      <c r="AM2892" s="77"/>
      <c r="AN2892" s="77"/>
      <c r="AO2892" s="77"/>
      <c r="AP2892" s="77"/>
      <c r="AQ2892" s="77"/>
      <c r="AR2892" s="77"/>
      <c r="AS2892" s="77"/>
      <c r="AT2892" s="77"/>
      <c r="AU2892" s="77"/>
      <c r="AV2892" s="80" t="str">
        <f>HYPERLINK("https://pbs.twimg.com/profile_images/1559883556846977024/bXHnQFY0_normal.jpg")</f>
        <v>https://pbs.twimg.com/profile_images/1559883556846977024/bXHnQFY0_normal.jpg</v>
      </c>
      <c r="AW2892" s="82" t="s">
        <v>15047</v>
      </c>
      <c r="AX2892" s="82" t="s">
        <v>15047</v>
      </c>
      <c r="AY2892" s="77"/>
      <c r="AZ2892" s="82" t="s">
        <v>15804</v>
      </c>
      <c r="BA2892" s="82" t="s">
        <v>15804</v>
      </c>
      <c r="BB2892" s="82" t="s">
        <v>15804</v>
      </c>
      <c r="BC2892" s="82" t="s">
        <v>15047</v>
      </c>
      <c r="BD2892" s="77">
        <v>51150679</v>
      </c>
      <c r="BE2892" s="77"/>
      <c r="BF2892" s="77"/>
      <c r="BG2892" s="77"/>
      <c r="BH2892" s="77"/>
      <c r="BI2892" s="77"/>
    </row>
    <row r="2893" spans="1:61" x14ac:dyDescent="0.25">
      <c r="A2893" s="62" t="s">
        <v>1027</v>
      </c>
      <c r="B2893" s="62" t="s">
        <v>1027</v>
      </c>
      <c r="C2893" s="63"/>
      <c r="D2893" s="64"/>
      <c r="E2893" s="65"/>
      <c r="F2893" s="66"/>
      <c r="G2893" s="63"/>
      <c r="H2893" s="67"/>
      <c r="I2893" s="68"/>
      <c r="J2893" s="68"/>
      <c r="K2893" s="32"/>
      <c r="L2893" s="75">
        <v>2893</v>
      </c>
      <c r="M2893" s="75"/>
      <c r="N2893" s="70"/>
      <c r="O2893" s="77" t="s">
        <v>179</v>
      </c>
      <c r="P2893" s="79">
        <v>45065.696701388886</v>
      </c>
      <c r="Q2893" s="77" t="s">
        <v>3905</v>
      </c>
      <c r="R2893" s="77">
        <v>0</v>
      </c>
      <c r="S2893" s="77">
        <v>4</v>
      </c>
      <c r="T2893" s="77">
        <v>0</v>
      </c>
      <c r="U2893" s="77">
        <v>0</v>
      </c>
      <c r="V2893" s="77">
        <v>1280</v>
      </c>
      <c r="W2893" s="82" t="s">
        <v>5858</v>
      </c>
      <c r="X2893" s="80" t="str">
        <f>HYPERLINK("https://www.moneytimes.com.br/imposto-de-renda-6-gastos-que-podem-ser-deduzidos-da-declaracao-e-aumentar-a-restituicao/")</f>
        <v>https://www.moneytimes.com.br/imposto-de-renda-6-gastos-que-podem-ser-deduzidos-da-declaracao-e-aumentar-a-restituicao/</v>
      </c>
      <c r="Y2893" s="77" t="s">
        <v>6002</v>
      </c>
      <c r="Z2893" s="77"/>
      <c r="AA2893" s="77"/>
      <c r="AB2893" s="77"/>
      <c r="AC2893" s="82" t="s">
        <v>7718</v>
      </c>
      <c r="AD2893" s="77" t="s">
        <v>7745</v>
      </c>
      <c r="AE2893" s="80" t="str">
        <f>HYPERLINK("https://twitter.com/leiamoneytimes/status/1659600616295899136")</f>
        <v>https://twitter.com/leiamoneytimes/status/1659600616295899136</v>
      </c>
      <c r="AF2893" s="79">
        <v>45065.696701388886</v>
      </c>
      <c r="AG2893" s="85">
        <v>45065</v>
      </c>
      <c r="AH2893" s="82" t="s">
        <v>10363</v>
      </c>
      <c r="AI2893" s="77" t="b">
        <v>0</v>
      </c>
      <c r="AJ2893" s="77"/>
      <c r="AK2893" s="77"/>
      <c r="AL2893" s="77"/>
      <c r="AM2893" s="77"/>
      <c r="AN2893" s="77"/>
      <c r="AO2893" s="77"/>
      <c r="AP2893" s="77"/>
      <c r="AQ2893" s="77"/>
      <c r="AR2893" s="77"/>
      <c r="AS2893" s="77"/>
      <c r="AT2893" s="77"/>
      <c r="AU2893" s="77"/>
      <c r="AV2893" s="80" t="str">
        <f>HYPERLINK("https://pbs.twimg.com/profile_images/1559883556846977024/bXHnQFY0_normal.jpg")</f>
        <v>https://pbs.twimg.com/profile_images/1559883556846977024/bXHnQFY0_normal.jpg</v>
      </c>
      <c r="AW2893" s="82" t="s">
        <v>15048</v>
      </c>
      <c r="AX2893" s="82" t="s">
        <v>15048</v>
      </c>
      <c r="AY2893" s="77"/>
      <c r="AZ2893" s="82" t="s">
        <v>15804</v>
      </c>
      <c r="BA2893" s="82" t="s">
        <v>15804</v>
      </c>
      <c r="BB2893" s="82" t="s">
        <v>15804</v>
      </c>
      <c r="BC2893" s="82" t="s">
        <v>15048</v>
      </c>
      <c r="BD2893" s="77">
        <v>51150679</v>
      </c>
      <c r="BE2893" s="77"/>
      <c r="BF2893" s="77"/>
      <c r="BG2893" s="77"/>
      <c r="BH2893" s="77"/>
      <c r="BI2893" s="77"/>
    </row>
    <row r="2894" spans="1:61" x14ac:dyDescent="0.25">
      <c r="A2894" s="62" t="s">
        <v>1027</v>
      </c>
      <c r="B2894" s="62" t="s">
        <v>1027</v>
      </c>
      <c r="C2894" s="63"/>
      <c r="D2894" s="64"/>
      <c r="E2894" s="65"/>
      <c r="F2894" s="66"/>
      <c r="G2894" s="63"/>
      <c r="H2894" s="67"/>
      <c r="I2894" s="68"/>
      <c r="J2894" s="68"/>
      <c r="K2894" s="32"/>
      <c r="L2894" s="75">
        <v>2894</v>
      </c>
      <c r="M2894" s="75"/>
      <c r="N2894" s="70"/>
      <c r="O2894" s="77" t="s">
        <v>179</v>
      </c>
      <c r="P2894" s="79">
        <v>45065.541620370372</v>
      </c>
      <c r="Q2894" s="77" t="s">
        <v>3906</v>
      </c>
      <c r="R2894" s="77">
        <v>0</v>
      </c>
      <c r="S2894" s="77">
        <v>1</v>
      </c>
      <c r="T2894" s="77">
        <v>0</v>
      </c>
      <c r="U2894" s="77">
        <v>0</v>
      </c>
      <c r="V2894" s="77">
        <v>889</v>
      </c>
      <c r="W2894" s="82" t="s">
        <v>5865</v>
      </c>
      <c r="X2894" s="80" t="str">
        <f>HYPERLINK("https://www.moneytimes.com.br/falsa-restituicao-do-imposto-de-renda-receita-federal-alerta-para-golpes/")</f>
        <v>https://www.moneytimes.com.br/falsa-restituicao-do-imposto-de-renda-receita-federal-alerta-para-golpes/</v>
      </c>
      <c r="Y2894" s="77" t="s">
        <v>6002</v>
      </c>
      <c r="Z2894" s="77"/>
      <c r="AA2894" s="77"/>
      <c r="AB2894" s="77"/>
      <c r="AC2894" s="82" t="s">
        <v>7718</v>
      </c>
      <c r="AD2894" s="77" t="s">
        <v>7745</v>
      </c>
      <c r="AE2894" s="80" t="str">
        <f>HYPERLINK("https://twitter.com/leiamoneytimes/status/1659544418838249474")</f>
        <v>https://twitter.com/leiamoneytimes/status/1659544418838249474</v>
      </c>
      <c r="AF2894" s="79">
        <v>45065.541620370372</v>
      </c>
      <c r="AG2894" s="85">
        <v>45065</v>
      </c>
      <c r="AH2894" s="82" t="s">
        <v>10364</v>
      </c>
      <c r="AI2894" s="77" t="b">
        <v>0</v>
      </c>
      <c r="AJ2894" s="77"/>
      <c r="AK2894" s="77"/>
      <c r="AL2894" s="77"/>
      <c r="AM2894" s="77"/>
      <c r="AN2894" s="77"/>
      <c r="AO2894" s="77"/>
      <c r="AP2894" s="77"/>
      <c r="AQ2894" s="77"/>
      <c r="AR2894" s="77"/>
      <c r="AS2894" s="77"/>
      <c r="AT2894" s="77"/>
      <c r="AU2894" s="77"/>
      <c r="AV2894" s="80" t="str">
        <f>HYPERLINK("https://pbs.twimg.com/profile_images/1559883556846977024/bXHnQFY0_normal.jpg")</f>
        <v>https://pbs.twimg.com/profile_images/1559883556846977024/bXHnQFY0_normal.jpg</v>
      </c>
      <c r="AW2894" s="82" t="s">
        <v>15049</v>
      </c>
      <c r="AX2894" s="82" t="s">
        <v>15049</v>
      </c>
      <c r="AY2894" s="77"/>
      <c r="AZ2894" s="82" t="s">
        <v>15804</v>
      </c>
      <c r="BA2894" s="82" t="s">
        <v>15804</v>
      </c>
      <c r="BB2894" s="82" t="s">
        <v>15804</v>
      </c>
      <c r="BC2894" s="82" t="s">
        <v>15049</v>
      </c>
      <c r="BD2894" s="77">
        <v>51150679</v>
      </c>
      <c r="BE2894" s="77"/>
      <c r="BF2894" s="77"/>
      <c r="BG2894" s="77"/>
      <c r="BH2894" s="77"/>
      <c r="BI2894" s="77"/>
    </row>
    <row r="2895" spans="1:61" x14ac:dyDescent="0.25">
      <c r="A2895" s="62" t="s">
        <v>1027</v>
      </c>
      <c r="B2895" s="62" t="s">
        <v>1027</v>
      </c>
      <c r="C2895" s="63"/>
      <c r="D2895" s="64"/>
      <c r="E2895" s="65"/>
      <c r="F2895" s="66"/>
      <c r="G2895" s="63"/>
      <c r="H2895" s="67"/>
      <c r="I2895" s="68"/>
      <c r="J2895" s="68"/>
      <c r="K2895" s="32"/>
      <c r="L2895" s="75">
        <v>2895</v>
      </c>
      <c r="M2895" s="75"/>
      <c r="N2895" s="70"/>
      <c r="O2895" s="77" t="s">
        <v>179</v>
      </c>
      <c r="P2895" s="79">
        <v>45065.501539351855</v>
      </c>
      <c r="Q2895" s="77" t="s">
        <v>3907</v>
      </c>
      <c r="R2895" s="77">
        <v>0</v>
      </c>
      <c r="S2895" s="77">
        <v>3</v>
      </c>
      <c r="T2895" s="77">
        <v>0</v>
      </c>
      <c r="U2895" s="77">
        <v>0</v>
      </c>
      <c r="V2895" s="77">
        <v>1114</v>
      </c>
      <c r="W2895" s="82" t="s">
        <v>5858</v>
      </c>
      <c r="X2895" s="80" t="str">
        <f>HYPERLINK("https://www.moneytimes.com.br/imposto-de-renda-em-reta-final-veja-qual-o-melhor-modelo-para-fazer-a-declaracao/")</f>
        <v>https://www.moneytimes.com.br/imposto-de-renda-em-reta-final-veja-qual-o-melhor-modelo-para-fazer-a-declaracao/</v>
      </c>
      <c r="Y2895" s="77" t="s">
        <v>6002</v>
      </c>
      <c r="Z2895" s="77"/>
      <c r="AA2895" s="77"/>
      <c r="AB2895" s="77"/>
      <c r="AC2895" s="82" t="s">
        <v>7718</v>
      </c>
      <c r="AD2895" s="77" t="s">
        <v>7745</v>
      </c>
      <c r="AE2895" s="80" t="str">
        <f>HYPERLINK("https://twitter.com/leiamoneytimes/status/1659529891358859268")</f>
        <v>https://twitter.com/leiamoneytimes/status/1659529891358859268</v>
      </c>
      <c r="AF2895" s="79">
        <v>45065.501539351855</v>
      </c>
      <c r="AG2895" s="85">
        <v>45065</v>
      </c>
      <c r="AH2895" s="82" t="s">
        <v>10365</v>
      </c>
      <c r="AI2895" s="77" t="b">
        <v>0</v>
      </c>
      <c r="AJ2895" s="77"/>
      <c r="AK2895" s="77"/>
      <c r="AL2895" s="77"/>
      <c r="AM2895" s="77"/>
      <c r="AN2895" s="77"/>
      <c r="AO2895" s="77"/>
      <c r="AP2895" s="77"/>
      <c r="AQ2895" s="77"/>
      <c r="AR2895" s="77"/>
      <c r="AS2895" s="77"/>
      <c r="AT2895" s="77"/>
      <c r="AU2895" s="77"/>
      <c r="AV2895" s="80" t="str">
        <f>HYPERLINK("https://pbs.twimg.com/profile_images/1559883556846977024/bXHnQFY0_normal.jpg")</f>
        <v>https://pbs.twimg.com/profile_images/1559883556846977024/bXHnQFY0_normal.jpg</v>
      </c>
      <c r="AW2895" s="82" t="s">
        <v>15050</v>
      </c>
      <c r="AX2895" s="82" t="s">
        <v>15050</v>
      </c>
      <c r="AY2895" s="77"/>
      <c r="AZ2895" s="82" t="s">
        <v>15804</v>
      </c>
      <c r="BA2895" s="82" t="s">
        <v>15804</v>
      </c>
      <c r="BB2895" s="82" t="s">
        <v>15804</v>
      </c>
      <c r="BC2895" s="82" t="s">
        <v>15050</v>
      </c>
      <c r="BD2895" s="77">
        <v>51150679</v>
      </c>
      <c r="BE2895" s="77"/>
      <c r="BF2895" s="77"/>
      <c r="BG2895" s="77"/>
      <c r="BH2895" s="77"/>
      <c r="BI2895" s="77"/>
    </row>
    <row r="2896" spans="1:61" x14ac:dyDescent="0.25">
      <c r="A2896" s="62" t="s">
        <v>1027</v>
      </c>
      <c r="B2896" s="62" t="s">
        <v>1027</v>
      </c>
      <c r="C2896" s="63"/>
      <c r="D2896" s="64"/>
      <c r="E2896" s="65"/>
      <c r="F2896" s="66"/>
      <c r="G2896" s="63"/>
      <c r="H2896" s="67"/>
      <c r="I2896" s="68"/>
      <c r="J2896" s="68"/>
      <c r="K2896" s="32"/>
      <c r="L2896" s="75">
        <v>2896</v>
      </c>
      <c r="M2896" s="75"/>
      <c r="N2896" s="70"/>
      <c r="O2896" s="77" t="s">
        <v>179</v>
      </c>
      <c r="P2896" s="79">
        <v>45064.640833333331</v>
      </c>
      <c r="Q2896" s="77" t="s">
        <v>3908</v>
      </c>
      <c r="R2896" s="77">
        <v>0</v>
      </c>
      <c r="S2896" s="77">
        <v>1</v>
      </c>
      <c r="T2896" s="77">
        <v>0</v>
      </c>
      <c r="U2896" s="77">
        <v>0</v>
      </c>
      <c r="V2896" s="77">
        <v>1282</v>
      </c>
      <c r="W2896" s="82" t="s">
        <v>5858</v>
      </c>
      <c r="X2896" s="80" t="str">
        <f>HYPERLINK("https://www.moneytimes.com.br/imposto-de-renda-atrasado-de-outros-anos-veja-como-regularizar/")</f>
        <v>https://www.moneytimes.com.br/imposto-de-renda-atrasado-de-outros-anos-veja-como-regularizar/</v>
      </c>
      <c r="Y2896" s="77" t="s">
        <v>6002</v>
      </c>
      <c r="Z2896" s="77"/>
      <c r="AA2896" s="77"/>
      <c r="AB2896" s="77"/>
      <c r="AC2896" s="82" t="s">
        <v>7718</v>
      </c>
      <c r="AD2896" s="77" t="s">
        <v>7745</v>
      </c>
      <c r="AE2896" s="80" t="str">
        <f>HYPERLINK("https://twitter.com/leiamoneytimes/status/1659217983774785538")</f>
        <v>https://twitter.com/leiamoneytimes/status/1659217983774785538</v>
      </c>
      <c r="AF2896" s="79">
        <v>45064.640833333331</v>
      </c>
      <c r="AG2896" s="85">
        <v>45064</v>
      </c>
      <c r="AH2896" s="82" t="s">
        <v>10366</v>
      </c>
      <c r="AI2896" s="77" t="b">
        <v>0</v>
      </c>
      <c r="AJ2896" s="77"/>
      <c r="AK2896" s="77"/>
      <c r="AL2896" s="77"/>
      <c r="AM2896" s="77"/>
      <c r="AN2896" s="77"/>
      <c r="AO2896" s="77"/>
      <c r="AP2896" s="77"/>
      <c r="AQ2896" s="77"/>
      <c r="AR2896" s="77"/>
      <c r="AS2896" s="77"/>
      <c r="AT2896" s="77"/>
      <c r="AU2896" s="77"/>
      <c r="AV2896" s="80" t="str">
        <f>HYPERLINK("https://pbs.twimg.com/profile_images/1559883556846977024/bXHnQFY0_normal.jpg")</f>
        <v>https://pbs.twimg.com/profile_images/1559883556846977024/bXHnQFY0_normal.jpg</v>
      </c>
      <c r="AW2896" s="82" t="s">
        <v>15051</v>
      </c>
      <c r="AX2896" s="82" t="s">
        <v>15051</v>
      </c>
      <c r="AY2896" s="77"/>
      <c r="AZ2896" s="82" t="s">
        <v>15804</v>
      </c>
      <c r="BA2896" s="82" t="s">
        <v>15804</v>
      </c>
      <c r="BB2896" s="82" t="s">
        <v>15804</v>
      </c>
      <c r="BC2896" s="82" t="s">
        <v>15051</v>
      </c>
      <c r="BD2896" s="77">
        <v>51150679</v>
      </c>
      <c r="BE2896" s="77"/>
      <c r="BF2896" s="77"/>
      <c r="BG2896" s="77"/>
      <c r="BH2896" s="77"/>
      <c r="BI2896" s="77"/>
    </row>
    <row r="2897" spans="1:61" x14ac:dyDescent="0.25">
      <c r="A2897" s="62" t="s">
        <v>1027</v>
      </c>
      <c r="B2897" s="62" t="s">
        <v>1027</v>
      </c>
      <c r="C2897" s="63"/>
      <c r="D2897" s="64"/>
      <c r="E2897" s="65"/>
      <c r="F2897" s="66"/>
      <c r="G2897" s="63"/>
      <c r="H2897" s="67"/>
      <c r="I2897" s="68"/>
      <c r="J2897" s="68"/>
      <c r="K2897" s="32"/>
      <c r="L2897" s="75">
        <v>2897</v>
      </c>
      <c r="M2897" s="75"/>
      <c r="N2897" s="70"/>
      <c r="O2897" s="77" t="s">
        <v>179</v>
      </c>
      <c r="P2897" s="79">
        <v>45026.858206018522</v>
      </c>
      <c r="Q2897" s="77" t="s">
        <v>3909</v>
      </c>
      <c r="R2897" s="77">
        <v>0</v>
      </c>
      <c r="S2897" s="77">
        <v>2</v>
      </c>
      <c r="T2897" s="77">
        <v>0</v>
      </c>
      <c r="U2897" s="77">
        <v>0</v>
      </c>
      <c r="V2897" s="77">
        <v>1471</v>
      </c>
      <c r="W2897" s="82" t="s">
        <v>5899</v>
      </c>
      <c r="X2897" s="80" t="str">
        <f>HYPERLINK("https://www.moneytimes.com.br/quem-sao-os-novos-bilionarios-de-2023-lebron-james-jimmy-buffett-e-mais-148-entram-na-forbes/")</f>
        <v>https://www.moneytimes.com.br/quem-sao-os-novos-bilionarios-de-2023-lebron-james-jimmy-buffett-e-mais-148-entram-na-forbes/</v>
      </c>
      <c r="Y2897" s="77" t="s">
        <v>6002</v>
      </c>
      <c r="Z2897" s="77"/>
      <c r="AA2897" s="77"/>
      <c r="AB2897" s="77"/>
      <c r="AC2897" s="82" t="s">
        <v>7718</v>
      </c>
      <c r="AD2897" s="77" t="s">
        <v>7745</v>
      </c>
      <c r="AE2897" s="80" t="str">
        <f>HYPERLINK("https://twitter.com/leiamoneytimes/status/1645526017933541415")</f>
        <v>https://twitter.com/leiamoneytimes/status/1645526017933541415</v>
      </c>
      <c r="AF2897" s="79">
        <v>45026.858206018522</v>
      </c>
      <c r="AG2897" s="85">
        <v>45026</v>
      </c>
      <c r="AH2897" s="82" t="s">
        <v>10367</v>
      </c>
      <c r="AI2897" s="77" t="b">
        <v>0</v>
      </c>
      <c r="AJ2897" s="77"/>
      <c r="AK2897" s="77"/>
      <c r="AL2897" s="77"/>
      <c r="AM2897" s="77"/>
      <c r="AN2897" s="77"/>
      <c r="AO2897" s="77"/>
      <c r="AP2897" s="77"/>
      <c r="AQ2897" s="77"/>
      <c r="AR2897" s="77"/>
      <c r="AS2897" s="77"/>
      <c r="AT2897" s="77"/>
      <c r="AU2897" s="77"/>
      <c r="AV2897" s="80" t="str">
        <f>HYPERLINK("https://pbs.twimg.com/profile_images/1559883556846977024/bXHnQFY0_normal.jpg")</f>
        <v>https://pbs.twimg.com/profile_images/1559883556846977024/bXHnQFY0_normal.jpg</v>
      </c>
      <c r="AW2897" s="82" t="s">
        <v>15052</v>
      </c>
      <c r="AX2897" s="82" t="s">
        <v>15052</v>
      </c>
      <c r="AY2897" s="77"/>
      <c r="AZ2897" s="82" t="s">
        <v>15804</v>
      </c>
      <c r="BA2897" s="82" t="s">
        <v>15804</v>
      </c>
      <c r="BB2897" s="82" t="s">
        <v>15804</v>
      </c>
      <c r="BC2897" s="82" t="s">
        <v>15052</v>
      </c>
      <c r="BD2897" s="77">
        <v>51150679</v>
      </c>
      <c r="BE2897" s="77"/>
      <c r="BF2897" s="77"/>
      <c r="BG2897" s="77"/>
      <c r="BH2897" s="77"/>
      <c r="BI2897" s="77"/>
    </row>
    <row r="2898" spans="1:61" x14ac:dyDescent="0.25">
      <c r="A2898" s="62" t="s">
        <v>1027</v>
      </c>
      <c r="B2898" s="62" t="s">
        <v>1027</v>
      </c>
      <c r="C2898" s="63"/>
      <c r="D2898" s="64"/>
      <c r="E2898" s="65"/>
      <c r="F2898" s="66"/>
      <c r="G2898" s="63"/>
      <c r="H2898" s="67"/>
      <c r="I2898" s="68"/>
      <c r="J2898" s="68"/>
      <c r="K2898" s="32"/>
      <c r="L2898" s="75">
        <v>2898</v>
      </c>
      <c r="M2898" s="75"/>
      <c r="N2898" s="70"/>
      <c r="O2898" s="77" t="s">
        <v>179</v>
      </c>
      <c r="P2898" s="79">
        <v>45026.743726851855</v>
      </c>
      <c r="Q2898" s="77" t="s">
        <v>3910</v>
      </c>
      <c r="R2898" s="77">
        <v>0</v>
      </c>
      <c r="S2898" s="77">
        <v>1</v>
      </c>
      <c r="T2898" s="77">
        <v>0</v>
      </c>
      <c r="U2898" s="77">
        <v>0</v>
      </c>
      <c r="V2898" s="77">
        <v>1193</v>
      </c>
      <c r="W2898" s="82" t="s">
        <v>5900</v>
      </c>
      <c r="X2898" s="80" t="str">
        <f>HYPERLINK("https://www.moneytimes.com.br/compesa-consumidor-com-divida-pode-ganhar-ate-90-de-desconto-via-pix/")</f>
        <v>https://www.moneytimes.com.br/compesa-consumidor-com-divida-pode-ganhar-ate-90-de-desconto-via-pix/</v>
      </c>
      <c r="Y2898" s="77" t="s">
        <v>6002</v>
      </c>
      <c r="Z2898" s="77"/>
      <c r="AA2898" s="77"/>
      <c r="AB2898" s="77"/>
      <c r="AC2898" s="82" t="s">
        <v>7718</v>
      </c>
      <c r="AD2898" s="77" t="s">
        <v>7745</v>
      </c>
      <c r="AE2898" s="80" t="str">
        <f>HYPERLINK("https://twitter.com/leiamoneytimes/status/1645484529388331009")</f>
        <v>https://twitter.com/leiamoneytimes/status/1645484529388331009</v>
      </c>
      <c r="AF2898" s="79">
        <v>45026.743726851855</v>
      </c>
      <c r="AG2898" s="85">
        <v>45026</v>
      </c>
      <c r="AH2898" s="82" t="s">
        <v>10368</v>
      </c>
      <c r="AI2898" s="77" t="b">
        <v>0</v>
      </c>
      <c r="AJ2898" s="77"/>
      <c r="AK2898" s="77"/>
      <c r="AL2898" s="77"/>
      <c r="AM2898" s="77"/>
      <c r="AN2898" s="77"/>
      <c r="AO2898" s="77"/>
      <c r="AP2898" s="77"/>
      <c r="AQ2898" s="77"/>
      <c r="AR2898" s="77"/>
      <c r="AS2898" s="77"/>
      <c r="AT2898" s="77"/>
      <c r="AU2898" s="77"/>
      <c r="AV2898" s="80" t="str">
        <f>HYPERLINK("https://pbs.twimg.com/profile_images/1559883556846977024/bXHnQFY0_normal.jpg")</f>
        <v>https://pbs.twimg.com/profile_images/1559883556846977024/bXHnQFY0_normal.jpg</v>
      </c>
      <c r="AW2898" s="82" t="s">
        <v>15053</v>
      </c>
      <c r="AX2898" s="82" t="s">
        <v>15053</v>
      </c>
      <c r="AY2898" s="77"/>
      <c r="AZ2898" s="82" t="s">
        <v>15804</v>
      </c>
      <c r="BA2898" s="82" t="s">
        <v>15804</v>
      </c>
      <c r="BB2898" s="82" t="s">
        <v>15804</v>
      </c>
      <c r="BC2898" s="82" t="s">
        <v>15053</v>
      </c>
      <c r="BD2898" s="77">
        <v>51150679</v>
      </c>
      <c r="BE2898" s="77"/>
      <c r="BF2898" s="77"/>
      <c r="BG2898" s="77"/>
      <c r="BH2898" s="77"/>
      <c r="BI2898" s="77"/>
    </row>
    <row r="2899" spans="1:61" x14ac:dyDescent="0.25">
      <c r="A2899" s="62" t="s">
        <v>1027</v>
      </c>
      <c r="B2899" s="62" t="s">
        <v>1027</v>
      </c>
      <c r="C2899" s="63"/>
      <c r="D2899" s="64"/>
      <c r="E2899" s="65"/>
      <c r="F2899" s="66"/>
      <c r="G2899" s="63"/>
      <c r="H2899" s="67"/>
      <c r="I2899" s="68"/>
      <c r="J2899" s="68"/>
      <c r="K2899" s="32"/>
      <c r="L2899" s="75">
        <v>2899</v>
      </c>
      <c r="M2899" s="75"/>
      <c r="N2899" s="70"/>
      <c r="O2899" s="77" t="s">
        <v>179</v>
      </c>
      <c r="P2899" s="79">
        <v>45026.485208333332</v>
      </c>
      <c r="Q2899" s="77" t="s">
        <v>3911</v>
      </c>
      <c r="R2899" s="77">
        <v>0</v>
      </c>
      <c r="S2899" s="77">
        <v>1</v>
      </c>
      <c r="T2899" s="77">
        <v>0</v>
      </c>
      <c r="U2899" s="77">
        <v>0</v>
      </c>
      <c r="V2899" s="77">
        <v>1396</v>
      </c>
      <c r="W2899" s="82" t="s">
        <v>5858</v>
      </c>
      <c r="X2899" s="80" t="str">
        <f>HYPERLINK("https://www.moneytimes.com.br/imposto-de-renda-2023-saiba-como-declarar-herancas-ao-leao/")</f>
        <v>https://www.moneytimes.com.br/imposto-de-renda-2023-saiba-como-declarar-herancas-ao-leao/</v>
      </c>
      <c r="Y2899" s="77" t="s">
        <v>6002</v>
      </c>
      <c r="Z2899" s="77"/>
      <c r="AA2899" s="77"/>
      <c r="AB2899" s="77"/>
      <c r="AC2899" s="82" t="s">
        <v>7718</v>
      </c>
      <c r="AD2899" s="77" t="s">
        <v>7745</v>
      </c>
      <c r="AE2899" s="80" t="str">
        <f>HYPERLINK("https://twitter.com/leiamoneytimes/status/1645390845380526083")</f>
        <v>https://twitter.com/leiamoneytimes/status/1645390845380526083</v>
      </c>
      <c r="AF2899" s="79">
        <v>45026.485208333332</v>
      </c>
      <c r="AG2899" s="85">
        <v>45026</v>
      </c>
      <c r="AH2899" s="82" t="s">
        <v>10369</v>
      </c>
      <c r="AI2899" s="77" t="b">
        <v>0</v>
      </c>
      <c r="AJ2899" s="77"/>
      <c r="AK2899" s="77"/>
      <c r="AL2899" s="77"/>
      <c r="AM2899" s="77"/>
      <c r="AN2899" s="77"/>
      <c r="AO2899" s="77"/>
      <c r="AP2899" s="77"/>
      <c r="AQ2899" s="77"/>
      <c r="AR2899" s="77"/>
      <c r="AS2899" s="77"/>
      <c r="AT2899" s="77"/>
      <c r="AU2899" s="77"/>
      <c r="AV2899" s="80" t="str">
        <f>HYPERLINK("https://pbs.twimg.com/profile_images/1559883556846977024/bXHnQFY0_normal.jpg")</f>
        <v>https://pbs.twimg.com/profile_images/1559883556846977024/bXHnQFY0_normal.jpg</v>
      </c>
      <c r="AW2899" s="82" t="s">
        <v>15054</v>
      </c>
      <c r="AX2899" s="82" t="s">
        <v>15054</v>
      </c>
      <c r="AY2899" s="77"/>
      <c r="AZ2899" s="82" t="s">
        <v>15804</v>
      </c>
      <c r="BA2899" s="82" t="s">
        <v>15804</v>
      </c>
      <c r="BB2899" s="82" t="s">
        <v>15804</v>
      </c>
      <c r="BC2899" s="82" t="s">
        <v>15054</v>
      </c>
      <c r="BD2899" s="77">
        <v>51150679</v>
      </c>
      <c r="BE2899" s="77"/>
      <c r="BF2899" s="77"/>
      <c r="BG2899" s="77"/>
      <c r="BH2899" s="77"/>
      <c r="BI2899" s="77"/>
    </row>
    <row r="2900" spans="1:61" x14ac:dyDescent="0.25">
      <c r="A2900" s="62" t="s">
        <v>1027</v>
      </c>
      <c r="B2900" s="62" t="s">
        <v>1027</v>
      </c>
      <c r="C2900" s="63"/>
      <c r="D2900" s="64"/>
      <c r="E2900" s="65"/>
      <c r="F2900" s="66"/>
      <c r="G2900" s="63"/>
      <c r="H2900" s="67"/>
      <c r="I2900" s="68"/>
      <c r="J2900" s="68"/>
      <c r="K2900" s="32"/>
      <c r="L2900" s="75">
        <v>2900</v>
      </c>
      <c r="M2900" s="75"/>
      <c r="N2900" s="70"/>
      <c r="O2900" s="77" t="s">
        <v>179</v>
      </c>
      <c r="P2900" s="79">
        <v>45023.543634259258</v>
      </c>
      <c r="Q2900" s="77" t="s">
        <v>3912</v>
      </c>
      <c r="R2900" s="77">
        <v>0</v>
      </c>
      <c r="S2900" s="77">
        <v>4</v>
      </c>
      <c r="T2900" s="77">
        <v>1</v>
      </c>
      <c r="U2900" s="77">
        <v>0</v>
      </c>
      <c r="V2900" s="77">
        <v>1468</v>
      </c>
      <c r="W2900" s="82" t="s">
        <v>5880</v>
      </c>
      <c r="X2900" s="80" t="str">
        <f>HYPERLINK("https://www.moneytimes.com.br/imposto-de-renda-2023-saiba-como-declarar-saldos-na-conta-corrente/")</f>
        <v>https://www.moneytimes.com.br/imposto-de-renda-2023-saiba-como-declarar-saldos-na-conta-corrente/</v>
      </c>
      <c r="Y2900" s="77" t="s">
        <v>6002</v>
      </c>
      <c r="Z2900" s="77"/>
      <c r="AA2900" s="77"/>
      <c r="AB2900" s="77"/>
      <c r="AC2900" s="82" t="s">
        <v>7718</v>
      </c>
      <c r="AD2900" s="77" t="s">
        <v>7745</v>
      </c>
      <c r="AE2900" s="80" t="str">
        <f>HYPERLINK("https://twitter.com/leiamoneytimes/status/1644324856085860353")</f>
        <v>https://twitter.com/leiamoneytimes/status/1644324856085860353</v>
      </c>
      <c r="AF2900" s="79">
        <v>45023.543634259258</v>
      </c>
      <c r="AG2900" s="85">
        <v>45023</v>
      </c>
      <c r="AH2900" s="82" t="s">
        <v>10370</v>
      </c>
      <c r="AI2900" s="77" t="b">
        <v>0</v>
      </c>
      <c r="AJ2900" s="77"/>
      <c r="AK2900" s="77"/>
      <c r="AL2900" s="77"/>
      <c r="AM2900" s="77"/>
      <c r="AN2900" s="77"/>
      <c r="AO2900" s="77"/>
      <c r="AP2900" s="77"/>
      <c r="AQ2900" s="77"/>
      <c r="AR2900" s="77"/>
      <c r="AS2900" s="77"/>
      <c r="AT2900" s="77"/>
      <c r="AU2900" s="77"/>
      <c r="AV2900" s="80" t="str">
        <f>HYPERLINK("https://pbs.twimg.com/profile_images/1559883556846977024/bXHnQFY0_normal.jpg")</f>
        <v>https://pbs.twimg.com/profile_images/1559883556846977024/bXHnQFY0_normal.jpg</v>
      </c>
      <c r="AW2900" s="82" t="s">
        <v>15055</v>
      </c>
      <c r="AX2900" s="82" t="s">
        <v>15055</v>
      </c>
      <c r="AY2900" s="77"/>
      <c r="AZ2900" s="82" t="s">
        <v>15804</v>
      </c>
      <c r="BA2900" s="82" t="s">
        <v>15804</v>
      </c>
      <c r="BB2900" s="82" t="s">
        <v>15804</v>
      </c>
      <c r="BC2900" s="82" t="s">
        <v>15055</v>
      </c>
      <c r="BD2900" s="77">
        <v>51150679</v>
      </c>
      <c r="BE2900" s="77"/>
      <c r="BF2900" s="77"/>
      <c r="BG2900" s="77"/>
      <c r="BH2900" s="77"/>
      <c r="BI2900" s="77"/>
    </row>
    <row r="2901" spans="1:61" x14ac:dyDescent="0.25">
      <c r="A2901" s="62" t="s">
        <v>1027</v>
      </c>
      <c r="B2901" s="62" t="s">
        <v>1027</v>
      </c>
      <c r="C2901" s="63"/>
      <c r="D2901" s="64"/>
      <c r="E2901" s="65"/>
      <c r="F2901" s="66"/>
      <c r="G2901" s="63"/>
      <c r="H2901" s="67"/>
      <c r="I2901" s="68"/>
      <c r="J2901" s="68"/>
      <c r="K2901" s="32"/>
      <c r="L2901" s="75">
        <v>2901</v>
      </c>
      <c r="M2901" s="75"/>
      <c r="N2901" s="70"/>
      <c r="O2901" s="77" t="s">
        <v>179</v>
      </c>
      <c r="P2901" s="79">
        <v>45022.77542824074</v>
      </c>
      <c r="Q2901" s="77" t="s">
        <v>3913</v>
      </c>
      <c r="R2901" s="77">
        <v>0</v>
      </c>
      <c r="S2901" s="77">
        <v>1</v>
      </c>
      <c r="T2901" s="77">
        <v>1</v>
      </c>
      <c r="U2901" s="77">
        <v>0</v>
      </c>
      <c r="V2901" s="77">
        <v>1336</v>
      </c>
      <c r="W2901" s="82" t="s">
        <v>5901</v>
      </c>
      <c r="X2901" s="80" t="str">
        <f>HYPERLINK("https://www.moneytimes.com.br/mercado-financeiro-ex-atleta-e-empresario-diogo-larcerda-ensina-como-comecar-a-investir/")</f>
        <v>https://www.moneytimes.com.br/mercado-financeiro-ex-atleta-e-empresario-diogo-larcerda-ensina-como-comecar-a-investir/</v>
      </c>
      <c r="Y2901" s="77" t="s">
        <v>6002</v>
      </c>
      <c r="Z2901" s="77"/>
      <c r="AA2901" s="77"/>
      <c r="AB2901" s="77"/>
      <c r="AC2901" s="82" t="s">
        <v>7718</v>
      </c>
      <c r="AD2901" s="77" t="s">
        <v>7745</v>
      </c>
      <c r="AE2901" s="80" t="str">
        <f>HYPERLINK("https://twitter.com/leiamoneytimes/status/1644046469899382787")</f>
        <v>https://twitter.com/leiamoneytimes/status/1644046469899382787</v>
      </c>
      <c r="AF2901" s="79">
        <v>45022.77542824074</v>
      </c>
      <c r="AG2901" s="85">
        <v>45022</v>
      </c>
      <c r="AH2901" s="82" t="s">
        <v>10371</v>
      </c>
      <c r="AI2901" s="77" t="b">
        <v>0</v>
      </c>
      <c r="AJ2901" s="77"/>
      <c r="AK2901" s="77"/>
      <c r="AL2901" s="77"/>
      <c r="AM2901" s="77"/>
      <c r="AN2901" s="77"/>
      <c r="AO2901" s="77"/>
      <c r="AP2901" s="77"/>
      <c r="AQ2901" s="77"/>
      <c r="AR2901" s="77"/>
      <c r="AS2901" s="77"/>
      <c r="AT2901" s="77"/>
      <c r="AU2901" s="77"/>
      <c r="AV2901" s="80" t="str">
        <f>HYPERLINK("https://pbs.twimg.com/profile_images/1559883556846977024/bXHnQFY0_normal.jpg")</f>
        <v>https://pbs.twimg.com/profile_images/1559883556846977024/bXHnQFY0_normal.jpg</v>
      </c>
      <c r="AW2901" s="82" t="s">
        <v>15056</v>
      </c>
      <c r="AX2901" s="82" t="s">
        <v>15056</v>
      </c>
      <c r="AY2901" s="77"/>
      <c r="AZ2901" s="82" t="s">
        <v>15804</v>
      </c>
      <c r="BA2901" s="82" t="s">
        <v>15804</v>
      </c>
      <c r="BB2901" s="82" t="s">
        <v>15804</v>
      </c>
      <c r="BC2901" s="82" t="s">
        <v>15056</v>
      </c>
      <c r="BD2901" s="77">
        <v>51150679</v>
      </c>
      <c r="BE2901" s="77"/>
      <c r="BF2901" s="77"/>
      <c r="BG2901" s="77"/>
      <c r="BH2901" s="77"/>
      <c r="BI2901" s="77"/>
    </row>
    <row r="2902" spans="1:61" x14ac:dyDescent="0.25">
      <c r="A2902" s="62" t="s">
        <v>1027</v>
      </c>
      <c r="B2902" s="62" t="s">
        <v>1027</v>
      </c>
      <c r="C2902" s="63"/>
      <c r="D2902" s="64"/>
      <c r="E2902" s="65"/>
      <c r="F2902" s="66"/>
      <c r="G2902" s="63"/>
      <c r="H2902" s="67"/>
      <c r="I2902" s="68"/>
      <c r="J2902" s="68"/>
      <c r="K2902" s="32"/>
      <c r="L2902" s="75">
        <v>2902</v>
      </c>
      <c r="M2902" s="75"/>
      <c r="N2902" s="70"/>
      <c r="O2902" s="77" t="s">
        <v>179</v>
      </c>
      <c r="P2902" s="79">
        <v>45022.754548611112</v>
      </c>
      <c r="Q2902" s="77" t="s">
        <v>3914</v>
      </c>
      <c r="R2902" s="77">
        <v>0</v>
      </c>
      <c r="S2902" s="77">
        <v>1</v>
      </c>
      <c r="T2902" s="77">
        <v>1</v>
      </c>
      <c r="U2902" s="77">
        <v>0</v>
      </c>
      <c r="V2902" s="77">
        <v>1207</v>
      </c>
      <c r="W2902" s="82" t="s">
        <v>5902</v>
      </c>
      <c r="X2902" s="80" t="str">
        <f>HYPERLINK("https://www.moneytimes.com.br/conheca-os-10-bilionarios-mais-jovens-da-lista-da-forbes/")</f>
        <v>https://www.moneytimes.com.br/conheca-os-10-bilionarios-mais-jovens-da-lista-da-forbes/</v>
      </c>
      <c r="Y2902" s="77" t="s">
        <v>6002</v>
      </c>
      <c r="Z2902" s="77"/>
      <c r="AA2902" s="77"/>
      <c r="AB2902" s="77"/>
      <c r="AC2902" s="82" t="s">
        <v>7718</v>
      </c>
      <c r="AD2902" s="77" t="s">
        <v>7745</v>
      </c>
      <c r="AE2902" s="80" t="str">
        <f>HYPERLINK("https://twitter.com/leiamoneytimes/status/1644038900946464771")</f>
        <v>https://twitter.com/leiamoneytimes/status/1644038900946464771</v>
      </c>
      <c r="AF2902" s="79">
        <v>45022.754548611112</v>
      </c>
      <c r="AG2902" s="85">
        <v>45022</v>
      </c>
      <c r="AH2902" s="82" t="s">
        <v>10372</v>
      </c>
      <c r="AI2902" s="77" t="b">
        <v>0</v>
      </c>
      <c r="AJ2902" s="77"/>
      <c r="AK2902" s="77"/>
      <c r="AL2902" s="77"/>
      <c r="AM2902" s="77"/>
      <c r="AN2902" s="77"/>
      <c r="AO2902" s="77"/>
      <c r="AP2902" s="77"/>
      <c r="AQ2902" s="77"/>
      <c r="AR2902" s="77"/>
      <c r="AS2902" s="77"/>
      <c r="AT2902" s="77"/>
      <c r="AU2902" s="77"/>
      <c r="AV2902" s="80" t="str">
        <f>HYPERLINK("https://pbs.twimg.com/profile_images/1559883556846977024/bXHnQFY0_normal.jpg")</f>
        <v>https://pbs.twimg.com/profile_images/1559883556846977024/bXHnQFY0_normal.jpg</v>
      </c>
      <c r="AW2902" s="82" t="s">
        <v>15057</v>
      </c>
      <c r="AX2902" s="82" t="s">
        <v>15057</v>
      </c>
      <c r="AY2902" s="77"/>
      <c r="AZ2902" s="82" t="s">
        <v>15804</v>
      </c>
      <c r="BA2902" s="82" t="s">
        <v>15804</v>
      </c>
      <c r="BB2902" s="82" t="s">
        <v>15804</v>
      </c>
      <c r="BC2902" s="82" t="s">
        <v>15057</v>
      </c>
      <c r="BD2902" s="77">
        <v>51150679</v>
      </c>
      <c r="BE2902" s="77"/>
      <c r="BF2902" s="77"/>
      <c r="BG2902" s="77"/>
      <c r="BH2902" s="77"/>
      <c r="BI2902" s="77"/>
    </row>
    <row r="2903" spans="1:61" x14ac:dyDescent="0.25">
      <c r="A2903" s="62" t="s">
        <v>1027</v>
      </c>
      <c r="B2903" s="62" t="s">
        <v>1027</v>
      </c>
      <c r="C2903" s="63"/>
      <c r="D2903" s="64"/>
      <c r="E2903" s="65"/>
      <c r="F2903" s="66"/>
      <c r="G2903" s="63"/>
      <c r="H2903" s="67"/>
      <c r="I2903" s="68"/>
      <c r="J2903" s="68"/>
      <c r="K2903" s="32"/>
      <c r="L2903" s="75">
        <v>2903</v>
      </c>
      <c r="M2903" s="75"/>
      <c r="N2903" s="70"/>
      <c r="O2903" s="77" t="s">
        <v>179</v>
      </c>
      <c r="P2903" s="79">
        <v>45021.748912037037</v>
      </c>
      <c r="Q2903" s="77" t="s">
        <v>3915</v>
      </c>
      <c r="R2903" s="77">
        <v>0</v>
      </c>
      <c r="S2903" s="77">
        <v>0</v>
      </c>
      <c r="T2903" s="77">
        <v>1</v>
      </c>
      <c r="U2903" s="77">
        <v>0</v>
      </c>
      <c r="V2903" s="77">
        <v>999</v>
      </c>
      <c r="W2903" s="82" t="s">
        <v>5903</v>
      </c>
      <c r="X2903" s="80" t="str">
        <f>HYPERLINK("https://www.moneytimes.com.br/imposto-de-renda-2023-como-declarar-previdencia-privada-e-ainda-sair-no-lucro/")</f>
        <v>https://www.moneytimes.com.br/imposto-de-renda-2023-como-declarar-previdencia-privada-e-ainda-sair-no-lucro/</v>
      </c>
      <c r="Y2903" s="77" t="s">
        <v>6002</v>
      </c>
      <c r="Z2903" s="77"/>
      <c r="AA2903" s="77"/>
      <c r="AB2903" s="77"/>
      <c r="AC2903" s="82" t="s">
        <v>7718</v>
      </c>
      <c r="AD2903" s="77" t="s">
        <v>7745</v>
      </c>
      <c r="AE2903" s="80" t="str">
        <f>HYPERLINK("https://twitter.com/leiamoneytimes/status/1643674471276969986")</f>
        <v>https://twitter.com/leiamoneytimes/status/1643674471276969986</v>
      </c>
      <c r="AF2903" s="79">
        <v>45021.748912037037</v>
      </c>
      <c r="AG2903" s="85">
        <v>45021</v>
      </c>
      <c r="AH2903" s="82" t="s">
        <v>10373</v>
      </c>
      <c r="AI2903" s="77" t="b">
        <v>0</v>
      </c>
      <c r="AJ2903" s="77"/>
      <c r="AK2903" s="77"/>
      <c r="AL2903" s="77"/>
      <c r="AM2903" s="77"/>
      <c r="AN2903" s="77"/>
      <c r="AO2903" s="77"/>
      <c r="AP2903" s="77"/>
      <c r="AQ2903" s="77"/>
      <c r="AR2903" s="77"/>
      <c r="AS2903" s="77"/>
      <c r="AT2903" s="77"/>
      <c r="AU2903" s="77"/>
      <c r="AV2903" s="80" t="str">
        <f>HYPERLINK("https://pbs.twimg.com/profile_images/1559883556846977024/bXHnQFY0_normal.jpg")</f>
        <v>https://pbs.twimg.com/profile_images/1559883556846977024/bXHnQFY0_normal.jpg</v>
      </c>
      <c r="AW2903" s="82" t="s">
        <v>15058</v>
      </c>
      <c r="AX2903" s="82" t="s">
        <v>15058</v>
      </c>
      <c r="AY2903" s="77"/>
      <c r="AZ2903" s="82" t="s">
        <v>15804</v>
      </c>
      <c r="BA2903" s="82" t="s">
        <v>15804</v>
      </c>
      <c r="BB2903" s="82" t="s">
        <v>15804</v>
      </c>
      <c r="BC2903" s="82" t="s">
        <v>15058</v>
      </c>
      <c r="BD2903" s="77">
        <v>51150679</v>
      </c>
      <c r="BE2903" s="77"/>
      <c r="BF2903" s="77"/>
      <c r="BG2903" s="77"/>
      <c r="BH2903" s="77"/>
      <c r="BI2903" s="77"/>
    </row>
    <row r="2904" spans="1:61" x14ac:dyDescent="0.25">
      <c r="A2904" s="62" t="s">
        <v>1027</v>
      </c>
      <c r="B2904" s="62" t="s">
        <v>1027</v>
      </c>
      <c r="C2904" s="63"/>
      <c r="D2904" s="64"/>
      <c r="E2904" s="65"/>
      <c r="F2904" s="66"/>
      <c r="G2904" s="63"/>
      <c r="H2904" s="67"/>
      <c r="I2904" s="68"/>
      <c r="J2904" s="68"/>
      <c r="K2904" s="32"/>
      <c r="L2904" s="75">
        <v>2904</v>
      </c>
      <c r="M2904" s="75"/>
      <c r="N2904" s="70"/>
      <c r="O2904" s="77" t="s">
        <v>179</v>
      </c>
      <c r="P2904" s="79">
        <v>44971.767812500002</v>
      </c>
      <c r="Q2904" s="77" t="s">
        <v>3916</v>
      </c>
      <c r="R2904" s="77">
        <v>2</v>
      </c>
      <c r="S2904" s="77">
        <v>7</v>
      </c>
      <c r="T2904" s="77">
        <v>0</v>
      </c>
      <c r="U2904" s="77">
        <v>0</v>
      </c>
      <c r="V2904" s="77">
        <v>1025</v>
      </c>
      <c r="W2904" s="82" t="s">
        <v>5904</v>
      </c>
      <c r="X2904" s="80" t="str">
        <f>HYPERLINK("https://www.moneytimes.com.br/imposto-de-renda-receita-federal-divulga-datas-para-a-declaracao-em-2023-confira/")</f>
        <v>https://www.moneytimes.com.br/imposto-de-renda-receita-federal-divulga-datas-para-a-declaracao-em-2023-confira/</v>
      </c>
      <c r="Y2904" s="77" t="s">
        <v>6002</v>
      </c>
      <c r="Z2904" s="77"/>
      <c r="AA2904" s="77"/>
      <c r="AB2904" s="77"/>
      <c r="AC2904" s="82" t="s">
        <v>7718</v>
      </c>
      <c r="AD2904" s="77" t="s">
        <v>7745</v>
      </c>
      <c r="AE2904" s="80" t="str">
        <f>HYPERLINK("https://twitter.com/leiamoneytimes/status/1625561924883587072")</f>
        <v>https://twitter.com/leiamoneytimes/status/1625561924883587072</v>
      </c>
      <c r="AF2904" s="79">
        <v>44971.767812500002</v>
      </c>
      <c r="AG2904" s="85">
        <v>44971</v>
      </c>
      <c r="AH2904" s="82" t="s">
        <v>10374</v>
      </c>
      <c r="AI2904" s="77" t="b">
        <v>0</v>
      </c>
      <c r="AJ2904" s="77"/>
      <c r="AK2904" s="77"/>
      <c r="AL2904" s="77"/>
      <c r="AM2904" s="77"/>
      <c r="AN2904" s="77"/>
      <c r="AO2904" s="77"/>
      <c r="AP2904" s="77"/>
      <c r="AQ2904" s="77"/>
      <c r="AR2904" s="77"/>
      <c r="AS2904" s="77"/>
      <c r="AT2904" s="77"/>
      <c r="AU2904" s="77"/>
      <c r="AV2904" s="80" t="str">
        <f>HYPERLINK("https://pbs.twimg.com/profile_images/1559883556846977024/bXHnQFY0_normal.jpg")</f>
        <v>https://pbs.twimg.com/profile_images/1559883556846977024/bXHnQFY0_normal.jpg</v>
      </c>
      <c r="AW2904" s="82" t="s">
        <v>15059</v>
      </c>
      <c r="AX2904" s="82" t="s">
        <v>15059</v>
      </c>
      <c r="AY2904" s="77"/>
      <c r="AZ2904" s="82" t="s">
        <v>15804</v>
      </c>
      <c r="BA2904" s="82" t="s">
        <v>15804</v>
      </c>
      <c r="BB2904" s="82" t="s">
        <v>15804</v>
      </c>
      <c r="BC2904" s="82" t="s">
        <v>15059</v>
      </c>
      <c r="BD2904" s="77">
        <v>51150679</v>
      </c>
      <c r="BE2904" s="77"/>
      <c r="BF2904" s="77"/>
      <c r="BG2904" s="77"/>
      <c r="BH2904" s="77"/>
      <c r="BI2904" s="77"/>
    </row>
    <row r="2905" spans="1:61" x14ac:dyDescent="0.25">
      <c r="A2905" s="62" t="s">
        <v>1027</v>
      </c>
      <c r="B2905" s="62" t="s">
        <v>1027</v>
      </c>
      <c r="C2905" s="63"/>
      <c r="D2905" s="64"/>
      <c r="E2905" s="65"/>
      <c r="F2905" s="66"/>
      <c r="G2905" s="63"/>
      <c r="H2905" s="67"/>
      <c r="I2905" s="68"/>
      <c r="J2905" s="68"/>
      <c r="K2905" s="32"/>
      <c r="L2905" s="75">
        <v>2905</v>
      </c>
      <c r="M2905" s="75"/>
      <c r="N2905" s="70"/>
      <c r="O2905" s="77" t="s">
        <v>179</v>
      </c>
      <c r="P2905" s="79">
        <v>44968.584097222221</v>
      </c>
      <c r="Q2905" s="77" t="s">
        <v>3917</v>
      </c>
      <c r="R2905" s="77">
        <v>0</v>
      </c>
      <c r="S2905" s="77">
        <v>0</v>
      </c>
      <c r="T2905" s="77">
        <v>2</v>
      </c>
      <c r="U2905" s="77">
        <v>0</v>
      </c>
      <c r="V2905" s="77">
        <v>1556</v>
      </c>
      <c r="W2905" s="82" t="s">
        <v>5889</v>
      </c>
      <c r="X2905" s="80" t="str">
        <f>HYPERLINK("https://www.moneytimes.com.br/como-obter-ate-50-de-desconto-para-quitar-dividas-com-a-receita/")</f>
        <v>https://www.moneytimes.com.br/como-obter-ate-50-de-desconto-para-quitar-dividas-com-a-receita/</v>
      </c>
      <c r="Y2905" s="77" t="s">
        <v>6002</v>
      </c>
      <c r="Z2905" s="77"/>
      <c r="AA2905" s="77"/>
      <c r="AB2905" s="77"/>
      <c r="AC2905" s="82" t="s">
        <v>7718</v>
      </c>
      <c r="AD2905" s="77" t="s">
        <v>7745</v>
      </c>
      <c r="AE2905" s="80" t="str">
        <f>HYPERLINK("https://twitter.com/leiamoneytimes/status/1624408187888668673")</f>
        <v>https://twitter.com/leiamoneytimes/status/1624408187888668673</v>
      </c>
      <c r="AF2905" s="79">
        <v>44968.584097222221</v>
      </c>
      <c r="AG2905" s="85">
        <v>44968</v>
      </c>
      <c r="AH2905" s="82" t="s">
        <v>10375</v>
      </c>
      <c r="AI2905" s="77" t="b">
        <v>0</v>
      </c>
      <c r="AJ2905" s="77"/>
      <c r="AK2905" s="77"/>
      <c r="AL2905" s="77"/>
      <c r="AM2905" s="77"/>
      <c r="AN2905" s="77"/>
      <c r="AO2905" s="77"/>
      <c r="AP2905" s="77"/>
      <c r="AQ2905" s="77"/>
      <c r="AR2905" s="77"/>
      <c r="AS2905" s="77"/>
      <c r="AT2905" s="77"/>
      <c r="AU2905" s="77"/>
      <c r="AV2905" s="80" t="str">
        <f>HYPERLINK("https://pbs.twimg.com/profile_images/1559883556846977024/bXHnQFY0_normal.jpg")</f>
        <v>https://pbs.twimg.com/profile_images/1559883556846977024/bXHnQFY0_normal.jpg</v>
      </c>
      <c r="AW2905" s="82" t="s">
        <v>15060</v>
      </c>
      <c r="AX2905" s="82" t="s">
        <v>15060</v>
      </c>
      <c r="AY2905" s="77"/>
      <c r="AZ2905" s="82" t="s">
        <v>15804</v>
      </c>
      <c r="BA2905" s="82" t="s">
        <v>15804</v>
      </c>
      <c r="BB2905" s="82" t="s">
        <v>15804</v>
      </c>
      <c r="BC2905" s="82" t="s">
        <v>15060</v>
      </c>
      <c r="BD2905" s="77">
        <v>51150679</v>
      </c>
      <c r="BE2905" s="77"/>
      <c r="BF2905" s="77"/>
      <c r="BG2905" s="77"/>
      <c r="BH2905" s="77"/>
      <c r="BI2905" s="77"/>
    </row>
    <row r="2906" spans="1:61" x14ac:dyDescent="0.25">
      <c r="A2906" s="62" t="s">
        <v>1027</v>
      </c>
      <c r="B2906" s="62" t="s">
        <v>1027</v>
      </c>
      <c r="C2906" s="63"/>
      <c r="D2906" s="64"/>
      <c r="E2906" s="65"/>
      <c r="F2906" s="66"/>
      <c r="G2906" s="63"/>
      <c r="H2906" s="67"/>
      <c r="I2906" s="68"/>
      <c r="J2906" s="68"/>
      <c r="K2906" s="32"/>
      <c r="L2906" s="75">
        <v>2906</v>
      </c>
      <c r="M2906" s="75"/>
      <c r="N2906" s="70"/>
      <c r="O2906" s="77" t="s">
        <v>179</v>
      </c>
      <c r="P2906" s="79">
        <v>45161.767141203702</v>
      </c>
      <c r="Q2906" s="77" t="s">
        <v>3918</v>
      </c>
      <c r="R2906" s="77">
        <v>2</v>
      </c>
      <c r="S2906" s="77">
        <v>5</v>
      </c>
      <c r="T2906" s="77">
        <v>1</v>
      </c>
      <c r="U2906" s="77">
        <v>2</v>
      </c>
      <c r="V2906" s="77">
        <v>1614</v>
      </c>
      <c r="W2906" s="82" t="s">
        <v>5865</v>
      </c>
      <c r="X2906" s="80" t="str">
        <f>HYPERLINK("https://www.moneytimes.com.br/reforma-tributaria-herancas-podem-ter-mais-impostos-entenda-o-que-muda/")</f>
        <v>https://www.moneytimes.com.br/reforma-tributaria-herancas-podem-ter-mais-impostos-entenda-o-que-muda/</v>
      </c>
      <c r="Y2906" s="77" t="s">
        <v>6002</v>
      </c>
      <c r="Z2906" s="77"/>
      <c r="AA2906" s="77"/>
      <c r="AB2906" s="77"/>
      <c r="AC2906" s="82" t="s">
        <v>7718</v>
      </c>
      <c r="AD2906" s="77" t="s">
        <v>7745</v>
      </c>
      <c r="AE2906" s="80" t="str">
        <f>HYPERLINK("https://twitter.com/leiamoneytimes/status/1694415377822880097")</f>
        <v>https://twitter.com/leiamoneytimes/status/1694415377822880097</v>
      </c>
      <c r="AF2906" s="79">
        <v>45161.767141203702</v>
      </c>
      <c r="AG2906" s="85">
        <v>45161</v>
      </c>
      <c r="AH2906" s="82" t="s">
        <v>10376</v>
      </c>
      <c r="AI2906" s="77" t="b">
        <v>0</v>
      </c>
      <c r="AJ2906" s="77"/>
      <c r="AK2906" s="77"/>
      <c r="AL2906" s="77"/>
      <c r="AM2906" s="77"/>
      <c r="AN2906" s="77"/>
      <c r="AO2906" s="77"/>
      <c r="AP2906" s="77"/>
      <c r="AQ2906" s="77"/>
      <c r="AR2906" s="77"/>
      <c r="AS2906" s="77"/>
      <c r="AT2906" s="77"/>
      <c r="AU2906" s="77"/>
      <c r="AV2906" s="80" t="str">
        <f>HYPERLINK("https://pbs.twimg.com/profile_images/1559883556846977024/bXHnQFY0_normal.jpg")</f>
        <v>https://pbs.twimg.com/profile_images/1559883556846977024/bXHnQFY0_normal.jpg</v>
      </c>
      <c r="AW2906" s="82" t="s">
        <v>15061</v>
      </c>
      <c r="AX2906" s="82" t="s">
        <v>15061</v>
      </c>
      <c r="AY2906" s="77"/>
      <c r="AZ2906" s="82" t="s">
        <v>15804</v>
      </c>
      <c r="BA2906" s="82" t="s">
        <v>15804</v>
      </c>
      <c r="BB2906" s="82" t="s">
        <v>15804</v>
      </c>
      <c r="BC2906" s="82" t="s">
        <v>15061</v>
      </c>
      <c r="BD2906" s="77">
        <v>51150679</v>
      </c>
      <c r="BE2906" s="77"/>
      <c r="BF2906" s="77"/>
      <c r="BG2906" s="77"/>
      <c r="BH2906" s="77"/>
      <c r="BI2906" s="77"/>
    </row>
    <row r="2907" spans="1:61" x14ac:dyDescent="0.25">
      <c r="A2907" s="62" t="s">
        <v>1027</v>
      </c>
      <c r="B2907" s="62" t="s">
        <v>1027</v>
      </c>
      <c r="C2907" s="63"/>
      <c r="D2907" s="64"/>
      <c r="E2907" s="65"/>
      <c r="F2907" s="66"/>
      <c r="G2907" s="63"/>
      <c r="H2907" s="67"/>
      <c r="I2907" s="68"/>
      <c r="J2907" s="68"/>
      <c r="K2907" s="32"/>
      <c r="L2907" s="75">
        <v>2907</v>
      </c>
      <c r="M2907" s="75"/>
      <c r="N2907" s="70"/>
      <c r="O2907" s="77" t="s">
        <v>179</v>
      </c>
      <c r="P2907" s="79">
        <v>45161.760891203703</v>
      </c>
      <c r="Q2907" s="77" t="s">
        <v>3919</v>
      </c>
      <c r="R2907" s="77">
        <v>1</v>
      </c>
      <c r="S2907" s="77">
        <v>2</v>
      </c>
      <c r="T2907" s="77">
        <v>2</v>
      </c>
      <c r="U2907" s="77">
        <v>0</v>
      </c>
      <c r="V2907" s="77">
        <v>987</v>
      </c>
      <c r="W2907" s="82" t="s">
        <v>5905</v>
      </c>
      <c r="X2907" s="80" t="str">
        <f>HYPERLINK("https://www.moneytimes.com.br/olha-o-golpe-brasil-tem-28-mil-tentativas-de-fraude-por-minuto-veja-como-se-proteger/")</f>
        <v>https://www.moneytimes.com.br/olha-o-golpe-brasil-tem-28-mil-tentativas-de-fraude-por-minuto-veja-como-se-proteger/</v>
      </c>
      <c r="Y2907" s="77" t="s">
        <v>6002</v>
      </c>
      <c r="Z2907" s="77"/>
      <c r="AA2907" s="77"/>
      <c r="AB2907" s="77"/>
      <c r="AC2907" s="82" t="s">
        <v>7718</v>
      </c>
      <c r="AD2907" s="77" t="s">
        <v>7745</v>
      </c>
      <c r="AE2907" s="80" t="str">
        <f>HYPERLINK("https://twitter.com/leiamoneytimes/status/1694413114320543747")</f>
        <v>https://twitter.com/leiamoneytimes/status/1694413114320543747</v>
      </c>
      <c r="AF2907" s="79">
        <v>45161.760891203703</v>
      </c>
      <c r="AG2907" s="85">
        <v>45161</v>
      </c>
      <c r="AH2907" s="82" t="s">
        <v>10377</v>
      </c>
      <c r="AI2907" s="77" t="b">
        <v>0</v>
      </c>
      <c r="AJ2907" s="77"/>
      <c r="AK2907" s="77"/>
      <c r="AL2907" s="77"/>
      <c r="AM2907" s="77"/>
      <c r="AN2907" s="77"/>
      <c r="AO2907" s="77"/>
      <c r="AP2907" s="77"/>
      <c r="AQ2907" s="77"/>
      <c r="AR2907" s="77"/>
      <c r="AS2907" s="77"/>
      <c r="AT2907" s="77"/>
      <c r="AU2907" s="77"/>
      <c r="AV2907" s="80" t="str">
        <f>HYPERLINK("https://pbs.twimg.com/profile_images/1559883556846977024/bXHnQFY0_normal.jpg")</f>
        <v>https://pbs.twimg.com/profile_images/1559883556846977024/bXHnQFY0_normal.jpg</v>
      </c>
      <c r="AW2907" s="82" t="s">
        <v>15062</v>
      </c>
      <c r="AX2907" s="82" t="s">
        <v>15062</v>
      </c>
      <c r="AY2907" s="77"/>
      <c r="AZ2907" s="82" t="s">
        <v>15804</v>
      </c>
      <c r="BA2907" s="82" t="s">
        <v>15804</v>
      </c>
      <c r="BB2907" s="82" t="s">
        <v>15804</v>
      </c>
      <c r="BC2907" s="82" t="s">
        <v>15062</v>
      </c>
      <c r="BD2907" s="77">
        <v>51150679</v>
      </c>
      <c r="BE2907" s="77"/>
      <c r="BF2907" s="77"/>
      <c r="BG2907" s="77"/>
      <c r="BH2907" s="77"/>
      <c r="BI2907" s="77"/>
    </row>
    <row r="2908" spans="1:61" x14ac:dyDescent="0.25">
      <c r="A2908" s="62" t="s">
        <v>1027</v>
      </c>
      <c r="B2908" s="62" t="s">
        <v>1027</v>
      </c>
      <c r="C2908" s="63"/>
      <c r="D2908" s="64"/>
      <c r="E2908" s="65"/>
      <c r="F2908" s="66"/>
      <c r="G2908" s="63"/>
      <c r="H2908" s="67"/>
      <c r="I2908" s="68"/>
      <c r="J2908" s="68"/>
      <c r="K2908" s="32"/>
      <c r="L2908" s="75">
        <v>2908</v>
      </c>
      <c r="M2908" s="75"/>
      <c r="N2908" s="70"/>
      <c r="O2908" s="77" t="s">
        <v>179</v>
      </c>
      <c r="P2908" s="79">
        <v>45159.829097222224</v>
      </c>
      <c r="Q2908" s="77" t="s">
        <v>3920</v>
      </c>
      <c r="R2908" s="77">
        <v>4</v>
      </c>
      <c r="S2908" s="77">
        <v>35</v>
      </c>
      <c r="T2908" s="77">
        <v>12</v>
      </c>
      <c r="U2908" s="77">
        <v>10</v>
      </c>
      <c r="V2908" s="77">
        <v>16723</v>
      </c>
      <c r="W2908" s="82" t="s">
        <v>5906</v>
      </c>
      <c r="X2908" s="80" t="str">
        <f>HYPERLINK("https://www.moneytimes.com.br/remedios-podem-ter-tributacao-maior-governo-avalia-alternativas/")</f>
        <v>https://www.moneytimes.com.br/remedios-podem-ter-tributacao-maior-governo-avalia-alternativas/</v>
      </c>
      <c r="Y2908" s="77" t="s">
        <v>6002</v>
      </c>
      <c r="Z2908" s="77"/>
      <c r="AA2908" s="77"/>
      <c r="AB2908" s="77"/>
      <c r="AC2908" s="82" t="s">
        <v>7718</v>
      </c>
      <c r="AD2908" s="77" t="s">
        <v>7745</v>
      </c>
      <c r="AE2908" s="80" t="str">
        <f>HYPERLINK("https://twitter.com/leiamoneytimes/status/1693713052506431784")</f>
        <v>https://twitter.com/leiamoneytimes/status/1693713052506431784</v>
      </c>
      <c r="AF2908" s="79">
        <v>45159.829097222224</v>
      </c>
      <c r="AG2908" s="85">
        <v>45159</v>
      </c>
      <c r="AH2908" s="82" t="s">
        <v>10378</v>
      </c>
      <c r="AI2908" s="77" t="b">
        <v>0</v>
      </c>
      <c r="AJ2908" s="77"/>
      <c r="AK2908" s="77"/>
      <c r="AL2908" s="77"/>
      <c r="AM2908" s="77"/>
      <c r="AN2908" s="77"/>
      <c r="AO2908" s="77"/>
      <c r="AP2908" s="77"/>
      <c r="AQ2908" s="77"/>
      <c r="AR2908" s="77"/>
      <c r="AS2908" s="77"/>
      <c r="AT2908" s="77"/>
      <c r="AU2908" s="77"/>
      <c r="AV2908" s="80" t="str">
        <f>HYPERLINK("https://pbs.twimg.com/profile_images/1559883556846977024/bXHnQFY0_normal.jpg")</f>
        <v>https://pbs.twimg.com/profile_images/1559883556846977024/bXHnQFY0_normal.jpg</v>
      </c>
      <c r="AW2908" s="82" t="s">
        <v>15063</v>
      </c>
      <c r="AX2908" s="82" t="s">
        <v>15063</v>
      </c>
      <c r="AY2908" s="77"/>
      <c r="AZ2908" s="82" t="s">
        <v>15804</v>
      </c>
      <c r="BA2908" s="82" t="s">
        <v>15804</v>
      </c>
      <c r="BB2908" s="82" t="s">
        <v>15804</v>
      </c>
      <c r="BC2908" s="82" t="s">
        <v>15063</v>
      </c>
      <c r="BD2908" s="77">
        <v>51150679</v>
      </c>
      <c r="BE2908" s="77"/>
      <c r="BF2908" s="77"/>
      <c r="BG2908" s="77"/>
      <c r="BH2908" s="77"/>
      <c r="BI2908" s="77"/>
    </row>
    <row r="2909" spans="1:61" x14ac:dyDescent="0.25">
      <c r="A2909" s="62" t="s">
        <v>1027</v>
      </c>
      <c r="B2909" s="62" t="s">
        <v>1027</v>
      </c>
      <c r="C2909" s="63"/>
      <c r="D2909" s="64"/>
      <c r="E2909" s="65"/>
      <c r="F2909" s="66"/>
      <c r="G2909" s="63"/>
      <c r="H2909" s="67"/>
      <c r="I2909" s="68"/>
      <c r="J2909" s="68"/>
      <c r="K2909" s="32"/>
      <c r="L2909" s="75">
        <v>2909</v>
      </c>
      <c r="M2909" s="75"/>
      <c r="N2909" s="70"/>
      <c r="O2909" s="77" t="s">
        <v>179</v>
      </c>
      <c r="P2909" s="79">
        <v>45124.711712962962</v>
      </c>
      <c r="Q2909" s="77" t="s">
        <v>3921</v>
      </c>
      <c r="R2909" s="77">
        <v>1</v>
      </c>
      <c r="S2909" s="77">
        <v>1</v>
      </c>
      <c r="T2909" s="77">
        <v>0</v>
      </c>
      <c r="U2909" s="77">
        <v>0</v>
      </c>
      <c r="V2909" s="77">
        <v>1127</v>
      </c>
      <c r="W2909" s="82" t="s">
        <v>5907</v>
      </c>
      <c r="X2909" s="80" t="str">
        <f>HYPERLINK("https://www.moneytimes.com.br/tesouro-direto-oferecera-titulo-para-bancar-estudos-e-universidade-a-partir-de-agosto/")</f>
        <v>https://www.moneytimes.com.br/tesouro-direto-oferecera-titulo-para-bancar-estudos-e-universidade-a-partir-de-agosto/</v>
      </c>
      <c r="Y2909" s="77" t="s">
        <v>6002</v>
      </c>
      <c r="Z2909" s="77"/>
      <c r="AA2909" s="77"/>
      <c r="AB2909" s="77"/>
      <c r="AC2909" s="82" t="s">
        <v>7718</v>
      </c>
      <c r="AD2909" s="77" t="s">
        <v>7745</v>
      </c>
      <c r="AE2909" s="80" t="str">
        <f>HYPERLINK("https://twitter.com/leiamoneytimes/status/1680986938646380545")</f>
        <v>https://twitter.com/leiamoneytimes/status/1680986938646380545</v>
      </c>
      <c r="AF2909" s="79">
        <v>45124.711712962962</v>
      </c>
      <c r="AG2909" s="85">
        <v>45124</v>
      </c>
      <c r="AH2909" s="82" t="s">
        <v>10379</v>
      </c>
      <c r="AI2909" s="77" t="b">
        <v>0</v>
      </c>
      <c r="AJ2909" s="77"/>
      <c r="AK2909" s="77"/>
      <c r="AL2909" s="77"/>
      <c r="AM2909" s="77"/>
      <c r="AN2909" s="77"/>
      <c r="AO2909" s="77"/>
      <c r="AP2909" s="77"/>
      <c r="AQ2909" s="77"/>
      <c r="AR2909" s="77"/>
      <c r="AS2909" s="77"/>
      <c r="AT2909" s="77"/>
      <c r="AU2909" s="77"/>
      <c r="AV2909" s="80" t="str">
        <f>HYPERLINK("https://pbs.twimg.com/profile_images/1559883556846977024/bXHnQFY0_normal.jpg")</f>
        <v>https://pbs.twimg.com/profile_images/1559883556846977024/bXHnQFY0_normal.jpg</v>
      </c>
      <c r="AW2909" s="82" t="s">
        <v>15064</v>
      </c>
      <c r="AX2909" s="82" t="s">
        <v>15064</v>
      </c>
      <c r="AY2909" s="77"/>
      <c r="AZ2909" s="82" t="s">
        <v>15804</v>
      </c>
      <c r="BA2909" s="82" t="s">
        <v>15804</v>
      </c>
      <c r="BB2909" s="82" t="s">
        <v>15804</v>
      </c>
      <c r="BC2909" s="82" t="s">
        <v>15064</v>
      </c>
      <c r="BD2909" s="77">
        <v>51150679</v>
      </c>
      <c r="BE2909" s="77"/>
      <c r="BF2909" s="77"/>
      <c r="BG2909" s="77"/>
      <c r="BH2909" s="77"/>
      <c r="BI2909" s="77"/>
    </row>
    <row r="2910" spans="1:61" x14ac:dyDescent="0.25">
      <c r="A2910" s="62" t="s">
        <v>1027</v>
      </c>
      <c r="B2910" s="62" t="s">
        <v>1027</v>
      </c>
      <c r="C2910" s="63"/>
      <c r="D2910" s="64"/>
      <c r="E2910" s="65"/>
      <c r="F2910" s="66"/>
      <c r="G2910" s="63"/>
      <c r="H2910" s="67"/>
      <c r="I2910" s="68"/>
      <c r="J2910" s="68"/>
      <c r="K2910" s="32"/>
      <c r="L2910" s="75">
        <v>2910</v>
      </c>
      <c r="M2910" s="75"/>
      <c r="N2910" s="70"/>
      <c r="O2910" s="77" t="s">
        <v>179</v>
      </c>
      <c r="P2910" s="79">
        <v>45122.721608796295</v>
      </c>
      <c r="Q2910" s="77" t="s">
        <v>3922</v>
      </c>
      <c r="R2910" s="77">
        <v>0</v>
      </c>
      <c r="S2910" s="77">
        <v>2</v>
      </c>
      <c r="T2910" s="77">
        <v>1</v>
      </c>
      <c r="U2910" s="77">
        <v>0</v>
      </c>
      <c r="V2910" s="77">
        <v>1672</v>
      </c>
      <c r="W2910" s="82" t="s">
        <v>5884</v>
      </c>
      <c r="X2910" s="80" t="str">
        <f>HYPERLINK("https://www.moneytimes.com.br/quem-quer-ser-um-milionario-acumulada-mega-sena-pode-pagar-bolada-neste-sabado-15/")</f>
        <v>https://www.moneytimes.com.br/quem-quer-ser-um-milionario-acumulada-mega-sena-pode-pagar-bolada-neste-sabado-15/</v>
      </c>
      <c r="Y2910" s="77" t="s">
        <v>6002</v>
      </c>
      <c r="Z2910" s="77"/>
      <c r="AA2910" s="77"/>
      <c r="AB2910" s="77"/>
      <c r="AC2910" s="82" t="s">
        <v>7718</v>
      </c>
      <c r="AD2910" s="77" t="s">
        <v>7745</v>
      </c>
      <c r="AE2910" s="80" t="str">
        <f>HYPERLINK("https://twitter.com/leiamoneytimes/status/1680265750102016001")</f>
        <v>https://twitter.com/leiamoneytimes/status/1680265750102016001</v>
      </c>
      <c r="AF2910" s="79">
        <v>45122.721608796295</v>
      </c>
      <c r="AG2910" s="85">
        <v>45122</v>
      </c>
      <c r="AH2910" s="82" t="s">
        <v>10380</v>
      </c>
      <c r="AI2910" s="77" t="b">
        <v>0</v>
      </c>
      <c r="AJ2910" s="77"/>
      <c r="AK2910" s="77"/>
      <c r="AL2910" s="77"/>
      <c r="AM2910" s="77"/>
      <c r="AN2910" s="77"/>
      <c r="AO2910" s="77"/>
      <c r="AP2910" s="77"/>
      <c r="AQ2910" s="77"/>
      <c r="AR2910" s="77"/>
      <c r="AS2910" s="77"/>
      <c r="AT2910" s="77"/>
      <c r="AU2910" s="77"/>
      <c r="AV2910" s="80" t="str">
        <f>HYPERLINK("https://pbs.twimg.com/profile_images/1559883556846977024/bXHnQFY0_normal.jpg")</f>
        <v>https://pbs.twimg.com/profile_images/1559883556846977024/bXHnQFY0_normal.jpg</v>
      </c>
      <c r="AW2910" s="82" t="s">
        <v>15065</v>
      </c>
      <c r="AX2910" s="82" t="s">
        <v>15065</v>
      </c>
      <c r="AY2910" s="77"/>
      <c r="AZ2910" s="82" t="s">
        <v>15804</v>
      </c>
      <c r="BA2910" s="82" t="s">
        <v>15804</v>
      </c>
      <c r="BB2910" s="82" t="s">
        <v>15804</v>
      </c>
      <c r="BC2910" s="82" t="s">
        <v>15065</v>
      </c>
      <c r="BD2910" s="77">
        <v>51150679</v>
      </c>
      <c r="BE2910" s="77"/>
      <c r="BF2910" s="77"/>
      <c r="BG2910" s="77"/>
      <c r="BH2910" s="77"/>
      <c r="BI2910" s="77"/>
    </row>
    <row r="2911" spans="1:61" x14ac:dyDescent="0.25">
      <c r="A2911" s="62" t="s">
        <v>1027</v>
      </c>
      <c r="B2911" s="62" t="s">
        <v>1027</v>
      </c>
      <c r="C2911" s="63"/>
      <c r="D2911" s="64"/>
      <c r="E2911" s="65"/>
      <c r="F2911" s="66"/>
      <c r="G2911" s="63"/>
      <c r="H2911" s="67"/>
      <c r="I2911" s="68"/>
      <c r="J2911" s="68"/>
      <c r="K2911" s="32"/>
      <c r="L2911" s="75">
        <v>2911</v>
      </c>
      <c r="M2911" s="75"/>
      <c r="N2911" s="70"/>
      <c r="O2911" s="77" t="s">
        <v>179</v>
      </c>
      <c r="P2911" s="79">
        <v>45107.459120370368</v>
      </c>
      <c r="Q2911" s="77" t="s">
        <v>3923</v>
      </c>
      <c r="R2911" s="77">
        <v>0</v>
      </c>
      <c r="S2911" s="77">
        <v>2</v>
      </c>
      <c r="T2911" s="77">
        <v>1</v>
      </c>
      <c r="U2911" s="77">
        <v>0</v>
      </c>
      <c r="V2911" s="77">
        <v>1267</v>
      </c>
      <c r="W2911" s="82" t="s">
        <v>5873</v>
      </c>
      <c r="X2911" s="80" t="str">
        <f>HYPERLINK("https://www.moneytimes.com.br/restituicao-do-imposto-de-renda-2023-receita-paga-2o-lote-nesta-sexta-feira-30-veja-se-voce-recebe/")</f>
        <v>https://www.moneytimes.com.br/restituicao-do-imposto-de-renda-2023-receita-paga-2o-lote-nesta-sexta-feira-30-veja-se-voce-recebe/</v>
      </c>
      <c r="Y2911" s="77" t="s">
        <v>6002</v>
      </c>
      <c r="Z2911" s="77"/>
      <c r="AA2911" s="77"/>
      <c r="AB2911" s="77"/>
      <c r="AC2911" s="82" t="s">
        <v>7718</v>
      </c>
      <c r="AD2911" s="77" t="s">
        <v>7745</v>
      </c>
      <c r="AE2911" s="80" t="str">
        <f>HYPERLINK("https://twitter.com/leiamoneytimes/status/1674734810286178304")</f>
        <v>https://twitter.com/leiamoneytimes/status/1674734810286178304</v>
      </c>
      <c r="AF2911" s="79">
        <v>45107.459120370368</v>
      </c>
      <c r="AG2911" s="85">
        <v>45107</v>
      </c>
      <c r="AH2911" s="82" t="s">
        <v>10381</v>
      </c>
      <c r="AI2911" s="77" t="b">
        <v>0</v>
      </c>
      <c r="AJ2911" s="77"/>
      <c r="AK2911" s="77"/>
      <c r="AL2911" s="77"/>
      <c r="AM2911" s="77"/>
      <c r="AN2911" s="77"/>
      <c r="AO2911" s="77"/>
      <c r="AP2911" s="77"/>
      <c r="AQ2911" s="77"/>
      <c r="AR2911" s="77"/>
      <c r="AS2911" s="77"/>
      <c r="AT2911" s="77"/>
      <c r="AU2911" s="77"/>
      <c r="AV2911" s="80" t="str">
        <f>HYPERLINK("https://pbs.twimg.com/profile_images/1559883556846977024/bXHnQFY0_normal.jpg")</f>
        <v>https://pbs.twimg.com/profile_images/1559883556846977024/bXHnQFY0_normal.jpg</v>
      </c>
      <c r="AW2911" s="82" t="s">
        <v>15066</v>
      </c>
      <c r="AX2911" s="82" t="s">
        <v>15066</v>
      </c>
      <c r="AY2911" s="77"/>
      <c r="AZ2911" s="82" t="s">
        <v>15804</v>
      </c>
      <c r="BA2911" s="82" t="s">
        <v>15804</v>
      </c>
      <c r="BB2911" s="82" t="s">
        <v>15804</v>
      </c>
      <c r="BC2911" s="82" t="s">
        <v>15066</v>
      </c>
      <c r="BD2911" s="77">
        <v>51150679</v>
      </c>
      <c r="BE2911" s="77"/>
      <c r="BF2911" s="77"/>
      <c r="BG2911" s="77"/>
      <c r="BH2911" s="77"/>
      <c r="BI2911" s="77"/>
    </row>
    <row r="2912" spans="1:61" x14ac:dyDescent="0.25">
      <c r="A2912" s="62" t="s">
        <v>1027</v>
      </c>
      <c r="B2912" s="62" t="s">
        <v>1027</v>
      </c>
      <c r="C2912" s="63"/>
      <c r="D2912" s="64"/>
      <c r="E2912" s="65"/>
      <c r="F2912" s="66"/>
      <c r="G2912" s="63"/>
      <c r="H2912" s="67"/>
      <c r="I2912" s="68"/>
      <c r="J2912" s="68"/>
      <c r="K2912" s="32"/>
      <c r="L2912" s="75">
        <v>2912</v>
      </c>
      <c r="M2912" s="75"/>
      <c r="N2912" s="70"/>
      <c r="O2912" s="77" t="s">
        <v>179</v>
      </c>
      <c r="P2912" s="79">
        <v>45085.695474537039</v>
      </c>
      <c r="Q2912" s="77" t="s">
        <v>3924</v>
      </c>
      <c r="R2912" s="77">
        <v>0</v>
      </c>
      <c r="S2912" s="77">
        <v>6</v>
      </c>
      <c r="T2912" s="77">
        <v>1</v>
      </c>
      <c r="U2912" s="77">
        <v>0</v>
      </c>
      <c r="V2912" s="77">
        <v>2065</v>
      </c>
      <c r="W2912" s="82" t="s">
        <v>5864</v>
      </c>
      <c r="X2912" s="80" t="str">
        <f>HYPERLINK("https://www.moneytimes.com.br/quina-de-sao-joao-2023-premio-deve-chegar-a-r-200-milhoes-e-nao-acumula-como-apostar/")</f>
        <v>https://www.moneytimes.com.br/quina-de-sao-joao-2023-premio-deve-chegar-a-r-200-milhoes-e-nao-acumula-como-apostar/</v>
      </c>
      <c r="Y2912" s="77" t="s">
        <v>6002</v>
      </c>
      <c r="Z2912" s="77"/>
      <c r="AA2912" s="77"/>
      <c r="AB2912" s="77"/>
      <c r="AC2912" s="82" t="s">
        <v>7718</v>
      </c>
      <c r="AD2912" s="77" t="s">
        <v>7745</v>
      </c>
      <c r="AE2912" s="80" t="str">
        <f>HYPERLINK("https://twitter.com/leiamoneytimes/status/1666847931083763717")</f>
        <v>https://twitter.com/leiamoneytimes/status/1666847931083763717</v>
      </c>
      <c r="AF2912" s="79">
        <v>45085.695474537039</v>
      </c>
      <c r="AG2912" s="85">
        <v>45085</v>
      </c>
      <c r="AH2912" s="82" t="s">
        <v>10382</v>
      </c>
      <c r="AI2912" s="77" t="b">
        <v>0</v>
      </c>
      <c r="AJ2912" s="77"/>
      <c r="AK2912" s="77"/>
      <c r="AL2912" s="77"/>
      <c r="AM2912" s="77"/>
      <c r="AN2912" s="77"/>
      <c r="AO2912" s="77"/>
      <c r="AP2912" s="77"/>
      <c r="AQ2912" s="77"/>
      <c r="AR2912" s="77"/>
      <c r="AS2912" s="77"/>
      <c r="AT2912" s="77"/>
      <c r="AU2912" s="77"/>
      <c r="AV2912" s="80" t="str">
        <f>HYPERLINK("https://pbs.twimg.com/profile_images/1559883556846977024/bXHnQFY0_normal.jpg")</f>
        <v>https://pbs.twimg.com/profile_images/1559883556846977024/bXHnQFY0_normal.jpg</v>
      </c>
      <c r="AW2912" s="82" t="s">
        <v>15067</v>
      </c>
      <c r="AX2912" s="82" t="s">
        <v>15067</v>
      </c>
      <c r="AY2912" s="77"/>
      <c r="AZ2912" s="82" t="s">
        <v>15804</v>
      </c>
      <c r="BA2912" s="82" t="s">
        <v>15804</v>
      </c>
      <c r="BB2912" s="82" t="s">
        <v>15804</v>
      </c>
      <c r="BC2912" s="82" t="s">
        <v>15067</v>
      </c>
      <c r="BD2912" s="77">
        <v>51150679</v>
      </c>
      <c r="BE2912" s="77"/>
      <c r="BF2912" s="77"/>
      <c r="BG2912" s="77"/>
      <c r="BH2912" s="77"/>
      <c r="BI2912" s="77"/>
    </row>
    <row r="2913" spans="1:61" x14ac:dyDescent="0.25">
      <c r="A2913" s="62" t="s">
        <v>1027</v>
      </c>
      <c r="B2913" s="62" t="s">
        <v>1027</v>
      </c>
      <c r="C2913" s="63"/>
      <c r="D2913" s="64"/>
      <c r="E2913" s="65"/>
      <c r="F2913" s="66"/>
      <c r="G2913" s="63"/>
      <c r="H2913" s="67"/>
      <c r="I2913" s="68"/>
      <c r="J2913" s="68"/>
      <c r="K2913" s="32"/>
      <c r="L2913" s="75">
        <v>2913</v>
      </c>
      <c r="M2913" s="75"/>
      <c r="N2913" s="70"/>
      <c r="O2913" s="77" t="s">
        <v>179</v>
      </c>
      <c r="P2913" s="79">
        <v>45085.639293981483</v>
      </c>
      <c r="Q2913" s="77" t="s">
        <v>3925</v>
      </c>
      <c r="R2913" s="77">
        <v>0</v>
      </c>
      <c r="S2913" s="77">
        <v>4</v>
      </c>
      <c r="T2913" s="77">
        <v>0</v>
      </c>
      <c r="U2913" s="77">
        <v>0</v>
      </c>
      <c r="V2913" s="77">
        <v>1784</v>
      </c>
      <c r="W2913" s="82" t="s">
        <v>5908</v>
      </c>
      <c r="X2913" s="80" t="str">
        <f>HYPERLINK("https://www.moneytimes.com.br/saldo-pis-pasep-caixa-libera-r-254-bilhoes-para-saque-veja-se-voce-tem-direito/")</f>
        <v>https://www.moneytimes.com.br/saldo-pis-pasep-caixa-libera-r-254-bilhoes-para-saque-veja-se-voce-tem-direito/</v>
      </c>
      <c r="Y2913" s="77" t="s">
        <v>6002</v>
      </c>
      <c r="Z2913" s="77"/>
      <c r="AA2913" s="77"/>
      <c r="AB2913" s="77"/>
      <c r="AC2913" s="82" t="s">
        <v>7718</v>
      </c>
      <c r="AD2913" s="77" t="s">
        <v>7745</v>
      </c>
      <c r="AE2913" s="80" t="str">
        <f>HYPERLINK("https://twitter.com/leiamoneytimes/status/1666827568496930816")</f>
        <v>https://twitter.com/leiamoneytimes/status/1666827568496930816</v>
      </c>
      <c r="AF2913" s="79">
        <v>45085.639293981483</v>
      </c>
      <c r="AG2913" s="85">
        <v>45085</v>
      </c>
      <c r="AH2913" s="82" t="s">
        <v>10383</v>
      </c>
      <c r="AI2913" s="77" t="b">
        <v>0</v>
      </c>
      <c r="AJ2913" s="77"/>
      <c r="AK2913" s="77"/>
      <c r="AL2913" s="77"/>
      <c r="AM2913" s="77"/>
      <c r="AN2913" s="77"/>
      <c r="AO2913" s="77"/>
      <c r="AP2913" s="77"/>
      <c r="AQ2913" s="77"/>
      <c r="AR2913" s="77"/>
      <c r="AS2913" s="77"/>
      <c r="AT2913" s="77"/>
      <c r="AU2913" s="77"/>
      <c r="AV2913" s="80" t="str">
        <f>HYPERLINK("https://pbs.twimg.com/profile_images/1559883556846977024/bXHnQFY0_normal.jpg")</f>
        <v>https://pbs.twimg.com/profile_images/1559883556846977024/bXHnQFY0_normal.jpg</v>
      </c>
      <c r="AW2913" s="82" t="s">
        <v>15068</v>
      </c>
      <c r="AX2913" s="82" t="s">
        <v>15068</v>
      </c>
      <c r="AY2913" s="77"/>
      <c r="AZ2913" s="82" t="s">
        <v>15804</v>
      </c>
      <c r="BA2913" s="82" t="s">
        <v>15804</v>
      </c>
      <c r="BB2913" s="82" t="s">
        <v>15804</v>
      </c>
      <c r="BC2913" s="82" t="s">
        <v>15068</v>
      </c>
      <c r="BD2913" s="77">
        <v>51150679</v>
      </c>
      <c r="BE2913" s="77"/>
      <c r="BF2913" s="77"/>
      <c r="BG2913" s="77"/>
      <c r="BH2913" s="77"/>
      <c r="BI2913" s="77"/>
    </row>
    <row r="2914" spans="1:61" x14ac:dyDescent="0.25">
      <c r="A2914" s="62" t="s">
        <v>1027</v>
      </c>
      <c r="B2914" s="62" t="s">
        <v>1027</v>
      </c>
      <c r="C2914" s="63"/>
      <c r="D2914" s="64"/>
      <c r="E2914" s="65"/>
      <c r="F2914" s="66"/>
      <c r="G2914" s="63"/>
      <c r="H2914" s="67"/>
      <c r="I2914" s="68"/>
      <c r="J2914" s="68"/>
      <c r="K2914" s="32"/>
      <c r="L2914" s="75">
        <v>2914</v>
      </c>
      <c r="M2914" s="75"/>
      <c r="N2914" s="70"/>
      <c r="O2914" s="77" t="s">
        <v>179</v>
      </c>
      <c r="P2914" s="79">
        <v>45085.542303240742</v>
      </c>
      <c r="Q2914" s="77" t="s">
        <v>3926</v>
      </c>
      <c r="R2914" s="77">
        <v>0</v>
      </c>
      <c r="S2914" s="77">
        <v>2</v>
      </c>
      <c r="T2914" s="77">
        <v>1</v>
      </c>
      <c r="U2914" s="77">
        <v>0</v>
      </c>
      <c r="V2914" s="77">
        <v>1494</v>
      </c>
      <c r="W2914" s="82" t="s">
        <v>5909</v>
      </c>
      <c r="X2914" s="80" t="str">
        <f>HYPERLINK("https://www.moneytimes.com.br/procurados-para-ganhar-dinheiro-auditor-entrega-r-72-milhoes-para-esquecidos-veja-como-saber-se-foi-sorteado/")</f>
        <v>https://www.moneytimes.com.br/procurados-para-ganhar-dinheiro-auditor-entrega-r-72-milhoes-para-esquecidos-veja-como-saber-se-foi-sorteado/</v>
      </c>
      <c r="Y2914" s="77" t="s">
        <v>6002</v>
      </c>
      <c r="Z2914" s="77"/>
      <c r="AA2914" s="77"/>
      <c r="AB2914" s="77"/>
      <c r="AC2914" s="82" t="s">
        <v>7718</v>
      </c>
      <c r="AD2914" s="77" t="s">
        <v>7745</v>
      </c>
      <c r="AE2914" s="80" t="str">
        <f>HYPERLINK("https://twitter.com/leiamoneytimes/status/1666792423689707521")</f>
        <v>https://twitter.com/leiamoneytimes/status/1666792423689707521</v>
      </c>
      <c r="AF2914" s="79">
        <v>45085.542303240742</v>
      </c>
      <c r="AG2914" s="85">
        <v>45085</v>
      </c>
      <c r="AH2914" s="82" t="s">
        <v>10384</v>
      </c>
      <c r="AI2914" s="77" t="b">
        <v>0</v>
      </c>
      <c r="AJ2914" s="77"/>
      <c r="AK2914" s="77"/>
      <c r="AL2914" s="77"/>
      <c r="AM2914" s="77"/>
      <c r="AN2914" s="77"/>
      <c r="AO2914" s="77"/>
      <c r="AP2914" s="77"/>
      <c r="AQ2914" s="77"/>
      <c r="AR2914" s="77"/>
      <c r="AS2914" s="77"/>
      <c r="AT2914" s="77"/>
      <c r="AU2914" s="77"/>
      <c r="AV2914" s="80" t="str">
        <f>HYPERLINK("https://pbs.twimg.com/profile_images/1559883556846977024/bXHnQFY0_normal.jpg")</f>
        <v>https://pbs.twimg.com/profile_images/1559883556846977024/bXHnQFY0_normal.jpg</v>
      </c>
      <c r="AW2914" s="82" t="s">
        <v>15069</v>
      </c>
      <c r="AX2914" s="82" t="s">
        <v>15069</v>
      </c>
      <c r="AY2914" s="77"/>
      <c r="AZ2914" s="82" t="s">
        <v>15804</v>
      </c>
      <c r="BA2914" s="82" t="s">
        <v>15804</v>
      </c>
      <c r="BB2914" s="82" t="s">
        <v>15804</v>
      </c>
      <c r="BC2914" s="82" t="s">
        <v>15069</v>
      </c>
      <c r="BD2914" s="77">
        <v>51150679</v>
      </c>
      <c r="BE2914" s="77"/>
      <c r="BF2914" s="77"/>
      <c r="BG2914" s="77"/>
      <c r="BH2914" s="77"/>
      <c r="BI2914" s="77"/>
    </row>
    <row r="2915" spans="1:61" x14ac:dyDescent="0.25">
      <c r="A2915" s="62" t="s">
        <v>1027</v>
      </c>
      <c r="B2915" s="62" t="s">
        <v>1027</v>
      </c>
      <c r="C2915" s="63"/>
      <c r="D2915" s="64"/>
      <c r="E2915" s="65"/>
      <c r="F2915" s="66"/>
      <c r="G2915" s="63"/>
      <c r="H2915" s="67"/>
      <c r="I2915" s="68"/>
      <c r="J2915" s="68"/>
      <c r="K2915" s="32"/>
      <c r="L2915" s="75">
        <v>2915</v>
      </c>
      <c r="M2915" s="75"/>
      <c r="N2915" s="70"/>
      <c r="O2915" s="77" t="s">
        <v>179</v>
      </c>
      <c r="P2915" s="79">
        <v>45085.485046296293</v>
      </c>
      <c r="Q2915" s="77" t="s">
        <v>3927</v>
      </c>
      <c r="R2915" s="77">
        <v>0</v>
      </c>
      <c r="S2915" s="77">
        <v>4</v>
      </c>
      <c r="T2915" s="77">
        <v>1</v>
      </c>
      <c r="U2915" s="77">
        <v>0</v>
      </c>
      <c r="V2915" s="77">
        <v>2585</v>
      </c>
      <c r="W2915" s="82" t="s">
        <v>5910</v>
      </c>
      <c r="X2915" s="80" t="str">
        <f>HYPERLINK("https://www.moneytimes.com.br/como-proteger-seus-investimentos-assessora-dina-franca-indica-o-que-fazer-em-2023/")</f>
        <v>https://www.moneytimes.com.br/como-proteger-seus-investimentos-assessora-dina-franca-indica-o-que-fazer-em-2023/</v>
      </c>
      <c r="Y2915" s="77" t="s">
        <v>6002</v>
      </c>
      <c r="Z2915" s="77"/>
      <c r="AA2915" s="77"/>
      <c r="AB2915" s="77"/>
      <c r="AC2915" s="82" t="s">
        <v>7718</v>
      </c>
      <c r="AD2915" s="77" t="s">
        <v>7745</v>
      </c>
      <c r="AE2915" s="80" t="str">
        <f>HYPERLINK("https://twitter.com/leiamoneytimes/status/1666771672068661250")</f>
        <v>https://twitter.com/leiamoneytimes/status/1666771672068661250</v>
      </c>
      <c r="AF2915" s="79">
        <v>45085.485046296293</v>
      </c>
      <c r="AG2915" s="85">
        <v>45085</v>
      </c>
      <c r="AH2915" s="82" t="s">
        <v>10385</v>
      </c>
      <c r="AI2915" s="77" t="b">
        <v>0</v>
      </c>
      <c r="AJ2915" s="77"/>
      <c r="AK2915" s="77"/>
      <c r="AL2915" s="77"/>
      <c r="AM2915" s="77"/>
      <c r="AN2915" s="77"/>
      <c r="AO2915" s="77"/>
      <c r="AP2915" s="77"/>
      <c r="AQ2915" s="77"/>
      <c r="AR2915" s="77"/>
      <c r="AS2915" s="77"/>
      <c r="AT2915" s="77"/>
      <c r="AU2915" s="77"/>
      <c r="AV2915" s="80" t="str">
        <f>HYPERLINK("https://pbs.twimg.com/profile_images/1559883556846977024/bXHnQFY0_normal.jpg")</f>
        <v>https://pbs.twimg.com/profile_images/1559883556846977024/bXHnQFY0_normal.jpg</v>
      </c>
      <c r="AW2915" s="82" t="s">
        <v>15070</v>
      </c>
      <c r="AX2915" s="82" t="s">
        <v>15070</v>
      </c>
      <c r="AY2915" s="77"/>
      <c r="AZ2915" s="82" t="s">
        <v>15804</v>
      </c>
      <c r="BA2915" s="82" t="s">
        <v>15804</v>
      </c>
      <c r="BB2915" s="82" t="s">
        <v>15804</v>
      </c>
      <c r="BC2915" s="82" t="s">
        <v>15070</v>
      </c>
      <c r="BD2915" s="77">
        <v>51150679</v>
      </c>
      <c r="BE2915" s="77"/>
      <c r="BF2915" s="77"/>
      <c r="BG2915" s="77"/>
      <c r="BH2915" s="77"/>
      <c r="BI2915" s="77"/>
    </row>
    <row r="2916" spans="1:61" x14ac:dyDescent="0.25">
      <c r="A2916" s="62" t="s">
        <v>1027</v>
      </c>
      <c r="B2916" s="62" t="s">
        <v>1027</v>
      </c>
      <c r="C2916" s="63"/>
      <c r="D2916" s="64"/>
      <c r="E2916" s="65"/>
      <c r="F2916" s="66"/>
      <c r="G2916" s="63"/>
      <c r="H2916" s="67"/>
      <c r="I2916" s="68"/>
      <c r="J2916" s="68"/>
      <c r="K2916" s="32"/>
      <c r="L2916" s="75">
        <v>2916</v>
      </c>
      <c r="M2916" s="75"/>
      <c r="N2916" s="70"/>
      <c r="O2916" s="77" t="s">
        <v>179</v>
      </c>
      <c r="P2916" s="79">
        <v>45063.667962962965</v>
      </c>
      <c r="Q2916" s="77" t="s">
        <v>3928</v>
      </c>
      <c r="R2916" s="77">
        <v>0</v>
      </c>
      <c r="S2916" s="77">
        <v>3</v>
      </c>
      <c r="T2916" s="77">
        <v>1</v>
      </c>
      <c r="U2916" s="77">
        <v>0</v>
      </c>
      <c r="V2916" s="77">
        <v>1281</v>
      </c>
      <c r="W2916" s="82" t="s">
        <v>5881</v>
      </c>
      <c r="X2916" s="80" t="str">
        <f>HYPERLINK("https://www.moneytimes.com.br/imposto-de-renda-prazo-esta-acabando-o-que-acontece-se-nao-declarar/")</f>
        <v>https://www.moneytimes.com.br/imposto-de-renda-prazo-esta-acabando-o-que-acontece-se-nao-declarar/</v>
      </c>
      <c r="Y2916" s="77" t="s">
        <v>6002</v>
      </c>
      <c r="Z2916" s="77"/>
      <c r="AA2916" s="77"/>
      <c r="AB2916" s="77"/>
      <c r="AC2916" s="82" t="s">
        <v>7718</v>
      </c>
      <c r="AD2916" s="77" t="s">
        <v>7745</v>
      </c>
      <c r="AE2916" s="80" t="str">
        <f>HYPERLINK("https://twitter.com/leiamoneytimes/status/1658865424623099904")</f>
        <v>https://twitter.com/leiamoneytimes/status/1658865424623099904</v>
      </c>
      <c r="AF2916" s="79">
        <v>45063.667962962965</v>
      </c>
      <c r="AG2916" s="85">
        <v>45063</v>
      </c>
      <c r="AH2916" s="82" t="s">
        <v>10386</v>
      </c>
      <c r="AI2916" s="77" t="b">
        <v>0</v>
      </c>
      <c r="AJ2916" s="77"/>
      <c r="AK2916" s="77"/>
      <c r="AL2916" s="77"/>
      <c r="AM2916" s="77"/>
      <c r="AN2916" s="77"/>
      <c r="AO2916" s="77"/>
      <c r="AP2916" s="77"/>
      <c r="AQ2916" s="77"/>
      <c r="AR2916" s="77"/>
      <c r="AS2916" s="77"/>
      <c r="AT2916" s="77"/>
      <c r="AU2916" s="77"/>
      <c r="AV2916" s="80" t="str">
        <f>HYPERLINK("https://pbs.twimg.com/profile_images/1559883556846977024/bXHnQFY0_normal.jpg")</f>
        <v>https://pbs.twimg.com/profile_images/1559883556846977024/bXHnQFY0_normal.jpg</v>
      </c>
      <c r="AW2916" s="82" t="s">
        <v>15071</v>
      </c>
      <c r="AX2916" s="82" t="s">
        <v>15071</v>
      </c>
      <c r="AY2916" s="77"/>
      <c r="AZ2916" s="82" t="s">
        <v>15804</v>
      </c>
      <c r="BA2916" s="82" t="s">
        <v>15804</v>
      </c>
      <c r="BB2916" s="82" t="s">
        <v>15804</v>
      </c>
      <c r="BC2916" s="82" t="s">
        <v>15071</v>
      </c>
      <c r="BD2916" s="77">
        <v>51150679</v>
      </c>
      <c r="BE2916" s="77"/>
      <c r="BF2916" s="77"/>
      <c r="BG2916" s="77"/>
      <c r="BH2916" s="77"/>
      <c r="BI2916" s="77"/>
    </row>
    <row r="2917" spans="1:61" x14ac:dyDescent="0.25">
      <c r="A2917" s="62" t="s">
        <v>1027</v>
      </c>
      <c r="B2917" s="62" t="s">
        <v>1027</v>
      </c>
      <c r="C2917" s="63"/>
      <c r="D2917" s="64"/>
      <c r="E2917" s="65"/>
      <c r="F2917" s="66"/>
      <c r="G2917" s="63"/>
      <c r="H2917" s="67"/>
      <c r="I2917" s="68"/>
      <c r="J2917" s="68"/>
      <c r="K2917" s="32"/>
      <c r="L2917" s="75">
        <v>2917</v>
      </c>
      <c r="M2917" s="75"/>
      <c r="N2917" s="70"/>
      <c r="O2917" s="77" t="s">
        <v>179</v>
      </c>
      <c r="P2917" s="79">
        <v>45063.661041666666</v>
      </c>
      <c r="Q2917" s="77" t="s">
        <v>3929</v>
      </c>
      <c r="R2917" s="77">
        <v>0</v>
      </c>
      <c r="S2917" s="77">
        <v>5</v>
      </c>
      <c r="T2917" s="77">
        <v>1</v>
      </c>
      <c r="U2917" s="77">
        <v>0</v>
      </c>
      <c r="V2917" s="77">
        <v>1435</v>
      </c>
      <c r="W2917" s="82" t="s">
        <v>5858</v>
      </c>
      <c r="X2917" s="80" t="str">
        <f>HYPERLINK("https://www.moneytimes.com.br/imposto-de-renda-em-reta-final-13-milhoes-de-contribuintes-ainda-nao-declararam-veja-como-escapar-do-leao/")</f>
        <v>https://www.moneytimes.com.br/imposto-de-renda-em-reta-final-13-milhoes-de-contribuintes-ainda-nao-declararam-veja-como-escapar-do-leao/</v>
      </c>
      <c r="Y2917" s="77" t="s">
        <v>6002</v>
      </c>
      <c r="Z2917" s="77"/>
      <c r="AA2917" s="77"/>
      <c r="AB2917" s="77"/>
      <c r="AC2917" s="82" t="s">
        <v>7718</v>
      </c>
      <c r="AD2917" s="77" t="s">
        <v>7745</v>
      </c>
      <c r="AE2917" s="80" t="str">
        <f>HYPERLINK("https://twitter.com/leiamoneytimes/status/1658862919940014080")</f>
        <v>https://twitter.com/leiamoneytimes/status/1658862919940014080</v>
      </c>
      <c r="AF2917" s="79">
        <v>45063.661041666666</v>
      </c>
      <c r="AG2917" s="85">
        <v>45063</v>
      </c>
      <c r="AH2917" s="82" t="s">
        <v>10387</v>
      </c>
      <c r="AI2917" s="77" t="b">
        <v>0</v>
      </c>
      <c r="AJ2917" s="77"/>
      <c r="AK2917" s="77"/>
      <c r="AL2917" s="77"/>
      <c r="AM2917" s="77"/>
      <c r="AN2917" s="77"/>
      <c r="AO2917" s="77"/>
      <c r="AP2917" s="77"/>
      <c r="AQ2917" s="77"/>
      <c r="AR2917" s="77"/>
      <c r="AS2917" s="77"/>
      <c r="AT2917" s="77"/>
      <c r="AU2917" s="77"/>
      <c r="AV2917" s="80" t="str">
        <f>HYPERLINK("https://pbs.twimg.com/profile_images/1559883556846977024/bXHnQFY0_normal.jpg")</f>
        <v>https://pbs.twimg.com/profile_images/1559883556846977024/bXHnQFY0_normal.jpg</v>
      </c>
      <c r="AW2917" s="82" t="s">
        <v>15072</v>
      </c>
      <c r="AX2917" s="82" t="s">
        <v>15072</v>
      </c>
      <c r="AY2917" s="77"/>
      <c r="AZ2917" s="82" t="s">
        <v>15804</v>
      </c>
      <c r="BA2917" s="82" t="s">
        <v>15804</v>
      </c>
      <c r="BB2917" s="82" t="s">
        <v>15804</v>
      </c>
      <c r="BC2917" s="82" t="s">
        <v>15072</v>
      </c>
      <c r="BD2917" s="77">
        <v>51150679</v>
      </c>
      <c r="BE2917" s="77"/>
      <c r="BF2917" s="77"/>
      <c r="BG2917" s="77"/>
      <c r="BH2917" s="77"/>
      <c r="BI2917" s="77"/>
    </row>
    <row r="2918" spans="1:61" x14ac:dyDescent="0.25">
      <c r="A2918" s="62" t="s">
        <v>1027</v>
      </c>
      <c r="B2918" s="62" t="s">
        <v>1027</v>
      </c>
      <c r="C2918" s="63"/>
      <c r="D2918" s="64"/>
      <c r="E2918" s="65"/>
      <c r="F2918" s="66"/>
      <c r="G2918" s="63"/>
      <c r="H2918" s="67"/>
      <c r="I2918" s="68"/>
      <c r="J2918" s="68"/>
      <c r="K2918" s="32"/>
      <c r="L2918" s="75">
        <v>2918</v>
      </c>
      <c r="M2918" s="75"/>
      <c r="N2918" s="70"/>
      <c r="O2918" s="77" t="s">
        <v>179</v>
      </c>
      <c r="P2918" s="79">
        <v>45061.694467592592</v>
      </c>
      <c r="Q2918" s="77" t="s">
        <v>3930</v>
      </c>
      <c r="R2918" s="77">
        <v>0</v>
      </c>
      <c r="S2918" s="77">
        <v>2</v>
      </c>
      <c r="T2918" s="77">
        <v>0</v>
      </c>
      <c r="U2918" s="77">
        <v>0</v>
      </c>
      <c r="V2918" s="77">
        <v>1484</v>
      </c>
      <c r="W2918" s="82" t="s">
        <v>5871</v>
      </c>
      <c r="X2918" s="80" t="str">
        <f>HYPERLINK("https://www.moneytimes.com.br/imposto-de-renda-2023-pensao-alimenticia-mudou-veja-como-declarar/")</f>
        <v>https://www.moneytimes.com.br/imposto-de-renda-2023-pensao-alimenticia-mudou-veja-como-declarar/</v>
      </c>
      <c r="Y2918" s="77" t="s">
        <v>6002</v>
      </c>
      <c r="Z2918" s="77"/>
      <c r="AA2918" s="77"/>
      <c r="AB2918" s="77"/>
      <c r="AC2918" s="82" t="s">
        <v>7718</v>
      </c>
      <c r="AD2918" s="77" t="s">
        <v>7745</v>
      </c>
      <c r="AE2918" s="80" t="str">
        <f>HYPERLINK("https://twitter.com/leiamoneytimes/status/1658150256406671360")</f>
        <v>https://twitter.com/leiamoneytimes/status/1658150256406671360</v>
      </c>
      <c r="AF2918" s="79">
        <v>45061.694467592592</v>
      </c>
      <c r="AG2918" s="85">
        <v>45061</v>
      </c>
      <c r="AH2918" s="82" t="s">
        <v>10388</v>
      </c>
      <c r="AI2918" s="77" t="b">
        <v>0</v>
      </c>
      <c r="AJ2918" s="77"/>
      <c r="AK2918" s="77"/>
      <c r="AL2918" s="77"/>
      <c r="AM2918" s="77"/>
      <c r="AN2918" s="77"/>
      <c r="AO2918" s="77"/>
      <c r="AP2918" s="77"/>
      <c r="AQ2918" s="77"/>
      <c r="AR2918" s="77"/>
      <c r="AS2918" s="77"/>
      <c r="AT2918" s="77"/>
      <c r="AU2918" s="77"/>
      <c r="AV2918" s="80" t="str">
        <f>HYPERLINK("https://pbs.twimg.com/profile_images/1559883556846977024/bXHnQFY0_normal.jpg")</f>
        <v>https://pbs.twimg.com/profile_images/1559883556846977024/bXHnQFY0_normal.jpg</v>
      </c>
      <c r="AW2918" s="82" t="s">
        <v>15073</v>
      </c>
      <c r="AX2918" s="82" t="s">
        <v>15073</v>
      </c>
      <c r="AY2918" s="77"/>
      <c r="AZ2918" s="82" t="s">
        <v>15804</v>
      </c>
      <c r="BA2918" s="82" t="s">
        <v>15804</v>
      </c>
      <c r="BB2918" s="82" t="s">
        <v>15804</v>
      </c>
      <c r="BC2918" s="82" t="s">
        <v>15073</v>
      </c>
      <c r="BD2918" s="77">
        <v>51150679</v>
      </c>
      <c r="BE2918" s="77"/>
      <c r="BF2918" s="77"/>
      <c r="BG2918" s="77"/>
      <c r="BH2918" s="77"/>
      <c r="BI2918" s="77"/>
    </row>
    <row r="2919" spans="1:61" x14ac:dyDescent="0.25">
      <c r="A2919" s="62" t="s">
        <v>1027</v>
      </c>
      <c r="B2919" s="62" t="s">
        <v>1027</v>
      </c>
      <c r="C2919" s="63"/>
      <c r="D2919" s="64"/>
      <c r="E2919" s="65"/>
      <c r="F2919" s="66"/>
      <c r="G2919" s="63"/>
      <c r="H2919" s="67"/>
      <c r="I2919" s="68"/>
      <c r="J2919" s="68"/>
      <c r="K2919" s="32"/>
      <c r="L2919" s="75">
        <v>2919</v>
      </c>
      <c r="M2919" s="75"/>
      <c r="N2919" s="70"/>
      <c r="O2919" s="77" t="s">
        <v>179</v>
      </c>
      <c r="P2919" s="79">
        <v>45012.829629629632</v>
      </c>
      <c r="Q2919" s="77" t="s">
        <v>3931</v>
      </c>
      <c r="R2919" s="77">
        <v>0</v>
      </c>
      <c r="S2919" s="77">
        <v>1</v>
      </c>
      <c r="T2919" s="77">
        <v>0</v>
      </c>
      <c r="U2919" s="77">
        <v>0</v>
      </c>
      <c r="V2919" s="77">
        <v>1014</v>
      </c>
      <c r="W2919" s="82" t="s">
        <v>5880</v>
      </c>
      <c r="X2919" s="80" t="str">
        <f>HYPERLINK("https://www.moneytimes.com.br/imposto-de-renda-2023-e-preciso-declarar-a-poupanca-de-dependentes/")</f>
        <v>https://www.moneytimes.com.br/imposto-de-renda-2023-e-preciso-declarar-a-poupanca-de-dependentes/</v>
      </c>
      <c r="Y2919" s="77" t="s">
        <v>6002</v>
      </c>
      <c r="Z2919" s="77"/>
      <c r="AA2919" s="77"/>
      <c r="AB2919" s="77"/>
      <c r="AC2919" s="82" t="s">
        <v>7718</v>
      </c>
      <c r="AD2919" s="77" t="s">
        <v>7745</v>
      </c>
      <c r="AE2919" s="80" t="str">
        <f>HYPERLINK("https://twitter.com/leiamoneytimes/status/1640442229285158912")</f>
        <v>https://twitter.com/leiamoneytimes/status/1640442229285158912</v>
      </c>
      <c r="AF2919" s="79">
        <v>45012.829629629632</v>
      </c>
      <c r="AG2919" s="85">
        <v>45012</v>
      </c>
      <c r="AH2919" s="82" t="s">
        <v>10389</v>
      </c>
      <c r="AI2919" s="77" t="b">
        <v>0</v>
      </c>
      <c r="AJ2919" s="77"/>
      <c r="AK2919" s="77"/>
      <c r="AL2919" s="77"/>
      <c r="AM2919" s="77"/>
      <c r="AN2919" s="77"/>
      <c r="AO2919" s="77"/>
      <c r="AP2919" s="77"/>
      <c r="AQ2919" s="77"/>
      <c r="AR2919" s="77"/>
      <c r="AS2919" s="77"/>
      <c r="AT2919" s="77"/>
      <c r="AU2919" s="77"/>
      <c r="AV2919" s="80" t="str">
        <f>HYPERLINK("https://pbs.twimg.com/profile_images/1559883556846977024/bXHnQFY0_normal.jpg")</f>
        <v>https://pbs.twimg.com/profile_images/1559883556846977024/bXHnQFY0_normal.jpg</v>
      </c>
      <c r="AW2919" s="82" t="s">
        <v>15074</v>
      </c>
      <c r="AX2919" s="82" t="s">
        <v>15074</v>
      </c>
      <c r="AY2919" s="77"/>
      <c r="AZ2919" s="82" t="s">
        <v>15804</v>
      </c>
      <c r="BA2919" s="82" t="s">
        <v>15804</v>
      </c>
      <c r="BB2919" s="82" t="s">
        <v>15804</v>
      </c>
      <c r="BC2919" s="82" t="s">
        <v>15074</v>
      </c>
      <c r="BD2919" s="77">
        <v>51150679</v>
      </c>
      <c r="BE2919" s="77"/>
      <c r="BF2919" s="77"/>
      <c r="BG2919" s="77"/>
      <c r="BH2919" s="77"/>
      <c r="BI2919" s="77"/>
    </row>
    <row r="2920" spans="1:61" x14ac:dyDescent="0.25">
      <c r="A2920" s="62" t="s">
        <v>1027</v>
      </c>
      <c r="B2920" s="62" t="s">
        <v>1027</v>
      </c>
      <c r="C2920" s="63"/>
      <c r="D2920" s="64"/>
      <c r="E2920" s="65"/>
      <c r="F2920" s="66"/>
      <c r="G2920" s="63"/>
      <c r="H2920" s="67"/>
      <c r="I2920" s="68"/>
      <c r="J2920" s="68"/>
      <c r="K2920" s="32"/>
      <c r="L2920" s="75">
        <v>2920</v>
      </c>
      <c r="M2920" s="75"/>
      <c r="N2920" s="70"/>
      <c r="O2920" s="77" t="s">
        <v>179</v>
      </c>
      <c r="P2920" s="79">
        <v>45012.702349537038</v>
      </c>
      <c r="Q2920" s="77" t="s">
        <v>3932</v>
      </c>
      <c r="R2920" s="77">
        <v>0</v>
      </c>
      <c r="S2920" s="77">
        <v>1</v>
      </c>
      <c r="T2920" s="77">
        <v>1</v>
      </c>
      <c r="U2920" s="77">
        <v>0</v>
      </c>
      <c r="V2920" s="77">
        <v>936</v>
      </c>
      <c r="W2920" s="82" t="s">
        <v>5911</v>
      </c>
      <c r="X2920" s="80" t="str">
        <f>HYPERLINK("https://www.moneytimes.com.br/imposto-de-renda-2023-como-declarar-dinheiro-na-poupanca/")</f>
        <v>https://www.moneytimes.com.br/imposto-de-renda-2023-como-declarar-dinheiro-na-poupanca/</v>
      </c>
      <c r="Y2920" s="77" t="s">
        <v>6002</v>
      </c>
      <c r="Z2920" s="77"/>
      <c r="AA2920" s="77"/>
      <c r="AB2920" s="77"/>
      <c r="AC2920" s="82" t="s">
        <v>7718</v>
      </c>
      <c r="AD2920" s="77" t="s">
        <v>7745</v>
      </c>
      <c r="AE2920" s="80" t="str">
        <f>HYPERLINK("https://twitter.com/leiamoneytimes/status/1640396106608656391")</f>
        <v>https://twitter.com/leiamoneytimes/status/1640396106608656391</v>
      </c>
      <c r="AF2920" s="79">
        <v>45012.702349537038</v>
      </c>
      <c r="AG2920" s="85">
        <v>45012</v>
      </c>
      <c r="AH2920" s="82" t="s">
        <v>10390</v>
      </c>
      <c r="AI2920" s="77" t="b">
        <v>0</v>
      </c>
      <c r="AJ2920" s="77"/>
      <c r="AK2920" s="77"/>
      <c r="AL2920" s="77"/>
      <c r="AM2920" s="77"/>
      <c r="AN2920" s="77"/>
      <c r="AO2920" s="77"/>
      <c r="AP2920" s="77"/>
      <c r="AQ2920" s="77"/>
      <c r="AR2920" s="77"/>
      <c r="AS2920" s="77"/>
      <c r="AT2920" s="77"/>
      <c r="AU2920" s="77"/>
      <c r="AV2920" s="80" t="str">
        <f>HYPERLINK("https://pbs.twimg.com/profile_images/1559883556846977024/bXHnQFY0_normal.jpg")</f>
        <v>https://pbs.twimg.com/profile_images/1559883556846977024/bXHnQFY0_normal.jpg</v>
      </c>
      <c r="AW2920" s="82" t="s">
        <v>15075</v>
      </c>
      <c r="AX2920" s="82" t="s">
        <v>15075</v>
      </c>
      <c r="AY2920" s="77"/>
      <c r="AZ2920" s="82" t="s">
        <v>15804</v>
      </c>
      <c r="BA2920" s="82" t="s">
        <v>15804</v>
      </c>
      <c r="BB2920" s="82" t="s">
        <v>15804</v>
      </c>
      <c r="BC2920" s="82" t="s">
        <v>15075</v>
      </c>
      <c r="BD2920" s="77">
        <v>51150679</v>
      </c>
      <c r="BE2920" s="77"/>
      <c r="BF2920" s="77"/>
      <c r="BG2920" s="77"/>
      <c r="BH2920" s="77"/>
      <c r="BI2920" s="77"/>
    </row>
    <row r="2921" spans="1:61" x14ac:dyDescent="0.25">
      <c r="A2921" s="62" t="s">
        <v>1027</v>
      </c>
      <c r="B2921" s="62" t="s">
        <v>1027</v>
      </c>
      <c r="C2921" s="63"/>
      <c r="D2921" s="64"/>
      <c r="E2921" s="65"/>
      <c r="F2921" s="66"/>
      <c r="G2921" s="63"/>
      <c r="H2921" s="67"/>
      <c r="I2921" s="68"/>
      <c r="J2921" s="68"/>
      <c r="K2921" s="32"/>
      <c r="L2921" s="75">
        <v>2921</v>
      </c>
      <c r="M2921" s="75"/>
      <c r="N2921" s="70"/>
      <c r="O2921" s="77" t="s">
        <v>179</v>
      </c>
      <c r="P2921" s="79">
        <v>45011.500810185185</v>
      </c>
      <c r="Q2921" s="77" t="s">
        <v>3933</v>
      </c>
      <c r="R2921" s="77">
        <v>0</v>
      </c>
      <c r="S2921" s="77">
        <v>4</v>
      </c>
      <c r="T2921" s="77">
        <v>0</v>
      </c>
      <c r="U2921" s="77">
        <v>0</v>
      </c>
      <c r="V2921" s="77">
        <v>1969</v>
      </c>
      <c r="W2921" s="82" t="s">
        <v>5870</v>
      </c>
      <c r="X2921" s="80" t="str">
        <f>HYPERLINK("https://www.moneytimes.com.br/imposto-de-renda-2023-como-declarar-investimentos-de-renda-fixa/")</f>
        <v>https://www.moneytimes.com.br/imposto-de-renda-2023-como-declarar-investimentos-de-renda-fixa/</v>
      </c>
      <c r="Y2921" s="77" t="s">
        <v>6002</v>
      </c>
      <c r="Z2921" s="77"/>
      <c r="AA2921" s="77"/>
      <c r="AB2921" s="77"/>
      <c r="AC2921" s="82" t="s">
        <v>7718</v>
      </c>
      <c r="AD2921" s="77" t="s">
        <v>7745</v>
      </c>
      <c r="AE2921" s="80" t="str">
        <f>HYPERLINK("https://twitter.com/leiamoneytimes/status/1639960685021937666")</f>
        <v>https://twitter.com/leiamoneytimes/status/1639960685021937666</v>
      </c>
      <c r="AF2921" s="79">
        <v>45011.500810185185</v>
      </c>
      <c r="AG2921" s="85">
        <v>45011</v>
      </c>
      <c r="AH2921" s="82" t="s">
        <v>10391</v>
      </c>
      <c r="AI2921" s="77" t="b">
        <v>0</v>
      </c>
      <c r="AJ2921" s="77"/>
      <c r="AK2921" s="77"/>
      <c r="AL2921" s="77"/>
      <c r="AM2921" s="77"/>
      <c r="AN2921" s="77"/>
      <c r="AO2921" s="77"/>
      <c r="AP2921" s="77"/>
      <c r="AQ2921" s="77"/>
      <c r="AR2921" s="77"/>
      <c r="AS2921" s="77"/>
      <c r="AT2921" s="77"/>
      <c r="AU2921" s="77"/>
      <c r="AV2921" s="80" t="str">
        <f>HYPERLINK("https://pbs.twimg.com/profile_images/1559883556846977024/bXHnQFY0_normal.jpg")</f>
        <v>https://pbs.twimg.com/profile_images/1559883556846977024/bXHnQFY0_normal.jpg</v>
      </c>
      <c r="AW2921" s="82" t="s">
        <v>15076</v>
      </c>
      <c r="AX2921" s="82" t="s">
        <v>15076</v>
      </c>
      <c r="AY2921" s="77"/>
      <c r="AZ2921" s="82" t="s">
        <v>15804</v>
      </c>
      <c r="BA2921" s="82" t="s">
        <v>15804</v>
      </c>
      <c r="BB2921" s="82" t="s">
        <v>15804</v>
      </c>
      <c r="BC2921" s="82" t="s">
        <v>15076</v>
      </c>
      <c r="BD2921" s="77">
        <v>51150679</v>
      </c>
      <c r="BE2921" s="77"/>
      <c r="BF2921" s="77"/>
      <c r="BG2921" s="77"/>
      <c r="BH2921" s="77"/>
      <c r="BI2921" s="77"/>
    </row>
    <row r="2922" spans="1:61" x14ac:dyDescent="0.25">
      <c r="A2922" s="62" t="s">
        <v>1027</v>
      </c>
      <c r="B2922" s="62" t="s">
        <v>1027</v>
      </c>
      <c r="C2922" s="63"/>
      <c r="D2922" s="64"/>
      <c r="E2922" s="65"/>
      <c r="F2922" s="66"/>
      <c r="G2922" s="63"/>
      <c r="H2922" s="67"/>
      <c r="I2922" s="68"/>
      <c r="J2922" s="68"/>
      <c r="K2922" s="32"/>
      <c r="L2922" s="75">
        <v>2922</v>
      </c>
      <c r="M2922" s="75"/>
      <c r="N2922" s="70"/>
      <c r="O2922" s="77" t="s">
        <v>179</v>
      </c>
      <c r="P2922" s="79">
        <v>45010.79478009259</v>
      </c>
      <c r="Q2922" s="77" t="s">
        <v>3934</v>
      </c>
      <c r="R2922" s="77">
        <v>0</v>
      </c>
      <c r="S2922" s="77">
        <v>0</v>
      </c>
      <c r="T2922" s="77">
        <v>0</v>
      </c>
      <c r="U2922" s="77">
        <v>0</v>
      </c>
      <c r="V2922" s="77">
        <v>1533</v>
      </c>
      <c r="W2922" s="82" t="s">
        <v>5870</v>
      </c>
      <c r="X2922" s="80" t="str">
        <f>HYPERLINK("https://www.moneytimes.com.br/veja-o-que-significa-em-fila-de-restituicao-2023-consulte-a-restituicao-do-imposto-de-renda-e-saiba-quando-a-receita-paga/")</f>
        <v>https://www.moneytimes.com.br/veja-o-que-significa-em-fila-de-restituicao-2023-consulte-a-restituicao-do-imposto-de-renda-e-saiba-quando-a-receita-paga/</v>
      </c>
      <c r="Y2922" s="77" t="s">
        <v>6002</v>
      </c>
      <c r="Z2922" s="77"/>
      <c r="AA2922" s="77"/>
      <c r="AB2922" s="77"/>
      <c r="AC2922" s="82" t="s">
        <v>7718</v>
      </c>
      <c r="AD2922" s="77" t="s">
        <v>7745</v>
      </c>
      <c r="AE2922" s="80" t="str">
        <f>HYPERLINK("https://twitter.com/leiamoneytimes/status/1639704827167997953")</f>
        <v>https://twitter.com/leiamoneytimes/status/1639704827167997953</v>
      </c>
      <c r="AF2922" s="79">
        <v>45010.79478009259</v>
      </c>
      <c r="AG2922" s="85">
        <v>45010</v>
      </c>
      <c r="AH2922" s="82" t="s">
        <v>10392</v>
      </c>
      <c r="AI2922" s="77" t="b">
        <v>0</v>
      </c>
      <c r="AJ2922" s="77"/>
      <c r="AK2922" s="77"/>
      <c r="AL2922" s="77"/>
      <c r="AM2922" s="77"/>
      <c r="AN2922" s="77"/>
      <c r="AO2922" s="77"/>
      <c r="AP2922" s="77"/>
      <c r="AQ2922" s="77"/>
      <c r="AR2922" s="77"/>
      <c r="AS2922" s="77"/>
      <c r="AT2922" s="77"/>
      <c r="AU2922" s="77"/>
      <c r="AV2922" s="80" t="str">
        <f>HYPERLINK("https://pbs.twimg.com/profile_images/1559883556846977024/bXHnQFY0_normal.jpg")</f>
        <v>https://pbs.twimg.com/profile_images/1559883556846977024/bXHnQFY0_normal.jpg</v>
      </c>
      <c r="AW2922" s="82" t="s">
        <v>15077</v>
      </c>
      <c r="AX2922" s="82" t="s">
        <v>15077</v>
      </c>
      <c r="AY2922" s="77"/>
      <c r="AZ2922" s="82" t="s">
        <v>15804</v>
      </c>
      <c r="BA2922" s="82" t="s">
        <v>15804</v>
      </c>
      <c r="BB2922" s="82" t="s">
        <v>15804</v>
      </c>
      <c r="BC2922" s="82" t="s">
        <v>15077</v>
      </c>
      <c r="BD2922" s="77">
        <v>51150679</v>
      </c>
      <c r="BE2922" s="77"/>
      <c r="BF2922" s="77"/>
      <c r="BG2922" s="77"/>
      <c r="BH2922" s="77"/>
      <c r="BI2922" s="77"/>
    </row>
    <row r="2923" spans="1:61" x14ac:dyDescent="0.25">
      <c r="A2923" s="62" t="s">
        <v>1027</v>
      </c>
      <c r="B2923" s="62" t="s">
        <v>1027</v>
      </c>
      <c r="C2923" s="63"/>
      <c r="D2923" s="64"/>
      <c r="E2923" s="65"/>
      <c r="F2923" s="66"/>
      <c r="G2923" s="63"/>
      <c r="H2923" s="67"/>
      <c r="I2923" s="68"/>
      <c r="J2923" s="68"/>
      <c r="K2923" s="32"/>
      <c r="L2923" s="75">
        <v>2923</v>
      </c>
      <c r="M2923" s="75"/>
      <c r="N2923" s="70"/>
      <c r="O2923" s="77" t="s">
        <v>179</v>
      </c>
      <c r="P2923" s="79">
        <v>45009.867719907408</v>
      </c>
      <c r="Q2923" s="77" t="s">
        <v>3935</v>
      </c>
      <c r="R2923" s="77">
        <v>0</v>
      </c>
      <c r="S2923" s="77">
        <v>0</v>
      </c>
      <c r="T2923" s="77">
        <v>0</v>
      </c>
      <c r="U2923" s="77">
        <v>0</v>
      </c>
      <c r="V2923" s="77">
        <v>1008</v>
      </c>
      <c r="W2923" s="82" t="s">
        <v>5858</v>
      </c>
      <c r="X2923" s="80" t="str">
        <f>HYPERLINK("https://www.moneytimes.com.br/imposto-de-renda-2023-trabalhador-informal-precisa-declarar/")</f>
        <v>https://www.moneytimes.com.br/imposto-de-renda-2023-trabalhador-informal-precisa-declarar/</v>
      </c>
      <c r="Y2923" s="77" t="s">
        <v>6002</v>
      </c>
      <c r="Z2923" s="77"/>
      <c r="AA2923" s="77"/>
      <c r="AB2923" s="77"/>
      <c r="AC2923" s="82" t="s">
        <v>7718</v>
      </c>
      <c r="AD2923" s="77" t="s">
        <v>7745</v>
      </c>
      <c r="AE2923" s="80" t="str">
        <f>HYPERLINK("https://twitter.com/leiamoneytimes/status/1639368872099987463")</f>
        <v>https://twitter.com/leiamoneytimes/status/1639368872099987463</v>
      </c>
      <c r="AF2923" s="79">
        <v>45009.867719907408</v>
      </c>
      <c r="AG2923" s="85">
        <v>45009</v>
      </c>
      <c r="AH2923" s="82" t="s">
        <v>10393</v>
      </c>
      <c r="AI2923" s="77" t="b">
        <v>0</v>
      </c>
      <c r="AJ2923" s="77"/>
      <c r="AK2923" s="77"/>
      <c r="AL2923" s="77"/>
      <c r="AM2923" s="77"/>
      <c r="AN2923" s="77"/>
      <c r="AO2923" s="77"/>
      <c r="AP2923" s="77"/>
      <c r="AQ2923" s="77"/>
      <c r="AR2923" s="77"/>
      <c r="AS2923" s="77"/>
      <c r="AT2923" s="77"/>
      <c r="AU2923" s="77"/>
      <c r="AV2923" s="80" t="str">
        <f>HYPERLINK("https://pbs.twimg.com/profile_images/1559883556846977024/bXHnQFY0_normal.jpg")</f>
        <v>https://pbs.twimg.com/profile_images/1559883556846977024/bXHnQFY0_normal.jpg</v>
      </c>
      <c r="AW2923" s="82" t="s">
        <v>15078</v>
      </c>
      <c r="AX2923" s="82" t="s">
        <v>15078</v>
      </c>
      <c r="AY2923" s="77"/>
      <c r="AZ2923" s="82" t="s">
        <v>15804</v>
      </c>
      <c r="BA2923" s="82" t="s">
        <v>15804</v>
      </c>
      <c r="BB2923" s="82" t="s">
        <v>15804</v>
      </c>
      <c r="BC2923" s="82" t="s">
        <v>15078</v>
      </c>
      <c r="BD2923" s="77">
        <v>51150679</v>
      </c>
      <c r="BE2923" s="77"/>
      <c r="BF2923" s="77"/>
      <c r="BG2923" s="77"/>
      <c r="BH2923" s="77"/>
      <c r="BI2923" s="77"/>
    </row>
    <row r="2924" spans="1:61" x14ac:dyDescent="0.25">
      <c r="A2924" s="62" t="s">
        <v>1027</v>
      </c>
      <c r="B2924" s="62" t="s">
        <v>1027</v>
      </c>
      <c r="C2924" s="63"/>
      <c r="D2924" s="64"/>
      <c r="E2924" s="65"/>
      <c r="F2924" s="66"/>
      <c r="G2924" s="63"/>
      <c r="H2924" s="67"/>
      <c r="I2924" s="68"/>
      <c r="J2924" s="68"/>
      <c r="K2924" s="32"/>
      <c r="L2924" s="75">
        <v>2924</v>
      </c>
      <c r="M2924" s="75"/>
      <c r="N2924" s="70"/>
      <c r="O2924" s="77" t="s">
        <v>179</v>
      </c>
      <c r="P2924" s="79">
        <v>45008.578657407408</v>
      </c>
      <c r="Q2924" s="77" t="s">
        <v>3936</v>
      </c>
      <c r="R2924" s="77">
        <v>0</v>
      </c>
      <c r="S2924" s="77">
        <v>1</v>
      </c>
      <c r="T2924" s="77">
        <v>0</v>
      </c>
      <c r="U2924" s="77">
        <v>0</v>
      </c>
      <c r="V2924" s="77">
        <v>1260</v>
      </c>
      <c r="W2924" s="82" t="s">
        <v>5873</v>
      </c>
      <c r="X2924" s="80" t="str">
        <f>HYPERLINK("https://www.moneytimes.com.br/quem-tem-que-declarar-imposto-de-renda-2023/")</f>
        <v>https://www.moneytimes.com.br/quem-tem-que-declarar-imposto-de-renda-2023/</v>
      </c>
      <c r="Y2924" s="77" t="s">
        <v>6002</v>
      </c>
      <c r="Z2924" s="77"/>
      <c r="AA2924" s="77"/>
      <c r="AB2924" s="77"/>
      <c r="AC2924" s="82" t="s">
        <v>7718</v>
      </c>
      <c r="AD2924" s="77" t="s">
        <v>7745</v>
      </c>
      <c r="AE2924" s="80" t="str">
        <f>HYPERLINK("https://twitter.com/leiamoneytimes/status/1638901731601055744")</f>
        <v>https://twitter.com/leiamoneytimes/status/1638901731601055744</v>
      </c>
      <c r="AF2924" s="79">
        <v>45008.578657407408</v>
      </c>
      <c r="AG2924" s="85">
        <v>45008</v>
      </c>
      <c r="AH2924" s="82" t="s">
        <v>10394</v>
      </c>
      <c r="AI2924" s="77" t="b">
        <v>0</v>
      </c>
      <c r="AJ2924" s="77"/>
      <c r="AK2924" s="77"/>
      <c r="AL2924" s="77"/>
      <c r="AM2924" s="77"/>
      <c r="AN2924" s="77"/>
      <c r="AO2924" s="77"/>
      <c r="AP2924" s="77"/>
      <c r="AQ2924" s="77"/>
      <c r="AR2924" s="77"/>
      <c r="AS2924" s="77"/>
      <c r="AT2924" s="77"/>
      <c r="AU2924" s="77"/>
      <c r="AV2924" s="80" t="str">
        <f>HYPERLINK("https://pbs.twimg.com/profile_images/1559883556846977024/bXHnQFY0_normal.jpg")</f>
        <v>https://pbs.twimg.com/profile_images/1559883556846977024/bXHnQFY0_normal.jpg</v>
      </c>
      <c r="AW2924" s="82" t="s">
        <v>15079</v>
      </c>
      <c r="AX2924" s="82" t="s">
        <v>15079</v>
      </c>
      <c r="AY2924" s="77"/>
      <c r="AZ2924" s="82" t="s">
        <v>15804</v>
      </c>
      <c r="BA2924" s="82" t="s">
        <v>15804</v>
      </c>
      <c r="BB2924" s="82" t="s">
        <v>15804</v>
      </c>
      <c r="BC2924" s="82" t="s">
        <v>15079</v>
      </c>
      <c r="BD2924" s="77">
        <v>51150679</v>
      </c>
      <c r="BE2924" s="77"/>
      <c r="BF2924" s="77"/>
      <c r="BG2924" s="77"/>
      <c r="BH2924" s="77"/>
      <c r="BI2924" s="77"/>
    </row>
    <row r="2925" spans="1:61" x14ac:dyDescent="0.25">
      <c r="A2925" s="62" t="s">
        <v>1027</v>
      </c>
      <c r="B2925" s="62" t="s">
        <v>1027</v>
      </c>
      <c r="C2925" s="63"/>
      <c r="D2925" s="64"/>
      <c r="E2925" s="65"/>
      <c r="F2925" s="66"/>
      <c r="G2925" s="63"/>
      <c r="H2925" s="67"/>
      <c r="I2925" s="68"/>
      <c r="J2925" s="68"/>
      <c r="K2925" s="32"/>
      <c r="L2925" s="75">
        <v>2925</v>
      </c>
      <c r="M2925" s="75"/>
      <c r="N2925" s="70"/>
      <c r="O2925" s="77" t="s">
        <v>179</v>
      </c>
      <c r="P2925" s="79">
        <v>44963.635752314818</v>
      </c>
      <c r="Q2925" s="77" t="s">
        <v>3937</v>
      </c>
      <c r="R2925" s="77">
        <v>0</v>
      </c>
      <c r="S2925" s="77">
        <v>0</v>
      </c>
      <c r="T2925" s="77">
        <v>0</v>
      </c>
      <c r="U2925" s="77">
        <v>0</v>
      </c>
      <c r="V2925" s="77">
        <v>850</v>
      </c>
      <c r="W2925" s="82" t="s">
        <v>5912</v>
      </c>
      <c r="X2925" s="80" t="str">
        <f>HYPERLINK("https://www.moneytimes.com.br/ano-novo-pazes-com-o-dinheiro/")</f>
        <v>https://www.moneytimes.com.br/ano-novo-pazes-com-o-dinheiro/</v>
      </c>
      <c r="Y2925" s="77" t="s">
        <v>6002</v>
      </c>
      <c r="Z2925" s="77"/>
      <c r="AA2925" s="77"/>
      <c r="AB2925" s="77"/>
      <c r="AC2925" s="82" t="s">
        <v>7718</v>
      </c>
      <c r="AD2925" s="77" t="s">
        <v>7745</v>
      </c>
      <c r="AE2925" s="80" t="str">
        <f>HYPERLINK("https://twitter.com/leiamoneytimes/status/1622614968368496640")</f>
        <v>https://twitter.com/leiamoneytimes/status/1622614968368496640</v>
      </c>
      <c r="AF2925" s="79">
        <v>44963.635752314818</v>
      </c>
      <c r="AG2925" s="85">
        <v>44963</v>
      </c>
      <c r="AH2925" s="82" t="s">
        <v>10395</v>
      </c>
      <c r="AI2925" s="77" t="b">
        <v>0</v>
      </c>
      <c r="AJ2925" s="77"/>
      <c r="AK2925" s="77"/>
      <c r="AL2925" s="77"/>
      <c r="AM2925" s="77"/>
      <c r="AN2925" s="77"/>
      <c r="AO2925" s="77"/>
      <c r="AP2925" s="77"/>
      <c r="AQ2925" s="77"/>
      <c r="AR2925" s="77"/>
      <c r="AS2925" s="77"/>
      <c r="AT2925" s="77"/>
      <c r="AU2925" s="77"/>
      <c r="AV2925" s="80" t="str">
        <f>HYPERLINK("https://pbs.twimg.com/profile_images/1559883556846977024/bXHnQFY0_normal.jpg")</f>
        <v>https://pbs.twimg.com/profile_images/1559883556846977024/bXHnQFY0_normal.jpg</v>
      </c>
      <c r="AW2925" s="82" t="s">
        <v>15080</v>
      </c>
      <c r="AX2925" s="82" t="s">
        <v>15080</v>
      </c>
      <c r="AY2925" s="77"/>
      <c r="AZ2925" s="82" t="s">
        <v>15804</v>
      </c>
      <c r="BA2925" s="82" t="s">
        <v>15804</v>
      </c>
      <c r="BB2925" s="82" t="s">
        <v>15804</v>
      </c>
      <c r="BC2925" s="82" t="s">
        <v>15080</v>
      </c>
      <c r="BD2925" s="77">
        <v>51150679</v>
      </c>
      <c r="BE2925" s="77"/>
      <c r="BF2925" s="77"/>
      <c r="BG2925" s="77"/>
      <c r="BH2925" s="77"/>
      <c r="BI2925" s="77"/>
    </row>
    <row r="2926" spans="1:61" x14ac:dyDescent="0.25">
      <c r="A2926" s="62" t="s">
        <v>1027</v>
      </c>
      <c r="B2926" s="62" t="s">
        <v>1027</v>
      </c>
      <c r="C2926" s="63"/>
      <c r="D2926" s="64"/>
      <c r="E2926" s="65"/>
      <c r="F2926" s="66"/>
      <c r="G2926" s="63"/>
      <c r="H2926" s="67"/>
      <c r="I2926" s="68"/>
      <c r="J2926" s="68"/>
      <c r="K2926" s="32"/>
      <c r="L2926" s="75">
        <v>2926</v>
      </c>
      <c r="M2926" s="75"/>
      <c r="N2926" s="70"/>
      <c r="O2926" s="77" t="s">
        <v>179</v>
      </c>
      <c r="P2926" s="79">
        <v>45165.582754629628</v>
      </c>
      <c r="Q2926" s="77" t="s">
        <v>3938</v>
      </c>
      <c r="R2926" s="77">
        <v>1</v>
      </c>
      <c r="S2926" s="77">
        <v>6</v>
      </c>
      <c r="T2926" s="77">
        <v>1</v>
      </c>
      <c r="U2926" s="77">
        <v>0</v>
      </c>
      <c r="V2926" s="77">
        <v>1954</v>
      </c>
      <c r="W2926" s="82" t="s">
        <v>5913</v>
      </c>
      <c r="X2926" s="80" t="str">
        <f>HYPERLINK("https://www.moneytimes.com.br/ninguem-acerta-seis-dezenas-e-mega-sena-pode-pagar-r-37-milhoes/")</f>
        <v>https://www.moneytimes.com.br/ninguem-acerta-seis-dezenas-e-mega-sena-pode-pagar-r-37-milhoes/</v>
      </c>
      <c r="Y2926" s="77" t="s">
        <v>6002</v>
      </c>
      <c r="Z2926" s="77"/>
      <c r="AA2926" s="77"/>
      <c r="AB2926" s="77"/>
      <c r="AC2926" s="82" t="s">
        <v>7718</v>
      </c>
      <c r="AD2926" s="77" t="s">
        <v>7745</v>
      </c>
      <c r="AE2926" s="80" t="str">
        <f>HYPERLINK("https://twitter.com/leiamoneytimes/status/1695798108385398844")</f>
        <v>https://twitter.com/leiamoneytimes/status/1695798108385398844</v>
      </c>
      <c r="AF2926" s="79">
        <v>45165.582754629628</v>
      </c>
      <c r="AG2926" s="85">
        <v>45165</v>
      </c>
      <c r="AH2926" s="82" t="s">
        <v>10396</v>
      </c>
      <c r="AI2926" s="77" t="b">
        <v>0</v>
      </c>
      <c r="AJ2926" s="77"/>
      <c r="AK2926" s="77"/>
      <c r="AL2926" s="77"/>
      <c r="AM2926" s="77"/>
      <c r="AN2926" s="77"/>
      <c r="AO2926" s="77"/>
      <c r="AP2926" s="77"/>
      <c r="AQ2926" s="77"/>
      <c r="AR2926" s="77"/>
      <c r="AS2926" s="77"/>
      <c r="AT2926" s="77"/>
      <c r="AU2926" s="77"/>
      <c r="AV2926" s="80" t="str">
        <f>HYPERLINK("https://pbs.twimg.com/profile_images/1559883556846977024/bXHnQFY0_normal.jpg")</f>
        <v>https://pbs.twimg.com/profile_images/1559883556846977024/bXHnQFY0_normal.jpg</v>
      </c>
      <c r="AW2926" s="82" t="s">
        <v>15081</v>
      </c>
      <c r="AX2926" s="82" t="s">
        <v>15081</v>
      </c>
      <c r="AY2926" s="77"/>
      <c r="AZ2926" s="82" t="s">
        <v>15804</v>
      </c>
      <c r="BA2926" s="82" t="s">
        <v>15804</v>
      </c>
      <c r="BB2926" s="82" t="s">
        <v>15804</v>
      </c>
      <c r="BC2926" s="82" t="s">
        <v>15081</v>
      </c>
      <c r="BD2926" s="77">
        <v>51150679</v>
      </c>
      <c r="BE2926" s="77"/>
      <c r="BF2926" s="77"/>
      <c r="BG2926" s="77"/>
      <c r="BH2926" s="77"/>
      <c r="BI2926" s="77"/>
    </row>
    <row r="2927" spans="1:61" x14ac:dyDescent="0.25">
      <c r="A2927" s="62" t="s">
        <v>1027</v>
      </c>
      <c r="B2927" s="62" t="s">
        <v>1027</v>
      </c>
      <c r="C2927" s="63"/>
      <c r="D2927" s="64"/>
      <c r="E2927" s="65"/>
      <c r="F2927" s="66"/>
      <c r="G2927" s="63"/>
      <c r="H2927" s="67"/>
      <c r="I2927" s="68"/>
      <c r="J2927" s="68"/>
      <c r="K2927" s="32"/>
      <c r="L2927" s="75">
        <v>2927</v>
      </c>
      <c r="M2927" s="75"/>
      <c r="N2927" s="70"/>
      <c r="O2927" s="77" t="s">
        <v>179</v>
      </c>
      <c r="P2927" s="79">
        <v>45145.770578703705</v>
      </c>
      <c r="Q2927" s="77" t="s">
        <v>3939</v>
      </c>
      <c r="R2927" s="77">
        <v>0</v>
      </c>
      <c r="S2927" s="77">
        <v>0</v>
      </c>
      <c r="T2927" s="77">
        <v>1</v>
      </c>
      <c r="U2927" s="77">
        <v>0</v>
      </c>
      <c r="V2927" s="77">
        <v>863</v>
      </c>
      <c r="W2927" s="82" t="s">
        <v>5914</v>
      </c>
      <c r="X2927" s="80" t="str">
        <f>HYPERLINK("https://www.moneytimes.com.br/como-investir-2023-iniciantes/")</f>
        <v>https://www.moneytimes.com.br/como-investir-2023-iniciantes/</v>
      </c>
      <c r="Y2927" s="77" t="s">
        <v>6002</v>
      </c>
      <c r="Z2927" s="77"/>
      <c r="AA2927" s="77"/>
      <c r="AB2927" s="77"/>
      <c r="AC2927" s="82" t="s">
        <v>7718</v>
      </c>
      <c r="AD2927" s="77" t="s">
        <v>7745</v>
      </c>
      <c r="AE2927" s="80" t="str">
        <f>HYPERLINK("https://twitter.com/leiamoneytimes/status/1688618419589898240")</f>
        <v>https://twitter.com/leiamoneytimes/status/1688618419589898240</v>
      </c>
      <c r="AF2927" s="79">
        <v>45145.770578703705</v>
      </c>
      <c r="AG2927" s="85">
        <v>45145</v>
      </c>
      <c r="AH2927" s="82" t="s">
        <v>10397</v>
      </c>
      <c r="AI2927" s="77" t="b">
        <v>0</v>
      </c>
      <c r="AJ2927" s="77"/>
      <c r="AK2927" s="77"/>
      <c r="AL2927" s="77"/>
      <c r="AM2927" s="77"/>
      <c r="AN2927" s="77"/>
      <c r="AO2927" s="77"/>
      <c r="AP2927" s="77"/>
      <c r="AQ2927" s="77"/>
      <c r="AR2927" s="77"/>
      <c r="AS2927" s="77"/>
      <c r="AT2927" s="77"/>
      <c r="AU2927" s="77"/>
      <c r="AV2927" s="80" t="str">
        <f>HYPERLINK("https://pbs.twimg.com/profile_images/1559883556846977024/bXHnQFY0_normal.jpg")</f>
        <v>https://pbs.twimg.com/profile_images/1559883556846977024/bXHnQFY0_normal.jpg</v>
      </c>
      <c r="AW2927" s="82" t="s">
        <v>15082</v>
      </c>
      <c r="AX2927" s="82" t="s">
        <v>15082</v>
      </c>
      <c r="AY2927" s="77"/>
      <c r="AZ2927" s="82" t="s">
        <v>15804</v>
      </c>
      <c r="BA2927" s="82" t="s">
        <v>15804</v>
      </c>
      <c r="BB2927" s="82" t="s">
        <v>15804</v>
      </c>
      <c r="BC2927" s="82" t="s">
        <v>15082</v>
      </c>
      <c r="BD2927" s="77">
        <v>51150679</v>
      </c>
      <c r="BE2927" s="77"/>
      <c r="BF2927" s="77"/>
      <c r="BG2927" s="77"/>
      <c r="BH2927" s="77"/>
      <c r="BI2927" s="77"/>
    </row>
    <row r="2928" spans="1:61" x14ac:dyDescent="0.25">
      <c r="A2928" s="62" t="s">
        <v>1027</v>
      </c>
      <c r="B2928" s="62" t="s">
        <v>1027</v>
      </c>
      <c r="C2928" s="63"/>
      <c r="D2928" s="64"/>
      <c r="E2928" s="65"/>
      <c r="F2928" s="66"/>
      <c r="G2928" s="63"/>
      <c r="H2928" s="67"/>
      <c r="I2928" s="68"/>
      <c r="J2928" s="68"/>
      <c r="K2928" s="32"/>
      <c r="L2928" s="75">
        <v>2928</v>
      </c>
      <c r="M2928" s="75"/>
      <c r="N2928" s="70"/>
      <c r="O2928" s="77" t="s">
        <v>179</v>
      </c>
      <c r="P2928" s="79">
        <v>45145.610682870371</v>
      </c>
      <c r="Q2928" s="77" t="s">
        <v>3940</v>
      </c>
      <c r="R2928" s="77">
        <v>0</v>
      </c>
      <c r="S2928" s="77">
        <v>3</v>
      </c>
      <c r="T2928" s="77">
        <v>1</v>
      </c>
      <c r="U2928" s="77">
        <v>0</v>
      </c>
      <c r="V2928" s="77">
        <v>1057</v>
      </c>
      <c r="W2928" s="82" t="s">
        <v>5873</v>
      </c>
      <c r="X2928" s="80" t="str">
        <f>HYPERLINK("https://www.moneytimes.com.br/restituicao-do-imposto-de-renda-2023-quando-a-receita-paga-o-4o-lote/")</f>
        <v>https://www.moneytimes.com.br/restituicao-do-imposto-de-renda-2023-quando-a-receita-paga-o-4o-lote/</v>
      </c>
      <c r="Y2928" s="77" t="s">
        <v>6002</v>
      </c>
      <c r="Z2928" s="77"/>
      <c r="AA2928" s="77"/>
      <c r="AB2928" s="77"/>
      <c r="AC2928" s="82" t="s">
        <v>7718</v>
      </c>
      <c r="AD2928" s="77" t="s">
        <v>7745</v>
      </c>
      <c r="AE2928" s="80" t="str">
        <f>HYPERLINK("https://twitter.com/leiamoneytimes/status/1688560472788758528")</f>
        <v>https://twitter.com/leiamoneytimes/status/1688560472788758528</v>
      </c>
      <c r="AF2928" s="79">
        <v>45145.610682870371</v>
      </c>
      <c r="AG2928" s="85">
        <v>45145</v>
      </c>
      <c r="AH2928" s="82" t="s">
        <v>10398</v>
      </c>
      <c r="AI2928" s="77" t="b">
        <v>0</v>
      </c>
      <c r="AJ2928" s="77"/>
      <c r="AK2928" s="77"/>
      <c r="AL2928" s="77"/>
      <c r="AM2928" s="77"/>
      <c r="AN2928" s="77"/>
      <c r="AO2928" s="77"/>
      <c r="AP2928" s="77"/>
      <c r="AQ2928" s="77"/>
      <c r="AR2928" s="77"/>
      <c r="AS2928" s="77"/>
      <c r="AT2928" s="77"/>
      <c r="AU2928" s="77"/>
      <c r="AV2928" s="80" t="str">
        <f>HYPERLINK("https://pbs.twimg.com/profile_images/1559883556846977024/bXHnQFY0_normal.jpg")</f>
        <v>https://pbs.twimg.com/profile_images/1559883556846977024/bXHnQFY0_normal.jpg</v>
      </c>
      <c r="AW2928" s="82" t="s">
        <v>15083</v>
      </c>
      <c r="AX2928" s="82" t="s">
        <v>15083</v>
      </c>
      <c r="AY2928" s="77"/>
      <c r="AZ2928" s="82" t="s">
        <v>15804</v>
      </c>
      <c r="BA2928" s="82" t="s">
        <v>15804</v>
      </c>
      <c r="BB2928" s="82" t="s">
        <v>15804</v>
      </c>
      <c r="BC2928" s="82" t="s">
        <v>15083</v>
      </c>
      <c r="BD2928" s="77">
        <v>51150679</v>
      </c>
      <c r="BE2928" s="77"/>
      <c r="BF2928" s="77"/>
      <c r="BG2928" s="77"/>
      <c r="BH2928" s="77"/>
      <c r="BI2928" s="77"/>
    </row>
    <row r="2929" spans="1:61" x14ac:dyDescent="0.25">
      <c r="A2929" s="62" t="s">
        <v>1027</v>
      </c>
      <c r="B2929" s="62" t="s">
        <v>1027</v>
      </c>
      <c r="C2929" s="63"/>
      <c r="D2929" s="64"/>
      <c r="E2929" s="65"/>
      <c r="F2929" s="66"/>
      <c r="G2929" s="63"/>
      <c r="H2929" s="67"/>
      <c r="I2929" s="68"/>
      <c r="J2929" s="68"/>
      <c r="K2929" s="32"/>
      <c r="L2929" s="75">
        <v>2929</v>
      </c>
      <c r="M2929" s="75"/>
      <c r="N2929" s="70"/>
      <c r="O2929" s="77" t="s">
        <v>179</v>
      </c>
      <c r="P2929" s="79">
        <v>45138.605752314812</v>
      </c>
      <c r="Q2929" s="77" t="s">
        <v>3941</v>
      </c>
      <c r="R2929" s="77">
        <v>0</v>
      </c>
      <c r="S2929" s="77">
        <v>1</v>
      </c>
      <c r="T2929" s="77">
        <v>1</v>
      </c>
      <c r="U2929" s="77">
        <v>0</v>
      </c>
      <c r="V2929" s="77">
        <v>1175</v>
      </c>
      <c r="W2929" s="82" t="s">
        <v>5873</v>
      </c>
      <c r="X2929" s="80" t="str">
        <f>HYPERLINK("https://www.moneytimes.com.br/imposto-de-renda-2023-caiu-na-malha-fina-veja-o-que-fazer-3/")</f>
        <v>https://www.moneytimes.com.br/imposto-de-renda-2023-caiu-na-malha-fina-veja-o-que-fazer-3/</v>
      </c>
      <c r="Y2929" s="77" t="s">
        <v>6002</v>
      </c>
      <c r="Z2929" s="77"/>
      <c r="AA2929" s="77"/>
      <c r="AB2929" s="77"/>
      <c r="AC2929" s="82" t="s">
        <v>7718</v>
      </c>
      <c r="AD2929" s="77" t="s">
        <v>7745</v>
      </c>
      <c r="AE2929" s="80" t="str">
        <f>HYPERLINK("https://twitter.com/leiamoneytimes/status/1686021972424085505")</f>
        <v>https://twitter.com/leiamoneytimes/status/1686021972424085505</v>
      </c>
      <c r="AF2929" s="79">
        <v>45138.605752314812</v>
      </c>
      <c r="AG2929" s="85">
        <v>45138</v>
      </c>
      <c r="AH2929" s="82" t="s">
        <v>10399</v>
      </c>
      <c r="AI2929" s="77" t="b">
        <v>0</v>
      </c>
      <c r="AJ2929" s="77"/>
      <c r="AK2929" s="77"/>
      <c r="AL2929" s="77"/>
      <c r="AM2929" s="77"/>
      <c r="AN2929" s="77"/>
      <c r="AO2929" s="77"/>
      <c r="AP2929" s="77"/>
      <c r="AQ2929" s="77"/>
      <c r="AR2929" s="77"/>
      <c r="AS2929" s="77"/>
      <c r="AT2929" s="77"/>
      <c r="AU2929" s="77"/>
      <c r="AV2929" s="80" t="str">
        <f>HYPERLINK("https://pbs.twimg.com/profile_images/1559883556846977024/bXHnQFY0_normal.jpg")</f>
        <v>https://pbs.twimg.com/profile_images/1559883556846977024/bXHnQFY0_normal.jpg</v>
      </c>
      <c r="AW2929" s="82" t="s">
        <v>15084</v>
      </c>
      <c r="AX2929" s="82" t="s">
        <v>15084</v>
      </c>
      <c r="AY2929" s="77"/>
      <c r="AZ2929" s="82" t="s">
        <v>15804</v>
      </c>
      <c r="BA2929" s="82" t="s">
        <v>15804</v>
      </c>
      <c r="BB2929" s="82" t="s">
        <v>15804</v>
      </c>
      <c r="BC2929" s="82" t="s">
        <v>15084</v>
      </c>
      <c r="BD2929" s="77">
        <v>51150679</v>
      </c>
      <c r="BE2929" s="77"/>
      <c r="BF2929" s="77"/>
      <c r="BG2929" s="77"/>
      <c r="BH2929" s="77"/>
      <c r="BI2929" s="77"/>
    </row>
    <row r="2930" spans="1:61" x14ac:dyDescent="0.25">
      <c r="A2930" s="62" t="s">
        <v>1027</v>
      </c>
      <c r="B2930" s="62" t="s">
        <v>1027</v>
      </c>
      <c r="C2930" s="63"/>
      <c r="D2930" s="64"/>
      <c r="E2930" s="65"/>
      <c r="F2930" s="66"/>
      <c r="G2930" s="63"/>
      <c r="H2930" s="67"/>
      <c r="I2930" s="68"/>
      <c r="J2930" s="68"/>
      <c r="K2930" s="32"/>
      <c r="L2930" s="75">
        <v>2930</v>
      </c>
      <c r="M2930" s="75"/>
      <c r="N2930" s="70"/>
      <c r="O2930" s="77" t="s">
        <v>179</v>
      </c>
      <c r="P2930" s="79">
        <v>45128.807488425926</v>
      </c>
      <c r="Q2930" s="77" t="s">
        <v>3942</v>
      </c>
      <c r="R2930" s="77">
        <v>1</v>
      </c>
      <c r="S2930" s="77">
        <v>1</v>
      </c>
      <c r="T2930" s="77">
        <v>0</v>
      </c>
      <c r="U2930" s="77">
        <v>0</v>
      </c>
      <c r="V2930" s="77">
        <v>1128</v>
      </c>
      <c r="W2930" s="82" t="s">
        <v>5915</v>
      </c>
      <c r="X2930" s="80" t="str">
        <f>HYPERLINK("https://www.moneytimes.com.br/dinheiro-no-bolso-12-dicas-para-pequenas-e-medias-empresas-protegeram-o-caixa/")</f>
        <v>https://www.moneytimes.com.br/dinheiro-no-bolso-12-dicas-para-pequenas-e-medias-empresas-protegeram-o-caixa/</v>
      </c>
      <c r="Y2930" s="77" t="s">
        <v>6002</v>
      </c>
      <c r="Z2930" s="77"/>
      <c r="AA2930" s="77"/>
      <c r="AB2930" s="77"/>
      <c r="AC2930" s="82" t="s">
        <v>7718</v>
      </c>
      <c r="AD2930" s="77" t="s">
        <v>7745</v>
      </c>
      <c r="AE2930" s="80" t="str">
        <f>HYPERLINK("https://twitter.com/leiamoneytimes/status/1682471199291342855")</f>
        <v>https://twitter.com/leiamoneytimes/status/1682471199291342855</v>
      </c>
      <c r="AF2930" s="79">
        <v>45128.807488425926</v>
      </c>
      <c r="AG2930" s="85">
        <v>45128</v>
      </c>
      <c r="AH2930" s="82" t="s">
        <v>10400</v>
      </c>
      <c r="AI2930" s="77" t="b">
        <v>0</v>
      </c>
      <c r="AJ2930" s="77"/>
      <c r="AK2930" s="77"/>
      <c r="AL2930" s="77"/>
      <c r="AM2930" s="77"/>
      <c r="AN2930" s="77"/>
      <c r="AO2930" s="77"/>
      <c r="AP2930" s="77"/>
      <c r="AQ2930" s="77"/>
      <c r="AR2930" s="77"/>
      <c r="AS2930" s="77"/>
      <c r="AT2930" s="77"/>
      <c r="AU2930" s="77"/>
      <c r="AV2930" s="80" t="str">
        <f>HYPERLINK("https://pbs.twimg.com/profile_images/1559883556846977024/bXHnQFY0_normal.jpg")</f>
        <v>https://pbs.twimg.com/profile_images/1559883556846977024/bXHnQFY0_normal.jpg</v>
      </c>
      <c r="AW2930" s="82" t="s">
        <v>15085</v>
      </c>
      <c r="AX2930" s="82" t="s">
        <v>15085</v>
      </c>
      <c r="AY2930" s="77"/>
      <c r="AZ2930" s="82" t="s">
        <v>15804</v>
      </c>
      <c r="BA2930" s="82" t="s">
        <v>15804</v>
      </c>
      <c r="BB2930" s="82" t="s">
        <v>15804</v>
      </c>
      <c r="BC2930" s="82" t="s">
        <v>15085</v>
      </c>
      <c r="BD2930" s="77">
        <v>51150679</v>
      </c>
      <c r="BE2930" s="77"/>
      <c r="BF2930" s="77"/>
      <c r="BG2930" s="77"/>
      <c r="BH2930" s="77"/>
      <c r="BI2930" s="77"/>
    </row>
    <row r="2931" spans="1:61" x14ac:dyDescent="0.25">
      <c r="A2931" s="62" t="s">
        <v>1027</v>
      </c>
      <c r="B2931" s="62" t="s">
        <v>1027</v>
      </c>
      <c r="C2931" s="63"/>
      <c r="D2931" s="64"/>
      <c r="E2931" s="65"/>
      <c r="F2931" s="66"/>
      <c r="G2931" s="63"/>
      <c r="H2931" s="67"/>
      <c r="I2931" s="68"/>
      <c r="J2931" s="68"/>
      <c r="K2931" s="32"/>
      <c r="L2931" s="75">
        <v>2931</v>
      </c>
      <c r="M2931" s="75"/>
      <c r="N2931" s="70"/>
      <c r="O2931" s="77" t="s">
        <v>179</v>
      </c>
      <c r="P2931" s="79">
        <v>45078.527372685188</v>
      </c>
      <c r="Q2931" s="77" t="s">
        <v>3943</v>
      </c>
      <c r="R2931" s="77">
        <v>0</v>
      </c>
      <c r="S2931" s="77">
        <v>2</v>
      </c>
      <c r="T2931" s="77">
        <v>0</v>
      </c>
      <c r="U2931" s="77">
        <v>0</v>
      </c>
      <c r="V2931" s="77">
        <v>1003</v>
      </c>
      <c r="W2931" s="82" t="s">
        <v>5858</v>
      </c>
      <c r="X2931" s="80" t="str">
        <f>HYPERLINK("https://www.moneytimes.com.br/imposto-de-renda-receita-recebe-numero-recorde-de-declaracoes-31-milhoes-foram-apenas-nas-ultimas-horas/")</f>
        <v>https://www.moneytimes.com.br/imposto-de-renda-receita-recebe-numero-recorde-de-declaracoes-31-milhoes-foram-apenas-nas-ultimas-horas/</v>
      </c>
      <c r="Y2931" s="77" t="s">
        <v>6002</v>
      </c>
      <c r="Z2931" s="77"/>
      <c r="AA2931" s="77"/>
      <c r="AB2931" s="77"/>
      <c r="AC2931" s="82" t="s">
        <v>7718</v>
      </c>
      <c r="AD2931" s="77" t="s">
        <v>7745</v>
      </c>
      <c r="AE2931" s="80" t="str">
        <f>HYPERLINK("https://twitter.com/leiamoneytimes/status/1664250297760243716")</f>
        <v>https://twitter.com/leiamoneytimes/status/1664250297760243716</v>
      </c>
      <c r="AF2931" s="79">
        <v>45078.527372685188</v>
      </c>
      <c r="AG2931" s="85">
        <v>45078</v>
      </c>
      <c r="AH2931" s="82" t="s">
        <v>10401</v>
      </c>
      <c r="AI2931" s="77" t="b">
        <v>0</v>
      </c>
      <c r="AJ2931" s="77"/>
      <c r="AK2931" s="77"/>
      <c r="AL2931" s="77"/>
      <c r="AM2931" s="77"/>
      <c r="AN2931" s="77"/>
      <c r="AO2931" s="77"/>
      <c r="AP2931" s="77"/>
      <c r="AQ2931" s="77"/>
      <c r="AR2931" s="77"/>
      <c r="AS2931" s="77"/>
      <c r="AT2931" s="77"/>
      <c r="AU2931" s="77"/>
      <c r="AV2931" s="80" t="str">
        <f>HYPERLINK("https://pbs.twimg.com/profile_images/1559883556846977024/bXHnQFY0_normal.jpg")</f>
        <v>https://pbs.twimg.com/profile_images/1559883556846977024/bXHnQFY0_normal.jpg</v>
      </c>
      <c r="AW2931" s="82" t="s">
        <v>15086</v>
      </c>
      <c r="AX2931" s="82" t="s">
        <v>15086</v>
      </c>
      <c r="AY2931" s="77"/>
      <c r="AZ2931" s="82" t="s">
        <v>15804</v>
      </c>
      <c r="BA2931" s="82" t="s">
        <v>15804</v>
      </c>
      <c r="BB2931" s="82" t="s">
        <v>15804</v>
      </c>
      <c r="BC2931" s="82" t="s">
        <v>15086</v>
      </c>
      <c r="BD2931" s="77">
        <v>51150679</v>
      </c>
      <c r="BE2931" s="77"/>
      <c r="BF2931" s="77"/>
      <c r="BG2931" s="77"/>
      <c r="BH2931" s="77"/>
      <c r="BI2931" s="77"/>
    </row>
    <row r="2932" spans="1:61" x14ac:dyDescent="0.25">
      <c r="A2932" s="62" t="s">
        <v>1027</v>
      </c>
      <c r="B2932" s="62" t="s">
        <v>1027</v>
      </c>
      <c r="C2932" s="63"/>
      <c r="D2932" s="64"/>
      <c r="E2932" s="65"/>
      <c r="F2932" s="66"/>
      <c r="G2932" s="63"/>
      <c r="H2932" s="67"/>
      <c r="I2932" s="68"/>
      <c r="J2932" s="68"/>
      <c r="K2932" s="32"/>
      <c r="L2932" s="75">
        <v>2932</v>
      </c>
      <c r="M2932" s="75"/>
      <c r="N2932" s="70"/>
      <c r="O2932" s="77" t="s">
        <v>179</v>
      </c>
      <c r="P2932" s="79">
        <v>45078.459143518521</v>
      </c>
      <c r="Q2932" s="77" t="s">
        <v>3944</v>
      </c>
      <c r="R2932" s="77">
        <v>0</v>
      </c>
      <c r="S2932" s="77">
        <v>0</v>
      </c>
      <c r="T2932" s="77">
        <v>0</v>
      </c>
      <c r="U2932" s="77">
        <v>0</v>
      </c>
      <c r="V2932" s="77">
        <v>1174</v>
      </c>
      <c r="W2932" s="82" t="s">
        <v>5873</v>
      </c>
      <c r="X2932" s="80" t="str">
        <f>HYPERLINK("https://www.moneytimes.com.br/restituicao-do-imposto-de-renda-como-fica-para-quem-declarou-em-atraso/")</f>
        <v>https://www.moneytimes.com.br/restituicao-do-imposto-de-renda-como-fica-para-quem-declarou-em-atraso/</v>
      </c>
      <c r="Y2932" s="77" t="s">
        <v>6002</v>
      </c>
      <c r="Z2932" s="77"/>
      <c r="AA2932" s="77"/>
      <c r="AB2932" s="77"/>
      <c r="AC2932" s="82" t="s">
        <v>7718</v>
      </c>
      <c r="AD2932" s="77" t="s">
        <v>7745</v>
      </c>
      <c r="AE2932" s="80" t="str">
        <f>HYPERLINK("https://twitter.com/leiamoneytimes/status/1664225572598292483")</f>
        <v>https://twitter.com/leiamoneytimes/status/1664225572598292483</v>
      </c>
      <c r="AF2932" s="79">
        <v>45078.459143518521</v>
      </c>
      <c r="AG2932" s="85">
        <v>45078</v>
      </c>
      <c r="AH2932" s="82" t="s">
        <v>10402</v>
      </c>
      <c r="AI2932" s="77" t="b">
        <v>0</v>
      </c>
      <c r="AJ2932" s="77"/>
      <c r="AK2932" s="77"/>
      <c r="AL2932" s="77"/>
      <c r="AM2932" s="77"/>
      <c r="AN2932" s="77"/>
      <c r="AO2932" s="77"/>
      <c r="AP2932" s="77"/>
      <c r="AQ2932" s="77"/>
      <c r="AR2932" s="77"/>
      <c r="AS2932" s="77"/>
      <c r="AT2932" s="77"/>
      <c r="AU2932" s="77"/>
      <c r="AV2932" s="80" t="str">
        <f>HYPERLINK("https://pbs.twimg.com/profile_images/1559883556846977024/bXHnQFY0_normal.jpg")</f>
        <v>https://pbs.twimg.com/profile_images/1559883556846977024/bXHnQFY0_normal.jpg</v>
      </c>
      <c r="AW2932" s="82" t="s">
        <v>15087</v>
      </c>
      <c r="AX2932" s="82" t="s">
        <v>15087</v>
      </c>
      <c r="AY2932" s="77"/>
      <c r="AZ2932" s="82" t="s">
        <v>15804</v>
      </c>
      <c r="BA2932" s="82" t="s">
        <v>15804</v>
      </c>
      <c r="BB2932" s="82" t="s">
        <v>15804</v>
      </c>
      <c r="BC2932" s="82" t="s">
        <v>15087</v>
      </c>
      <c r="BD2932" s="77">
        <v>51150679</v>
      </c>
      <c r="BE2932" s="77"/>
      <c r="BF2932" s="77"/>
      <c r="BG2932" s="77"/>
      <c r="BH2932" s="77"/>
      <c r="BI2932" s="77"/>
    </row>
    <row r="2933" spans="1:61" x14ac:dyDescent="0.25">
      <c r="A2933" s="62" t="s">
        <v>1027</v>
      </c>
      <c r="B2933" s="62" t="s">
        <v>1027</v>
      </c>
      <c r="C2933" s="63"/>
      <c r="D2933" s="64"/>
      <c r="E2933" s="65"/>
      <c r="F2933" s="66"/>
      <c r="G2933" s="63"/>
      <c r="H2933" s="67"/>
      <c r="I2933" s="68"/>
      <c r="J2933" s="68"/>
      <c r="K2933" s="32"/>
      <c r="L2933" s="75">
        <v>2933</v>
      </c>
      <c r="M2933" s="75"/>
      <c r="N2933" s="70"/>
      <c r="O2933" s="77" t="s">
        <v>179</v>
      </c>
      <c r="P2933" s="79">
        <v>45060.583773148152</v>
      </c>
      <c r="Q2933" s="77" t="s">
        <v>3945</v>
      </c>
      <c r="R2933" s="77">
        <v>0</v>
      </c>
      <c r="S2933" s="77">
        <v>9</v>
      </c>
      <c r="T2933" s="77">
        <v>1</v>
      </c>
      <c r="U2933" s="77">
        <v>0</v>
      </c>
      <c r="V2933" s="77">
        <v>2581</v>
      </c>
      <c r="W2933" s="82" t="s">
        <v>5880</v>
      </c>
      <c r="X2933" s="80" t="str">
        <f>HYPERLINK("https://www.moneytimes.com.br/imposto-de-renda-2023-quando-comeca-o-pagamento-da-restituicao/")</f>
        <v>https://www.moneytimes.com.br/imposto-de-renda-2023-quando-comeca-o-pagamento-da-restituicao/</v>
      </c>
      <c r="Y2933" s="77" t="s">
        <v>6002</v>
      </c>
      <c r="Z2933" s="77"/>
      <c r="AA2933" s="77"/>
      <c r="AB2933" s="77"/>
      <c r="AC2933" s="82" t="s">
        <v>7718</v>
      </c>
      <c r="AD2933" s="77" t="s">
        <v>7745</v>
      </c>
      <c r="AE2933" s="80" t="str">
        <f>HYPERLINK("https://twitter.com/leiamoneytimes/status/1657747752053342211")</f>
        <v>https://twitter.com/leiamoneytimes/status/1657747752053342211</v>
      </c>
      <c r="AF2933" s="79">
        <v>45060.583773148152</v>
      </c>
      <c r="AG2933" s="85">
        <v>45060</v>
      </c>
      <c r="AH2933" s="82" t="s">
        <v>10403</v>
      </c>
      <c r="AI2933" s="77" t="b">
        <v>0</v>
      </c>
      <c r="AJ2933" s="77"/>
      <c r="AK2933" s="77"/>
      <c r="AL2933" s="77"/>
      <c r="AM2933" s="77"/>
      <c r="AN2933" s="77"/>
      <c r="AO2933" s="77"/>
      <c r="AP2933" s="77"/>
      <c r="AQ2933" s="77"/>
      <c r="AR2933" s="77"/>
      <c r="AS2933" s="77"/>
      <c r="AT2933" s="77"/>
      <c r="AU2933" s="77"/>
      <c r="AV2933" s="80" t="str">
        <f>HYPERLINK("https://pbs.twimg.com/profile_images/1559883556846977024/bXHnQFY0_normal.jpg")</f>
        <v>https://pbs.twimg.com/profile_images/1559883556846977024/bXHnQFY0_normal.jpg</v>
      </c>
      <c r="AW2933" s="82" t="s">
        <v>15088</v>
      </c>
      <c r="AX2933" s="82" t="s">
        <v>15088</v>
      </c>
      <c r="AY2933" s="77"/>
      <c r="AZ2933" s="82" t="s">
        <v>15804</v>
      </c>
      <c r="BA2933" s="82" t="s">
        <v>15804</v>
      </c>
      <c r="BB2933" s="82" t="s">
        <v>15804</v>
      </c>
      <c r="BC2933" s="82" t="s">
        <v>15088</v>
      </c>
      <c r="BD2933" s="77">
        <v>51150679</v>
      </c>
      <c r="BE2933" s="77"/>
      <c r="BF2933" s="77"/>
      <c r="BG2933" s="77"/>
      <c r="BH2933" s="77"/>
      <c r="BI2933" s="77"/>
    </row>
    <row r="2934" spans="1:61" x14ac:dyDescent="0.25">
      <c r="A2934" s="62" t="s">
        <v>1027</v>
      </c>
      <c r="B2934" s="62" t="s">
        <v>1027</v>
      </c>
      <c r="C2934" s="63"/>
      <c r="D2934" s="64"/>
      <c r="E2934" s="65"/>
      <c r="F2934" s="66"/>
      <c r="G2934" s="63"/>
      <c r="H2934" s="67"/>
      <c r="I2934" s="68"/>
      <c r="J2934" s="68"/>
      <c r="K2934" s="32"/>
      <c r="L2934" s="75">
        <v>2934</v>
      </c>
      <c r="M2934" s="75"/>
      <c r="N2934" s="70"/>
      <c r="O2934" s="77" t="s">
        <v>179</v>
      </c>
      <c r="P2934" s="79">
        <v>45060.501550925925</v>
      </c>
      <c r="Q2934" s="77" t="s">
        <v>3946</v>
      </c>
      <c r="R2934" s="77">
        <v>0</v>
      </c>
      <c r="S2934" s="77">
        <v>7</v>
      </c>
      <c r="T2934" s="77">
        <v>1</v>
      </c>
      <c r="U2934" s="77">
        <v>1</v>
      </c>
      <c r="V2934" s="77">
        <v>2962</v>
      </c>
      <c r="W2934" s="82" t="s">
        <v>5871</v>
      </c>
      <c r="X2934" s="80" t="str">
        <f>HYPERLINK("https://www.moneytimes.com.br/elas-que-mandam-nove-em-cada-dez-maes-sao-responsaveis-pelo-orcamento-das-familias-brasileiras/")</f>
        <v>https://www.moneytimes.com.br/elas-que-mandam-nove-em-cada-dez-maes-sao-responsaveis-pelo-orcamento-das-familias-brasileiras/</v>
      </c>
      <c r="Y2934" s="77" t="s">
        <v>6002</v>
      </c>
      <c r="Z2934" s="77"/>
      <c r="AA2934" s="77"/>
      <c r="AB2934" s="77"/>
      <c r="AC2934" s="82" t="s">
        <v>7718</v>
      </c>
      <c r="AD2934" s="77" t="s">
        <v>7745</v>
      </c>
      <c r="AE2934" s="80" t="str">
        <f>HYPERLINK("https://twitter.com/leiamoneytimes/status/1657717957345042432")</f>
        <v>https://twitter.com/leiamoneytimes/status/1657717957345042432</v>
      </c>
      <c r="AF2934" s="79">
        <v>45060.501550925925</v>
      </c>
      <c r="AG2934" s="85">
        <v>45060</v>
      </c>
      <c r="AH2934" s="82" t="s">
        <v>10404</v>
      </c>
      <c r="AI2934" s="77" t="b">
        <v>0</v>
      </c>
      <c r="AJ2934" s="77"/>
      <c r="AK2934" s="77"/>
      <c r="AL2934" s="77"/>
      <c r="AM2934" s="77"/>
      <c r="AN2934" s="77"/>
      <c r="AO2934" s="77"/>
      <c r="AP2934" s="77"/>
      <c r="AQ2934" s="77"/>
      <c r="AR2934" s="77"/>
      <c r="AS2934" s="77"/>
      <c r="AT2934" s="77"/>
      <c r="AU2934" s="77"/>
      <c r="AV2934" s="80" t="str">
        <f>HYPERLINK("https://pbs.twimg.com/profile_images/1559883556846977024/bXHnQFY0_normal.jpg")</f>
        <v>https://pbs.twimg.com/profile_images/1559883556846977024/bXHnQFY0_normal.jpg</v>
      </c>
      <c r="AW2934" s="82" t="s">
        <v>15089</v>
      </c>
      <c r="AX2934" s="82" t="s">
        <v>15089</v>
      </c>
      <c r="AY2934" s="77"/>
      <c r="AZ2934" s="82" t="s">
        <v>15804</v>
      </c>
      <c r="BA2934" s="82" t="s">
        <v>15804</v>
      </c>
      <c r="BB2934" s="82" t="s">
        <v>15804</v>
      </c>
      <c r="BC2934" s="82" t="s">
        <v>15089</v>
      </c>
      <c r="BD2934" s="77">
        <v>51150679</v>
      </c>
      <c r="BE2934" s="77"/>
      <c r="BF2934" s="77"/>
      <c r="BG2934" s="77"/>
      <c r="BH2934" s="77"/>
      <c r="BI2934" s="77"/>
    </row>
    <row r="2935" spans="1:61" x14ac:dyDescent="0.25">
      <c r="A2935" s="62" t="s">
        <v>1027</v>
      </c>
      <c r="B2935" s="62" t="s">
        <v>1027</v>
      </c>
      <c r="C2935" s="63"/>
      <c r="D2935" s="64"/>
      <c r="E2935" s="65"/>
      <c r="F2935" s="66"/>
      <c r="G2935" s="63"/>
      <c r="H2935" s="67"/>
      <c r="I2935" s="68"/>
      <c r="J2935" s="68"/>
      <c r="K2935" s="32"/>
      <c r="L2935" s="75">
        <v>2935</v>
      </c>
      <c r="M2935" s="75"/>
      <c r="N2935" s="70"/>
      <c r="O2935" s="77" t="s">
        <v>179</v>
      </c>
      <c r="P2935" s="79">
        <v>45059.876562500001</v>
      </c>
      <c r="Q2935" s="77" t="s">
        <v>3947</v>
      </c>
      <c r="R2935" s="77">
        <v>0</v>
      </c>
      <c r="S2935" s="77">
        <v>4</v>
      </c>
      <c r="T2935" s="77">
        <v>1</v>
      </c>
      <c r="U2935" s="77">
        <v>0</v>
      </c>
      <c r="V2935" s="77">
        <v>2622</v>
      </c>
      <c r="W2935" s="82" t="s">
        <v>5870</v>
      </c>
      <c r="X2935" s="80" t="str">
        <f>HYPERLINK("https://www.moneytimes.com.br/imposto-de-renda-5-pontos-para-escapar-da-malha-fina/")</f>
        <v>https://www.moneytimes.com.br/imposto-de-renda-5-pontos-para-escapar-da-malha-fina/</v>
      </c>
      <c r="Y2935" s="77" t="s">
        <v>6002</v>
      </c>
      <c r="Z2935" s="77"/>
      <c r="AA2935" s="77"/>
      <c r="AB2935" s="77"/>
      <c r="AC2935" s="82" t="s">
        <v>7718</v>
      </c>
      <c r="AD2935" s="77" t="s">
        <v>7745</v>
      </c>
      <c r="AE2935" s="80" t="str">
        <f>HYPERLINK("https://twitter.com/leiamoneytimes/status/1657491468250906626")</f>
        <v>https://twitter.com/leiamoneytimes/status/1657491468250906626</v>
      </c>
      <c r="AF2935" s="79">
        <v>45059.876562500001</v>
      </c>
      <c r="AG2935" s="85">
        <v>45059</v>
      </c>
      <c r="AH2935" s="82" t="s">
        <v>10405</v>
      </c>
      <c r="AI2935" s="77" t="b">
        <v>0</v>
      </c>
      <c r="AJ2935" s="77"/>
      <c r="AK2935" s="77"/>
      <c r="AL2935" s="77"/>
      <c r="AM2935" s="77"/>
      <c r="AN2935" s="77"/>
      <c r="AO2935" s="77"/>
      <c r="AP2935" s="77"/>
      <c r="AQ2935" s="77"/>
      <c r="AR2935" s="77"/>
      <c r="AS2935" s="77"/>
      <c r="AT2935" s="77"/>
      <c r="AU2935" s="77"/>
      <c r="AV2935" s="80" t="str">
        <f>HYPERLINK("https://pbs.twimg.com/profile_images/1559883556846977024/bXHnQFY0_normal.jpg")</f>
        <v>https://pbs.twimg.com/profile_images/1559883556846977024/bXHnQFY0_normal.jpg</v>
      </c>
      <c r="AW2935" s="82" t="s">
        <v>15090</v>
      </c>
      <c r="AX2935" s="82" t="s">
        <v>15090</v>
      </c>
      <c r="AY2935" s="77"/>
      <c r="AZ2935" s="82" t="s">
        <v>15804</v>
      </c>
      <c r="BA2935" s="82" t="s">
        <v>15804</v>
      </c>
      <c r="BB2935" s="82" t="s">
        <v>15804</v>
      </c>
      <c r="BC2935" s="82" t="s">
        <v>15090</v>
      </c>
      <c r="BD2935" s="77">
        <v>51150679</v>
      </c>
      <c r="BE2935" s="77"/>
      <c r="BF2935" s="77"/>
      <c r="BG2935" s="77"/>
      <c r="BH2935" s="77"/>
      <c r="BI2935" s="77"/>
    </row>
    <row r="2936" spans="1:61" x14ac:dyDescent="0.25">
      <c r="A2936" s="62" t="s">
        <v>1027</v>
      </c>
      <c r="B2936" s="62" t="s">
        <v>1027</v>
      </c>
      <c r="C2936" s="63"/>
      <c r="D2936" s="64"/>
      <c r="E2936" s="65"/>
      <c r="F2936" s="66"/>
      <c r="G2936" s="63"/>
      <c r="H2936" s="67"/>
      <c r="I2936" s="68"/>
      <c r="J2936" s="68"/>
      <c r="K2936" s="32"/>
      <c r="L2936" s="75">
        <v>2936</v>
      </c>
      <c r="M2936" s="75"/>
      <c r="N2936" s="70"/>
      <c r="O2936" s="77" t="s">
        <v>179</v>
      </c>
      <c r="P2936" s="79">
        <v>45058.796863425923</v>
      </c>
      <c r="Q2936" s="77" t="s">
        <v>3948</v>
      </c>
      <c r="R2936" s="77">
        <v>0</v>
      </c>
      <c r="S2936" s="77">
        <v>3</v>
      </c>
      <c r="T2936" s="77">
        <v>1</v>
      </c>
      <c r="U2936" s="77">
        <v>0</v>
      </c>
      <c r="V2936" s="77">
        <v>1322</v>
      </c>
      <c r="W2936" s="82" t="s">
        <v>5873</v>
      </c>
      <c r="X2936" s="80" t="str">
        <f>HYPERLINK("https://www.moneytimes.com.br/imposto-de-renda-esta-na-reta-final-confira-como-fugir-da-malha-fina-e-quais-as-datas-de-restituicao/")</f>
        <v>https://www.moneytimes.com.br/imposto-de-renda-esta-na-reta-final-confira-como-fugir-da-malha-fina-e-quais-as-datas-de-restituicao/</v>
      </c>
      <c r="Y2936" s="77" t="s">
        <v>6002</v>
      </c>
      <c r="Z2936" s="77"/>
      <c r="AA2936" s="77"/>
      <c r="AB2936" s="77"/>
      <c r="AC2936" s="82" t="s">
        <v>7718</v>
      </c>
      <c r="AD2936" s="77" t="s">
        <v>7745</v>
      </c>
      <c r="AE2936" s="80" t="str">
        <f>HYPERLINK("https://twitter.com/leiamoneytimes/status/1657100198500347904")</f>
        <v>https://twitter.com/leiamoneytimes/status/1657100198500347904</v>
      </c>
      <c r="AF2936" s="79">
        <v>45058.796863425923</v>
      </c>
      <c r="AG2936" s="85">
        <v>45058</v>
      </c>
      <c r="AH2936" s="82" t="s">
        <v>10406</v>
      </c>
      <c r="AI2936" s="77" t="b">
        <v>0</v>
      </c>
      <c r="AJ2936" s="77"/>
      <c r="AK2936" s="77"/>
      <c r="AL2936" s="77"/>
      <c r="AM2936" s="77"/>
      <c r="AN2936" s="77"/>
      <c r="AO2936" s="77"/>
      <c r="AP2936" s="77"/>
      <c r="AQ2936" s="77"/>
      <c r="AR2936" s="77"/>
      <c r="AS2936" s="77"/>
      <c r="AT2936" s="77"/>
      <c r="AU2936" s="77"/>
      <c r="AV2936" s="80" t="str">
        <f>HYPERLINK("https://pbs.twimg.com/profile_images/1559883556846977024/bXHnQFY0_normal.jpg")</f>
        <v>https://pbs.twimg.com/profile_images/1559883556846977024/bXHnQFY0_normal.jpg</v>
      </c>
      <c r="AW2936" s="82" t="s">
        <v>15091</v>
      </c>
      <c r="AX2936" s="82" t="s">
        <v>15091</v>
      </c>
      <c r="AY2936" s="77"/>
      <c r="AZ2936" s="82" t="s">
        <v>15804</v>
      </c>
      <c r="BA2936" s="82" t="s">
        <v>15804</v>
      </c>
      <c r="BB2936" s="82" t="s">
        <v>15804</v>
      </c>
      <c r="BC2936" s="82" t="s">
        <v>15091</v>
      </c>
      <c r="BD2936" s="77">
        <v>51150679</v>
      </c>
      <c r="BE2936" s="77"/>
      <c r="BF2936" s="77"/>
      <c r="BG2936" s="77"/>
      <c r="BH2936" s="77"/>
      <c r="BI2936" s="77"/>
    </row>
    <row r="2937" spans="1:61" x14ac:dyDescent="0.25">
      <c r="A2937" s="62" t="s">
        <v>1027</v>
      </c>
      <c r="B2937" s="62" t="s">
        <v>1027</v>
      </c>
      <c r="C2937" s="63"/>
      <c r="D2937" s="64"/>
      <c r="E2937" s="65"/>
      <c r="F2937" s="66"/>
      <c r="G2937" s="63"/>
      <c r="H2937" s="67"/>
      <c r="I2937" s="68"/>
      <c r="J2937" s="68"/>
      <c r="K2937" s="32"/>
      <c r="L2937" s="75">
        <v>2937</v>
      </c>
      <c r="M2937" s="75"/>
      <c r="N2937" s="70"/>
      <c r="O2937" s="77" t="s">
        <v>179</v>
      </c>
      <c r="P2937" s="79">
        <v>45058.491550925923</v>
      </c>
      <c r="Q2937" s="77" t="s">
        <v>3949</v>
      </c>
      <c r="R2937" s="77">
        <v>0</v>
      </c>
      <c r="S2937" s="77">
        <v>1</v>
      </c>
      <c r="T2937" s="77">
        <v>1</v>
      </c>
      <c r="U2937" s="77">
        <v>0</v>
      </c>
      <c r="V2937" s="77">
        <v>1172</v>
      </c>
      <c r="W2937" s="82" t="s">
        <v>5916</v>
      </c>
      <c r="X2937" s="80" t="str">
        <f>HYPERLINK("https://www.moneytimes.com.br/dia-das-maes-como-economizar-na-compra-de-presentes/")</f>
        <v>https://www.moneytimes.com.br/dia-das-maes-como-economizar-na-compra-de-presentes/</v>
      </c>
      <c r="Y2937" s="77" t="s">
        <v>6002</v>
      </c>
      <c r="Z2937" s="77"/>
      <c r="AA2937" s="77"/>
      <c r="AB2937" s="77"/>
      <c r="AC2937" s="82" t="s">
        <v>7718</v>
      </c>
      <c r="AD2937" s="77" t="s">
        <v>7745</v>
      </c>
      <c r="AE2937" s="80" t="str">
        <f>HYPERLINK("https://twitter.com/leiamoneytimes/status/1656989557701718016")</f>
        <v>https://twitter.com/leiamoneytimes/status/1656989557701718016</v>
      </c>
      <c r="AF2937" s="79">
        <v>45058.491550925923</v>
      </c>
      <c r="AG2937" s="85">
        <v>45058</v>
      </c>
      <c r="AH2937" s="82" t="s">
        <v>10407</v>
      </c>
      <c r="AI2937" s="77" t="b">
        <v>0</v>
      </c>
      <c r="AJ2937" s="77"/>
      <c r="AK2937" s="77"/>
      <c r="AL2937" s="77"/>
      <c r="AM2937" s="77"/>
      <c r="AN2937" s="77"/>
      <c r="AO2937" s="77"/>
      <c r="AP2937" s="77"/>
      <c r="AQ2937" s="77"/>
      <c r="AR2937" s="77"/>
      <c r="AS2937" s="77"/>
      <c r="AT2937" s="77"/>
      <c r="AU2937" s="77"/>
      <c r="AV2937" s="80" t="str">
        <f>HYPERLINK("https://pbs.twimg.com/profile_images/1559883556846977024/bXHnQFY0_normal.jpg")</f>
        <v>https://pbs.twimg.com/profile_images/1559883556846977024/bXHnQFY0_normal.jpg</v>
      </c>
      <c r="AW2937" s="82" t="s">
        <v>15092</v>
      </c>
      <c r="AX2937" s="82" t="s">
        <v>15092</v>
      </c>
      <c r="AY2937" s="77"/>
      <c r="AZ2937" s="82" t="s">
        <v>15804</v>
      </c>
      <c r="BA2937" s="82" t="s">
        <v>15804</v>
      </c>
      <c r="BB2937" s="82" t="s">
        <v>15804</v>
      </c>
      <c r="BC2937" s="82" t="s">
        <v>15092</v>
      </c>
      <c r="BD2937" s="77">
        <v>51150679</v>
      </c>
      <c r="BE2937" s="77"/>
      <c r="BF2937" s="77"/>
      <c r="BG2937" s="77"/>
      <c r="BH2937" s="77"/>
      <c r="BI2937" s="77"/>
    </row>
    <row r="2938" spans="1:61" x14ac:dyDescent="0.25">
      <c r="A2938" s="62" t="s">
        <v>1027</v>
      </c>
      <c r="B2938" s="62" t="s">
        <v>1027</v>
      </c>
      <c r="C2938" s="63"/>
      <c r="D2938" s="64"/>
      <c r="E2938" s="65"/>
      <c r="F2938" s="66"/>
      <c r="G2938" s="63"/>
      <c r="H2938" s="67"/>
      <c r="I2938" s="68"/>
      <c r="J2938" s="68"/>
      <c r="K2938" s="32"/>
      <c r="L2938" s="75">
        <v>2938</v>
      </c>
      <c r="M2938" s="75"/>
      <c r="N2938" s="70"/>
      <c r="O2938" s="77" t="s">
        <v>179</v>
      </c>
      <c r="P2938" s="79">
        <v>45057.659918981481</v>
      </c>
      <c r="Q2938" s="77" t="s">
        <v>3950</v>
      </c>
      <c r="R2938" s="77">
        <v>0</v>
      </c>
      <c r="S2938" s="77">
        <v>6</v>
      </c>
      <c r="T2938" s="77">
        <v>1</v>
      </c>
      <c r="U2938" s="77">
        <v>0</v>
      </c>
      <c r="V2938" s="77">
        <v>1319</v>
      </c>
      <c r="W2938" s="82" t="s">
        <v>5860</v>
      </c>
      <c r="X2938" s="80" t="str">
        <f>HYPERLINK("https://www.moneytimes.com.br/mega-sena-premio-de-r-45-milhoes-e-sorteado-nesta-quinta-confira-como-aumentar-suas-chances/")</f>
        <v>https://www.moneytimes.com.br/mega-sena-premio-de-r-45-milhoes-e-sorteado-nesta-quinta-confira-como-aumentar-suas-chances/</v>
      </c>
      <c r="Y2938" s="77" t="s">
        <v>6002</v>
      </c>
      <c r="Z2938" s="77"/>
      <c r="AA2938" s="77"/>
      <c r="AB2938" s="77"/>
      <c r="AC2938" s="82" t="s">
        <v>7718</v>
      </c>
      <c r="AD2938" s="77" t="s">
        <v>7745</v>
      </c>
      <c r="AE2938" s="80" t="str">
        <f>HYPERLINK("https://twitter.com/leiamoneytimes/status/1656688182912483331")</f>
        <v>https://twitter.com/leiamoneytimes/status/1656688182912483331</v>
      </c>
      <c r="AF2938" s="79">
        <v>45057.659918981481</v>
      </c>
      <c r="AG2938" s="85">
        <v>45057</v>
      </c>
      <c r="AH2938" s="82" t="s">
        <v>10408</v>
      </c>
      <c r="AI2938" s="77" t="b">
        <v>0</v>
      </c>
      <c r="AJ2938" s="77"/>
      <c r="AK2938" s="77"/>
      <c r="AL2938" s="77"/>
      <c r="AM2938" s="77"/>
      <c r="AN2938" s="77"/>
      <c r="AO2938" s="77"/>
      <c r="AP2938" s="77"/>
      <c r="AQ2938" s="77"/>
      <c r="AR2938" s="77"/>
      <c r="AS2938" s="77"/>
      <c r="AT2938" s="77"/>
      <c r="AU2938" s="77"/>
      <c r="AV2938" s="80" t="str">
        <f>HYPERLINK("https://pbs.twimg.com/profile_images/1559883556846977024/bXHnQFY0_normal.jpg")</f>
        <v>https://pbs.twimg.com/profile_images/1559883556846977024/bXHnQFY0_normal.jpg</v>
      </c>
      <c r="AW2938" s="82" t="s">
        <v>15093</v>
      </c>
      <c r="AX2938" s="82" t="s">
        <v>15093</v>
      </c>
      <c r="AY2938" s="77"/>
      <c r="AZ2938" s="82" t="s">
        <v>15804</v>
      </c>
      <c r="BA2938" s="82" t="s">
        <v>15804</v>
      </c>
      <c r="BB2938" s="82" t="s">
        <v>15804</v>
      </c>
      <c r="BC2938" s="82" t="s">
        <v>15093</v>
      </c>
      <c r="BD2938" s="77">
        <v>51150679</v>
      </c>
      <c r="BE2938" s="77"/>
      <c r="BF2938" s="77"/>
      <c r="BG2938" s="77"/>
      <c r="BH2938" s="77"/>
      <c r="BI2938" s="77"/>
    </row>
    <row r="2939" spans="1:61" x14ac:dyDescent="0.25">
      <c r="A2939" s="62" t="s">
        <v>1027</v>
      </c>
      <c r="B2939" s="62" t="s">
        <v>1027</v>
      </c>
      <c r="C2939" s="63"/>
      <c r="D2939" s="64"/>
      <c r="E2939" s="65"/>
      <c r="F2939" s="66"/>
      <c r="G2939" s="63"/>
      <c r="H2939" s="67"/>
      <c r="I2939" s="68"/>
      <c r="J2939" s="68"/>
      <c r="K2939" s="32"/>
      <c r="L2939" s="75">
        <v>2939</v>
      </c>
      <c r="M2939" s="75"/>
      <c r="N2939" s="70"/>
      <c r="O2939" s="77" t="s">
        <v>179</v>
      </c>
      <c r="P2939" s="79">
        <v>45057.397592592592</v>
      </c>
      <c r="Q2939" s="77" t="s">
        <v>3951</v>
      </c>
      <c r="R2939" s="77">
        <v>1</v>
      </c>
      <c r="S2939" s="77">
        <v>5</v>
      </c>
      <c r="T2939" s="77">
        <v>2</v>
      </c>
      <c r="U2939" s="77">
        <v>0</v>
      </c>
      <c r="V2939" s="77">
        <v>1933</v>
      </c>
      <c r="W2939" s="82" t="s">
        <v>5917</v>
      </c>
      <c r="X2939" s="80" t="str">
        <f>HYPERLINK("https://www.moneytimes.com.br/imposto-de-renda-2023-conheca-os-9-grupos-que-podem-ser-declarados-como-dependentes/")</f>
        <v>https://www.moneytimes.com.br/imposto-de-renda-2023-conheca-os-9-grupos-que-podem-ser-declarados-como-dependentes/</v>
      </c>
      <c r="Y2939" s="77" t="s">
        <v>6002</v>
      </c>
      <c r="Z2939" s="77"/>
      <c r="AA2939" s="77"/>
      <c r="AB2939" s="77"/>
      <c r="AC2939" s="82" t="s">
        <v>7718</v>
      </c>
      <c r="AD2939" s="77" t="s">
        <v>7745</v>
      </c>
      <c r="AE2939" s="80" t="str">
        <f>HYPERLINK("https://twitter.com/leiamoneytimes/status/1656593119356354561")</f>
        <v>https://twitter.com/leiamoneytimes/status/1656593119356354561</v>
      </c>
      <c r="AF2939" s="79">
        <v>45057.397592592592</v>
      </c>
      <c r="AG2939" s="85">
        <v>45057</v>
      </c>
      <c r="AH2939" s="82" t="s">
        <v>10409</v>
      </c>
      <c r="AI2939" s="77" t="b">
        <v>0</v>
      </c>
      <c r="AJ2939" s="77"/>
      <c r="AK2939" s="77"/>
      <c r="AL2939" s="77"/>
      <c r="AM2939" s="77"/>
      <c r="AN2939" s="77"/>
      <c r="AO2939" s="77"/>
      <c r="AP2939" s="77"/>
      <c r="AQ2939" s="77"/>
      <c r="AR2939" s="77"/>
      <c r="AS2939" s="77"/>
      <c r="AT2939" s="77"/>
      <c r="AU2939" s="77"/>
      <c r="AV2939" s="80" t="str">
        <f>HYPERLINK("https://pbs.twimg.com/profile_images/1559883556846977024/bXHnQFY0_normal.jpg")</f>
        <v>https://pbs.twimg.com/profile_images/1559883556846977024/bXHnQFY0_normal.jpg</v>
      </c>
      <c r="AW2939" s="82" t="s">
        <v>15094</v>
      </c>
      <c r="AX2939" s="82" t="s">
        <v>15094</v>
      </c>
      <c r="AY2939" s="77"/>
      <c r="AZ2939" s="82" t="s">
        <v>15804</v>
      </c>
      <c r="BA2939" s="82" t="s">
        <v>15804</v>
      </c>
      <c r="BB2939" s="82" t="s">
        <v>15804</v>
      </c>
      <c r="BC2939" s="82" t="s">
        <v>15094</v>
      </c>
      <c r="BD2939" s="77">
        <v>51150679</v>
      </c>
      <c r="BE2939" s="77"/>
      <c r="BF2939" s="77"/>
      <c r="BG2939" s="77"/>
      <c r="BH2939" s="77"/>
      <c r="BI2939" s="77"/>
    </row>
    <row r="2940" spans="1:61" x14ac:dyDescent="0.25">
      <c r="A2940" s="62" t="s">
        <v>1027</v>
      </c>
      <c r="B2940" s="62" t="s">
        <v>1027</v>
      </c>
      <c r="C2940" s="63"/>
      <c r="D2940" s="64"/>
      <c r="E2940" s="65"/>
      <c r="F2940" s="66"/>
      <c r="G2940" s="63"/>
      <c r="H2940" s="67"/>
      <c r="I2940" s="68"/>
      <c r="J2940" s="68"/>
      <c r="K2940" s="32"/>
      <c r="L2940" s="75">
        <v>2940</v>
      </c>
      <c r="M2940" s="75"/>
      <c r="N2940" s="70"/>
      <c r="O2940" s="77" t="s">
        <v>179</v>
      </c>
      <c r="P2940" s="79">
        <v>45056.776724537034</v>
      </c>
      <c r="Q2940" s="77" t="s">
        <v>3952</v>
      </c>
      <c r="R2940" s="77">
        <v>0</v>
      </c>
      <c r="S2940" s="77">
        <v>3</v>
      </c>
      <c r="T2940" s="77">
        <v>1</v>
      </c>
      <c r="U2940" s="77">
        <v>0</v>
      </c>
      <c r="V2940" s="77">
        <v>1104</v>
      </c>
      <c r="W2940" s="82" t="s">
        <v>5873</v>
      </c>
      <c r="X2940" s="80" t="str">
        <f>HYPERLINK("https://www.moneytimes.com.br/imposto-de-renda-2023-prazo-para-pagamento-em-debito-automatico-termina-hoje/")</f>
        <v>https://www.moneytimes.com.br/imposto-de-renda-2023-prazo-para-pagamento-em-debito-automatico-termina-hoje/</v>
      </c>
      <c r="Y2940" s="77" t="s">
        <v>6002</v>
      </c>
      <c r="Z2940" s="77"/>
      <c r="AA2940" s="77"/>
      <c r="AB2940" s="77"/>
      <c r="AC2940" s="82" t="s">
        <v>7718</v>
      </c>
      <c r="AD2940" s="77" t="s">
        <v>7745</v>
      </c>
      <c r="AE2940" s="80" t="str">
        <f>HYPERLINK("https://twitter.com/leiamoneytimes/status/1656368125930008595")</f>
        <v>https://twitter.com/leiamoneytimes/status/1656368125930008595</v>
      </c>
      <c r="AF2940" s="79">
        <v>45056.776724537034</v>
      </c>
      <c r="AG2940" s="85">
        <v>45056</v>
      </c>
      <c r="AH2940" s="82" t="s">
        <v>10410</v>
      </c>
      <c r="AI2940" s="77" t="b">
        <v>0</v>
      </c>
      <c r="AJ2940" s="77"/>
      <c r="AK2940" s="77"/>
      <c r="AL2940" s="77"/>
      <c r="AM2940" s="77"/>
      <c r="AN2940" s="77"/>
      <c r="AO2940" s="77"/>
      <c r="AP2940" s="77"/>
      <c r="AQ2940" s="77"/>
      <c r="AR2940" s="77"/>
      <c r="AS2940" s="77"/>
      <c r="AT2940" s="77"/>
      <c r="AU2940" s="77"/>
      <c r="AV2940" s="80" t="str">
        <f>HYPERLINK("https://pbs.twimg.com/profile_images/1559883556846977024/bXHnQFY0_normal.jpg")</f>
        <v>https://pbs.twimg.com/profile_images/1559883556846977024/bXHnQFY0_normal.jpg</v>
      </c>
      <c r="AW2940" s="82" t="s">
        <v>15095</v>
      </c>
      <c r="AX2940" s="82" t="s">
        <v>15095</v>
      </c>
      <c r="AY2940" s="77"/>
      <c r="AZ2940" s="82" t="s">
        <v>15804</v>
      </c>
      <c r="BA2940" s="82" t="s">
        <v>15804</v>
      </c>
      <c r="BB2940" s="82" t="s">
        <v>15804</v>
      </c>
      <c r="BC2940" s="82" t="s">
        <v>15095</v>
      </c>
      <c r="BD2940" s="77">
        <v>51150679</v>
      </c>
      <c r="BE2940" s="77"/>
      <c r="BF2940" s="77"/>
      <c r="BG2940" s="77"/>
      <c r="BH2940" s="77"/>
      <c r="BI2940" s="77"/>
    </row>
    <row r="2941" spans="1:61" x14ac:dyDescent="0.25">
      <c r="A2941" s="62" t="s">
        <v>1027</v>
      </c>
      <c r="B2941" s="62" t="s">
        <v>1027</v>
      </c>
      <c r="C2941" s="63"/>
      <c r="D2941" s="64"/>
      <c r="E2941" s="65"/>
      <c r="F2941" s="66"/>
      <c r="G2941" s="63"/>
      <c r="H2941" s="67"/>
      <c r="I2941" s="68"/>
      <c r="J2941" s="68"/>
      <c r="K2941" s="32"/>
      <c r="L2941" s="75">
        <v>2941</v>
      </c>
      <c r="M2941" s="75"/>
      <c r="N2941" s="70"/>
      <c r="O2941" s="77" t="s">
        <v>179</v>
      </c>
      <c r="P2941" s="79">
        <v>45020.84988425926</v>
      </c>
      <c r="Q2941" s="77" t="s">
        <v>3953</v>
      </c>
      <c r="R2941" s="77">
        <v>0</v>
      </c>
      <c r="S2941" s="77">
        <v>1</v>
      </c>
      <c r="T2941" s="77">
        <v>1</v>
      </c>
      <c r="U2941" s="77">
        <v>0</v>
      </c>
      <c r="V2941" s="77">
        <v>1609</v>
      </c>
      <c r="W2941" s="82" t="s">
        <v>5871</v>
      </c>
      <c r="X2941" s="80" t="str">
        <f>HYPERLINK("https://www.moneytimes.com.br/atrasado-para-declarar-o-imposto-de-renda-2023-veja-tudo-que-voce-precisa-saber-agora/")</f>
        <v>https://www.moneytimes.com.br/atrasado-para-declarar-o-imposto-de-renda-2023-veja-tudo-que-voce-precisa-saber-agora/</v>
      </c>
      <c r="Y2941" s="77" t="s">
        <v>6002</v>
      </c>
      <c r="Z2941" s="77"/>
      <c r="AA2941" s="77"/>
      <c r="AB2941" s="77"/>
      <c r="AC2941" s="82" t="s">
        <v>7718</v>
      </c>
      <c r="AD2941" s="77" t="s">
        <v>7745</v>
      </c>
      <c r="AE2941" s="80" t="str">
        <f>HYPERLINK("https://twitter.com/leiamoneytimes/status/1643348674221682688")</f>
        <v>https://twitter.com/leiamoneytimes/status/1643348674221682688</v>
      </c>
      <c r="AF2941" s="79">
        <v>45020.84988425926</v>
      </c>
      <c r="AG2941" s="85">
        <v>45020</v>
      </c>
      <c r="AH2941" s="82" t="s">
        <v>10411</v>
      </c>
      <c r="AI2941" s="77" t="b">
        <v>0</v>
      </c>
      <c r="AJ2941" s="77"/>
      <c r="AK2941" s="77"/>
      <c r="AL2941" s="77"/>
      <c r="AM2941" s="77"/>
      <c r="AN2941" s="77"/>
      <c r="AO2941" s="77"/>
      <c r="AP2941" s="77"/>
      <c r="AQ2941" s="77"/>
      <c r="AR2941" s="77"/>
      <c r="AS2941" s="77"/>
      <c r="AT2941" s="77"/>
      <c r="AU2941" s="77"/>
      <c r="AV2941" s="80" t="str">
        <f>HYPERLINK("https://pbs.twimg.com/profile_images/1559883556846977024/bXHnQFY0_normal.jpg")</f>
        <v>https://pbs.twimg.com/profile_images/1559883556846977024/bXHnQFY0_normal.jpg</v>
      </c>
      <c r="AW2941" s="82" t="s">
        <v>15096</v>
      </c>
      <c r="AX2941" s="82" t="s">
        <v>15096</v>
      </c>
      <c r="AY2941" s="77"/>
      <c r="AZ2941" s="82" t="s">
        <v>15804</v>
      </c>
      <c r="BA2941" s="82" t="s">
        <v>15804</v>
      </c>
      <c r="BB2941" s="82" t="s">
        <v>15804</v>
      </c>
      <c r="BC2941" s="82" t="s">
        <v>15096</v>
      </c>
      <c r="BD2941" s="77">
        <v>51150679</v>
      </c>
      <c r="BE2941" s="77"/>
      <c r="BF2941" s="77"/>
      <c r="BG2941" s="77"/>
      <c r="BH2941" s="77"/>
      <c r="BI2941" s="77"/>
    </row>
    <row r="2942" spans="1:61" x14ac:dyDescent="0.25">
      <c r="A2942" s="62" t="s">
        <v>1027</v>
      </c>
      <c r="B2942" s="62" t="s">
        <v>1027</v>
      </c>
      <c r="C2942" s="63"/>
      <c r="D2942" s="64"/>
      <c r="E2942" s="65"/>
      <c r="F2942" s="66"/>
      <c r="G2942" s="63"/>
      <c r="H2942" s="67"/>
      <c r="I2942" s="68"/>
      <c r="J2942" s="68"/>
      <c r="K2942" s="32"/>
      <c r="L2942" s="75">
        <v>2942</v>
      </c>
      <c r="M2942" s="75"/>
      <c r="N2942" s="70"/>
      <c r="O2942" s="77" t="s">
        <v>179</v>
      </c>
      <c r="P2942" s="79">
        <v>45020.38318287037</v>
      </c>
      <c r="Q2942" s="77" t="s">
        <v>3954</v>
      </c>
      <c r="R2942" s="77">
        <v>0</v>
      </c>
      <c r="S2942" s="77">
        <v>1</v>
      </c>
      <c r="T2942" s="77">
        <v>0</v>
      </c>
      <c r="U2942" s="77">
        <v>0</v>
      </c>
      <c r="V2942" s="77">
        <v>1980</v>
      </c>
      <c r="W2942" s="82" t="s">
        <v>5901</v>
      </c>
      <c r="X2942" s="80" t="str">
        <f>HYPERLINK("https://www.moneytimes.com.br/day-trade-icaro-bastos-explica-como-gerenciar-riscos-nos-investimentos/")</f>
        <v>https://www.moneytimes.com.br/day-trade-icaro-bastos-explica-como-gerenciar-riscos-nos-investimentos/</v>
      </c>
      <c r="Y2942" s="77" t="s">
        <v>6002</v>
      </c>
      <c r="Z2942" s="77"/>
      <c r="AA2942" s="77"/>
      <c r="AB2942" s="77"/>
      <c r="AC2942" s="82" t="s">
        <v>7718</v>
      </c>
      <c r="AD2942" s="77" t="s">
        <v>7751</v>
      </c>
      <c r="AE2942" s="80" t="str">
        <f>HYPERLINK("https://twitter.com/leiamoneytimes/status/1643179546785587201")</f>
        <v>https://twitter.com/leiamoneytimes/status/1643179546785587201</v>
      </c>
      <c r="AF2942" s="79">
        <v>45020.38318287037</v>
      </c>
      <c r="AG2942" s="85">
        <v>45020</v>
      </c>
      <c r="AH2942" s="82" t="s">
        <v>10412</v>
      </c>
      <c r="AI2942" s="77" t="b">
        <v>0</v>
      </c>
      <c r="AJ2942" s="77"/>
      <c r="AK2942" s="77"/>
      <c r="AL2942" s="77"/>
      <c r="AM2942" s="77"/>
      <c r="AN2942" s="77"/>
      <c r="AO2942" s="77"/>
      <c r="AP2942" s="77"/>
      <c r="AQ2942" s="77"/>
      <c r="AR2942" s="77"/>
      <c r="AS2942" s="77"/>
      <c r="AT2942" s="77"/>
      <c r="AU2942" s="77"/>
      <c r="AV2942" s="80" t="str">
        <f>HYPERLINK("https://pbs.twimg.com/profile_images/1559883556846977024/bXHnQFY0_normal.jpg")</f>
        <v>https://pbs.twimg.com/profile_images/1559883556846977024/bXHnQFY0_normal.jpg</v>
      </c>
      <c r="AW2942" s="82" t="s">
        <v>15097</v>
      </c>
      <c r="AX2942" s="82" t="s">
        <v>15097</v>
      </c>
      <c r="AY2942" s="77"/>
      <c r="AZ2942" s="82" t="s">
        <v>15804</v>
      </c>
      <c r="BA2942" s="82" t="s">
        <v>15804</v>
      </c>
      <c r="BB2942" s="82" t="s">
        <v>15804</v>
      </c>
      <c r="BC2942" s="82" t="s">
        <v>15097</v>
      </c>
      <c r="BD2942" s="77">
        <v>51150679</v>
      </c>
      <c r="BE2942" s="77"/>
      <c r="BF2942" s="77"/>
      <c r="BG2942" s="77"/>
      <c r="BH2942" s="77"/>
      <c r="BI2942" s="77"/>
    </row>
    <row r="2943" spans="1:61" x14ac:dyDescent="0.25">
      <c r="A2943" s="62" t="s">
        <v>1027</v>
      </c>
      <c r="B2943" s="62" t="s">
        <v>1027</v>
      </c>
      <c r="C2943" s="63"/>
      <c r="D2943" s="64"/>
      <c r="E2943" s="65"/>
      <c r="F2943" s="66"/>
      <c r="G2943" s="63"/>
      <c r="H2943" s="67"/>
      <c r="I2943" s="68"/>
      <c r="J2943" s="68"/>
      <c r="K2943" s="32"/>
      <c r="L2943" s="75">
        <v>2943</v>
      </c>
      <c r="M2943" s="75"/>
      <c r="N2943" s="70"/>
      <c r="O2943" s="77" t="s">
        <v>179</v>
      </c>
      <c r="P2943" s="79">
        <v>45019.772407407407</v>
      </c>
      <c r="Q2943" s="77" t="s">
        <v>3955</v>
      </c>
      <c r="R2943" s="77">
        <v>1</v>
      </c>
      <c r="S2943" s="77">
        <v>1</v>
      </c>
      <c r="T2943" s="77">
        <v>0</v>
      </c>
      <c r="U2943" s="77">
        <v>0</v>
      </c>
      <c r="V2943" s="77">
        <v>1280</v>
      </c>
      <c r="W2943" s="82" t="s">
        <v>5871</v>
      </c>
      <c r="X2943" s="80" t="str">
        <f>HYPERLINK("https://www.moneytimes.com.br/imposto-de-renda-veja-guia-completo-para-te-ajudar-na-declaracao-falta-menos-de-2-meses/")</f>
        <v>https://www.moneytimes.com.br/imposto-de-renda-veja-guia-completo-para-te-ajudar-na-declaracao-falta-menos-de-2-meses/</v>
      </c>
      <c r="Y2943" s="77" t="s">
        <v>6002</v>
      </c>
      <c r="Z2943" s="77"/>
      <c r="AA2943" s="77"/>
      <c r="AB2943" s="77"/>
      <c r="AC2943" s="82" t="s">
        <v>7718</v>
      </c>
      <c r="AD2943" s="77" t="s">
        <v>7745</v>
      </c>
      <c r="AE2943" s="80" t="str">
        <f>HYPERLINK("https://twitter.com/leiamoneytimes/status/1642958208770752512")</f>
        <v>https://twitter.com/leiamoneytimes/status/1642958208770752512</v>
      </c>
      <c r="AF2943" s="79">
        <v>45019.772407407407</v>
      </c>
      <c r="AG2943" s="85">
        <v>45019</v>
      </c>
      <c r="AH2943" s="82" t="s">
        <v>10413</v>
      </c>
      <c r="AI2943" s="77" t="b">
        <v>0</v>
      </c>
      <c r="AJ2943" s="77"/>
      <c r="AK2943" s="77"/>
      <c r="AL2943" s="77"/>
      <c r="AM2943" s="77"/>
      <c r="AN2943" s="77"/>
      <c r="AO2943" s="77"/>
      <c r="AP2943" s="77"/>
      <c r="AQ2943" s="77"/>
      <c r="AR2943" s="77"/>
      <c r="AS2943" s="77"/>
      <c r="AT2943" s="77"/>
      <c r="AU2943" s="77"/>
      <c r="AV2943" s="80" t="str">
        <f>HYPERLINK("https://pbs.twimg.com/profile_images/1559883556846977024/bXHnQFY0_normal.jpg")</f>
        <v>https://pbs.twimg.com/profile_images/1559883556846977024/bXHnQFY0_normal.jpg</v>
      </c>
      <c r="AW2943" s="82" t="s">
        <v>15098</v>
      </c>
      <c r="AX2943" s="82" t="s">
        <v>15098</v>
      </c>
      <c r="AY2943" s="77"/>
      <c r="AZ2943" s="82" t="s">
        <v>15804</v>
      </c>
      <c r="BA2943" s="82" t="s">
        <v>15804</v>
      </c>
      <c r="BB2943" s="82" t="s">
        <v>15804</v>
      </c>
      <c r="BC2943" s="82" t="s">
        <v>15098</v>
      </c>
      <c r="BD2943" s="77">
        <v>51150679</v>
      </c>
      <c r="BE2943" s="77"/>
      <c r="BF2943" s="77"/>
      <c r="BG2943" s="77"/>
      <c r="BH2943" s="77"/>
      <c r="BI2943" s="77"/>
    </row>
    <row r="2944" spans="1:61" x14ac:dyDescent="0.25">
      <c r="A2944" s="62" t="s">
        <v>1027</v>
      </c>
      <c r="B2944" s="62" t="s">
        <v>1027</v>
      </c>
      <c r="C2944" s="63"/>
      <c r="D2944" s="64"/>
      <c r="E2944" s="65"/>
      <c r="F2944" s="66"/>
      <c r="G2944" s="63"/>
      <c r="H2944" s="67"/>
      <c r="I2944" s="68"/>
      <c r="J2944" s="68"/>
      <c r="K2944" s="32"/>
      <c r="L2944" s="75">
        <v>2944</v>
      </c>
      <c r="M2944" s="75"/>
      <c r="N2944" s="70"/>
      <c r="O2944" s="77" t="s">
        <v>179</v>
      </c>
      <c r="P2944" s="79">
        <v>45017.708854166667</v>
      </c>
      <c r="Q2944" s="77" t="s">
        <v>3956</v>
      </c>
      <c r="R2944" s="77">
        <v>0</v>
      </c>
      <c r="S2944" s="77">
        <v>2</v>
      </c>
      <c r="T2944" s="77">
        <v>0</v>
      </c>
      <c r="U2944" s="77">
        <v>0</v>
      </c>
      <c r="V2944" s="77">
        <v>1638</v>
      </c>
      <c r="W2944" s="82" t="s">
        <v>5918</v>
      </c>
      <c r="X2944" s="80" t="str">
        <f>HYPERLINK("https://www.moneytimes.com.br/imposto-de-renda-2023-5-fundos-imobiliarios-para-investir-com-a-grana-da-restituicao/")</f>
        <v>https://www.moneytimes.com.br/imposto-de-renda-2023-5-fundos-imobiliarios-para-investir-com-a-grana-da-restituicao/</v>
      </c>
      <c r="Y2944" s="77" t="s">
        <v>6002</v>
      </c>
      <c r="Z2944" s="77"/>
      <c r="AA2944" s="77"/>
      <c r="AB2944" s="77"/>
      <c r="AC2944" s="82" t="s">
        <v>7718</v>
      </c>
      <c r="AD2944" s="77" t="s">
        <v>7745</v>
      </c>
      <c r="AE2944" s="80" t="str">
        <f>HYPERLINK("https://twitter.com/leiamoneytimes/status/1642210402359443456")</f>
        <v>https://twitter.com/leiamoneytimes/status/1642210402359443456</v>
      </c>
      <c r="AF2944" s="79">
        <v>45017.708854166667</v>
      </c>
      <c r="AG2944" s="85">
        <v>45017</v>
      </c>
      <c r="AH2944" s="82" t="s">
        <v>9188</v>
      </c>
      <c r="AI2944" s="77" t="b">
        <v>0</v>
      </c>
      <c r="AJ2944" s="77"/>
      <c r="AK2944" s="77"/>
      <c r="AL2944" s="77"/>
      <c r="AM2944" s="77"/>
      <c r="AN2944" s="77"/>
      <c r="AO2944" s="77"/>
      <c r="AP2944" s="77"/>
      <c r="AQ2944" s="77"/>
      <c r="AR2944" s="77"/>
      <c r="AS2944" s="77"/>
      <c r="AT2944" s="77"/>
      <c r="AU2944" s="77"/>
      <c r="AV2944" s="80" t="str">
        <f>HYPERLINK("https://pbs.twimg.com/profile_images/1559883556846977024/bXHnQFY0_normal.jpg")</f>
        <v>https://pbs.twimg.com/profile_images/1559883556846977024/bXHnQFY0_normal.jpg</v>
      </c>
      <c r="AW2944" s="82" t="s">
        <v>15099</v>
      </c>
      <c r="AX2944" s="82" t="s">
        <v>15099</v>
      </c>
      <c r="AY2944" s="77"/>
      <c r="AZ2944" s="82" t="s">
        <v>15804</v>
      </c>
      <c r="BA2944" s="82" t="s">
        <v>15804</v>
      </c>
      <c r="BB2944" s="82" t="s">
        <v>15804</v>
      </c>
      <c r="BC2944" s="82" t="s">
        <v>15099</v>
      </c>
      <c r="BD2944" s="77">
        <v>51150679</v>
      </c>
      <c r="BE2944" s="77"/>
      <c r="BF2944" s="77"/>
      <c r="BG2944" s="77"/>
      <c r="BH2944" s="77"/>
      <c r="BI2944" s="77"/>
    </row>
    <row r="2945" spans="1:61" x14ac:dyDescent="0.25">
      <c r="A2945" s="62" t="s">
        <v>1027</v>
      </c>
      <c r="B2945" s="62" t="s">
        <v>1027</v>
      </c>
      <c r="C2945" s="63"/>
      <c r="D2945" s="64"/>
      <c r="E2945" s="65"/>
      <c r="F2945" s="66"/>
      <c r="G2945" s="63"/>
      <c r="H2945" s="67"/>
      <c r="I2945" s="68"/>
      <c r="J2945" s="68"/>
      <c r="K2945" s="32"/>
      <c r="L2945" s="75">
        <v>2945</v>
      </c>
      <c r="M2945" s="75"/>
      <c r="N2945" s="70"/>
      <c r="O2945" s="77" t="s">
        <v>179</v>
      </c>
      <c r="P2945" s="79">
        <v>45016.668935185182</v>
      </c>
      <c r="Q2945" s="77" t="s">
        <v>3957</v>
      </c>
      <c r="R2945" s="77">
        <v>0</v>
      </c>
      <c r="S2945" s="77">
        <v>1</v>
      </c>
      <c r="T2945" s="77">
        <v>0</v>
      </c>
      <c r="U2945" s="77">
        <v>0</v>
      </c>
      <c r="V2945" s="77">
        <v>1154</v>
      </c>
      <c r="W2945" s="82" t="s">
        <v>5911</v>
      </c>
      <c r="X2945" s="80" t="str">
        <f>HYPERLINK("https://www.moneytimes.com.br/imposto-de-renda-2023-como-declarar-investimentos-no-tesouro-direto/")</f>
        <v>https://www.moneytimes.com.br/imposto-de-renda-2023-como-declarar-investimentos-no-tesouro-direto/</v>
      </c>
      <c r="Y2945" s="77" t="s">
        <v>6002</v>
      </c>
      <c r="Z2945" s="77"/>
      <c r="AA2945" s="77"/>
      <c r="AB2945" s="77"/>
      <c r="AC2945" s="82" t="s">
        <v>7718</v>
      </c>
      <c r="AD2945" s="77" t="s">
        <v>7745</v>
      </c>
      <c r="AE2945" s="80" t="str">
        <f>HYPERLINK("https://twitter.com/leiamoneytimes/status/1641833549387952131")</f>
        <v>https://twitter.com/leiamoneytimes/status/1641833549387952131</v>
      </c>
      <c r="AF2945" s="79">
        <v>45016.668935185182</v>
      </c>
      <c r="AG2945" s="85">
        <v>45016</v>
      </c>
      <c r="AH2945" s="82" t="s">
        <v>10414</v>
      </c>
      <c r="AI2945" s="77" t="b">
        <v>0</v>
      </c>
      <c r="AJ2945" s="77"/>
      <c r="AK2945" s="77"/>
      <c r="AL2945" s="77"/>
      <c r="AM2945" s="77"/>
      <c r="AN2945" s="77"/>
      <c r="AO2945" s="77"/>
      <c r="AP2945" s="77"/>
      <c r="AQ2945" s="77"/>
      <c r="AR2945" s="77"/>
      <c r="AS2945" s="77"/>
      <c r="AT2945" s="77"/>
      <c r="AU2945" s="77"/>
      <c r="AV2945" s="80" t="str">
        <f>HYPERLINK("https://pbs.twimg.com/profile_images/1559883556846977024/bXHnQFY0_normal.jpg")</f>
        <v>https://pbs.twimg.com/profile_images/1559883556846977024/bXHnQFY0_normal.jpg</v>
      </c>
      <c r="AW2945" s="82" t="s">
        <v>15100</v>
      </c>
      <c r="AX2945" s="82" t="s">
        <v>15100</v>
      </c>
      <c r="AY2945" s="77"/>
      <c r="AZ2945" s="82" t="s">
        <v>15804</v>
      </c>
      <c r="BA2945" s="82" t="s">
        <v>15804</v>
      </c>
      <c r="BB2945" s="82" t="s">
        <v>15804</v>
      </c>
      <c r="BC2945" s="82" t="s">
        <v>15100</v>
      </c>
      <c r="BD2945" s="77">
        <v>51150679</v>
      </c>
      <c r="BE2945" s="77"/>
      <c r="BF2945" s="77"/>
      <c r="BG2945" s="77"/>
      <c r="BH2945" s="77"/>
      <c r="BI2945" s="77"/>
    </row>
    <row r="2946" spans="1:61" x14ac:dyDescent="0.25">
      <c r="A2946" s="62" t="s">
        <v>1027</v>
      </c>
      <c r="B2946" s="62" t="s">
        <v>1027</v>
      </c>
      <c r="C2946" s="63"/>
      <c r="D2946" s="64"/>
      <c r="E2946" s="65"/>
      <c r="F2946" s="66"/>
      <c r="G2946" s="63"/>
      <c r="H2946" s="67"/>
      <c r="I2946" s="68"/>
      <c r="J2946" s="68"/>
      <c r="K2946" s="32"/>
      <c r="L2946" s="75">
        <v>2946</v>
      </c>
      <c r="M2946" s="75"/>
      <c r="N2946" s="70"/>
      <c r="O2946" s="77" t="s">
        <v>179</v>
      </c>
      <c r="P2946" s="79">
        <v>45015.410509259258</v>
      </c>
      <c r="Q2946" s="77" t="s">
        <v>3958</v>
      </c>
      <c r="R2946" s="77">
        <v>0</v>
      </c>
      <c r="S2946" s="77">
        <v>1</v>
      </c>
      <c r="T2946" s="77">
        <v>0</v>
      </c>
      <c r="U2946" s="77">
        <v>0</v>
      </c>
      <c r="V2946" s="77">
        <v>1303</v>
      </c>
      <c r="W2946" s="82" t="s">
        <v>5858</v>
      </c>
      <c r="X2946" s="80" t="str">
        <f>HYPERLINK("https://www.moneytimes.com.br/imposto-de-renda-2023-saiba-como-declarar-gastos-com-plano-de-saude/")</f>
        <v>https://www.moneytimes.com.br/imposto-de-renda-2023-saiba-como-declarar-gastos-com-plano-de-saude/</v>
      </c>
      <c r="Y2946" s="77" t="s">
        <v>6002</v>
      </c>
      <c r="Z2946" s="77"/>
      <c r="AA2946" s="77"/>
      <c r="AB2946" s="77"/>
      <c r="AC2946" s="82" t="s">
        <v>7718</v>
      </c>
      <c r="AD2946" s="77" t="s">
        <v>7745</v>
      </c>
      <c r="AE2946" s="80" t="str">
        <f>HYPERLINK("https://twitter.com/leiamoneytimes/status/1641377510578372608")</f>
        <v>https://twitter.com/leiamoneytimes/status/1641377510578372608</v>
      </c>
      <c r="AF2946" s="79">
        <v>45015.410509259258</v>
      </c>
      <c r="AG2946" s="85">
        <v>45015</v>
      </c>
      <c r="AH2946" s="82" t="s">
        <v>10415</v>
      </c>
      <c r="AI2946" s="77" t="b">
        <v>0</v>
      </c>
      <c r="AJ2946" s="77"/>
      <c r="AK2946" s="77"/>
      <c r="AL2946" s="77"/>
      <c r="AM2946" s="77"/>
      <c r="AN2946" s="77"/>
      <c r="AO2946" s="77"/>
      <c r="AP2946" s="77"/>
      <c r="AQ2946" s="77"/>
      <c r="AR2946" s="77"/>
      <c r="AS2946" s="77"/>
      <c r="AT2946" s="77"/>
      <c r="AU2946" s="77"/>
      <c r="AV2946" s="80" t="str">
        <f>HYPERLINK("https://pbs.twimg.com/profile_images/1559883556846977024/bXHnQFY0_normal.jpg")</f>
        <v>https://pbs.twimg.com/profile_images/1559883556846977024/bXHnQFY0_normal.jpg</v>
      </c>
      <c r="AW2946" s="82" t="s">
        <v>15101</v>
      </c>
      <c r="AX2946" s="82" t="s">
        <v>15101</v>
      </c>
      <c r="AY2946" s="77"/>
      <c r="AZ2946" s="82" t="s">
        <v>15804</v>
      </c>
      <c r="BA2946" s="82" t="s">
        <v>15804</v>
      </c>
      <c r="BB2946" s="82" t="s">
        <v>15804</v>
      </c>
      <c r="BC2946" s="82" t="s">
        <v>15101</v>
      </c>
      <c r="BD2946" s="77">
        <v>51150679</v>
      </c>
      <c r="BE2946" s="77"/>
      <c r="BF2946" s="77"/>
      <c r="BG2946" s="77"/>
      <c r="BH2946" s="77"/>
      <c r="BI2946" s="77"/>
    </row>
    <row r="2947" spans="1:61" x14ac:dyDescent="0.25">
      <c r="A2947" s="62" t="s">
        <v>1027</v>
      </c>
      <c r="B2947" s="62" t="s">
        <v>1027</v>
      </c>
      <c r="C2947" s="63"/>
      <c r="D2947" s="64"/>
      <c r="E2947" s="65"/>
      <c r="F2947" s="66"/>
      <c r="G2947" s="63"/>
      <c r="H2947" s="67"/>
      <c r="I2947" s="68"/>
      <c r="J2947" s="68"/>
      <c r="K2947" s="32"/>
      <c r="L2947" s="75">
        <v>2947</v>
      </c>
      <c r="M2947" s="75"/>
      <c r="N2947" s="70"/>
      <c r="O2947" s="77" t="s">
        <v>179</v>
      </c>
      <c r="P2947" s="79">
        <v>44978.710358796299</v>
      </c>
      <c r="Q2947" s="77" t="s">
        <v>3959</v>
      </c>
      <c r="R2947" s="77">
        <v>0</v>
      </c>
      <c r="S2947" s="77">
        <v>4</v>
      </c>
      <c r="T2947" s="77">
        <v>0</v>
      </c>
      <c r="U2947" s="77">
        <v>1</v>
      </c>
      <c r="V2947" s="77">
        <v>1902</v>
      </c>
      <c r="W2947" s="82" t="s">
        <v>5919</v>
      </c>
      <c r="X2947" s="80" t="str">
        <f>HYPERLINK("https://www.moneytimes.com.br/imposto-de-renda-2023-quando-o-programa-para-declaracao-estara-disponivel/")</f>
        <v>https://www.moneytimes.com.br/imposto-de-renda-2023-quando-o-programa-para-declaracao-estara-disponivel/</v>
      </c>
      <c r="Y2947" s="77" t="s">
        <v>6002</v>
      </c>
      <c r="Z2947" s="77"/>
      <c r="AA2947" s="77"/>
      <c r="AB2947" s="77"/>
      <c r="AC2947" s="82" t="s">
        <v>7718</v>
      </c>
      <c r="AD2947" s="77" t="s">
        <v>7745</v>
      </c>
      <c r="AE2947" s="80" t="str">
        <f>HYPERLINK("https://twitter.com/leiamoneytimes/status/1628077822626476049")</f>
        <v>https://twitter.com/leiamoneytimes/status/1628077822626476049</v>
      </c>
      <c r="AF2947" s="79">
        <v>44978.710358796299</v>
      </c>
      <c r="AG2947" s="85">
        <v>44978</v>
      </c>
      <c r="AH2947" s="82" t="s">
        <v>10416</v>
      </c>
      <c r="AI2947" s="77" t="b">
        <v>0</v>
      </c>
      <c r="AJ2947" s="77"/>
      <c r="AK2947" s="77"/>
      <c r="AL2947" s="77"/>
      <c r="AM2947" s="77"/>
      <c r="AN2947" s="77"/>
      <c r="AO2947" s="77"/>
      <c r="AP2947" s="77"/>
      <c r="AQ2947" s="77"/>
      <c r="AR2947" s="77"/>
      <c r="AS2947" s="77"/>
      <c r="AT2947" s="77"/>
      <c r="AU2947" s="77"/>
      <c r="AV2947" s="80" t="str">
        <f>HYPERLINK("https://pbs.twimg.com/profile_images/1559883556846977024/bXHnQFY0_normal.jpg")</f>
        <v>https://pbs.twimg.com/profile_images/1559883556846977024/bXHnQFY0_normal.jpg</v>
      </c>
      <c r="AW2947" s="82" t="s">
        <v>15102</v>
      </c>
      <c r="AX2947" s="82" t="s">
        <v>15102</v>
      </c>
      <c r="AY2947" s="77"/>
      <c r="AZ2947" s="82" t="s">
        <v>15804</v>
      </c>
      <c r="BA2947" s="82" t="s">
        <v>15804</v>
      </c>
      <c r="BB2947" s="82" t="s">
        <v>15804</v>
      </c>
      <c r="BC2947" s="82" t="s">
        <v>15102</v>
      </c>
      <c r="BD2947" s="77">
        <v>51150679</v>
      </c>
      <c r="BE2947" s="77"/>
      <c r="BF2947" s="77"/>
      <c r="BG2947" s="77"/>
      <c r="BH2947" s="77"/>
      <c r="BI2947" s="77"/>
    </row>
    <row r="2948" spans="1:61" x14ac:dyDescent="0.25">
      <c r="A2948" s="62" t="s">
        <v>1027</v>
      </c>
      <c r="B2948" s="62" t="s">
        <v>1027</v>
      </c>
      <c r="C2948" s="63"/>
      <c r="D2948" s="64"/>
      <c r="E2948" s="65"/>
      <c r="F2948" s="66"/>
      <c r="G2948" s="63"/>
      <c r="H2948" s="67"/>
      <c r="I2948" s="68"/>
      <c r="J2948" s="68"/>
      <c r="K2948" s="32"/>
      <c r="L2948" s="75">
        <v>2948</v>
      </c>
      <c r="M2948" s="75"/>
      <c r="N2948" s="70"/>
      <c r="O2948" s="77" t="s">
        <v>179</v>
      </c>
      <c r="P2948" s="79">
        <v>44975.722615740742</v>
      </c>
      <c r="Q2948" s="77" t="s">
        <v>3960</v>
      </c>
      <c r="R2948" s="77">
        <v>1</v>
      </c>
      <c r="S2948" s="77">
        <v>1</v>
      </c>
      <c r="T2948" s="77">
        <v>0</v>
      </c>
      <c r="U2948" s="77">
        <v>0</v>
      </c>
      <c r="V2948" s="77">
        <v>2400</v>
      </c>
      <c r="W2948" s="82" t="s">
        <v>5920</v>
      </c>
      <c r="X2948" s="80" t="str">
        <f>HYPERLINK("https://www.moneytimes.com.br/inadimplentes-podem-perder-a-cnh-entenda/")</f>
        <v>https://www.moneytimes.com.br/inadimplentes-podem-perder-a-cnh-entenda/</v>
      </c>
      <c r="Y2948" s="77" t="s">
        <v>6002</v>
      </c>
      <c r="Z2948" s="77"/>
      <c r="AA2948" s="77"/>
      <c r="AB2948" s="77"/>
      <c r="AC2948" s="82" t="s">
        <v>7718</v>
      </c>
      <c r="AD2948" s="77" t="s">
        <v>7745</v>
      </c>
      <c r="AE2948" s="80" t="str">
        <f>HYPERLINK("https://twitter.com/leiamoneytimes/status/1626995097827934208")</f>
        <v>https://twitter.com/leiamoneytimes/status/1626995097827934208</v>
      </c>
      <c r="AF2948" s="79">
        <v>44975.722615740742</v>
      </c>
      <c r="AG2948" s="85">
        <v>44975</v>
      </c>
      <c r="AH2948" s="82" t="s">
        <v>10417</v>
      </c>
      <c r="AI2948" s="77" t="b">
        <v>0</v>
      </c>
      <c r="AJ2948" s="77"/>
      <c r="AK2948" s="77"/>
      <c r="AL2948" s="77"/>
      <c r="AM2948" s="77"/>
      <c r="AN2948" s="77"/>
      <c r="AO2948" s="77"/>
      <c r="AP2948" s="77"/>
      <c r="AQ2948" s="77"/>
      <c r="AR2948" s="77"/>
      <c r="AS2948" s="77"/>
      <c r="AT2948" s="77"/>
      <c r="AU2948" s="77"/>
      <c r="AV2948" s="80" t="str">
        <f>HYPERLINK("https://pbs.twimg.com/profile_images/1559883556846977024/bXHnQFY0_normal.jpg")</f>
        <v>https://pbs.twimg.com/profile_images/1559883556846977024/bXHnQFY0_normal.jpg</v>
      </c>
      <c r="AW2948" s="82" t="s">
        <v>15103</v>
      </c>
      <c r="AX2948" s="82" t="s">
        <v>15103</v>
      </c>
      <c r="AY2948" s="77"/>
      <c r="AZ2948" s="82" t="s">
        <v>15804</v>
      </c>
      <c r="BA2948" s="82" t="s">
        <v>15804</v>
      </c>
      <c r="BB2948" s="82" t="s">
        <v>15804</v>
      </c>
      <c r="BC2948" s="82" t="s">
        <v>15103</v>
      </c>
      <c r="BD2948" s="77">
        <v>51150679</v>
      </c>
      <c r="BE2948" s="77"/>
      <c r="BF2948" s="77"/>
      <c r="BG2948" s="77"/>
      <c r="BH2948" s="77"/>
      <c r="BI2948" s="77"/>
    </row>
    <row r="2949" spans="1:61" x14ac:dyDescent="0.25">
      <c r="A2949" s="62" t="s">
        <v>1027</v>
      </c>
      <c r="B2949" s="62" t="s">
        <v>1027</v>
      </c>
      <c r="C2949" s="63"/>
      <c r="D2949" s="64"/>
      <c r="E2949" s="65"/>
      <c r="F2949" s="66"/>
      <c r="G2949" s="63"/>
      <c r="H2949" s="67"/>
      <c r="I2949" s="68"/>
      <c r="J2949" s="68"/>
      <c r="K2949" s="32"/>
      <c r="L2949" s="75">
        <v>2949</v>
      </c>
      <c r="M2949" s="75"/>
      <c r="N2949" s="70"/>
      <c r="O2949" s="77" t="s">
        <v>179</v>
      </c>
      <c r="P2949" s="79">
        <v>44975.51152777778</v>
      </c>
      <c r="Q2949" s="77" t="s">
        <v>3961</v>
      </c>
      <c r="R2949" s="77">
        <v>0</v>
      </c>
      <c r="S2949" s="77">
        <v>2</v>
      </c>
      <c r="T2949" s="77">
        <v>1</v>
      </c>
      <c r="U2949" s="77">
        <v>0</v>
      </c>
      <c r="V2949" s="77">
        <v>1768</v>
      </c>
      <c r="W2949" s="82" t="s">
        <v>5921</v>
      </c>
      <c r="X2949" s="80" t="str">
        <f>HYPERLINK("https://www.moneytimes.com.br/carnaval-2023-pix-e-o-queridinho-dos-folioes-veja-como-se-proteger-de-golpes/")</f>
        <v>https://www.moneytimes.com.br/carnaval-2023-pix-e-o-queridinho-dos-folioes-veja-como-se-proteger-de-golpes/</v>
      </c>
      <c r="Y2949" s="77" t="s">
        <v>6002</v>
      </c>
      <c r="Z2949" s="77"/>
      <c r="AA2949" s="77"/>
      <c r="AB2949" s="77"/>
      <c r="AC2949" s="82" t="s">
        <v>7718</v>
      </c>
      <c r="AD2949" s="77" t="s">
        <v>7745</v>
      </c>
      <c r="AE2949" s="80" t="str">
        <f>HYPERLINK("https://twitter.com/leiamoneytimes/status/1626918604510732288")</f>
        <v>https://twitter.com/leiamoneytimes/status/1626918604510732288</v>
      </c>
      <c r="AF2949" s="79">
        <v>44975.51152777778</v>
      </c>
      <c r="AG2949" s="85">
        <v>44975</v>
      </c>
      <c r="AH2949" s="82" t="s">
        <v>10418</v>
      </c>
      <c r="AI2949" s="77" t="b">
        <v>0</v>
      </c>
      <c r="AJ2949" s="77"/>
      <c r="AK2949" s="77"/>
      <c r="AL2949" s="77"/>
      <c r="AM2949" s="77"/>
      <c r="AN2949" s="77"/>
      <c r="AO2949" s="77"/>
      <c r="AP2949" s="77"/>
      <c r="AQ2949" s="77"/>
      <c r="AR2949" s="77"/>
      <c r="AS2949" s="77"/>
      <c r="AT2949" s="77"/>
      <c r="AU2949" s="77"/>
      <c r="AV2949" s="80" t="str">
        <f>HYPERLINK("https://pbs.twimg.com/profile_images/1559883556846977024/bXHnQFY0_normal.jpg")</f>
        <v>https://pbs.twimg.com/profile_images/1559883556846977024/bXHnQFY0_normal.jpg</v>
      </c>
      <c r="AW2949" s="82" t="s">
        <v>15104</v>
      </c>
      <c r="AX2949" s="82" t="s">
        <v>15104</v>
      </c>
      <c r="AY2949" s="77"/>
      <c r="AZ2949" s="82" t="s">
        <v>15804</v>
      </c>
      <c r="BA2949" s="82" t="s">
        <v>15804</v>
      </c>
      <c r="BB2949" s="82" t="s">
        <v>15804</v>
      </c>
      <c r="BC2949" s="82" t="s">
        <v>15104</v>
      </c>
      <c r="BD2949" s="77">
        <v>51150679</v>
      </c>
      <c r="BE2949" s="77"/>
      <c r="BF2949" s="77"/>
      <c r="BG2949" s="77"/>
      <c r="BH2949" s="77"/>
      <c r="BI2949" s="77"/>
    </row>
    <row r="2950" spans="1:61" x14ac:dyDescent="0.25">
      <c r="A2950" s="62" t="s">
        <v>1027</v>
      </c>
      <c r="B2950" s="62" t="s">
        <v>1027</v>
      </c>
      <c r="C2950" s="63"/>
      <c r="D2950" s="64"/>
      <c r="E2950" s="65"/>
      <c r="F2950" s="66"/>
      <c r="G2950" s="63"/>
      <c r="H2950" s="67"/>
      <c r="I2950" s="68"/>
      <c r="J2950" s="68"/>
      <c r="K2950" s="32"/>
      <c r="L2950" s="75">
        <v>2950</v>
      </c>
      <c r="M2950" s="75"/>
      <c r="N2950" s="70"/>
      <c r="O2950" s="77" t="s">
        <v>179</v>
      </c>
      <c r="P2950" s="79">
        <v>44974.743645833332</v>
      </c>
      <c r="Q2950" s="77" t="s">
        <v>3962</v>
      </c>
      <c r="R2950" s="77">
        <v>0</v>
      </c>
      <c r="S2950" s="77">
        <v>1</v>
      </c>
      <c r="T2950" s="77">
        <v>0</v>
      </c>
      <c r="U2950" s="77">
        <v>0</v>
      </c>
      <c r="V2950" s="77">
        <v>1214</v>
      </c>
      <c r="W2950" s="82" t="s">
        <v>5922</v>
      </c>
      <c r="X2950" s="80" t="str">
        <f>HYPERLINK("https://www.moneytimes.com.br/educacao-financeira-para-mulheres-verena-cordeiro-destaca-papel-no-empoderamento/")</f>
        <v>https://www.moneytimes.com.br/educacao-financeira-para-mulheres-verena-cordeiro-destaca-papel-no-empoderamento/</v>
      </c>
      <c r="Y2950" s="77" t="s">
        <v>6002</v>
      </c>
      <c r="Z2950" s="77"/>
      <c r="AA2950" s="77"/>
      <c r="AB2950" s="77"/>
      <c r="AC2950" s="82" t="s">
        <v>7718</v>
      </c>
      <c r="AD2950" s="77" t="s">
        <v>7745</v>
      </c>
      <c r="AE2950" s="80" t="str">
        <f>HYPERLINK("https://twitter.com/leiamoneytimes/status/1626640331717443586")</f>
        <v>https://twitter.com/leiamoneytimes/status/1626640331717443586</v>
      </c>
      <c r="AF2950" s="79">
        <v>44974.743645833332</v>
      </c>
      <c r="AG2950" s="85">
        <v>44974</v>
      </c>
      <c r="AH2950" s="82" t="s">
        <v>10419</v>
      </c>
      <c r="AI2950" s="77" t="b">
        <v>0</v>
      </c>
      <c r="AJ2950" s="77"/>
      <c r="AK2950" s="77"/>
      <c r="AL2950" s="77"/>
      <c r="AM2950" s="77"/>
      <c r="AN2950" s="77"/>
      <c r="AO2950" s="77"/>
      <c r="AP2950" s="77"/>
      <c r="AQ2950" s="77"/>
      <c r="AR2950" s="77"/>
      <c r="AS2950" s="77"/>
      <c r="AT2950" s="77"/>
      <c r="AU2950" s="77"/>
      <c r="AV2950" s="80" t="str">
        <f>HYPERLINK("https://pbs.twimg.com/profile_images/1559883556846977024/bXHnQFY0_normal.jpg")</f>
        <v>https://pbs.twimg.com/profile_images/1559883556846977024/bXHnQFY0_normal.jpg</v>
      </c>
      <c r="AW2950" s="82" t="s">
        <v>15105</v>
      </c>
      <c r="AX2950" s="82" t="s">
        <v>15105</v>
      </c>
      <c r="AY2950" s="77"/>
      <c r="AZ2950" s="82" t="s">
        <v>15804</v>
      </c>
      <c r="BA2950" s="82" t="s">
        <v>15804</v>
      </c>
      <c r="BB2950" s="82" t="s">
        <v>15804</v>
      </c>
      <c r="BC2950" s="82" t="s">
        <v>15105</v>
      </c>
      <c r="BD2950" s="77">
        <v>51150679</v>
      </c>
      <c r="BE2950" s="77"/>
      <c r="BF2950" s="77"/>
      <c r="BG2950" s="77"/>
      <c r="BH2950" s="77"/>
      <c r="BI2950" s="77"/>
    </row>
    <row r="2951" spans="1:61" x14ac:dyDescent="0.25">
      <c r="A2951" s="62" t="s">
        <v>1027</v>
      </c>
      <c r="B2951" s="62" t="s">
        <v>1027</v>
      </c>
      <c r="C2951" s="63"/>
      <c r="D2951" s="64"/>
      <c r="E2951" s="65"/>
      <c r="F2951" s="66"/>
      <c r="G2951" s="63"/>
      <c r="H2951" s="67"/>
      <c r="I2951" s="68"/>
      <c r="J2951" s="68"/>
      <c r="K2951" s="32"/>
      <c r="L2951" s="75">
        <v>2951</v>
      </c>
      <c r="M2951" s="75"/>
      <c r="N2951" s="70"/>
      <c r="O2951" s="77" t="s">
        <v>179</v>
      </c>
      <c r="P2951" s="79">
        <v>45180.776377314818</v>
      </c>
      <c r="Q2951" s="77" t="s">
        <v>3963</v>
      </c>
      <c r="R2951" s="77">
        <v>0</v>
      </c>
      <c r="S2951" s="77">
        <v>0</v>
      </c>
      <c r="T2951" s="77">
        <v>1</v>
      </c>
      <c r="U2951" s="77">
        <v>0</v>
      </c>
      <c r="V2951" s="77">
        <v>1071</v>
      </c>
      <c r="W2951" s="82" t="s">
        <v>5899</v>
      </c>
      <c r="X2951" s="80" t="str">
        <f>HYPERLINK("https://www.moneytimes.com.br/quem-sao-maiores-ceos-bilionarios-do-brasil-confira-o-ranking-btg-pactual-csn-crefisa-eurofarma/")</f>
        <v>https://www.moneytimes.com.br/quem-sao-maiores-ceos-bilionarios-do-brasil-confira-o-ranking-btg-pactual-csn-crefisa-eurofarma/</v>
      </c>
      <c r="Y2951" s="77" t="s">
        <v>6002</v>
      </c>
      <c r="Z2951" s="77"/>
      <c r="AA2951" s="77"/>
      <c r="AB2951" s="77"/>
      <c r="AC2951" s="82" t="s">
        <v>7718</v>
      </c>
      <c r="AD2951" s="77" t="s">
        <v>7745</v>
      </c>
      <c r="AE2951" s="80" t="str">
        <f>HYPERLINK("https://twitter.com/leiamoneytimes/status/1701304094571303122")</f>
        <v>https://twitter.com/leiamoneytimes/status/1701304094571303122</v>
      </c>
      <c r="AF2951" s="79">
        <v>45180.776377314818</v>
      </c>
      <c r="AG2951" s="85">
        <v>45180</v>
      </c>
      <c r="AH2951" s="82" t="s">
        <v>10420</v>
      </c>
      <c r="AI2951" s="77" t="b">
        <v>0</v>
      </c>
      <c r="AJ2951" s="77"/>
      <c r="AK2951" s="77"/>
      <c r="AL2951" s="77"/>
      <c r="AM2951" s="77"/>
      <c r="AN2951" s="77"/>
      <c r="AO2951" s="77"/>
      <c r="AP2951" s="77"/>
      <c r="AQ2951" s="77"/>
      <c r="AR2951" s="77"/>
      <c r="AS2951" s="77"/>
      <c r="AT2951" s="77"/>
      <c r="AU2951" s="77"/>
      <c r="AV2951" s="80" t="str">
        <f>HYPERLINK("https://pbs.twimg.com/profile_images/1559883556846977024/bXHnQFY0_normal.jpg")</f>
        <v>https://pbs.twimg.com/profile_images/1559883556846977024/bXHnQFY0_normal.jpg</v>
      </c>
      <c r="AW2951" s="82" t="s">
        <v>15106</v>
      </c>
      <c r="AX2951" s="82" t="s">
        <v>15106</v>
      </c>
      <c r="AY2951" s="77"/>
      <c r="AZ2951" s="82" t="s">
        <v>15804</v>
      </c>
      <c r="BA2951" s="82" t="s">
        <v>15804</v>
      </c>
      <c r="BB2951" s="82" t="s">
        <v>15804</v>
      </c>
      <c r="BC2951" s="82" t="s">
        <v>15106</v>
      </c>
      <c r="BD2951" s="77">
        <v>51150679</v>
      </c>
      <c r="BE2951" s="77"/>
      <c r="BF2951" s="77"/>
      <c r="BG2951" s="77"/>
      <c r="BH2951" s="77"/>
      <c r="BI2951" s="77"/>
    </row>
    <row r="2952" spans="1:61" x14ac:dyDescent="0.25">
      <c r="A2952" s="62" t="s">
        <v>1027</v>
      </c>
      <c r="B2952" s="62" t="s">
        <v>1027</v>
      </c>
      <c r="C2952" s="63"/>
      <c r="D2952" s="64"/>
      <c r="E2952" s="65"/>
      <c r="F2952" s="66"/>
      <c r="G2952" s="63"/>
      <c r="H2952" s="67"/>
      <c r="I2952" s="68"/>
      <c r="J2952" s="68"/>
      <c r="K2952" s="32"/>
      <c r="L2952" s="75">
        <v>2952</v>
      </c>
      <c r="M2952" s="75"/>
      <c r="N2952" s="70"/>
      <c r="O2952" s="77" t="s">
        <v>179</v>
      </c>
      <c r="P2952" s="79">
        <v>45179.459131944444</v>
      </c>
      <c r="Q2952" s="77" t="s">
        <v>3964</v>
      </c>
      <c r="R2952" s="77">
        <v>1</v>
      </c>
      <c r="S2952" s="77">
        <v>2</v>
      </c>
      <c r="T2952" s="77">
        <v>1</v>
      </c>
      <c r="U2952" s="77">
        <v>0</v>
      </c>
      <c r="V2952" s="77">
        <v>1500</v>
      </c>
      <c r="W2952" s="82" t="s">
        <v>4631</v>
      </c>
      <c r="X2952" s="80" t="str">
        <f>HYPERLINK("https://www.moneytimes.com.br/nao-conseguiu-ir-no-the-town-veja-como-se-preparar-para-os-proximos-festivais/")</f>
        <v>https://www.moneytimes.com.br/nao-conseguiu-ir-no-the-town-veja-como-se-preparar-para-os-proximos-festivais/</v>
      </c>
      <c r="Y2952" s="77" t="s">
        <v>6002</v>
      </c>
      <c r="Z2952" s="77"/>
      <c r="AA2952" s="77"/>
      <c r="AB2952" s="77"/>
      <c r="AC2952" s="82" t="s">
        <v>7718</v>
      </c>
      <c r="AD2952" s="77" t="s">
        <v>7745</v>
      </c>
      <c r="AE2952" s="80" t="str">
        <f>HYPERLINK("https://twitter.com/leiamoneytimes/status/1700826739813789899")</f>
        <v>https://twitter.com/leiamoneytimes/status/1700826739813789899</v>
      </c>
      <c r="AF2952" s="79">
        <v>45179.459131944444</v>
      </c>
      <c r="AG2952" s="85">
        <v>45179</v>
      </c>
      <c r="AH2952" s="82" t="s">
        <v>10354</v>
      </c>
      <c r="AI2952" s="77" t="b">
        <v>0</v>
      </c>
      <c r="AJ2952" s="77"/>
      <c r="AK2952" s="77"/>
      <c r="AL2952" s="77"/>
      <c r="AM2952" s="77"/>
      <c r="AN2952" s="77"/>
      <c r="AO2952" s="77"/>
      <c r="AP2952" s="77"/>
      <c r="AQ2952" s="77"/>
      <c r="AR2952" s="77"/>
      <c r="AS2952" s="77"/>
      <c r="AT2952" s="77"/>
      <c r="AU2952" s="77"/>
      <c r="AV2952" s="80" t="str">
        <f>HYPERLINK("https://pbs.twimg.com/profile_images/1559883556846977024/bXHnQFY0_normal.jpg")</f>
        <v>https://pbs.twimg.com/profile_images/1559883556846977024/bXHnQFY0_normal.jpg</v>
      </c>
      <c r="AW2952" s="82" t="s">
        <v>15107</v>
      </c>
      <c r="AX2952" s="82" t="s">
        <v>15107</v>
      </c>
      <c r="AY2952" s="77"/>
      <c r="AZ2952" s="82" t="s">
        <v>15804</v>
      </c>
      <c r="BA2952" s="82" t="s">
        <v>15804</v>
      </c>
      <c r="BB2952" s="82" t="s">
        <v>15804</v>
      </c>
      <c r="BC2952" s="82" t="s">
        <v>15107</v>
      </c>
      <c r="BD2952" s="77">
        <v>51150679</v>
      </c>
      <c r="BE2952" s="77"/>
      <c r="BF2952" s="77"/>
      <c r="BG2952" s="77"/>
      <c r="BH2952" s="77"/>
      <c r="BI2952" s="77"/>
    </row>
    <row r="2953" spans="1:61" x14ac:dyDescent="0.25">
      <c r="A2953" s="62" t="s">
        <v>1027</v>
      </c>
      <c r="B2953" s="62" t="s">
        <v>1027</v>
      </c>
      <c r="C2953" s="63"/>
      <c r="D2953" s="64"/>
      <c r="E2953" s="65"/>
      <c r="F2953" s="66"/>
      <c r="G2953" s="63"/>
      <c r="H2953" s="67"/>
      <c r="I2953" s="68"/>
      <c r="J2953" s="68"/>
      <c r="K2953" s="32"/>
      <c r="L2953" s="75">
        <v>2953</v>
      </c>
      <c r="M2953" s="75"/>
      <c r="N2953" s="70"/>
      <c r="O2953" s="77" t="s">
        <v>179</v>
      </c>
      <c r="P2953" s="79">
        <v>45177.834108796298</v>
      </c>
      <c r="Q2953" s="77" t="s">
        <v>3965</v>
      </c>
      <c r="R2953" s="77">
        <v>0</v>
      </c>
      <c r="S2953" s="77">
        <v>1</v>
      </c>
      <c r="T2953" s="77">
        <v>1</v>
      </c>
      <c r="U2953" s="77">
        <v>0</v>
      </c>
      <c r="V2953" s="77">
        <v>1160</v>
      </c>
      <c r="W2953" s="82" t="s">
        <v>5923</v>
      </c>
      <c r="X2953" s="80" t="str">
        <f>HYPERLINK("https://www.moneytimes.com.br/heranca-dos-famosos-relembre-4-casos-em-que-divisao-se-tornou-alvo-de-briga-na-justica/")</f>
        <v>https://www.moneytimes.com.br/heranca-dos-famosos-relembre-4-casos-em-que-divisao-se-tornou-alvo-de-briga-na-justica/</v>
      </c>
      <c r="Y2953" s="77" t="s">
        <v>6002</v>
      </c>
      <c r="Z2953" s="77"/>
      <c r="AA2953" s="77"/>
      <c r="AB2953" s="77"/>
      <c r="AC2953" s="82" t="s">
        <v>7718</v>
      </c>
      <c r="AD2953" s="77" t="s">
        <v>7745</v>
      </c>
      <c r="AE2953" s="80" t="str">
        <f>HYPERLINK("https://twitter.com/leiamoneytimes/status/1700237853031108728")</f>
        <v>https://twitter.com/leiamoneytimes/status/1700237853031108728</v>
      </c>
      <c r="AF2953" s="79">
        <v>45177.834108796298</v>
      </c>
      <c r="AG2953" s="85">
        <v>45177</v>
      </c>
      <c r="AH2953" s="82" t="s">
        <v>10421</v>
      </c>
      <c r="AI2953" s="77" t="b">
        <v>0</v>
      </c>
      <c r="AJ2953" s="77"/>
      <c r="AK2953" s="77"/>
      <c r="AL2953" s="77"/>
      <c r="AM2953" s="77"/>
      <c r="AN2953" s="77"/>
      <c r="AO2953" s="77"/>
      <c r="AP2953" s="77"/>
      <c r="AQ2953" s="77"/>
      <c r="AR2953" s="77"/>
      <c r="AS2953" s="77"/>
      <c r="AT2953" s="77"/>
      <c r="AU2953" s="77"/>
      <c r="AV2953" s="80" t="str">
        <f>HYPERLINK("https://pbs.twimg.com/profile_images/1559883556846977024/bXHnQFY0_normal.jpg")</f>
        <v>https://pbs.twimg.com/profile_images/1559883556846977024/bXHnQFY0_normal.jpg</v>
      </c>
      <c r="AW2953" s="82" t="s">
        <v>15108</v>
      </c>
      <c r="AX2953" s="82" t="s">
        <v>15108</v>
      </c>
      <c r="AY2953" s="77"/>
      <c r="AZ2953" s="82" t="s">
        <v>15804</v>
      </c>
      <c r="BA2953" s="82" t="s">
        <v>15804</v>
      </c>
      <c r="BB2953" s="82" t="s">
        <v>15804</v>
      </c>
      <c r="BC2953" s="82" t="s">
        <v>15108</v>
      </c>
      <c r="BD2953" s="77">
        <v>51150679</v>
      </c>
      <c r="BE2953" s="77"/>
      <c r="BF2953" s="77"/>
      <c r="BG2953" s="77"/>
      <c r="BH2953" s="77"/>
      <c r="BI2953" s="77"/>
    </row>
    <row r="2954" spans="1:61" x14ac:dyDescent="0.25">
      <c r="A2954" s="62" t="s">
        <v>1027</v>
      </c>
      <c r="B2954" s="62" t="s">
        <v>1027</v>
      </c>
      <c r="C2954" s="63"/>
      <c r="D2954" s="64"/>
      <c r="E2954" s="65"/>
      <c r="F2954" s="66"/>
      <c r="G2954" s="63"/>
      <c r="H2954" s="67"/>
      <c r="I2954" s="68"/>
      <c r="J2954" s="68"/>
      <c r="K2954" s="32"/>
      <c r="L2954" s="75">
        <v>2954</v>
      </c>
      <c r="M2954" s="75"/>
      <c r="N2954" s="70"/>
      <c r="O2954" s="77" t="s">
        <v>179</v>
      </c>
      <c r="P2954" s="79">
        <v>45169.499525462961</v>
      </c>
      <c r="Q2954" s="77" t="s">
        <v>3966</v>
      </c>
      <c r="R2954" s="77">
        <v>0</v>
      </c>
      <c r="S2954" s="77">
        <v>1</v>
      </c>
      <c r="T2954" s="77">
        <v>1</v>
      </c>
      <c r="U2954" s="77">
        <v>0</v>
      </c>
      <c r="V2954" s="77">
        <v>1105</v>
      </c>
      <c r="W2954" s="82" t="s">
        <v>5873</v>
      </c>
      <c r="X2954" s="80" t="str">
        <f>HYPERLINK("https://www.moneytimes.com.br/nota-fiscal-paulista-uma-unica-pessoa-recebeu-r-1-milhao-veja-como-concorrer/")</f>
        <v>https://www.moneytimes.com.br/nota-fiscal-paulista-uma-unica-pessoa-recebeu-r-1-milhao-veja-como-concorrer/</v>
      </c>
      <c r="Y2954" s="77" t="s">
        <v>6002</v>
      </c>
      <c r="Z2954" s="77"/>
      <c r="AA2954" s="77"/>
      <c r="AB2954" s="77"/>
      <c r="AC2954" s="82" t="s">
        <v>7718</v>
      </c>
      <c r="AD2954" s="77" t="s">
        <v>7745</v>
      </c>
      <c r="AE2954" s="80" t="str">
        <f>HYPERLINK("https://twitter.com/leiamoneytimes/status/1697217498926473276")</f>
        <v>https://twitter.com/leiamoneytimes/status/1697217498926473276</v>
      </c>
      <c r="AF2954" s="79">
        <v>45169.499525462961</v>
      </c>
      <c r="AG2954" s="85">
        <v>45169</v>
      </c>
      <c r="AH2954" s="82" t="s">
        <v>10422</v>
      </c>
      <c r="AI2954" s="77" t="b">
        <v>0</v>
      </c>
      <c r="AJ2954" s="77"/>
      <c r="AK2954" s="77"/>
      <c r="AL2954" s="77"/>
      <c r="AM2954" s="77"/>
      <c r="AN2954" s="77"/>
      <c r="AO2954" s="77"/>
      <c r="AP2954" s="77"/>
      <c r="AQ2954" s="77"/>
      <c r="AR2954" s="77"/>
      <c r="AS2954" s="77"/>
      <c r="AT2954" s="77"/>
      <c r="AU2954" s="77"/>
      <c r="AV2954" s="80" t="str">
        <f>HYPERLINK("https://pbs.twimg.com/profile_images/1559883556846977024/bXHnQFY0_normal.jpg")</f>
        <v>https://pbs.twimg.com/profile_images/1559883556846977024/bXHnQFY0_normal.jpg</v>
      </c>
      <c r="AW2954" s="82" t="s">
        <v>15109</v>
      </c>
      <c r="AX2954" s="82" t="s">
        <v>15109</v>
      </c>
      <c r="AY2954" s="77"/>
      <c r="AZ2954" s="82" t="s">
        <v>15804</v>
      </c>
      <c r="BA2954" s="82" t="s">
        <v>15804</v>
      </c>
      <c r="BB2954" s="82" t="s">
        <v>15804</v>
      </c>
      <c r="BC2954" s="82" t="s">
        <v>15109</v>
      </c>
      <c r="BD2954" s="77">
        <v>51150679</v>
      </c>
      <c r="BE2954" s="77"/>
      <c r="BF2954" s="77"/>
      <c r="BG2954" s="77"/>
      <c r="BH2954" s="77"/>
      <c r="BI2954" s="77"/>
    </row>
    <row r="2955" spans="1:61" x14ac:dyDescent="0.25">
      <c r="A2955" s="62" t="s">
        <v>1027</v>
      </c>
      <c r="B2955" s="62" t="s">
        <v>1027</v>
      </c>
      <c r="C2955" s="63"/>
      <c r="D2955" s="64"/>
      <c r="E2955" s="65"/>
      <c r="F2955" s="66"/>
      <c r="G2955" s="63"/>
      <c r="H2955" s="67"/>
      <c r="I2955" s="68"/>
      <c r="J2955" s="68"/>
      <c r="K2955" s="32"/>
      <c r="L2955" s="75">
        <v>2955</v>
      </c>
      <c r="M2955" s="75"/>
      <c r="N2955" s="70"/>
      <c r="O2955" s="77" t="s">
        <v>179</v>
      </c>
      <c r="P2955" s="79">
        <v>45169.459143518521</v>
      </c>
      <c r="Q2955" s="77" t="s">
        <v>3967</v>
      </c>
      <c r="R2955" s="77">
        <v>0</v>
      </c>
      <c r="S2955" s="77">
        <v>2</v>
      </c>
      <c r="T2955" s="77">
        <v>1</v>
      </c>
      <c r="U2955" s="77">
        <v>0</v>
      </c>
      <c r="V2955" s="77">
        <v>1369</v>
      </c>
      <c r="W2955" s="82" t="s">
        <v>5873</v>
      </c>
      <c r="X2955" s="80" t="str">
        <f>HYPERLINK("https://www.moneytimes.com.br/restituicao-do-imposto-de-renda-2023-receita-paga-4o-lote-nesta-quinta-31-veja-se-voce-recebe/")</f>
        <v>https://www.moneytimes.com.br/restituicao-do-imposto-de-renda-2023-receita-paga-4o-lote-nesta-quinta-31-veja-se-voce-recebe/</v>
      </c>
      <c r="Y2955" s="77" t="s">
        <v>6002</v>
      </c>
      <c r="Z2955" s="77"/>
      <c r="AA2955" s="77"/>
      <c r="AB2955" s="77"/>
      <c r="AC2955" s="82" t="s">
        <v>7718</v>
      </c>
      <c r="AD2955" s="77" t="s">
        <v>7745</v>
      </c>
      <c r="AE2955" s="80" t="str">
        <f>HYPERLINK("https://twitter.com/leiamoneytimes/status/1697202867097030698")</f>
        <v>https://twitter.com/leiamoneytimes/status/1697202867097030698</v>
      </c>
      <c r="AF2955" s="79">
        <v>45169.459143518521</v>
      </c>
      <c r="AG2955" s="85">
        <v>45169</v>
      </c>
      <c r="AH2955" s="82" t="s">
        <v>10402</v>
      </c>
      <c r="AI2955" s="77" t="b">
        <v>0</v>
      </c>
      <c r="AJ2955" s="77"/>
      <c r="AK2955" s="77"/>
      <c r="AL2955" s="77"/>
      <c r="AM2955" s="77"/>
      <c r="AN2955" s="77"/>
      <c r="AO2955" s="77"/>
      <c r="AP2955" s="77"/>
      <c r="AQ2955" s="77"/>
      <c r="AR2955" s="77"/>
      <c r="AS2955" s="77"/>
      <c r="AT2955" s="77"/>
      <c r="AU2955" s="77"/>
      <c r="AV2955" s="80" t="str">
        <f>HYPERLINK("https://pbs.twimg.com/profile_images/1559883556846977024/bXHnQFY0_normal.jpg")</f>
        <v>https://pbs.twimg.com/profile_images/1559883556846977024/bXHnQFY0_normal.jpg</v>
      </c>
      <c r="AW2955" s="82" t="s">
        <v>15110</v>
      </c>
      <c r="AX2955" s="82" t="s">
        <v>15110</v>
      </c>
      <c r="AY2955" s="77"/>
      <c r="AZ2955" s="82" t="s">
        <v>15804</v>
      </c>
      <c r="BA2955" s="82" t="s">
        <v>15804</v>
      </c>
      <c r="BB2955" s="82" t="s">
        <v>15804</v>
      </c>
      <c r="BC2955" s="82" t="s">
        <v>15110</v>
      </c>
      <c r="BD2955" s="77">
        <v>51150679</v>
      </c>
      <c r="BE2955" s="77"/>
      <c r="BF2955" s="77"/>
      <c r="BG2955" s="77"/>
      <c r="BH2955" s="77"/>
      <c r="BI2955" s="77"/>
    </row>
    <row r="2956" spans="1:61" x14ac:dyDescent="0.25">
      <c r="A2956" s="62" t="s">
        <v>1027</v>
      </c>
      <c r="B2956" s="62" t="s">
        <v>1027</v>
      </c>
      <c r="C2956" s="63"/>
      <c r="D2956" s="64"/>
      <c r="E2956" s="65"/>
      <c r="F2956" s="66"/>
      <c r="G2956" s="63"/>
      <c r="H2956" s="67"/>
      <c r="I2956" s="68"/>
      <c r="J2956" s="68"/>
      <c r="K2956" s="32"/>
      <c r="L2956" s="75">
        <v>2956</v>
      </c>
      <c r="M2956" s="75"/>
      <c r="N2956" s="70"/>
      <c r="O2956" s="77" t="s">
        <v>179</v>
      </c>
      <c r="P2956" s="79">
        <v>45168.832800925928</v>
      </c>
      <c r="Q2956" s="77" t="s">
        <v>3968</v>
      </c>
      <c r="R2956" s="77">
        <v>1</v>
      </c>
      <c r="S2956" s="77">
        <v>3</v>
      </c>
      <c r="T2956" s="77">
        <v>1</v>
      </c>
      <c r="U2956" s="77">
        <v>0</v>
      </c>
      <c r="V2956" s="77">
        <v>1559</v>
      </c>
      <c r="W2956" s="82" t="s">
        <v>5924</v>
      </c>
      <c r="X2956" s="80" t="str">
        <f>HYPERLINK("https://www.moneytimes.com.br/governo-retoma-projeto-que-taxa-investimentos-no-exterior-veja-o-que-muda/")</f>
        <v>https://www.moneytimes.com.br/governo-retoma-projeto-que-taxa-investimentos-no-exterior-veja-o-que-muda/</v>
      </c>
      <c r="Y2956" s="77" t="s">
        <v>6002</v>
      </c>
      <c r="Z2956" s="77"/>
      <c r="AA2956" s="77"/>
      <c r="AB2956" s="77"/>
      <c r="AC2956" s="82" t="s">
        <v>7718</v>
      </c>
      <c r="AD2956" s="77" t="s">
        <v>7745</v>
      </c>
      <c r="AE2956" s="80" t="str">
        <f>HYPERLINK("https://twitter.com/leiamoneytimes/status/1696975886589792662")</f>
        <v>https://twitter.com/leiamoneytimes/status/1696975886589792662</v>
      </c>
      <c r="AF2956" s="79">
        <v>45168.832800925928</v>
      </c>
      <c r="AG2956" s="85">
        <v>45168</v>
      </c>
      <c r="AH2956" s="82" t="s">
        <v>10423</v>
      </c>
      <c r="AI2956" s="77" t="b">
        <v>0</v>
      </c>
      <c r="AJ2956" s="77"/>
      <c r="AK2956" s="77"/>
      <c r="AL2956" s="77"/>
      <c r="AM2956" s="77"/>
      <c r="AN2956" s="77"/>
      <c r="AO2956" s="77"/>
      <c r="AP2956" s="77"/>
      <c r="AQ2956" s="77"/>
      <c r="AR2956" s="77"/>
      <c r="AS2956" s="77"/>
      <c r="AT2956" s="77"/>
      <c r="AU2956" s="77"/>
      <c r="AV2956" s="80" t="str">
        <f>HYPERLINK("https://pbs.twimg.com/profile_images/1559883556846977024/bXHnQFY0_normal.jpg")</f>
        <v>https://pbs.twimg.com/profile_images/1559883556846977024/bXHnQFY0_normal.jpg</v>
      </c>
      <c r="AW2956" s="82" t="s">
        <v>15111</v>
      </c>
      <c r="AX2956" s="82" t="s">
        <v>15111</v>
      </c>
      <c r="AY2956" s="77"/>
      <c r="AZ2956" s="82" t="s">
        <v>15804</v>
      </c>
      <c r="BA2956" s="82" t="s">
        <v>15804</v>
      </c>
      <c r="BB2956" s="82" t="s">
        <v>15804</v>
      </c>
      <c r="BC2956" s="82" t="s">
        <v>15111</v>
      </c>
      <c r="BD2956" s="77">
        <v>51150679</v>
      </c>
      <c r="BE2956" s="77"/>
      <c r="BF2956" s="77"/>
      <c r="BG2956" s="77"/>
      <c r="BH2956" s="77"/>
      <c r="BI2956" s="77"/>
    </row>
    <row r="2957" spans="1:61" x14ac:dyDescent="0.25">
      <c r="A2957" s="62" t="s">
        <v>1027</v>
      </c>
      <c r="B2957" s="62" t="s">
        <v>1027</v>
      </c>
      <c r="C2957" s="63"/>
      <c r="D2957" s="64"/>
      <c r="E2957" s="65"/>
      <c r="F2957" s="66"/>
      <c r="G2957" s="63"/>
      <c r="H2957" s="67"/>
      <c r="I2957" s="68"/>
      <c r="J2957" s="68"/>
      <c r="K2957" s="32"/>
      <c r="L2957" s="75">
        <v>2957</v>
      </c>
      <c r="M2957" s="75"/>
      <c r="N2957" s="70"/>
      <c r="O2957" s="77" t="s">
        <v>179</v>
      </c>
      <c r="P2957" s="79">
        <v>45162.689189814817</v>
      </c>
      <c r="Q2957" s="77" t="s">
        <v>3969</v>
      </c>
      <c r="R2957" s="77">
        <v>0</v>
      </c>
      <c r="S2957" s="77">
        <v>4</v>
      </c>
      <c r="T2957" s="77">
        <v>1</v>
      </c>
      <c r="U2957" s="77">
        <v>0</v>
      </c>
      <c r="V2957" s="77">
        <v>1071</v>
      </c>
      <c r="W2957" s="82" t="s">
        <v>5925</v>
      </c>
      <c r="X2957" s="80" t="str">
        <f>HYPERLINK("https://www.moneytimes.com.br/anbima-quer-entrar-no-mercado-financeiro-inscricoes-para-provas-ficam-mais-baratas/")</f>
        <v>https://www.moneytimes.com.br/anbima-quer-entrar-no-mercado-financeiro-inscricoes-para-provas-ficam-mais-baratas/</v>
      </c>
      <c r="Y2957" s="77" t="s">
        <v>6002</v>
      </c>
      <c r="Z2957" s="77"/>
      <c r="AA2957" s="77"/>
      <c r="AB2957" s="77"/>
      <c r="AC2957" s="82" t="s">
        <v>7718</v>
      </c>
      <c r="AD2957" s="77" t="s">
        <v>7745</v>
      </c>
      <c r="AE2957" s="80" t="str">
        <f>HYPERLINK("https://twitter.com/leiamoneytimes/status/1694749515859783701")</f>
        <v>https://twitter.com/leiamoneytimes/status/1694749515859783701</v>
      </c>
      <c r="AF2957" s="79">
        <v>45162.689189814817</v>
      </c>
      <c r="AG2957" s="85">
        <v>45162</v>
      </c>
      <c r="AH2957" s="82" t="s">
        <v>10424</v>
      </c>
      <c r="AI2957" s="77" t="b">
        <v>0</v>
      </c>
      <c r="AJ2957" s="77"/>
      <c r="AK2957" s="77"/>
      <c r="AL2957" s="77"/>
      <c r="AM2957" s="77"/>
      <c r="AN2957" s="77"/>
      <c r="AO2957" s="77"/>
      <c r="AP2957" s="77"/>
      <c r="AQ2957" s="77"/>
      <c r="AR2957" s="77"/>
      <c r="AS2957" s="77"/>
      <c r="AT2957" s="77"/>
      <c r="AU2957" s="77"/>
      <c r="AV2957" s="80" t="str">
        <f>HYPERLINK("https://pbs.twimg.com/profile_images/1559883556846977024/bXHnQFY0_normal.jpg")</f>
        <v>https://pbs.twimg.com/profile_images/1559883556846977024/bXHnQFY0_normal.jpg</v>
      </c>
      <c r="AW2957" s="82" t="s">
        <v>15112</v>
      </c>
      <c r="AX2957" s="82" t="s">
        <v>15112</v>
      </c>
      <c r="AY2957" s="77"/>
      <c r="AZ2957" s="82" t="s">
        <v>15804</v>
      </c>
      <c r="BA2957" s="82" t="s">
        <v>15804</v>
      </c>
      <c r="BB2957" s="82" t="s">
        <v>15804</v>
      </c>
      <c r="BC2957" s="82" t="s">
        <v>15112</v>
      </c>
      <c r="BD2957" s="77">
        <v>51150679</v>
      </c>
      <c r="BE2957" s="77"/>
      <c r="BF2957" s="77"/>
      <c r="BG2957" s="77"/>
      <c r="BH2957" s="77"/>
      <c r="BI2957" s="77"/>
    </row>
    <row r="2958" spans="1:61" x14ac:dyDescent="0.25">
      <c r="A2958" s="62" t="s">
        <v>1027</v>
      </c>
      <c r="B2958" s="62" t="s">
        <v>1027</v>
      </c>
      <c r="C2958" s="63"/>
      <c r="D2958" s="64"/>
      <c r="E2958" s="65"/>
      <c r="F2958" s="66"/>
      <c r="G2958" s="63"/>
      <c r="H2958" s="67"/>
      <c r="I2958" s="68"/>
      <c r="J2958" s="68"/>
      <c r="K2958" s="32"/>
      <c r="L2958" s="75">
        <v>2958</v>
      </c>
      <c r="M2958" s="75"/>
      <c r="N2958" s="70"/>
      <c r="O2958" s="77" t="s">
        <v>179</v>
      </c>
      <c r="P2958" s="79">
        <v>45162.674768518518</v>
      </c>
      <c r="Q2958" s="77" t="s">
        <v>3970</v>
      </c>
      <c r="R2958" s="77">
        <v>2</v>
      </c>
      <c r="S2958" s="77">
        <v>5</v>
      </c>
      <c r="T2958" s="77">
        <v>1</v>
      </c>
      <c r="U2958" s="77">
        <v>0</v>
      </c>
      <c r="V2958" s="77">
        <v>1187</v>
      </c>
      <c r="W2958" s="82" t="s">
        <v>5873</v>
      </c>
      <c r="X2958" s="80" t="str">
        <f>HYPERLINK("https://www.moneytimes.com.br/imposto-de-renda-entenda-como-funciona-a-isencao-para-salarios-de-ate-r-2-640/")</f>
        <v>https://www.moneytimes.com.br/imposto-de-renda-entenda-como-funciona-a-isencao-para-salarios-de-ate-r-2-640/</v>
      </c>
      <c r="Y2958" s="77" t="s">
        <v>6002</v>
      </c>
      <c r="Z2958" s="77"/>
      <c r="AA2958" s="77"/>
      <c r="AB2958" s="77"/>
      <c r="AC2958" s="82" t="s">
        <v>7718</v>
      </c>
      <c r="AD2958" s="77" t="s">
        <v>7745</v>
      </c>
      <c r="AE2958" s="80" t="str">
        <f>HYPERLINK("https://twitter.com/leiamoneytimes/status/1694744290306523143")</f>
        <v>https://twitter.com/leiamoneytimes/status/1694744290306523143</v>
      </c>
      <c r="AF2958" s="79">
        <v>45162.674768518518</v>
      </c>
      <c r="AG2958" s="85">
        <v>45162</v>
      </c>
      <c r="AH2958" s="82" t="s">
        <v>10425</v>
      </c>
      <c r="AI2958" s="77" t="b">
        <v>0</v>
      </c>
      <c r="AJ2958" s="77"/>
      <c r="AK2958" s="77"/>
      <c r="AL2958" s="77"/>
      <c r="AM2958" s="77"/>
      <c r="AN2958" s="77"/>
      <c r="AO2958" s="77"/>
      <c r="AP2958" s="77"/>
      <c r="AQ2958" s="77"/>
      <c r="AR2958" s="77"/>
      <c r="AS2958" s="77"/>
      <c r="AT2958" s="77"/>
      <c r="AU2958" s="77"/>
      <c r="AV2958" s="80" t="str">
        <f>HYPERLINK("https://pbs.twimg.com/profile_images/1559883556846977024/bXHnQFY0_normal.jpg")</f>
        <v>https://pbs.twimg.com/profile_images/1559883556846977024/bXHnQFY0_normal.jpg</v>
      </c>
      <c r="AW2958" s="82" t="s">
        <v>15113</v>
      </c>
      <c r="AX2958" s="82" t="s">
        <v>15113</v>
      </c>
      <c r="AY2958" s="77"/>
      <c r="AZ2958" s="82" t="s">
        <v>15804</v>
      </c>
      <c r="BA2958" s="82" t="s">
        <v>15804</v>
      </c>
      <c r="BB2958" s="82" t="s">
        <v>15804</v>
      </c>
      <c r="BC2958" s="82" t="s">
        <v>15113</v>
      </c>
      <c r="BD2958" s="77">
        <v>51150679</v>
      </c>
      <c r="BE2958" s="77"/>
      <c r="BF2958" s="77"/>
      <c r="BG2958" s="77"/>
      <c r="BH2958" s="77"/>
      <c r="BI2958" s="77"/>
    </row>
    <row r="2959" spans="1:61" x14ac:dyDescent="0.25">
      <c r="A2959" s="62" t="s">
        <v>1027</v>
      </c>
      <c r="B2959" s="62" t="s">
        <v>1027</v>
      </c>
      <c r="C2959" s="63"/>
      <c r="D2959" s="64"/>
      <c r="E2959" s="65"/>
      <c r="F2959" s="66"/>
      <c r="G2959" s="63"/>
      <c r="H2959" s="67"/>
      <c r="I2959" s="68"/>
      <c r="J2959" s="68"/>
      <c r="K2959" s="32"/>
      <c r="L2959" s="75">
        <v>2959</v>
      </c>
      <c r="M2959" s="75"/>
      <c r="N2959" s="70"/>
      <c r="O2959" s="77" t="s">
        <v>179</v>
      </c>
      <c r="P2959" s="79">
        <v>45162.580509259256</v>
      </c>
      <c r="Q2959" s="77" t="s">
        <v>3971</v>
      </c>
      <c r="R2959" s="77">
        <v>0</v>
      </c>
      <c r="S2959" s="77">
        <v>7</v>
      </c>
      <c r="T2959" s="77">
        <v>1</v>
      </c>
      <c r="U2959" s="77">
        <v>0</v>
      </c>
      <c r="V2959" s="77">
        <v>1149</v>
      </c>
      <c r="W2959" s="82" t="s">
        <v>5873</v>
      </c>
      <c r="X2959" s="80" t="str">
        <f>HYPERLINK("https://www.moneytimes.com.br/restituicao-do-imposto-de-renda-4o-lote-tera-correcao-de-314-pela-selic/")</f>
        <v>https://www.moneytimes.com.br/restituicao-do-imposto-de-renda-4o-lote-tera-correcao-de-314-pela-selic/</v>
      </c>
      <c r="Y2959" s="77" t="s">
        <v>6002</v>
      </c>
      <c r="Z2959" s="77"/>
      <c r="AA2959" s="77"/>
      <c r="AB2959" s="77"/>
      <c r="AC2959" s="82" t="s">
        <v>7718</v>
      </c>
      <c r="AD2959" s="77" t="s">
        <v>7745</v>
      </c>
      <c r="AE2959" s="80" t="str">
        <f>HYPERLINK("https://twitter.com/leiamoneytimes/status/1694710132129800257")</f>
        <v>https://twitter.com/leiamoneytimes/status/1694710132129800257</v>
      </c>
      <c r="AF2959" s="79">
        <v>45162.580509259256</v>
      </c>
      <c r="AG2959" s="85">
        <v>45162</v>
      </c>
      <c r="AH2959" s="82" t="s">
        <v>10426</v>
      </c>
      <c r="AI2959" s="77" t="b">
        <v>0</v>
      </c>
      <c r="AJ2959" s="77"/>
      <c r="AK2959" s="77"/>
      <c r="AL2959" s="77"/>
      <c r="AM2959" s="77"/>
      <c r="AN2959" s="77"/>
      <c r="AO2959" s="77"/>
      <c r="AP2959" s="77"/>
      <c r="AQ2959" s="77"/>
      <c r="AR2959" s="77"/>
      <c r="AS2959" s="77"/>
      <c r="AT2959" s="77"/>
      <c r="AU2959" s="77"/>
      <c r="AV2959" s="80" t="str">
        <f>HYPERLINK("https://pbs.twimg.com/profile_images/1559883556846977024/bXHnQFY0_normal.jpg")</f>
        <v>https://pbs.twimg.com/profile_images/1559883556846977024/bXHnQFY0_normal.jpg</v>
      </c>
      <c r="AW2959" s="82" t="s">
        <v>15114</v>
      </c>
      <c r="AX2959" s="82" t="s">
        <v>15114</v>
      </c>
      <c r="AY2959" s="77"/>
      <c r="AZ2959" s="82" t="s">
        <v>15804</v>
      </c>
      <c r="BA2959" s="82" t="s">
        <v>15804</v>
      </c>
      <c r="BB2959" s="82" t="s">
        <v>15804</v>
      </c>
      <c r="BC2959" s="82" t="s">
        <v>15114</v>
      </c>
      <c r="BD2959" s="77">
        <v>51150679</v>
      </c>
      <c r="BE2959" s="77"/>
      <c r="BF2959" s="77"/>
      <c r="BG2959" s="77"/>
      <c r="BH2959" s="77"/>
      <c r="BI2959" s="77"/>
    </row>
    <row r="2960" spans="1:61" x14ac:dyDescent="0.25">
      <c r="A2960" s="62" t="s">
        <v>1027</v>
      </c>
      <c r="B2960" s="62" t="s">
        <v>1027</v>
      </c>
      <c r="C2960" s="63"/>
      <c r="D2960" s="64"/>
      <c r="E2960" s="65"/>
      <c r="F2960" s="66"/>
      <c r="G2960" s="63"/>
      <c r="H2960" s="67"/>
      <c r="I2960" s="68"/>
      <c r="J2960" s="68"/>
      <c r="K2960" s="32"/>
      <c r="L2960" s="75">
        <v>2960</v>
      </c>
      <c r="M2960" s="75"/>
      <c r="N2960" s="70"/>
      <c r="O2960" s="77" t="s">
        <v>179</v>
      </c>
      <c r="P2960" s="79">
        <v>45150.625775462962</v>
      </c>
      <c r="Q2960" s="77" t="s">
        <v>3972</v>
      </c>
      <c r="R2960" s="77">
        <v>1</v>
      </c>
      <c r="S2960" s="77">
        <v>6</v>
      </c>
      <c r="T2960" s="77">
        <v>1</v>
      </c>
      <c r="U2960" s="77">
        <v>1</v>
      </c>
      <c r="V2960" s="77">
        <v>1807</v>
      </c>
      <c r="W2960" s="82" t="s">
        <v>5926</v>
      </c>
      <c r="X2960" s="80" t="str">
        <f>HYPERLINK("https://www.moneytimes.com.br/como-economizar-94-em-passagens-aereas-veja-as-melhores-dicas/")</f>
        <v>https://www.moneytimes.com.br/como-economizar-94-em-passagens-aereas-veja-as-melhores-dicas/</v>
      </c>
      <c r="Y2960" s="77" t="s">
        <v>6002</v>
      </c>
      <c r="Z2960" s="77"/>
      <c r="AA2960" s="77"/>
      <c r="AB2960" s="77"/>
      <c r="AC2960" s="82" t="s">
        <v>7718</v>
      </c>
      <c r="AD2960" s="77" t="s">
        <v>7745</v>
      </c>
      <c r="AE2960" s="80" t="str">
        <f>HYPERLINK("https://twitter.com/leiamoneytimes/status/1690377884236472321")</f>
        <v>https://twitter.com/leiamoneytimes/status/1690377884236472321</v>
      </c>
      <c r="AF2960" s="79">
        <v>45150.625775462962</v>
      </c>
      <c r="AG2960" s="85">
        <v>45150</v>
      </c>
      <c r="AH2960" s="82" t="s">
        <v>10427</v>
      </c>
      <c r="AI2960" s="77" t="b">
        <v>0</v>
      </c>
      <c r="AJ2960" s="77"/>
      <c r="AK2960" s="77"/>
      <c r="AL2960" s="77"/>
      <c r="AM2960" s="77"/>
      <c r="AN2960" s="77"/>
      <c r="AO2960" s="77"/>
      <c r="AP2960" s="77"/>
      <c r="AQ2960" s="77"/>
      <c r="AR2960" s="77"/>
      <c r="AS2960" s="77"/>
      <c r="AT2960" s="77"/>
      <c r="AU2960" s="77"/>
      <c r="AV2960" s="80" t="str">
        <f>HYPERLINK("https://pbs.twimg.com/profile_images/1559883556846977024/bXHnQFY0_normal.jpg")</f>
        <v>https://pbs.twimg.com/profile_images/1559883556846977024/bXHnQFY0_normal.jpg</v>
      </c>
      <c r="AW2960" s="82" t="s">
        <v>15115</v>
      </c>
      <c r="AX2960" s="82" t="s">
        <v>15115</v>
      </c>
      <c r="AY2960" s="77"/>
      <c r="AZ2960" s="82" t="s">
        <v>15804</v>
      </c>
      <c r="BA2960" s="82" t="s">
        <v>15804</v>
      </c>
      <c r="BB2960" s="82" t="s">
        <v>15804</v>
      </c>
      <c r="BC2960" s="82" t="s">
        <v>15115</v>
      </c>
      <c r="BD2960" s="77">
        <v>51150679</v>
      </c>
      <c r="BE2960" s="77"/>
      <c r="BF2960" s="77"/>
      <c r="BG2960" s="77"/>
      <c r="BH2960" s="77"/>
      <c r="BI2960" s="77"/>
    </row>
    <row r="2961" spans="1:61" x14ac:dyDescent="0.25">
      <c r="A2961" s="62" t="s">
        <v>1027</v>
      </c>
      <c r="B2961" s="62" t="s">
        <v>1027</v>
      </c>
      <c r="C2961" s="63"/>
      <c r="D2961" s="64"/>
      <c r="E2961" s="65"/>
      <c r="F2961" s="66"/>
      <c r="G2961" s="63"/>
      <c r="H2961" s="67"/>
      <c r="I2961" s="68"/>
      <c r="J2961" s="68"/>
      <c r="K2961" s="32"/>
      <c r="L2961" s="75">
        <v>2961</v>
      </c>
      <c r="M2961" s="75"/>
      <c r="N2961" s="70"/>
      <c r="O2961" s="77" t="s">
        <v>179</v>
      </c>
      <c r="P2961" s="79">
        <v>45148.791145833333</v>
      </c>
      <c r="Q2961" s="77" t="s">
        <v>3973</v>
      </c>
      <c r="R2961" s="77">
        <v>0</v>
      </c>
      <c r="S2961" s="77">
        <v>7</v>
      </c>
      <c r="T2961" s="77">
        <v>1</v>
      </c>
      <c r="U2961" s="77">
        <v>1</v>
      </c>
      <c r="V2961" s="77">
        <v>1533</v>
      </c>
      <c r="W2961" s="82" t="s">
        <v>5904</v>
      </c>
      <c r="X2961" s="80" t="str">
        <f>HYPERLINK("https://www.moneytimes.com.br/happy-hour-mais-caro-imposto-do-pecado-deve-ser-criado-e-ja-tem-data-para-entrar-em-vigor/")</f>
        <v>https://www.moneytimes.com.br/happy-hour-mais-caro-imposto-do-pecado-deve-ser-criado-e-ja-tem-data-para-entrar-em-vigor/</v>
      </c>
      <c r="Y2961" s="77" t="s">
        <v>6002</v>
      </c>
      <c r="Z2961" s="77"/>
      <c r="AA2961" s="77"/>
      <c r="AB2961" s="77"/>
      <c r="AC2961" s="82" t="s">
        <v>7718</v>
      </c>
      <c r="AD2961" s="77" t="s">
        <v>7745</v>
      </c>
      <c r="AE2961" s="80" t="str">
        <f>HYPERLINK("https://twitter.com/leiamoneytimes/status/1689713034812424199")</f>
        <v>https://twitter.com/leiamoneytimes/status/1689713034812424199</v>
      </c>
      <c r="AF2961" s="79">
        <v>45148.791145833333</v>
      </c>
      <c r="AG2961" s="85">
        <v>45148</v>
      </c>
      <c r="AH2961" s="82" t="s">
        <v>10428</v>
      </c>
      <c r="AI2961" s="77" t="b">
        <v>0</v>
      </c>
      <c r="AJ2961" s="77"/>
      <c r="AK2961" s="77"/>
      <c r="AL2961" s="77"/>
      <c r="AM2961" s="77"/>
      <c r="AN2961" s="77"/>
      <c r="AO2961" s="77"/>
      <c r="AP2961" s="77"/>
      <c r="AQ2961" s="77"/>
      <c r="AR2961" s="77"/>
      <c r="AS2961" s="77"/>
      <c r="AT2961" s="77"/>
      <c r="AU2961" s="77"/>
      <c r="AV2961" s="80" t="str">
        <f>HYPERLINK("https://pbs.twimg.com/profile_images/1559883556846977024/bXHnQFY0_normal.jpg")</f>
        <v>https://pbs.twimg.com/profile_images/1559883556846977024/bXHnQFY0_normal.jpg</v>
      </c>
      <c r="AW2961" s="82" t="s">
        <v>15116</v>
      </c>
      <c r="AX2961" s="82" t="s">
        <v>15116</v>
      </c>
      <c r="AY2961" s="77"/>
      <c r="AZ2961" s="82" t="s">
        <v>15804</v>
      </c>
      <c r="BA2961" s="82" t="s">
        <v>15804</v>
      </c>
      <c r="BB2961" s="82" t="s">
        <v>15804</v>
      </c>
      <c r="BC2961" s="82" t="s">
        <v>15116</v>
      </c>
      <c r="BD2961" s="77">
        <v>51150679</v>
      </c>
      <c r="BE2961" s="77"/>
      <c r="BF2961" s="77"/>
      <c r="BG2961" s="77"/>
      <c r="BH2961" s="77"/>
      <c r="BI2961" s="77"/>
    </row>
    <row r="2962" spans="1:61" x14ac:dyDescent="0.25">
      <c r="A2962" s="62" t="s">
        <v>1027</v>
      </c>
      <c r="B2962" s="62" t="s">
        <v>1027</v>
      </c>
      <c r="C2962" s="63"/>
      <c r="D2962" s="64"/>
      <c r="E2962" s="65"/>
      <c r="F2962" s="66"/>
      <c r="G2962" s="63"/>
      <c r="H2962" s="67"/>
      <c r="I2962" s="68"/>
      <c r="J2962" s="68"/>
      <c r="K2962" s="32"/>
      <c r="L2962" s="75">
        <v>2962</v>
      </c>
      <c r="M2962" s="75"/>
      <c r="N2962" s="70"/>
      <c r="O2962" s="77" t="s">
        <v>179</v>
      </c>
      <c r="P2962" s="79">
        <v>45133.582789351851</v>
      </c>
      <c r="Q2962" s="77" t="s">
        <v>3974</v>
      </c>
      <c r="R2962" s="77">
        <v>0</v>
      </c>
      <c r="S2962" s="77">
        <v>1</v>
      </c>
      <c r="T2962" s="77">
        <v>1</v>
      </c>
      <c r="U2962" s="77">
        <v>0</v>
      </c>
      <c r="V2962" s="77">
        <v>1083</v>
      </c>
      <c r="W2962" s="82" t="s">
        <v>5865</v>
      </c>
      <c r="X2962" s="80" t="str">
        <f>HYPERLINK("https://www.moneytimes.com.br/restituicao-do-imposto-de-renda-terceiro-lote-tem-correcao-de-207-confira-se-voce-ira-receber/")</f>
        <v>https://www.moneytimes.com.br/restituicao-do-imposto-de-renda-terceiro-lote-tem-correcao-de-207-confira-se-voce-ira-receber/</v>
      </c>
      <c r="Y2962" s="77" t="s">
        <v>6002</v>
      </c>
      <c r="Z2962" s="77"/>
      <c r="AA2962" s="77"/>
      <c r="AB2962" s="77"/>
      <c r="AC2962" s="82" t="s">
        <v>7718</v>
      </c>
      <c r="AD2962" s="77" t="s">
        <v>7745</v>
      </c>
      <c r="AE2962" s="80" t="str">
        <f>HYPERLINK("https://twitter.com/leiamoneytimes/status/1684201710124666881")</f>
        <v>https://twitter.com/leiamoneytimes/status/1684201710124666881</v>
      </c>
      <c r="AF2962" s="79">
        <v>45133.582789351851</v>
      </c>
      <c r="AG2962" s="85">
        <v>45133</v>
      </c>
      <c r="AH2962" s="82" t="s">
        <v>10429</v>
      </c>
      <c r="AI2962" s="77" t="b">
        <v>0</v>
      </c>
      <c r="AJ2962" s="77"/>
      <c r="AK2962" s="77"/>
      <c r="AL2962" s="77"/>
      <c r="AM2962" s="77"/>
      <c r="AN2962" s="77"/>
      <c r="AO2962" s="77"/>
      <c r="AP2962" s="77"/>
      <c r="AQ2962" s="77"/>
      <c r="AR2962" s="77"/>
      <c r="AS2962" s="77"/>
      <c r="AT2962" s="77"/>
      <c r="AU2962" s="77"/>
      <c r="AV2962" s="80" t="str">
        <f>HYPERLINK("https://pbs.twimg.com/profile_images/1559883556846977024/bXHnQFY0_normal.jpg")</f>
        <v>https://pbs.twimg.com/profile_images/1559883556846977024/bXHnQFY0_normal.jpg</v>
      </c>
      <c r="AW2962" s="82" t="s">
        <v>15117</v>
      </c>
      <c r="AX2962" s="82" t="s">
        <v>15117</v>
      </c>
      <c r="AY2962" s="77"/>
      <c r="AZ2962" s="82" t="s">
        <v>15804</v>
      </c>
      <c r="BA2962" s="82" t="s">
        <v>15804</v>
      </c>
      <c r="BB2962" s="82" t="s">
        <v>15804</v>
      </c>
      <c r="BC2962" s="82" t="s">
        <v>15117</v>
      </c>
      <c r="BD2962" s="77">
        <v>51150679</v>
      </c>
      <c r="BE2962" s="77"/>
      <c r="BF2962" s="77"/>
      <c r="BG2962" s="77"/>
      <c r="BH2962" s="77"/>
      <c r="BI2962" s="77"/>
    </row>
    <row r="2963" spans="1:61" x14ac:dyDescent="0.25">
      <c r="A2963" s="62" t="s">
        <v>1027</v>
      </c>
      <c r="B2963" s="62" t="s">
        <v>1027</v>
      </c>
      <c r="C2963" s="63"/>
      <c r="D2963" s="64"/>
      <c r="E2963" s="65"/>
      <c r="F2963" s="66"/>
      <c r="G2963" s="63"/>
      <c r="H2963" s="67"/>
      <c r="I2963" s="68"/>
      <c r="J2963" s="68"/>
      <c r="K2963" s="32"/>
      <c r="L2963" s="75">
        <v>2963</v>
      </c>
      <c r="M2963" s="75"/>
      <c r="N2963" s="70"/>
      <c r="O2963" s="77" t="s">
        <v>179</v>
      </c>
      <c r="P2963" s="79">
        <v>45111.651979166665</v>
      </c>
      <c r="Q2963" s="77" t="s">
        <v>3975</v>
      </c>
      <c r="R2963" s="77">
        <v>0</v>
      </c>
      <c r="S2963" s="77">
        <v>2</v>
      </c>
      <c r="T2963" s="77">
        <v>1</v>
      </c>
      <c r="U2963" s="77">
        <v>0</v>
      </c>
      <c r="V2963" s="77">
        <v>1055</v>
      </c>
      <c r="W2963" s="82" t="s">
        <v>5927</v>
      </c>
      <c r="X2963" s="80" t="str">
        <f>HYPERLINK("https://www.moneytimes.com.br/quer-ser-planejador-financeiro-conteudo-da-prova-para-tirar-certificacao-tera-mudancas-confira/")</f>
        <v>https://www.moneytimes.com.br/quer-ser-planejador-financeiro-conteudo-da-prova-para-tirar-certificacao-tera-mudancas-confira/</v>
      </c>
      <c r="Y2963" s="77" t="s">
        <v>6002</v>
      </c>
      <c r="Z2963" s="77"/>
      <c r="AA2963" s="77"/>
      <c r="AB2963" s="77"/>
      <c r="AC2963" s="82" t="s">
        <v>7718</v>
      </c>
      <c r="AD2963" s="77" t="s">
        <v>7745</v>
      </c>
      <c r="AE2963" s="80" t="str">
        <f>HYPERLINK("https://twitter.com/leiamoneytimes/status/1676254252421857281")</f>
        <v>https://twitter.com/leiamoneytimes/status/1676254252421857281</v>
      </c>
      <c r="AF2963" s="79">
        <v>45111.651979166665</v>
      </c>
      <c r="AG2963" s="85">
        <v>45111</v>
      </c>
      <c r="AH2963" s="82" t="s">
        <v>10430</v>
      </c>
      <c r="AI2963" s="77" t="b">
        <v>0</v>
      </c>
      <c r="AJ2963" s="77"/>
      <c r="AK2963" s="77"/>
      <c r="AL2963" s="77"/>
      <c r="AM2963" s="77"/>
      <c r="AN2963" s="77"/>
      <c r="AO2963" s="77"/>
      <c r="AP2963" s="77"/>
      <c r="AQ2963" s="77"/>
      <c r="AR2963" s="77"/>
      <c r="AS2963" s="77"/>
      <c r="AT2963" s="77"/>
      <c r="AU2963" s="77"/>
      <c r="AV2963" s="80" t="str">
        <f>HYPERLINK("https://pbs.twimg.com/profile_images/1559883556846977024/bXHnQFY0_normal.jpg")</f>
        <v>https://pbs.twimg.com/profile_images/1559883556846977024/bXHnQFY0_normal.jpg</v>
      </c>
      <c r="AW2963" s="82" t="s">
        <v>15118</v>
      </c>
      <c r="AX2963" s="82" t="s">
        <v>15118</v>
      </c>
      <c r="AY2963" s="77"/>
      <c r="AZ2963" s="82" t="s">
        <v>15804</v>
      </c>
      <c r="BA2963" s="82" t="s">
        <v>15804</v>
      </c>
      <c r="BB2963" s="82" t="s">
        <v>15804</v>
      </c>
      <c r="BC2963" s="82" t="s">
        <v>15118</v>
      </c>
      <c r="BD2963" s="77">
        <v>51150679</v>
      </c>
      <c r="BE2963" s="77"/>
      <c r="BF2963" s="77"/>
      <c r="BG2963" s="77"/>
      <c r="BH2963" s="77"/>
      <c r="BI2963" s="77"/>
    </row>
    <row r="2964" spans="1:61" x14ac:dyDescent="0.25">
      <c r="A2964" s="62" t="s">
        <v>1027</v>
      </c>
      <c r="B2964" s="62" t="s">
        <v>1027</v>
      </c>
      <c r="C2964" s="63"/>
      <c r="D2964" s="64"/>
      <c r="E2964" s="65"/>
      <c r="F2964" s="66"/>
      <c r="G2964" s="63"/>
      <c r="H2964" s="67"/>
      <c r="I2964" s="68"/>
      <c r="J2964" s="68"/>
      <c r="K2964" s="32"/>
      <c r="L2964" s="75">
        <v>2964</v>
      </c>
      <c r="M2964" s="75"/>
      <c r="N2964" s="70"/>
      <c r="O2964" s="77" t="s">
        <v>179</v>
      </c>
      <c r="P2964" s="79">
        <v>45076.777800925927</v>
      </c>
      <c r="Q2964" s="77" t="s">
        <v>3976</v>
      </c>
      <c r="R2964" s="77">
        <v>0</v>
      </c>
      <c r="S2964" s="77">
        <v>2</v>
      </c>
      <c r="T2964" s="77">
        <v>1</v>
      </c>
      <c r="U2964" s="77">
        <v>0</v>
      </c>
      <c r="V2964" s="77">
        <v>1193</v>
      </c>
      <c r="W2964" s="82" t="s">
        <v>5858</v>
      </c>
      <c r="X2964" s="80" t="str">
        <f>HYPERLINK("https://www.moneytimes.com.br/imposto-de-renda-como-saber-se-devo-declarar-em-2023/")</f>
        <v>https://www.moneytimes.com.br/imposto-de-renda-como-saber-se-devo-declarar-em-2023/</v>
      </c>
      <c r="Y2964" s="77" t="s">
        <v>6002</v>
      </c>
      <c r="Z2964" s="77"/>
      <c r="AA2964" s="77"/>
      <c r="AB2964" s="77"/>
      <c r="AC2964" s="82" t="s">
        <v>7718</v>
      </c>
      <c r="AD2964" s="77" t="s">
        <v>7745</v>
      </c>
      <c r="AE2964" s="80" t="str">
        <f>HYPERLINK("https://twitter.com/leiamoneytimes/status/1663616272263684096")</f>
        <v>https://twitter.com/leiamoneytimes/status/1663616272263684096</v>
      </c>
      <c r="AF2964" s="79">
        <v>45076.777800925927</v>
      </c>
      <c r="AG2964" s="85">
        <v>45076</v>
      </c>
      <c r="AH2964" s="82" t="s">
        <v>10431</v>
      </c>
      <c r="AI2964" s="77" t="b">
        <v>0</v>
      </c>
      <c r="AJ2964" s="77"/>
      <c r="AK2964" s="77"/>
      <c r="AL2964" s="77"/>
      <c r="AM2964" s="77"/>
      <c r="AN2964" s="77"/>
      <c r="AO2964" s="77"/>
      <c r="AP2964" s="77"/>
      <c r="AQ2964" s="77"/>
      <c r="AR2964" s="77"/>
      <c r="AS2964" s="77"/>
      <c r="AT2964" s="77"/>
      <c r="AU2964" s="77"/>
      <c r="AV2964" s="80" t="str">
        <f>HYPERLINK("https://pbs.twimg.com/profile_images/1559883556846977024/bXHnQFY0_normal.jpg")</f>
        <v>https://pbs.twimg.com/profile_images/1559883556846977024/bXHnQFY0_normal.jpg</v>
      </c>
      <c r="AW2964" s="82" t="s">
        <v>15119</v>
      </c>
      <c r="AX2964" s="82" t="s">
        <v>15119</v>
      </c>
      <c r="AY2964" s="77"/>
      <c r="AZ2964" s="82" t="s">
        <v>15804</v>
      </c>
      <c r="BA2964" s="82" t="s">
        <v>15804</v>
      </c>
      <c r="BB2964" s="82" t="s">
        <v>15804</v>
      </c>
      <c r="BC2964" s="82" t="s">
        <v>15119</v>
      </c>
      <c r="BD2964" s="77">
        <v>51150679</v>
      </c>
      <c r="BE2964" s="77"/>
      <c r="BF2964" s="77"/>
      <c r="BG2964" s="77"/>
      <c r="BH2964" s="77"/>
      <c r="BI2964" s="77"/>
    </row>
    <row r="2965" spans="1:61" x14ac:dyDescent="0.25">
      <c r="A2965" s="62" t="s">
        <v>1027</v>
      </c>
      <c r="B2965" s="62" t="s">
        <v>1027</v>
      </c>
      <c r="C2965" s="63"/>
      <c r="D2965" s="64"/>
      <c r="E2965" s="65"/>
      <c r="F2965" s="66"/>
      <c r="G2965" s="63"/>
      <c r="H2965" s="67"/>
      <c r="I2965" s="68"/>
      <c r="J2965" s="68"/>
      <c r="K2965" s="32"/>
      <c r="L2965" s="75">
        <v>2965</v>
      </c>
      <c r="M2965" s="75"/>
      <c r="N2965" s="70"/>
      <c r="O2965" s="77" t="s">
        <v>179</v>
      </c>
      <c r="P2965" s="79">
        <v>45076.732928240737</v>
      </c>
      <c r="Q2965" s="77" t="s">
        <v>3977</v>
      </c>
      <c r="R2965" s="77">
        <v>0</v>
      </c>
      <c r="S2965" s="77">
        <v>7</v>
      </c>
      <c r="T2965" s="77">
        <v>0</v>
      </c>
      <c r="U2965" s="77">
        <v>0</v>
      </c>
      <c r="V2965" s="77">
        <v>1814</v>
      </c>
      <c r="W2965" s="82" t="s">
        <v>5928</v>
      </c>
      <c r="X2965" s="80" t="str">
        <f>HYPERLINK("https://www.moneytimes.com.br/vale-vale3-o-leilao-da-mineradora-que-acontece-nesta-quarta-31/")</f>
        <v>https://www.moneytimes.com.br/vale-vale3-o-leilao-da-mineradora-que-acontece-nesta-quarta-31/</v>
      </c>
      <c r="Y2965" s="77" t="s">
        <v>6002</v>
      </c>
      <c r="Z2965" s="77"/>
      <c r="AA2965" s="77"/>
      <c r="AB2965" s="77"/>
      <c r="AC2965" s="82" t="s">
        <v>7718</v>
      </c>
      <c r="AD2965" s="77" t="s">
        <v>7745</v>
      </c>
      <c r="AE2965" s="80" t="str">
        <f>HYPERLINK("https://twitter.com/leiamoneytimes/status/1663600011140005895")</f>
        <v>https://twitter.com/leiamoneytimes/status/1663600011140005895</v>
      </c>
      <c r="AF2965" s="79">
        <v>45076.732928240737</v>
      </c>
      <c r="AG2965" s="85">
        <v>45076</v>
      </c>
      <c r="AH2965" s="82" t="s">
        <v>10432</v>
      </c>
      <c r="AI2965" s="77" t="b">
        <v>0</v>
      </c>
      <c r="AJ2965" s="77"/>
      <c r="AK2965" s="77"/>
      <c r="AL2965" s="77"/>
      <c r="AM2965" s="77"/>
      <c r="AN2965" s="77"/>
      <c r="AO2965" s="77"/>
      <c r="AP2965" s="77"/>
      <c r="AQ2965" s="77"/>
      <c r="AR2965" s="77"/>
      <c r="AS2965" s="77"/>
      <c r="AT2965" s="77"/>
      <c r="AU2965" s="77"/>
      <c r="AV2965" s="80" t="str">
        <f>HYPERLINK("https://pbs.twimg.com/profile_images/1559883556846977024/bXHnQFY0_normal.jpg")</f>
        <v>https://pbs.twimg.com/profile_images/1559883556846977024/bXHnQFY0_normal.jpg</v>
      </c>
      <c r="AW2965" s="82" t="s">
        <v>15120</v>
      </c>
      <c r="AX2965" s="82" t="s">
        <v>15120</v>
      </c>
      <c r="AY2965" s="77"/>
      <c r="AZ2965" s="82" t="s">
        <v>15804</v>
      </c>
      <c r="BA2965" s="82" t="s">
        <v>15804</v>
      </c>
      <c r="BB2965" s="82" t="s">
        <v>15804</v>
      </c>
      <c r="BC2965" s="82" t="s">
        <v>15120</v>
      </c>
      <c r="BD2965" s="77">
        <v>51150679</v>
      </c>
      <c r="BE2965" s="77"/>
      <c r="BF2965" s="77"/>
      <c r="BG2965" s="77"/>
      <c r="BH2965" s="77"/>
      <c r="BI2965" s="77"/>
    </row>
    <row r="2966" spans="1:61" x14ac:dyDescent="0.25">
      <c r="A2966" s="62" t="s">
        <v>1027</v>
      </c>
      <c r="B2966" s="62" t="s">
        <v>1027</v>
      </c>
      <c r="C2966" s="63"/>
      <c r="D2966" s="64"/>
      <c r="E2966" s="65"/>
      <c r="F2966" s="66"/>
      <c r="G2966" s="63"/>
      <c r="H2966" s="67"/>
      <c r="I2966" s="68"/>
      <c r="J2966" s="68"/>
      <c r="K2966" s="32"/>
      <c r="L2966" s="75">
        <v>2966</v>
      </c>
      <c r="M2966" s="75"/>
      <c r="N2966" s="70"/>
      <c r="O2966" s="77" t="s">
        <v>179</v>
      </c>
      <c r="P2966" s="79">
        <v>45075.915486111109</v>
      </c>
      <c r="Q2966" s="77" t="s">
        <v>3978</v>
      </c>
      <c r="R2966" s="77">
        <v>1</v>
      </c>
      <c r="S2966" s="77">
        <v>8</v>
      </c>
      <c r="T2966" s="77">
        <v>0</v>
      </c>
      <c r="U2966" s="77">
        <v>0</v>
      </c>
      <c r="V2966" s="77">
        <v>1414</v>
      </c>
      <c r="W2966" s="82" t="s">
        <v>5929</v>
      </c>
      <c r="X2966" s="80" t="str">
        <f>HYPERLINK("https://www.moneytimes.com.br/ipva-com-atraso-podera-ser-parcelado-em-sao-paulo-veja-como/")</f>
        <v>https://www.moneytimes.com.br/ipva-com-atraso-podera-ser-parcelado-em-sao-paulo-veja-como/</v>
      </c>
      <c r="Y2966" s="77" t="s">
        <v>6002</v>
      </c>
      <c r="Z2966" s="77"/>
      <c r="AA2966" s="77"/>
      <c r="AB2966" s="77"/>
      <c r="AC2966" s="82" t="s">
        <v>7718</v>
      </c>
      <c r="AD2966" s="77" t="s">
        <v>7745</v>
      </c>
      <c r="AE2966" s="80" t="str">
        <f>HYPERLINK("https://twitter.com/leiamoneytimes/status/1663303781893668867")</f>
        <v>https://twitter.com/leiamoneytimes/status/1663303781893668867</v>
      </c>
      <c r="AF2966" s="79">
        <v>45075.915486111109</v>
      </c>
      <c r="AG2966" s="85">
        <v>45075</v>
      </c>
      <c r="AH2966" s="82" t="s">
        <v>10433</v>
      </c>
      <c r="AI2966" s="77" t="b">
        <v>0</v>
      </c>
      <c r="AJ2966" s="77"/>
      <c r="AK2966" s="77"/>
      <c r="AL2966" s="77"/>
      <c r="AM2966" s="77"/>
      <c r="AN2966" s="77"/>
      <c r="AO2966" s="77"/>
      <c r="AP2966" s="77"/>
      <c r="AQ2966" s="77"/>
      <c r="AR2966" s="77"/>
      <c r="AS2966" s="77"/>
      <c r="AT2966" s="77"/>
      <c r="AU2966" s="77"/>
      <c r="AV2966" s="80" t="str">
        <f>HYPERLINK("https://pbs.twimg.com/profile_images/1559883556846977024/bXHnQFY0_normal.jpg")</f>
        <v>https://pbs.twimg.com/profile_images/1559883556846977024/bXHnQFY0_normal.jpg</v>
      </c>
      <c r="AW2966" s="82" t="s">
        <v>15121</v>
      </c>
      <c r="AX2966" s="82" t="s">
        <v>15121</v>
      </c>
      <c r="AY2966" s="77"/>
      <c r="AZ2966" s="82" t="s">
        <v>15804</v>
      </c>
      <c r="BA2966" s="82" t="s">
        <v>15804</v>
      </c>
      <c r="BB2966" s="82" t="s">
        <v>15804</v>
      </c>
      <c r="BC2966" s="82" t="s">
        <v>15121</v>
      </c>
      <c r="BD2966" s="77">
        <v>51150679</v>
      </c>
      <c r="BE2966" s="77"/>
      <c r="BF2966" s="77"/>
      <c r="BG2966" s="77"/>
      <c r="BH2966" s="77"/>
      <c r="BI2966" s="77"/>
    </row>
    <row r="2967" spans="1:61" x14ac:dyDescent="0.25">
      <c r="A2967" s="62" t="s">
        <v>1027</v>
      </c>
      <c r="B2967" s="62" t="s">
        <v>1027</v>
      </c>
      <c r="C2967" s="63"/>
      <c r="D2967" s="64"/>
      <c r="E2967" s="65"/>
      <c r="F2967" s="66"/>
      <c r="G2967" s="63"/>
      <c r="H2967" s="67"/>
      <c r="I2967" s="68"/>
      <c r="J2967" s="68"/>
      <c r="K2967" s="32"/>
      <c r="L2967" s="75">
        <v>2967</v>
      </c>
      <c r="M2967" s="75"/>
      <c r="N2967" s="70"/>
      <c r="O2967" s="77" t="s">
        <v>179</v>
      </c>
      <c r="P2967" s="79">
        <v>45075.837453703702</v>
      </c>
      <c r="Q2967" s="77" t="s">
        <v>3979</v>
      </c>
      <c r="R2967" s="77">
        <v>0</v>
      </c>
      <c r="S2967" s="77">
        <v>1</v>
      </c>
      <c r="T2967" s="77">
        <v>0</v>
      </c>
      <c r="U2967" s="77">
        <v>0</v>
      </c>
      <c r="V2967" s="77">
        <v>1539</v>
      </c>
      <c r="W2967" s="82" t="s">
        <v>5858</v>
      </c>
      <c r="X2967" s="80" t="str">
        <f>HYPERLINK("https://www.moneytimes.com.br/em-fila-de-restituicao-veja-a-resposta-para-essa-e-outras-perguntas-sobre-imposto-de-renda-2023/")</f>
        <v>https://www.moneytimes.com.br/em-fila-de-restituicao-veja-a-resposta-para-essa-e-outras-perguntas-sobre-imposto-de-renda-2023/</v>
      </c>
      <c r="Y2967" s="77" t="s">
        <v>6002</v>
      </c>
      <c r="Z2967" s="77"/>
      <c r="AA2967" s="77"/>
      <c r="AB2967" s="77"/>
      <c r="AC2967" s="82" t="s">
        <v>7718</v>
      </c>
      <c r="AD2967" s="77" t="s">
        <v>7745</v>
      </c>
      <c r="AE2967" s="80" t="str">
        <f>HYPERLINK("https://twitter.com/leiamoneytimes/status/1663275501064994843")</f>
        <v>https://twitter.com/leiamoneytimes/status/1663275501064994843</v>
      </c>
      <c r="AF2967" s="79">
        <v>45075.837453703702</v>
      </c>
      <c r="AG2967" s="85">
        <v>45075</v>
      </c>
      <c r="AH2967" s="82" t="s">
        <v>7993</v>
      </c>
      <c r="AI2967" s="77" t="b">
        <v>0</v>
      </c>
      <c r="AJ2967" s="77"/>
      <c r="AK2967" s="77"/>
      <c r="AL2967" s="77"/>
      <c r="AM2967" s="77"/>
      <c r="AN2967" s="77"/>
      <c r="AO2967" s="77"/>
      <c r="AP2967" s="77"/>
      <c r="AQ2967" s="77"/>
      <c r="AR2967" s="77"/>
      <c r="AS2967" s="77"/>
      <c r="AT2967" s="77"/>
      <c r="AU2967" s="77"/>
      <c r="AV2967" s="80" t="str">
        <f>HYPERLINK("https://pbs.twimg.com/profile_images/1559883556846977024/bXHnQFY0_normal.jpg")</f>
        <v>https://pbs.twimg.com/profile_images/1559883556846977024/bXHnQFY0_normal.jpg</v>
      </c>
      <c r="AW2967" s="82" t="s">
        <v>15122</v>
      </c>
      <c r="AX2967" s="82" t="s">
        <v>15122</v>
      </c>
      <c r="AY2967" s="77"/>
      <c r="AZ2967" s="82" t="s">
        <v>15804</v>
      </c>
      <c r="BA2967" s="82" t="s">
        <v>15804</v>
      </c>
      <c r="BB2967" s="82" t="s">
        <v>15804</v>
      </c>
      <c r="BC2967" s="82" t="s">
        <v>15122</v>
      </c>
      <c r="BD2967" s="77">
        <v>51150679</v>
      </c>
      <c r="BE2967" s="77"/>
      <c r="BF2967" s="77"/>
      <c r="BG2967" s="77"/>
      <c r="BH2967" s="77"/>
      <c r="BI2967" s="77"/>
    </row>
    <row r="2968" spans="1:61" x14ac:dyDescent="0.25">
      <c r="A2968" s="62" t="s">
        <v>1027</v>
      </c>
      <c r="B2968" s="62" t="s">
        <v>1027</v>
      </c>
      <c r="C2968" s="63"/>
      <c r="D2968" s="64"/>
      <c r="E2968" s="65"/>
      <c r="F2968" s="66"/>
      <c r="G2968" s="63"/>
      <c r="H2968" s="67"/>
      <c r="I2968" s="68"/>
      <c r="J2968" s="68"/>
      <c r="K2968" s="32"/>
      <c r="L2968" s="75">
        <v>2968</v>
      </c>
      <c r="M2968" s="75"/>
      <c r="N2968" s="70"/>
      <c r="O2968" s="77" t="s">
        <v>179</v>
      </c>
      <c r="P2968" s="79">
        <v>45075.788946759261</v>
      </c>
      <c r="Q2968" s="77" t="s">
        <v>3980</v>
      </c>
      <c r="R2968" s="77">
        <v>0</v>
      </c>
      <c r="S2968" s="77">
        <v>3</v>
      </c>
      <c r="T2968" s="77">
        <v>1</v>
      </c>
      <c r="U2968" s="77">
        <v>0</v>
      </c>
      <c r="V2968" s="77">
        <v>1205</v>
      </c>
      <c r="W2968" s="82" t="s">
        <v>5930</v>
      </c>
      <c r="X2968" s="80" t="str">
        <f>HYPERLINK("https://www.moneytimes.com.br/imposto-de-renda-2023-como-declarar-dividendos-e-juros-sobre-capital-proprio/")</f>
        <v>https://www.moneytimes.com.br/imposto-de-renda-2023-como-declarar-dividendos-e-juros-sobre-capital-proprio/</v>
      </c>
      <c r="Y2968" s="77" t="s">
        <v>6002</v>
      </c>
      <c r="Z2968" s="77"/>
      <c r="AA2968" s="77"/>
      <c r="AB2968" s="77"/>
      <c r="AC2968" s="82" t="s">
        <v>7718</v>
      </c>
      <c r="AD2968" s="77" t="s">
        <v>7745</v>
      </c>
      <c r="AE2968" s="80" t="str">
        <f>HYPERLINK("https://twitter.com/leiamoneytimes/status/1663257924242743297")</f>
        <v>https://twitter.com/leiamoneytimes/status/1663257924242743297</v>
      </c>
      <c r="AF2968" s="79">
        <v>45075.788946759261</v>
      </c>
      <c r="AG2968" s="85">
        <v>45075</v>
      </c>
      <c r="AH2968" s="82" t="s">
        <v>10434</v>
      </c>
      <c r="AI2968" s="77" t="b">
        <v>0</v>
      </c>
      <c r="AJ2968" s="77"/>
      <c r="AK2968" s="77"/>
      <c r="AL2968" s="77"/>
      <c r="AM2968" s="77"/>
      <c r="AN2968" s="77"/>
      <c r="AO2968" s="77"/>
      <c r="AP2968" s="77"/>
      <c r="AQ2968" s="77"/>
      <c r="AR2968" s="77"/>
      <c r="AS2968" s="77"/>
      <c r="AT2968" s="77"/>
      <c r="AU2968" s="77"/>
      <c r="AV2968" s="80" t="str">
        <f>HYPERLINK("https://pbs.twimg.com/profile_images/1559883556846977024/bXHnQFY0_normal.jpg")</f>
        <v>https://pbs.twimg.com/profile_images/1559883556846977024/bXHnQFY0_normal.jpg</v>
      </c>
      <c r="AW2968" s="82" t="s">
        <v>15123</v>
      </c>
      <c r="AX2968" s="82" t="s">
        <v>15123</v>
      </c>
      <c r="AY2968" s="77"/>
      <c r="AZ2968" s="82" t="s">
        <v>15804</v>
      </c>
      <c r="BA2968" s="82" t="s">
        <v>15804</v>
      </c>
      <c r="BB2968" s="82" t="s">
        <v>15804</v>
      </c>
      <c r="BC2968" s="82" t="s">
        <v>15123</v>
      </c>
      <c r="BD2968" s="77">
        <v>51150679</v>
      </c>
      <c r="BE2968" s="77"/>
      <c r="BF2968" s="77"/>
      <c r="BG2968" s="77"/>
      <c r="BH2968" s="77"/>
      <c r="BI2968" s="77"/>
    </row>
    <row r="2969" spans="1:61" x14ac:dyDescent="0.25">
      <c r="A2969" s="62" t="s">
        <v>1027</v>
      </c>
      <c r="B2969" s="62" t="s">
        <v>1027</v>
      </c>
      <c r="C2969" s="63"/>
      <c r="D2969" s="64"/>
      <c r="E2969" s="65"/>
      <c r="F2969" s="66"/>
      <c r="G2969" s="63"/>
      <c r="H2969" s="67"/>
      <c r="I2969" s="68"/>
      <c r="J2969" s="68"/>
      <c r="K2969" s="32"/>
      <c r="L2969" s="75">
        <v>2969</v>
      </c>
      <c r="M2969" s="75"/>
      <c r="N2969" s="70"/>
      <c r="O2969" s="77" t="s">
        <v>179</v>
      </c>
      <c r="P2969" s="79">
        <v>45075.534189814818</v>
      </c>
      <c r="Q2969" s="77" t="s">
        <v>3981</v>
      </c>
      <c r="R2969" s="77">
        <v>0</v>
      </c>
      <c r="S2969" s="77">
        <v>2</v>
      </c>
      <c r="T2969" s="77">
        <v>0</v>
      </c>
      <c r="U2969" s="77">
        <v>0</v>
      </c>
      <c r="V2969" s="77">
        <v>1092</v>
      </c>
      <c r="W2969" s="82" t="s">
        <v>5871</v>
      </c>
      <c r="X2969" s="80" t="str">
        <f>HYPERLINK("https://www.moneytimes.com.br/imposto-de-renda-confira-o-passo-a-passo-para-fazer-a-sua-declaracao/")</f>
        <v>https://www.moneytimes.com.br/imposto-de-renda-confira-o-passo-a-passo-para-fazer-a-sua-declaracao/</v>
      </c>
      <c r="Y2969" s="77" t="s">
        <v>6002</v>
      </c>
      <c r="Z2969" s="77"/>
      <c r="AA2969" s="77"/>
      <c r="AB2969" s="77"/>
      <c r="AC2969" s="82" t="s">
        <v>7718</v>
      </c>
      <c r="AD2969" s="77" t="s">
        <v>7745</v>
      </c>
      <c r="AE2969" s="80" t="str">
        <f>HYPERLINK("https://twitter.com/leiamoneytimes/status/1663165600930181120")</f>
        <v>https://twitter.com/leiamoneytimes/status/1663165600930181120</v>
      </c>
      <c r="AF2969" s="79">
        <v>45075.534189814818</v>
      </c>
      <c r="AG2969" s="85">
        <v>45075</v>
      </c>
      <c r="AH2969" s="82" t="s">
        <v>10435</v>
      </c>
      <c r="AI2969" s="77" t="b">
        <v>0</v>
      </c>
      <c r="AJ2969" s="77"/>
      <c r="AK2969" s="77"/>
      <c r="AL2969" s="77"/>
      <c r="AM2969" s="77"/>
      <c r="AN2969" s="77"/>
      <c r="AO2969" s="77"/>
      <c r="AP2969" s="77"/>
      <c r="AQ2969" s="77"/>
      <c r="AR2969" s="77"/>
      <c r="AS2969" s="77"/>
      <c r="AT2969" s="77"/>
      <c r="AU2969" s="77"/>
      <c r="AV2969" s="80" t="str">
        <f>HYPERLINK("https://pbs.twimg.com/profile_images/1559883556846977024/bXHnQFY0_normal.jpg")</f>
        <v>https://pbs.twimg.com/profile_images/1559883556846977024/bXHnQFY0_normal.jpg</v>
      </c>
      <c r="AW2969" s="82" t="s">
        <v>15124</v>
      </c>
      <c r="AX2969" s="82" t="s">
        <v>15124</v>
      </c>
      <c r="AY2969" s="77"/>
      <c r="AZ2969" s="82" t="s">
        <v>15804</v>
      </c>
      <c r="BA2969" s="82" t="s">
        <v>15804</v>
      </c>
      <c r="BB2969" s="82" t="s">
        <v>15804</v>
      </c>
      <c r="BC2969" s="82" t="s">
        <v>15124</v>
      </c>
      <c r="BD2969" s="77">
        <v>51150679</v>
      </c>
      <c r="BE2969" s="77"/>
      <c r="BF2969" s="77"/>
      <c r="BG2969" s="77"/>
      <c r="BH2969" s="77"/>
      <c r="BI2969" s="77"/>
    </row>
    <row r="2970" spans="1:61" x14ac:dyDescent="0.25">
      <c r="A2970" s="62" t="s">
        <v>1027</v>
      </c>
      <c r="B2970" s="62" t="s">
        <v>1027</v>
      </c>
      <c r="C2970" s="63"/>
      <c r="D2970" s="64"/>
      <c r="E2970" s="65"/>
      <c r="F2970" s="66"/>
      <c r="G2970" s="63"/>
      <c r="H2970" s="67"/>
      <c r="I2970" s="68"/>
      <c r="J2970" s="68"/>
      <c r="K2970" s="32"/>
      <c r="L2970" s="75">
        <v>2970</v>
      </c>
      <c r="M2970" s="75"/>
      <c r="N2970" s="70"/>
      <c r="O2970" s="77" t="s">
        <v>179</v>
      </c>
      <c r="P2970" s="79">
        <v>45075.387777777774</v>
      </c>
      <c r="Q2970" s="77" t="s">
        <v>3982</v>
      </c>
      <c r="R2970" s="77">
        <v>1</v>
      </c>
      <c r="S2970" s="77">
        <v>6</v>
      </c>
      <c r="T2970" s="77">
        <v>1</v>
      </c>
      <c r="U2970" s="77">
        <v>0</v>
      </c>
      <c r="V2970" s="77">
        <v>2066</v>
      </c>
      <c r="W2970" s="82" t="s">
        <v>5931</v>
      </c>
      <c r="X2970" s="80" t="str">
        <f>HYPERLINK("https://www.moneytimes.com.br/estudar-ou-trabalhar-no-exterior-consultor-em-imigracao-junior-hudson-da-dicas/")</f>
        <v>https://www.moneytimes.com.br/estudar-ou-trabalhar-no-exterior-consultor-em-imigracao-junior-hudson-da-dicas/</v>
      </c>
      <c r="Y2970" s="77" t="s">
        <v>6002</v>
      </c>
      <c r="Z2970" s="77"/>
      <c r="AA2970" s="77"/>
      <c r="AB2970" s="77"/>
      <c r="AC2970" s="82" t="s">
        <v>7718</v>
      </c>
      <c r="AD2970" s="77" t="s">
        <v>7745</v>
      </c>
      <c r="AE2970" s="80" t="str">
        <f>HYPERLINK("https://twitter.com/leiamoneytimes/status/1663112546339938304")</f>
        <v>https://twitter.com/leiamoneytimes/status/1663112546339938304</v>
      </c>
      <c r="AF2970" s="79">
        <v>45075.387777777774</v>
      </c>
      <c r="AG2970" s="85">
        <v>45075</v>
      </c>
      <c r="AH2970" s="82" t="s">
        <v>10436</v>
      </c>
      <c r="AI2970" s="77" t="b">
        <v>0</v>
      </c>
      <c r="AJ2970" s="77"/>
      <c r="AK2970" s="77"/>
      <c r="AL2970" s="77"/>
      <c r="AM2970" s="77"/>
      <c r="AN2970" s="77"/>
      <c r="AO2970" s="77"/>
      <c r="AP2970" s="77"/>
      <c r="AQ2970" s="77"/>
      <c r="AR2970" s="77"/>
      <c r="AS2970" s="77"/>
      <c r="AT2970" s="77"/>
      <c r="AU2970" s="77"/>
      <c r="AV2970" s="80" t="str">
        <f>HYPERLINK("https://pbs.twimg.com/profile_images/1559883556846977024/bXHnQFY0_normal.jpg")</f>
        <v>https://pbs.twimg.com/profile_images/1559883556846977024/bXHnQFY0_normal.jpg</v>
      </c>
      <c r="AW2970" s="82" t="s">
        <v>15125</v>
      </c>
      <c r="AX2970" s="82" t="s">
        <v>15125</v>
      </c>
      <c r="AY2970" s="77"/>
      <c r="AZ2970" s="82" t="s">
        <v>15804</v>
      </c>
      <c r="BA2970" s="82" t="s">
        <v>15804</v>
      </c>
      <c r="BB2970" s="82" t="s">
        <v>15804</v>
      </c>
      <c r="BC2970" s="82" t="s">
        <v>15125</v>
      </c>
      <c r="BD2970" s="77">
        <v>51150679</v>
      </c>
      <c r="BE2970" s="77"/>
      <c r="BF2970" s="77"/>
      <c r="BG2970" s="77"/>
      <c r="BH2970" s="77"/>
      <c r="BI2970" s="77"/>
    </row>
    <row r="2971" spans="1:61" x14ac:dyDescent="0.25">
      <c r="A2971" s="62" t="s">
        <v>1027</v>
      </c>
      <c r="B2971" s="62" t="s">
        <v>1027</v>
      </c>
      <c r="C2971" s="63"/>
      <c r="D2971" s="64"/>
      <c r="E2971" s="65"/>
      <c r="F2971" s="66"/>
      <c r="G2971" s="63"/>
      <c r="H2971" s="67"/>
      <c r="I2971" s="68"/>
      <c r="J2971" s="68"/>
      <c r="K2971" s="32"/>
      <c r="L2971" s="75">
        <v>2971</v>
      </c>
      <c r="M2971" s="75"/>
      <c r="N2971" s="70"/>
      <c r="O2971" s="77" t="s">
        <v>179</v>
      </c>
      <c r="P2971" s="79">
        <v>45072.542488425926</v>
      </c>
      <c r="Q2971" s="77" t="s">
        <v>3983</v>
      </c>
      <c r="R2971" s="77">
        <v>0</v>
      </c>
      <c r="S2971" s="77">
        <v>0</v>
      </c>
      <c r="T2971" s="77">
        <v>1</v>
      </c>
      <c r="U2971" s="77">
        <v>0</v>
      </c>
      <c r="V2971" s="77">
        <v>1252</v>
      </c>
      <c r="W2971" s="82" t="s">
        <v>5932</v>
      </c>
      <c r="X2971" s="80" t="str">
        <f>HYPERLINK("https://www.moneytimes.com.br/quer-viver-de-rendimentos-so-investir-nao-vai-salvar-sua-pele-entenda/")</f>
        <v>https://www.moneytimes.com.br/quer-viver-de-rendimentos-so-investir-nao-vai-salvar-sua-pele-entenda/</v>
      </c>
      <c r="Y2971" s="77" t="s">
        <v>6002</v>
      </c>
      <c r="Z2971" s="77"/>
      <c r="AA2971" s="77"/>
      <c r="AB2971" s="77"/>
      <c r="AC2971" s="82" t="s">
        <v>7718</v>
      </c>
      <c r="AD2971" s="77" t="s">
        <v>7745</v>
      </c>
      <c r="AE2971" s="80" t="str">
        <f>HYPERLINK("https://twitter.com/leiamoneytimes/status/1662081446998056961")</f>
        <v>https://twitter.com/leiamoneytimes/status/1662081446998056961</v>
      </c>
      <c r="AF2971" s="79">
        <v>45072.542488425926</v>
      </c>
      <c r="AG2971" s="85">
        <v>45072</v>
      </c>
      <c r="AH2971" s="82" t="s">
        <v>10437</v>
      </c>
      <c r="AI2971" s="77" t="b">
        <v>0</v>
      </c>
      <c r="AJ2971" s="77"/>
      <c r="AK2971" s="77"/>
      <c r="AL2971" s="77"/>
      <c r="AM2971" s="77"/>
      <c r="AN2971" s="77"/>
      <c r="AO2971" s="77"/>
      <c r="AP2971" s="77"/>
      <c r="AQ2971" s="77"/>
      <c r="AR2971" s="77"/>
      <c r="AS2971" s="77"/>
      <c r="AT2971" s="77"/>
      <c r="AU2971" s="77"/>
      <c r="AV2971" s="80" t="str">
        <f>HYPERLINK("https://pbs.twimg.com/profile_images/1559883556846977024/bXHnQFY0_normal.jpg")</f>
        <v>https://pbs.twimg.com/profile_images/1559883556846977024/bXHnQFY0_normal.jpg</v>
      </c>
      <c r="AW2971" s="82" t="s">
        <v>15126</v>
      </c>
      <c r="AX2971" s="82" t="s">
        <v>15126</v>
      </c>
      <c r="AY2971" s="77"/>
      <c r="AZ2971" s="82" t="s">
        <v>15804</v>
      </c>
      <c r="BA2971" s="82" t="s">
        <v>15804</v>
      </c>
      <c r="BB2971" s="82" t="s">
        <v>15804</v>
      </c>
      <c r="BC2971" s="82" t="s">
        <v>15126</v>
      </c>
      <c r="BD2971" s="77">
        <v>51150679</v>
      </c>
      <c r="BE2971" s="77"/>
      <c r="BF2971" s="77"/>
      <c r="BG2971" s="77"/>
      <c r="BH2971" s="77"/>
      <c r="BI2971" s="77"/>
    </row>
    <row r="2972" spans="1:61" x14ac:dyDescent="0.25">
      <c r="A2972" s="62" t="s">
        <v>1027</v>
      </c>
      <c r="B2972" s="62" t="s">
        <v>1027</v>
      </c>
      <c r="C2972" s="63"/>
      <c r="D2972" s="64"/>
      <c r="E2972" s="65"/>
      <c r="F2972" s="66"/>
      <c r="G2972" s="63"/>
      <c r="H2972" s="67"/>
      <c r="I2972" s="68"/>
      <c r="J2972" s="68"/>
      <c r="K2972" s="32"/>
      <c r="L2972" s="75">
        <v>2972</v>
      </c>
      <c r="M2972" s="75"/>
      <c r="N2972" s="70"/>
      <c r="O2972" s="77" t="s">
        <v>179</v>
      </c>
      <c r="P2972" s="79">
        <v>45072.539201388892</v>
      </c>
      <c r="Q2972" s="77" t="s">
        <v>3984</v>
      </c>
      <c r="R2972" s="77">
        <v>0</v>
      </c>
      <c r="S2972" s="77">
        <v>2</v>
      </c>
      <c r="T2972" s="77">
        <v>0</v>
      </c>
      <c r="U2972" s="77">
        <v>0</v>
      </c>
      <c r="V2972" s="77">
        <v>943</v>
      </c>
      <c r="W2972" s="82" t="s">
        <v>5858</v>
      </c>
      <c r="X2972" s="80" t="str">
        <f>HYPERLINK("https://www.moneytimes.com.br/imposto-de-renda-entenda-a-atual-tabela-de-descontos-e-isencao/")</f>
        <v>https://www.moneytimes.com.br/imposto-de-renda-entenda-a-atual-tabela-de-descontos-e-isencao/</v>
      </c>
      <c r="Y2972" s="77" t="s">
        <v>6002</v>
      </c>
      <c r="Z2972" s="77"/>
      <c r="AA2972" s="77"/>
      <c r="AB2972" s="77"/>
      <c r="AC2972" s="82" t="s">
        <v>7718</v>
      </c>
      <c r="AD2972" s="77" t="s">
        <v>7745</v>
      </c>
      <c r="AE2972" s="80" t="str">
        <f>HYPERLINK("https://twitter.com/leiamoneytimes/status/1662080256541442051")</f>
        <v>https://twitter.com/leiamoneytimes/status/1662080256541442051</v>
      </c>
      <c r="AF2972" s="79">
        <v>45072.539201388892</v>
      </c>
      <c r="AG2972" s="85">
        <v>45072</v>
      </c>
      <c r="AH2972" s="82" t="s">
        <v>10438</v>
      </c>
      <c r="AI2972" s="77" t="b">
        <v>0</v>
      </c>
      <c r="AJ2972" s="77"/>
      <c r="AK2972" s="77"/>
      <c r="AL2972" s="77"/>
      <c r="AM2972" s="77"/>
      <c r="AN2972" s="77"/>
      <c r="AO2972" s="77"/>
      <c r="AP2972" s="77"/>
      <c r="AQ2972" s="77"/>
      <c r="AR2972" s="77"/>
      <c r="AS2972" s="77"/>
      <c r="AT2972" s="77"/>
      <c r="AU2972" s="77"/>
      <c r="AV2972" s="80" t="str">
        <f>HYPERLINK("https://pbs.twimg.com/profile_images/1559883556846977024/bXHnQFY0_normal.jpg")</f>
        <v>https://pbs.twimg.com/profile_images/1559883556846977024/bXHnQFY0_normal.jpg</v>
      </c>
      <c r="AW2972" s="82" t="s">
        <v>15127</v>
      </c>
      <c r="AX2972" s="82" t="s">
        <v>15127</v>
      </c>
      <c r="AY2972" s="77"/>
      <c r="AZ2972" s="82" t="s">
        <v>15804</v>
      </c>
      <c r="BA2972" s="82" t="s">
        <v>15804</v>
      </c>
      <c r="BB2972" s="82" t="s">
        <v>15804</v>
      </c>
      <c r="BC2972" s="82" t="s">
        <v>15127</v>
      </c>
      <c r="BD2972" s="77">
        <v>51150679</v>
      </c>
      <c r="BE2972" s="77"/>
      <c r="BF2972" s="77"/>
      <c r="BG2972" s="77"/>
      <c r="BH2972" s="77"/>
      <c r="BI2972" s="77"/>
    </row>
    <row r="2973" spans="1:61" x14ac:dyDescent="0.25">
      <c r="A2973" s="62" t="s">
        <v>1027</v>
      </c>
      <c r="B2973" s="62" t="s">
        <v>1027</v>
      </c>
      <c r="C2973" s="63"/>
      <c r="D2973" s="64"/>
      <c r="E2973" s="65"/>
      <c r="F2973" s="66"/>
      <c r="G2973" s="63"/>
      <c r="H2973" s="67"/>
      <c r="I2973" s="68"/>
      <c r="J2973" s="68"/>
      <c r="K2973" s="32"/>
      <c r="L2973" s="75">
        <v>2973</v>
      </c>
      <c r="M2973" s="75"/>
      <c r="N2973" s="70"/>
      <c r="O2973" s="77" t="s">
        <v>179</v>
      </c>
      <c r="P2973" s="79">
        <v>45037.62636574074</v>
      </c>
      <c r="Q2973" s="77" t="s">
        <v>3985</v>
      </c>
      <c r="R2973" s="77">
        <v>0</v>
      </c>
      <c r="S2973" s="77">
        <v>1</v>
      </c>
      <c r="T2973" s="77">
        <v>0</v>
      </c>
      <c r="U2973" s="77">
        <v>0</v>
      </c>
      <c r="V2973" s="77">
        <v>1264</v>
      </c>
      <c r="W2973" s="82" t="s">
        <v>5933</v>
      </c>
      <c r="X2973" s="80" t="str">
        <f>HYPERLINK("https://www.moneytimes.com.br/imposto-de-renda-2023-como-declarar-indenizacoes-de-seguros/")</f>
        <v>https://www.moneytimes.com.br/imposto-de-renda-2023-como-declarar-indenizacoes-de-seguros/</v>
      </c>
      <c r="Y2973" s="77" t="s">
        <v>6002</v>
      </c>
      <c r="Z2973" s="77"/>
      <c r="AA2973" s="77"/>
      <c r="AB2973" s="77"/>
      <c r="AC2973" s="82" t="s">
        <v>7718</v>
      </c>
      <c r="AD2973" s="77" t="s">
        <v>7745</v>
      </c>
      <c r="AE2973" s="80" t="str">
        <f>HYPERLINK("https://twitter.com/leiamoneytimes/status/1649428266913091587")</f>
        <v>https://twitter.com/leiamoneytimes/status/1649428266913091587</v>
      </c>
      <c r="AF2973" s="79">
        <v>45037.62636574074</v>
      </c>
      <c r="AG2973" s="85">
        <v>45037</v>
      </c>
      <c r="AH2973" s="82" t="s">
        <v>10439</v>
      </c>
      <c r="AI2973" s="77" t="b">
        <v>0</v>
      </c>
      <c r="AJ2973" s="77"/>
      <c r="AK2973" s="77"/>
      <c r="AL2973" s="77"/>
      <c r="AM2973" s="77"/>
      <c r="AN2973" s="77"/>
      <c r="AO2973" s="77"/>
      <c r="AP2973" s="77"/>
      <c r="AQ2973" s="77"/>
      <c r="AR2973" s="77"/>
      <c r="AS2973" s="77"/>
      <c r="AT2973" s="77"/>
      <c r="AU2973" s="77"/>
      <c r="AV2973" s="80" t="str">
        <f>HYPERLINK("https://pbs.twimg.com/profile_images/1559883556846977024/bXHnQFY0_normal.jpg")</f>
        <v>https://pbs.twimg.com/profile_images/1559883556846977024/bXHnQFY0_normal.jpg</v>
      </c>
      <c r="AW2973" s="82" t="s">
        <v>15128</v>
      </c>
      <c r="AX2973" s="82" t="s">
        <v>15128</v>
      </c>
      <c r="AY2973" s="77"/>
      <c r="AZ2973" s="82" t="s">
        <v>15804</v>
      </c>
      <c r="BA2973" s="82" t="s">
        <v>15804</v>
      </c>
      <c r="BB2973" s="82" t="s">
        <v>15804</v>
      </c>
      <c r="BC2973" s="82" t="s">
        <v>15128</v>
      </c>
      <c r="BD2973" s="77">
        <v>51150679</v>
      </c>
      <c r="BE2973" s="77"/>
      <c r="BF2973" s="77"/>
      <c r="BG2973" s="77"/>
      <c r="BH2973" s="77"/>
      <c r="BI2973" s="77"/>
    </row>
    <row r="2974" spans="1:61" x14ac:dyDescent="0.25">
      <c r="A2974" s="62" t="s">
        <v>1027</v>
      </c>
      <c r="B2974" s="62" t="s">
        <v>1027</v>
      </c>
      <c r="C2974" s="63"/>
      <c r="D2974" s="64"/>
      <c r="E2974" s="65"/>
      <c r="F2974" s="66"/>
      <c r="G2974" s="63"/>
      <c r="H2974" s="67"/>
      <c r="I2974" s="68"/>
      <c r="J2974" s="68"/>
      <c r="K2974" s="32"/>
      <c r="L2974" s="75">
        <v>2974</v>
      </c>
      <c r="M2974" s="75"/>
      <c r="N2974" s="70"/>
      <c r="O2974" s="77" t="s">
        <v>179</v>
      </c>
      <c r="P2974" s="79">
        <v>45037.498472222222</v>
      </c>
      <c r="Q2974" s="77" t="s">
        <v>3986</v>
      </c>
      <c r="R2974" s="77">
        <v>1</v>
      </c>
      <c r="S2974" s="77">
        <v>2</v>
      </c>
      <c r="T2974" s="77">
        <v>0</v>
      </c>
      <c r="U2974" s="77">
        <v>0</v>
      </c>
      <c r="V2974" s="77">
        <v>1330</v>
      </c>
      <c r="W2974" s="82" t="s">
        <v>5934</v>
      </c>
      <c r="X2974" s="80" t="str">
        <f>HYPERLINK("https://www.moneytimes.com.br/negocios-na-internet-empresario-walter-junior-ensina-como-comecar-na-area/")</f>
        <v>https://www.moneytimes.com.br/negocios-na-internet-empresario-walter-junior-ensina-como-comecar-na-area/</v>
      </c>
      <c r="Y2974" s="77" t="s">
        <v>6002</v>
      </c>
      <c r="Z2974" s="77"/>
      <c r="AA2974" s="77"/>
      <c r="AB2974" s="77"/>
      <c r="AC2974" s="82" t="s">
        <v>7718</v>
      </c>
      <c r="AD2974" s="77" t="s">
        <v>7745</v>
      </c>
      <c r="AE2974" s="80" t="str">
        <f>HYPERLINK("https://twitter.com/leiamoneytimes/status/1649381920696827905")</f>
        <v>https://twitter.com/leiamoneytimes/status/1649381920696827905</v>
      </c>
      <c r="AF2974" s="79">
        <v>45037.498472222222</v>
      </c>
      <c r="AG2974" s="85">
        <v>45037</v>
      </c>
      <c r="AH2974" s="82" t="s">
        <v>10440</v>
      </c>
      <c r="AI2974" s="77" t="b">
        <v>0</v>
      </c>
      <c r="AJ2974" s="77"/>
      <c r="AK2974" s="77"/>
      <c r="AL2974" s="77"/>
      <c r="AM2974" s="77"/>
      <c r="AN2974" s="77"/>
      <c r="AO2974" s="77"/>
      <c r="AP2974" s="77"/>
      <c r="AQ2974" s="77"/>
      <c r="AR2974" s="77"/>
      <c r="AS2974" s="77"/>
      <c r="AT2974" s="77"/>
      <c r="AU2974" s="77"/>
      <c r="AV2974" s="80" t="str">
        <f>HYPERLINK("https://pbs.twimg.com/profile_images/1559883556846977024/bXHnQFY0_normal.jpg")</f>
        <v>https://pbs.twimg.com/profile_images/1559883556846977024/bXHnQFY0_normal.jpg</v>
      </c>
      <c r="AW2974" s="82" t="s">
        <v>15129</v>
      </c>
      <c r="AX2974" s="82" t="s">
        <v>15129</v>
      </c>
      <c r="AY2974" s="77"/>
      <c r="AZ2974" s="82" t="s">
        <v>15804</v>
      </c>
      <c r="BA2974" s="82" t="s">
        <v>15804</v>
      </c>
      <c r="BB2974" s="82" t="s">
        <v>15804</v>
      </c>
      <c r="BC2974" s="82" t="s">
        <v>15129</v>
      </c>
      <c r="BD2974" s="77">
        <v>51150679</v>
      </c>
      <c r="BE2974" s="77"/>
      <c r="BF2974" s="77"/>
      <c r="BG2974" s="77"/>
      <c r="BH2974" s="77"/>
      <c r="BI2974" s="77"/>
    </row>
    <row r="2975" spans="1:61" x14ac:dyDescent="0.25">
      <c r="A2975" s="62" t="s">
        <v>1027</v>
      </c>
      <c r="B2975" s="62" t="s">
        <v>1027</v>
      </c>
      <c r="C2975" s="63"/>
      <c r="D2975" s="64"/>
      <c r="E2975" s="65"/>
      <c r="F2975" s="66"/>
      <c r="G2975" s="63"/>
      <c r="H2975" s="67"/>
      <c r="I2975" s="68"/>
      <c r="J2975" s="68"/>
      <c r="K2975" s="32"/>
      <c r="L2975" s="75">
        <v>2975</v>
      </c>
      <c r="M2975" s="75"/>
      <c r="N2975" s="70"/>
      <c r="O2975" s="77" t="s">
        <v>179</v>
      </c>
      <c r="P2975" s="79">
        <v>45036.56318287037</v>
      </c>
      <c r="Q2975" s="77" t="s">
        <v>3987</v>
      </c>
      <c r="R2975" s="77">
        <v>0</v>
      </c>
      <c r="S2975" s="77">
        <v>1</v>
      </c>
      <c r="T2975" s="77">
        <v>0</v>
      </c>
      <c r="U2975" s="77">
        <v>0</v>
      </c>
      <c r="V2975" s="77">
        <v>936</v>
      </c>
      <c r="W2975" s="82" t="s">
        <v>5873</v>
      </c>
      <c r="X2975" s="80" t="str">
        <f>HYPERLINK("https://www.moneytimes.com.br/imposto-de-renda-2023-receita-abre-consulta-ao-lote-residual-de-restituicao-de-abril-veja-quando-vai-cair/")</f>
        <v>https://www.moneytimes.com.br/imposto-de-renda-2023-receita-abre-consulta-ao-lote-residual-de-restituicao-de-abril-veja-quando-vai-cair/</v>
      </c>
      <c r="Y2975" s="77" t="s">
        <v>6002</v>
      </c>
      <c r="Z2975" s="77"/>
      <c r="AA2975" s="77"/>
      <c r="AB2975" s="77"/>
      <c r="AC2975" s="82" t="s">
        <v>7718</v>
      </c>
      <c r="AD2975" s="77" t="s">
        <v>7745</v>
      </c>
      <c r="AE2975" s="80" t="str">
        <f>HYPERLINK("https://twitter.com/leiamoneytimes/status/1649042983554039808")</f>
        <v>https://twitter.com/leiamoneytimes/status/1649042983554039808</v>
      </c>
      <c r="AF2975" s="79">
        <v>45036.56318287037</v>
      </c>
      <c r="AG2975" s="85">
        <v>45036</v>
      </c>
      <c r="AH2975" s="82" t="s">
        <v>10441</v>
      </c>
      <c r="AI2975" s="77" t="b">
        <v>0</v>
      </c>
      <c r="AJ2975" s="77"/>
      <c r="AK2975" s="77"/>
      <c r="AL2975" s="77"/>
      <c r="AM2975" s="77"/>
      <c r="AN2975" s="77"/>
      <c r="AO2975" s="77"/>
      <c r="AP2975" s="77"/>
      <c r="AQ2975" s="77"/>
      <c r="AR2975" s="77"/>
      <c r="AS2975" s="77"/>
      <c r="AT2975" s="77"/>
      <c r="AU2975" s="77"/>
      <c r="AV2975" s="80" t="str">
        <f>HYPERLINK("https://pbs.twimg.com/profile_images/1559883556846977024/bXHnQFY0_normal.jpg")</f>
        <v>https://pbs.twimg.com/profile_images/1559883556846977024/bXHnQFY0_normal.jpg</v>
      </c>
      <c r="AW2975" s="82" t="s">
        <v>15130</v>
      </c>
      <c r="AX2975" s="82" t="s">
        <v>15130</v>
      </c>
      <c r="AY2975" s="77"/>
      <c r="AZ2975" s="82" t="s">
        <v>15804</v>
      </c>
      <c r="BA2975" s="82" t="s">
        <v>15804</v>
      </c>
      <c r="BB2975" s="82" t="s">
        <v>15804</v>
      </c>
      <c r="BC2975" s="82" t="s">
        <v>15130</v>
      </c>
      <c r="BD2975" s="77">
        <v>51150679</v>
      </c>
      <c r="BE2975" s="77"/>
      <c r="BF2975" s="77"/>
      <c r="BG2975" s="77"/>
      <c r="BH2975" s="77"/>
      <c r="BI2975" s="77"/>
    </row>
    <row r="2976" spans="1:61" x14ac:dyDescent="0.25">
      <c r="A2976" s="62" t="s">
        <v>1027</v>
      </c>
      <c r="B2976" s="62" t="s">
        <v>1027</v>
      </c>
      <c r="C2976" s="63"/>
      <c r="D2976" s="64"/>
      <c r="E2976" s="65"/>
      <c r="F2976" s="66"/>
      <c r="G2976" s="63"/>
      <c r="H2976" s="67"/>
      <c r="I2976" s="68"/>
      <c r="J2976" s="68"/>
      <c r="K2976" s="32"/>
      <c r="L2976" s="75">
        <v>2976</v>
      </c>
      <c r="M2976" s="75"/>
      <c r="N2976" s="70"/>
      <c r="O2976" s="77" t="s">
        <v>179</v>
      </c>
      <c r="P2976" s="79">
        <v>45036.410868055558</v>
      </c>
      <c r="Q2976" s="77" t="s">
        <v>3988</v>
      </c>
      <c r="R2976" s="77">
        <v>0</v>
      </c>
      <c r="S2976" s="77">
        <v>1</v>
      </c>
      <c r="T2976" s="77">
        <v>0</v>
      </c>
      <c r="U2976" s="77">
        <v>0</v>
      </c>
      <c r="V2976" s="77">
        <v>1642</v>
      </c>
      <c r="W2976" s="82" t="s">
        <v>5935</v>
      </c>
      <c r="X2976" s="80" t="str">
        <f>HYPERLINK("https://www.moneytimes.com.br/imposto-de-renda-2023-entenda-o-que-sao-doacoes-incentivadas-e-como-obter-descontos-com-elas/")</f>
        <v>https://www.moneytimes.com.br/imposto-de-renda-2023-entenda-o-que-sao-doacoes-incentivadas-e-como-obter-descontos-com-elas/</v>
      </c>
      <c r="Y2976" s="77" t="s">
        <v>6002</v>
      </c>
      <c r="Z2976" s="77"/>
      <c r="AA2976" s="77"/>
      <c r="AB2976" s="77"/>
      <c r="AC2976" s="82" t="s">
        <v>7718</v>
      </c>
      <c r="AD2976" s="77" t="s">
        <v>7745</v>
      </c>
      <c r="AE2976" s="80" t="str">
        <f>HYPERLINK("https://twitter.com/leiamoneytimes/status/1648987786467328002")</f>
        <v>https://twitter.com/leiamoneytimes/status/1648987786467328002</v>
      </c>
      <c r="AF2976" s="79">
        <v>45036.410868055558</v>
      </c>
      <c r="AG2976" s="85">
        <v>45036</v>
      </c>
      <c r="AH2976" s="82" t="s">
        <v>10442</v>
      </c>
      <c r="AI2976" s="77" t="b">
        <v>0</v>
      </c>
      <c r="AJ2976" s="77"/>
      <c r="AK2976" s="77"/>
      <c r="AL2976" s="77"/>
      <c r="AM2976" s="77"/>
      <c r="AN2976" s="77"/>
      <c r="AO2976" s="77"/>
      <c r="AP2976" s="77"/>
      <c r="AQ2976" s="77"/>
      <c r="AR2976" s="77"/>
      <c r="AS2976" s="77"/>
      <c r="AT2976" s="77"/>
      <c r="AU2976" s="77"/>
      <c r="AV2976" s="80" t="str">
        <f>HYPERLINK("https://pbs.twimg.com/profile_images/1559883556846977024/bXHnQFY0_normal.jpg")</f>
        <v>https://pbs.twimg.com/profile_images/1559883556846977024/bXHnQFY0_normal.jpg</v>
      </c>
      <c r="AW2976" s="82" t="s">
        <v>15131</v>
      </c>
      <c r="AX2976" s="82" t="s">
        <v>15131</v>
      </c>
      <c r="AY2976" s="77"/>
      <c r="AZ2976" s="82" t="s">
        <v>15804</v>
      </c>
      <c r="BA2976" s="82" t="s">
        <v>15804</v>
      </c>
      <c r="BB2976" s="82" t="s">
        <v>15804</v>
      </c>
      <c r="BC2976" s="82" t="s">
        <v>15131</v>
      </c>
      <c r="BD2976" s="77">
        <v>51150679</v>
      </c>
      <c r="BE2976" s="77"/>
      <c r="BF2976" s="77"/>
      <c r="BG2976" s="77"/>
      <c r="BH2976" s="77"/>
      <c r="BI2976" s="77"/>
    </row>
    <row r="2977" spans="1:61" x14ac:dyDescent="0.25">
      <c r="A2977" s="62" t="s">
        <v>1027</v>
      </c>
      <c r="B2977" s="62" t="s">
        <v>1027</v>
      </c>
      <c r="C2977" s="63"/>
      <c r="D2977" s="64"/>
      <c r="E2977" s="65"/>
      <c r="F2977" s="66"/>
      <c r="G2977" s="63"/>
      <c r="H2977" s="67"/>
      <c r="I2977" s="68"/>
      <c r="J2977" s="68"/>
      <c r="K2977" s="32"/>
      <c r="L2977" s="75">
        <v>2977</v>
      </c>
      <c r="M2977" s="75"/>
      <c r="N2977" s="70"/>
      <c r="O2977" s="77" t="s">
        <v>179</v>
      </c>
      <c r="P2977" s="79">
        <v>45035.835034722222</v>
      </c>
      <c r="Q2977" s="77" t="s">
        <v>3989</v>
      </c>
      <c r="R2977" s="77">
        <v>0</v>
      </c>
      <c r="S2977" s="77">
        <v>3</v>
      </c>
      <c r="T2977" s="77">
        <v>0</v>
      </c>
      <c r="U2977" s="77">
        <v>0</v>
      </c>
      <c r="V2977" s="77">
        <v>1202</v>
      </c>
      <c r="W2977" s="82" t="s">
        <v>5858</v>
      </c>
      <c r="X2977" s="80" t="str">
        <f>HYPERLINK("https://www.moneytimes.com.br/imposto-de-renda-2023-quais-sao-os-gastos-dedutiveis-e-como-informar/")</f>
        <v>https://www.moneytimes.com.br/imposto-de-renda-2023-quais-sao-os-gastos-dedutiveis-e-como-informar/</v>
      </c>
      <c r="Y2977" s="77" t="s">
        <v>6002</v>
      </c>
      <c r="Z2977" s="77"/>
      <c r="AA2977" s="77"/>
      <c r="AB2977" s="77"/>
      <c r="AC2977" s="82" t="s">
        <v>7718</v>
      </c>
      <c r="AD2977" s="77" t="s">
        <v>7745</v>
      </c>
      <c r="AE2977" s="80" t="str">
        <f>HYPERLINK("https://twitter.com/leiamoneytimes/status/1648779111618289666")</f>
        <v>https://twitter.com/leiamoneytimes/status/1648779111618289666</v>
      </c>
      <c r="AF2977" s="79">
        <v>45035.835034722222</v>
      </c>
      <c r="AG2977" s="85">
        <v>45035</v>
      </c>
      <c r="AH2977" s="82" t="s">
        <v>10443</v>
      </c>
      <c r="AI2977" s="77" t="b">
        <v>0</v>
      </c>
      <c r="AJ2977" s="77"/>
      <c r="AK2977" s="77"/>
      <c r="AL2977" s="77"/>
      <c r="AM2977" s="77"/>
      <c r="AN2977" s="77"/>
      <c r="AO2977" s="77"/>
      <c r="AP2977" s="77"/>
      <c r="AQ2977" s="77"/>
      <c r="AR2977" s="77"/>
      <c r="AS2977" s="77"/>
      <c r="AT2977" s="77"/>
      <c r="AU2977" s="77"/>
      <c r="AV2977" s="80" t="str">
        <f>HYPERLINK("https://pbs.twimg.com/profile_images/1559883556846977024/bXHnQFY0_normal.jpg")</f>
        <v>https://pbs.twimg.com/profile_images/1559883556846977024/bXHnQFY0_normal.jpg</v>
      </c>
      <c r="AW2977" s="82" t="s">
        <v>15132</v>
      </c>
      <c r="AX2977" s="82" t="s">
        <v>15132</v>
      </c>
      <c r="AY2977" s="77"/>
      <c r="AZ2977" s="82" t="s">
        <v>15804</v>
      </c>
      <c r="BA2977" s="82" t="s">
        <v>15804</v>
      </c>
      <c r="BB2977" s="82" t="s">
        <v>15804</v>
      </c>
      <c r="BC2977" s="82" t="s">
        <v>15132</v>
      </c>
      <c r="BD2977" s="77">
        <v>51150679</v>
      </c>
      <c r="BE2977" s="77"/>
      <c r="BF2977" s="77"/>
      <c r="BG2977" s="77"/>
      <c r="BH2977" s="77"/>
      <c r="BI2977" s="77"/>
    </row>
    <row r="2978" spans="1:61" x14ac:dyDescent="0.25">
      <c r="A2978" s="62" t="s">
        <v>1027</v>
      </c>
      <c r="B2978" s="62" t="s">
        <v>1027</v>
      </c>
      <c r="C2978" s="63"/>
      <c r="D2978" s="64"/>
      <c r="E2978" s="65"/>
      <c r="F2978" s="66"/>
      <c r="G2978" s="63"/>
      <c r="H2978" s="67"/>
      <c r="I2978" s="68"/>
      <c r="J2978" s="68"/>
      <c r="K2978" s="32"/>
      <c r="L2978" s="75">
        <v>2978</v>
      </c>
      <c r="M2978" s="75"/>
      <c r="N2978" s="70"/>
      <c r="O2978" s="77" t="s">
        <v>179</v>
      </c>
      <c r="P2978" s="79">
        <v>45034.830821759257</v>
      </c>
      <c r="Q2978" s="77" t="s">
        <v>3990</v>
      </c>
      <c r="R2978" s="77">
        <v>1</v>
      </c>
      <c r="S2978" s="77">
        <v>1</v>
      </c>
      <c r="T2978" s="77">
        <v>0</v>
      </c>
      <c r="U2978" s="77">
        <v>0</v>
      </c>
      <c r="V2978" s="77">
        <v>1233</v>
      </c>
      <c r="W2978" s="82" t="s">
        <v>5870</v>
      </c>
      <c r="X2978" s="80" t="str">
        <f>HYPERLINK("https://www.moneytimes.com.br/restituicao-do-imposto-de-renda-2023-mei-e-empresarios-do-simples-nacional-podem-receber-via-pix/")</f>
        <v>https://www.moneytimes.com.br/restituicao-do-imposto-de-renda-2023-mei-e-empresarios-do-simples-nacional-podem-receber-via-pix/</v>
      </c>
      <c r="Y2978" s="77" t="s">
        <v>6002</v>
      </c>
      <c r="Z2978" s="77"/>
      <c r="AA2978" s="77"/>
      <c r="AB2978" s="77"/>
      <c r="AC2978" s="82" t="s">
        <v>7718</v>
      </c>
      <c r="AD2978" s="77" t="s">
        <v>7745</v>
      </c>
      <c r="AE2978" s="80" t="str">
        <f>HYPERLINK("https://twitter.com/leiamoneytimes/status/1648415195994398721")</f>
        <v>https://twitter.com/leiamoneytimes/status/1648415195994398721</v>
      </c>
      <c r="AF2978" s="79">
        <v>45034.830821759257</v>
      </c>
      <c r="AG2978" s="85">
        <v>45034</v>
      </c>
      <c r="AH2978" s="82" t="s">
        <v>10444</v>
      </c>
      <c r="AI2978" s="77" t="b">
        <v>0</v>
      </c>
      <c r="AJ2978" s="77"/>
      <c r="AK2978" s="77"/>
      <c r="AL2978" s="77"/>
      <c r="AM2978" s="77"/>
      <c r="AN2978" s="77"/>
      <c r="AO2978" s="77"/>
      <c r="AP2978" s="77"/>
      <c r="AQ2978" s="77"/>
      <c r="AR2978" s="77"/>
      <c r="AS2978" s="77"/>
      <c r="AT2978" s="77"/>
      <c r="AU2978" s="77"/>
      <c r="AV2978" s="80" t="str">
        <f>HYPERLINK("https://pbs.twimg.com/profile_images/1559883556846977024/bXHnQFY0_normal.jpg")</f>
        <v>https://pbs.twimg.com/profile_images/1559883556846977024/bXHnQFY0_normal.jpg</v>
      </c>
      <c r="AW2978" s="82" t="s">
        <v>15133</v>
      </c>
      <c r="AX2978" s="82" t="s">
        <v>15133</v>
      </c>
      <c r="AY2978" s="77"/>
      <c r="AZ2978" s="82" t="s">
        <v>15804</v>
      </c>
      <c r="BA2978" s="82" t="s">
        <v>15804</v>
      </c>
      <c r="BB2978" s="82" t="s">
        <v>15804</v>
      </c>
      <c r="BC2978" s="82" t="s">
        <v>15133</v>
      </c>
      <c r="BD2978" s="77">
        <v>51150679</v>
      </c>
      <c r="BE2978" s="77"/>
      <c r="BF2978" s="77"/>
      <c r="BG2978" s="77"/>
      <c r="BH2978" s="77"/>
      <c r="BI2978" s="77"/>
    </row>
    <row r="2979" spans="1:61" x14ac:dyDescent="0.25">
      <c r="A2979" s="62" t="s">
        <v>1027</v>
      </c>
      <c r="B2979" s="62" t="s">
        <v>1027</v>
      </c>
      <c r="C2979" s="63"/>
      <c r="D2979" s="64"/>
      <c r="E2979" s="65"/>
      <c r="F2979" s="66"/>
      <c r="G2979" s="63"/>
      <c r="H2979" s="67"/>
      <c r="I2979" s="68"/>
      <c r="J2979" s="68"/>
      <c r="K2979" s="32"/>
      <c r="L2979" s="75">
        <v>2979</v>
      </c>
      <c r="M2979" s="75"/>
      <c r="N2979" s="70"/>
      <c r="O2979" s="77" t="s">
        <v>179</v>
      </c>
      <c r="P2979" s="79">
        <v>45034.77820601852</v>
      </c>
      <c r="Q2979" s="77" t="s">
        <v>3991</v>
      </c>
      <c r="R2979" s="77">
        <v>0</v>
      </c>
      <c r="S2979" s="77">
        <v>1</v>
      </c>
      <c r="T2979" s="77">
        <v>0</v>
      </c>
      <c r="U2979" s="77">
        <v>0</v>
      </c>
      <c r="V2979" s="77">
        <v>1102</v>
      </c>
      <c r="W2979" s="82" t="s">
        <v>5867</v>
      </c>
      <c r="X2979" s="80" t="str">
        <f>HYPERLINK("https://www.moneytimes.com.br/imposto-de-renda-2023-saiba-como-declarar-acoes-e-outros-investimentos/")</f>
        <v>https://www.moneytimes.com.br/imposto-de-renda-2023-saiba-como-declarar-acoes-e-outros-investimentos/</v>
      </c>
      <c r="Y2979" s="77" t="s">
        <v>6002</v>
      </c>
      <c r="Z2979" s="77"/>
      <c r="AA2979" s="77"/>
      <c r="AB2979" s="77"/>
      <c r="AC2979" s="82" t="s">
        <v>7718</v>
      </c>
      <c r="AD2979" s="77" t="s">
        <v>7745</v>
      </c>
      <c r="AE2979" s="80" t="str">
        <f>HYPERLINK("https://twitter.com/leiamoneytimes/status/1648396129367629834")</f>
        <v>https://twitter.com/leiamoneytimes/status/1648396129367629834</v>
      </c>
      <c r="AF2979" s="79">
        <v>45034.77820601852</v>
      </c>
      <c r="AG2979" s="85">
        <v>45034</v>
      </c>
      <c r="AH2979" s="82" t="s">
        <v>10445</v>
      </c>
      <c r="AI2979" s="77" t="b">
        <v>0</v>
      </c>
      <c r="AJ2979" s="77"/>
      <c r="AK2979" s="77"/>
      <c r="AL2979" s="77"/>
      <c r="AM2979" s="77"/>
      <c r="AN2979" s="77"/>
      <c r="AO2979" s="77"/>
      <c r="AP2979" s="77"/>
      <c r="AQ2979" s="77"/>
      <c r="AR2979" s="77"/>
      <c r="AS2979" s="77"/>
      <c r="AT2979" s="77"/>
      <c r="AU2979" s="77"/>
      <c r="AV2979" s="80" t="str">
        <f>HYPERLINK("https://pbs.twimg.com/profile_images/1559883556846977024/bXHnQFY0_normal.jpg")</f>
        <v>https://pbs.twimg.com/profile_images/1559883556846977024/bXHnQFY0_normal.jpg</v>
      </c>
      <c r="AW2979" s="82" t="s">
        <v>15134</v>
      </c>
      <c r="AX2979" s="82" t="s">
        <v>15134</v>
      </c>
      <c r="AY2979" s="77"/>
      <c r="AZ2979" s="82" t="s">
        <v>15804</v>
      </c>
      <c r="BA2979" s="82" t="s">
        <v>15804</v>
      </c>
      <c r="BB2979" s="82" t="s">
        <v>15804</v>
      </c>
      <c r="BC2979" s="82" t="s">
        <v>15134</v>
      </c>
      <c r="BD2979" s="77">
        <v>51150679</v>
      </c>
      <c r="BE2979" s="77"/>
      <c r="BF2979" s="77"/>
      <c r="BG2979" s="77"/>
      <c r="BH2979" s="77"/>
      <c r="BI2979" s="77"/>
    </row>
    <row r="2980" spans="1:61" x14ac:dyDescent="0.25">
      <c r="A2980" s="62" t="s">
        <v>1027</v>
      </c>
      <c r="B2980" s="62" t="s">
        <v>1027</v>
      </c>
      <c r="C2980" s="63"/>
      <c r="D2980" s="64"/>
      <c r="E2980" s="65"/>
      <c r="F2980" s="66"/>
      <c r="G2980" s="63"/>
      <c r="H2980" s="67"/>
      <c r="I2980" s="68"/>
      <c r="J2980" s="68"/>
      <c r="K2980" s="32"/>
      <c r="L2980" s="75">
        <v>2980</v>
      </c>
      <c r="M2980" s="75"/>
      <c r="N2980" s="70"/>
      <c r="O2980" s="77" t="s">
        <v>179</v>
      </c>
      <c r="P2980" s="79">
        <v>45034.54351851852</v>
      </c>
      <c r="Q2980" s="77" t="s">
        <v>3992</v>
      </c>
      <c r="R2980" s="77">
        <v>0</v>
      </c>
      <c r="S2980" s="77">
        <v>0</v>
      </c>
      <c r="T2980" s="77">
        <v>0</v>
      </c>
      <c r="U2980" s="77">
        <v>0</v>
      </c>
      <c r="V2980" s="77">
        <v>1048</v>
      </c>
      <c r="W2980" s="82" t="s">
        <v>5870</v>
      </c>
      <c r="X2980" s="80" t="str">
        <f>HYPERLINK("https://www.moneytimes.com.br/imposto-de-renda-2023-como-declarar-dependentes/")</f>
        <v>https://www.moneytimes.com.br/imposto-de-renda-2023-como-declarar-dependentes/</v>
      </c>
      <c r="Y2980" s="77" t="s">
        <v>6002</v>
      </c>
      <c r="Z2980" s="77"/>
      <c r="AA2980" s="77"/>
      <c r="AB2980" s="77"/>
      <c r="AC2980" s="82" t="s">
        <v>7718</v>
      </c>
      <c r="AD2980" s="77" t="s">
        <v>7745</v>
      </c>
      <c r="AE2980" s="80" t="str">
        <f>HYPERLINK("https://twitter.com/leiamoneytimes/status/1648311081876574213")</f>
        <v>https://twitter.com/leiamoneytimes/status/1648311081876574213</v>
      </c>
      <c r="AF2980" s="79">
        <v>45034.54351851852</v>
      </c>
      <c r="AG2980" s="85">
        <v>45034</v>
      </c>
      <c r="AH2980" s="82" t="s">
        <v>10446</v>
      </c>
      <c r="AI2980" s="77" t="b">
        <v>0</v>
      </c>
      <c r="AJ2980" s="77"/>
      <c r="AK2980" s="77"/>
      <c r="AL2980" s="77"/>
      <c r="AM2980" s="77"/>
      <c r="AN2980" s="77"/>
      <c r="AO2980" s="77"/>
      <c r="AP2980" s="77"/>
      <c r="AQ2980" s="77"/>
      <c r="AR2980" s="77"/>
      <c r="AS2980" s="77"/>
      <c r="AT2980" s="77"/>
      <c r="AU2980" s="77"/>
      <c r="AV2980" s="80" t="str">
        <f>HYPERLINK("https://pbs.twimg.com/profile_images/1559883556846977024/bXHnQFY0_normal.jpg")</f>
        <v>https://pbs.twimg.com/profile_images/1559883556846977024/bXHnQFY0_normal.jpg</v>
      </c>
      <c r="AW2980" s="82" t="s">
        <v>15135</v>
      </c>
      <c r="AX2980" s="82" t="s">
        <v>15135</v>
      </c>
      <c r="AY2980" s="77"/>
      <c r="AZ2980" s="82" t="s">
        <v>15804</v>
      </c>
      <c r="BA2980" s="82" t="s">
        <v>15804</v>
      </c>
      <c r="BB2980" s="82" t="s">
        <v>15804</v>
      </c>
      <c r="BC2980" s="82" t="s">
        <v>15135</v>
      </c>
      <c r="BD2980" s="77">
        <v>51150679</v>
      </c>
      <c r="BE2980" s="77"/>
      <c r="BF2980" s="77"/>
      <c r="BG2980" s="77"/>
      <c r="BH2980" s="77"/>
      <c r="BI2980" s="77"/>
    </row>
    <row r="2981" spans="1:61" x14ac:dyDescent="0.25">
      <c r="A2981" s="62" t="s">
        <v>1027</v>
      </c>
      <c r="B2981" s="62" t="s">
        <v>1027</v>
      </c>
      <c r="C2981" s="63"/>
      <c r="D2981" s="64"/>
      <c r="E2981" s="65"/>
      <c r="F2981" s="66"/>
      <c r="G2981" s="63"/>
      <c r="H2981" s="67"/>
      <c r="I2981" s="68"/>
      <c r="J2981" s="68"/>
      <c r="K2981" s="32"/>
      <c r="L2981" s="75">
        <v>2981</v>
      </c>
      <c r="M2981" s="75"/>
      <c r="N2981" s="70"/>
      <c r="O2981" s="77" t="s">
        <v>179</v>
      </c>
      <c r="P2981" s="79">
        <v>44993.500775462962</v>
      </c>
      <c r="Q2981" s="77" t="s">
        <v>3993</v>
      </c>
      <c r="R2981" s="77">
        <v>0</v>
      </c>
      <c r="S2981" s="77">
        <v>5</v>
      </c>
      <c r="T2981" s="77">
        <v>0</v>
      </c>
      <c r="U2981" s="77">
        <v>0</v>
      </c>
      <c r="V2981" s="77">
        <v>834</v>
      </c>
      <c r="W2981" s="82" t="s">
        <v>5936</v>
      </c>
      <c r="X2981" s="80" t="str">
        <f>HYPERLINK("https://www.moneytimes.com.br/mulheres-ainda-investem-menos-do-que-os-homens-mas-aportes-sao-maiores-entenda/")</f>
        <v>https://www.moneytimes.com.br/mulheres-ainda-investem-menos-do-que-os-homens-mas-aportes-sao-maiores-entenda/</v>
      </c>
      <c r="Y2981" s="77" t="s">
        <v>6002</v>
      </c>
      <c r="Z2981" s="77"/>
      <c r="AA2981" s="77"/>
      <c r="AB2981" s="77"/>
      <c r="AC2981" s="82" t="s">
        <v>7718</v>
      </c>
      <c r="AD2981" s="77" t="s">
        <v>7745</v>
      </c>
      <c r="AE2981" s="80" t="str">
        <f>HYPERLINK("https://twitter.com/leiamoneytimes/status/1633437688261926914")</f>
        <v>https://twitter.com/leiamoneytimes/status/1633437688261926914</v>
      </c>
      <c r="AF2981" s="79">
        <v>44993.500775462962</v>
      </c>
      <c r="AG2981" s="85">
        <v>44993</v>
      </c>
      <c r="AH2981" s="82" t="s">
        <v>9671</v>
      </c>
      <c r="AI2981" s="77" t="b">
        <v>0</v>
      </c>
      <c r="AJ2981" s="77"/>
      <c r="AK2981" s="77"/>
      <c r="AL2981" s="77"/>
      <c r="AM2981" s="77"/>
      <c r="AN2981" s="77"/>
      <c r="AO2981" s="77"/>
      <c r="AP2981" s="77"/>
      <c r="AQ2981" s="77"/>
      <c r="AR2981" s="77"/>
      <c r="AS2981" s="77"/>
      <c r="AT2981" s="77"/>
      <c r="AU2981" s="77"/>
      <c r="AV2981" s="80" t="str">
        <f>HYPERLINK("https://pbs.twimg.com/profile_images/1559883556846977024/bXHnQFY0_normal.jpg")</f>
        <v>https://pbs.twimg.com/profile_images/1559883556846977024/bXHnQFY0_normal.jpg</v>
      </c>
      <c r="AW2981" s="82" t="s">
        <v>15136</v>
      </c>
      <c r="AX2981" s="82" t="s">
        <v>15136</v>
      </c>
      <c r="AY2981" s="77"/>
      <c r="AZ2981" s="82" t="s">
        <v>15804</v>
      </c>
      <c r="BA2981" s="82" t="s">
        <v>15804</v>
      </c>
      <c r="BB2981" s="82" t="s">
        <v>15804</v>
      </c>
      <c r="BC2981" s="82" t="s">
        <v>15136</v>
      </c>
      <c r="BD2981" s="77">
        <v>51150679</v>
      </c>
      <c r="BE2981" s="77"/>
      <c r="BF2981" s="77"/>
      <c r="BG2981" s="77"/>
      <c r="BH2981" s="77"/>
      <c r="BI2981" s="77"/>
    </row>
    <row r="2982" spans="1:61" x14ac:dyDescent="0.25">
      <c r="A2982" s="62" t="s">
        <v>1027</v>
      </c>
      <c r="B2982" s="62" t="s">
        <v>1027</v>
      </c>
      <c r="C2982" s="63"/>
      <c r="D2982" s="64"/>
      <c r="E2982" s="65"/>
      <c r="F2982" s="66"/>
      <c r="G2982" s="63"/>
      <c r="H2982" s="67"/>
      <c r="I2982" s="68"/>
      <c r="J2982" s="68"/>
      <c r="K2982" s="32"/>
      <c r="L2982" s="75">
        <v>2982</v>
      </c>
      <c r="M2982" s="75"/>
      <c r="N2982" s="70"/>
      <c r="O2982" s="77" t="s">
        <v>179</v>
      </c>
      <c r="P2982" s="79">
        <v>44993.500173611108</v>
      </c>
      <c r="Q2982" s="77" t="s">
        <v>3994</v>
      </c>
      <c r="R2982" s="77">
        <v>0</v>
      </c>
      <c r="S2982" s="77">
        <v>2</v>
      </c>
      <c r="T2982" s="77">
        <v>0</v>
      </c>
      <c r="U2982" s="77">
        <v>0</v>
      </c>
      <c r="V2982" s="77">
        <v>741</v>
      </c>
      <c r="W2982" s="82" t="s">
        <v>5912</v>
      </c>
      <c r="X2982" s="80" t="str">
        <f>HYPERLINK("https://www.moneytimes.com.br/a-mulher-e-o-dinheiro-uma-relacao-para-a-liberdade/")</f>
        <v>https://www.moneytimes.com.br/a-mulher-e-o-dinheiro-uma-relacao-para-a-liberdade/</v>
      </c>
      <c r="Y2982" s="77" t="s">
        <v>6002</v>
      </c>
      <c r="Z2982" s="77"/>
      <c r="AA2982" s="77"/>
      <c r="AB2982" s="77"/>
      <c r="AC2982" s="82" t="s">
        <v>7718</v>
      </c>
      <c r="AD2982" s="77" t="s">
        <v>7745</v>
      </c>
      <c r="AE2982" s="80" t="str">
        <f>HYPERLINK("https://twitter.com/leiamoneytimes/status/1633437471563210758")</f>
        <v>https://twitter.com/leiamoneytimes/status/1633437471563210758</v>
      </c>
      <c r="AF2982" s="79">
        <v>44993.500173611108</v>
      </c>
      <c r="AG2982" s="85">
        <v>44993</v>
      </c>
      <c r="AH2982" s="82" t="s">
        <v>10447</v>
      </c>
      <c r="AI2982" s="77" t="b">
        <v>0</v>
      </c>
      <c r="AJ2982" s="77"/>
      <c r="AK2982" s="77"/>
      <c r="AL2982" s="77"/>
      <c r="AM2982" s="77"/>
      <c r="AN2982" s="77"/>
      <c r="AO2982" s="77"/>
      <c r="AP2982" s="77"/>
      <c r="AQ2982" s="77"/>
      <c r="AR2982" s="77"/>
      <c r="AS2982" s="77"/>
      <c r="AT2982" s="77"/>
      <c r="AU2982" s="77"/>
      <c r="AV2982" s="80" t="str">
        <f>HYPERLINK("https://pbs.twimg.com/profile_images/1559883556846977024/bXHnQFY0_normal.jpg")</f>
        <v>https://pbs.twimg.com/profile_images/1559883556846977024/bXHnQFY0_normal.jpg</v>
      </c>
      <c r="AW2982" s="82" t="s">
        <v>15137</v>
      </c>
      <c r="AX2982" s="82" t="s">
        <v>15137</v>
      </c>
      <c r="AY2982" s="77"/>
      <c r="AZ2982" s="82" t="s">
        <v>15804</v>
      </c>
      <c r="BA2982" s="82" t="s">
        <v>15804</v>
      </c>
      <c r="BB2982" s="82" t="s">
        <v>15804</v>
      </c>
      <c r="BC2982" s="82" t="s">
        <v>15137</v>
      </c>
      <c r="BD2982" s="77">
        <v>51150679</v>
      </c>
      <c r="BE2982" s="77"/>
      <c r="BF2982" s="77"/>
      <c r="BG2982" s="77"/>
      <c r="BH2982" s="77"/>
      <c r="BI2982" s="77"/>
    </row>
    <row r="2983" spans="1:61" x14ac:dyDescent="0.25">
      <c r="A2983" s="62" t="s">
        <v>1027</v>
      </c>
      <c r="B2983" s="62" t="s">
        <v>1027</v>
      </c>
      <c r="C2983" s="63"/>
      <c r="D2983" s="64"/>
      <c r="E2983" s="65"/>
      <c r="F2983" s="66"/>
      <c r="G2983" s="63"/>
      <c r="H2983" s="67"/>
      <c r="I2983" s="68"/>
      <c r="J2983" s="68"/>
      <c r="K2983" s="32"/>
      <c r="L2983" s="75">
        <v>2983</v>
      </c>
      <c r="M2983" s="75"/>
      <c r="N2983" s="70"/>
      <c r="O2983" s="77" t="s">
        <v>179</v>
      </c>
      <c r="P2983" s="79">
        <v>44993.382696759261</v>
      </c>
      <c r="Q2983" s="77" t="s">
        <v>3995</v>
      </c>
      <c r="R2983" s="77">
        <v>0</v>
      </c>
      <c r="S2983" s="77">
        <v>7</v>
      </c>
      <c r="T2983" s="77">
        <v>0</v>
      </c>
      <c r="U2983" s="77">
        <v>0</v>
      </c>
      <c r="V2983" s="77">
        <v>1317</v>
      </c>
      <c r="W2983" s="82" t="s">
        <v>5922</v>
      </c>
      <c r="X2983" s="80" t="str">
        <f>HYPERLINK("https://www.moneytimes.com.br/liberdade-financeira-guia-para-investidores-conquistarem-segundo-rodrigo-cohen/")</f>
        <v>https://www.moneytimes.com.br/liberdade-financeira-guia-para-investidores-conquistarem-segundo-rodrigo-cohen/</v>
      </c>
      <c r="Y2983" s="77" t="s">
        <v>6002</v>
      </c>
      <c r="Z2983" s="77"/>
      <c r="AA2983" s="77"/>
      <c r="AB2983" s="77"/>
      <c r="AC2983" s="82" t="s">
        <v>7718</v>
      </c>
      <c r="AD2983" s="77" t="s">
        <v>7745</v>
      </c>
      <c r="AE2983" s="80" t="str">
        <f>HYPERLINK("https://twitter.com/leiamoneytimes/status/1633394899629273092")</f>
        <v>https://twitter.com/leiamoneytimes/status/1633394899629273092</v>
      </c>
      <c r="AF2983" s="79">
        <v>44993.382696759261</v>
      </c>
      <c r="AG2983" s="85">
        <v>44993</v>
      </c>
      <c r="AH2983" s="82" t="s">
        <v>10448</v>
      </c>
      <c r="AI2983" s="77" t="b">
        <v>0</v>
      </c>
      <c r="AJ2983" s="77"/>
      <c r="AK2983" s="77"/>
      <c r="AL2983" s="77"/>
      <c r="AM2983" s="77"/>
      <c r="AN2983" s="77"/>
      <c r="AO2983" s="77"/>
      <c r="AP2983" s="77"/>
      <c r="AQ2983" s="77"/>
      <c r="AR2983" s="77"/>
      <c r="AS2983" s="77"/>
      <c r="AT2983" s="77"/>
      <c r="AU2983" s="77"/>
      <c r="AV2983" s="80" t="str">
        <f>HYPERLINK("https://pbs.twimg.com/profile_images/1559883556846977024/bXHnQFY0_normal.jpg")</f>
        <v>https://pbs.twimg.com/profile_images/1559883556846977024/bXHnQFY0_normal.jpg</v>
      </c>
      <c r="AW2983" s="82" t="s">
        <v>15138</v>
      </c>
      <c r="AX2983" s="82" t="s">
        <v>15138</v>
      </c>
      <c r="AY2983" s="77"/>
      <c r="AZ2983" s="82" t="s">
        <v>15804</v>
      </c>
      <c r="BA2983" s="82" t="s">
        <v>15804</v>
      </c>
      <c r="BB2983" s="82" t="s">
        <v>15804</v>
      </c>
      <c r="BC2983" s="82" t="s">
        <v>15138</v>
      </c>
      <c r="BD2983" s="77">
        <v>51150679</v>
      </c>
      <c r="BE2983" s="77"/>
      <c r="BF2983" s="77"/>
      <c r="BG2983" s="77"/>
      <c r="BH2983" s="77"/>
      <c r="BI2983" s="77"/>
    </row>
    <row r="2984" spans="1:61" x14ac:dyDescent="0.25">
      <c r="A2984" s="62" t="s">
        <v>1027</v>
      </c>
      <c r="B2984" s="62" t="s">
        <v>1027</v>
      </c>
      <c r="C2984" s="63"/>
      <c r="D2984" s="64"/>
      <c r="E2984" s="65"/>
      <c r="F2984" s="66"/>
      <c r="G2984" s="63"/>
      <c r="H2984" s="67"/>
      <c r="I2984" s="68"/>
      <c r="J2984" s="68"/>
      <c r="K2984" s="32"/>
      <c r="L2984" s="75">
        <v>2984</v>
      </c>
      <c r="M2984" s="75"/>
      <c r="N2984" s="70"/>
      <c r="O2984" s="77" t="s">
        <v>179</v>
      </c>
      <c r="P2984" s="79">
        <v>44992.500428240739</v>
      </c>
      <c r="Q2984" s="77" t="s">
        <v>3996</v>
      </c>
      <c r="R2984" s="77">
        <v>1</v>
      </c>
      <c r="S2984" s="77">
        <v>2</v>
      </c>
      <c r="T2984" s="77">
        <v>0</v>
      </c>
      <c r="U2984" s="77">
        <v>0</v>
      </c>
      <c r="V2984" s="77">
        <v>860</v>
      </c>
      <c r="W2984" s="82" t="s">
        <v>5871</v>
      </c>
      <c r="X2984" s="80" t="str">
        <f>HYPERLINK("https://www.moneytimes.com.br/imposto-de-renda-2023-saiba-como-gerar-e-pagar-o-darf/")</f>
        <v>https://www.moneytimes.com.br/imposto-de-renda-2023-saiba-como-gerar-e-pagar-o-darf/</v>
      </c>
      <c r="Y2984" s="77" t="s">
        <v>6002</v>
      </c>
      <c r="Z2984" s="77"/>
      <c r="AA2984" s="77"/>
      <c r="AB2984" s="77"/>
      <c r="AC2984" s="82" t="s">
        <v>7718</v>
      </c>
      <c r="AD2984" s="77" t="s">
        <v>7745</v>
      </c>
      <c r="AE2984" s="80" t="str">
        <f>HYPERLINK("https://twitter.com/leiamoneytimes/status/1633075177092251651")</f>
        <v>https://twitter.com/leiamoneytimes/status/1633075177092251651</v>
      </c>
      <c r="AF2984" s="79">
        <v>44992.500428240739</v>
      </c>
      <c r="AG2984" s="85">
        <v>44992</v>
      </c>
      <c r="AH2984" s="82" t="s">
        <v>10449</v>
      </c>
      <c r="AI2984" s="77" t="b">
        <v>0</v>
      </c>
      <c r="AJ2984" s="77"/>
      <c r="AK2984" s="77"/>
      <c r="AL2984" s="77"/>
      <c r="AM2984" s="77"/>
      <c r="AN2984" s="77"/>
      <c r="AO2984" s="77"/>
      <c r="AP2984" s="77"/>
      <c r="AQ2984" s="77"/>
      <c r="AR2984" s="77"/>
      <c r="AS2984" s="77"/>
      <c r="AT2984" s="77"/>
      <c r="AU2984" s="77"/>
      <c r="AV2984" s="80" t="str">
        <f>HYPERLINK("https://pbs.twimg.com/profile_images/1559883556846977024/bXHnQFY0_normal.jpg")</f>
        <v>https://pbs.twimg.com/profile_images/1559883556846977024/bXHnQFY0_normal.jpg</v>
      </c>
      <c r="AW2984" s="82" t="s">
        <v>15139</v>
      </c>
      <c r="AX2984" s="82" t="s">
        <v>15139</v>
      </c>
      <c r="AY2984" s="77"/>
      <c r="AZ2984" s="82" t="s">
        <v>15804</v>
      </c>
      <c r="BA2984" s="82" t="s">
        <v>15804</v>
      </c>
      <c r="BB2984" s="82" t="s">
        <v>15804</v>
      </c>
      <c r="BC2984" s="82" t="s">
        <v>15139</v>
      </c>
      <c r="BD2984" s="77">
        <v>51150679</v>
      </c>
      <c r="BE2984" s="77"/>
      <c r="BF2984" s="77"/>
      <c r="BG2984" s="77"/>
      <c r="BH2984" s="77"/>
      <c r="BI2984" s="77"/>
    </row>
    <row r="2985" spans="1:61" x14ac:dyDescent="0.25">
      <c r="A2985" s="62" t="s">
        <v>1027</v>
      </c>
      <c r="B2985" s="62" t="s">
        <v>1027</v>
      </c>
      <c r="C2985" s="63"/>
      <c r="D2985" s="64"/>
      <c r="E2985" s="65"/>
      <c r="F2985" s="66"/>
      <c r="G2985" s="63"/>
      <c r="H2985" s="67"/>
      <c r="I2985" s="68"/>
      <c r="J2985" s="68"/>
      <c r="K2985" s="32"/>
      <c r="L2985" s="75">
        <v>2985</v>
      </c>
      <c r="M2985" s="75"/>
      <c r="N2985" s="70"/>
      <c r="O2985" s="77" t="s">
        <v>179</v>
      </c>
      <c r="P2985" s="79">
        <v>44991.875335648147</v>
      </c>
      <c r="Q2985" s="77" t="s">
        <v>3997</v>
      </c>
      <c r="R2985" s="77">
        <v>0</v>
      </c>
      <c r="S2985" s="77">
        <v>1</v>
      </c>
      <c r="T2985" s="77">
        <v>0</v>
      </c>
      <c r="U2985" s="77">
        <v>0</v>
      </c>
      <c r="V2985" s="77">
        <v>1070</v>
      </c>
      <c r="W2985" s="82" t="s">
        <v>5937</v>
      </c>
      <c r="X2985" s="80" t="str">
        <f>HYPERLINK("https://www.moneytimes.com.br/imposto-de-renda-2023-beneficiarios-do-auxilio-emergencial-devem-declarar-ir-veja-como/")</f>
        <v>https://www.moneytimes.com.br/imposto-de-renda-2023-beneficiarios-do-auxilio-emergencial-devem-declarar-ir-veja-como/</v>
      </c>
      <c r="Y2985" s="77" t="s">
        <v>6002</v>
      </c>
      <c r="Z2985" s="77"/>
      <c r="AA2985" s="77"/>
      <c r="AB2985" s="77"/>
      <c r="AC2985" s="82" t="s">
        <v>7718</v>
      </c>
      <c r="AD2985" s="77" t="s">
        <v>7745</v>
      </c>
      <c r="AE2985" s="80" t="str">
        <f>HYPERLINK("https://twitter.com/leiamoneytimes/status/1632848647388901376")</f>
        <v>https://twitter.com/leiamoneytimes/status/1632848647388901376</v>
      </c>
      <c r="AF2985" s="79">
        <v>44991.875335648147</v>
      </c>
      <c r="AG2985" s="85">
        <v>44991</v>
      </c>
      <c r="AH2985" s="82" t="s">
        <v>10450</v>
      </c>
      <c r="AI2985" s="77" t="b">
        <v>0</v>
      </c>
      <c r="AJ2985" s="77"/>
      <c r="AK2985" s="77"/>
      <c r="AL2985" s="77"/>
      <c r="AM2985" s="77"/>
      <c r="AN2985" s="77"/>
      <c r="AO2985" s="77"/>
      <c r="AP2985" s="77"/>
      <c r="AQ2985" s="77"/>
      <c r="AR2985" s="77"/>
      <c r="AS2985" s="77"/>
      <c r="AT2985" s="77"/>
      <c r="AU2985" s="77"/>
      <c r="AV2985" s="80" t="str">
        <f>HYPERLINK("https://pbs.twimg.com/profile_images/1559883556846977024/bXHnQFY0_normal.jpg")</f>
        <v>https://pbs.twimg.com/profile_images/1559883556846977024/bXHnQFY0_normal.jpg</v>
      </c>
      <c r="AW2985" s="82" t="s">
        <v>15140</v>
      </c>
      <c r="AX2985" s="82" t="s">
        <v>15140</v>
      </c>
      <c r="AY2985" s="77"/>
      <c r="AZ2985" s="82" t="s">
        <v>15804</v>
      </c>
      <c r="BA2985" s="82" t="s">
        <v>15804</v>
      </c>
      <c r="BB2985" s="82" t="s">
        <v>15804</v>
      </c>
      <c r="BC2985" s="82" t="s">
        <v>15140</v>
      </c>
      <c r="BD2985" s="77">
        <v>51150679</v>
      </c>
      <c r="BE2985" s="77"/>
      <c r="BF2985" s="77"/>
      <c r="BG2985" s="77"/>
      <c r="BH2985" s="77"/>
      <c r="BI2985" s="77"/>
    </row>
    <row r="2986" spans="1:61" x14ac:dyDescent="0.25">
      <c r="A2986" s="62" t="s">
        <v>1027</v>
      </c>
      <c r="B2986" s="62" t="s">
        <v>1027</v>
      </c>
      <c r="C2986" s="63"/>
      <c r="D2986" s="64"/>
      <c r="E2986" s="65"/>
      <c r="F2986" s="66"/>
      <c r="G2986" s="63"/>
      <c r="H2986" s="67"/>
      <c r="I2986" s="68"/>
      <c r="J2986" s="68"/>
      <c r="K2986" s="32"/>
      <c r="L2986" s="75">
        <v>2986</v>
      </c>
      <c r="M2986" s="75"/>
      <c r="N2986" s="70"/>
      <c r="O2986" s="77" t="s">
        <v>179</v>
      </c>
      <c r="P2986" s="79">
        <v>44991.793356481481</v>
      </c>
      <c r="Q2986" s="77" t="s">
        <v>3998</v>
      </c>
      <c r="R2986" s="77">
        <v>0</v>
      </c>
      <c r="S2986" s="77">
        <v>0</v>
      </c>
      <c r="T2986" s="77">
        <v>0</v>
      </c>
      <c r="U2986" s="77">
        <v>0</v>
      </c>
      <c r="V2986" s="77">
        <v>1014</v>
      </c>
      <c r="W2986" s="82" t="s">
        <v>5871</v>
      </c>
      <c r="X2986" s="80" t="str">
        <f>HYPERLINK("https://www.moneytimes.com.br/imposto-de-renda-2023-veja-quem-pode-ser-declarado-como-dependente/")</f>
        <v>https://www.moneytimes.com.br/imposto-de-renda-2023-veja-quem-pode-ser-declarado-como-dependente/</v>
      </c>
      <c r="Y2986" s="77" t="s">
        <v>6002</v>
      </c>
      <c r="Z2986" s="77"/>
      <c r="AA2986" s="77"/>
      <c r="AB2986" s="77"/>
      <c r="AC2986" s="82" t="s">
        <v>7718</v>
      </c>
      <c r="AD2986" s="77" t="s">
        <v>7745</v>
      </c>
      <c r="AE2986" s="80" t="str">
        <f>HYPERLINK("https://twitter.com/leiamoneytimes/status/1632818939699896320")</f>
        <v>https://twitter.com/leiamoneytimes/status/1632818939699896320</v>
      </c>
      <c r="AF2986" s="79">
        <v>44991.793356481481</v>
      </c>
      <c r="AG2986" s="85">
        <v>44991</v>
      </c>
      <c r="AH2986" s="82" t="s">
        <v>10451</v>
      </c>
      <c r="AI2986" s="77" t="b">
        <v>0</v>
      </c>
      <c r="AJ2986" s="77"/>
      <c r="AK2986" s="77"/>
      <c r="AL2986" s="77"/>
      <c r="AM2986" s="77"/>
      <c r="AN2986" s="77"/>
      <c r="AO2986" s="77"/>
      <c r="AP2986" s="77"/>
      <c r="AQ2986" s="77"/>
      <c r="AR2986" s="77"/>
      <c r="AS2986" s="77"/>
      <c r="AT2986" s="77"/>
      <c r="AU2986" s="77"/>
      <c r="AV2986" s="80" t="str">
        <f>HYPERLINK("https://pbs.twimg.com/profile_images/1559883556846977024/bXHnQFY0_normal.jpg")</f>
        <v>https://pbs.twimg.com/profile_images/1559883556846977024/bXHnQFY0_normal.jpg</v>
      </c>
      <c r="AW2986" s="82" t="s">
        <v>15141</v>
      </c>
      <c r="AX2986" s="82" t="s">
        <v>15141</v>
      </c>
      <c r="AY2986" s="77"/>
      <c r="AZ2986" s="82" t="s">
        <v>15804</v>
      </c>
      <c r="BA2986" s="82" t="s">
        <v>15804</v>
      </c>
      <c r="BB2986" s="82" t="s">
        <v>15804</v>
      </c>
      <c r="BC2986" s="82" t="s">
        <v>15141</v>
      </c>
      <c r="BD2986" s="77">
        <v>51150679</v>
      </c>
      <c r="BE2986" s="77"/>
      <c r="BF2986" s="77"/>
      <c r="BG2986" s="77"/>
      <c r="BH2986" s="77"/>
      <c r="BI2986" s="77"/>
    </row>
    <row r="2987" spans="1:61" x14ac:dyDescent="0.25">
      <c r="A2987" s="62" t="s">
        <v>1027</v>
      </c>
      <c r="B2987" s="62" t="s">
        <v>1027</v>
      </c>
      <c r="C2987" s="63"/>
      <c r="D2987" s="64"/>
      <c r="E2987" s="65"/>
      <c r="F2987" s="66"/>
      <c r="G2987" s="63"/>
      <c r="H2987" s="67"/>
      <c r="I2987" s="68"/>
      <c r="J2987" s="68"/>
      <c r="K2987" s="32"/>
      <c r="L2987" s="75">
        <v>2987</v>
      </c>
      <c r="M2987" s="75"/>
      <c r="N2987" s="70"/>
      <c r="O2987" s="77" t="s">
        <v>179</v>
      </c>
      <c r="P2987" s="79">
        <v>44990.75377314815</v>
      </c>
      <c r="Q2987" s="77" t="s">
        <v>3999</v>
      </c>
      <c r="R2987" s="77">
        <v>0</v>
      </c>
      <c r="S2987" s="77">
        <v>3</v>
      </c>
      <c r="T2987" s="77">
        <v>0</v>
      </c>
      <c r="U2987" s="77">
        <v>0</v>
      </c>
      <c r="V2987" s="77">
        <v>1678</v>
      </c>
      <c r="W2987" s="82" t="s">
        <v>5875</v>
      </c>
      <c r="X2987" s="80" t="str">
        <f>HYPERLINK("https://www.moneytimes.com.br/nubank-no-imposto-de-renda-2023-como-declarar-dinheiro-na-nuconta/")</f>
        <v>https://www.moneytimes.com.br/nubank-no-imposto-de-renda-2023-como-declarar-dinheiro-na-nuconta/</v>
      </c>
      <c r="Y2987" s="77" t="s">
        <v>6002</v>
      </c>
      <c r="Z2987" s="77"/>
      <c r="AA2987" s="77"/>
      <c r="AB2987" s="77"/>
      <c r="AC2987" s="82" t="s">
        <v>7718</v>
      </c>
      <c r="AD2987" s="77" t="s">
        <v>7745</v>
      </c>
      <c r="AE2987" s="80" t="str">
        <f>HYPERLINK("https://twitter.com/leiamoneytimes/status/1632442210343084032")</f>
        <v>https://twitter.com/leiamoneytimes/status/1632442210343084032</v>
      </c>
      <c r="AF2987" s="79">
        <v>44990.75377314815</v>
      </c>
      <c r="AG2987" s="85">
        <v>44990</v>
      </c>
      <c r="AH2987" s="82" t="s">
        <v>10452</v>
      </c>
      <c r="AI2987" s="77" t="b">
        <v>0</v>
      </c>
      <c r="AJ2987" s="77"/>
      <c r="AK2987" s="77"/>
      <c r="AL2987" s="77"/>
      <c r="AM2987" s="77"/>
      <c r="AN2987" s="77"/>
      <c r="AO2987" s="77"/>
      <c r="AP2987" s="77"/>
      <c r="AQ2987" s="77"/>
      <c r="AR2987" s="77"/>
      <c r="AS2987" s="77"/>
      <c r="AT2987" s="77"/>
      <c r="AU2987" s="77"/>
      <c r="AV2987" s="80" t="str">
        <f>HYPERLINK("https://pbs.twimg.com/profile_images/1559883556846977024/bXHnQFY0_normal.jpg")</f>
        <v>https://pbs.twimg.com/profile_images/1559883556846977024/bXHnQFY0_normal.jpg</v>
      </c>
      <c r="AW2987" s="82" t="s">
        <v>15142</v>
      </c>
      <c r="AX2987" s="82" t="s">
        <v>15142</v>
      </c>
      <c r="AY2987" s="77"/>
      <c r="AZ2987" s="82" t="s">
        <v>15804</v>
      </c>
      <c r="BA2987" s="82" t="s">
        <v>15804</v>
      </c>
      <c r="BB2987" s="82" t="s">
        <v>15804</v>
      </c>
      <c r="BC2987" s="82" t="s">
        <v>15142</v>
      </c>
      <c r="BD2987" s="77">
        <v>51150679</v>
      </c>
      <c r="BE2987" s="77"/>
      <c r="BF2987" s="77"/>
      <c r="BG2987" s="77"/>
      <c r="BH2987" s="77"/>
      <c r="BI2987" s="77"/>
    </row>
    <row r="2988" spans="1:61" x14ac:dyDescent="0.25">
      <c r="A2988" s="62" t="s">
        <v>1027</v>
      </c>
      <c r="B2988" s="62" t="s">
        <v>1027</v>
      </c>
      <c r="C2988" s="63"/>
      <c r="D2988" s="64"/>
      <c r="E2988" s="65"/>
      <c r="F2988" s="66"/>
      <c r="G2988" s="63"/>
      <c r="H2988" s="67"/>
      <c r="I2988" s="68"/>
      <c r="J2988" s="68"/>
      <c r="K2988" s="32"/>
      <c r="L2988" s="75">
        <v>2988</v>
      </c>
      <c r="M2988" s="75"/>
      <c r="N2988" s="70"/>
      <c r="O2988" s="77" t="s">
        <v>179</v>
      </c>
      <c r="P2988" s="79">
        <v>44988.817013888889</v>
      </c>
      <c r="Q2988" s="77" t="s">
        <v>4000</v>
      </c>
      <c r="R2988" s="77">
        <v>0</v>
      </c>
      <c r="S2988" s="77">
        <v>1</v>
      </c>
      <c r="T2988" s="77">
        <v>0</v>
      </c>
      <c r="U2988" s="77">
        <v>0</v>
      </c>
      <c r="V2988" s="77">
        <v>934</v>
      </c>
      <c r="W2988" s="82" t="s">
        <v>5938</v>
      </c>
      <c r="X2988" s="80" t="str">
        <f>HYPERLINK("https://www.moneytimes.com.br/muito-alem-do-desenrola-educacao-financeira-e-liberdade/")</f>
        <v>https://www.moneytimes.com.br/muito-alem-do-desenrola-educacao-financeira-e-liberdade/</v>
      </c>
      <c r="Y2988" s="77" t="s">
        <v>6002</v>
      </c>
      <c r="Z2988" s="77"/>
      <c r="AA2988" s="77"/>
      <c r="AB2988" s="77"/>
      <c r="AC2988" s="82" t="s">
        <v>7718</v>
      </c>
      <c r="AD2988" s="77" t="s">
        <v>7745</v>
      </c>
      <c r="AE2988" s="80" t="str">
        <f>HYPERLINK("https://twitter.com/leiamoneytimes/status/1631740352594845698")</f>
        <v>https://twitter.com/leiamoneytimes/status/1631740352594845698</v>
      </c>
      <c r="AF2988" s="79">
        <v>44988.817013888889</v>
      </c>
      <c r="AG2988" s="85">
        <v>44988</v>
      </c>
      <c r="AH2988" s="82" t="s">
        <v>10453</v>
      </c>
      <c r="AI2988" s="77" t="b">
        <v>0</v>
      </c>
      <c r="AJ2988" s="77"/>
      <c r="AK2988" s="77"/>
      <c r="AL2988" s="77"/>
      <c r="AM2988" s="77"/>
      <c r="AN2988" s="77"/>
      <c r="AO2988" s="77"/>
      <c r="AP2988" s="77"/>
      <c r="AQ2988" s="77"/>
      <c r="AR2988" s="77"/>
      <c r="AS2988" s="77"/>
      <c r="AT2988" s="77"/>
      <c r="AU2988" s="77"/>
      <c r="AV2988" s="80" t="str">
        <f>HYPERLINK("https://pbs.twimg.com/profile_images/1559883556846977024/bXHnQFY0_normal.jpg")</f>
        <v>https://pbs.twimg.com/profile_images/1559883556846977024/bXHnQFY0_normal.jpg</v>
      </c>
      <c r="AW2988" s="82" t="s">
        <v>15143</v>
      </c>
      <c r="AX2988" s="82" t="s">
        <v>15143</v>
      </c>
      <c r="AY2988" s="77"/>
      <c r="AZ2988" s="82" t="s">
        <v>15804</v>
      </c>
      <c r="BA2988" s="82" t="s">
        <v>15804</v>
      </c>
      <c r="BB2988" s="82" t="s">
        <v>15804</v>
      </c>
      <c r="BC2988" s="82" t="s">
        <v>15143</v>
      </c>
      <c r="BD2988" s="77">
        <v>51150679</v>
      </c>
      <c r="BE2988" s="77"/>
      <c r="BF2988" s="77"/>
      <c r="BG2988" s="77"/>
      <c r="BH2988" s="77"/>
      <c r="BI2988" s="77"/>
    </row>
    <row r="2989" spans="1:61" x14ac:dyDescent="0.25">
      <c r="A2989" s="62" t="s">
        <v>1027</v>
      </c>
      <c r="B2989" s="62" t="s">
        <v>1027</v>
      </c>
      <c r="C2989" s="63"/>
      <c r="D2989" s="64"/>
      <c r="E2989" s="65"/>
      <c r="F2989" s="66"/>
      <c r="G2989" s="63"/>
      <c r="H2989" s="67"/>
      <c r="I2989" s="68"/>
      <c r="J2989" s="68"/>
      <c r="K2989" s="32"/>
      <c r="L2989" s="75">
        <v>2989</v>
      </c>
      <c r="M2989" s="75"/>
      <c r="N2989" s="70"/>
      <c r="O2989" s="77" t="s">
        <v>179</v>
      </c>
      <c r="P2989" s="79">
        <v>44988.500763888886</v>
      </c>
      <c r="Q2989" s="77" t="s">
        <v>4001</v>
      </c>
      <c r="R2989" s="77">
        <v>0</v>
      </c>
      <c r="S2989" s="77">
        <v>2</v>
      </c>
      <c r="T2989" s="77">
        <v>0</v>
      </c>
      <c r="U2989" s="77">
        <v>0</v>
      </c>
      <c r="V2989" s="77">
        <v>645</v>
      </c>
      <c r="W2989" s="82" t="s">
        <v>5871</v>
      </c>
      <c r="X2989" s="80" t="str">
        <f>HYPERLINK("https://www.moneytimes.com.br/imposto-de-renda-2023-9-erros-que-podem-te-levar-a-cair-na-malha-fina/")</f>
        <v>https://www.moneytimes.com.br/imposto-de-renda-2023-9-erros-que-podem-te-levar-a-cair-na-malha-fina/</v>
      </c>
      <c r="Y2989" s="77" t="s">
        <v>6002</v>
      </c>
      <c r="Z2989" s="77"/>
      <c r="AA2989" s="77"/>
      <c r="AB2989" s="77"/>
      <c r="AC2989" s="82" t="s">
        <v>7718</v>
      </c>
      <c r="AD2989" s="77" t="s">
        <v>7745</v>
      </c>
      <c r="AE2989" s="80" t="str">
        <f>HYPERLINK("https://twitter.com/leiamoneytimes/status/1631625745373044737")</f>
        <v>https://twitter.com/leiamoneytimes/status/1631625745373044737</v>
      </c>
      <c r="AF2989" s="79">
        <v>44988.500763888886</v>
      </c>
      <c r="AG2989" s="85">
        <v>44988</v>
      </c>
      <c r="AH2989" s="82" t="s">
        <v>10454</v>
      </c>
      <c r="AI2989" s="77" t="b">
        <v>0</v>
      </c>
      <c r="AJ2989" s="77"/>
      <c r="AK2989" s="77"/>
      <c r="AL2989" s="77"/>
      <c r="AM2989" s="77"/>
      <c r="AN2989" s="77"/>
      <c r="AO2989" s="77"/>
      <c r="AP2989" s="77"/>
      <c r="AQ2989" s="77"/>
      <c r="AR2989" s="77"/>
      <c r="AS2989" s="77"/>
      <c r="AT2989" s="77"/>
      <c r="AU2989" s="77"/>
      <c r="AV2989" s="80" t="str">
        <f>HYPERLINK("https://pbs.twimg.com/profile_images/1559883556846977024/bXHnQFY0_normal.jpg")</f>
        <v>https://pbs.twimg.com/profile_images/1559883556846977024/bXHnQFY0_normal.jpg</v>
      </c>
      <c r="AW2989" s="82" t="s">
        <v>15144</v>
      </c>
      <c r="AX2989" s="82" t="s">
        <v>15144</v>
      </c>
      <c r="AY2989" s="77"/>
      <c r="AZ2989" s="82" t="s">
        <v>15804</v>
      </c>
      <c r="BA2989" s="82" t="s">
        <v>15804</v>
      </c>
      <c r="BB2989" s="82" t="s">
        <v>15804</v>
      </c>
      <c r="BC2989" s="82" t="s">
        <v>15144</v>
      </c>
      <c r="BD2989" s="77">
        <v>51150679</v>
      </c>
      <c r="BE2989" s="77"/>
      <c r="BF2989" s="77"/>
      <c r="BG2989" s="77"/>
      <c r="BH2989" s="77"/>
      <c r="BI2989" s="77"/>
    </row>
    <row r="2990" spans="1:61" x14ac:dyDescent="0.25">
      <c r="A2990" s="62" t="s">
        <v>1027</v>
      </c>
      <c r="B2990" s="62" t="s">
        <v>1027</v>
      </c>
      <c r="C2990" s="63"/>
      <c r="D2990" s="64"/>
      <c r="E2990" s="65"/>
      <c r="F2990" s="66"/>
      <c r="G2990" s="63"/>
      <c r="H2990" s="67"/>
      <c r="I2990" s="68"/>
      <c r="J2990" s="68"/>
      <c r="K2990" s="32"/>
      <c r="L2990" s="75">
        <v>2990</v>
      </c>
      <c r="M2990" s="75"/>
      <c r="N2990" s="70"/>
      <c r="O2990" s="77" t="s">
        <v>179</v>
      </c>
      <c r="P2990" s="79">
        <v>44986.657129629632</v>
      </c>
      <c r="Q2990" s="77" t="s">
        <v>4002</v>
      </c>
      <c r="R2990" s="77">
        <v>0</v>
      </c>
      <c r="S2990" s="77">
        <v>3</v>
      </c>
      <c r="T2990" s="77">
        <v>0</v>
      </c>
      <c r="U2990" s="77">
        <v>0</v>
      </c>
      <c r="V2990" s="77">
        <v>892</v>
      </c>
      <c r="W2990" s="82" t="s">
        <v>5939</v>
      </c>
      <c r="X2990" s="80" t="str">
        <f>HYPERLINK("https://www.moneytimes.com.br/informe-de-rendimentos-nao-recebi-o-meu-no-prazo-e-agora/")</f>
        <v>https://www.moneytimes.com.br/informe-de-rendimentos-nao-recebi-o-meu-no-prazo-e-agora/</v>
      </c>
      <c r="Y2990" s="77" t="s">
        <v>6002</v>
      </c>
      <c r="Z2990" s="77"/>
      <c r="AA2990" s="77"/>
      <c r="AB2990" s="77"/>
      <c r="AC2990" s="82" t="s">
        <v>7718</v>
      </c>
      <c r="AD2990" s="77" t="s">
        <v>7745</v>
      </c>
      <c r="AE2990" s="80" t="str">
        <f>HYPERLINK("https://twitter.com/leiamoneytimes/status/1630957635489988608")</f>
        <v>https://twitter.com/leiamoneytimes/status/1630957635489988608</v>
      </c>
      <c r="AF2990" s="79">
        <v>44986.657129629632</v>
      </c>
      <c r="AG2990" s="85">
        <v>44986</v>
      </c>
      <c r="AH2990" s="82" t="s">
        <v>10455</v>
      </c>
      <c r="AI2990" s="77" t="b">
        <v>0</v>
      </c>
      <c r="AJ2990" s="77"/>
      <c r="AK2990" s="77"/>
      <c r="AL2990" s="77"/>
      <c r="AM2990" s="77"/>
      <c r="AN2990" s="77"/>
      <c r="AO2990" s="77"/>
      <c r="AP2990" s="77"/>
      <c r="AQ2990" s="77"/>
      <c r="AR2990" s="77"/>
      <c r="AS2990" s="77"/>
      <c r="AT2990" s="77"/>
      <c r="AU2990" s="77"/>
      <c r="AV2990" s="80" t="str">
        <f>HYPERLINK("https://pbs.twimg.com/profile_images/1559883556846977024/bXHnQFY0_normal.jpg")</f>
        <v>https://pbs.twimg.com/profile_images/1559883556846977024/bXHnQFY0_normal.jpg</v>
      </c>
      <c r="AW2990" s="82" t="s">
        <v>15145</v>
      </c>
      <c r="AX2990" s="82" t="s">
        <v>15145</v>
      </c>
      <c r="AY2990" s="77"/>
      <c r="AZ2990" s="82" t="s">
        <v>15804</v>
      </c>
      <c r="BA2990" s="82" t="s">
        <v>15804</v>
      </c>
      <c r="BB2990" s="82" t="s">
        <v>15804</v>
      </c>
      <c r="BC2990" s="82" t="s">
        <v>15145</v>
      </c>
      <c r="BD2990" s="77">
        <v>51150679</v>
      </c>
      <c r="BE2990" s="77"/>
      <c r="BF2990" s="77"/>
      <c r="BG2990" s="77"/>
      <c r="BH2990" s="77"/>
      <c r="BI2990" s="77"/>
    </row>
    <row r="2991" spans="1:61" x14ac:dyDescent="0.25">
      <c r="A2991" s="62" t="s">
        <v>1027</v>
      </c>
      <c r="B2991" s="62" t="s">
        <v>1027</v>
      </c>
      <c r="C2991" s="63"/>
      <c r="D2991" s="64"/>
      <c r="E2991" s="65"/>
      <c r="F2991" s="66"/>
      <c r="G2991" s="63"/>
      <c r="H2991" s="67"/>
      <c r="I2991" s="68"/>
      <c r="J2991" s="68"/>
      <c r="K2991" s="32"/>
      <c r="L2991" s="75">
        <v>2991</v>
      </c>
      <c r="M2991" s="75"/>
      <c r="N2991" s="70"/>
      <c r="O2991" s="77" t="s">
        <v>179</v>
      </c>
      <c r="P2991" s="79">
        <v>44985.805694444447</v>
      </c>
      <c r="Q2991" s="77" t="s">
        <v>4003</v>
      </c>
      <c r="R2991" s="77">
        <v>1</v>
      </c>
      <c r="S2991" s="77">
        <v>1</v>
      </c>
      <c r="T2991" s="77">
        <v>1</v>
      </c>
      <c r="U2991" s="77">
        <v>0</v>
      </c>
      <c r="V2991" s="77">
        <v>1006</v>
      </c>
      <c r="W2991" s="82" t="s">
        <v>5870</v>
      </c>
      <c r="X2991" s="80" t="str">
        <f>HYPERLINK("https://www.moneytimes.com.br/imposto-de-renda-2023-pix-e-declaracao-pre-preenchida-terao-prioridade-na-restituicao/")</f>
        <v>https://www.moneytimes.com.br/imposto-de-renda-2023-pix-e-declaracao-pre-preenchida-terao-prioridade-na-restituicao/</v>
      </c>
      <c r="Y2991" s="77" t="s">
        <v>6002</v>
      </c>
      <c r="Z2991" s="77"/>
      <c r="AA2991" s="77"/>
      <c r="AB2991" s="77"/>
      <c r="AC2991" s="82" t="s">
        <v>7718</v>
      </c>
      <c r="AD2991" s="77" t="s">
        <v>7745</v>
      </c>
      <c r="AE2991" s="80" t="str">
        <f>HYPERLINK("https://twitter.com/leiamoneytimes/status/1630649085685383169")</f>
        <v>https://twitter.com/leiamoneytimes/status/1630649085685383169</v>
      </c>
      <c r="AF2991" s="79">
        <v>44985.805694444447</v>
      </c>
      <c r="AG2991" s="85">
        <v>44985</v>
      </c>
      <c r="AH2991" s="82" t="s">
        <v>10456</v>
      </c>
      <c r="AI2991" s="77" t="b">
        <v>0</v>
      </c>
      <c r="AJ2991" s="77"/>
      <c r="AK2991" s="77"/>
      <c r="AL2991" s="77"/>
      <c r="AM2991" s="77"/>
      <c r="AN2991" s="77"/>
      <c r="AO2991" s="77"/>
      <c r="AP2991" s="77"/>
      <c r="AQ2991" s="77"/>
      <c r="AR2991" s="77"/>
      <c r="AS2991" s="77"/>
      <c r="AT2991" s="77"/>
      <c r="AU2991" s="77"/>
      <c r="AV2991" s="80" t="str">
        <f>HYPERLINK("https://pbs.twimg.com/profile_images/1559883556846977024/bXHnQFY0_normal.jpg")</f>
        <v>https://pbs.twimg.com/profile_images/1559883556846977024/bXHnQFY0_normal.jpg</v>
      </c>
      <c r="AW2991" s="82" t="s">
        <v>15146</v>
      </c>
      <c r="AX2991" s="82" t="s">
        <v>15146</v>
      </c>
      <c r="AY2991" s="77"/>
      <c r="AZ2991" s="82" t="s">
        <v>15804</v>
      </c>
      <c r="BA2991" s="82" t="s">
        <v>15804</v>
      </c>
      <c r="BB2991" s="82" t="s">
        <v>15804</v>
      </c>
      <c r="BC2991" s="82" t="s">
        <v>15146</v>
      </c>
      <c r="BD2991" s="77">
        <v>51150679</v>
      </c>
      <c r="BE2991" s="77"/>
      <c r="BF2991" s="77"/>
      <c r="BG2991" s="77"/>
      <c r="BH2991" s="77"/>
      <c r="BI2991" s="77"/>
    </row>
    <row r="2992" spans="1:61" x14ac:dyDescent="0.25">
      <c r="A2992" s="62" t="s">
        <v>1027</v>
      </c>
      <c r="B2992" s="62" t="s">
        <v>1027</v>
      </c>
      <c r="C2992" s="63"/>
      <c r="D2992" s="64"/>
      <c r="E2992" s="65"/>
      <c r="F2992" s="66"/>
      <c r="G2992" s="63"/>
      <c r="H2992" s="67"/>
      <c r="I2992" s="68"/>
      <c r="J2992" s="68"/>
      <c r="K2992" s="32"/>
      <c r="L2992" s="75">
        <v>2992</v>
      </c>
      <c r="M2992" s="75"/>
      <c r="N2992" s="70"/>
      <c r="O2992" s="77" t="s">
        <v>179</v>
      </c>
      <c r="P2992" s="79">
        <v>44985.616030092591</v>
      </c>
      <c r="Q2992" s="77" t="s">
        <v>4004</v>
      </c>
      <c r="R2992" s="77">
        <v>0</v>
      </c>
      <c r="S2992" s="77">
        <v>2</v>
      </c>
      <c r="T2992" s="77">
        <v>1</v>
      </c>
      <c r="U2992" s="77">
        <v>0</v>
      </c>
      <c r="V2992" s="77">
        <v>997</v>
      </c>
      <c r="W2992" s="82" t="s">
        <v>5881</v>
      </c>
      <c r="X2992" s="80" t="str">
        <f>HYPERLINK("https://www.moneytimes.com.br/restituicao-imposto-de-renda-confira-calendario-com-as-datas-e-quem-recebem-prioridade/")</f>
        <v>https://www.moneytimes.com.br/restituicao-imposto-de-renda-confira-calendario-com-as-datas-e-quem-recebem-prioridade/</v>
      </c>
      <c r="Y2992" s="77" t="s">
        <v>6002</v>
      </c>
      <c r="Z2992" s="77"/>
      <c r="AA2992" s="77"/>
      <c r="AB2992" s="77"/>
      <c r="AC2992" s="82" t="s">
        <v>7718</v>
      </c>
      <c r="AD2992" s="77" t="s">
        <v>7745</v>
      </c>
      <c r="AE2992" s="80" t="str">
        <f>HYPERLINK("https://twitter.com/leiamoneytimes/status/1630580351327170560")</f>
        <v>https://twitter.com/leiamoneytimes/status/1630580351327170560</v>
      </c>
      <c r="AF2992" s="79">
        <v>44985.616030092591</v>
      </c>
      <c r="AG2992" s="85">
        <v>44985</v>
      </c>
      <c r="AH2992" s="82" t="s">
        <v>10457</v>
      </c>
      <c r="AI2992" s="77" t="b">
        <v>0</v>
      </c>
      <c r="AJ2992" s="77"/>
      <c r="AK2992" s="77"/>
      <c r="AL2992" s="77"/>
      <c r="AM2992" s="77"/>
      <c r="AN2992" s="77"/>
      <c r="AO2992" s="77"/>
      <c r="AP2992" s="77"/>
      <c r="AQ2992" s="77"/>
      <c r="AR2992" s="77"/>
      <c r="AS2992" s="77"/>
      <c r="AT2992" s="77"/>
      <c r="AU2992" s="77"/>
      <c r="AV2992" s="80" t="str">
        <f>HYPERLINK("https://pbs.twimg.com/profile_images/1559883556846977024/bXHnQFY0_normal.jpg")</f>
        <v>https://pbs.twimg.com/profile_images/1559883556846977024/bXHnQFY0_normal.jpg</v>
      </c>
      <c r="AW2992" s="82" t="s">
        <v>15147</v>
      </c>
      <c r="AX2992" s="82" t="s">
        <v>15147</v>
      </c>
      <c r="AY2992" s="77"/>
      <c r="AZ2992" s="82" t="s">
        <v>15804</v>
      </c>
      <c r="BA2992" s="82" t="s">
        <v>15804</v>
      </c>
      <c r="BB2992" s="82" t="s">
        <v>15804</v>
      </c>
      <c r="BC2992" s="82" t="s">
        <v>15147</v>
      </c>
      <c r="BD2992" s="77">
        <v>51150679</v>
      </c>
      <c r="BE2992" s="77"/>
      <c r="BF2992" s="77"/>
      <c r="BG2992" s="77"/>
      <c r="BH2992" s="77"/>
      <c r="BI2992" s="77"/>
    </row>
    <row r="2993" spans="1:61" x14ac:dyDescent="0.25">
      <c r="A2993" s="62" t="s">
        <v>1027</v>
      </c>
      <c r="B2993" s="62" t="s">
        <v>1027</v>
      </c>
      <c r="C2993" s="63"/>
      <c r="D2993" s="64"/>
      <c r="E2993" s="65"/>
      <c r="F2993" s="66"/>
      <c r="G2993" s="63"/>
      <c r="H2993" s="67"/>
      <c r="I2993" s="68"/>
      <c r="J2993" s="68"/>
      <c r="K2993" s="32"/>
      <c r="L2993" s="75">
        <v>2993</v>
      </c>
      <c r="M2993" s="75"/>
      <c r="N2993" s="70"/>
      <c r="O2993" s="77" t="s">
        <v>179</v>
      </c>
      <c r="P2993" s="79">
        <v>44984.826770833337</v>
      </c>
      <c r="Q2993" s="77" t="s">
        <v>4005</v>
      </c>
      <c r="R2993" s="77">
        <v>0</v>
      </c>
      <c r="S2993" s="77">
        <v>2</v>
      </c>
      <c r="T2993" s="77">
        <v>0</v>
      </c>
      <c r="U2993" s="77">
        <v>0</v>
      </c>
      <c r="V2993" s="77">
        <v>1036</v>
      </c>
      <c r="W2993" s="82" t="s">
        <v>5871</v>
      </c>
      <c r="X2993" s="80" t="str">
        <f>HYPERLINK("https://www.moneytimes.com.br/imposto-de-renda-2023-tem-imovel-para-declarar-veja-a-partir-de-quanto/")</f>
        <v>https://www.moneytimes.com.br/imposto-de-renda-2023-tem-imovel-para-declarar-veja-a-partir-de-quanto/</v>
      </c>
      <c r="Y2993" s="77" t="s">
        <v>6002</v>
      </c>
      <c r="Z2993" s="77"/>
      <c r="AA2993" s="77"/>
      <c r="AB2993" s="77"/>
      <c r="AC2993" s="82" t="s">
        <v>7718</v>
      </c>
      <c r="AD2993" s="77" t="s">
        <v>7745</v>
      </c>
      <c r="AE2993" s="80" t="str">
        <f>HYPERLINK("https://twitter.com/leiamoneytimes/status/1630294334170857473")</f>
        <v>https://twitter.com/leiamoneytimes/status/1630294334170857473</v>
      </c>
      <c r="AF2993" s="79">
        <v>44984.826770833337</v>
      </c>
      <c r="AG2993" s="85">
        <v>44984</v>
      </c>
      <c r="AH2993" s="82" t="s">
        <v>10458</v>
      </c>
      <c r="AI2993" s="77" t="b">
        <v>0</v>
      </c>
      <c r="AJ2993" s="77"/>
      <c r="AK2993" s="77"/>
      <c r="AL2993" s="77"/>
      <c r="AM2993" s="77"/>
      <c r="AN2993" s="77"/>
      <c r="AO2993" s="77"/>
      <c r="AP2993" s="77"/>
      <c r="AQ2993" s="77"/>
      <c r="AR2993" s="77"/>
      <c r="AS2993" s="77"/>
      <c r="AT2993" s="77"/>
      <c r="AU2993" s="77"/>
      <c r="AV2993" s="80" t="str">
        <f>HYPERLINK("https://pbs.twimg.com/profile_images/1559883556846977024/bXHnQFY0_normal.jpg")</f>
        <v>https://pbs.twimg.com/profile_images/1559883556846977024/bXHnQFY0_normal.jpg</v>
      </c>
      <c r="AW2993" s="82" t="s">
        <v>15148</v>
      </c>
      <c r="AX2993" s="82" t="s">
        <v>15148</v>
      </c>
      <c r="AY2993" s="77"/>
      <c r="AZ2993" s="82" t="s">
        <v>15804</v>
      </c>
      <c r="BA2993" s="82" t="s">
        <v>15804</v>
      </c>
      <c r="BB2993" s="82" t="s">
        <v>15804</v>
      </c>
      <c r="BC2993" s="82" t="s">
        <v>15148</v>
      </c>
      <c r="BD2993" s="77">
        <v>51150679</v>
      </c>
      <c r="BE2993" s="77"/>
      <c r="BF2993" s="77"/>
      <c r="BG2993" s="77"/>
      <c r="BH2993" s="77"/>
      <c r="BI2993" s="77"/>
    </row>
    <row r="2994" spans="1:61" x14ac:dyDescent="0.25">
      <c r="A2994" s="62" t="s">
        <v>1027</v>
      </c>
      <c r="B2994" s="62" t="s">
        <v>1027</v>
      </c>
      <c r="C2994" s="63"/>
      <c r="D2994" s="64"/>
      <c r="E2994" s="65"/>
      <c r="F2994" s="66"/>
      <c r="G2994" s="63"/>
      <c r="H2994" s="67"/>
      <c r="I2994" s="68"/>
      <c r="J2994" s="68"/>
      <c r="K2994" s="32"/>
      <c r="L2994" s="75">
        <v>2994</v>
      </c>
      <c r="M2994" s="75"/>
      <c r="N2994" s="70"/>
      <c r="O2994" s="77" t="s">
        <v>179</v>
      </c>
      <c r="P2994" s="79">
        <v>44984.787731481483</v>
      </c>
      <c r="Q2994" s="77" t="s">
        <v>4006</v>
      </c>
      <c r="R2994" s="77">
        <v>0</v>
      </c>
      <c r="S2994" s="77">
        <v>0</v>
      </c>
      <c r="T2994" s="77">
        <v>0</v>
      </c>
      <c r="U2994" s="77">
        <v>0</v>
      </c>
      <c r="V2994" s="77">
        <v>926</v>
      </c>
      <c r="W2994" s="82" t="s">
        <v>5935</v>
      </c>
      <c r="X2994" s="80" t="str">
        <f>HYPERLINK("https://www.moneytimes.com.br/informe-de-rendimentos-e-dirf-tudo-que-voce-precisa-saber-para-nao-ter-problemas-com-o-ir/")</f>
        <v>https://www.moneytimes.com.br/informe-de-rendimentos-e-dirf-tudo-que-voce-precisa-saber-para-nao-ter-problemas-com-o-ir/</v>
      </c>
      <c r="Y2994" s="77" t="s">
        <v>6002</v>
      </c>
      <c r="Z2994" s="77"/>
      <c r="AA2994" s="77"/>
      <c r="AB2994" s="77"/>
      <c r="AC2994" s="82" t="s">
        <v>7718</v>
      </c>
      <c r="AD2994" s="77" t="s">
        <v>7745</v>
      </c>
      <c r="AE2994" s="80" t="str">
        <f>HYPERLINK("https://twitter.com/leiamoneytimes/status/1630280188872347658")</f>
        <v>https://twitter.com/leiamoneytimes/status/1630280188872347658</v>
      </c>
      <c r="AF2994" s="79">
        <v>44984.787731481483</v>
      </c>
      <c r="AG2994" s="85">
        <v>44984</v>
      </c>
      <c r="AH2994" s="82" t="s">
        <v>10459</v>
      </c>
      <c r="AI2994" s="77" t="b">
        <v>0</v>
      </c>
      <c r="AJ2994" s="77"/>
      <c r="AK2994" s="77"/>
      <c r="AL2994" s="77"/>
      <c r="AM2994" s="77"/>
      <c r="AN2994" s="77"/>
      <c r="AO2994" s="77"/>
      <c r="AP2994" s="77"/>
      <c r="AQ2994" s="77"/>
      <c r="AR2994" s="77"/>
      <c r="AS2994" s="77"/>
      <c r="AT2994" s="77"/>
      <c r="AU2994" s="77"/>
      <c r="AV2994" s="80" t="str">
        <f>HYPERLINK("https://pbs.twimg.com/profile_images/1559883556846977024/bXHnQFY0_normal.jpg")</f>
        <v>https://pbs.twimg.com/profile_images/1559883556846977024/bXHnQFY0_normal.jpg</v>
      </c>
      <c r="AW2994" s="82" t="s">
        <v>15149</v>
      </c>
      <c r="AX2994" s="82" t="s">
        <v>15149</v>
      </c>
      <c r="AY2994" s="77"/>
      <c r="AZ2994" s="82" t="s">
        <v>15804</v>
      </c>
      <c r="BA2994" s="82" t="s">
        <v>15804</v>
      </c>
      <c r="BB2994" s="82" t="s">
        <v>15804</v>
      </c>
      <c r="BC2994" s="82" t="s">
        <v>15149</v>
      </c>
      <c r="BD2994" s="77">
        <v>51150679</v>
      </c>
      <c r="BE2994" s="77"/>
      <c r="BF2994" s="77"/>
      <c r="BG2994" s="77"/>
      <c r="BH2994" s="77"/>
      <c r="BI2994" s="77"/>
    </row>
    <row r="2995" spans="1:61" x14ac:dyDescent="0.25">
      <c r="A2995" s="62" t="s">
        <v>1027</v>
      </c>
      <c r="B2995" s="62" t="s">
        <v>1027</v>
      </c>
      <c r="C2995" s="63"/>
      <c r="D2995" s="64"/>
      <c r="E2995" s="65"/>
      <c r="F2995" s="66"/>
      <c r="G2995" s="63"/>
      <c r="H2995" s="67"/>
      <c r="I2995" s="68"/>
      <c r="J2995" s="68"/>
      <c r="K2995" s="32"/>
      <c r="L2995" s="75">
        <v>2995</v>
      </c>
      <c r="M2995" s="75"/>
      <c r="N2995" s="70"/>
      <c r="O2995" s="77" t="s">
        <v>179</v>
      </c>
      <c r="P2995" s="79">
        <v>44984.77884259259</v>
      </c>
      <c r="Q2995" s="77" t="s">
        <v>4007</v>
      </c>
      <c r="R2995" s="77">
        <v>0</v>
      </c>
      <c r="S2995" s="77">
        <v>2</v>
      </c>
      <c r="T2995" s="77">
        <v>0</v>
      </c>
      <c r="U2995" s="77">
        <v>0</v>
      </c>
      <c r="V2995" s="77">
        <v>1009</v>
      </c>
      <c r="W2995" s="82" t="s">
        <v>5871</v>
      </c>
      <c r="X2995" s="80" t="str">
        <f>HYPERLINK("https://www.moneytimes.com.br/imposto-de-renda-2023-onde-e-quando-fazer-o-download-do-programa-da-receita-federal/")</f>
        <v>https://www.moneytimes.com.br/imposto-de-renda-2023-onde-e-quando-fazer-o-download-do-programa-da-receita-federal/</v>
      </c>
      <c r="Y2995" s="77" t="s">
        <v>6002</v>
      </c>
      <c r="Z2995" s="77"/>
      <c r="AA2995" s="77"/>
      <c r="AB2995" s="77"/>
      <c r="AC2995" s="82" t="s">
        <v>7718</v>
      </c>
      <c r="AD2995" s="77" t="s">
        <v>7745</v>
      </c>
      <c r="AE2995" s="80" t="str">
        <f>HYPERLINK("https://twitter.com/leiamoneytimes/status/1630276964786356224")</f>
        <v>https://twitter.com/leiamoneytimes/status/1630276964786356224</v>
      </c>
      <c r="AF2995" s="79">
        <v>44984.77884259259</v>
      </c>
      <c r="AG2995" s="85">
        <v>44984</v>
      </c>
      <c r="AH2995" s="82" t="s">
        <v>10460</v>
      </c>
      <c r="AI2995" s="77" t="b">
        <v>0</v>
      </c>
      <c r="AJ2995" s="77"/>
      <c r="AK2995" s="77"/>
      <c r="AL2995" s="77"/>
      <c r="AM2995" s="77"/>
      <c r="AN2995" s="77"/>
      <c r="AO2995" s="77"/>
      <c r="AP2995" s="77"/>
      <c r="AQ2995" s="77"/>
      <c r="AR2995" s="77"/>
      <c r="AS2995" s="77"/>
      <c r="AT2995" s="77"/>
      <c r="AU2995" s="77"/>
      <c r="AV2995" s="80" t="str">
        <f>HYPERLINK("https://pbs.twimg.com/profile_images/1559883556846977024/bXHnQFY0_normal.jpg")</f>
        <v>https://pbs.twimg.com/profile_images/1559883556846977024/bXHnQFY0_normal.jpg</v>
      </c>
      <c r="AW2995" s="82" t="s">
        <v>15150</v>
      </c>
      <c r="AX2995" s="82" t="s">
        <v>15150</v>
      </c>
      <c r="AY2995" s="77"/>
      <c r="AZ2995" s="82" t="s">
        <v>15804</v>
      </c>
      <c r="BA2995" s="82" t="s">
        <v>15804</v>
      </c>
      <c r="BB2995" s="82" t="s">
        <v>15804</v>
      </c>
      <c r="BC2995" s="82" t="s">
        <v>15150</v>
      </c>
      <c r="BD2995" s="77">
        <v>51150679</v>
      </c>
      <c r="BE2995" s="77"/>
      <c r="BF2995" s="77"/>
      <c r="BG2995" s="77"/>
      <c r="BH2995" s="77"/>
      <c r="BI2995" s="77"/>
    </row>
    <row r="2996" spans="1:61" x14ac:dyDescent="0.25">
      <c r="A2996" s="62" t="s">
        <v>1027</v>
      </c>
      <c r="B2996" s="62" t="s">
        <v>1027</v>
      </c>
      <c r="C2996" s="63"/>
      <c r="D2996" s="64"/>
      <c r="E2996" s="65"/>
      <c r="F2996" s="66"/>
      <c r="G2996" s="63"/>
      <c r="H2996" s="67"/>
      <c r="I2996" s="68"/>
      <c r="J2996" s="68"/>
      <c r="K2996" s="32"/>
      <c r="L2996" s="75">
        <v>2996</v>
      </c>
      <c r="M2996" s="75"/>
      <c r="N2996" s="70"/>
      <c r="O2996" s="77" t="s">
        <v>179</v>
      </c>
      <c r="P2996" s="79">
        <v>44984.761354166665</v>
      </c>
      <c r="Q2996" s="77" t="s">
        <v>4008</v>
      </c>
      <c r="R2996" s="77">
        <v>0</v>
      </c>
      <c r="S2996" s="77">
        <v>3</v>
      </c>
      <c r="T2996" s="77">
        <v>1</v>
      </c>
      <c r="U2996" s="77">
        <v>0</v>
      </c>
      <c r="V2996" s="77">
        <v>1431</v>
      </c>
      <c r="W2996" s="82" t="s">
        <v>5940</v>
      </c>
      <c r="X2996" s="80" t="str">
        <f>HYPERLINK("https://www.moneytimes.com.br/imposto-de-renda-2023-saiba-o-valor-minimo-de-rendimento-e-investimentos-para-declarar/")</f>
        <v>https://www.moneytimes.com.br/imposto-de-renda-2023-saiba-o-valor-minimo-de-rendimento-e-investimentos-para-declarar/</v>
      </c>
      <c r="Y2996" s="77" t="s">
        <v>6002</v>
      </c>
      <c r="Z2996" s="77"/>
      <c r="AA2996" s="77"/>
      <c r="AB2996" s="77"/>
      <c r="AC2996" s="82" t="s">
        <v>7718</v>
      </c>
      <c r="AD2996" s="77" t="s">
        <v>7745</v>
      </c>
      <c r="AE2996" s="80" t="str">
        <f>HYPERLINK("https://twitter.com/leiamoneytimes/status/1630270629587959813")</f>
        <v>https://twitter.com/leiamoneytimes/status/1630270629587959813</v>
      </c>
      <c r="AF2996" s="79">
        <v>44984.761354166665</v>
      </c>
      <c r="AG2996" s="85">
        <v>44984</v>
      </c>
      <c r="AH2996" s="82" t="s">
        <v>10461</v>
      </c>
      <c r="AI2996" s="77" t="b">
        <v>0</v>
      </c>
      <c r="AJ2996" s="77"/>
      <c r="AK2996" s="77"/>
      <c r="AL2996" s="77"/>
      <c r="AM2996" s="77"/>
      <c r="AN2996" s="77"/>
      <c r="AO2996" s="77"/>
      <c r="AP2996" s="77"/>
      <c r="AQ2996" s="77"/>
      <c r="AR2996" s="77"/>
      <c r="AS2996" s="77"/>
      <c r="AT2996" s="77"/>
      <c r="AU2996" s="77"/>
      <c r="AV2996" s="80" t="str">
        <f>HYPERLINK("https://pbs.twimg.com/profile_images/1559883556846977024/bXHnQFY0_normal.jpg")</f>
        <v>https://pbs.twimg.com/profile_images/1559883556846977024/bXHnQFY0_normal.jpg</v>
      </c>
      <c r="AW2996" s="82" t="s">
        <v>15151</v>
      </c>
      <c r="AX2996" s="82" t="s">
        <v>15151</v>
      </c>
      <c r="AY2996" s="77"/>
      <c r="AZ2996" s="82" t="s">
        <v>15804</v>
      </c>
      <c r="BA2996" s="82" t="s">
        <v>15804</v>
      </c>
      <c r="BB2996" s="82" t="s">
        <v>15804</v>
      </c>
      <c r="BC2996" s="82" t="s">
        <v>15151</v>
      </c>
      <c r="BD2996" s="77">
        <v>51150679</v>
      </c>
      <c r="BE2996" s="77"/>
      <c r="BF2996" s="77"/>
      <c r="BG2996" s="77"/>
      <c r="BH2996" s="77"/>
      <c r="BI2996" s="77"/>
    </row>
    <row r="2997" spans="1:61" x14ac:dyDescent="0.25">
      <c r="A2997" s="62" t="s">
        <v>1027</v>
      </c>
      <c r="B2997" s="62" t="s">
        <v>1027</v>
      </c>
      <c r="C2997" s="63"/>
      <c r="D2997" s="64"/>
      <c r="E2997" s="65"/>
      <c r="F2997" s="66"/>
      <c r="G2997" s="63"/>
      <c r="H2997" s="67"/>
      <c r="I2997" s="68"/>
      <c r="J2997" s="68"/>
      <c r="K2997" s="32"/>
      <c r="L2997" s="75">
        <v>2997</v>
      </c>
      <c r="M2997" s="75"/>
      <c r="N2997" s="70"/>
      <c r="O2997" s="77" t="s">
        <v>179</v>
      </c>
      <c r="P2997" s="79">
        <v>45181.754270833335</v>
      </c>
      <c r="Q2997" s="77" t="s">
        <v>4009</v>
      </c>
      <c r="R2997" s="77">
        <v>1</v>
      </c>
      <c r="S2997" s="77">
        <v>0</v>
      </c>
      <c r="T2997" s="77">
        <v>1</v>
      </c>
      <c r="U2997" s="77">
        <v>0</v>
      </c>
      <c r="V2997" s="77">
        <v>759</v>
      </c>
      <c r="W2997" s="82" t="s">
        <v>5898</v>
      </c>
      <c r="X2997" s="80" t="str">
        <f>HYPERLINK("https://www.moneytimes.com.br/nubank-antecipa-saques-do-fgts/")</f>
        <v>https://www.moneytimes.com.br/nubank-antecipa-saques-do-fgts/</v>
      </c>
      <c r="Y2997" s="77" t="s">
        <v>6002</v>
      </c>
      <c r="Z2997" s="77"/>
      <c r="AA2997" s="77"/>
      <c r="AB2997" s="77"/>
      <c r="AC2997" s="82" t="s">
        <v>7718</v>
      </c>
      <c r="AD2997" s="77" t="s">
        <v>7745</v>
      </c>
      <c r="AE2997" s="80" t="str">
        <f>HYPERLINK("https://twitter.com/leiamoneytimes/status/1701658471467307201")</f>
        <v>https://twitter.com/leiamoneytimes/status/1701658471467307201</v>
      </c>
      <c r="AF2997" s="79">
        <v>45181.754270833335</v>
      </c>
      <c r="AG2997" s="85">
        <v>45181</v>
      </c>
      <c r="AH2997" s="82" t="s">
        <v>10462</v>
      </c>
      <c r="AI2997" s="77" t="b">
        <v>0</v>
      </c>
      <c r="AJ2997" s="77"/>
      <c r="AK2997" s="77"/>
      <c r="AL2997" s="77"/>
      <c r="AM2997" s="77"/>
      <c r="AN2997" s="77"/>
      <c r="AO2997" s="77"/>
      <c r="AP2997" s="77"/>
      <c r="AQ2997" s="77"/>
      <c r="AR2997" s="77"/>
      <c r="AS2997" s="77"/>
      <c r="AT2997" s="77"/>
      <c r="AU2997" s="77"/>
      <c r="AV2997" s="80" t="str">
        <f>HYPERLINK("https://pbs.twimg.com/profile_images/1559883556846977024/bXHnQFY0_normal.jpg")</f>
        <v>https://pbs.twimg.com/profile_images/1559883556846977024/bXHnQFY0_normal.jpg</v>
      </c>
      <c r="AW2997" s="82" t="s">
        <v>15152</v>
      </c>
      <c r="AX2997" s="82" t="s">
        <v>15152</v>
      </c>
      <c r="AY2997" s="77"/>
      <c r="AZ2997" s="82" t="s">
        <v>15804</v>
      </c>
      <c r="BA2997" s="82" t="s">
        <v>15804</v>
      </c>
      <c r="BB2997" s="82" t="s">
        <v>15804</v>
      </c>
      <c r="BC2997" s="82" t="s">
        <v>15152</v>
      </c>
      <c r="BD2997" s="77">
        <v>51150679</v>
      </c>
      <c r="BE2997" s="77"/>
      <c r="BF2997" s="77"/>
      <c r="BG2997" s="77"/>
      <c r="BH2997" s="77"/>
      <c r="BI2997" s="77"/>
    </row>
    <row r="2998" spans="1:61" x14ac:dyDescent="0.25">
      <c r="A2998" s="62" t="s">
        <v>1027</v>
      </c>
      <c r="B2998" s="62" t="s">
        <v>1027</v>
      </c>
      <c r="C2998" s="63"/>
      <c r="D2998" s="64"/>
      <c r="E2998" s="65"/>
      <c r="F2998" s="66"/>
      <c r="G2998" s="63"/>
      <c r="H2998" s="67"/>
      <c r="I2998" s="68"/>
      <c r="J2998" s="68"/>
      <c r="K2998" s="32"/>
      <c r="L2998" s="75">
        <v>2998</v>
      </c>
      <c r="M2998" s="75"/>
      <c r="N2998" s="70"/>
      <c r="O2998" s="77" t="s">
        <v>179</v>
      </c>
      <c r="P2998" s="79">
        <v>45177.540694444448</v>
      </c>
      <c r="Q2998" s="77" t="s">
        <v>4010</v>
      </c>
      <c r="R2998" s="77">
        <v>0</v>
      </c>
      <c r="S2998" s="77">
        <v>3</v>
      </c>
      <c r="T2998" s="77">
        <v>2</v>
      </c>
      <c r="U2998" s="77">
        <v>0</v>
      </c>
      <c r="V2998" s="77">
        <v>889</v>
      </c>
      <c r="W2998" s="82" t="s">
        <v>5941</v>
      </c>
      <c r="X2998" s="80" t="str">
        <f>HYPERLINK("https://www.moneytimes.com.br/poupanca-tem-saques-liquidos-em-agosto-pelo-2o-mes-de-r10075-bi/")</f>
        <v>https://www.moneytimes.com.br/poupanca-tem-saques-liquidos-em-agosto-pelo-2o-mes-de-r10075-bi/</v>
      </c>
      <c r="Y2998" s="77" t="s">
        <v>6002</v>
      </c>
      <c r="Z2998" s="77"/>
      <c r="AA2998" s="77"/>
      <c r="AB2998" s="77"/>
      <c r="AC2998" s="82" t="s">
        <v>7718</v>
      </c>
      <c r="AD2998" s="77" t="s">
        <v>7745</v>
      </c>
      <c r="AE2998" s="80" t="str">
        <f>HYPERLINK("https://twitter.com/leiamoneytimes/status/1700131522806677840")</f>
        <v>https://twitter.com/leiamoneytimes/status/1700131522806677840</v>
      </c>
      <c r="AF2998" s="79">
        <v>45177.540694444448</v>
      </c>
      <c r="AG2998" s="85">
        <v>45177</v>
      </c>
      <c r="AH2998" s="82" t="s">
        <v>10463</v>
      </c>
      <c r="AI2998" s="77" t="b">
        <v>0</v>
      </c>
      <c r="AJ2998" s="77"/>
      <c r="AK2998" s="77"/>
      <c r="AL2998" s="77"/>
      <c r="AM2998" s="77"/>
      <c r="AN2998" s="77"/>
      <c r="AO2998" s="77"/>
      <c r="AP2998" s="77"/>
      <c r="AQ2998" s="77"/>
      <c r="AR2998" s="77"/>
      <c r="AS2998" s="77"/>
      <c r="AT2998" s="77"/>
      <c r="AU2998" s="77"/>
      <c r="AV2998" s="80" t="str">
        <f>HYPERLINK("https://pbs.twimg.com/profile_images/1559883556846977024/bXHnQFY0_normal.jpg")</f>
        <v>https://pbs.twimg.com/profile_images/1559883556846977024/bXHnQFY0_normal.jpg</v>
      </c>
      <c r="AW2998" s="82" t="s">
        <v>15153</v>
      </c>
      <c r="AX2998" s="82" t="s">
        <v>15153</v>
      </c>
      <c r="AY2998" s="77"/>
      <c r="AZ2998" s="82" t="s">
        <v>15804</v>
      </c>
      <c r="BA2998" s="82" t="s">
        <v>15804</v>
      </c>
      <c r="BB2998" s="82" t="s">
        <v>15804</v>
      </c>
      <c r="BC2998" s="82" t="s">
        <v>15153</v>
      </c>
      <c r="BD2998" s="77">
        <v>51150679</v>
      </c>
      <c r="BE2998" s="77"/>
      <c r="BF2998" s="77"/>
      <c r="BG2998" s="77"/>
      <c r="BH2998" s="77"/>
      <c r="BI2998" s="77"/>
    </row>
    <row r="2999" spans="1:61" x14ac:dyDescent="0.25">
      <c r="A2999" s="62" t="s">
        <v>1027</v>
      </c>
      <c r="B2999" s="62" t="s">
        <v>1027</v>
      </c>
      <c r="C2999" s="63"/>
      <c r="D2999" s="64"/>
      <c r="E2999" s="65"/>
      <c r="F2999" s="66"/>
      <c r="G2999" s="63"/>
      <c r="H2999" s="67"/>
      <c r="I2999" s="68"/>
      <c r="J2999" s="68"/>
      <c r="K2999" s="32"/>
      <c r="L2999" s="75">
        <v>2999</v>
      </c>
      <c r="M2999" s="75"/>
      <c r="N2999" s="70"/>
      <c r="O2999" s="77" t="s">
        <v>179</v>
      </c>
      <c r="P2999" s="79">
        <v>45173.712916666664</v>
      </c>
      <c r="Q2999" s="77" t="s">
        <v>4011</v>
      </c>
      <c r="R2999" s="77">
        <v>0</v>
      </c>
      <c r="S2999" s="77">
        <v>3</v>
      </c>
      <c r="T2999" s="77">
        <v>1</v>
      </c>
      <c r="U2999" s="77">
        <v>0</v>
      </c>
      <c r="V2999" s="77">
        <v>848</v>
      </c>
      <c r="W2999" s="82" t="s">
        <v>5932</v>
      </c>
      <c r="X2999" s="80" t="str">
        <f>HYPERLINK("https://www.moneytimes.com.br/zona-de-arrebentacao-como-cruzar-essa-linha-e-se-tornar-investidor-de-verdade/")</f>
        <v>https://www.moneytimes.com.br/zona-de-arrebentacao-como-cruzar-essa-linha-e-se-tornar-investidor-de-verdade/</v>
      </c>
      <c r="Y2999" s="77" t="s">
        <v>6002</v>
      </c>
      <c r="Z2999" s="77"/>
      <c r="AA2999" s="77"/>
      <c r="AB2999" s="77"/>
      <c r="AC2999" s="82" t="s">
        <v>7718</v>
      </c>
      <c r="AD2999" s="77" t="s">
        <v>7745</v>
      </c>
      <c r="AE2999" s="80" t="str">
        <f>HYPERLINK("https://twitter.com/leiamoneytimes/status/1698744380981477686")</f>
        <v>https://twitter.com/leiamoneytimes/status/1698744380981477686</v>
      </c>
      <c r="AF2999" s="79">
        <v>45173.712916666664</v>
      </c>
      <c r="AG2999" s="85">
        <v>45173</v>
      </c>
      <c r="AH2999" s="82" t="s">
        <v>10464</v>
      </c>
      <c r="AI2999" s="77" t="b">
        <v>0</v>
      </c>
      <c r="AJ2999" s="77"/>
      <c r="AK2999" s="77"/>
      <c r="AL2999" s="77"/>
      <c r="AM2999" s="77"/>
      <c r="AN2999" s="77"/>
      <c r="AO2999" s="77"/>
      <c r="AP2999" s="77"/>
      <c r="AQ2999" s="77"/>
      <c r="AR2999" s="77"/>
      <c r="AS2999" s="77"/>
      <c r="AT2999" s="77"/>
      <c r="AU2999" s="77"/>
      <c r="AV2999" s="80" t="str">
        <f>HYPERLINK("https://pbs.twimg.com/profile_images/1559883556846977024/bXHnQFY0_normal.jpg")</f>
        <v>https://pbs.twimg.com/profile_images/1559883556846977024/bXHnQFY0_normal.jpg</v>
      </c>
      <c r="AW2999" s="82" t="s">
        <v>15154</v>
      </c>
      <c r="AX2999" s="82" t="s">
        <v>15154</v>
      </c>
      <c r="AY2999" s="77"/>
      <c r="AZ2999" s="82" t="s">
        <v>15804</v>
      </c>
      <c r="BA2999" s="82" t="s">
        <v>15804</v>
      </c>
      <c r="BB2999" s="82" t="s">
        <v>15804</v>
      </c>
      <c r="BC2999" s="82" t="s">
        <v>15154</v>
      </c>
      <c r="BD2999" s="77">
        <v>51150679</v>
      </c>
      <c r="BE2999" s="77"/>
      <c r="BF2999" s="77"/>
      <c r="BG2999" s="77"/>
      <c r="BH2999" s="77"/>
      <c r="BI2999" s="77"/>
    </row>
    <row r="3000" spans="1:61" x14ac:dyDescent="0.25">
      <c r="A3000" s="62" t="s">
        <v>1027</v>
      </c>
      <c r="B3000" s="62" t="s">
        <v>1027</v>
      </c>
      <c r="C3000" s="63"/>
      <c r="D3000" s="64"/>
      <c r="E3000" s="65"/>
      <c r="F3000" s="66"/>
      <c r="G3000" s="63"/>
      <c r="H3000" s="67"/>
      <c r="I3000" s="68"/>
      <c r="J3000" s="68"/>
      <c r="K3000" s="32"/>
      <c r="L3000" s="75">
        <v>3000</v>
      </c>
      <c r="M3000" s="75"/>
      <c r="N3000" s="70"/>
      <c r="O3000" s="77" t="s">
        <v>179</v>
      </c>
      <c r="P3000" s="79">
        <v>45171.65289351852</v>
      </c>
      <c r="Q3000" s="77" t="s">
        <v>4012</v>
      </c>
      <c r="R3000" s="77">
        <v>0</v>
      </c>
      <c r="S3000" s="77">
        <v>2</v>
      </c>
      <c r="T3000" s="77">
        <v>2</v>
      </c>
      <c r="U3000" s="77">
        <v>0</v>
      </c>
      <c r="V3000" s="77">
        <v>1288</v>
      </c>
      <c r="W3000" s="82" t="s">
        <v>5942</v>
      </c>
      <c r="X3000" s="80" t="str">
        <f>HYPERLINK("https://www.moneytimes.com.br/the-town-prepare-o-bolso-na-hora-de-comer-combos-chegam-a-r-70/")</f>
        <v>https://www.moneytimes.com.br/the-town-prepare-o-bolso-na-hora-de-comer-combos-chegam-a-r-70/</v>
      </c>
      <c r="Y3000" s="77" t="s">
        <v>6002</v>
      </c>
      <c r="Z3000" s="77"/>
      <c r="AA3000" s="77"/>
      <c r="AB3000" s="77"/>
      <c r="AC3000" s="82" t="s">
        <v>7718</v>
      </c>
      <c r="AD3000" s="77" t="s">
        <v>7745</v>
      </c>
      <c r="AE3000" s="80" t="str">
        <f>HYPERLINK("https://twitter.com/leiamoneytimes/status/1697997853270921342")</f>
        <v>https://twitter.com/leiamoneytimes/status/1697997853270921342</v>
      </c>
      <c r="AF3000" s="79">
        <v>45171.65289351852</v>
      </c>
      <c r="AG3000" s="85">
        <v>45171</v>
      </c>
      <c r="AH3000" s="82" t="s">
        <v>10465</v>
      </c>
      <c r="AI3000" s="77" t="b">
        <v>0</v>
      </c>
      <c r="AJ3000" s="77"/>
      <c r="AK3000" s="77"/>
      <c r="AL3000" s="77"/>
      <c r="AM3000" s="77"/>
      <c r="AN3000" s="77"/>
      <c r="AO3000" s="77"/>
      <c r="AP3000" s="77"/>
      <c r="AQ3000" s="77"/>
      <c r="AR3000" s="77"/>
      <c r="AS3000" s="77"/>
      <c r="AT3000" s="77"/>
      <c r="AU3000" s="77"/>
      <c r="AV3000" s="80" t="str">
        <f>HYPERLINK("https://pbs.twimg.com/profile_images/1559883556846977024/bXHnQFY0_normal.jpg")</f>
        <v>https://pbs.twimg.com/profile_images/1559883556846977024/bXHnQFY0_normal.jpg</v>
      </c>
      <c r="AW3000" s="82" t="s">
        <v>15155</v>
      </c>
      <c r="AX3000" s="82" t="s">
        <v>15155</v>
      </c>
      <c r="AY3000" s="77"/>
      <c r="AZ3000" s="82" t="s">
        <v>15804</v>
      </c>
      <c r="BA3000" s="82" t="s">
        <v>15804</v>
      </c>
      <c r="BB3000" s="82" t="s">
        <v>15804</v>
      </c>
      <c r="BC3000" s="82" t="s">
        <v>15155</v>
      </c>
      <c r="BD3000" s="77">
        <v>51150679</v>
      </c>
      <c r="BE3000" s="77"/>
      <c r="BF3000" s="77"/>
      <c r="BG3000" s="77"/>
      <c r="BH3000" s="77"/>
      <c r="BI3000" s="77"/>
    </row>
    <row r="3001" spans="1:61" x14ac:dyDescent="0.25">
      <c r="A3001" s="62" t="s">
        <v>1027</v>
      </c>
      <c r="B3001" s="62" t="s">
        <v>1027</v>
      </c>
      <c r="C3001" s="63"/>
      <c r="D3001" s="64"/>
      <c r="E3001" s="65"/>
      <c r="F3001" s="66"/>
      <c r="G3001" s="63"/>
      <c r="H3001" s="67"/>
      <c r="I3001" s="68"/>
      <c r="J3001" s="68"/>
      <c r="K3001" s="32"/>
      <c r="L3001" s="75">
        <v>3001</v>
      </c>
      <c r="M3001" s="75"/>
      <c r="N3001" s="70"/>
      <c r="O3001" s="77" t="s">
        <v>179</v>
      </c>
      <c r="P3001" s="79">
        <v>45161.581678240742</v>
      </c>
      <c r="Q3001" s="77" t="s">
        <v>4013</v>
      </c>
      <c r="R3001" s="77">
        <v>0</v>
      </c>
      <c r="S3001" s="77">
        <v>5</v>
      </c>
      <c r="T3001" s="77">
        <v>1</v>
      </c>
      <c r="U3001" s="77">
        <v>0</v>
      </c>
      <c r="V3001" s="77">
        <v>1041</v>
      </c>
      <c r="W3001" s="82" t="s">
        <v>5873</v>
      </c>
      <c r="X3001" s="80" t="str">
        <f>HYPERLINK("https://www.moneytimes.com.br/restituicao-do-imposto-de-renda-2023-consulta-do-4o-lote-sera-liberada-nesta-quinta-24-confira-se-voce-recebe/")</f>
        <v>https://www.moneytimes.com.br/restituicao-do-imposto-de-renda-2023-consulta-do-4o-lote-sera-liberada-nesta-quinta-24-confira-se-voce-recebe/</v>
      </c>
      <c r="Y3001" s="77" t="s">
        <v>6002</v>
      </c>
      <c r="Z3001" s="77"/>
      <c r="AA3001" s="77"/>
      <c r="AB3001" s="77"/>
      <c r="AC3001" s="82" t="s">
        <v>7718</v>
      </c>
      <c r="AD3001" s="77" t="s">
        <v>7745</v>
      </c>
      <c r="AE3001" s="80" t="str">
        <f>HYPERLINK("https://twitter.com/leiamoneytimes/status/1694348167339286897")</f>
        <v>https://twitter.com/leiamoneytimes/status/1694348167339286897</v>
      </c>
      <c r="AF3001" s="79">
        <v>45161.581678240742</v>
      </c>
      <c r="AG3001" s="85">
        <v>45161</v>
      </c>
      <c r="AH3001" s="82" t="s">
        <v>10466</v>
      </c>
      <c r="AI3001" s="77" t="b">
        <v>0</v>
      </c>
      <c r="AJ3001" s="77"/>
      <c r="AK3001" s="77"/>
      <c r="AL3001" s="77"/>
      <c r="AM3001" s="77"/>
      <c r="AN3001" s="77"/>
      <c r="AO3001" s="77"/>
      <c r="AP3001" s="77"/>
      <c r="AQ3001" s="77"/>
      <c r="AR3001" s="77"/>
      <c r="AS3001" s="77"/>
      <c r="AT3001" s="77"/>
      <c r="AU3001" s="77"/>
      <c r="AV3001" s="80" t="str">
        <f>HYPERLINK("https://pbs.twimg.com/profile_images/1559883556846977024/bXHnQFY0_normal.jpg")</f>
        <v>https://pbs.twimg.com/profile_images/1559883556846977024/bXHnQFY0_normal.jpg</v>
      </c>
      <c r="AW3001" s="82" t="s">
        <v>15156</v>
      </c>
      <c r="AX3001" s="82" t="s">
        <v>15156</v>
      </c>
      <c r="AY3001" s="77"/>
      <c r="AZ3001" s="82" t="s">
        <v>15804</v>
      </c>
      <c r="BA3001" s="82" t="s">
        <v>15804</v>
      </c>
      <c r="BB3001" s="82" t="s">
        <v>15804</v>
      </c>
      <c r="BC3001" s="82" t="s">
        <v>15156</v>
      </c>
      <c r="BD3001" s="77">
        <v>51150679</v>
      </c>
      <c r="BE3001" s="77"/>
      <c r="BF3001" s="77"/>
      <c r="BG3001" s="77"/>
      <c r="BH3001" s="77"/>
      <c r="BI3001" s="77"/>
    </row>
    <row r="3002" spans="1:61" x14ac:dyDescent="0.25">
      <c r="A3002" s="62" t="s">
        <v>1027</v>
      </c>
      <c r="B3002" s="62" t="s">
        <v>1027</v>
      </c>
      <c r="C3002" s="63"/>
      <c r="D3002" s="64"/>
      <c r="E3002" s="65"/>
      <c r="F3002" s="66"/>
      <c r="G3002" s="63"/>
      <c r="H3002" s="67"/>
      <c r="I3002" s="68"/>
      <c r="J3002" s="68"/>
      <c r="K3002" s="32"/>
      <c r="L3002" s="75">
        <v>3002</v>
      </c>
      <c r="M3002" s="75"/>
      <c r="N3002" s="70"/>
      <c r="O3002" s="77" t="s">
        <v>179</v>
      </c>
      <c r="P3002" s="79">
        <v>45154.587141203701</v>
      </c>
      <c r="Q3002" s="77" t="s">
        <v>4014</v>
      </c>
      <c r="R3002" s="77">
        <v>2</v>
      </c>
      <c r="S3002" s="77">
        <v>7</v>
      </c>
      <c r="T3002" s="77">
        <v>1</v>
      </c>
      <c r="U3002" s="77">
        <v>0</v>
      </c>
      <c r="V3002" s="77">
        <v>1016</v>
      </c>
      <c r="W3002" s="82" t="s">
        <v>5873</v>
      </c>
      <c r="X3002" s="80" t="str">
        <f>HYPERLINK("https://www.moneytimes.com.br/tabela-da-restituicao-do-imposto-de-renda-veja-proximas-datas-e-se-ira-receber/")</f>
        <v>https://www.moneytimes.com.br/tabela-da-restituicao-do-imposto-de-renda-veja-proximas-datas-e-se-ira-receber/</v>
      </c>
      <c r="Y3002" s="77" t="s">
        <v>6002</v>
      </c>
      <c r="Z3002" s="77"/>
      <c r="AA3002" s="77"/>
      <c r="AB3002" s="77"/>
      <c r="AC3002" s="82" t="s">
        <v>7718</v>
      </c>
      <c r="AD3002" s="77" t="s">
        <v>7745</v>
      </c>
      <c r="AE3002" s="80" t="str">
        <f>HYPERLINK("https://twitter.com/leiamoneytimes/status/1691813431320470014")</f>
        <v>https://twitter.com/leiamoneytimes/status/1691813431320470014</v>
      </c>
      <c r="AF3002" s="79">
        <v>45154.587141203701</v>
      </c>
      <c r="AG3002" s="85">
        <v>45154</v>
      </c>
      <c r="AH3002" s="82" t="s">
        <v>10467</v>
      </c>
      <c r="AI3002" s="77" t="b">
        <v>0</v>
      </c>
      <c r="AJ3002" s="77"/>
      <c r="AK3002" s="77"/>
      <c r="AL3002" s="77"/>
      <c r="AM3002" s="77"/>
      <c r="AN3002" s="77"/>
      <c r="AO3002" s="77"/>
      <c r="AP3002" s="77"/>
      <c r="AQ3002" s="77"/>
      <c r="AR3002" s="77"/>
      <c r="AS3002" s="77"/>
      <c r="AT3002" s="77"/>
      <c r="AU3002" s="77"/>
      <c r="AV3002" s="80" t="str">
        <f>HYPERLINK("https://pbs.twimg.com/profile_images/1559883556846977024/bXHnQFY0_normal.jpg")</f>
        <v>https://pbs.twimg.com/profile_images/1559883556846977024/bXHnQFY0_normal.jpg</v>
      </c>
      <c r="AW3002" s="82" t="s">
        <v>15157</v>
      </c>
      <c r="AX3002" s="82" t="s">
        <v>15157</v>
      </c>
      <c r="AY3002" s="77"/>
      <c r="AZ3002" s="82" t="s">
        <v>15804</v>
      </c>
      <c r="BA3002" s="82" t="s">
        <v>15804</v>
      </c>
      <c r="BB3002" s="82" t="s">
        <v>15804</v>
      </c>
      <c r="BC3002" s="82" t="s">
        <v>15157</v>
      </c>
      <c r="BD3002" s="77">
        <v>51150679</v>
      </c>
      <c r="BE3002" s="77"/>
      <c r="BF3002" s="77"/>
      <c r="BG3002" s="77"/>
      <c r="BH3002" s="77"/>
      <c r="BI3002" s="77"/>
    </row>
    <row r="3003" spans="1:61" x14ac:dyDescent="0.25">
      <c r="A3003" s="62" t="s">
        <v>1027</v>
      </c>
      <c r="B3003" s="62" t="s">
        <v>1027</v>
      </c>
      <c r="C3003" s="63"/>
      <c r="D3003" s="64"/>
      <c r="E3003" s="65"/>
      <c r="F3003" s="66"/>
      <c r="G3003" s="63"/>
      <c r="H3003" s="67"/>
      <c r="I3003" s="68"/>
      <c r="J3003" s="68"/>
      <c r="K3003" s="32"/>
      <c r="L3003" s="75">
        <v>3003</v>
      </c>
      <c r="M3003" s="75"/>
      <c r="N3003" s="70"/>
      <c r="O3003" s="77" t="s">
        <v>179</v>
      </c>
      <c r="P3003" s="79">
        <v>45143.868831018517</v>
      </c>
      <c r="Q3003" s="77" t="s">
        <v>4015</v>
      </c>
      <c r="R3003" s="77">
        <v>0</v>
      </c>
      <c r="S3003" s="77">
        <v>3</v>
      </c>
      <c r="T3003" s="77">
        <v>1</v>
      </c>
      <c r="U3003" s="77">
        <v>0</v>
      </c>
      <c r="V3003" s="77">
        <v>1689</v>
      </c>
      <c r="W3003" s="82" t="s">
        <v>5943</v>
      </c>
      <c r="X3003" s="80" t="str">
        <f>HYPERLINK("https://www.moneytimes.com.br/perdeu-a-fe-na-mega-sena-veja-loterias-americanas-que-pagam-bilhoes/")</f>
        <v>https://www.moneytimes.com.br/perdeu-a-fe-na-mega-sena-veja-loterias-americanas-que-pagam-bilhoes/</v>
      </c>
      <c r="Y3003" s="77" t="s">
        <v>6002</v>
      </c>
      <c r="Z3003" s="77"/>
      <c r="AA3003" s="77"/>
      <c r="AB3003" s="77"/>
      <c r="AC3003" s="82" t="s">
        <v>7718</v>
      </c>
      <c r="AD3003" s="77" t="s">
        <v>7745</v>
      </c>
      <c r="AE3003" s="80" t="str">
        <f>HYPERLINK("https://twitter.com/leiamoneytimes/status/1687929245765398528")</f>
        <v>https://twitter.com/leiamoneytimes/status/1687929245765398528</v>
      </c>
      <c r="AF3003" s="79">
        <v>45143.868831018517</v>
      </c>
      <c r="AG3003" s="85">
        <v>45143</v>
      </c>
      <c r="AH3003" s="82" t="s">
        <v>10468</v>
      </c>
      <c r="AI3003" s="77" t="b">
        <v>0</v>
      </c>
      <c r="AJ3003" s="77"/>
      <c r="AK3003" s="77"/>
      <c r="AL3003" s="77"/>
      <c r="AM3003" s="77"/>
      <c r="AN3003" s="77"/>
      <c r="AO3003" s="77"/>
      <c r="AP3003" s="77"/>
      <c r="AQ3003" s="77"/>
      <c r="AR3003" s="77"/>
      <c r="AS3003" s="77"/>
      <c r="AT3003" s="77"/>
      <c r="AU3003" s="77"/>
      <c r="AV3003" s="80" t="str">
        <f>HYPERLINK("https://pbs.twimg.com/profile_images/1559883556846977024/bXHnQFY0_normal.jpg")</f>
        <v>https://pbs.twimg.com/profile_images/1559883556846977024/bXHnQFY0_normal.jpg</v>
      </c>
      <c r="AW3003" s="82" t="s">
        <v>15158</v>
      </c>
      <c r="AX3003" s="82" t="s">
        <v>15158</v>
      </c>
      <c r="AY3003" s="77"/>
      <c r="AZ3003" s="82" t="s">
        <v>15804</v>
      </c>
      <c r="BA3003" s="82" t="s">
        <v>15804</v>
      </c>
      <c r="BB3003" s="82" t="s">
        <v>15804</v>
      </c>
      <c r="BC3003" s="82" t="s">
        <v>15158</v>
      </c>
      <c r="BD3003" s="77">
        <v>51150679</v>
      </c>
      <c r="BE3003" s="77"/>
      <c r="BF3003" s="77"/>
      <c r="BG3003" s="77"/>
      <c r="BH3003" s="77"/>
      <c r="BI3003" s="77"/>
    </row>
    <row r="3004" spans="1:61" x14ac:dyDescent="0.25">
      <c r="A3004" s="62" t="s">
        <v>1027</v>
      </c>
      <c r="B3004" s="62" t="s">
        <v>1027</v>
      </c>
      <c r="C3004" s="63"/>
      <c r="D3004" s="64"/>
      <c r="E3004" s="65"/>
      <c r="F3004" s="66"/>
      <c r="G3004" s="63"/>
      <c r="H3004" s="67"/>
      <c r="I3004" s="68"/>
      <c r="J3004" s="68"/>
      <c r="K3004" s="32"/>
      <c r="L3004" s="75">
        <v>3004</v>
      </c>
      <c r="M3004" s="75"/>
      <c r="N3004" s="70"/>
      <c r="O3004" s="77" t="s">
        <v>179</v>
      </c>
      <c r="P3004" s="79">
        <v>45142.837280092594</v>
      </c>
      <c r="Q3004" s="77" t="s">
        <v>4016</v>
      </c>
      <c r="R3004" s="77">
        <v>0</v>
      </c>
      <c r="S3004" s="77">
        <v>0</v>
      </c>
      <c r="T3004" s="77">
        <v>0</v>
      </c>
      <c r="U3004" s="77">
        <v>0</v>
      </c>
      <c r="V3004" s="77">
        <v>1243</v>
      </c>
      <c r="W3004" s="82" t="s">
        <v>5944</v>
      </c>
      <c r="X3004" s="80" t="str">
        <f>HYPERLINK("https://www.moneytimes.com.br/como-investir-no-tesouro-selic-e-o-quanto-pode-render-nos-proximos-12-meses/")</f>
        <v>https://www.moneytimes.com.br/como-investir-no-tesouro-selic-e-o-quanto-pode-render-nos-proximos-12-meses/</v>
      </c>
      <c r="Y3004" s="77" t="s">
        <v>6002</v>
      </c>
      <c r="Z3004" s="77"/>
      <c r="AA3004" s="77"/>
      <c r="AB3004" s="77"/>
      <c r="AC3004" s="82" t="s">
        <v>7718</v>
      </c>
      <c r="AD3004" s="77" t="s">
        <v>7745</v>
      </c>
      <c r="AE3004" s="80" t="str">
        <f>HYPERLINK("https://twitter.com/leiamoneytimes/status/1687555424063488000")</f>
        <v>https://twitter.com/leiamoneytimes/status/1687555424063488000</v>
      </c>
      <c r="AF3004" s="79">
        <v>45142.837280092594</v>
      </c>
      <c r="AG3004" s="85">
        <v>45142</v>
      </c>
      <c r="AH3004" s="82" t="s">
        <v>10469</v>
      </c>
      <c r="AI3004" s="77" t="b">
        <v>0</v>
      </c>
      <c r="AJ3004" s="77"/>
      <c r="AK3004" s="77"/>
      <c r="AL3004" s="77"/>
      <c r="AM3004" s="77"/>
      <c r="AN3004" s="77"/>
      <c r="AO3004" s="77"/>
      <c r="AP3004" s="77"/>
      <c r="AQ3004" s="77"/>
      <c r="AR3004" s="77"/>
      <c r="AS3004" s="77"/>
      <c r="AT3004" s="77"/>
      <c r="AU3004" s="77"/>
      <c r="AV3004" s="80" t="str">
        <f>HYPERLINK("https://pbs.twimg.com/profile_images/1559883556846977024/bXHnQFY0_normal.jpg")</f>
        <v>https://pbs.twimg.com/profile_images/1559883556846977024/bXHnQFY0_normal.jpg</v>
      </c>
      <c r="AW3004" s="82" t="s">
        <v>15159</v>
      </c>
      <c r="AX3004" s="82" t="s">
        <v>15159</v>
      </c>
      <c r="AY3004" s="77"/>
      <c r="AZ3004" s="82" t="s">
        <v>15804</v>
      </c>
      <c r="BA3004" s="82" t="s">
        <v>15804</v>
      </c>
      <c r="BB3004" s="82" t="s">
        <v>15804</v>
      </c>
      <c r="BC3004" s="82" t="s">
        <v>15159</v>
      </c>
      <c r="BD3004" s="77">
        <v>51150679</v>
      </c>
      <c r="BE3004" s="77"/>
      <c r="BF3004" s="77"/>
      <c r="BG3004" s="77"/>
      <c r="BH3004" s="77"/>
      <c r="BI3004" s="77"/>
    </row>
    <row r="3005" spans="1:61" x14ac:dyDescent="0.25">
      <c r="A3005" s="62" t="s">
        <v>1027</v>
      </c>
      <c r="B3005" s="62" t="s">
        <v>1027</v>
      </c>
      <c r="C3005" s="63"/>
      <c r="D3005" s="64"/>
      <c r="E3005" s="65"/>
      <c r="F3005" s="66"/>
      <c r="G3005" s="63"/>
      <c r="H3005" s="67"/>
      <c r="I3005" s="68"/>
      <c r="J3005" s="68"/>
      <c r="K3005" s="32"/>
      <c r="L3005" s="75">
        <v>3005</v>
      </c>
      <c r="M3005" s="75"/>
      <c r="N3005" s="70"/>
      <c r="O3005" s="77" t="s">
        <v>179</v>
      </c>
      <c r="P3005" s="79">
        <v>45099.528090277781</v>
      </c>
      <c r="Q3005" s="77" t="s">
        <v>4017</v>
      </c>
      <c r="R3005" s="77">
        <v>0</v>
      </c>
      <c r="S3005" s="77">
        <v>3</v>
      </c>
      <c r="T3005" s="77">
        <v>0</v>
      </c>
      <c r="U3005" s="77">
        <v>0</v>
      </c>
      <c r="V3005" s="77">
        <v>1109</v>
      </c>
      <c r="W3005" s="82" t="s">
        <v>5865</v>
      </c>
      <c r="X3005" s="80" t="str">
        <f>HYPERLINK("https://www.moneytimes.com.br/restituicao-do-imposto-de-renda-receita-libera-consulta-do-2o-lote-nesta-sexta-feira-23-veja-se-ira-receber/")</f>
        <v>https://www.moneytimes.com.br/restituicao-do-imposto-de-renda-receita-libera-consulta-do-2o-lote-nesta-sexta-feira-23-veja-se-ira-receber/</v>
      </c>
      <c r="Y3005" s="77" t="s">
        <v>6002</v>
      </c>
      <c r="Z3005" s="77"/>
      <c r="AA3005" s="77"/>
      <c r="AB3005" s="77"/>
      <c r="AC3005" s="82" t="s">
        <v>7718</v>
      </c>
      <c r="AD3005" s="77" t="s">
        <v>7745</v>
      </c>
      <c r="AE3005" s="80" t="str">
        <f>HYPERLINK("https://twitter.com/leiamoneytimes/status/1671860700170317830")</f>
        <v>https://twitter.com/leiamoneytimes/status/1671860700170317830</v>
      </c>
      <c r="AF3005" s="79">
        <v>45099.528090277781</v>
      </c>
      <c r="AG3005" s="85">
        <v>45099</v>
      </c>
      <c r="AH3005" s="82" t="s">
        <v>10470</v>
      </c>
      <c r="AI3005" s="77" t="b">
        <v>0</v>
      </c>
      <c r="AJ3005" s="77"/>
      <c r="AK3005" s="77"/>
      <c r="AL3005" s="77"/>
      <c r="AM3005" s="77"/>
      <c r="AN3005" s="77"/>
      <c r="AO3005" s="77"/>
      <c r="AP3005" s="77"/>
      <c r="AQ3005" s="77"/>
      <c r="AR3005" s="77"/>
      <c r="AS3005" s="77"/>
      <c r="AT3005" s="77"/>
      <c r="AU3005" s="77"/>
      <c r="AV3005" s="80" t="str">
        <f>HYPERLINK("https://pbs.twimg.com/profile_images/1559883556846977024/bXHnQFY0_normal.jpg")</f>
        <v>https://pbs.twimg.com/profile_images/1559883556846977024/bXHnQFY0_normal.jpg</v>
      </c>
      <c r="AW3005" s="82" t="s">
        <v>15160</v>
      </c>
      <c r="AX3005" s="82" t="s">
        <v>15160</v>
      </c>
      <c r="AY3005" s="77"/>
      <c r="AZ3005" s="82" t="s">
        <v>15804</v>
      </c>
      <c r="BA3005" s="82" t="s">
        <v>15804</v>
      </c>
      <c r="BB3005" s="82" t="s">
        <v>15804</v>
      </c>
      <c r="BC3005" s="82" t="s">
        <v>15160</v>
      </c>
      <c r="BD3005" s="77">
        <v>51150679</v>
      </c>
      <c r="BE3005" s="77"/>
      <c r="BF3005" s="77"/>
      <c r="BG3005" s="77"/>
      <c r="BH3005" s="77"/>
      <c r="BI3005" s="77"/>
    </row>
    <row r="3006" spans="1:61" x14ac:dyDescent="0.25">
      <c r="A3006" s="62" t="s">
        <v>1027</v>
      </c>
      <c r="B3006" s="62" t="s">
        <v>1027</v>
      </c>
      <c r="C3006" s="63"/>
      <c r="D3006" s="64"/>
      <c r="E3006" s="65"/>
      <c r="F3006" s="66"/>
      <c r="G3006" s="63"/>
      <c r="H3006" s="67"/>
      <c r="I3006" s="68"/>
      <c r="J3006" s="68"/>
      <c r="K3006" s="32"/>
      <c r="L3006" s="75">
        <v>3006</v>
      </c>
      <c r="M3006" s="75"/>
      <c r="N3006" s="70"/>
      <c r="O3006" s="77" t="s">
        <v>179</v>
      </c>
      <c r="P3006" s="79">
        <v>45056.501805555556</v>
      </c>
      <c r="Q3006" s="77" t="s">
        <v>4018</v>
      </c>
      <c r="R3006" s="77">
        <v>0</v>
      </c>
      <c r="S3006" s="77">
        <v>1</v>
      </c>
      <c r="T3006" s="77">
        <v>1</v>
      </c>
      <c r="U3006" s="77">
        <v>0</v>
      </c>
      <c r="V3006" s="77">
        <v>1004</v>
      </c>
      <c r="W3006" s="82" t="s">
        <v>5858</v>
      </c>
      <c r="X3006" s="80" t="str">
        <f>HYPERLINK("https://www.moneytimes.com.br/imposto-de-renda-2023-voce-tem-ate-hoje-para-entrar-no-1o-lote-da-restituicao-entenda/")</f>
        <v>https://www.moneytimes.com.br/imposto-de-renda-2023-voce-tem-ate-hoje-para-entrar-no-1o-lote-da-restituicao-entenda/</v>
      </c>
      <c r="Y3006" s="77" t="s">
        <v>6002</v>
      </c>
      <c r="Z3006" s="77"/>
      <c r="AA3006" s="77"/>
      <c r="AB3006" s="77"/>
      <c r="AC3006" s="82" t="s">
        <v>7718</v>
      </c>
      <c r="AD3006" s="77" t="s">
        <v>7745</v>
      </c>
      <c r="AE3006" s="80" t="str">
        <f>HYPERLINK("https://twitter.com/leiamoneytimes/status/1656268496374775808")</f>
        <v>https://twitter.com/leiamoneytimes/status/1656268496374775808</v>
      </c>
      <c r="AF3006" s="79">
        <v>45056.501805555556</v>
      </c>
      <c r="AG3006" s="85">
        <v>45056</v>
      </c>
      <c r="AH3006" s="82" t="s">
        <v>10471</v>
      </c>
      <c r="AI3006" s="77" t="b">
        <v>0</v>
      </c>
      <c r="AJ3006" s="77"/>
      <c r="AK3006" s="77"/>
      <c r="AL3006" s="77"/>
      <c r="AM3006" s="77"/>
      <c r="AN3006" s="77"/>
      <c r="AO3006" s="77"/>
      <c r="AP3006" s="77"/>
      <c r="AQ3006" s="77"/>
      <c r="AR3006" s="77"/>
      <c r="AS3006" s="77"/>
      <c r="AT3006" s="77"/>
      <c r="AU3006" s="77"/>
      <c r="AV3006" s="80" t="str">
        <f>HYPERLINK("https://pbs.twimg.com/profile_images/1559883556846977024/bXHnQFY0_normal.jpg")</f>
        <v>https://pbs.twimg.com/profile_images/1559883556846977024/bXHnQFY0_normal.jpg</v>
      </c>
      <c r="AW3006" s="82" t="s">
        <v>15161</v>
      </c>
      <c r="AX3006" s="82" t="s">
        <v>15161</v>
      </c>
      <c r="AY3006" s="77"/>
      <c r="AZ3006" s="82" t="s">
        <v>15804</v>
      </c>
      <c r="BA3006" s="82" t="s">
        <v>15804</v>
      </c>
      <c r="BB3006" s="82" t="s">
        <v>15804</v>
      </c>
      <c r="BC3006" s="82" t="s">
        <v>15161</v>
      </c>
      <c r="BD3006" s="77">
        <v>51150679</v>
      </c>
      <c r="BE3006" s="77"/>
      <c r="BF3006" s="77"/>
      <c r="BG3006" s="77"/>
      <c r="BH3006" s="77"/>
      <c r="BI3006" s="77"/>
    </row>
    <row r="3007" spans="1:61" x14ac:dyDescent="0.25">
      <c r="A3007" s="62" t="s">
        <v>1027</v>
      </c>
      <c r="B3007" s="62" t="s">
        <v>1027</v>
      </c>
      <c r="C3007" s="63"/>
      <c r="D3007" s="64"/>
      <c r="E3007" s="65"/>
      <c r="F3007" s="66"/>
      <c r="G3007" s="63"/>
      <c r="H3007" s="67"/>
      <c r="I3007" s="68"/>
      <c r="J3007" s="68"/>
      <c r="K3007" s="32"/>
      <c r="L3007" s="75">
        <v>3007</v>
      </c>
      <c r="M3007" s="75"/>
      <c r="N3007" s="70"/>
      <c r="O3007" s="77" t="s">
        <v>179</v>
      </c>
      <c r="P3007" s="79">
        <v>45055.542372685188</v>
      </c>
      <c r="Q3007" s="77" t="s">
        <v>4019</v>
      </c>
      <c r="R3007" s="77">
        <v>0</v>
      </c>
      <c r="S3007" s="77">
        <v>6</v>
      </c>
      <c r="T3007" s="77">
        <v>1</v>
      </c>
      <c r="U3007" s="77">
        <v>0</v>
      </c>
      <c r="V3007" s="77">
        <v>1082</v>
      </c>
      <c r="W3007" s="82" t="s">
        <v>5858</v>
      </c>
      <c r="X3007" s="80" t="str">
        <f>HYPERLINK("https://www.moneytimes.com.br/imposto-de-renda-prazo-para-tentar-entrar-no-1o-lote-da-restituicao-acaba-amanha-o-que-voce-precisa-para-declarar/")</f>
        <v>https://www.moneytimes.com.br/imposto-de-renda-prazo-para-tentar-entrar-no-1o-lote-da-restituicao-acaba-amanha-o-que-voce-precisa-para-declarar/</v>
      </c>
      <c r="Y3007" s="77" t="s">
        <v>6002</v>
      </c>
      <c r="Z3007" s="77"/>
      <c r="AA3007" s="77"/>
      <c r="AB3007" s="77"/>
      <c r="AC3007" s="82" t="s">
        <v>7718</v>
      </c>
      <c r="AD3007" s="77" t="s">
        <v>7745</v>
      </c>
      <c r="AE3007" s="80" t="str">
        <f>HYPERLINK("https://twitter.com/leiamoneytimes/status/1655920812480684035")</f>
        <v>https://twitter.com/leiamoneytimes/status/1655920812480684035</v>
      </c>
      <c r="AF3007" s="79">
        <v>45055.542372685188</v>
      </c>
      <c r="AG3007" s="85">
        <v>45055</v>
      </c>
      <c r="AH3007" s="82" t="s">
        <v>10472</v>
      </c>
      <c r="AI3007" s="77" t="b">
        <v>0</v>
      </c>
      <c r="AJ3007" s="77"/>
      <c r="AK3007" s="77"/>
      <c r="AL3007" s="77"/>
      <c r="AM3007" s="77"/>
      <c r="AN3007" s="77"/>
      <c r="AO3007" s="77"/>
      <c r="AP3007" s="77"/>
      <c r="AQ3007" s="77"/>
      <c r="AR3007" s="77"/>
      <c r="AS3007" s="77"/>
      <c r="AT3007" s="77"/>
      <c r="AU3007" s="77"/>
      <c r="AV3007" s="80" t="str">
        <f>HYPERLINK("https://pbs.twimg.com/profile_images/1559883556846977024/bXHnQFY0_normal.jpg")</f>
        <v>https://pbs.twimg.com/profile_images/1559883556846977024/bXHnQFY0_normal.jpg</v>
      </c>
      <c r="AW3007" s="82" t="s">
        <v>15162</v>
      </c>
      <c r="AX3007" s="82" t="s">
        <v>15162</v>
      </c>
      <c r="AY3007" s="77"/>
      <c r="AZ3007" s="82" t="s">
        <v>15804</v>
      </c>
      <c r="BA3007" s="82" t="s">
        <v>15804</v>
      </c>
      <c r="BB3007" s="82" t="s">
        <v>15804</v>
      </c>
      <c r="BC3007" s="82" t="s">
        <v>15162</v>
      </c>
      <c r="BD3007" s="77">
        <v>51150679</v>
      </c>
      <c r="BE3007" s="77"/>
      <c r="BF3007" s="77"/>
      <c r="BG3007" s="77"/>
      <c r="BH3007" s="77"/>
      <c r="BI3007" s="77"/>
    </row>
    <row r="3008" spans="1:61" x14ac:dyDescent="0.25">
      <c r="A3008" s="62" t="s">
        <v>1027</v>
      </c>
      <c r="B3008" s="62" t="s">
        <v>1027</v>
      </c>
      <c r="C3008" s="63"/>
      <c r="D3008" s="64"/>
      <c r="E3008" s="65"/>
      <c r="F3008" s="66"/>
      <c r="G3008" s="63"/>
      <c r="H3008" s="67"/>
      <c r="I3008" s="68"/>
      <c r="J3008" s="68"/>
      <c r="K3008" s="32"/>
      <c r="L3008" s="75">
        <v>3008</v>
      </c>
      <c r="M3008" s="75"/>
      <c r="N3008" s="70"/>
      <c r="O3008" s="77" t="s">
        <v>179</v>
      </c>
      <c r="P3008" s="79">
        <v>45054.800995370373</v>
      </c>
      <c r="Q3008" s="77" t="s">
        <v>4020</v>
      </c>
      <c r="R3008" s="77">
        <v>0</v>
      </c>
      <c r="S3008" s="77">
        <v>0</v>
      </c>
      <c r="T3008" s="77">
        <v>1</v>
      </c>
      <c r="U3008" s="77">
        <v>0</v>
      </c>
      <c r="V3008" s="77">
        <v>1088</v>
      </c>
      <c r="W3008" s="82" t="s">
        <v>5871</v>
      </c>
      <c r="X3008" s="80" t="str">
        <f>HYPERLINK("https://www.moneytimes.com.br/imposto-de-renda-2023-como-declarar-premios-de-loteria-bingo-e-apostas-online/")</f>
        <v>https://www.moneytimes.com.br/imposto-de-renda-2023-como-declarar-premios-de-loteria-bingo-e-apostas-online/</v>
      </c>
      <c r="Y3008" s="77" t="s">
        <v>6002</v>
      </c>
      <c r="Z3008" s="77"/>
      <c r="AA3008" s="77"/>
      <c r="AB3008" s="77"/>
      <c r="AC3008" s="82" t="s">
        <v>7718</v>
      </c>
      <c r="AD3008" s="77" t="s">
        <v>7745</v>
      </c>
      <c r="AE3008" s="80" t="str">
        <f>HYPERLINK("https://twitter.com/leiamoneytimes/status/1655652144609910790")</f>
        <v>https://twitter.com/leiamoneytimes/status/1655652144609910790</v>
      </c>
      <c r="AF3008" s="79">
        <v>45054.800995370373</v>
      </c>
      <c r="AG3008" s="85">
        <v>45054</v>
      </c>
      <c r="AH3008" s="82" t="s">
        <v>10473</v>
      </c>
      <c r="AI3008" s="77" t="b">
        <v>0</v>
      </c>
      <c r="AJ3008" s="77"/>
      <c r="AK3008" s="77"/>
      <c r="AL3008" s="77"/>
      <c r="AM3008" s="77"/>
      <c r="AN3008" s="77"/>
      <c r="AO3008" s="77"/>
      <c r="AP3008" s="77"/>
      <c r="AQ3008" s="77"/>
      <c r="AR3008" s="77"/>
      <c r="AS3008" s="77"/>
      <c r="AT3008" s="77"/>
      <c r="AU3008" s="77"/>
      <c r="AV3008" s="80" t="str">
        <f>HYPERLINK("https://pbs.twimg.com/profile_images/1559883556846977024/bXHnQFY0_normal.jpg")</f>
        <v>https://pbs.twimg.com/profile_images/1559883556846977024/bXHnQFY0_normal.jpg</v>
      </c>
      <c r="AW3008" s="82" t="s">
        <v>15163</v>
      </c>
      <c r="AX3008" s="82" t="s">
        <v>15163</v>
      </c>
      <c r="AY3008" s="77"/>
      <c r="AZ3008" s="82" t="s">
        <v>15804</v>
      </c>
      <c r="BA3008" s="82" t="s">
        <v>15804</v>
      </c>
      <c r="BB3008" s="82" t="s">
        <v>15804</v>
      </c>
      <c r="BC3008" s="82" t="s">
        <v>15163</v>
      </c>
      <c r="BD3008" s="77">
        <v>51150679</v>
      </c>
      <c r="BE3008" s="77"/>
      <c r="BF3008" s="77"/>
      <c r="BG3008" s="77"/>
      <c r="BH3008" s="77"/>
      <c r="BI3008" s="77"/>
    </row>
    <row r="3009" spans="1:61" x14ac:dyDescent="0.25">
      <c r="A3009" s="62" t="s">
        <v>1027</v>
      </c>
      <c r="B3009" s="62" t="s">
        <v>1027</v>
      </c>
      <c r="C3009" s="63"/>
      <c r="D3009" s="64"/>
      <c r="E3009" s="65"/>
      <c r="F3009" s="66"/>
      <c r="G3009" s="63"/>
      <c r="H3009" s="67"/>
      <c r="I3009" s="68"/>
      <c r="J3009" s="68"/>
      <c r="K3009" s="32"/>
      <c r="L3009" s="75">
        <v>3009</v>
      </c>
      <c r="M3009" s="75"/>
      <c r="N3009" s="70"/>
      <c r="O3009" s="77" t="s">
        <v>179</v>
      </c>
      <c r="P3009" s="79">
        <v>45052.876273148147</v>
      </c>
      <c r="Q3009" s="77" t="s">
        <v>4021</v>
      </c>
      <c r="R3009" s="77">
        <v>1</v>
      </c>
      <c r="S3009" s="77">
        <v>10</v>
      </c>
      <c r="T3009" s="77">
        <v>2</v>
      </c>
      <c r="U3009" s="77">
        <v>0</v>
      </c>
      <c r="V3009" s="77">
        <v>2905</v>
      </c>
      <c r="W3009" s="82" t="s">
        <v>5945</v>
      </c>
      <c r="X3009" s="80" t="str">
        <f>HYPERLINK("https://www.moneytimes.com.br/e-possivel-ganhar-r-273-mil-para-se-mudar-para-a-europa-veja-como/")</f>
        <v>https://www.moneytimes.com.br/e-possivel-ganhar-r-273-mil-para-se-mudar-para-a-europa-veja-como/</v>
      </c>
      <c r="Y3009" s="77" t="s">
        <v>6002</v>
      </c>
      <c r="Z3009" s="77"/>
      <c r="AA3009" s="77"/>
      <c r="AB3009" s="77"/>
      <c r="AC3009" s="82" t="s">
        <v>7718</v>
      </c>
      <c r="AD3009" s="77" t="s">
        <v>7745</v>
      </c>
      <c r="AE3009" s="80" t="str">
        <f>HYPERLINK("https://twitter.com/leiamoneytimes/status/1654954650343292936")</f>
        <v>https://twitter.com/leiamoneytimes/status/1654954650343292936</v>
      </c>
      <c r="AF3009" s="79">
        <v>45052.876273148147</v>
      </c>
      <c r="AG3009" s="85">
        <v>45052</v>
      </c>
      <c r="AH3009" s="82" t="s">
        <v>10474</v>
      </c>
      <c r="AI3009" s="77" t="b">
        <v>0</v>
      </c>
      <c r="AJ3009" s="77"/>
      <c r="AK3009" s="77"/>
      <c r="AL3009" s="77"/>
      <c r="AM3009" s="77"/>
      <c r="AN3009" s="77"/>
      <c r="AO3009" s="77"/>
      <c r="AP3009" s="77"/>
      <c r="AQ3009" s="77"/>
      <c r="AR3009" s="77"/>
      <c r="AS3009" s="77"/>
      <c r="AT3009" s="77"/>
      <c r="AU3009" s="77"/>
      <c r="AV3009" s="80" t="str">
        <f>HYPERLINK("https://pbs.twimg.com/profile_images/1559883556846977024/bXHnQFY0_normal.jpg")</f>
        <v>https://pbs.twimg.com/profile_images/1559883556846977024/bXHnQFY0_normal.jpg</v>
      </c>
      <c r="AW3009" s="82" t="s">
        <v>15164</v>
      </c>
      <c r="AX3009" s="82" t="s">
        <v>15164</v>
      </c>
      <c r="AY3009" s="77"/>
      <c r="AZ3009" s="82" t="s">
        <v>15804</v>
      </c>
      <c r="BA3009" s="82" t="s">
        <v>15804</v>
      </c>
      <c r="BB3009" s="82" t="s">
        <v>15804</v>
      </c>
      <c r="BC3009" s="82" t="s">
        <v>15164</v>
      </c>
      <c r="BD3009" s="77">
        <v>51150679</v>
      </c>
      <c r="BE3009" s="77"/>
      <c r="BF3009" s="77"/>
      <c r="BG3009" s="77"/>
      <c r="BH3009" s="77"/>
      <c r="BI3009" s="77"/>
    </row>
    <row r="3010" spans="1:61" x14ac:dyDescent="0.25">
      <c r="A3010" s="62" t="s">
        <v>1027</v>
      </c>
      <c r="B3010" s="62" t="s">
        <v>1027</v>
      </c>
      <c r="C3010" s="63"/>
      <c r="D3010" s="64"/>
      <c r="E3010" s="65"/>
      <c r="F3010" s="66"/>
      <c r="G3010" s="63"/>
      <c r="H3010" s="67"/>
      <c r="I3010" s="68"/>
      <c r="J3010" s="68"/>
      <c r="K3010" s="32"/>
      <c r="L3010" s="75">
        <v>3010</v>
      </c>
      <c r="M3010" s="75"/>
      <c r="N3010" s="70"/>
      <c r="O3010" s="77" t="s">
        <v>179</v>
      </c>
      <c r="P3010" s="79">
        <v>45051.645879629628</v>
      </c>
      <c r="Q3010" s="77" t="s">
        <v>4022</v>
      </c>
      <c r="R3010" s="77">
        <v>0</v>
      </c>
      <c r="S3010" s="77">
        <v>1</v>
      </c>
      <c r="T3010" s="77">
        <v>1</v>
      </c>
      <c r="U3010" s="77">
        <v>0</v>
      </c>
      <c r="V3010" s="77">
        <v>984</v>
      </c>
      <c r="W3010" s="82" t="s">
        <v>5880</v>
      </c>
      <c r="X3010" s="80" t="str">
        <f>HYPERLINK("https://www.moneytimes.com.br/imposto-de-renda-2023-como-pagar-e-calcular-o-darf-em-atraso/")</f>
        <v>https://www.moneytimes.com.br/imposto-de-renda-2023-como-pagar-e-calcular-o-darf-em-atraso/</v>
      </c>
      <c r="Y3010" s="77" t="s">
        <v>6002</v>
      </c>
      <c r="Z3010" s="77"/>
      <c r="AA3010" s="77"/>
      <c r="AB3010" s="77"/>
      <c r="AC3010" s="82" t="s">
        <v>7718</v>
      </c>
      <c r="AD3010" s="77" t="s">
        <v>7745</v>
      </c>
      <c r="AE3010" s="80" t="str">
        <f>HYPERLINK("https://twitter.com/leiamoneytimes/status/1654508770154668034")</f>
        <v>https://twitter.com/leiamoneytimes/status/1654508770154668034</v>
      </c>
      <c r="AF3010" s="79">
        <v>45051.645879629628</v>
      </c>
      <c r="AG3010" s="85">
        <v>45051</v>
      </c>
      <c r="AH3010" s="82" t="s">
        <v>10475</v>
      </c>
      <c r="AI3010" s="77" t="b">
        <v>0</v>
      </c>
      <c r="AJ3010" s="77"/>
      <c r="AK3010" s="77"/>
      <c r="AL3010" s="77"/>
      <c r="AM3010" s="77"/>
      <c r="AN3010" s="77"/>
      <c r="AO3010" s="77"/>
      <c r="AP3010" s="77"/>
      <c r="AQ3010" s="77"/>
      <c r="AR3010" s="77"/>
      <c r="AS3010" s="77"/>
      <c r="AT3010" s="77"/>
      <c r="AU3010" s="77"/>
      <c r="AV3010" s="80" t="str">
        <f>HYPERLINK("https://pbs.twimg.com/profile_images/1559883556846977024/bXHnQFY0_normal.jpg")</f>
        <v>https://pbs.twimg.com/profile_images/1559883556846977024/bXHnQFY0_normal.jpg</v>
      </c>
      <c r="AW3010" s="82" t="s">
        <v>15165</v>
      </c>
      <c r="AX3010" s="82" t="s">
        <v>15165</v>
      </c>
      <c r="AY3010" s="77"/>
      <c r="AZ3010" s="82" t="s">
        <v>15804</v>
      </c>
      <c r="BA3010" s="82" t="s">
        <v>15804</v>
      </c>
      <c r="BB3010" s="82" t="s">
        <v>15804</v>
      </c>
      <c r="BC3010" s="82" t="s">
        <v>15165</v>
      </c>
      <c r="BD3010" s="77">
        <v>51150679</v>
      </c>
      <c r="BE3010" s="77"/>
      <c r="BF3010" s="77"/>
      <c r="BG3010" s="77"/>
      <c r="BH3010" s="77"/>
      <c r="BI3010" s="77"/>
    </row>
    <row r="3011" spans="1:61" x14ac:dyDescent="0.25">
      <c r="A3011" s="62" t="s">
        <v>1027</v>
      </c>
      <c r="B3011" s="62" t="s">
        <v>1027</v>
      </c>
      <c r="C3011" s="63"/>
      <c r="D3011" s="64"/>
      <c r="E3011" s="65"/>
      <c r="F3011" s="66"/>
      <c r="G3011" s="63"/>
      <c r="H3011" s="67"/>
      <c r="I3011" s="68"/>
      <c r="J3011" s="68"/>
      <c r="K3011" s="32"/>
      <c r="L3011" s="75">
        <v>3011</v>
      </c>
      <c r="M3011" s="75"/>
      <c r="N3011" s="70"/>
      <c r="O3011" s="77" t="s">
        <v>179</v>
      </c>
      <c r="P3011" s="79">
        <v>45008.543680555558</v>
      </c>
      <c r="Q3011" s="77" t="s">
        <v>4023</v>
      </c>
      <c r="R3011" s="77">
        <v>0</v>
      </c>
      <c r="S3011" s="77">
        <v>0</v>
      </c>
      <c r="T3011" s="77">
        <v>0</v>
      </c>
      <c r="U3011" s="77">
        <v>0</v>
      </c>
      <c r="V3011" s="77">
        <v>1074</v>
      </c>
      <c r="W3011" s="82" t="s">
        <v>5873</v>
      </c>
      <c r="X3011" s="80" t="str">
        <f>HYPERLINK("https://www.moneytimes.com.br/imposto-de-renda-2023-quais-documentos-voce-precisa-ter-em-maos-na-hora-de-declarar/")</f>
        <v>https://www.moneytimes.com.br/imposto-de-renda-2023-quais-documentos-voce-precisa-ter-em-maos-na-hora-de-declarar/</v>
      </c>
      <c r="Y3011" s="77" t="s">
        <v>6002</v>
      </c>
      <c r="Z3011" s="77"/>
      <c r="AA3011" s="77"/>
      <c r="AB3011" s="77"/>
      <c r="AC3011" s="82" t="s">
        <v>7718</v>
      </c>
      <c r="AD3011" s="77" t="s">
        <v>7745</v>
      </c>
      <c r="AE3011" s="80" t="str">
        <f>HYPERLINK("https://twitter.com/leiamoneytimes/status/1638889053423808513")</f>
        <v>https://twitter.com/leiamoneytimes/status/1638889053423808513</v>
      </c>
      <c r="AF3011" s="79">
        <v>45008.543680555558</v>
      </c>
      <c r="AG3011" s="85">
        <v>45008</v>
      </c>
      <c r="AH3011" s="82" t="s">
        <v>10476</v>
      </c>
      <c r="AI3011" s="77" t="b">
        <v>0</v>
      </c>
      <c r="AJ3011" s="77"/>
      <c r="AK3011" s="77"/>
      <c r="AL3011" s="77"/>
      <c r="AM3011" s="77"/>
      <c r="AN3011" s="77"/>
      <c r="AO3011" s="77"/>
      <c r="AP3011" s="77"/>
      <c r="AQ3011" s="77"/>
      <c r="AR3011" s="77"/>
      <c r="AS3011" s="77"/>
      <c r="AT3011" s="77"/>
      <c r="AU3011" s="77"/>
      <c r="AV3011" s="80" t="str">
        <f>HYPERLINK("https://pbs.twimg.com/profile_images/1559883556846977024/bXHnQFY0_normal.jpg")</f>
        <v>https://pbs.twimg.com/profile_images/1559883556846977024/bXHnQFY0_normal.jpg</v>
      </c>
      <c r="AW3011" s="82" t="s">
        <v>15166</v>
      </c>
      <c r="AX3011" s="82" t="s">
        <v>15166</v>
      </c>
      <c r="AY3011" s="77"/>
      <c r="AZ3011" s="82" t="s">
        <v>15804</v>
      </c>
      <c r="BA3011" s="82" t="s">
        <v>15804</v>
      </c>
      <c r="BB3011" s="82" t="s">
        <v>15804</v>
      </c>
      <c r="BC3011" s="82" t="s">
        <v>15166</v>
      </c>
      <c r="BD3011" s="77">
        <v>51150679</v>
      </c>
      <c r="BE3011" s="77"/>
      <c r="BF3011" s="77"/>
      <c r="BG3011" s="77"/>
      <c r="BH3011" s="77"/>
      <c r="BI3011" s="77"/>
    </row>
    <row r="3012" spans="1:61" x14ac:dyDescent="0.25">
      <c r="A3012" s="62" t="s">
        <v>1027</v>
      </c>
      <c r="B3012" s="62" t="s">
        <v>1027</v>
      </c>
      <c r="C3012" s="63"/>
      <c r="D3012" s="64"/>
      <c r="E3012" s="65"/>
      <c r="F3012" s="66"/>
      <c r="G3012" s="63"/>
      <c r="H3012" s="67"/>
      <c r="I3012" s="68"/>
      <c r="J3012" s="68"/>
      <c r="K3012" s="32"/>
      <c r="L3012" s="75">
        <v>3012</v>
      </c>
      <c r="M3012" s="75"/>
      <c r="N3012" s="70"/>
      <c r="O3012" s="77" t="s">
        <v>179</v>
      </c>
      <c r="P3012" s="79">
        <v>45006.892407407409</v>
      </c>
      <c r="Q3012" s="77" t="s">
        <v>4024</v>
      </c>
      <c r="R3012" s="77">
        <v>0</v>
      </c>
      <c r="S3012" s="77">
        <v>2</v>
      </c>
      <c r="T3012" s="77">
        <v>0</v>
      </c>
      <c r="U3012" s="77">
        <v>0</v>
      </c>
      <c r="V3012" s="77">
        <v>1006</v>
      </c>
      <c r="W3012" s="82" t="s">
        <v>5881</v>
      </c>
      <c r="X3012" s="80" t="str">
        <f>HYPERLINK("https://www.moneytimes.com.br/imposto-de-renda-2023-declaracao-simplificada-ou-completa-qual-a-melhor/")</f>
        <v>https://www.moneytimes.com.br/imposto-de-renda-2023-declaracao-simplificada-ou-completa-qual-a-melhor/</v>
      </c>
      <c r="Y3012" s="77" t="s">
        <v>6002</v>
      </c>
      <c r="Z3012" s="77"/>
      <c r="AA3012" s="77"/>
      <c r="AB3012" s="77"/>
      <c r="AC3012" s="82" t="s">
        <v>7718</v>
      </c>
      <c r="AD3012" s="77" t="s">
        <v>7745</v>
      </c>
      <c r="AE3012" s="80" t="str">
        <f>HYPERLINK("https://twitter.com/leiamoneytimes/status/1638290652671737857")</f>
        <v>https://twitter.com/leiamoneytimes/status/1638290652671737857</v>
      </c>
      <c r="AF3012" s="79">
        <v>45006.892407407409</v>
      </c>
      <c r="AG3012" s="85">
        <v>45006</v>
      </c>
      <c r="AH3012" s="82" t="s">
        <v>10477</v>
      </c>
      <c r="AI3012" s="77" t="b">
        <v>0</v>
      </c>
      <c r="AJ3012" s="77"/>
      <c r="AK3012" s="77"/>
      <c r="AL3012" s="77"/>
      <c r="AM3012" s="77"/>
      <c r="AN3012" s="77"/>
      <c r="AO3012" s="77"/>
      <c r="AP3012" s="77"/>
      <c r="AQ3012" s="77"/>
      <c r="AR3012" s="77"/>
      <c r="AS3012" s="77"/>
      <c r="AT3012" s="77"/>
      <c r="AU3012" s="77"/>
      <c r="AV3012" s="80" t="str">
        <f>HYPERLINK("https://pbs.twimg.com/profile_images/1559883556846977024/bXHnQFY0_normal.jpg")</f>
        <v>https://pbs.twimg.com/profile_images/1559883556846977024/bXHnQFY0_normal.jpg</v>
      </c>
      <c r="AW3012" s="82" t="s">
        <v>15167</v>
      </c>
      <c r="AX3012" s="82" t="s">
        <v>15167</v>
      </c>
      <c r="AY3012" s="77"/>
      <c r="AZ3012" s="82" t="s">
        <v>15804</v>
      </c>
      <c r="BA3012" s="82" t="s">
        <v>15804</v>
      </c>
      <c r="BB3012" s="82" t="s">
        <v>15804</v>
      </c>
      <c r="BC3012" s="82" t="s">
        <v>15167</v>
      </c>
      <c r="BD3012" s="77">
        <v>51150679</v>
      </c>
      <c r="BE3012" s="77"/>
      <c r="BF3012" s="77"/>
      <c r="BG3012" s="77"/>
      <c r="BH3012" s="77"/>
      <c r="BI3012" s="77"/>
    </row>
    <row r="3013" spans="1:61" x14ac:dyDescent="0.25">
      <c r="A3013" s="62" t="s">
        <v>1027</v>
      </c>
      <c r="B3013" s="62" t="s">
        <v>1027</v>
      </c>
      <c r="C3013" s="63"/>
      <c r="D3013" s="64"/>
      <c r="E3013" s="65"/>
      <c r="F3013" s="66"/>
      <c r="G3013" s="63"/>
      <c r="H3013" s="67"/>
      <c r="I3013" s="68"/>
      <c r="J3013" s="68"/>
      <c r="K3013" s="32"/>
      <c r="L3013" s="75">
        <v>3013</v>
      </c>
      <c r="M3013" s="75"/>
      <c r="N3013" s="70"/>
      <c r="O3013" s="77" t="s">
        <v>179</v>
      </c>
      <c r="P3013" s="79">
        <v>45006.8358912037</v>
      </c>
      <c r="Q3013" s="77" t="s">
        <v>4025</v>
      </c>
      <c r="R3013" s="77">
        <v>0</v>
      </c>
      <c r="S3013" s="77">
        <v>1</v>
      </c>
      <c r="T3013" s="77">
        <v>1</v>
      </c>
      <c r="U3013" s="77">
        <v>0</v>
      </c>
      <c r="V3013" s="77">
        <v>894</v>
      </c>
      <c r="W3013" s="82" t="s">
        <v>5870</v>
      </c>
      <c r="X3013" s="80" t="str">
        <f>HYPERLINK("https://www.moneytimes.com.br/imposto-de-renda-2023-trabalhador-informal-deve-declarar-ir-veja-como/")</f>
        <v>https://www.moneytimes.com.br/imposto-de-renda-2023-trabalhador-informal-deve-declarar-ir-veja-como/</v>
      </c>
      <c r="Y3013" s="77" t="s">
        <v>6002</v>
      </c>
      <c r="Z3013" s="77"/>
      <c r="AA3013" s="77"/>
      <c r="AB3013" s="77"/>
      <c r="AC3013" s="82" t="s">
        <v>7718</v>
      </c>
      <c r="AD3013" s="77" t="s">
        <v>7745</v>
      </c>
      <c r="AE3013" s="80" t="str">
        <f>HYPERLINK("https://twitter.com/leiamoneytimes/status/1638270173340737538")</f>
        <v>https://twitter.com/leiamoneytimes/status/1638270173340737538</v>
      </c>
      <c r="AF3013" s="79">
        <v>45006.8358912037</v>
      </c>
      <c r="AG3013" s="85">
        <v>45006</v>
      </c>
      <c r="AH3013" s="82" t="s">
        <v>10478</v>
      </c>
      <c r="AI3013" s="77" t="b">
        <v>0</v>
      </c>
      <c r="AJ3013" s="77"/>
      <c r="AK3013" s="77"/>
      <c r="AL3013" s="77"/>
      <c r="AM3013" s="77"/>
      <c r="AN3013" s="77"/>
      <c r="AO3013" s="77"/>
      <c r="AP3013" s="77"/>
      <c r="AQ3013" s="77"/>
      <c r="AR3013" s="77"/>
      <c r="AS3013" s="77"/>
      <c r="AT3013" s="77"/>
      <c r="AU3013" s="77"/>
      <c r="AV3013" s="80" t="str">
        <f>HYPERLINK("https://pbs.twimg.com/profile_images/1559883556846977024/bXHnQFY0_normal.jpg")</f>
        <v>https://pbs.twimg.com/profile_images/1559883556846977024/bXHnQFY0_normal.jpg</v>
      </c>
      <c r="AW3013" s="82" t="s">
        <v>15168</v>
      </c>
      <c r="AX3013" s="82" t="s">
        <v>15168</v>
      </c>
      <c r="AY3013" s="77"/>
      <c r="AZ3013" s="82" t="s">
        <v>15804</v>
      </c>
      <c r="BA3013" s="82" t="s">
        <v>15804</v>
      </c>
      <c r="BB3013" s="82" t="s">
        <v>15804</v>
      </c>
      <c r="BC3013" s="82" t="s">
        <v>15168</v>
      </c>
      <c r="BD3013" s="77">
        <v>51150679</v>
      </c>
      <c r="BE3013" s="77"/>
      <c r="BF3013" s="77"/>
      <c r="BG3013" s="77"/>
      <c r="BH3013" s="77"/>
      <c r="BI3013" s="77"/>
    </row>
    <row r="3014" spans="1:61" x14ac:dyDescent="0.25">
      <c r="A3014" s="62" t="s">
        <v>1027</v>
      </c>
      <c r="B3014" s="62" t="s">
        <v>1027</v>
      </c>
      <c r="C3014" s="63"/>
      <c r="D3014" s="64"/>
      <c r="E3014" s="65"/>
      <c r="F3014" s="66"/>
      <c r="G3014" s="63"/>
      <c r="H3014" s="67"/>
      <c r="I3014" s="68"/>
      <c r="J3014" s="68"/>
      <c r="K3014" s="32"/>
      <c r="L3014" s="75">
        <v>3014</v>
      </c>
      <c r="M3014" s="75"/>
      <c r="N3014" s="70"/>
      <c r="O3014" s="77" t="s">
        <v>179</v>
      </c>
      <c r="P3014" s="79">
        <v>45006.678472222222</v>
      </c>
      <c r="Q3014" s="77" t="s">
        <v>4026</v>
      </c>
      <c r="R3014" s="77">
        <v>0</v>
      </c>
      <c r="S3014" s="77">
        <v>3</v>
      </c>
      <c r="T3014" s="77">
        <v>0</v>
      </c>
      <c r="U3014" s="77">
        <v>0</v>
      </c>
      <c r="V3014" s="77">
        <v>1263</v>
      </c>
      <c r="W3014" s="82" t="s">
        <v>5946</v>
      </c>
      <c r="X3014" s="80" t="str">
        <f>HYPERLINK("https://www.moneytimes.com.br/nubank-abraca-credito-consignado-apos-itau-banco-do-brasil-e-outros-bancos-suspenderem-o-servico/")</f>
        <v>https://www.moneytimes.com.br/nubank-abraca-credito-consignado-apos-itau-banco-do-brasil-e-outros-bancos-suspenderem-o-servico/</v>
      </c>
      <c r="Y3014" s="77" t="s">
        <v>6002</v>
      </c>
      <c r="Z3014" s="77"/>
      <c r="AA3014" s="77"/>
      <c r="AB3014" s="77"/>
      <c r="AC3014" s="82" t="s">
        <v>7718</v>
      </c>
      <c r="AD3014" s="77" t="s">
        <v>7745</v>
      </c>
      <c r="AE3014" s="80" t="str">
        <f>HYPERLINK("https://twitter.com/leiamoneytimes/status/1638213124829454336")</f>
        <v>https://twitter.com/leiamoneytimes/status/1638213124829454336</v>
      </c>
      <c r="AF3014" s="79">
        <v>45006.678472222222</v>
      </c>
      <c r="AG3014" s="85">
        <v>45006</v>
      </c>
      <c r="AH3014" s="82" t="s">
        <v>9262</v>
      </c>
      <c r="AI3014" s="77" t="b">
        <v>0</v>
      </c>
      <c r="AJ3014" s="77"/>
      <c r="AK3014" s="77"/>
      <c r="AL3014" s="77"/>
      <c r="AM3014" s="77"/>
      <c r="AN3014" s="77"/>
      <c r="AO3014" s="77"/>
      <c r="AP3014" s="77"/>
      <c r="AQ3014" s="77"/>
      <c r="AR3014" s="77"/>
      <c r="AS3014" s="77"/>
      <c r="AT3014" s="77"/>
      <c r="AU3014" s="77"/>
      <c r="AV3014" s="80" t="str">
        <f>HYPERLINK("https://pbs.twimg.com/profile_images/1559883556846977024/bXHnQFY0_normal.jpg")</f>
        <v>https://pbs.twimg.com/profile_images/1559883556846977024/bXHnQFY0_normal.jpg</v>
      </c>
      <c r="AW3014" s="82" t="s">
        <v>15169</v>
      </c>
      <c r="AX3014" s="82" t="s">
        <v>15169</v>
      </c>
      <c r="AY3014" s="77"/>
      <c r="AZ3014" s="82" t="s">
        <v>15804</v>
      </c>
      <c r="BA3014" s="82" t="s">
        <v>15804</v>
      </c>
      <c r="BB3014" s="82" t="s">
        <v>15804</v>
      </c>
      <c r="BC3014" s="82" t="s">
        <v>15169</v>
      </c>
      <c r="BD3014" s="77">
        <v>51150679</v>
      </c>
      <c r="BE3014" s="77"/>
      <c r="BF3014" s="77"/>
      <c r="BG3014" s="77"/>
      <c r="BH3014" s="77"/>
      <c r="BI3014" s="77"/>
    </row>
    <row r="3015" spans="1:61" x14ac:dyDescent="0.25">
      <c r="A3015" s="62" t="s">
        <v>1027</v>
      </c>
      <c r="B3015" s="62" t="s">
        <v>1027</v>
      </c>
      <c r="C3015" s="63"/>
      <c r="D3015" s="64"/>
      <c r="E3015" s="65"/>
      <c r="F3015" s="66"/>
      <c r="G3015" s="63"/>
      <c r="H3015" s="67"/>
      <c r="I3015" s="68"/>
      <c r="J3015" s="68"/>
      <c r="K3015" s="32"/>
      <c r="L3015" s="75">
        <v>3015</v>
      </c>
      <c r="M3015" s="75"/>
      <c r="N3015" s="70"/>
      <c r="O3015" s="77" t="s">
        <v>179</v>
      </c>
      <c r="P3015" s="79">
        <v>45005.667442129627</v>
      </c>
      <c r="Q3015" s="77" t="s">
        <v>4027</v>
      </c>
      <c r="R3015" s="77">
        <v>0</v>
      </c>
      <c r="S3015" s="77">
        <v>0</v>
      </c>
      <c r="T3015" s="77">
        <v>1</v>
      </c>
      <c r="U3015" s="77">
        <v>0</v>
      </c>
      <c r="V3015" s="77">
        <v>1202</v>
      </c>
      <c r="W3015" s="82" t="s">
        <v>5881</v>
      </c>
      <c r="X3015" s="80" t="str">
        <f>HYPERLINK("https://www.moneytimes.com.br/imposto-de-renda-2023-caiu-na-malha-fina-veja-o-que-fazer/")</f>
        <v>https://www.moneytimes.com.br/imposto-de-renda-2023-caiu-na-malha-fina-veja-o-que-fazer/</v>
      </c>
      <c r="Y3015" s="77" t="s">
        <v>6002</v>
      </c>
      <c r="Z3015" s="77"/>
      <c r="AA3015" s="77"/>
      <c r="AB3015" s="77"/>
      <c r="AC3015" s="82" t="s">
        <v>7718</v>
      </c>
      <c r="AD3015" s="77" t="s">
        <v>7745</v>
      </c>
      <c r="AE3015" s="80" t="str">
        <f>HYPERLINK("https://twitter.com/leiamoneytimes/status/1637846740807065600")</f>
        <v>https://twitter.com/leiamoneytimes/status/1637846740807065600</v>
      </c>
      <c r="AF3015" s="79">
        <v>45005.667442129627</v>
      </c>
      <c r="AG3015" s="85">
        <v>45005</v>
      </c>
      <c r="AH3015" s="82" t="s">
        <v>10479</v>
      </c>
      <c r="AI3015" s="77" t="b">
        <v>0</v>
      </c>
      <c r="AJ3015" s="77"/>
      <c r="AK3015" s="77"/>
      <c r="AL3015" s="77"/>
      <c r="AM3015" s="77"/>
      <c r="AN3015" s="77"/>
      <c r="AO3015" s="77"/>
      <c r="AP3015" s="77"/>
      <c r="AQ3015" s="77"/>
      <c r="AR3015" s="77"/>
      <c r="AS3015" s="77"/>
      <c r="AT3015" s="77"/>
      <c r="AU3015" s="77"/>
      <c r="AV3015" s="80" t="str">
        <f>HYPERLINK("https://pbs.twimg.com/profile_images/1559883556846977024/bXHnQFY0_normal.jpg")</f>
        <v>https://pbs.twimg.com/profile_images/1559883556846977024/bXHnQFY0_normal.jpg</v>
      </c>
      <c r="AW3015" s="82" t="s">
        <v>15170</v>
      </c>
      <c r="AX3015" s="82" t="s">
        <v>15170</v>
      </c>
      <c r="AY3015" s="77"/>
      <c r="AZ3015" s="82" t="s">
        <v>15804</v>
      </c>
      <c r="BA3015" s="82" t="s">
        <v>15804</v>
      </c>
      <c r="BB3015" s="82" t="s">
        <v>15804</v>
      </c>
      <c r="BC3015" s="82" t="s">
        <v>15170</v>
      </c>
      <c r="BD3015" s="77">
        <v>51150679</v>
      </c>
      <c r="BE3015" s="77"/>
      <c r="BF3015" s="77"/>
      <c r="BG3015" s="77"/>
      <c r="BH3015" s="77"/>
      <c r="BI3015" s="77"/>
    </row>
    <row r="3016" spans="1:61" x14ac:dyDescent="0.25">
      <c r="A3016" s="62" t="s">
        <v>1027</v>
      </c>
      <c r="B3016" s="62" t="s">
        <v>1027</v>
      </c>
      <c r="C3016" s="63"/>
      <c r="D3016" s="64"/>
      <c r="E3016" s="65"/>
      <c r="F3016" s="66"/>
      <c r="G3016" s="63"/>
      <c r="H3016" s="67"/>
      <c r="I3016" s="68"/>
      <c r="J3016" s="68"/>
      <c r="K3016" s="32"/>
      <c r="L3016" s="75">
        <v>3016</v>
      </c>
      <c r="M3016" s="75"/>
      <c r="N3016" s="70"/>
      <c r="O3016" s="77" t="s">
        <v>179</v>
      </c>
      <c r="P3016" s="79">
        <v>44957.770972222221</v>
      </c>
      <c r="Q3016" s="77" t="s">
        <v>4028</v>
      </c>
      <c r="R3016" s="77">
        <v>0</v>
      </c>
      <c r="S3016" s="77">
        <v>0</v>
      </c>
      <c r="T3016" s="77">
        <v>0</v>
      </c>
      <c r="U3016" s="77">
        <v>0</v>
      </c>
      <c r="V3016" s="77">
        <v>816</v>
      </c>
      <c r="W3016" s="82" t="s">
        <v>5947</v>
      </c>
      <c r="X3016" s="80" t="str">
        <f>HYPERLINK("https://www.moneytimes.com.br/tesouro-renda-entenda-as-principais-vantagens-e-desvantagens-do-titulo-de-aposentadoria/")</f>
        <v>https://www.moneytimes.com.br/tesouro-renda-entenda-as-principais-vantagens-e-desvantagens-do-titulo-de-aposentadoria/</v>
      </c>
      <c r="Y3016" s="77" t="s">
        <v>6002</v>
      </c>
      <c r="Z3016" s="77"/>
      <c r="AA3016" s="77"/>
      <c r="AB3016" s="77"/>
      <c r="AC3016" s="82" t="s">
        <v>7718</v>
      </c>
      <c r="AD3016" s="77" t="s">
        <v>7745</v>
      </c>
      <c r="AE3016" s="80" t="str">
        <f>HYPERLINK("https://twitter.com/leiamoneytimes/status/1620489642524000256")</f>
        <v>https://twitter.com/leiamoneytimes/status/1620489642524000256</v>
      </c>
      <c r="AF3016" s="79">
        <v>44957.770972222221</v>
      </c>
      <c r="AG3016" s="85">
        <v>44957</v>
      </c>
      <c r="AH3016" s="82" t="s">
        <v>10480</v>
      </c>
      <c r="AI3016" s="77" t="b">
        <v>0</v>
      </c>
      <c r="AJ3016" s="77"/>
      <c r="AK3016" s="77"/>
      <c r="AL3016" s="77"/>
      <c r="AM3016" s="77"/>
      <c r="AN3016" s="77"/>
      <c r="AO3016" s="77"/>
      <c r="AP3016" s="77"/>
      <c r="AQ3016" s="77"/>
      <c r="AR3016" s="77"/>
      <c r="AS3016" s="77"/>
      <c r="AT3016" s="77"/>
      <c r="AU3016" s="77"/>
      <c r="AV3016" s="80" t="str">
        <f>HYPERLINK("https://pbs.twimg.com/profile_images/1559883556846977024/bXHnQFY0_normal.jpg")</f>
        <v>https://pbs.twimg.com/profile_images/1559883556846977024/bXHnQFY0_normal.jpg</v>
      </c>
      <c r="AW3016" s="82" t="s">
        <v>15171</v>
      </c>
      <c r="AX3016" s="82" t="s">
        <v>15171</v>
      </c>
      <c r="AY3016" s="77"/>
      <c r="AZ3016" s="82" t="s">
        <v>15804</v>
      </c>
      <c r="BA3016" s="82" t="s">
        <v>15804</v>
      </c>
      <c r="BB3016" s="82" t="s">
        <v>15804</v>
      </c>
      <c r="BC3016" s="82" t="s">
        <v>15171</v>
      </c>
      <c r="BD3016" s="77">
        <v>51150679</v>
      </c>
      <c r="BE3016" s="77"/>
      <c r="BF3016" s="77"/>
      <c r="BG3016" s="77"/>
      <c r="BH3016" s="77"/>
      <c r="BI3016" s="77"/>
    </row>
    <row r="3017" spans="1:61" x14ac:dyDescent="0.25">
      <c r="A3017" s="62" t="s">
        <v>1027</v>
      </c>
      <c r="B3017" s="62" t="s">
        <v>1027</v>
      </c>
      <c r="C3017" s="63"/>
      <c r="D3017" s="64"/>
      <c r="E3017" s="65"/>
      <c r="F3017" s="66"/>
      <c r="G3017" s="63"/>
      <c r="H3017" s="67"/>
      <c r="I3017" s="68"/>
      <c r="J3017" s="68"/>
      <c r="K3017" s="32"/>
      <c r="L3017" s="75">
        <v>3017</v>
      </c>
      <c r="M3017" s="75"/>
      <c r="N3017" s="70"/>
      <c r="O3017" s="77" t="s">
        <v>179</v>
      </c>
      <c r="P3017" s="79">
        <v>44953.438275462962</v>
      </c>
      <c r="Q3017" s="77" t="s">
        <v>4029</v>
      </c>
      <c r="R3017" s="77">
        <v>0</v>
      </c>
      <c r="S3017" s="77">
        <v>1</v>
      </c>
      <c r="T3017" s="77">
        <v>0</v>
      </c>
      <c r="U3017" s="77">
        <v>0</v>
      </c>
      <c r="V3017" s="77">
        <v>1122</v>
      </c>
      <c r="W3017" s="82" t="s">
        <v>5917</v>
      </c>
      <c r="X3017" s="80" t="str">
        <f>HYPERLINK("https://www.moneytimes.com.br/salario-reajuste-e-25-acima-do-piso-em-dezembro/")</f>
        <v>https://www.moneytimes.com.br/salario-reajuste-e-25-acima-do-piso-em-dezembro/</v>
      </c>
      <c r="Y3017" s="77" t="s">
        <v>6002</v>
      </c>
      <c r="Z3017" s="77"/>
      <c r="AA3017" s="77"/>
      <c r="AB3017" s="77"/>
      <c r="AC3017" s="82" t="s">
        <v>7718</v>
      </c>
      <c r="AD3017" s="77" t="s">
        <v>7745</v>
      </c>
      <c r="AE3017" s="80" t="str">
        <f>HYPERLINK("https://twitter.com/leiamoneytimes/status/1618919526195761152")</f>
        <v>https://twitter.com/leiamoneytimes/status/1618919526195761152</v>
      </c>
      <c r="AF3017" s="79">
        <v>44953.438275462962</v>
      </c>
      <c r="AG3017" s="85">
        <v>44953</v>
      </c>
      <c r="AH3017" s="82" t="s">
        <v>10481</v>
      </c>
      <c r="AI3017" s="77" t="b">
        <v>0</v>
      </c>
      <c r="AJ3017" s="77"/>
      <c r="AK3017" s="77"/>
      <c r="AL3017" s="77"/>
      <c r="AM3017" s="77"/>
      <c r="AN3017" s="77"/>
      <c r="AO3017" s="77"/>
      <c r="AP3017" s="77"/>
      <c r="AQ3017" s="77"/>
      <c r="AR3017" s="77"/>
      <c r="AS3017" s="77"/>
      <c r="AT3017" s="77"/>
      <c r="AU3017" s="77"/>
      <c r="AV3017" s="80" t="str">
        <f>HYPERLINK("https://pbs.twimg.com/profile_images/1559883556846977024/bXHnQFY0_normal.jpg")</f>
        <v>https://pbs.twimg.com/profile_images/1559883556846977024/bXHnQFY0_normal.jpg</v>
      </c>
      <c r="AW3017" s="82" t="s">
        <v>15172</v>
      </c>
      <c r="AX3017" s="82" t="s">
        <v>15172</v>
      </c>
      <c r="AY3017" s="77"/>
      <c r="AZ3017" s="82" t="s">
        <v>15804</v>
      </c>
      <c r="BA3017" s="82" t="s">
        <v>15804</v>
      </c>
      <c r="BB3017" s="82" t="s">
        <v>15804</v>
      </c>
      <c r="BC3017" s="82" t="s">
        <v>15172</v>
      </c>
      <c r="BD3017" s="77">
        <v>51150679</v>
      </c>
      <c r="BE3017" s="77"/>
      <c r="BF3017" s="77"/>
      <c r="BG3017" s="77"/>
      <c r="BH3017" s="77"/>
      <c r="BI3017" s="77"/>
    </row>
    <row r="3018" spans="1:61" x14ac:dyDescent="0.25">
      <c r="A3018" s="62" t="s">
        <v>1027</v>
      </c>
      <c r="B3018" s="62" t="s">
        <v>1027</v>
      </c>
      <c r="C3018" s="63"/>
      <c r="D3018" s="64"/>
      <c r="E3018" s="65"/>
      <c r="F3018" s="66"/>
      <c r="G3018" s="63"/>
      <c r="H3018" s="67"/>
      <c r="I3018" s="68"/>
      <c r="J3018" s="68"/>
      <c r="K3018" s="32"/>
      <c r="L3018" s="75">
        <v>3018</v>
      </c>
      <c r="M3018" s="75"/>
      <c r="N3018" s="70"/>
      <c r="O3018" s="77" t="s">
        <v>179</v>
      </c>
      <c r="P3018" s="79">
        <v>44952.769895833335</v>
      </c>
      <c r="Q3018" s="77" t="s">
        <v>4030</v>
      </c>
      <c r="R3018" s="77">
        <v>0</v>
      </c>
      <c r="S3018" s="77">
        <v>1</v>
      </c>
      <c r="T3018" s="77">
        <v>1</v>
      </c>
      <c r="U3018" s="77">
        <v>0</v>
      </c>
      <c r="V3018" s="77">
        <v>851</v>
      </c>
      <c r="W3018" s="82" t="s">
        <v>5948</v>
      </c>
      <c r="X3018" s="80" t="str">
        <f>HYPERLINK("https://www.moneytimes.com.br/imoveis-bancao-faz-leilao-de-casas-e-apartamentos-a-partir-de-r-179-mil-veja-condicoes/")</f>
        <v>https://www.moneytimes.com.br/imoveis-bancao-faz-leilao-de-casas-e-apartamentos-a-partir-de-r-179-mil-veja-condicoes/</v>
      </c>
      <c r="Y3018" s="77" t="s">
        <v>6002</v>
      </c>
      <c r="Z3018" s="77"/>
      <c r="AA3018" s="77"/>
      <c r="AB3018" s="77"/>
      <c r="AC3018" s="82" t="s">
        <v>7718</v>
      </c>
      <c r="AD3018" s="77" t="s">
        <v>7745</v>
      </c>
      <c r="AE3018" s="80" t="str">
        <f>HYPERLINK("https://twitter.com/leiamoneytimes/status/1618677313272483842")</f>
        <v>https://twitter.com/leiamoneytimes/status/1618677313272483842</v>
      </c>
      <c r="AF3018" s="79">
        <v>44952.769895833335</v>
      </c>
      <c r="AG3018" s="85">
        <v>44952</v>
      </c>
      <c r="AH3018" s="82" t="s">
        <v>10482</v>
      </c>
      <c r="AI3018" s="77" t="b">
        <v>0</v>
      </c>
      <c r="AJ3018" s="77"/>
      <c r="AK3018" s="77"/>
      <c r="AL3018" s="77"/>
      <c r="AM3018" s="77"/>
      <c r="AN3018" s="77"/>
      <c r="AO3018" s="77"/>
      <c r="AP3018" s="77"/>
      <c r="AQ3018" s="77"/>
      <c r="AR3018" s="77"/>
      <c r="AS3018" s="77"/>
      <c r="AT3018" s="77"/>
      <c r="AU3018" s="77"/>
      <c r="AV3018" s="80" t="str">
        <f>HYPERLINK("https://pbs.twimg.com/profile_images/1559883556846977024/bXHnQFY0_normal.jpg")</f>
        <v>https://pbs.twimg.com/profile_images/1559883556846977024/bXHnQFY0_normal.jpg</v>
      </c>
      <c r="AW3018" s="82" t="s">
        <v>15173</v>
      </c>
      <c r="AX3018" s="82" t="s">
        <v>15173</v>
      </c>
      <c r="AY3018" s="77"/>
      <c r="AZ3018" s="82" t="s">
        <v>15804</v>
      </c>
      <c r="BA3018" s="82" t="s">
        <v>15804</v>
      </c>
      <c r="BB3018" s="82" t="s">
        <v>15804</v>
      </c>
      <c r="BC3018" s="82" t="s">
        <v>15173</v>
      </c>
      <c r="BD3018" s="77">
        <v>51150679</v>
      </c>
      <c r="BE3018" s="77"/>
      <c r="BF3018" s="77"/>
      <c r="BG3018" s="77"/>
      <c r="BH3018" s="77"/>
      <c r="BI3018" s="77"/>
    </row>
    <row r="3019" spans="1:61" x14ac:dyDescent="0.25">
      <c r="A3019" s="62" t="s">
        <v>1027</v>
      </c>
      <c r="B3019" s="62" t="s">
        <v>1027</v>
      </c>
      <c r="C3019" s="63"/>
      <c r="D3019" s="64"/>
      <c r="E3019" s="65"/>
      <c r="F3019" s="66"/>
      <c r="G3019" s="63"/>
      <c r="H3019" s="67"/>
      <c r="I3019" s="68"/>
      <c r="J3019" s="68"/>
      <c r="K3019" s="32"/>
      <c r="L3019" s="75">
        <v>3019</v>
      </c>
      <c r="M3019" s="75"/>
      <c r="N3019" s="70"/>
      <c r="O3019" s="77" t="s">
        <v>179</v>
      </c>
      <c r="P3019" s="79">
        <v>44951.521631944444</v>
      </c>
      <c r="Q3019" s="77" t="s">
        <v>4031</v>
      </c>
      <c r="R3019" s="77">
        <v>1</v>
      </c>
      <c r="S3019" s="77">
        <v>2</v>
      </c>
      <c r="T3019" s="77">
        <v>0</v>
      </c>
      <c r="U3019" s="77">
        <v>0</v>
      </c>
      <c r="V3019" s="77">
        <v>1185</v>
      </c>
      <c r="W3019" s="82" t="s">
        <v>5949</v>
      </c>
      <c r="X3019" s="80" t="str">
        <f>HYPERLINK("https://www.moneytimes.com.br/veja-chances-de-adquirir-imoveis-com-79-de-desconto-ate-o-fim-do-mes/")</f>
        <v>https://www.moneytimes.com.br/veja-chances-de-adquirir-imoveis-com-79-de-desconto-ate-o-fim-do-mes/</v>
      </c>
      <c r="Y3019" s="77" t="s">
        <v>6002</v>
      </c>
      <c r="Z3019" s="77"/>
      <c r="AA3019" s="77"/>
      <c r="AB3019" s="77"/>
      <c r="AC3019" s="82" t="s">
        <v>7718</v>
      </c>
      <c r="AD3019" s="77" t="s">
        <v>7745</v>
      </c>
      <c r="AE3019" s="80" t="str">
        <f>HYPERLINK("https://twitter.com/leiamoneytimes/status/1618224955719647234")</f>
        <v>https://twitter.com/leiamoneytimes/status/1618224955719647234</v>
      </c>
      <c r="AF3019" s="79">
        <v>44951.521631944444</v>
      </c>
      <c r="AG3019" s="85">
        <v>44951</v>
      </c>
      <c r="AH3019" s="82" t="s">
        <v>10483</v>
      </c>
      <c r="AI3019" s="77" t="b">
        <v>0</v>
      </c>
      <c r="AJ3019" s="77"/>
      <c r="AK3019" s="77"/>
      <c r="AL3019" s="77"/>
      <c r="AM3019" s="77"/>
      <c r="AN3019" s="77"/>
      <c r="AO3019" s="77"/>
      <c r="AP3019" s="77"/>
      <c r="AQ3019" s="77"/>
      <c r="AR3019" s="77"/>
      <c r="AS3019" s="77"/>
      <c r="AT3019" s="77"/>
      <c r="AU3019" s="77"/>
      <c r="AV3019" s="80" t="str">
        <f>HYPERLINK("https://pbs.twimg.com/profile_images/1559883556846977024/bXHnQFY0_normal.jpg")</f>
        <v>https://pbs.twimg.com/profile_images/1559883556846977024/bXHnQFY0_normal.jpg</v>
      </c>
      <c r="AW3019" s="82" t="s">
        <v>15174</v>
      </c>
      <c r="AX3019" s="82" t="s">
        <v>15174</v>
      </c>
      <c r="AY3019" s="77"/>
      <c r="AZ3019" s="82" t="s">
        <v>15804</v>
      </c>
      <c r="BA3019" s="82" t="s">
        <v>15804</v>
      </c>
      <c r="BB3019" s="82" t="s">
        <v>15804</v>
      </c>
      <c r="BC3019" s="82" t="s">
        <v>15174</v>
      </c>
      <c r="BD3019" s="77">
        <v>51150679</v>
      </c>
      <c r="BE3019" s="77"/>
      <c r="BF3019" s="77"/>
      <c r="BG3019" s="77"/>
      <c r="BH3019" s="77"/>
      <c r="BI3019" s="77"/>
    </row>
    <row r="3020" spans="1:61" x14ac:dyDescent="0.25">
      <c r="A3020" s="62" t="s">
        <v>1027</v>
      </c>
      <c r="B3020" s="62" t="s">
        <v>1027</v>
      </c>
      <c r="C3020" s="63"/>
      <c r="D3020" s="64"/>
      <c r="E3020" s="65"/>
      <c r="F3020" s="66"/>
      <c r="G3020" s="63"/>
      <c r="H3020" s="67"/>
      <c r="I3020" s="68"/>
      <c r="J3020" s="68"/>
      <c r="K3020" s="32"/>
      <c r="L3020" s="75">
        <v>3020</v>
      </c>
      <c r="M3020" s="75"/>
      <c r="N3020" s="70"/>
      <c r="O3020" s="77" t="s">
        <v>179</v>
      </c>
      <c r="P3020" s="79">
        <v>44950.386087962965</v>
      </c>
      <c r="Q3020" s="77" t="s">
        <v>4032</v>
      </c>
      <c r="R3020" s="77">
        <v>0</v>
      </c>
      <c r="S3020" s="77">
        <v>2</v>
      </c>
      <c r="T3020" s="77">
        <v>0</v>
      </c>
      <c r="U3020" s="77">
        <v>0</v>
      </c>
      <c r="V3020" s="77">
        <v>1296</v>
      </c>
      <c r="W3020" s="82" t="s">
        <v>5950</v>
      </c>
      <c r="X3020" s="80" t="str">
        <f>HYPERLINK("https://www.moneytimes.com.br/imovel-quitado-advogado-marcos-salomao-explica-como-ter-direto-de-posse/")</f>
        <v>https://www.moneytimes.com.br/imovel-quitado-advogado-marcos-salomao-explica-como-ter-direto-de-posse/</v>
      </c>
      <c r="Y3020" s="77" t="s">
        <v>6002</v>
      </c>
      <c r="Z3020" s="77"/>
      <c r="AA3020" s="77"/>
      <c r="AB3020" s="77"/>
      <c r="AC3020" s="82" t="s">
        <v>7718</v>
      </c>
      <c r="AD3020" s="77" t="s">
        <v>7745</v>
      </c>
      <c r="AE3020" s="80" t="str">
        <f>HYPERLINK("https://twitter.com/leiamoneytimes/status/1617813448963899394")</f>
        <v>https://twitter.com/leiamoneytimes/status/1617813448963899394</v>
      </c>
      <c r="AF3020" s="79">
        <v>44950.386087962965</v>
      </c>
      <c r="AG3020" s="85">
        <v>44950</v>
      </c>
      <c r="AH3020" s="82" t="s">
        <v>10484</v>
      </c>
      <c r="AI3020" s="77" t="b">
        <v>0</v>
      </c>
      <c r="AJ3020" s="77"/>
      <c r="AK3020" s="77"/>
      <c r="AL3020" s="77"/>
      <c r="AM3020" s="77"/>
      <c r="AN3020" s="77"/>
      <c r="AO3020" s="77"/>
      <c r="AP3020" s="77"/>
      <c r="AQ3020" s="77"/>
      <c r="AR3020" s="77"/>
      <c r="AS3020" s="77"/>
      <c r="AT3020" s="77"/>
      <c r="AU3020" s="77"/>
      <c r="AV3020" s="80" t="str">
        <f>HYPERLINK("https://pbs.twimg.com/profile_images/1559883556846977024/bXHnQFY0_normal.jpg")</f>
        <v>https://pbs.twimg.com/profile_images/1559883556846977024/bXHnQFY0_normal.jpg</v>
      </c>
      <c r="AW3020" s="82" t="s">
        <v>15175</v>
      </c>
      <c r="AX3020" s="82" t="s">
        <v>15175</v>
      </c>
      <c r="AY3020" s="77"/>
      <c r="AZ3020" s="82" t="s">
        <v>15804</v>
      </c>
      <c r="BA3020" s="82" t="s">
        <v>15804</v>
      </c>
      <c r="BB3020" s="82" t="s">
        <v>15804</v>
      </c>
      <c r="BC3020" s="82" t="s">
        <v>15175</v>
      </c>
      <c r="BD3020" s="77">
        <v>51150679</v>
      </c>
      <c r="BE3020" s="77"/>
      <c r="BF3020" s="77"/>
      <c r="BG3020" s="77"/>
      <c r="BH3020" s="77"/>
      <c r="BI3020" s="77"/>
    </row>
    <row r="3021" spans="1:61" x14ac:dyDescent="0.25">
      <c r="A3021" s="62" t="s">
        <v>1027</v>
      </c>
      <c r="B3021" s="62" t="s">
        <v>1027</v>
      </c>
      <c r="C3021" s="63"/>
      <c r="D3021" s="64"/>
      <c r="E3021" s="65"/>
      <c r="F3021" s="66"/>
      <c r="G3021" s="63"/>
      <c r="H3021" s="67"/>
      <c r="I3021" s="68"/>
      <c r="J3021" s="68"/>
      <c r="K3021" s="32"/>
      <c r="L3021" s="75">
        <v>3021</v>
      </c>
      <c r="M3021" s="75"/>
      <c r="N3021" s="70"/>
      <c r="O3021" s="77" t="s">
        <v>179</v>
      </c>
      <c r="P3021" s="79">
        <v>44948.688287037039</v>
      </c>
      <c r="Q3021" s="77" t="s">
        <v>4033</v>
      </c>
      <c r="R3021" s="77">
        <v>0</v>
      </c>
      <c r="S3021" s="77">
        <v>6</v>
      </c>
      <c r="T3021" s="77">
        <v>1</v>
      </c>
      <c r="U3021" s="77">
        <v>0</v>
      </c>
      <c r="V3021" s="77">
        <v>1890</v>
      </c>
      <c r="W3021" s="82" t="s">
        <v>5951</v>
      </c>
      <c r="X3021" s="80" t="str">
        <f>HYPERLINK("https://www.moneytimes.com.br/10-fundos-imobiliarios-que-estao-com-um-precinho-e-bom-retorno-com-dividendos/")</f>
        <v>https://www.moneytimes.com.br/10-fundos-imobiliarios-que-estao-com-um-precinho-e-bom-retorno-com-dividendos/</v>
      </c>
      <c r="Y3021" s="77" t="s">
        <v>6002</v>
      </c>
      <c r="Z3021" s="77"/>
      <c r="AA3021" s="77"/>
      <c r="AB3021" s="77"/>
      <c r="AC3021" s="82" t="s">
        <v>7718</v>
      </c>
      <c r="AD3021" s="77" t="s">
        <v>7745</v>
      </c>
      <c r="AE3021" s="80" t="str">
        <f>HYPERLINK("https://twitter.com/leiamoneytimes/status/1617198188493938695")</f>
        <v>https://twitter.com/leiamoneytimes/status/1617198188493938695</v>
      </c>
      <c r="AF3021" s="79">
        <v>44948.688287037039</v>
      </c>
      <c r="AG3021" s="85">
        <v>44948</v>
      </c>
      <c r="AH3021" s="82" t="s">
        <v>10485</v>
      </c>
      <c r="AI3021" s="77" t="b">
        <v>0</v>
      </c>
      <c r="AJ3021" s="77"/>
      <c r="AK3021" s="77"/>
      <c r="AL3021" s="77"/>
      <c r="AM3021" s="77"/>
      <c r="AN3021" s="77"/>
      <c r="AO3021" s="77"/>
      <c r="AP3021" s="77"/>
      <c r="AQ3021" s="77"/>
      <c r="AR3021" s="77"/>
      <c r="AS3021" s="77"/>
      <c r="AT3021" s="77"/>
      <c r="AU3021" s="77"/>
      <c r="AV3021" s="80" t="str">
        <f>HYPERLINK("https://pbs.twimg.com/profile_images/1559883556846977024/bXHnQFY0_normal.jpg")</f>
        <v>https://pbs.twimg.com/profile_images/1559883556846977024/bXHnQFY0_normal.jpg</v>
      </c>
      <c r="AW3021" s="82" t="s">
        <v>15176</v>
      </c>
      <c r="AX3021" s="82" t="s">
        <v>15176</v>
      </c>
      <c r="AY3021" s="77"/>
      <c r="AZ3021" s="82" t="s">
        <v>15804</v>
      </c>
      <c r="BA3021" s="82" t="s">
        <v>15804</v>
      </c>
      <c r="BB3021" s="82" t="s">
        <v>15804</v>
      </c>
      <c r="BC3021" s="82" t="s">
        <v>15176</v>
      </c>
      <c r="BD3021" s="77">
        <v>51150679</v>
      </c>
      <c r="BE3021" s="77"/>
      <c r="BF3021" s="77"/>
      <c r="BG3021" s="77"/>
      <c r="BH3021" s="77"/>
      <c r="BI3021" s="77"/>
    </row>
    <row r="3022" spans="1:61" x14ac:dyDescent="0.25">
      <c r="A3022" s="62" t="s">
        <v>1028</v>
      </c>
      <c r="B3022" s="62" t="s">
        <v>1027</v>
      </c>
      <c r="C3022" s="63"/>
      <c r="D3022" s="64"/>
      <c r="E3022" s="65"/>
      <c r="F3022" s="66"/>
      <c r="G3022" s="63"/>
      <c r="H3022" s="67"/>
      <c r="I3022" s="68"/>
      <c r="J3022" s="68"/>
      <c r="K3022" s="32"/>
      <c r="L3022" s="75">
        <v>3022</v>
      </c>
      <c r="M3022" s="75"/>
      <c r="N3022" s="70"/>
      <c r="O3022" s="77" t="s">
        <v>1134</v>
      </c>
      <c r="P3022" s="79">
        <v>45181.757488425923</v>
      </c>
      <c r="Q3022" s="77" t="s">
        <v>4034</v>
      </c>
      <c r="R3022" s="77">
        <v>1</v>
      </c>
      <c r="S3022" s="77">
        <v>0</v>
      </c>
      <c r="T3022" s="77">
        <v>0</v>
      </c>
      <c r="U3022" s="77">
        <v>0</v>
      </c>
      <c r="V3022" s="77"/>
      <c r="W3022" s="82" t="s">
        <v>5898</v>
      </c>
      <c r="X3022" s="80" t="str">
        <f>HYPERLINK("https://www.moneytimes.com.br/nubank-antecipa-saques-do-fgts/")</f>
        <v>https://www.moneytimes.com.br/nubank-antecipa-saques-do-fgts/</v>
      </c>
      <c r="Y3022" s="77" t="s">
        <v>6002</v>
      </c>
      <c r="Z3022" s="77" t="s">
        <v>1027</v>
      </c>
      <c r="AA3022" s="77"/>
      <c r="AB3022" s="77"/>
      <c r="AC3022" s="82" t="s">
        <v>7705</v>
      </c>
      <c r="AD3022" s="77" t="s">
        <v>7745</v>
      </c>
      <c r="AE3022" s="80" t="str">
        <f>HYPERLINK("https://twitter.com/edimosip/status/1701659635365584985")</f>
        <v>https://twitter.com/edimosip/status/1701659635365584985</v>
      </c>
      <c r="AF3022" s="79">
        <v>45181.757488425923</v>
      </c>
      <c r="AG3022" s="85">
        <v>45181</v>
      </c>
      <c r="AH3022" s="82" t="s">
        <v>10486</v>
      </c>
      <c r="AI3022" s="77" t="b">
        <v>0</v>
      </c>
      <c r="AJ3022" s="77"/>
      <c r="AK3022" s="77"/>
      <c r="AL3022" s="77"/>
      <c r="AM3022" s="77"/>
      <c r="AN3022" s="77"/>
      <c r="AO3022" s="77"/>
      <c r="AP3022" s="77"/>
      <c r="AQ3022" s="77"/>
      <c r="AR3022" s="77"/>
      <c r="AS3022" s="77"/>
      <c r="AT3022" s="77"/>
      <c r="AU3022" s="77"/>
      <c r="AV3022" s="80" t="str">
        <f>HYPERLINK("https://pbs.twimg.com/profile_images/1168112477458096128/DSsQ-F6a_normal.jpg")</f>
        <v>https://pbs.twimg.com/profile_images/1168112477458096128/DSsQ-F6a_normal.jpg</v>
      </c>
      <c r="AW3022" s="82" t="s">
        <v>15177</v>
      </c>
      <c r="AX3022" s="82" t="s">
        <v>15177</v>
      </c>
      <c r="AY3022" s="77"/>
      <c r="AZ3022" s="82" t="s">
        <v>15804</v>
      </c>
      <c r="BA3022" s="82" t="s">
        <v>15804</v>
      </c>
      <c r="BB3022" s="82" t="s">
        <v>15152</v>
      </c>
      <c r="BC3022" s="82" t="s">
        <v>15152</v>
      </c>
      <c r="BD3022" s="77">
        <v>26230407</v>
      </c>
      <c r="BE3022" s="77"/>
      <c r="BF3022" s="77"/>
      <c r="BG3022" s="77"/>
      <c r="BH3022" s="77"/>
      <c r="BI3022" s="77"/>
    </row>
    <row r="3023" spans="1:61" x14ac:dyDescent="0.25">
      <c r="A3023" s="62" t="s">
        <v>1029</v>
      </c>
      <c r="B3023" s="62" t="s">
        <v>1029</v>
      </c>
      <c r="C3023" s="63"/>
      <c r="D3023" s="64"/>
      <c r="E3023" s="65"/>
      <c r="F3023" s="66"/>
      <c r="G3023" s="63"/>
      <c r="H3023" s="67"/>
      <c r="I3023" s="68"/>
      <c r="J3023" s="68"/>
      <c r="K3023" s="32"/>
      <c r="L3023" s="75">
        <v>3023</v>
      </c>
      <c r="M3023" s="75"/>
      <c r="N3023" s="70"/>
      <c r="O3023" s="77" t="s">
        <v>1132</v>
      </c>
      <c r="P3023" s="79">
        <v>45044.553240740737</v>
      </c>
      <c r="Q3023" s="77" t="s">
        <v>4035</v>
      </c>
      <c r="R3023" s="77">
        <v>0</v>
      </c>
      <c r="S3023" s="77">
        <v>0</v>
      </c>
      <c r="T3023" s="77">
        <v>1</v>
      </c>
      <c r="U3023" s="77">
        <v>0</v>
      </c>
      <c r="V3023" s="77">
        <v>17</v>
      </c>
      <c r="W3023" s="82" t="s">
        <v>5952</v>
      </c>
      <c r="X3023" s="77"/>
      <c r="Y3023" s="77"/>
      <c r="Z3023" s="77"/>
      <c r="AA3023" s="77"/>
      <c r="AB3023" s="77"/>
      <c r="AC3023" s="82" t="s">
        <v>7706</v>
      </c>
      <c r="AD3023" s="77" t="s">
        <v>7745</v>
      </c>
      <c r="AE3023" s="80" t="str">
        <f>HYPERLINK("https://twitter.com/romulobuniziol/status/1651938482187583490")</f>
        <v>https://twitter.com/romulobuniziol/status/1651938482187583490</v>
      </c>
      <c r="AF3023" s="79">
        <v>45044.553240740737</v>
      </c>
      <c r="AG3023" s="85">
        <v>45044</v>
      </c>
      <c r="AH3023" s="82" t="s">
        <v>10487</v>
      </c>
      <c r="AI3023" s="77"/>
      <c r="AJ3023" s="77"/>
      <c r="AK3023" s="77"/>
      <c r="AL3023" s="77"/>
      <c r="AM3023" s="77"/>
      <c r="AN3023" s="77"/>
      <c r="AO3023" s="77"/>
      <c r="AP3023" s="77"/>
      <c r="AQ3023" s="77"/>
      <c r="AR3023" s="77"/>
      <c r="AS3023" s="77"/>
      <c r="AT3023" s="77"/>
      <c r="AU3023" s="77"/>
      <c r="AV3023" s="80" t="str">
        <f>HYPERLINK("https://pbs.twimg.com/profile_images/1653528554364182529/xnYKbywo_normal.jpg")</f>
        <v>https://pbs.twimg.com/profile_images/1653528554364182529/xnYKbywo_normal.jpg</v>
      </c>
      <c r="AW3023" s="82" t="s">
        <v>15178</v>
      </c>
      <c r="AX3023" s="82" t="s">
        <v>15664</v>
      </c>
      <c r="AY3023" s="82" t="s">
        <v>15799</v>
      </c>
      <c r="AZ3023" s="82" t="s">
        <v>16132</v>
      </c>
      <c r="BA3023" s="82" t="s">
        <v>15804</v>
      </c>
      <c r="BB3023" s="82" t="s">
        <v>15804</v>
      </c>
      <c r="BC3023" s="82" t="s">
        <v>16132</v>
      </c>
      <c r="BD3023" s="77">
        <v>38032674</v>
      </c>
      <c r="BE3023" s="77"/>
      <c r="BF3023" s="77"/>
      <c r="BG3023" s="77"/>
      <c r="BH3023" s="77"/>
      <c r="BI3023" s="77"/>
    </row>
    <row r="3024" spans="1:61" x14ac:dyDescent="0.25">
      <c r="A3024" s="62" t="s">
        <v>1030</v>
      </c>
      <c r="B3024" s="62" t="s">
        <v>1030</v>
      </c>
      <c r="C3024" s="63"/>
      <c r="D3024" s="64"/>
      <c r="E3024" s="65"/>
      <c r="F3024" s="66"/>
      <c r="G3024" s="63"/>
      <c r="H3024" s="67"/>
      <c r="I3024" s="68"/>
      <c r="J3024" s="68"/>
      <c r="K3024" s="32"/>
      <c r="L3024" s="75">
        <v>3024</v>
      </c>
      <c r="M3024" s="75"/>
      <c r="N3024" s="70"/>
      <c r="O3024" s="77" t="s">
        <v>1132</v>
      </c>
      <c r="P3024" s="79">
        <v>45063.904120370367</v>
      </c>
      <c r="Q3024" s="77" t="s">
        <v>4036</v>
      </c>
      <c r="R3024" s="77">
        <v>0</v>
      </c>
      <c r="S3024" s="77">
        <v>0</v>
      </c>
      <c r="T3024" s="77">
        <v>0</v>
      </c>
      <c r="U3024" s="77">
        <v>0</v>
      </c>
      <c r="V3024" s="77">
        <v>79</v>
      </c>
      <c r="W3024" s="82" t="s">
        <v>5953</v>
      </c>
      <c r="X3024" s="77"/>
      <c r="Y3024" s="77"/>
      <c r="Z3024" s="77" t="s">
        <v>6145</v>
      </c>
      <c r="AA3024" s="77"/>
      <c r="AB3024" s="77"/>
      <c r="AC3024" s="82" t="s">
        <v>7705</v>
      </c>
      <c r="AD3024" s="77" t="s">
        <v>7745</v>
      </c>
      <c r="AE3024" s="80" t="str">
        <f>HYPERLINK("https://twitter.com/robsondionisio1/status/1658951005663272961")</f>
        <v>https://twitter.com/robsondionisio1/status/1658951005663272961</v>
      </c>
      <c r="AF3024" s="79">
        <v>45063.904120370367</v>
      </c>
      <c r="AG3024" s="85">
        <v>45063</v>
      </c>
      <c r="AH3024" s="82" t="s">
        <v>10488</v>
      </c>
      <c r="AI3024" s="77"/>
      <c r="AJ3024" s="77" t="s">
        <v>10533</v>
      </c>
      <c r="AK3024" s="77" t="s">
        <v>10552</v>
      </c>
      <c r="AL3024" s="77" t="s">
        <v>10555</v>
      </c>
      <c r="AM3024" s="77" t="s">
        <v>10570</v>
      </c>
      <c r="AN3024" s="77" t="s">
        <v>10600</v>
      </c>
      <c r="AO3024" s="77" t="s">
        <v>10631</v>
      </c>
      <c r="AP3024" s="77" t="s">
        <v>10649</v>
      </c>
      <c r="AQ3024" s="77"/>
      <c r="AR3024" s="77"/>
      <c r="AS3024" s="77"/>
      <c r="AT3024" s="77"/>
      <c r="AU3024" s="77"/>
      <c r="AV3024" s="80" t="str">
        <f>HYPERLINK("https://pbs.twimg.com/profile_images/1685666821100142592/dEyMXxs7_normal.jpg")</f>
        <v>https://pbs.twimg.com/profile_images/1685666821100142592/dEyMXxs7_normal.jpg</v>
      </c>
      <c r="AW3024" s="82" t="s">
        <v>15179</v>
      </c>
      <c r="AX3024" s="82" t="s">
        <v>15665</v>
      </c>
      <c r="AY3024" s="82" t="s">
        <v>15800</v>
      </c>
      <c r="AZ3024" s="82" t="s">
        <v>15665</v>
      </c>
      <c r="BA3024" s="82" t="s">
        <v>15804</v>
      </c>
      <c r="BB3024" s="82" t="s">
        <v>15804</v>
      </c>
      <c r="BC3024" s="82" t="s">
        <v>15665</v>
      </c>
      <c r="BD3024" s="77">
        <v>2155359410</v>
      </c>
      <c r="BE3024" s="77"/>
      <c r="BF3024" s="77"/>
      <c r="BG3024" s="77"/>
      <c r="BH3024" s="77"/>
      <c r="BI3024" s="77"/>
    </row>
    <row r="3025" spans="1:61" x14ac:dyDescent="0.25">
      <c r="A3025" s="62" t="s">
        <v>1031</v>
      </c>
      <c r="B3025" s="62" t="s">
        <v>1031</v>
      </c>
      <c r="C3025" s="63"/>
      <c r="D3025" s="64"/>
      <c r="E3025" s="65"/>
      <c r="F3025" s="66"/>
      <c r="G3025" s="63"/>
      <c r="H3025" s="67"/>
      <c r="I3025" s="68"/>
      <c r="J3025" s="68"/>
      <c r="K3025" s="32"/>
      <c r="L3025" s="75">
        <v>3025</v>
      </c>
      <c r="M3025" s="75"/>
      <c r="N3025" s="70"/>
      <c r="O3025" s="77" t="s">
        <v>179</v>
      </c>
      <c r="P3025" s="79">
        <v>45120.593078703707</v>
      </c>
      <c r="Q3025" s="77" t="s">
        <v>4037</v>
      </c>
      <c r="R3025" s="77">
        <v>0</v>
      </c>
      <c r="S3025" s="77">
        <v>1</v>
      </c>
      <c r="T3025" s="77">
        <v>0</v>
      </c>
      <c r="U3025" s="77">
        <v>0</v>
      </c>
      <c r="V3025" s="77">
        <v>12</v>
      </c>
      <c r="W3025" s="82" t="s">
        <v>5954</v>
      </c>
      <c r="X3025" s="77"/>
      <c r="Y3025" s="77"/>
      <c r="Z3025" s="77"/>
      <c r="AA3025" s="77" t="s">
        <v>7685</v>
      </c>
      <c r="AB3025" s="77" t="s">
        <v>7696</v>
      </c>
      <c r="AC3025" s="82" t="s">
        <v>7706</v>
      </c>
      <c r="AD3025" s="77" t="s">
        <v>7745</v>
      </c>
      <c r="AE3025" s="80" t="str">
        <f>HYPERLINK("https://twitter.com/thembaniafrica/status/1679494397296095232")</f>
        <v>https://twitter.com/thembaniafrica/status/1679494397296095232</v>
      </c>
      <c r="AF3025" s="79">
        <v>45120.593078703707</v>
      </c>
      <c r="AG3025" s="85">
        <v>45120</v>
      </c>
      <c r="AH3025" s="82" t="s">
        <v>10489</v>
      </c>
      <c r="AI3025" s="77" t="b">
        <v>0</v>
      </c>
      <c r="AJ3025" s="77"/>
      <c r="AK3025" s="77"/>
      <c r="AL3025" s="77"/>
      <c r="AM3025" s="77"/>
      <c r="AN3025" s="77"/>
      <c r="AO3025" s="77"/>
      <c r="AP3025" s="77"/>
      <c r="AQ3025" s="77" t="s">
        <v>12191</v>
      </c>
      <c r="AR3025" s="77"/>
      <c r="AS3025" s="77"/>
      <c r="AT3025" s="77"/>
      <c r="AU3025" s="77"/>
      <c r="AV3025" s="80" t="str">
        <f>HYPERLINK("https://pbs.twimg.com/media/F07DNuMWcAc9dCG.jpg")</f>
        <v>https://pbs.twimg.com/media/F07DNuMWcAc9dCG.jpg</v>
      </c>
      <c r="AW3025" s="82" t="s">
        <v>15180</v>
      </c>
      <c r="AX3025" s="82" t="s">
        <v>15180</v>
      </c>
      <c r="AY3025" s="77"/>
      <c r="AZ3025" s="82" t="s">
        <v>15804</v>
      </c>
      <c r="BA3025" s="82" t="s">
        <v>15804</v>
      </c>
      <c r="BB3025" s="82" t="s">
        <v>15804</v>
      </c>
      <c r="BC3025" s="82" t="s">
        <v>15180</v>
      </c>
      <c r="BD3025" s="82" t="s">
        <v>16586</v>
      </c>
      <c r="BE3025" s="77"/>
      <c r="BF3025" s="77"/>
      <c r="BG3025" s="77"/>
      <c r="BH3025" s="77"/>
      <c r="BI3025" s="77"/>
    </row>
    <row r="3026" spans="1:61" x14ac:dyDescent="0.25">
      <c r="A3026" s="62" t="s">
        <v>1031</v>
      </c>
      <c r="B3026" s="62" t="s">
        <v>1031</v>
      </c>
      <c r="C3026" s="63"/>
      <c r="D3026" s="64"/>
      <c r="E3026" s="65"/>
      <c r="F3026" s="66"/>
      <c r="G3026" s="63"/>
      <c r="H3026" s="67"/>
      <c r="I3026" s="68"/>
      <c r="J3026" s="68"/>
      <c r="K3026" s="32"/>
      <c r="L3026" s="75">
        <v>3026</v>
      </c>
      <c r="M3026" s="75"/>
      <c r="N3026" s="70"/>
      <c r="O3026" s="77" t="s">
        <v>179</v>
      </c>
      <c r="P3026" s="79">
        <v>45124.54923611111</v>
      </c>
      <c r="Q3026" s="77" t="s">
        <v>4038</v>
      </c>
      <c r="R3026" s="77">
        <v>0</v>
      </c>
      <c r="S3026" s="77">
        <v>1</v>
      </c>
      <c r="T3026" s="77">
        <v>0</v>
      </c>
      <c r="U3026" s="77">
        <v>0</v>
      </c>
      <c r="V3026" s="77">
        <v>11</v>
      </c>
      <c r="W3026" s="82" t="s">
        <v>5955</v>
      </c>
      <c r="X3026" s="77"/>
      <c r="Y3026" s="77"/>
      <c r="Z3026" s="77"/>
      <c r="AA3026" s="77" t="s">
        <v>7686</v>
      </c>
      <c r="AB3026" s="77" t="s">
        <v>7696</v>
      </c>
      <c r="AC3026" s="82" t="s">
        <v>7706</v>
      </c>
      <c r="AD3026" s="77" t="s">
        <v>7745</v>
      </c>
      <c r="AE3026" s="80" t="str">
        <f>HYPERLINK("https://twitter.com/thembaniafrica/status/1680928062248976384")</f>
        <v>https://twitter.com/thembaniafrica/status/1680928062248976384</v>
      </c>
      <c r="AF3026" s="79">
        <v>45124.54923611111</v>
      </c>
      <c r="AG3026" s="85">
        <v>45124</v>
      </c>
      <c r="AH3026" s="82" t="s">
        <v>10490</v>
      </c>
      <c r="AI3026" s="77" t="b">
        <v>0</v>
      </c>
      <c r="AJ3026" s="77"/>
      <c r="AK3026" s="77"/>
      <c r="AL3026" s="77"/>
      <c r="AM3026" s="77"/>
      <c r="AN3026" s="77"/>
      <c r="AO3026" s="77"/>
      <c r="AP3026" s="77"/>
      <c r="AQ3026" s="77" t="s">
        <v>12192</v>
      </c>
      <c r="AR3026" s="77"/>
      <c r="AS3026" s="77"/>
      <c r="AT3026" s="77"/>
      <c r="AU3026" s="77"/>
      <c r="AV3026" s="80" t="str">
        <f>HYPERLINK("https://pbs.twimg.com/media/F1PbFs3XsAA3X-V.jpg")</f>
        <v>https://pbs.twimg.com/media/F1PbFs3XsAA3X-V.jpg</v>
      </c>
      <c r="AW3026" s="82" t="s">
        <v>15181</v>
      </c>
      <c r="AX3026" s="82" t="s">
        <v>15181</v>
      </c>
      <c r="AY3026" s="77"/>
      <c r="AZ3026" s="82" t="s">
        <v>15804</v>
      </c>
      <c r="BA3026" s="82" t="s">
        <v>15804</v>
      </c>
      <c r="BB3026" s="82" t="s">
        <v>15804</v>
      </c>
      <c r="BC3026" s="82" t="s">
        <v>15181</v>
      </c>
      <c r="BD3026" s="82" t="s">
        <v>16586</v>
      </c>
      <c r="BE3026" s="77"/>
      <c r="BF3026" s="77"/>
      <c r="BG3026" s="77"/>
      <c r="BH3026" s="77"/>
      <c r="BI3026" s="77"/>
    </row>
    <row r="3027" spans="1:61" x14ac:dyDescent="0.25">
      <c r="A3027" s="62" t="s">
        <v>1031</v>
      </c>
      <c r="B3027" s="62" t="s">
        <v>1031</v>
      </c>
      <c r="C3027" s="63"/>
      <c r="D3027" s="64"/>
      <c r="E3027" s="65"/>
      <c r="F3027" s="66"/>
      <c r="G3027" s="63"/>
      <c r="H3027" s="67"/>
      <c r="I3027" s="68"/>
      <c r="J3027" s="68"/>
      <c r="K3027" s="32"/>
      <c r="L3027" s="75">
        <v>3027</v>
      </c>
      <c r="M3027" s="75"/>
      <c r="N3027" s="70"/>
      <c r="O3027" s="77" t="s">
        <v>179</v>
      </c>
      <c r="P3027" s="79">
        <v>45110.538344907407</v>
      </c>
      <c r="Q3027" s="77" t="s">
        <v>4039</v>
      </c>
      <c r="R3027" s="77">
        <v>0</v>
      </c>
      <c r="S3027" s="77">
        <v>4</v>
      </c>
      <c r="T3027" s="77">
        <v>0</v>
      </c>
      <c r="U3027" s="77">
        <v>0</v>
      </c>
      <c r="V3027" s="77">
        <v>14</v>
      </c>
      <c r="W3027" s="82" t="s">
        <v>5955</v>
      </c>
      <c r="X3027" s="77"/>
      <c r="Y3027" s="77"/>
      <c r="Z3027" s="77"/>
      <c r="AA3027" s="77" t="s">
        <v>7687</v>
      </c>
      <c r="AB3027" s="77" t="s">
        <v>7696</v>
      </c>
      <c r="AC3027" s="82" t="s">
        <v>7706</v>
      </c>
      <c r="AD3027" s="77" t="s">
        <v>7745</v>
      </c>
      <c r="AE3027" s="80" t="str">
        <f>HYPERLINK("https://twitter.com/thembaniafrica/status/1675850685378711553")</f>
        <v>https://twitter.com/thembaniafrica/status/1675850685378711553</v>
      </c>
      <c r="AF3027" s="79">
        <v>45110.538344907407</v>
      </c>
      <c r="AG3027" s="85">
        <v>45110</v>
      </c>
      <c r="AH3027" s="82" t="s">
        <v>10491</v>
      </c>
      <c r="AI3027" s="77" t="b">
        <v>0</v>
      </c>
      <c r="AJ3027" s="77"/>
      <c r="AK3027" s="77"/>
      <c r="AL3027" s="77"/>
      <c r="AM3027" s="77"/>
      <c r="AN3027" s="77"/>
      <c r="AO3027" s="77"/>
      <c r="AP3027" s="77"/>
      <c r="AQ3027" s="77" t="s">
        <v>12193</v>
      </c>
      <c r="AR3027" s="77"/>
      <c r="AS3027" s="77"/>
      <c r="AT3027" s="77"/>
      <c r="AU3027" s="77"/>
      <c r="AV3027" s="80" t="str">
        <f>HYPERLINK("https://pbs.twimg.com/media/F0HRS2cWIAUn7jk.jpg")</f>
        <v>https://pbs.twimg.com/media/F0HRS2cWIAUn7jk.jpg</v>
      </c>
      <c r="AW3027" s="82" t="s">
        <v>15182</v>
      </c>
      <c r="AX3027" s="82" t="s">
        <v>15182</v>
      </c>
      <c r="AY3027" s="77"/>
      <c r="AZ3027" s="82" t="s">
        <v>15804</v>
      </c>
      <c r="BA3027" s="82" t="s">
        <v>15804</v>
      </c>
      <c r="BB3027" s="82" t="s">
        <v>15804</v>
      </c>
      <c r="BC3027" s="82" t="s">
        <v>15182</v>
      </c>
      <c r="BD3027" s="82" t="s">
        <v>16586</v>
      </c>
      <c r="BE3027" s="77"/>
      <c r="BF3027" s="77"/>
      <c r="BG3027" s="77"/>
      <c r="BH3027" s="77"/>
      <c r="BI3027" s="77"/>
    </row>
    <row r="3028" spans="1:61" x14ac:dyDescent="0.25">
      <c r="A3028" s="62" t="s">
        <v>1032</v>
      </c>
      <c r="B3028" s="62" t="s">
        <v>1032</v>
      </c>
      <c r="C3028" s="63"/>
      <c r="D3028" s="64"/>
      <c r="E3028" s="65"/>
      <c r="F3028" s="66"/>
      <c r="G3028" s="63"/>
      <c r="H3028" s="67"/>
      <c r="I3028" s="68"/>
      <c r="J3028" s="68"/>
      <c r="K3028" s="32"/>
      <c r="L3028" s="75">
        <v>3028</v>
      </c>
      <c r="M3028" s="75"/>
      <c r="N3028" s="70"/>
      <c r="O3028" s="77" t="s">
        <v>179</v>
      </c>
      <c r="P3028" s="79">
        <v>45125.460625</v>
      </c>
      <c r="Q3028" s="77" t="s">
        <v>4040</v>
      </c>
      <c r="R3028" s="77">
        <v>0</v>
      </c>
      <c r="S3028" s="77">
        <v>0</v>
      </c>
      <c r="T3028" s="77">
        <v>0</v>
      </c>
      <c r="U3028" s="77">
        <v>0</v>
      </c>
      <c r="V3028" s="77">
        <v>22</v>
      </c>
      <c r="W3028" s="82" t="s">
        <v>5254</v>
      </c>
      <c r="X3028" s="77"/>
      <c r="Y3028" s="77"/>
      <c r="Z3028" s="77"/>
      <c r="AA3028" s="77"/>
      <c r="AB3028" s="77"/>
      <c r="AC3028" s="82" t="s">
        <v>7706</v>
      </c>
      <c r="AD3028" s="77" t="s">
        <v>7745</v>
      </c>
      <c r="AE3028" s="80" t="str">
        <f>HYPERLINK("https://twitter.com/andrenegociosbr/status/1681258336333844480")</f>
        <v>https://twitter.com/andrenegociosbr/status/1681258336333844480</v>
      </c>
      <c r="AF3028" s="79">
        <v>45125.460625</v>
      </c>
      <c r="AG3028" s="85">
        <v>45125</v>
      </c>
      <c r="AH3028" s="82" t="s">
        <v>10492</v>
      </c>
      <c r="AI3028" s="77"/>
      <c r="AJ3028" s="77"/>
      <c r="AK3028" s="77"/>
      <c r="AL3028" s="77"/>
      <c r="AM3028" s="77"/>
      <c r="AN3028" s="77"/>
      <c r="AO3028" s="77"/>
      <c r="AP3028" s="77"/>
      <c r="AQ3028" s="77"/>
      <c r="AR3028" s="77"/>
      <c r="AS3028" s="77"/>
      <c r="AT3028" s="77"/>
      <c r="AU3028" s="77"/>
      <c r="AV3028" s="80" t="str">
        <f>HYPERLINK("https://pbs.twimg.com/profile_images/1665669594776780809/oBKSQn5I_normal.jpg")</f>
        <v>https://pbs.twimg.com/profile_images/1665669594776780809/oBKSQn5I_normal.jpg</v>
      </c>
      <c r="AW3028" s="82" t="s">
        <v>15183</v>
      </c>
      <c r="AX3028" s="82" t="s">
        <v>15183</v>
      </c>
      <c r="AY3028" s="77"/>
      <c r="AZ3028" s="82" t="s">
        <v>15804</v>
      </c>
      <c r="BA3028" s="82" t="s">
        <v>15804</v>
      </c>
      <c r="BB3028" s="82" t="s">
        <v>15804</v>
      </c>
      <c r="BC3028" s="82" t="s">
        <v>15183</v>
      </c>
      <c r="BD3028" s="82" t="s">
        <v>16587</v>
      </c>
      <c r="BE3028" s="77"/>
      <c r="BF3028" s="77"/>
      <c r="BG3028" s="77"/>
      <c r="BH3028" s="77"/>
      <c r="BI3028" s="77"/>
    </row>
    <row r="3029" spans="1:61" x14ac:dyDescent="0.25">
      <c r="A3029" s="62" t="s">
        <v>1032</v>
      </c>
      <c r="B3029" s="62" t="s">
        <v>1032</v>
      </c>
      <c r="C3029" s="63"/>
      <c r="D3029" s="64"/>
      <c r="E3029" s="65"/>
      <c r="F3029" s="66"/>
      <c r="G3029" s="63"/>
      <c r="H3029" s="67"/>
      <c r="I3029" s="68"/>
      <c r="J3029" s="68"/>
      <c r="K3029" s="32"/>
      <c r="L3029" s="75">
        <v>3029</v>
      </c>
      <c r="M3029" s="75"/>
      <c r="N3029" s="70"/>
      <c r="O3029" s="77" t="s">
        <v>179</v>
      </c>
      <c r="P3029" s="79">
        <v>45126.467743055553</v>
      </c>
      <c r="Q3029" s="77" t="s">
        <v>4041</v>
      </c>
      <c r="R3029" s="77">
        <v>0</v>
      </c>
      <c r="S3029" s="77">
        <v>0</v>
      </c>
      <c r="T3029" s="77">
        <v>0</v>
      </c>
      <c r="U3029" s="77">
        <v>0</v>
      </c>
      <c r="V3029" s="77">
        <v>14</v>
      </c>
      <c r="W3029" s="82" t="s">
        <v>5956</v>
      </c>
      <c r="X3029" s="77"/>
      <c r="Y3029" s="77"/>
      <c r="Z3029" s="77"/>
      <c r="AA3029" s="77"/>
      <c r="AB3029" s="77"/>
      <c r="AC3029" s="82" t="s">
        <v>7706</v>
      </c>
      <c r="AD3029" s="77" t="s">
        <v>7745</v>
      </c>
      <c r="AE3029" s="80" t="str">
        <f>HYPERLINK("https://twitter.com/andrenegociosbr/status/1681623306514976768")</f>
        <v>https://twitter.com/andrenegociosbr/status/1681623306514976768</v>
      </c>
      <c r="AF3029" s="79">
        <v>45126.467743055553</v>
      </c>
      <c r="AG3029" s="85">
        <v>45126</v>
      </c>
      <c r="AH3029" s="82" t="s">
        <v>10493</v>
      </c>
      <c r="AI3029" s="77"/>
      <c r="AJ3029" s="77"/>
      <c r="AK3029" s="77"/>
      <c r="AL3029" s="77"/>
      <c r="AM3029" s="77"/>
      <c r="AN3029" s="77"/>
      <c r="AO3029" s="77"/>
      <c r="AP3029" s="77"/>
      <c r="AQ3029" s="77"/>
      <c r="AR3029" s="77"/>
      <c r="AS3029" s="77"/>
      <c r="AT3029" s="77"/>
      <c r="AU3029" s="77"/>
      <c r="AV3029" s="80" t="str">
        <f>HYPERLINK("https://pbs.twimg.com/profile_images/1665669594776780809/oBKSQn5I_normal.jpg")</f>
        <v>https://pbs.twimg.com/profile_images/1665669594776780809/oBKSQn5I_normal.jpg</v>
      </c>
      <c r="AW3029" s="82" t="s">
        <v>15184</v>
      </c>
      <c r="AX3029" s="82" t="s">
        <v>15184</v>
      </c>
      <c r="AY3029" s="77"/>
      <c r="AZ3029" s="82" t="s">
        <v>15804</v>
      </c>
      <c r="BA3029" s="82" t="s">
        <v>15804</v>
      </c>
      <c r="BB3029" s="82" t="s">
        <v>15804</v>
      </c>
      <c r="BC3029" s="82" t="s">
        <v>15184</v>
      </c>
      <c r="BD3029" s="82" t="s">
        <v>16587</v>
      </c>
      <c r="BE3029" s="77"/>
      <c r="BF3029" s="77"/>
      <c r="BG3029" s="77"/>
      <c r="BH3029" s="77"/>
      <c r="BI3029" s="77"/>
    </row>
    <row r="3030" spans="1:61" x14ac:dyDescent="0.25">
      <c r="A3030" s="62" t="s">
        <v>1032</v>
      </c>
      <c r="B3030" s="62" t="s">
        <v>1032</v>
      </c>
      <c r="C3030" s="63"/>
      <c r="D3030" s="64"/>
      <c r="E3030" s="65"/>
      <c r="F3030" s="66"/>
      <c r="G3030" s="63"/>
      <c r="H3030" s="67"/>
      <c r="I3030" s="68"/>
      <c r="J3030" s="68"/>
      <c r="K3030" s="32"/>
      <c r="L3030" s="75">
        <v>3030</v>
      </c>
      <c r="M3030" s="75"/>
      <c r="N3030" s="70"/>
      <c r="O3030" s="77" t="s">
        <v>179</v>
      </c>
      <c r="P3030" s="79">
        <v>45122.491203703707</v>
      </c>
      <c r="Q3030" s="77" t="s">
        <v>4042</v>
      </c>
      <c r="R3030" s="77">
        <v>0</v>
      </c>
      <c r="S3030" s="77">
        <v>0</v>
      </c>
      <c r="T3030" s="77">
        <v>0</v>
      </c>
      <c r="U3030" s="77">
        <v>0</v>
      </c>
      <c r="V3030" s="77">
        <v>17</v>
      </c>
      <c r="W3030" s="82" t="s">
        <v>4105</v>
      </c>
      <c r="X3030" s="77"/>
      <c r="Y3030" s="77"/>
      <c r="Z3030" s="77"/>
      <c r="AA3030" s="77"/>
      <c r="AB3030" s="77"/>
      <c r="AC3030" s="82" t="s">
        <v>7706</v>
      </c>
      <c r="AD3030" s="77" t="s">
        <v>7745</v>
      </c>
      <c r="AE3030" s="80" t="str">
        <f>HYPERLINK("https://twitter.com/andrenegociosbr/status/1680182254637596672")</f>
        <v>https://twitter.com/andrenegociosbr/status/1680182254637596672</v>
      </c>
      <c r="AF3030" s="79">
        <v>45122.491203703707</v>
      </c>
      <c r="AG3030" s="85">
        <v>45122</v>
      </c>
      <c r="AH3030" s="82" t="s">
        <v>10494</v>
      </c>
      <c r="AI3030" s="77"/>
      <c r="AJ3030" s="77"/>
      <c r="AK3030" s="77"/>
      <c r="AL3030" s="77"/>
      <c r="AM3030" s="77"/>
      <c r="AN3030" s="77"/>
      <c r="AO3030" s="77"/>
      <c r="AP3030" s="77"/>
      <c r="AQ3030" s="77"/>
      <c r="AR3030" s="77"/>
      <c r="AS3030" s="77"/>
      <c r="AT3030" s="77"/>
      <c r="AU3030" s="77"/>
      <c r="AV3030" s="80" t="str">
        <f>HYPERLINK("https://pbs.twimg.com/profile_images/1665669594776780809/oBKSQn5I_normal.jpg")</f>
        <v>https://pbs.twimg.com/profile_images/1665669594776780809/oBKSQn5I_normal.jpg</v>
      </c>
      <c r="AW3030" s="82" t="s">
        <v>15185</v>
      </c>
      <c r="AX3030" s="82" t="s">
        <v>15185</v>
      </c>
      <c r="AY3030" s="77"/>
      <c r="AZ3030" s="82" t="s">
        <v>15804</v>
      </c>
      <c r="BA3030" s="82" t="s">
        <v>15804</v>
      </c>
      <c r="BB3030" s="82" t="s">
        <v>15804</v>
      </c>
      <c r="BC3030" s="82" t="s">
        <v>15185</v>
      </c>
      <c r="BD3030" s="82" t="s">
        <v>16587</v>
      </c>
      <c r="BE3030" s="77"/>
      <c r="BF3030" s="77"/>
      <c r="BG3030" s="77"/>
      <c r="BH3030" s="77"/>
      <c r="BI3030" s="77"/>
    </row>
    <row r="3031" spans="1:61" x14ac:dyDescent="0.25">
      <c r="A3031" s="62" t="s">
        <v>1033</v>
      </c>
      <c r="B3031" s="62" t="s">
        <v>1033</v>
      </c>
      <c r="C3031" s="63"/>
      <c r="D3031" s="64"/>
      <c r="E3031" s="65"/>
      <c r="F3031" s="66"/>
      <c r="G3031" s="63"/>
      <c r="H3031" s="67"/>
      <c r="I3031" s="68"/>
      <c r="J3031" s="68"/>
      <c r="K3031" s="32"/>
      <c r="L3031" s="75">
        <v>3031</v>
      </c>
      <c r="M3031" s="75"/>
      <c r="N3031" s="70"/>
      <c r="O3031" s="77" t="s">
        <v>1132</v>
      </c>
      <c r="P3031" s="79">
        <v>45139.643865740742</v>
      </c>
      <c r="Q3031" s="77" t="s">
        <v>4043</v>
      </c>
      <c r="R3031" s="77">
        <v>0</v>
      </c>
      <c r="S3031" s="77">
        <v>0</v>
      </c>
      <c r="T3031" s="77">
        <v>1</v>
      </c>
      <c r="U3031" s="77">
        <v>0</v>
      </c>
      <c r="V3031" s="77">
        <v>18</v>
      </c>
      <c r="W3031" s="82" t="s">
        <v>5957</v>
      </c>
      <c r="X3031" s="77"/>
      <c r="Y3031" s="77"/>
      <c r="Z3031" s="77"/>
      <c r="AA3031" s="77"/>
      <c r="AB3031" s="77"/>
      <c r="AC3031" s="82" t="s">
        <v>7705</v>
      </c>
      <c r="AD3031" s="77" t="s">
        <v>7745</v>
      </c>
      <c r="AE3031" s="80" t="str">
        <f>HYPERLINK("https://twitter.com/allan_arthuur/status/1686398170207563777")</f>
        <v>https://twitter.com/allan_arthuur/status/1686398170207563777</v>
      </c>
      <c r="AF3031" s="79">
        <v>45139.643865740742</v>
      </c>
      <c r="AG3031" s="85">
        <v>45139</v>
      </c>
      <c r="AH3031" s="82" t="s">
        <v>10495</v>
      </c>
      <c r="AI3031" s="77"/>
      <c r="AJ3031" s="77"/>
      <c r="AK3031" s="77"/>
      <c r="AL3031" s="77"/>
      <c r="AM3031" s="77"/>
      <c r="AN3031" s="77"/>
      <c r="AO3031" s="77"/>
      <c r="AP3031" s="77"/>
      <c r="AQ3031" s="77"/>
      <c r="AR3031" s="77"/>
      <c r="AS3031" s="77"/>
      <c r="AT3031" s="77"/>
      <c r="AU3031" s="77"/>
      <c r="AV3031" s="80" t="str">
        <f>HYPERLINK("https://pbs.twimg.com/profile_images/1672444726740385793/HfqtNZ-e_normal.jpg")</f>
        <v>https://pbs.twimg.com/profile_images/1672444726740385793/HfqtNZ-e_normal.jpg</v>
      </c>
      <c r="AW3031" s="82" t="s">
        <v>15186</v>
      </c>
      <c r="AX3031" s="82" t="s">
        <v>15666</v>
      </c>
      <c r="AY3031" s="82" t="s">
        <v>15801</v>
      </c>
      <c r="AZ3031" s="82" t="s">
        <v>16133</v>
      </c>
      <c r="BA3031" s="82" t="s">
        <v>15804</v>
      </c>
      <c r="BB3031" s="82" t="s">
        <v>15804</v>
      </c>
      <c r="BC3031" s="82" t="s">
        <v>16133</v>
      </c>
      <c r="BD3031" s="77">
        <v>3273344460</v>
      </c>
      <c r="BE3031" s="77"/>
      <c r="BF3031" s="77"/>
      <c r="BG3031" s="77"/>
      <c r="BH3031" s="77"/>
      <c r="BI3031" s="77"/>
    </row>
    <row r="3032" spans="1:61" x14ac:dyDescent="0.25">
      <c r="A3032" s="62" t="s">
        <v>1034</v>
      </c>
      <c r="B3032" s="62" t="s">
        <v>1034</v>
      </c>
      <c r="C3032" s="63"/>
      <c r="D3032" s="64"/>
      <c r="E3032" s="65"/>
      <c r="F3032" s="66"/>
      <c r="G3032" s="63"/>
      <c r="H3032" s="67"/>
      <c r="I3032" s="68"/>
      <c r="J3032" s="68"/>
      <c r="K3032" s="32"/>
      <c r="L3032" s="75">
        <v>3032</v>
      </c>
      <c r="M3032" s="75"/>
      <c r="N3032" s="70"/>
      <c r="O3032" s="77" t="s">
        <v>179</v>
      </c>
      <c r="P3032" s="79">
        <v>45127.423831018517</v>
      </c>
      <c r="Q3032" s="77" t="s">
        <v>4044</v>
      </c>
      <c r="R3032" s="77">
        <v>0</v>
      </c>
      <c r="S3032" s="77">
        <v>4</v>
      </c>
      <c r="T3032" s="77">
        <v>0</v>
      </c>
      <c r="U3032" s="77">
        <v>0</v>
      </c>
      <c r="V3032" s="77">
        <v>25</v>
      </c>
      <c r="W3032" s="82" t="s">
        <v>5958</v>
      </c>
      <c r="X3032" s="80" t="str">
        <f>HYPERLINK("https://www.instagram.com/p/CunknHxNGzX/?igshid=M2MyMzgzODVlNw==")</f>
        <v>https://www.instagram.com/p/CunknHxNGzX/?igshid=M2MyMzgzODVlNw==</v>
      </c>
      <c r="Y3032" s="77" t="s">
        <v>6000</v>
      </c>
      <c r="Z3032" s="77"/>
      <c r="AA3032" s="77"/>
      <c r="AB3032" s="77"/>
      <c r="AC3032" s="82" t="s">
        <v>7707</v>
      </c>
      <c r="AD3032" s="77" t="s">
        <v>7751</v>
      </c>
      <c r="AE3032" s="80" t="str">
        <f>HYPERLINK("https://twitter.com/edgartolara/status/1681969779655966721")</f>
        <v>https://twitter.com/edgartolara/status/1681969779655966721</v>
      </c>
      <c r="AF3032" s="79">
        <v>45127.423831018517</v>
      </c>
      <c r="AG3032" s="85">
        <v>45127</v>
      </c>
      <c r="AH3032" s="82" t="s">
        <v>10496</v>
      </c>
      <c r="AI3032" s="77" t="b">
        <v>0</v>
      </c>
      <c r="AJ3032" s="77"/>
      <c r="AK3032" s="77"/>
      <c r="AL3032" s="77"/>
      <c r="AM3032" s="77"/>
      <c r="AN3032" s="77"/>
      <c r="AO3032" s="77"/>
      <c r="AP3032" s="77"/>
      <c r="AQ3032" s="77"/>
      <c r="AR3032" s="77"/>
      <c r="AS3032" s="77"/>
      <c r="AT3032" s="77"/>
      <c r="AU3032" s="77"/>
      <c r="AV3032" s="80" t="str">
        <f>HYPERLINK("https://pbs.twimg.com/profile_images/1490286973579415553/RVM9bOv-_normal.jpg")</f>
        <v>https://pbs.twimg.com/profile_images/1490286973579415553/RVM9bOv-_normal.jpg</v>
      </c>
      <c r="AW3032" s="82" t="s">
        <v>15187</v>
      </c>
      <c r="AX3032" s="82" t="s">
        <v>15187</v>
      </c>
      <c r="AY3032" s="77"/>
      <c r="AZ3032" s="82" t="s">
        <v>15804</v>
      </c>
      <c r="BA3032" s="82" t="s">
        <v>15804</v>
      </c>
      <c r="BB3032" s="82" t="s">
        <v>15804</v>
      </c>
      <c r="BC3032" s="82" t="s">
        <v>15187</v>
      </c>
      <c r="BD3032" s="82" t="s">
        <v>16588</v>
      </c>
      <c r="BE3032" s="77"/>
      <c r="BF3032" s="77"/>
      <c r="BG3032" s="77"/>
      <c r="BH3032" s="77"/>
      <c r="BI3032" s="77"/>
    </row>
    <row r="3033" spans="1:61" x14ac:dyDescent="0.25">
      <c r="A3033" s="62" t="s">
        <v>1035</v>
      </c>
      <c r="B3033" s="62" t="s">
        <v>1035</v>
      </c>
      <c r="C3033" s="63"/>
      <c r="D3033" s="64"/>
      <c r="E3033" s="65"/>
      <c r="F3033" s="66"/>
      <c r="G3033" s="63"/>
      <c r="H3033" s="67"/>
      <c r="I3033" s="68"/>
      <c r="J3033" s="68"/>
      <c r="K3033" s="32"/>
      <c r="L3033" s="75">
        <v>3033</v>
      </c>
      <c r="M3033" s="75"/>
      <c r="N3033" s="70"/>
      <c r="O3033" s="77" t="s">
        <v>179</v>
      </c>
      <c r="P3033" s="79">
        <v>44976.910891203705</v>
      </c>
      <c r="Q3033" s="77" t="s">
        <v>4045</v>
      </c>
      <c r="R3033" s="77">
        <v>0</v>
      </c>
      <c r="S3033" s="77">
        <v>0</v>
      </c>
      <c r="T3033" s="77">
        <v>0</v>
      </c>
      <c r="U3033" s="77">
        <v>0</v>
      </c>
      <c r="V3033" s="77">
        <v>10</v>
      </c>
      <c r="W3033" s="82" t="s">
        <v>5959</v>
      </c>
      <c r="X3033" s="77"/>
      <c r="Y3033" s="77"/>
      <c r="Z3033" s="77"/>
      <c r="AA3033" s="77"/>
      <c r="AB3033" s="77"/>
      <c r="AC3033" s="82" t="s">
        <v>7707</v>
      </c>
      <c r="AD3033" s="77" t="s">
        <v>7745</v>
      </c>
      <c r="AE3033" s="80" t="str">
        <f>HYPERLINK("https://twitter.com/aprenderapoupar/status/1627425718199062529")</f>
        <v>https://twitter.com/aprenderapoupar/status/1627425718199062529</v>
      </c>
      <c r="AF3033" s="79">
        <v>44976.910891203705</v>
      </c>
      <c r="AG3033" s="85">
        <v>44976</v>
      </c>
      <c r="AH3033" s="82" t="s">
        <v>10497</v>
      </c>
      <c r="AI3033" s="77"/>
      <c r="AJ3033" s="77"/>
      <c r="AK3033" s="77"/>
      <c r="AL3033" s="77"/>
      <c r="AM3033" s="77"/>
      <c r="AN3033" s="77"/>
      <c r="AO3033" s="77"/>
      <c r="AP3033" s="77"/>
      <c r="AQ3033" s="77"/>
      <c r="AR3033" s="77"/>
      <c r="AS3033" s="77"/>
      <c r="AT3033" s="77"/>
      <c r="AU3033" s="77"/>
      <c r="AV3033" s="80" t="str">
        <f>HYPERLINK("https://pbs.twimg.com/profile_images/3375677532/df9e9a6b8834838030e5d0ee0c583365_normal.jpeg")</f>
        <v>https://pbs.twimg.com/profile_images/3375677532/df9e9a6b8834838030e5d0ee0c583365_normal.jpeg</v>
      </c>
      <c r="AW3033" s="82" t="s">
        <v>15188</v>
      </c>
      <c r="AX3033" s="82" t="s">
        <v>15188</v>
      </c>
      <c r="AY3033" s="77"/>
      <c r="AZ3033" s="82" t="s">
        <v>15804</v>
      </c>
      <c r="BA3033" s="82" t="s">
        <v>15804</v>
      </c>
      <c r="BB3033" s="82" t="s">
        <v>15804</v>
      </c>
      <c r="BC3033" s="82" t="s">
        <v>15188</v>
      </c>
      <c r="BD3033" s="77">
        <v>1265069810</v>
      </c>
      <c r="BE3033" s="77"/>
      <c r="BF3033" s="77"/>
      <c r="BG3033" s="77"/>
      <c r="BH3033" s="77"/>
      <c r="BI3033" s="77"/>
    </row>
    <row r="3034" spans="1:61" x14ac:dyDescent="0.25">
      <c r="A3034" s="62" t="s">
        <v>1036</v>
      </c>
      <c r="B3034" s="62" t="s">
        <v>1036</v>
      </c>
      <c r="C3034" s="63"/>
      <c r="D3034" s="64"/>
      <c r="E3034" s="65"/>
      <c r="F3034" s="66"/>
      <c r="G3034" s="63"/>
      <c r="H3034" s="67"/>
      <c r="I3034" s="68"/>
      <c r="J3034" s="68"/>
      <c r="K3034" s="32"/>
      <c r="L3034" s="75">
        <v>3034</v>
      </c>
      <c r="M3034" s="75"/>
      <c r="N3034" s="70"/>
      <c r="O3034" s="77" t="s">
        <v>179</v>
      </c>
      <c r="P3034" s="79">
        <v>45108.944212962961</v>
      </c>
      <c r="Q3034" s="77" t="s">
        <v>4046</v>
      </c>
      <c r="R3034" s="77">
        <v>0</v>
      </c>
      <c r="S3034" s="77">
        <v>0</v>
      </c>
      <c r="T3034" s="77">
        <v>0</v>
      </c>
      <c r="U3034" s="77">
        <v>0</v>
      </c>
      <c r="V3034" s="77">
        <v>12</v>
      </c>
      <c r="W3034" s="82" t="s">
        <v>5960</v>
      </c>
      <c r="X3034" s="80" t="str">
        <f>HYPERLINK("https://gabinetedarma.com.br/credito-rotativo-como-calcular/")</f>
        <v>https://gabinetedarma.com.br/credito-rotativo-como-calcular/</v>
      </c>
      <c r="Y3034" s="77" t="s">
        <v>6002</v>
      </c>
      <c r="Z3034" s="77"/>
      <c r="AA3034" s="77"/>
      <c r="AB3034" s="77"/>
      <c r="AC3034" s="82" t="s">
        <v>7706</v>
      </c>
      <c r="AD3034" s="77" t="s">
        <v>7745</v>
      </c>
      <c r="AE3034" s="80" t="str">
        <f>HYPERLINK("https://twitter.com/gabinetedarma/status/1675272988298555393")</f>
        <v>https://twitter.com/gabinetedarma/status/1675272988298555393</v>
      </c>
      <c r="AF3034" s="79">
        <v>45108.944212962961</v>
      </c>
      <c r="AG3034" s="85">
        <v>45108</v>
      </c>
      <c r="AH3034" s="82" t="s">
        <v>10498</v>
      </c>
      <c r="AI3034" s="77" t="b">
        <v>0</v>
      </c>
      <c r="AJ3034" s="77"/>
      <c r="AK3034" s="77"/>
      <c r="AL3034" s="77"/>
      <c r="AM3034" s="77"/>
      <c r="AN3034" s="77"/>
      <c r="AO3034" s="77"/>
      <c r="AP3034" s="77"/>
      <c r="AQ3034" s="77"/>
      <c r="AR3034" s="77"/>
      <c r="AS3034" s="77"/>
      <c r="AT3034" s="77"/>
      <c r="AU3034" s="77"/>
      <c r="AV3034" s="80" t="str">
        <f>HYPERLINK("https://pbs.twimg.com/profile_images/1660480847227625472/-_hXBVZP_normal.jpg")</f>
        <v>https://pbs.twimg.com/profile_images/1660480847227625472/-_hXBVZP_normal.jpg</v>
      </c>
      <c r="AW3034" s="82" t="s">
        <v>15189</v>
      </c>
      <c r="AX3034" s="82" t="s">
        <v>15189</v>
      </c>
      <c r="AY3034" s="77"/>
      <c r="AZ3034" s="82" t="s">
        <v>15804</v>
      </c>
      <c r="BA3034" s="82" t="s">
        <v>15804</v>
      </c>
      <c r="BB3034" s="82" t="s">
        <v>15804</v>
      </c>
      <c r="BC3034" s="82" t="s">
        <v>15189</v>
      </c>
      <c r="BD3034" s="82" t="s">
        <v>16589</v>
      </c>
      <c r="BE3034" s="77"/>
      <c r="BF3034" s="77"/>
      <c r="BG3034" s="77"/>
      <c r="BH3034" s="77"/>
      <c r="BI3034" s="77"/>
    </row>
    <row r="3035" spans="1:61" x14ac:dyDescent="0.25">
      <c r="A3035" s="62" t="s">
        <v>1037</v>
      </c>
      <c r="B3035" s="62" t="s">
        <v>1037</v>
      </c>
      <c r="C3035" s="63"/>
      <c r="D3035" s="64"/>
      <c r="E3035" s="65"/>
      <c r="F3035" s="66"/>
      <c r="G3035" s="63"/>
      <c r="H3035" s="67"/>
      <c r="I3035" s="68"/>
      <c r="J3035" s="68"/>
      <c r="K3035" s="32"/>
      <c r="L3035" s="75">
        <v>3035</v>
      </c>
      <c r="M3035" s="75"/>
      <c r="N3035" s="70"/>
      <c r="O3035" s="77" t="s">
        <v>179</v>
      </c>
      <c r="P3035" s="79">
        <v>45005.503622685188</v>
      </c>
      <c r="Q3035" s="77" t="s">
        <v>4047</v>
      </c>
      <c r="R3035" s="77">
        <v>1</v>
      </c>
      <c r="S3035" s="77">
        <v>2</v>
      </c>
      <c r="T3035" s="77">
        <v>0</v>
      </c>
      <c r="U3035" s="77">
        <v>0</v>
      </c>
      <c r="V3035" s="77">
        <v>69</v>
      </c>
      <c r="W3035" s="82" t="s">
        <v>5961</v>
      </c>
      <c r="X3035" s="77"/>
      <c r="Y3035" s="77"/>
      <c r="Z3035" s="77"/>
      <c r="AA3035" s="77" t="s">
        <v>7688</v>
      </c>
      <c r="AB3035" s="77" t="s">
        <v>7696</v>
      </c>
      <c r="AC3035" s="82" t="s">
        <v>7706</v>
      </c>
      <c r="AD3035" s="77" t="s">
        <v>7745</v>
      </c>
      <c r="AE3035" s="80" t="str">
        <f>HYPERLINK("https://twitter.com/casadeinvest/status/1637787375060361216")</f>
        <v>https://twitter.com/casadeinvest/status/1637787375060361216</v>
      </c>
      <c r="AF3035" s="79">
        <v>45005.503622685188</v>
      </c>
      <c r="AG3035" s="85">
        <v>45005</v>
      </c>
      <c r="AH3035" s="82" t="s">
        <v>10499</v>
      </c>
      <c r="AI3035" s="77" t="b">
        <v>1</v>
      </c>
      <c r="AJ3035" s="77"/>
      <c r="AK3035" s="77"/>
      <c r="AL3035" s="77"/>
      <c r="AM3035" s="77"/>
      <c r="AN3035" s="77"/>
      <c r="AO3035" s="77"/>
      <c r="AP3035" s="77"/>
      <c r="AQ3035" s="77" t="s">
        <v>12194</v>
      </c>
      <c r="AR3035" s="77"/>
      <c r="AS3035" s="77"/>
      <c r="AT3035" s="77"/>
      <c r="AU3035" s="77"/>
      <c r="AV3035" s="80" t="str">
        <f>HYPERLINK("https://pbs.twimg.com/media/FrqW6FNXwAAOg5m.png")</f>
        <v>https://pbs.twimg.com/media/FrqW6FNXwAAOg5m.png</v>
      </c>
      <c r="AW3035" s="82" t="s">
        <v>15190</v>
      </c>
      <c r="AX3035" s="82" t="s">
        <v>15190</v>
      </c>
      <c r="AY3035" s="77"/>
      <c r="AZ3035" s="82" t="s">
        <v>15804</v>
      </c>
      <c r="BA3035" s="82" t="s">
        <v>15804</v>
      </c>
      <c r="BB3035" s="82" t="s">
        <v>15804</v>
      </c>
      <c r="BC3035" s="82" t="s">
        <v>15190</v>
      </c>
      <c r="BD3035" s="77">
        <v>3253986423</v>
      </c>
      <c r="BE3035" s="77"/>
      <c r="BF3035" s="77"/>
      <c r="BG3035" s="77"/>
      <c r="BH3035" s="77"/>
      <c r="BI3035" s="77"/>
    </row>
    <row r="3036" spans="1:61" x14ac:dyDescent="0.25">
      <c r="A3036" s="62" t="s">
        <v>1038</v>
      </c>
      <c r="B3036" s="62" t="s">
        <v>1038</v>
      </c>
      <c r="C3036" s="63"/>
      <c r="D3036" s="64"/>
      <c r="E3036" s="65"/>
      <c r="F3036" s="66"/>
      <c r="G3036" s="63"/>
      <c r="H3036" s="67"/>
      <c r="I3036" s="68"/>
      <c r="J3036" s="68"/>
      <c r="K3036" s="32"/>
      <c r="L3036" s="75">
        <v>3036</v>
      </c>
      <c r="M3036" s="75"/>
      <c r="N3036" s="70"/>
      <c r="O3036" s="77" t="s">
        <v>179</v>
      </c>
      <c r="P3036" s="79">
        <v>44946.875428240739</v>
      </c>
      <c r="Q3036" s="77" t="s">
        <v>4048</v>
      </c>
      <c r="R3036" s="77">
        <v>0</v>
      </c>
      <c r="S3036" s="77">
        <v>0</v>
      </c>
      <c r="T3036" s="77">
        <v>0</v>
      </c>
      <c r="U3036" s="77">
        <v>0</v>
      </c>
      <c r="V3036" s="77">
        <v>20</v>
      </c>
      <c r="W3036" s="82" t="s">
        <v>4994</v>
      </c>
      <c r="X3036" s="80" t="str">
        <f>HYPERLINK("https://investimentoobjetivo.com.br/mentoria-investimentos/")</f>
        <v>https://investimentoobjetivo.com.br/mentoria-investimentos/</v>
      </c>
      <c r="Y3036" s="77" t="s">
        <v>6002</v>
      </c>
      <c r="Z3036" s="77"/>
      <c r="AA3036" s="77" t="s">
        <v>7689</v>
      </c>
      <c r="AB3036" s="77" t="s">
        <v>7697</v>
      </c>
      <c r="AC3036" s="82" t="s">
        <v>7708</v>
      </c>
      <c r="AD3036" s="77" t="s">
        <v>7745</v>
      </c>
      <c r="AE3036" s="80" t="str">
        <f>HYPERLINK("https://twitter.com/egsinvestiment2/status/1616541229843447823")</f>
        <v>https://twitter.com/egsinvestiment2/status/1616541229843447823</v>
      </c>
      <c r="AF3036" s="79">
        <v>44946.875428240739</v>
      </c>
      <c r="AG3036" s="85">
        <v>44946</v>
      </c>
      <c r="AH3036" s="82" t="s">
        <v>8943</v>
      </c>
      <c r="AI3036" s="77" t="b">
        <v>0</v>
      </c>
      <c r="AJ3036" s="77"/>
      <c r="AK3036" s="77"/>
      <c r="AL3036" s="77"/>
      <c r="AM3036" s="77"/>
      <c r="AN3036" s="77"/>
      <c r="AO3036" s="77"/>
      <c r="AP3036" s="77"/>
      <c r="AQ3036" s="77" t="s">
        <v>12195</v>
      </c>
      <c r="AR3036" s="77">
        <v>18700</v>
      </c>
      <c r="AS3036" s="77"/>
      <c r="AT3036" s="77"/>
      <c r="AU3036" s="77">
        <v>0</v>
      </c>
      <c r="AV3036" s="80" t="str">
        <f>HYPERLINK("https://pbs.twimg.com/ext_tw_video_thumb/1616541184339447808/pu/img/UKBwQSY51xe4AuwT.jpg")</f>
        <v>https://pbs.twimg.com/ext_tw_video_thumb/1616541184339447808/pu/img/UKBwQSY51xe4AuwT.jpg</v>
      </c>
      <c r="AW3036" s="82" t="s">
        <v>15191</v>
      </c>
      <c r="AX3036" s="82" t="s">
        <v>15191</v>
      </c>
      <c r="AY3036" s="77"/>
      <c r="AZ3036" s="82" t="s">
        <v>15804</v>
      </c>
      <c r="BA3036" s="82" t="s">
        <v>15804</v>
      </c>
      <c r="BB3036" s="82" t="s">
        <v>15804</v>
      </c>
      <c r="BC3036" s="82" t="s">
        <v>15191</v>
      </c>
      <c r="BD3036" s="82" t="s">
        <v>16590</v>
      </c>
      <c r="BE3036" s="77"/>
      <c r="BF3036" s="77"/>
      <c r="BG3036" s="77"/>
      <c r="BH3036" s="77"/>
      <c r="BI3036" s="77"/>
    </row>
    <row r="3037" spans="1:61" x14ac:dyDescent="0.25">
      <c r="A3037" s="62" t="s">
        <v>1039</v>
      </c>
      <c r="B3037" s="62" t="s">
        <v>1058</v>
      </c>
      <c r="C3037" s="63"/>
      <c r="D3037" s="64"/>
      <c r="E3037" s="65"/>
      <c r="F3037" s="66"/>
      <c r="G3037" s="63"/>
      <c r="H3037" s="67"/>
      <c r="I3037" s="68"/>
      <c r="J3037" s="68"/>
      <c r="K3037" s="32"/>
      <c r="L3037" s="75">
        <v>3037</v>
      </c>
      <c r="M3037" s="75"/>
      <c r="N3037" s="70"/>
      <c r="O3037" s="77" t="s">
        <v>1133</v>
      </c>
      <c r="P3037" s="79">
        <v>45052.104004629633</v>
      </c>
      <c r="Q3037" s="77" t="s">
        <v>4049</v>
      </c>
      <c r="R3037" s="77">
        <v>0</v>
      </c>
      <c r="S3037" s="77">
        <v>0</v>
      </c>
      <c r="T3037" s="77">
        <v>0</v>
      </c>
      <c r="U3037" s="77">
        <v>0</v>
      </c>
      <c r="V3037" s="77">
        <v>28</v>
      </c>
      <c r="W3037" s="82" t="s">
        <v>5962</v>
      </c>
      <c r="X3037" s="80" t="str">
        <f>HYPERLINK("https://youtu.be/84lfYrsmAzc")</f>
        <v>https://youtu.be/84lfYrsmAzc</v>
      </c>
      <c r="Y3037" s="77" t="s">
        <v>6003</v>
      </c>
      <c r="Z3037" s="77" t="s">
        <v>1058</v>
      </c>
      <c r="AA3037" s="77"/>
      <c r="AB3037" s="77"/>
      <c r="AC3037" s="82" t="s">
        <v>7706</v>
      </c>
      <c r="AD3037" s="77" t="s">
        <v>7745</v>
      </c>
      <c r="AE3037" s="80" t="str">
        <f>HYPERLINK("https://twitter.com/alyson_davalle/status/1654674786583298048")</f>
        <v>https://twitter.com/alyson_davalle/status/1654674786583298048</v>
      </c>
      <c r="AF3037" s="79">
        <v>45052.104004629633</v>
      </c>
      <c r="AG3037" s="85">
        <v>45052</v>
      </c>
      <c r="AH3037" s="82" t="s">
        <v>10500</v>
      </c>
      <c r="AI3037" s="77" t="b">
        <v>0</v>
      </c>
      <c r="AJ3037" s="77"/>
      <c r="AK3037" s="77"/>
      <c r="AL3037" s="77"/>
      <c r="AM3037" s="77"/>
      <c r="AN3037" s="77"/>
      <c r="AO3037" s="77"/>
      <c r="AP3037" s="77"/>
      <c r="AQ3037" s="77"/>
      <c r="AR3037" s="77"/>
      <c r="AS3037" s="77"/>
      <c r="AT3037" s="77"/>
      <c r="AU3037" s="77"/>
      <c r="AV3037" s="80" t="str">
        <f>HYPERLINK("https://pbs.twimg.com/profile_images/1557504655822929922/6S_5Ovvj_normal.jpg")</f>
        <v>https://pbs.twimg.com/profile_images/1557504655822929922/6S_5Ovvj_normal.jpg</v>
      </c>
      <c r="AW3037" s="82" t="s">
        <v>15192</v>
      </c>
      <c r="AX3037" s="82" t="s">
        <v>15192</v>
      </c>
      <c r="AY3037" s="77"/>
      <c r="AZ3037" s="82" t="s">
        <v>15804</v>
      </c>
      <c r="BA3037" s="82" t="s">
        <v>15804</v>
      </c>
      <c r="BB3037" s="82" t="s">
        <v>15804</v>
      </c>
      <c r="BC3037" s="82" t="s">
        <v>15192</v>
      </c>
      <c r="BD3037" s="77">
        <v>41846500</v>
      </c>
      <c r="BE3037" s="77"/>
      <c r="BF3037" s="77"/>
      <c r="BG3037" s="77"/>
      <c r="BH3037" s="77"/>
      <c r="BI3037" s="77"/>
    </row>
    <row r="3038" spans="1:61" x14ac:dyDescent="0.25">
      <c r="A3038" s="62" t="s">
        <v>1040</v>
      </c>
      <c r="B3038" s="62" t="s">
        <v>1040</v>
      </c>
      <c r="C3038" s="63"/>
      <c r="D3038" s="64"/>
      <c r="E3038" s="65"/>
      <c r="F3038" s="66"/>
      <c r="G3038" s="63"/>
      <c r="H3038" s="67"/>
      <c r="I3038" s="68"/>
      <c r="J3038" s="68"/>
      <c r="K3038" s="32"/>
      <c r="L3038" s="75">
        <v>3038</v>
      </c>
      <c r="M3038" s="75"/>
      <c r="N3038" s="70"/>
      <c r="O3038" s="77" t="s">
        <v>179</v>
      </c>
      <c r="P3038" s="79">
        <v>45174.695763888885</v>
      </c>
      <c r="Q3038" s="77" t="s">
        <v>4050</v>
      </c>
      <c r="R3038" s="77">
        <v>0</v>
      </c>
      <c r="S3038" s="77">
        <v>0</v>
      </c>
      <c r="T3038" s="77">
        <v>1</v>
      </c>
      <c r="U3038" s="77">
        <v>0</v>
      </c>
      <c r="V3038" s="77">
        <v>29</v>
      </c>
      <c r="W3038" s="82" t="s">
        <v>5963</v>
      </c>
      <c r="X3038" s="77"/>
      <c r="Y3038" s="77"/>
      <c r="Z3038" s="77"/>
      <c r="AA3038" s="77" t="s">
        <v>7690</v>
      </c>
      <c r="AB3038" s="77" t="s">
        <v>7700</v>
      </c>
      <c r="AC3038" s="82" t="s">
        <v>7706</v>
      </c>
      <c r="AD3038" s="77" t="s">
        <v>7745</v>
      </c>
      <c r="AE3038" s="80" t="str">
        <f>HYPERLINK("https://twitter.com/contas_online/status/1699100554008420762")</f>
        <v>https://twitter.com/contas_online/status/1699100554008420762</v>
      </c>
      <c r="AF3038" s="79">
        <v>45174.695763888885</v>
      </c>
      <c r="AG3038" s="85">
        <v>45174</v>
      </c>
      <c r="AH3038" s="82" t="s">
        <v>10501</v>
      </c>
      <c r="AI3038" s="77" t="b">
        <v>0</v>
      </c>
      <c r="AJ3038" s="77"/>
      <c r="AK3038" s="77"/>
      <c r="AL3038" s="77"/>
      <c r="AM3038" s="77"/>
      <c r="AN3038" s="77"/>
      <c r="AO3038" s="77"/>
      <c r="AP3038" s="77"/>
      <c r="AQ3038" s="77" t="s">
        <v>12196</v>
      </c>
      <c r="AR3038" s="77"/>
      <c r="AS3038" s="77"/>
      <c r="AT3038" s="77"/>
      <c r="AU3038" s="77"/>
      <c r="AV3038" s="80" t="str">
        <f>HYPERLINK("https://pbs.twimg.com/media/F5Rq3KKXYAMsB2v.jpg")</f>
        <v>https://pbs.twimg.com/media/F5Rq3KKXYAMsB2v.jpg</v>
      </c>
      <c r="AW3038" s="82" t="s">
        <v>15193</v>
      </c>
      <c r="AX3038" s="82" t="s">
        <v>15193</v>
      </c>
      <c r="AY3038" s="77"/>
      <c r="AZ3038" s="82" t="s">
        <v>15804</v>
      </c>
      <c r="BA3038" s="82" t="s">
        <v>15804</v>
      </c>
      <c r="BB3038" s="82" t="s">
        <v>15804</v>
      </c>
      <c r="BC3038" s="82" t="s">
        <v>15193</v>
      </c>
      <c r="BD3038" s="77">
        <v>274989938</v>
      </c>
      <c r="BE3038" s="77"/>
      <c r="BF3038" s="77"/>
      <c r="BG3038" s="77"/>
      <c r="BH3038" s="77"/>
      <c r="BI3038" s="77"/>
    </row>
    <row r="3039" spans="1:61" x14ac:dyDescent="0.25">
      <c r="A3039" s="62" t="s">
        <v>1041</v>
      </c>
      <c r="B3039" s="62" t="s">
        <v>1041</v>
      </c>
      <c r="C3039" s="63"/>
      <c r="D3039" s="64"/>
      <c r="E3039" s="65"/>
      <c r="F3039" s="66"/>
      <c r="G3039" s="63"/>
      <c r="H3039" s="67"/>
      <c r="I3039" s="68"/>
      <c r="J3039" s="68"/>
      <c r="K3039" s="32"/>
      <c r="L3039" s="75">
        <v>3039</v>
      </c>
      <c r="M3039" s="75"/>
      <c r="N3039" s="70"/>
      <c r="O3039" s="77" t="s">
        <v>179</v>
      </c>
      <c r="P3039" s="79">
        <v>44996.500393518516</v>
      </c>
      <c r="Q3039" s="77" t="s">
        <v>4051</v>
      </c>
      <c r="R3039" s="77">
        <v>0</v>
      </c>
      <c r="S3039" s="77">
        <v>0</v>
      </c>
      <c r="T3039" s="77">
        <v>0</v>
      </c>
      <c r="U3039" s="77">
        <v>0</v>
      </c>
      <c r="V3039" s="77">
        <v>3</v>
      </c>
      <c r="W3039" s="82" t="s">
        <v>5964</v>
      </c>
      <c r="X3039" s="77"/>
      <c r="Y3039" s="77"/>
      <c r="Z3039" s="77"/>
      <c r="AA3039" s="77" t="s">
        <v>7691</v>
      </c>
      <c r="AB3039" s="77" t="s">
        <v>7700</v>
      </c>
      <c r="AC3039" s="82" t="s">
        <v>7708</v>
      </c>
      <c r="AD3039" s="77" t="s">
        <v>7746</v>
      </c>
      <c r="AE3039" s="80" t="str">
        <f>HYPERLINK("https://twitter.com/reidopendrive/status/1634524712515534848")</f>
        <v>https://twitter.com/reidopendrive/status/1634524712515534848</v>
      </c>
      <c r="AF3039" s="79">
        <v>44996.500393518516</v>
      </c>
      <c r="AG3039" s="85">
        <v>44996</v>
      </c>
      <c r="AH3039" s="82" t="s">
        <v>10502</v>
      </c>
      <c r="AI3039" s="77" t="b">
        <v>0</v>
      </c>
      <c r="AJ3039" s="77"/>
      <c r="AK3039" s="77"/>
      <c r="AL3039" s="77"/>
      <c r="AM3039" s="77"/>
      <c r="AN3039" s="77"/>
      <c r="AO3039" s="77"/>
      <c r="AP3039" s="77"/>
      <c r="AQ3039" s="77" t="s">
        <v>12197</v>
      </c>
      <c r="AR3039" s="77"/>
      <c r="AS3039" s="77"/>
      <c r="AT3039" s="77"/>
      <c r="AU3039" s="77"/>
      <c r="AV3039" s="80" t="str">
        <f>HYPERLINK("https://pbs.twimg.com/media/Fq7_kFtWIAEVWuV.jpg")</f>
        <v>https://pbs.twimg.com/media/Fq7_kFtWIAEVWuV.jpg</v>
      </c>
      <c r="AW3039" s="82" t="s">
        <v>15194</v>
      </c>
      <c r="AX3039" s="82" t="s">
        <v>15194</v>
      </c>
      <c r="AY3039" s="77"/>
      <c r="AZ3039" s="82" t="s">
        <v>15804</v>
      </c>
      <c r="BA3039" s="82" t="s">
        <v>15804</v>
      </c>
      <c r="BB3039" s="82" t="s">
        <v>15804</v>
      </c>
      <c r="BC3039" s="82" t="s">
        <v>15194</v>
      </c>
      <c r="BD3039" s="77">
        <v>193409557</v>
      </c>
      <c r="BE3039" s="77"/>
      <c r="BF3039" s="77"/>
      <c r="BG3039" s="77"/>
      <c r="BH3039" s="77"/>
      <c r="BI3039" s="77"/>
    </row>
    <row r="3040" spans="1:61" x14ac:dyDescent="0.25">
      <c r="A3040" s="62" t="s">
        <v>1042</v>
      </c>
      <c r="B3040" s="62" t="s">
        <v>1042</v>
      </c>
      <c r="C3040" s="63"/>
      <c r="D3040" s="64"/>
      <c r="E3040" s="65"/>
      <c r="F3040" s="66"/>
      <c r="G3040" s="63"/>
      <c r="H3040" s="67"/>
      <c r="I3040" s="68"/>
      <c r="J3040" s="68"/>
      <c r="K3040" s="32"/>
      <c r="L3040" s="75">
        <v>3040</v>
      </c>
      <c r="M3040" s="75"/>
      <c r="N3040" s="70"/>
      <c r="O3040" s="77" t="s">
        <v>179</v>
      </c>
      <c r="P3040" s="79">
        <v>45126.618055555555</v>
      </c>
      <c r="Q3040" s="77" t="s">
        <v>4052</v>
      </c>
      <c r="R3040" s="77">
        <v>0</v>
      </c>
      <c r="S3040" s="77">
        <v>3</v>
      </c>
      <c r="T3040" s="77">
        <v>1</v>
      </c>
      <c r="U3040" s="77">
        <v>0</v>
      </c>
      <c r="V3040" s="77">
        <v>99</v>
      </c>
      <c r="W3040" s="82" t="s">
        <v>5965</v>
      </c>
      <c r="X3040" s="77"/>
      <c r="Y3040" s="77"/>
      <c r="Z3040" s="77"/>
      <c r="AA3040" s="77" t="s">
        <v>7692</v>
      </c>
      <c r="AB3040" s="77" t="s">
        <v>7696</v>
      </c>
      <c r="AC3040" s="82" t="s">
        <v>7706</v>
      </c>
      <c r="AD3040" s="77" t="s">
        <v>7745</v>
      </c>
      <c r="AE3040" s="80" t="str">
        <f>HYPERLINK("https://twitter.com/poupex_oficial/status/1681677774723973121")</f>
        <v>https://twitter.com/poupex_oficial/status/1681677774723973121</v>
      </c>
      <c r="AF3040" s="79">
        <v>45126.618055555555</v>
      </c>
      <c r="AG3040" s="85">
        <v>45126</v>
      </c>
      <c r="AH3040" s="82" t="s">
        <v>10503</v>
      </c>
      <c r="AI3040" s="77" t="b">
        <v>0</v>
      </c>
      <c r="AJ3040" s="77"/>
      <c r="AK3040" s="77"/>
      <c r="AL3040" s="77"/>
      <c r="AM3040" s="77"/>
      <c r="AN3040" s="77"/>
      <c r="AO3040" s="77"/>
      <c r="AP3040" s="77"/>
      <c r="AQ3040" s="77" t="s">
        <v>12198</v>
      </c>
      <c r="AR3040" s="77"/>
      <c r="AS3040" s="77"/>
      <c r="AT3040" s="77"/>
      <c r="AU3040" s="77"/>
      <c r="AV3040" s="80" t="str">
        <f>HYPERLINK("https://pbs.twimg.com/media/F1Z5aLSWcAEYPgP.jpg")</f>
        <v>https://pbs.twimg.com/media/F1Z5aLSWcAEYPgP.jpg</v>
      </c>
      <c r="AW3040" s="82" t="s">
        <v>15195</v>
      </c>
      <c r="AX3040" s="82" t="s">
        <v>15195</v>
      </c>
      <c r="AY3040" s="77"/>
      <c r="AZ3040" s="82" t="s">
        <v>15804</v>
      </c>
      <c r="BA3040" s="82" t="s">
        <v>15804</v>
      </c>
      <c r="BB3040" s="82" t="s">
        <v>15804</v>
      </c>
      <c r="BC3040" s="82" t="s">
        <v>15195</v>
      </c>
      <c r="BD3040" s="77">
        <v>494280226</v>
      </c>
      <c r="BE3040" s="77"/>
      <c r="BF3040" s="77"/>
      <c r="BG3040" s="77"/>
      <c r="BH3040" s="77"/>
      <c r="BI3040" s="77"/>
    </row>
    <row r="3041" spans="1:61" x14ac:dyDescent="0.25">
      <c r="A3041" s="62" t="s">
        <v>1042</v>
      </c>
      <c r="B3041" s="62" t="s">
        <v>1042</v>
      </c>
      <c r="C3041" s="63"/>
      <c r="D3041" s="64"/>
      <c r="E3041" s="65"/>
      <c r="F3041" s="66"/>
      <c r="G3041" s="63"/>
      <c r="H3041" s="67"/>
      <c r="I3041" s="68"/>
      <c r="J3041" s="68"/>
      <c r="K3041" s="32"/>
      <c r="L3041" s="75">
        <v>3041</v>
      </c>
      <c r="M3041" s="75"/>
      <c r="N3041" s="70"/>
      <c r="O3041" s="77" t="s">
        <v>1132</v>
      </c>
      <c r="P3041" s="79">
        <v>45153.714930555558</v>
      </c>
      <c r="Q3041" s="77" t="s">
        <v>4053</v>
      </c>
      <c r="R3041" s="77">
        <v>0</v>
      </c>
      <c r="S3041" s="77">
        <v>0</v>
      </c>
      <c r="T3041" s="77">
        <v>0</v>
      </c>
      <c r="U3041" s="77">
        <v>0</v>
      </c>
      <c r="V3041" s="77">
        <v>98</v>
      </c>
      <c r="W3041" s="82" t="s">
        <v>5966</v>
      </c>
      <c r="X3041" s="80" t="str">
        <f>HYPERLINK("https://bit.ly/3OrCOZB")</f>
        <v>https://bit.ly/3OrCOZB</v>
      </c>
      <c r="Y3041" s="77" t="s">
        <v>6004</v>
      </c>
      <c r="Z3041" s="77"/>
      <c r="AA3041" s="77"/>
      <c r="AB3041" s="77"/>
      <c r="AC3041" s="82" t="s">
        <v>7706</v>
      </c>
      <c r="AD3041" s="77" t="s">
        <v>7745</v>
      </c>
      <c r="AE3041" s="80" t="str">
        <f>HYPERLINK("https://twitter.com/poupex_oficial/status/1691497355030167552")</f>
        <v>https://twitter.com/poupex_oficial/status/1691497355030167552</v>
      </c>
      <c r="AF3041" s="79">
        <v>45153.714930555558</v>
      </c>
      <c r="AG3041" s="85">
        <v>45153</v>
      </c>
      <c r="AH3041" s="82" t="s">
        <v>10504</v>
      </c>
      <c r="AI3041" s="77" t="b">
        <v>0</v>
      </c>
      <c r="AJ3041" s="77"/>
      <c r="AK3041" s="77"/>
      <c r="AL3041" s="77"/>
      <c r="AM3041" s="77"/>
      <c r="AN3041" s="77"/>
      <c r="AO3041" s="77"/>
      <c r="AP3041" s="77"/>
      <c r="AQ3041" s="77"/>
      <c r="AR3041" s="77"/>
      <c r="AS3041" s="77"/>
      <c r="AT3041" s="77"/>
      <c r="AU3041" s="77"/>
      <c r="AV3041" s="80" t="str">
        <f>HYPERLINK("https://pbs.twimg.com/profile_images/1477978326153244672/HkuaMeX-_normal.jpg")</f>
        <v>https://pbs.twimg.com/profile_images/1477978326153244672/HkuaMeX-_normal.jpg</v>
      </c>
      <c r="AW3041" s="82" t="s">
        <v>15196</v>
      </c>
      <c r="AX3041" s="82" t="s">
        <v>15667</v>
      </c>
      <c r="AY3041" s="82" t="s">
        <v>15802</v>
      </c>
      <c r="AZ3041" s="82" t="s">
        <v>16134</v>
      </c>
      <c r="BA3041" s="82" t="s">
        <v>15804</v>
      </c>
      <c r="BB3041" s="82" t="s">
        <v>15804</v>
      </c>
      <c r="BC3041" s="82" t="s">
        <v>16134</v>
      </c>
      <c r="BD3041" s="77">
        <v>494280226</v>
      </c>
      <c r="BE3041" s="77"/>
      <c r="BF3041" s="77"/>
      <c r="BG3041" s="77"/>
      <c r="BH3041" s="77"/>
      <c r="BI3041" s="77"/>
    </row>
    <row r="3042" spans="1:61" x14ac:dyDescent="0.25">
      <c r="A3042" s="62" t="s">
        <v>1042</v>
      </c>
      <c r="B3042" s="62" t="s">
        <v>1042</v>
      </c>
      <c r="C3042" s="63"/>
      <c r="D3042" s="64"/>
      <c r="E3042" s="65"/>
      <c r="F3042" s="66"/>
      <c r="G3042" s="63"/>
      <c r="H3042" s="67"/>
      <c r="I3042" s="68"/>
      <c r="J3042" s="68"/>
      <c r="K3042" s="32"/>
      <c r="L3042" s="75">
        <v>3042</v>
      </c>
      <c r="M3042" s="75"/>
      <c r="N3042" s="70"/>
      <c r="O3042" s="77" t="s">
        <v>1132</v>
      </c>
      <c r="P3042" s="79">
        <v>45163.73940972222</v>
      </c>
      <c r="Q3042" s="77" t="s">
        <v>4054</v>
      </c>
      <c r="R3042" s="77">
        <v>0</v>
      </c>
      <c r="S3042" s="77">
        <v>4</v>
      </c>
      <c r="T3042" s="77">
        <v>0</v>
      </c>
      <c r="U3042" s="77">
        <v>0</v>
      </c>
      <c r="V3042" s="77">
        <v>70</v>
      </c>
      <c r="W3042" s="82" t="s">
        <v>5967</v>
      </c>
      <c r="X3042" s="80" t="str">
        <f>HYPERLINK("https://bit.ly/3YT9tMs")</f>
        <v>https://bit.ly/3YT9tMs</v>
      </c>
      <c r="Y3042" s="77" t="s">
        <v>6004</v>
      </c>
      <c r="Z3042" s="77"/>
      <c r="AA3042" s="77"/>
      <c r="AB3042" s="77"/>
      <c r="AC3042" s="82" t="s">
        <v>7706</v>
      </c>
      <c r="AD3042" s="77" t="s">
        <v>7745</v>
      </c>
      <c r="AE3042" s="80" t="str">
        <f>HYPERLINK("https://twitter.com/poupex_oficial/status/1695130103355748647")</f>
        <v>https://twitter.com/poupex_oficial/status/1695130103355748647</v>
      </c>
      <c r="AF3042" s="79">
        <v>45163.73940972222</v>
      </c>
      <c r="AG3042" s="85">
        <v>45163</v>
      </c>
      <c r="AH3042" s="82" t="s">
        <v>10505</v>
      </c>
      <c r="AI3042" s="77" t="b">
        <v>0</v>
      </c>
      <c r="AJ3042" s="77"/>
      <c r="AK3042" s="77"/>
      <c r="AL3042" s="77"/>
      <c r="AM3042" s="77"/>
      <c r="AN3042" s="77"/>
      <c r="AO3042" s="77"/>
      <c r="AP3042" s="77"/>
      <c r="AQ3042" s="77"/>
      <c r="AR3042" s="77"/>
      <c r="AS3042" s="77"/>
      <c r="AT3042" s="77"/>
      <c r="AU3042" s="77"/>
      <c r="AV3042" s="80" t="str">
        <f>HYPERLINK("https://pbs.twimg.com/profile_images/1477978326153244672/HkuaMeX-_normal.jpg")</f>
        <v>https://pbs.twimg.com/profile_images/1477978326153244672/HkuaMeX-_normal.jpg</v>
      </c>
      <c r="AW3042" s="82" t="s">
        <v>15197</v>
      </c>
      <c r="AX3042" s="82" t="s">
        <v>15668</v>
      </c>
      <c r="AY3042" s="82" t="s">
        <v>15802</v>
      </c>
      <c r="AZ3042" s="82" t="s">
        <v>16135</v>
      </c>
      <c r="BA3042" s="82" t="s">
        <v>15804</v>
      </c>
      <c r="BB3042" s="82" t="s">
        <v>15804</v>
      </c>
      <c r="BC3042" s="82" t="s">
        <v>16135</v>
      </c>
      <c r="BD3042" s="77">
        <v>494280226</v>
      </c>
      <c r="BE3042" s="77"/>
      <c r="BF3042" s="77"/>
      <c r="BG3042" s="77"/>
      <c r="BH3042" s="77"/>
      <c r="BI3042" s="77"/>
    </row>
    <row r="3043" spans="1:61" x14ac:dyDescent="0.25">
      <c r="A3043" s="62" t="s">
        <v>1042</v>
      </c>
      <c r="B3043" s="62" t="s">
        <v>1042</v>
      </c>
      <c r="C3043" s="63"/>
      <c r="D3043" s="64"/>
      <c r="E3043" s="65"/>
      <c r="F3043" s="66"/>
      <c r="G3043" s="63"/>
      <c r="H3043" s="67"/>
      <c r="I3043" s="68"/>
      <c r="J3043" s="68"/>
      <c r="K3043" s="32"/>
      <c r="L3043" s="75">
        <v>3043</v>
      </c>
      <c r="M3043" s="75"/>
      <c r="N3043" s="70"/>
      <c r="O3043" s="77" t="s">
        <v>1132</v>
      </c>
      <c r="P3043" s="79">
        <v>45110.755208333336</v>
      </c>
      <c r="Q3043" s="77" t="s">
        <v>4055</v>
      </c>
      <c r="R3043" s="77">
        <v>0</v>
      </c>
      <c r="S3043" s="77">
        <v>3</v>
      </c>
      <c r="T3043" s="77">
        <v>0</v>
      </c>
      <c r="U3043" s="77">
        <v>0</v>
      </c>
      <c r="V3043" s="77">
        <v>64</v>
      </c>
      <c r="W3043" s="82" t="s">
        <v>5968</v>
      </c>
      <c r="X3043" s="77"/>
      <c r="Y3043" s="77"/>
      <c r="Z3043" s="77"/>
      <c r="AA3043" s="77"/>
      <c r="AB3043" s="77"/>
      <c r="AC3043" s="82" t="s">
        <v>7706</v>
      </c>
      <c r="AD3043" s="77" t="s">
        <v>7745</v>
      </c>
      <c r="AE3043" s="80" t="str">
        <f>HYPERLINK("https://twitter.com/poupex_oficial/status/1675929271930331154")</f>
        <v>https://twitter.com/poupex_oficial/status/1675929271930331154</v>
      </c>
      <c r="AF3043" s="79">
        <v>45110.755208333336</v>
      </c>
      <c r="AG3043" s="85">
        <v>45110</v>
      </c>
      <c r="AH3043" s="82" t="s">
        <v>10506</v>
      </c>
      <c r="AI3043" s="77"/>
      <c r="AJ3043" s="77"/>
      <c r="AK3043" s="77"/>
      <c r="AL3043" s="77"/>
      <c r="AM3043" s="77"/>
      <c r="AN3043" s="77"/>
      <c r="AO3043" s="77"/>
      <c r="AP3043" s="77"/>
      <c r="AQ3043" s="77"/>
      <c r="AR3043" s="77"/>
      <c r="AS3043" s="77"/>
      <c r="AT3043" s="77"/>
      <c r="AU3043" s="77"/>
      <c r="AV3043" s="80" t="str">
        <f>HYPERLINK("https://pbs.twimg.com/profile_images/1477978326153244672/HkuaMeX-_normal.jpg")</f>
        <v>https://pbs.twimg.com/profile_images/1477978326153244672/HkuaMeX-_normal.jpg</v>
      </c>
      <c r="AW3043" s="82" t="s">
        <v>15198</v>
      </c>
      <c r="AX3043" s="82" t="s">
        <v>15669</v>
      </c>
      <c r="AY3043" s="82" t="s">
        <v>15802</v>
      </c>
      <c r="AZ3043" s="82" t="s">
        <v>16136</v>
      </c>
      <c r="BA3043" s="82" t="s">
        <v>15804</v>
      </c>
      <c r="BB3043" s="82" t="s">
        <v>15804</v>
      </c>
      <c r="BC3043" s="82" t="s">
        <v>16136</v>
      </c>
      <c r="BD3043" s="77">
        <v>494280226</v>
      </c>
      <c r="BE3043" s="77"/>
      <c r="BF3043" s="77"/>
      <c r="BG3043" s="77"/>
      <c r="BH3043" s="77"/>
      <c r="BI3043" s="77"/>
    </row>
    <row r="3044" spans="1:61" x14ac:dyDescent="0.25">
      <c r="A3044" s="62" t="s">
        <v>1042</v>
      </c>
      <c r="B3044" s="62" t="s">
        <v>1042</v>
      </c>
      <c r="C3044" s="63"/>
      <c r="D3044" s="64"/>
      <c r="E3044" s="65"/>
      <c r="F3044" s="66"/>
      <c r="G3044" s="63"/>
      <c r="H3044" s="67"/>
      <c r="I3044" s="68"/>
      <c r="J3044" s="68"/>
      <c r="K3044" s="32"/>
      <c r="L3044" s="75">
        <v>3044</v>
      </c>
      <c r="M3044" s="75"/>
      <c r="N3044" s="70"/>
      <c r="O3044" s="77" t="s">
        <v>1132</v>
      </c>
      <c r="P3044" s="79">
        <v>45161.502546296295</v>
      </c>
      <c r="Q3044" s="77" t="s">
        <v>4056</v>
      </c>
      <c r="R3044" s="77">
        <v>0</v>
      </c>
      <c r="S3044" s="77">
        <v>1</v>
      </c>
      <c r="T3044" s="77">
        <v>0</v>
      </c>
      <c r="U3044" s="77">
        <v>0</v>
      </c>
      <c r="V3044" s="77">
        <v>70</v>
      </c>
      <c r="W3044" s="82" t="s">
        <v>5969</v>
      </c>
      <c r="X3044" s="80" t="str">
        <f>HYPERLINK("https://bit.ly/45eFOiY")</f>
        <v>https://bit.ly/45eFOiY</v>
      </c>
      <c r="Y3044" s="77" t="s">
        <v>6004</v>
      </c>
      <c r="Z3044" s="77"/>
      <c r="AA3044" s="77"/>
      <c r="AB3044" s="77"/>
      <c r="AC3044" s="82" t="s">
        <v>7706</v>
      </c>
      <c r="AD3044" s="77" t="s">
        <v>7745</v>
      </c>
      <c r="AE3044" s="80" t="str">
        <f>HYPERLINK("https://twitter.com/poupex_oficial/status/1694319491096645801")</f>
        <v>https://twitter.com/poupex_oficial/status/1694319491096645801</v>
      </c>
      <c r="AF3044" s="79">
        <v>45161.502546296295</v>
      </c>
      <c r="AG3044" s="85">
        <v>45161</v>
      </c>
      <c r="AH3044" s="82" t="s">
        <v>10507</v>
      </c>
      <c r="AI3044" s="77" t="b">
        <v>0</v>
      </c>
      <c r="AJ3044" s="77"/>
      <c r="AK3044" s="77"/>
      <c r="AL3044" s="77"/>
      <c r="AM3044" s="77"/>
      <c r="AN3044" s="77"/>
      <c r="AO3044" s="77"/>
      <c r="AP3044" s="77"/>
      <c r="AQ3044" s="77"/>
      <c r="AR3044" s="77"/>
      <c r="AS3044" s="77"/>
      <c r="AT3044" s="77"/>
      <c r="AU3044" s="77"/>
      <c r="AV3044" s="80" t="str">
        <f>HYPERLINK("https://pbs.twimg.com/profile_images/1477978326153244672/HkuaMeX-_normal.jpg")</f>
        <v>https://pbs.twimg.com/profile_images/1477978326153244672/HkuaMeX-_normal.jpg</v>
      </c>
      <c r="AW3044" s="82" t="s">
        <v>15199</v>
      </c>
      <c r="AX3044" s="82" t="s">
        <v>15670</v>
      </c>
      <c r="AY3044" s="82" t="s">
        <v>15802</v>
      </c>
      <c r="AZ3044" s="82" t="s">
        <v>15200</v>
      </c>
      <c r="BA3044" s="82" t="s">
        <v>15804</v>
      </c>
      <c r="BB3044" s="82" t="s">
        <v>15804</v>
      </c>
      <c r="BC3044" s="82" t="s">
        <v>15200</v>
      </c>
      <c r="BD3044" s="77">
        <v>494280226</v>
      </c>
      <c r="BE3044" s="77"/>
      <c r="BF3044" s="77"/>
      <c r="BG3044" s="77"/>
      <c r="BH3044" s="77"/>
      <c r="BI3044" s="77"/>
    </row>
    <row r="3045" spans="1:61" x14ac:dyDescent="0.25">
      <c r="A3045" s="62" t="s">
        <v>1042</v>
      </c>
      <c r="B3045" s="62" t="s">
        <v>1042</v>
      </c>
      <c r="C3045" s="63"/>
      <c r="D3045" s="64"/>
      <c r="E3045" s="65"/>
      <c r="F3045" s="66"/>
      <c r="G3045" s="63"/>
      <c r="H3045" s="67"/>
      <c r="I3045" s="68"/>
      <c r="J3045" s="68"/>
      <c r="K3045" s="32"/>
      <c r="L3045" s="75">
        <v>3045</v>
      </c>
      <c r="M3045" s="75"/>
      <c r="N3045" s="70"/>
      <c r="O3045" s="77" t="s">
        <v>1132</v>
      </c>
      <c r="P3045" s="79">
        <v>45161.502534722225</v>
      </c>
      <c r="Q3045" s="77" t="s">
        <v>4057</v>
      </c>
      <c r="R3045" s="77">
        <v>0</v>
      </c>
      <c r="S3045" s="77">
        <v>1</v>
      </c>
      <c r="T3045" s="77">
        <v>1</v>
      </c>
      <c r="U3045" s="77">
        <v>0</v>
      </c>
      <c r="V3045" s="77">
        <v>78</v>
      </c>
      <c r="W3045" s="82" t="s">
        <v>5970</v>
      </c>
      <c r="X3045" s="77"/>
      <c r="Y3045" s="77"/>
      <c r="Z3045" s="77"/>
      <c r="AA3045" s="77"/>
      <c r="AB3045" s="77"/>
      <c r="AC3045" s="82" t="s">
        <v>7706</v>
      </c>
      <c r="AD3045" s="77" t="s">
        <v>7745</v>
      </c>
      <c r="AE3045" s="80" t="str">
        <f>HYPERLINK("https://twitter.com/poupex_oficial/status/1694319488429076804")</f>
        <v>https://twitter.com/poupex_oficial/status/1694319488429076804</v>
      </c>
      <c r="AF3045" s="79">
        <v>45161.502534722225</v>
      </c>
      <c r="AG3045" s="85">
        <v>45161</v>
      </c>
      <c r="AH3045" s="82" t="s">
        <v>10508</v>
      </c>
      <c r="AI3045" s="77"/>
      <c r="AJ3045" s="77"/>
      <c r="AK3045" s="77"/>
      <c r="AL3045" s="77"/>
      <c r="AM3045" s="77"/>
      <c r="AN3045" s="77"/>
      <c r="AO3045" s="77"/>
      <c r="AP3045" s="77"/>
      <c r="AQ3045" s="77"/>
      <c r="AR3045" s="77"/>
      <c r="AS3045" s="77"/>
      <c r="AT3045" s="77"/>
      <c r="AU3045" s="77"/>
      <c r="AV3045" s="80" t="str">
        <f>HYPERLINK("https://pbs.twimg.com/profile_images/1477978326153244672/HkuaMeX-_normal.jpg")</f>
        <v>https://pbs.twimg.com/profile_images/1477978326153244672/HkuaMeX-_normal.jpg</v>
      </c>
      <c r="AW3045" s="82" t="s">
        <v>15200</v>
      </c>
      <c r="AX3045" s="82" t="s">
        <v>15670</v>
      </c>
      <c r="AY3045" s="82" t="s">
        <v>15802</v>
      </c>
      <c r="AZ3045" s="82" t="s">
        <v>15201</v>
      </c>
      <c r="BA3045" s="82" t="s">
        <v>15804</v>
      </c>
      <c r="BB3045" s="82" t="s">
        <v>15804</v>
      </c>
      <c r="BC3045" s="82" t="s">
        <v>15201</v>
      </c>
      <c r="BD3045" s="77">
        <v>494280226</v>
      </c>
      <c r="BE3045" s="77"/>
      <c r="BF3045" s="77"/>
      <c r="BG3045" s="77"/>
      <c r="BH3045" s="77"/>
      <c r="BI3045" s="77"/>
    </row>
    <row r="3046" spans="1:61" x14ac:dyDescent="0.25">
      <c r="A3046" s="62" t="s">
        <v>1042</v>
      </c>
      <c r="B3046" s="62" t="s">
        <v>1042</v>
      </c>
      <c r="C3046" s="63"/>
      <c r="D3046" s="64"/>
      <c r="E3046" s="65"/>
      <c r="F3046" s="66"/>
      <c r="G3046" s="63"/>
      <c r="H3046" s="67"/>
      <c r="I3046" s="68"/>
      <c r="J3046" s="68"/>
      <c r="K3046" s="32"/>
      <c r="L3046" s="75">
        <v>3046</v>
      </c>
      <c r="M3046" s="75"/>
      <c r="N3046" s="70"/>
      <c r="O3046" s="77" t="s">
        <v>1132</v>
      </c>
      <c r="P3046" s="79">
        <v>45161.502523148149</v>
      </c>
      <c r="Q3046" s="77" t="s">
        <v>4058</v>
      </c>
      <c r="R3046" s="77">
        <v>0</v>
      </c>
      <c r="S3046" s="77">
        <v>1</v>
      </c>
      <c r="T3046" s="77">
        <v>1</v>
      </c>
      <c r="U3046" s="77">
        <v>0</v>
      </c>
      <c r="V3046" s="77">
        <v>67</v>
      </c>
      <c r="W3046" s="82" t="s">
        <v>5971</v>
      </c>
      <c r="X3046" s="77"/>
      <c r="Y3046" s="77"/>
      <c r="Z3046" s="77"/>
      <c r="AA3046" s="77"/>
      <c r="AB3046" s="77"/>
      <c r="AC3046" s="82" t="s">
        <v>7706</v>
      </c>
      <c r="AD3046" s="77" t="s">
        <v>7745</v>
      </c>
      <c r="AE3046" s="80" t="str">
        <f>HYPERLINK("https://twitter.com/poupex_oficial/status/1694319485623112111")</f>
        <v>https://twitter.com/poupex_oficial/status/1694319485623112111</v>
      </c>
      <c r="AF3046" s="79">
        <v>45161.502523148149</v>
      </c>
      <c r="AG3046" s="85">
        <v>45161</v>
      </c>
      <c r="AH3046" s="82" t="s">
        <v>10509</v>
      </c>
      <c r="AI3046" s="77"/>
      <c r="AJ3046" s="77"/>
      <c r="AK3046" s="77"/>
      <c r="AL3046" s="77"/>
      <c r="AM3046" s="77"/>
      <c r="AN3046" s="77"/>
      <c r="AO3046" s="77"/>
      <c r="AP3046" s="77"/>
      <c r="AQ3046" s="77"/>
      <c r="AR3046" s="77"/>
      <c r="AS3046" s="77"/>
      <c r="AT3046" s="77"/>
      <c r="AU3046" s="77"/>
      <c r="AV3046" s="80" t="str">
        <f>HYPERLINK("https://pbs.twimg.com/profile_images/1477978326153244672/HkuaMeX-_normal.jpg")</f>
        <v>https://pbs.twimg.com/profile_images/1477978326153244672/HkuaMeX-_normal.jpg</v>
      </c>
      <c r="AW3046" s="82" t="s">
        <v>15201</v>
      </c>
      <c r="AX3046" s="82" t="s">
        <v>15670</v>
      </c>
      <c r="AY3046" s="82" t="s">
        <v>15802</v>
      </c>
      <c r="AZ3046" s="82" t="s">
        <v>15202</v>
      </c>
      <c r="BA3046" s="82" t="s">
        <v>15804</v>
      </c>
      <c r="BB3046" s="82" t="s">
        <v>15804</v>
      </c>
      <c r="BC3046" s="82" t="s">
        <v>15202</v>
      </c>
      <c r="BD3046" s="77">
        <v>494280226</v>
      </c>
      <c r="BE3046" s="77"/>
      <c r="BF3046" s="77"/>
      <c r="BG3046" s="77"/>
      <c r="BH3046" s="77"/>
      <c r="BI3046" s="77"/>
    </row>
    <row r="3047" spans="1:61" x14ac:dyDescent="0.25">
      <c r="A3047" s="62" t="s">
        <v>1042</v>
      </c>
      <c r="B3047" s="62" t="s">
        <v>1042</v>
      </c>
      <c r="C3047" s="63"/>
      <c r="D3047" s="64"/>
      <c r="E3047" s="65"/>
      <c r="F3047" s="66"/>
      <c r="G3047" s="63"/>
      <c r="H3047" s="67"/>
      <c r="I3047" s="68"/>
      <c r="J3047" s="68"/>
      <c r="K3047" s="32"/>
      <c r="L3047" s="75">
        <v>3047</v>
      </c>
      <c r="M3047" s="75"/>
      <c r="N3047" s="70"/>
      <c r="O3047" s="77" t="s">
        <v>1132</v>
      </c>
      <c r="P3047" s="79">
        <v>45161.502523148149</v>
      </c>
      <c r="Q3047" s="77" t="s">
        <v>4059</v>
      </c>
      <c r="R3047" s="77">
        <v>0</v>
      </c>
      <c r="S3047" s="77">
        <v>1</v>
      </c>
      <c r="T3047" s="77">
        <v>1</v>
      </c>
      <c r="U3047" s="77">
        <v>0</v>
      </c>
      <c r="V3047" s="77">
        <v>57</v>
      </c>
      <c r="W3047" s="82" t="s">
        <v>5972</v>
      </c>
      <c r="X3047" s="77"/>
      <c r="Y3047" s="77"/>
      <c r="Z3047" s="77"/>
      <c r="AA3047" s="77"/>
      <c r="AB3047" s="77"/>
      <c r="AC3047" s="82" t="s">
        <v>7706</v>
      </c>
      <c r="AD3047" s="77" t="s">
        <v>7745</v>
      </c>
      <c r="AE3047" s="80" t="str">
        <f>HYPERLINK("https://twitter.com/poupex_oficial/status/1694319483756728674")</f>
        <v>https://twitter.com/poupex_oficial/status/1694319483756728674</v>
      </c>
      <c r="AF3047" s="79">
        <v>45161.502523148149</v>
      </c>
      <c r="AG3047" s="85">
        <v>45161</v>
      </c>
      <c r="AH3047" s="82" t="s">
        <v>10509</v>
      </c>
      <c r="AI3047" s="77"/>
      <c r="AJ3047" s="77"/>
      <c r="AK3047" s="77"/>
      <c r="AL3047" s="77"/>
      <c r="AM3047" s="77"/>
      <c r="AN3047" s="77"/>
      <c r="AO3047" s="77"/>
      <c r="AP3047" s="77"/>
      <c r="AQ3047" s="77"/>
      <c r="AR3047" s="77"/>
      <c r="AS3047" s="77"/>
      <c r="AT3047" s="77"/>
      <c r="AU3047" s="77"/>
      <c r="AV3047" s="80" t="str">
        <f>HYPERLINK("https://pbs.twimg.com/profile_images/1477978326153244672/HkuaMeX-_normal.jpg")</f>
        <v>https://pbs.twimg.com/profile_images/1477978326153244672/HkuaMeX-_normal.jpg</v>
      </c>
      <c r="AW3047" s="82" t="s">
        <v>15202</v>
      </c>
      <c r="AX3047" s="82" t="s">
        <v>15670</v>
      </c>
      <c r="AY3047" s="82" t="s">
        <v>15802</v>
      </c>
      <c r="AZ3047" s="82" t="s">
        <v>15203</v>
      </c>
      <c r="BA3047" s="82" t="s">
        <v>15804</v>
      </c>
      <c r="BB3047" s="82" t="s">
        <v>15804</v>
      </c>
      <c r="BC3047" s="82" t="s">
        <v>15203</v>
      </c>
      <c r="BD3047" s="77">
        <v>494280226</v>
      </c>
      <c r="BE3047" s="77"/>
      <c r="BF3047" s="77"/>
      <c r="BG3047" s="77"/>
      <c r="BH3047" s="77"/>
      <c r="BI3047" s="77"/>
    </row>
    <row r="3048" spans="1:61" x14ac:dyDescent="0.25">
      <c r="A3048" s="62" t="s">
        <v>1042</v>
      </c>
      <c r="B3048" s="62" t="s">
        <v>1042</v>
      </c>
      <c r="C3048" s="63"/>
      <c r="D3048" s="64"/>
      <c r="E3048" s="65"/>
      <c r="F3048" s="66"/>
      <c r="G3048" s="63"/>
      <c r="H3048" s="67"/>
      <c r="I3048" s="68"/>
      <c r="J3048" s="68"/>
      <c r="K3048" s="32"/>
      <c r="L3048" s="75">
        <v>3048</v>
      </c>
      <c r="M3048" s="75"/>
      <c r="N3048" s="70"/>
      <c r="O3048" s="77" t="s">
        <v>1132</v>
      </c>
      <c r="P3048" s="79">
        <v>45161.502523148149</v>
      </c>
      <c r="Q3048" s="77" t="s">
        <v>4060</v>
      </c>
      <c r="R3048" s="77">
        <v>0</v>
      </c>
      <c r="S3048" s="77">
        <v>1</v>
      </c>
      <c r="T3048" s="77">
        <v>1</v>
      </c>
      <c r="U3048" s="77">
        <v>0</v>
      </c>
      <c r="V3048" s="77">
        <v>54</v>
      </c>
      <c r="W3048" s="82" t="s">
        <v>5973</v>
      </c>
      <c r="X3048" s="77"/>
      <c r="Y3048" s="77"/>
      <c r="Z3048" s="77"/>
      <c r="AA3048" s="77"/>
      <c r="AB3048" s="77"/>
      <c r="AC3048" s="82" t="s">
        <v>7706</v>
      </c>
      <c r="AD3048" s="77" t="s">
        <v>7745</v>
      </c>
      <c r="AE3048" s="80" t="str">
        <f>HYPERLINK("https://twitter.com/poupex_oficial/status/1694319481969856709")</f>
        <v>https://twitter.com/poupex_oficial/status/1694319481969856709</v>
      </c>
      <c r="AF3048" s="79">
        <v>45161.502523148149</v>
      </c>
      <c r="AG3048" s="85">
        <v>45161</v>
      </c>
      <c r="AH3048" s="82" t="s">
        <v>10509</v>
      </c>
      <c r="AI3048" s="77"/>
      <c r="AJ3048" s="77"/>
      <c r="AK3048" s="77"/>
      <c r="AL3048" s="77"/>
      <c r="AM3048" s="77"/>
      <c r="AN3048" s="77"/>
      <c r="AO3048" s="77"/>
      <c r="AP3048" s="77"/>
      <c r="AQ3048" s="77"/>
      <c r="AR3048" s="77"/>
      <c r="AS3048" s="77"/>
      <c r="AT3048" s="77"/>
      <c r="AU3048" s="77"/>
      <c r="AV3048" s="80" t="str">
        <f>HYPERLINK("https://pbs.twimg.com/profile_images/1477978326153244672/HkuaMeX-_normal.jpg")</f>
        <v>https://pbs.twimg.com/profile_images/1477978326153244672/HkuaMeX-_normal.jpg</v>
      </c>
      <c r="AW3048" s="82" t="s">
        <v>15203</v>
      </c>
      <c r="AX3048" s="82" t="s">
        <v>15670</v>
      </c>
      <c r="AY3048" s="82" t="s">
        <v>15802</v>
      </c>
      <c r="AZ3048" s="82" t="s">
        <v>15204</v>
      </c>
      <c r="BA3048" s="82" t="s">
        <v>15804</v>
      </c>
      <c r="BB3048" s="82" t="s">
        <v>15804</v>
      </c>
      <c r="BC3048" s="82" t="s">
        <v>15204</v>
      </c>
      <c r="BD3048" s="77">
        <v>494280226</v>
      </c>
      <c r="BE3048" s="77"/>
      <c r="BF3048" s="77"/>
      <c r="BG3048" s="77"/>
      <c r="BH3048" s="77"/>
      <c r="BI3048" s="77"/>
    </row>
    <row r="3049" spans="1:61" x14ac:dyDescent="0.25">
      <c r="A3049" s="62" t="s">
        <v>1042</v>
      </c>
      <c r="B3049" s="62" t="s">
        <v>1042</v>
      </c>
      <c r="C3049" s="63"/>
      <c r="D3049" s="64"/>
      <c r="E3049" s="65"/>
      <c r="F3049" s="66"/>
      <c r="G3049" s="63"/>
      <c r="H3049" s="67"/>
      <c r="I3049" s="68"/>
      <c r="J3049" s="68"/>
      <c r="K3049" s="32"/>
      <c r="L3049" s="75">
        <v>3049</v>
      </c>
      <c r="M3049" s="75"/>
      <c r="N3049" s="70"/>
      <c r="O3049" s="77" t="s">
        <v>1132</v>
      </c>
      <c r="P3049" s="79">
        <v>45161.502511574072</v>
      </c>
      <c r="Q3049" s="77" t="s">
        <v>4061</v>
      </c>
      <c r="R3049" s="77">
        <v>0</v>
      </c>
      <c r="S3049" s="77">
        <v>1</v>
      </c>
      <c r="T3049" s="77">
        <v>1</v>
      </c>
      <c r="U3049" s="77">
        <v>0</v>
      </c>
      <c r="V3049" s="77">
        <v>47</v>
      </c>
      <c r="W3049" s="82" t="s">
        <v>5974</v>
      </c>
      <c r="X3049" s="77"/>
      <c r="Y3049" s="77"/>
      <c r="Z3049" s="77"/>
      <c r="AA3049" s="77"/>
      <c r="AB3049" s="77"/>
      <c r="AC3049" s="82" t="s">
        <v>7706</v>
      </c>
      <c r="AD3049" s="77" t="s">
        <v>7745</v>
      </c>
      <c r="AE3049" s="80" t="str">
        <f>HYPERLINK("https://twitter.com/poupex_oficial/status/1694319480027967490")</f>
        <v>https://twitter.com/poupex_oficial/status/1694319480027967490</v>
      </c>
      <c r="AF3049" s="79">
        <v>45161.502511574072</v>
      </c>
      <c r="AG3049" s="85">
        <v>45161</v>
      </c>
      <c r="AH3049" s="82" t="s">
        <v>7826</v>
      </c>
      <c r="AI3049" s="77"/>
      <c r="AJ3049" s="77"/>
      <c r="AK3049" s="77"/>
      <c r="AL3049" s="77"/>
      <c r="AM3049" s="77"/>
      <c r="AN3049" s="77"/>
      <c r="AO3049" s="77"/>
      <c r="AP3049" s="77"/>
      <c r="AQ3049" s="77"/>
      <c r="AR3049" s="77"/>
      <c r="AS3049" s="77"/>
      <c r="AT3049" s="77"/>
      <c r="AU3049" s="77"/>
      <c r="AV3049" s="80" t="str">
        <f>HYPERLINK("https://pbs.twimg.com/profile_images/1477978326153244672/HkuaMeX-_normal.jpg")</f>
        <v>https://pbs.twimg.com/profile_images/1477978326153244672/HkuaMeX-_normal.jpg</v>
      </c>
      <c r="AW3049" s="82" t="s">
        <v>15204</v>
      </c>
      <c r="AX3049" s="82" t="s">
        <v>15670</v>
      </c>
      <c r="AY3049" s="82" t="s">
        <v>15802</v>
      </c>
      <c r="AZ3049" s="82" t="s">
        <v>15205</v>
      </c>
      <c r="BA3049" s="82" t="s">
        <v>15804</v>
      </c>
      <c r="BB3049" s="82" t="s">
        <v>15804</v>
      </c>
      <c r="BC3049" s="82" t="s">
        <v>15205</v>
      </c>
      <c r="BD3049" s="77">
        <v>494280226</v>
      </c>
      <c r="BE3049" s="77"/>
      <c r="BF3049" s="77"/>
      <c r="BG3049" s="77"/>
      <c r="BH3049" s="77"/>
      <c r="BI3049" s="77"/>
    </row>
    <row r="3050" spans="1:61" x14ac:dyDescent="0.25">
      <c r="A3050" s="62" t="s">
        <v>1042</v>
      </c>
      <c r="B3050" s="62" t="s">
        <v>1042</v>
      </c>
      <c r="C3050" s="63"/>
      <c r="D3050" s="64"/>
      <c r="E3050" s="65"/>
      <c r="F3050" s="66"/>
      <c r="G3050" s="63"/>
      <c r="H3050" s="67"/>
      <c r="I3050" s="68"/>
      <c r="J3050" s="68"/>
      <c r="K3050" s="32"/>
      <c r="L3050" s="75">
        <v>3050</v>
      </c>
      <c r="M3050" s="75"/>
      <c r="N3050" s="70"/>
      <c r="O3050" s="77" t="s">
        <v>1132</v>
      </c>
      <c r="P3050" s="79">
        <v>45161.502511574072</v>
      </c>
      <c r="Q3050" s="77" t="s">
        <v>4062</v>
      </c>
      <c r="R3050" s="77">
        <v>0</v>
      </c>
      <c r="S3050" s="77">
        <v>1</v>
      </c>
      <c r="T3050" s="77">
        <v>1</v>
      </c>
      <c r="U3050" s="77">
        <v>0</v>
      </c>
      <c r="V3050" s="77">
        <v>57</v>
      </c>
      <c r="W3050" s="82" t="s">
        <v>5975</v>
      </c>
      <c r="X3050" s="77"/>
      <c r="Y3050" s="77"/>
      <c r="Z3050" s="77"/>
      <c r="AA3050" s="77"/>
      <c r="AB3050" s="77"/>
      <c r="AC3050" s="82" t="s">
        <v>7706</v>
      </c>
      <c r="AD3050" s="77" t="s">
        <v>7745</v>
      </c>
      <c r="AE3050" s="80" t="str">
        <f>HYPERLINK("https://twitter.com/poupex_oficial/status/1694319477591003456")</f>
        <v>https://twitter.com/poupex_oficial/status/1694319477591003456</v>
      </c>
      <c r="AF3050" s="79">
        <v>45161.502511574072</v>
      </c>
      <c r="AG3050" s="85">
        <v>45161</v>
      </c>
      <c r="AH3050" s="82" t="s">
        <v>7826</v>
      </c>
      <c r="AI3050" s="77"/>
      <c r="AJ3050" s="77"/>
      <c r="AK3050" s="77"/>
      <c r="AL3050" s="77"/>
      <c r="AM3050" s="77"/>
      <c r="AN3050" s="77"/>
      <c r="AO3050" s="77"/>
      <c r="AP3050" s="77"/>
      <c r="AQ3050" s="77"/>
      <c r="AR3050" s="77"/>
      <c r="AS3050" s="77"/>
      <c r="AT3050" s="77"/>
      <c r="AU3050" s="77"/>
      <c r="AV3050" s="80" t="str">
        <f>HYPERLINK("https://pbs.twimg.com/profile_images/1477978326153244672/HkuaMeX-_normal.jpg")</f>
        <v>https://pbs.twimg.com/profile_images/1477978326153244672/HkuaMeX-_normal.jpg</v>
      </c>
      <c r="AW3050" s="82" t="s">
        <v>15205</v>
      </c>
      <c r="AX3050" s="82" t="s">
        <v>15670</v>
      </c>
      <c r="AY3050" s="82" t="s">
        <v>15802</v>
      </c>
      <c r="AZ3050" s="82" t="s">
        <v>15206</v>
      </c>
      <c r="BA3050" s="82" t="s">
        <v>15804</v>
      </c>
      <c r="BB3050" s="82" t="s">
        <v>15804</v>
      </c>
      <c r="BC3050" s="82" t="s">
        <v>15206</v>
      </c>
      <c r="BD3050" s="77">
        <v>494280226</v>
      </c>
      <c r="BE3050" s="77"/>
      <c r="BF3050" s="77"/>
      <c r="BG3050" s="77"/>
      <c r="BH3050" s="77"/>
      <c r="BI3050" s="77"/>
    </row>
    <row r="3051" spans="1:61" x14ac:dyDescent="0.25">
      <c r="A3051" s="62" t="s">
        <v>1042</v>
      </c>
      <c r="B3051" s="62" t="s">
        <v>1042</v>
      </c>
      <c r="C3051" s="63"/>
      <c r="D3051" s="64"/>
      <c r="E3051" s="65"/>
      <c r="F3051" s="66"/>
      <c r="G3051" s="63"/>
      <c r="H3051" s="67"/>
      <c r="I3051" s="68"/>
      <c r="J3051" s="68"/>
      <c r="K3051" s="32"/>
      <c r="L3051" s="75">
        <v>3051</v>
      </c>
      <c r="M3051" s="75"/>
      <c r="N3051" s="70"/>
      <c r="O3051" s="77" t="s">
        <v>1132</v>
      </c>
      <c r="P3051" s="79">
        <v>45161.502500000002</v>
      </c>
      <c r="Q3051" s="77" t="s">
        <v>4063</v>
      </c>
      <c r="R3051" s="77">
        <v>0</v>
      </c>
      <c r="S3051" s="77">
        <v>1</v>
      </c>
      <c r="T3051" s="77">
        <v>1</v>
      </c>
      <c r="U3051" s="77">
        <v>0</v>
      </c>
      <c r="V3051" s="77">
        <v>54</v>
      </c>
      <c r="W3051" s="82" t="s">
        <v>5976</v>
      </c>
      <c r="X3051" s="77"/>
      <c r="Y3051" s="77"/>
      <c r="Z3051" s="77"/>
      <c r="AA3051" s="77"/>
      <c r="AB3051" s="77"/>
      <c r="AC3051" s="82" t="s">
        <v>7706</v>
      </c>
      <c r="AD3051" s="77" t="s">
        <v>7745</v>
      </c>
      <c r="AE3051" s="80" t="str">
        <f>HYPERLINK("https://twitter.com/poupex_oficial/status/1694319475749683603")</f>
        <v>https://twitter.com/poupex_oficial/status/1694319475749683603</v>
      </c>
      <c r="AF3051" s="79">
        <v>45161.502500000002</v>
      </c>
      <c r="AG3051" s="85">
        <v>45161</v>
      </c>
      <c r="AH3051" s="82" t="s">
        <v>10510</v>
      </c>
      <c r="AI3051" s="77"/>
      <c r="AJ3051" s="77"/>
      <c r="AK3051" s="77"/>
      <c r="AL3051" s="77"/>
      <c r="AM3051" s="77"/>
      <c r="AN3051" s="77"/>
      <c r="AO3051" s="77"/>
      <c r="AP3051" s="77"/>
      <c r="AQ3051" s="77"/>
      <c r="AR3051" s="77"/>
      <c r="AS3051" s="77"/>
      <c r="AT3051" s="77"/>
      <c r="AU3051" s="77"/>
      <c r="AV3051" s="80" t="str">
        <f>HYPERLINK("https://pbs.twimg.com/profile_images/1477978326153244672/HkuaMeX-_normal.jpg")</f>
        <v>https://pbs.twimg.com/profile_images/1477978326153244672/HkuaMeX-_normal.jpg</v>
      </c>
      <c r="AW3051" s="82" t="s">
        <v>15206</v>
      </c>
      <c r="AX3051" s="82" t="s">
        <v>15670</v>
      </c>
      <c r="AY3051" s="82" t="s">
        <v>15802</v>
      </c>
      <c r="AZ3051" s="82" t="s">
        <v>15207</v>
      </c>
      <c r="BA3051" s="82" t="s">
        <v>15804</v>
      </c>
      <c r="BB3051" s="82" t="s">
        <v>15804</v>
      </c>
      <c r="BC3051" s="82" t="s">
        <v>15207</v>
      </c>
      <c r="BD3051" s="77">
        <v>494280226</v>
      </c>
      <c r="BE3051" s="77"/>
      <c r="BF3051" s="77"/>
      <c r="BG3051" s="77"/>
      <c r="BH3051" s="77"/>
      <c r="BI3051" s="77"/>
    </row>
    <row r="3052" spans="1:61" x14ac:dyDescent="0.25">
      <c r="A3052" s="62" t="s">
        <v>1042</v>
      </c>
      <c r="B3052" s="62" t="s">
        <v>1042</v>
      </c>
      <c r="C3052" s="63"/>
      <c r="D3052" s="64"/>
      <c r="E3052" s="65"/>
      <c r="F3052" s="66"/>
      <c r="G3052" s="63"/>
      <c r="H3052" s="67"/>
      <c r="I3052" s="68"/>
      <c r="J3052" s="68"/>
      <c r="K3052" s="32"/>
      <c r="L3052" s="75">
        <v>3052</v>
      </c>
      <c r="M3052" s="75"/>
      <c r="N3052" s="70"/>
      <c r="O3052" s="77" t="s">
        <v>1132</v>
      </c>
      <c r="P3052" s="79">
        <v>45161.502500000002</v>
      </c>
      <c r="Q3052" s="77" t="s">
        <v>4064</v>
      </c>
      <c r="R3052" s="77">
        <v>0</v>
      </c>
      <c r="S3052" s="77">
        <v>1</v>
      </c>
      <c r="T3052" s="77">
        <v>1</v>
      </c>
      <c r="U3052" s="77">
        <v>0</v>
      </c>
      <c r="V3052" s="77">
        <v>39</v>
      </c>
      <c r="W3052" s="82" t="s">
        <v>5977</v>
      </c>
      <c r="X3052" s="77"/>
      <c r="Y3052" s="77"/>
      <c r="Z3052" s="77"/>
      <c r="AA3052" s="77"/>
      <c r="AB3052" s="77"/>
      <c r="AC3052" s="82" t="s">
        <v>7706</v>
      </c>
      <c r="AD3052" s="77" t="s">
        <v>7745</v>
      </c>
      <c r="AE3052" s="80" t="str">
        <f>HYPERLINK("https://twitter.com/poupex_oficial/status/1694319473216438322")</f>
        <v>https://twitter.com/poupex_oficial/status/1694319473216438322</v>
      </c>
      <c r="AF3052" s="79">
        <v>45161.502500000002</v>
      </c>
      <c r="AG3052" s="85">
        <v>45161</v>
      </c>
      <c r="AH3052" s="82" t="s">
        <v>10510</v>
      </c>
      <c r="AI3052" s="77"/>
      <c r="AJ3052" s="77"/>
      <c r="AK3052" s="77"/>
      <c r="AL3052" s="77"/>
      <c r="AM3052" s="77"/>
      <c r="AN3052" s="77"/>
      <c r="AO3052" s="77"/>
      <c r="AP3052" s="77"/>
      <c r="AQ3052" s="77"/>
      <c r="AR3052" s="77"/>
      <c r="AS3052" s="77"/>
      <c r="AT3052" s="77"/>
      <c r="AU3052" s="77"/>
      <c r="AV3052" s="80" t="str">
        <f>HYPERLINK("https://pbs.twimg.com/profile_images/1477978326153244672/HkuaMeX-_normal.jpg")</f>
        <v>https://pbs.twimg.com/profile_images/1477978326153244672/HkuaMeX-_normal.jpg</v>
      </c>
      <c r="AW3052" s="82" t="s">
        <v>15207</v>
      </c>
      <c r="AX3052" s="82" t="s">
        <v>15670</v>
      </c>
      <c r="AY3052" s="82" t="s">
        <v>15802</v>
      </c>
      <c r="AZ3052" s="82" t="s">
        <v>15208</v>
      </c>
      <c r="BA3052" s="82" t="s">
        <v>15804</v>
      </c>
      <c r="BB3052" s="82" t="s">
        <v>15804</v>
      </c>
      <c r="BC3052" s="82" t="s">
        <v>15208</v>
      </c>
      <c r="BD3052" s="77">
        <v>494280226</v>
      </c>
      <c r="BE3052" s="77"/>
      <c r="BF3052" s="77"/>
      <c r="BG3052" s="77"/>
      <c r="BH3052" s="77"/>
      <c r="BI3052" s="77"/>
    </row>
    <row r="3053" spans="1:61" x14ac:dyDescent="0.25">
      <c r="A3053" s="62" t="s">
        <v>1042</v>
      </c>
      <c r="B3053" s="62" t="s">
        <v>1042</v>
      </c>
      <c r="C3053" s="63"/>
      <c r="D3053" s="64"/>
      <c r="E3053" s="65"/>
      <c r="F3053" s="66"/>
      <c r="G3053" s="63"/>
      <c r="H3053" s="67"/>
      <c r="I3053" s="68"/>
      <c r="J3053" s="68"/>
      <c r="K3053" s="32"/>
      <c r="L3053" s="75">
        <v>3053</v>
      </c>
      <c r="M3053" s="75"/>
      <c r="N3053" s="70"/>
      <c r="O3053" s="77" t="s">
        <v>1132</v>
      </c>
      <c r="P3053" s="79">
        <v>45161.502488425926</v>
      </c>
      <c r="Q3053" s="77" t="s">
        <v>4065</v>
      </c>
      <c r="R3053" s="77">
        <v>0</v>
      </c>
      <c r="S3053" s="77">
        <v>1</v>
      </c>
      <c r="T3053" s="77">
        <v>1</v>
      </c>
      <c r="U3053" s="77">
        <v>0</v>
      </c>
      <c r="V3053" s="77">
        <v>33</v>
      </c>
      <c r="W3053" s="82" t="s">
        <v>5978</v>
      </c>
      <c r="X3053" s="77"/>
      <c r="Y3053" s="77"/>
      <c r="Z3053" s="77"/>
      <c r="AA3053" s="77"/>
      <c r="AB3053" s="77"/>
      <c r="AC3053" s="82" t="s">
        <v>7706</v>
      </c>
      <c r="AD3053" s="77" t="s">
        <v>7745</v>
      </c>
      <c r="AE3053" s="80" t="str">
        <f>HYPERLINK("https://twitter.com/poupex_oficial/status/1694319471144423804")</f>
        <v>https://twitter.com/poupex_oficial/status/1694319471144423804</v>
      </c>
      <c r="AF3053" s="79">
        <v>45161.502488425926</v>
      </c>
      <c r="AG3053" s="85">
        <v>45161</v>
      </c>
      <c r="AH3053" s="82" t="s">
        <v>10511</v>
      </c>
      <c r="AI3053" s="77"/>
      <c r="AJ3053" s="77"/>
      <c r="AK3053" s="77"/>
      <c r="AL3053" s="77"/>
      <c r="AM3053" s="77"/>
      <c r="AN3053" s="77"/>
      <c r="AO3053" s="77"/>
      <c r="AP3053" s="77"/>
      <c r="AQ3053" s="77"/>
      <c r="AR3053" s="77"/>
      <c r="AS3053" s="77"/>
      <c r="AT3053" s="77"/>
      <c r="AU3053" s="77"/>
      <c r="AV3053" s="80" t="str">
        <f>HYPERLINK("https://pbs.twimg.com/profile_images/1477978326153244672/HkuaMeX-_normal.jpg")</f>
        <v>https://pbs.twimg.com/profile_images/1477978326153244672/HkuaMeX-_normal.jpg</v>
      </c>
      <c r="AW3053" s="82" t="s">
        <v>15208</v>
      </c>
      <c r="AX3053" s="82" t="s">
        <v>15670</v>
      </c>
      <c r="AY3053" s="82" t="s">
        <v>15802</v>
      </c>
      <c r="AZ3053" s="82" t="s">
        <v>15209</v>
      </c>
      <c r="BA3053" s="82" t="s">
        <v>15804</v>
      </c>
      <c r="BB3053" s="82" t="s">
        <v>15804</v>
      </c>
      <c r="BC3053" s="82" t="s">
        <v>15209</v>
      </c>
      <c r="BD3053" s="77">
        <v>494280226</v>
      </c>
      <c r="BE3053" s="77"/>
      <c r="BF3053" s="77"/>
      <c r="BG3053" s="77"/>
      <c r="BH3053" s="77"/>
      <c r="BI3053" s="77"/>
    </row>
    <row r="3054" spans="1:61" x14ac:dyDescent="0.25">
      <c r="A3054" s="62" t="s">
        <v>1042</v>
      </c>
      <c r="B3054" s="62" t="s">
        <v>1042</v>
      </c>
      <c r="C3054" s="63"/>
      <c r="D3054" s="64"/>
      <c r="E3054" s="65"/>
      <c r="F3054" s="66"/>
      <c r="G3054" s="63"/>
      <c r="H3054" s="67"/>
      <c r="I3054" s="68"/>
      <c r="J3054" s="68"/>
      <c r="K3054" s="32"/>
      <c r="L3054" s="75">
        <v>3054</v>
      </c>
      <c r="M3054" s="75"/>
      <c r="N3054" s="70"/>
      <c r="O3054" s="77" t="s">
        <v>1132</v>
      </c>
      <c r="P3054" s="79">
        <v>45161.502488425926</v>
      </c>
      <c r="Q3054" s="77" t="s">
        <v>4066</v>
      </c>
      <c r="R3054" s="77">
        <v>0</v>
      </c>
      <c r="S3054" s="77">
        <v>1</v>
      </c>
      <c r="T3054" s="77">
        <v>1</v>
      </c>
      <c r="U3054" s="77">
        <v>0</v>
      </c>
      <c r="V3054" s="77">
        <v>38</v>
      </c>
      <c r="W3054" s="82" t="s">
        <v>5979</v>
      </c>
      <c r="X3054" s="77"/>
      <c r="Y3054" s="77"/>
      <c r="Z3054" s="77"/>
      <c r="AA3054" s="77"/>
      <c r="AB3054" s="77"/>
      <c r="AC3054" s="82" t="s">
        <v>7706</v>
      </c>
      <c r="AD3054" s="77" t="s">
        <v>7745</v>
      </c>
      <c r="AE3054" s="80" t="str">
        <f>HYPERLINK("https://twitter.com/poupex_oficial/status/1694319469298946340")</f>
        <v>https://twitter.com/poupex_oficial/status/1694319469298946340</v>
      </c>
      <c r="AF3054" s="79">
        <v>45161.502488425926</v>
      </c>
      <c r="AG3054" s="85">
        <v>45161</v>
      </c>
      <c r="AH3054" s="82" t="s">
        <v>10511</v>
      </c>
      <c r="AI3054" s="77"/>
      <c r="AJ3054" s="77"/>
      <c r="AK3054" s="77"/>
      <c r="AL3054" s="77"/>
      <c r="AM3054" s="77"/>
      <c r="AN3054" s="77"/>
      <c r="AO3054" s="77"/>
      <c r="AP3054" s="77"/>
      <c r="AQ3054" s="77"/>
      <c r="AR3054" s="77"/>
      <c r="AS3054" s="77"/>
      <c r="AT3054" s="77"/>
      <c r="AU3054" s="77"/>
      <c r="AV3054" s="80" t="str">
        <f>HYPERLINK("https://pbs.twimg.com/profile_images/1477978326153244672/HkuaMeX-_normal.jpg")</f>
        <v>https://pbs.twimg.com/profile_images/1477978326153244672/HkuaMeX-_normal.jpg</v>
      </c>
      <c r="AW3054" s="82" t="s">
        <v>15209</v>
      </c>
      <c r="AX3054" s="82" t="s">
        <v>15670</v>
      </c>
      <c r="AY3054" s="82" t="s">
        <v>15802</v>
      </c>
      <c r="AZ3054" s="82" t="s">
        <v>15210</v>
      </c>
      <c r="BA3054" s="82" t="s">
        <v>15804</v>
      </c>
      <c r="BB3054" s="82" t="s">
        <v>15804</v>
      </c>
      <c r="BC3054" s="82" t="s">
        <v>15210</v>
      </c>
      <c r="BD3054" s="77">
        <v>494280226</v>
      </c>
      <c r="BE3054" s="77"/>
      <c r="BF3054" s="77"/>
      <c r="BG3054" s="77"/>
      <c r="BH3054" s="77"/>
      <c r="BI3054" s="77"/>
    </row>
    <row r="3055" spans="1:61" x14ac:dyDescent="0.25">
      <c r="A3055" s="62" t="s">
        <v>1042</v>
      </c>
      <c r="B3055" s="62" t="s">
        <v>1042</v>
      </c>
      <c r="C3055" s="63"/>
      <c r="D3055" s="64"/>
      <c r="E3055" s="65"/>
      <c r="F3055" s="66"/>
      <c r="G3055" s="63"/>
      <c r="H3055" s="67"/>
      <c r="I3055" s="68"/>
      <c r="J3055" s="68"/>
      <c r="K3055" s="32"/>
      <c r="L3055" s="75">
        <v>3055</v>
      </c>
      <c r="M3055" s="75"/>
      <c r="N3055" s="70"/>
      <c r="O3055" s="77" t="s">
        <v>1132</v>
      </c>
      <c r="P3055" s="79">
        <v>45161.502476851849</v>
      </c>
      <c r="Q3055" s="77" t="s">
        <v>4067</v>
      </c>
      <c r="R3055" s="77">
        <v>0</v>
      </c>
      <c r="S3055" s="77">
        <v>2</v>
      </c>
      <c r="T3055" s="77">
        <v>1</v>
      </c>
      <c r="U3055" s="77">
        <v>0</v>
      </c>
      <c r="V3055" s="77">
        <v>54</v>
      </c>
      <c r="W3055" s="82" t="s">
        <v>5980</v>
      </c>
      <c r="X3055" s="77"/>
      <c r="Y3055" s="77"/>
      <c r="Z3055" s="77"/>
      <c r="AA3055" s="77"/>
      <c r="AB3055" s="77"/>
      <c r="AC3055" s="82" t="s">
        <v>7706</v>
      </c>
      <c r="AD3055" s="77" t="s">
        <v>7745</v>
      </c>
      <c r="AE3055" s="80" t="str">
        <f>HYPERLINK("https://twitter.com/poupex_oficial/status/1694319467356955066")</f>
        <v>https://twitter.com/poupex_oficial/status/1694319467356955066</v>
      </c>
      <c r="AF3055" s="79">
        <v>45161.502476851849</v>
      </c>
      <c r="AG3055" s="85">
        <v>45161</v>
      </c>
      <c r="AH3055" s="82" t="s">
        <v>10512</v>
      </c>
      <c r="AI3055" s="77"/>
      <c r="AJ3055" s="77"/>
      <c r="AK3055" s="77"/>
      <c r="AL3055" s="77"/>
      <c r="AM3055" s="77"/>
      <c r="AN3055" s="77"/>
      <c r="AO3055" s="77"/>
      <c r="AP3055" s="77"/>
      <c r="AQ3055" s="77"/>
      <c r="AR3055" s="77"/>
      <c r="AS3055" s="77"/>
      <c r="AT3055" s="77"/>
      <c r="AU3055" s="77"/>
      <c r="AV3055" s="80" t="str">
        <f>HYPERLINK("https://pbs.twimg.com/profile_images/1477978326153244672/HkuaMeX-_normal.jpg")</f>
        <v>https://pbs.twimg.com/profile_images/1477978326153244672/HkuaMeX-_normal.jpg</v>
      </c>
      <c r="AW3055" s="82" t="s">
        <v>15210</v>
      </c>
      <c r="AX3055" s="82" t="s">
        <v>15670</v>
      </c>
      <c r="AY3055" s="82" t="s">
        <v>15802</v>
      </c>
      <c r="AZ3055" s="82" t="s">
        <v>15211</v>
      </c>
      <c r="BA3055" s="82" t="s">
        <v>15804</v>
      </c>
      <c r="BB3055" s="82" t="s">
        <v>15804</v>
      </c>
      <c r="BC3055" s="82" t="s">
        <v>15211</v>
      </c>
      <c r="BD3055" s="77">
        <v>494280226</v>
      </c>
      <c r="BE3055" s="77"/>
      <c r="BF3055" s="77"/>
      <c r="BG3055" s="77"/>
      <c r="BH3055" s="77"/>
      <c r="BI3055" s="77"/>
    </row>
    <row r="3056" spans="1:61" x14ac:dyDescent="0.25">
      <c r="A3056" s="62" t="s">
        <v>1042</v>
      </c>
      <c r="B3056" s="62" t="s">
        <v>1042</v>
      </c>
      <c r="C3056" s="63"/>
      <c r="D3056" s="64"/>
      <c r="E3056" s="65"/>
      <c r="F3056" s="66"/>
      <c r="G3056" s="63"/>
      <c r="H3056" s="67"/>
      <c r="I3056" s="68"/>
      <c r="J3056" s="68"/>
      <c r="K3056" s="32"/>
      <c r="L3056" s="75">
        <v>3056</v>
      </c>
      <c r="M3056" s="75"/>
      <c r="N3056" s="70"/>
      <c r="O3056" s="77" t="s">
        <v>1132</v>
      </c>
      <c r="P3056" s="79">
        <v>45161.502476851849</v>
      </c>
      <c r="Q3056" s="77" t="s">
        <v>4068</v>
      </c>
      <c r="R3056" s="77">
        <v>0</v>
      </c>
      <c r="S3056" s="77">
        <v>1</v>
      </c>
      <c r="T3056" s="77">
        <v>1</v>
      </c>
      <c r="U3056" s="77">
        <v>0</v>
      </c>
      <c r="V3056" s="77">
        <v>66</v>
      </c>
      <c r="W3056" s="82" t="s">
        <v>5981</v>
      </c>
      <c r="X3056" s="77"/>
      <c r="Y3056" s="77"/>
      <c r="Z3056" s="77"/>
      <c r="AA3056" s="77"/>
      <c r="AB3056" s="77"/>
      <c r="AC3056" s="82" t="s">
        <v>7706</v>
      </c>
      <c r="AD3056" s="77" t="s">
        <v>7745</v>
      </c>
      <c r="AE3056" s="80" t="str">
        <f>HYPERLINK("https://twitter.com/poupex_oficial/status/1694319465456926891")</f>
        <v>https://twitter.com/poupex_oficial/status/1694319465456926891</v>
      </c>
      <c r="AF3056" s="79">
        <v>45161.502476851849</v>
      </c>
      <c r="AG3056" s="85">
        <v>45161</v>
      </c>
      <c r="AH3056" s="82" t="s">
        <v>10512</v>
      </c>
      <c r="AI3056" s="77"/>
      <c r="AJ3056" s="77"/>
      <c r="AK3056" s="77"/>
      <c r="AL3056" s="77"/>
      <c r="AM3056" s="77"/>
      <c r="AN3056" s="77"/>
      <c r="AO3056" s="77"/>
      <c r="AP3056" s="77"/>
      <c r="AQ3056" s="77"/>
      <c r="AR3056" s="77"/>
      <c r="AS3056" s="77"/>
      <c r="AT3056" s="77"/>
      <c r="AU3056" s="77"/>
      <c r="AV3056" s="80" t="str">
        <f>HYPERLINK("https://pbs.twimg.com/profile_images/1477978326153244672/HkuaMeX-_normal.jpg")</f>
        <v>https://pbs.twimg.com/profile_images/1477978326153244672/HkuaMeX-_normal.jpg</v>
      </c>
      <c r="AW3056" s="82" t="s">
        <v>15211</v>
      </c>
      <c r="AX3056" s="82" t="s">
        <v>15670</v>
      </c>
      <c r="AY3056" s="82" t="s">
        <v>15802</v>
      </c>
      <c r="AZ3056" s="82" t="s">
        <v>15670</v>
      </c>
      <c r="BA3056" s="82" t="s">
        <v>15804</v>
      </c>
      <c r="BB3056" s="82" t="s">
        <v>15804</v>
      </c>
      <c r="BC3056" s="82" t="s">
        <v>15670</v>
      </c>
      <c r="BD3056" s="77">
        <v>494280226</v>
      </c>
      <c r="BE3056" s="77"/>
      <c r="BF3056" s="77"/>
      <c r="BG3056" s="77"/>
      <c r="BH3056" s="77"/>
      <c r="BI3056" s="77"/>
    </row>
    <row r="3057" spans="1:61" x14ac:dyDescent="0.25">
      <c r="A3057" s="62" t="s">
        <v>1042</v>
      </c>
      <c r="B3057" s="62" t="s">
        <v>1042</v>
      </c>
      <c r="C3057" s="63"/>
      <c r="D3057" s="64"/>
      <c r="E3057" s="65"/>
      <c r="F3057" s="66"/>
      <c r="G3057" s="63"/>
      <c r="H3057" s="67"/>
      <c r="I3057" s="68"/>
      <c r="J3057" s="68"/>
      <c r="K3057" s="32"/>
      <c r="L3057" s="75">
        <v>3057</v>
      </c>
      <c r="M3057" s="75"/>
      <c r="N3057" s="70"/>
      <c r="O3057" s="77" t="s">
        <v>1132</v>
      </c>
      <c r="P3057" s="79">
        <v>45166.523194444446</v>
      </c>
      <c r="Q3057" s="77" t="s">
        <v>4069</v>
      </c>
      <c r="R3057" s="77">
        <v>0</v>
      </c>
      <c r="S3057" s="77">
        <v>2</v>
      </c>
      <c r="T3057" s="77">
        <v>0</v>
      </c>
      <c r="U3057" s="77">
        <v>0</v>
      </c>
      <c r="V3057" s="77">
        <v>34</v>
      </c>
      <c r="W3057" s="82" t="s">
        <v>4097</v>
      </c>
      <c r="X3057" s="80" t="str">
        <f>HYPERLINK("https://bit.ly/45cHDNa")</f>
        <v>https://bit.ly/45cHDNa</v>
      </c>
      <c r="Y3057" s="77" t="s">
        <v>6004</v>
      </c>
      <c r="Z3057" s="77"/>
      <c r="AA3057" s="77"/>
      <c r="AB3057" s="77"/>
      <c r="AC3057" s="82" t="s">
        <v>7706</v>
      </c>
      <c r="AD3057" s="77" t="s">
        <v>7745</v>
      </c>
      <c r="AE3057" s="80" t="str">
        <f>HYPERLINK("https://twitter.com/poupex_oficial/status/1696138915743146057")</f>
        <v>https://twitter.com/poupex_oficial/status/1696138915743146057</v>
      </c>
      <c r="AF3057" s="79">
        <v>45166.523194444446</v>
      </c>
      <c r="AG3057" s="85">
        <v>45166</v>
      </c>
      <c r="AH3057" s="82" t="s">
        <v>10513</v>
      </c>
      <c r="AI3057" s="77" t="b">
        <v>0</v>
      </c>
      <c r="AJ3057" s="77"/>
      <c r="AK3057" s="77"/>
      <c r="AL3057" s="77"/>
      <c r="AM3057" s="77"/>
      <c r="AN3057" s="77"/>
      <c r="AO3057" s="77"/>
      <c r="AP3057" s="77"/>
      <c r="AQ3057" s="77"/>
      <c r="AR3057" s="77"/>
      <c r="AS3057" s="77"/>
      <c r="AT3057" s="77"/>
      <c r="AU3057" s="77"/>
      <c r="AV3057" s="80" t="str">
        <f>HYPERLINK("https://pbs.twimg.com/profile_images/1477978326153244672/HkuaMeX-_normal.jpg")</f>
        <v>https://pbs.twimg.com/profile_images/1477978326153244672/HkuaMeX-_normal.jpg</v>
      </c>
      <c r="AW3057" s="82" t="s">
        <v>15212</v>
      </c>
      <c r="AX3057" s="82" t="s">
        <v>15671</v>
      </c>
      <c r="AY3057" s="82" t="s">
        <v>15802</v>
      </c>
      <c r="AZ3057" s="82" t="s">
        <v>16137</v>
      </c>
      <c r="BA3057" s="82" t="s">
        <v>15804</v>
      </c>
      <c r="BB3057" s="82" t="s">
        <v>15804</v>
      </c>
      <c r="BC3057" s="82" t="s">
        <v>16137</v>
      </c>
      <c r="BD3057" s="77">
        <v>494280226</v>
      </c>
      <c r="BE3057" s="77"/>
      <c r="BF3057" s="77"/>
      <c r="BG3057" s="77"/>
      <c r="BH3057" s="77"/>
      <c r="BI3057" s="77"/>
    </row>
    <row r="3058" spans="1:61" x14ac:dyDescent="0.25">
      <c r="A3058" s="62" t="s">
        <v>1043</v>
      </c>
      <c r="B3058" s="62" t="s">
        <v>1043</v>
      </c>
      <c r="C3058" s="63"/>
      <c r="D3058" s="64"/>
      <c r="E3058" s="65"/>
      <c r="F3058" s="66"/>
      <c r="G3058" s="63"/>
      <c r="H3058" s="67"/>
      <c r="I3058" s="68"/>
      <c r="J3058" s="68"/>
      <c r="K3058" s="32"/>
      <c r="L3058" s="75">
        <v>3058</v>
      </c>
      <c r="M3058" s="75"/>
      <c r="N3058" s="70"/>
      <c r="O3058" s="77" t="s">
        <v>179</v>
      </c>
      <c r="P3058" s="79">
        <v>45026.518969907411</v>
      </c>
      <c r="Q3058" s="77" t="s">
        <v>4070</v>
      </c>
      <c r="R3058" s="77">
        <v>0</v>
      </c>
      <c r="S3058" s="77">
        <v>0</v>
      </c>
      <c r="T3058" s="77">
        <v>0</v>
      </c>
      <c r="U3058" s="77">
        <v>0</v>
      </c>
      <c r="V3058" s="77">
        <v>16</v>
      </c>
      <c r="W3058" s="82" t="s">
        <v>5982</v>
      </c>
      <c r="X3058" s="77"/>
      <c r="Y3058" s="77"/>
      <c r="Z3058" s="77"/>
      <c r="AA3058" s="77" t="s">
        <v>7693</v>
      </c>
      <c r="AB3058" s="77" t="s">
        <v>7696</v>
      </c>
      <c r="AC3058" s="82" t="s">
        <v>7705</v>
      </c>
      <c r="AD3058" s="77" t="s">
        <v>7745</v>
      </c>
      <c r="AE3058" s="80" t="str">
        <f>HYPERLINK("https://twitter.com/caixettanayara/status/1645403081197117443")</f>
        <v>https://twitter.com/caixettanayara/status/1645403081197117443</v>
      </c>
      <c r="AF3058" s="79">
        <v>45026.518969907411</v>
      </c>
      <c r="AG3058" s="85">
        <v>45026</v>
      </c>
      <c r="AH3058" s="82" t="s">
        <v>10514</v>
      </c>
      <c r="AI3058" s="77" t="b">
        <v>0</v>
      </c>
      <c r="AJ3058" s="77"/>
      <c r="AK3058" s="77"/>
      <c r="AL3058" s="77"/>
      <c r="AM3058" s="77"/>
      <c r="AN3058" s="77"/>
      <c r="AO3058" s="77"/>
      <c r="AP3058" s="77"/>
      <c r="AQ3058" s="77" t="s">
        <v>12199</v>
      </c>
      <c r="AR3058" s="77"/>
      <c r="AS3058" s="77"/>
      <c r="AT3058" s="77"/>
      <c r="AU3058" s="77"/>
      <c r="AV3058" s="80" t="str">
        <f>HYPERLINK("https://pbs.twimg.com/media/FtWlYSNWwAAchP9.jpg")</f>
        <v>https://pbs.twimg.com/media/FtWlYSNWwAAchP9.jpg</v>
      </c>
      <c r="AW3058" s="82" t="s">
        <v>15213</v>
      </c>
      <c r="AX3058" s="82" t="s">
        <v>15213</v>
      </c>
      <c r="AY3058" s="77"/>
      <c r="AZ3058" s="82" t="s">
        <v>15804</v>
      </c>
      <c r="BA3058" s="82" t="s">
        <v>15804</v>
      </c>
      <c r="BB3058" s="82" t="s">
        <v>15804</v>
      </c>
      <c r="BC3058" s="82" t="s">
        <v>15213</v>
      </c>
      <c r="BD3058" s="82" t="s">
        <v>16591</v>
      </c>
      <c r="BE3058" s="77"/>
      <c r="BF3058" s="77"/>
      <c r="BG3058" s="77"/>
      <c r="BH3058" s="77"/>
      <c r="BI3058" s="77"/>
    </row>
    <row r="3059" spans="1:61" x14ac:dyDescent="0.25">
      <c r="A3059" s="62" t="s">
        <v>1044</v>
      </c>
      <c r="B3059" s="62" t="s">
        <v>1044</v>
      </c>
      <c r="C3059" s="63"/>
      <c r="D3059" s="64"/>
      <c r="E3059" s="65"/>
      <c r="F3059" s="66"/>
      <c r="G3059" s="63"/>
      <c r="H3059" s="67"/>
      <c r="I3059" s="68"/>
      <c r="J3059" s="68"/>
      <c r="K3059" s="32"/>
      <c r="L3059" s="75">
        <v>3059</v>
      </c>
      <c r="M3059" s="75"/>
      <c r="N3059" s="70"/>
      <c r="O3059" s="77" t="s">
        <v>179</v>
      </c>
      <c r="P3059" s="79">
        <v>45118.477789351855</v>
      </c>
      <c r="Q3059" s="77" t="s">
        <v>4071</v>
      </c>
      <c r="R3059" s="77">
        <v>0</v>
      </c>
      <c r="S3059" s="77">
        <v>1</v>
      </c>
      <c r="T3059" s="77">
        <v>0</v>
      </c>
      <c r="U3059" s="77">
        <v>0</v>
      </c>
      <c r="V3059" s="77">
        <v>33</v>
      </c>
      <c r="W3059" s="82" t="s">
        <v>5983</v>
      </c>
      <c r="X3059" s="77"/>
      <c r="Y3059" s="77"/>
      <c r="Z3059" s="77"/>
      <c r="AA3059" s="77" t="s">
        <v>7694</v>
      </c>
      <c r="AB3059" s="77" t="s">
        <v>7696</v>
      </c>
      <c r="AC3059" s="82" t="s">
        <v>7706</v>
      </c>
      <c r="AD3059" s="77" t="s">
        <v>7745</v>
      </c>
      <c r="AE3059" s="80" t="str">
        <f>HYPERLINK("https://twitter.com/hdiasboss/status/1678727841515552775")</f>
        <v>https://twitter.com/hdiasboss/status/1678727841515552775</v>
      </c>
      <c r="AF3059" s="79">
        <v>45118.477789351855</v>
      </c>
      <c r="AG3059" s="85">
        <v>45118</v>
      </c>
      <c r="AH3059" s="82" t="s">
        <v>10515</v>
      </c>
      <c r="AI3059" s="77" t="b">
        <v>0</v>
      </c>
      <c r="AJ3059" s="77"/>
      <c r="AK3059" s="77"/>
      <c r="AL3059" s="77"/>
      <c r="AM3059" s="77"/>
      <c r="AN3059" s="77"/>
      <c r="AO3059" s="77"/>
      <c r="AP3059" s="77"/>
      <c r="AQ3059" s="77" t="s">
        <v>12200</v>
      </c>
      <c r="AR3059" s="77"/>
      <c r="AS3059" s="77"/>
      <c r="AT3059" s="77"/>
      <c r="AU3059" s="77"/>
      <c r="AV3059" s="80" t="str">
        <f>HYPERLINK("https://pbs.twimg.com/media/F0wKCEpXgAABycD.jpg")</f>
        <v>https://pbs.twimg.com/media/F0wKCEpXgAABycD.jpg</v>
      </c>
      <c r="AW3059" s="82" t="s">
        <v>15214</v>
      </c>
      <c r="AX3059" s="82" t="s">
        <v>15214</v>
      </c>
      <c r="AY3059" s="77"/>
      <c r="AZ3059" s="82" t="s">
        <v>15804</v>
      </c>
      <c r="BA3059" s="82" t="s">
        <v>15804</v>
      </c>
      <c r="BB3059" s="82" t="s">
        <v>15804</v>
      </c>
      <c r="BC3059" s="82" t="s">
        <v>15214</v>
      </c>
      <c r="BD3059" s="82" t="s">
        <v>16592</v>
      </c>
      <c r="BE3059" s="77"/>
      <c r="BF3059" s="77"/>
      <c r="BG3059" s="77"/>
      <c r="BH3059" s="77"/>
      <c r="BI3059" s="77"/>
    </row>
    <row r="3060" spans="1:61" x14ac:dyDescent="0.25">
      <c r="A3060" s="62" t="s">
        <v>1045</v>
      </c>
      <c r="B3060" s="62" t="s">
        <v>1045</v>
      </c>
      <c r="C3060" s="63"/>
      <c r="D3060" s="64"/>
      <c r="E3060" s="65"/>
      <c r="F3060" s="66"/>
      <c r="G3060" s="63"/>
      <c r="H3060" s="67"/>
      <c r="I3060" s="68"/>
      <c r="J3060" s="68"/>
      <c r="K3060" s="32"/>
      <c r="L3060" s="75">
        <v>3060</v>
      </c>
      <c r="M3060" s="75"/>
      <c r="N3060" s="70"/>
      <c r="O3060" s="77" t="s">
        <v>179</v>
      </c>
      <c r="P3060" s="79">
        <v>44949.039317129631</v>
      </c>
      <c r="Q3060" s="77" t="s">
        <v>4072</v>
      </c>
      <c r="R3060" s="77">
        <v>0</v>
      </c>
      <c r="S3060" s="77">
        <v>0</v>
      </c>
      <c r="T3060" s="77">
        <v>0</v>
      </c>
      <c r="U3060" s="77">
        <v>0</v>
      </c>
      <c r="V3060" s="77">
        <v>36</v>
      </c>
      <c r="W3060" s="82" t="s">
        <v>5984</v>
      </c>
      <c r="X3060" s="77"/>
      <c r="Y3060" s="77"/>
      <c r="Z3060" s="77"/>
      <c r="AA3060" s="77"/>
      <c r="AB3060" s="77"/>
      <c r="AC3060" s="82" t="s">
        <v>7706</v>
      </c>
      <c r="AD3060" s="77" t="s">
        <v>7745</v>
      </c>
      <c r="AE3060" s="80" t="str">
        <f>HYPERLINK("https://twitter.com/marcosefmarinho/status/1617325397938671616")</f>
        <v>https://twitter.com/marcosefmarinho/status/1617325397938671616</v>
      </c>
      <c r="AF3060" s="79">
        <v>44949.039317129631</v>
      </c>
      <c r="AG3060" s="85">
        <v>44949</v>
      </c>
      <c r="AH3060" s="82" t="s">
        <v>10516</v>
      </c>
      <c r="AI3060" s="77"/>
      <c r="AJ3060" s="77"/>
      <c r="AK3060" s="77"/>
      <c r="AL3060" s="77"/>
      <c r="AM3060" s="77"/>
      <c r="AN3060" s="77"/>
      <c r="AO3060" s="77"/>
      <c r="AP3060" s="77"/>
      <c r="AQ3060" s="77"/>
      <c r="AR3060" s="77"/>
      <c r="AS3060" s="77"/>
      <c r="AT3060" s="77"/>
      <c r="AU3060" s="77"/>
      <c r="AV3060" s="80" t="str">
        <f>HYPERLINK("https://pbs.twimg.com/profile_images/1666029766829375488/TX2kZcI2_normal.jpg")</f>
        <v>https://pbs.twimg.com/profile_images/1666029766829375488/TX2kZcI2_normal.jpg</v>
      </c>
      <c r="AW3060" s="82" t="s">
        <v>15215</v>
      </c>
      <c r="AX3060" s="82" t="s">
        <v>15215</v>
      </c>
      <c r="AY3060" s="77"/>
      <c r="AZ3060" s="82" t="s">
        <v>15804</v>
      </c>
      <c r="BA3060" s="82" t="s">
        <v>15804</v>
      </c>
      <c r="BB3060" s="82" t="s">
        <v>15804</v>
      </c>
      <c r="BC3060" s="82" t="s">
        <v>15215</v>
      </c>
      <c r="BD3060" s="82" t="s">
        <v>16593</v>
      </c>
      <c r="BE3060" s="77"/>
      <c r="BF3060" s="77"/>
      <c r="BG3060" s="77"/>
      <c r="BH3060" s="77"/>
      <c r="BI3060" s="77"/>
    </row>
    <row r="3061" spans="1:61" x14ac:dyDescent="0.25">
      <c r="A3061" s="62" t="s">
        <v>1046</v>
      </c>
      <c r="B3061" s="62" t="s">
        <v>1046</v>
      </c>
      <c r="C3061" s="63"/>
      <c r="D3061" s="64"/>
      <c r="E3061" s="65"/>
      <c r="F3061" s="66"/>
      <c r="G3061" s="63"/>
      <c r="H3061" s="67"/>
      <c r="I3061" s="68"/>
      <c r="J3061" s="68"/>
      <c r="K3061" s="32"/>
      <c r="L3061" s="75">
        <v>3061</v>
      </c>
      <c r="M3061" s="75"/>
      <c r="N3061" s="70"/>
      <c r="O3061" s="77" t="s">
        <v>179</v>
      </c>
      <c r="P3061" s="79">
        <v>44944.62704861111</v>
      </c>
      <c r="Q3061" s="77" t="s">
        <v>4073</v>
      </c>
      <c r="R3061" s="77">
        <v>405</v>
      </c>
      <c r="S3061" s="77">
        <v>5389</v>
      </c>
      <c r="T3061" s="77">
        <v>99</v>
      </c>
      <c r="U3061" s="77">
        <v>189</v>
      </c>
      <c r="V3061" s="77">
        <v>555314</v>
      </c>
      <c r="W3061" s="77"/>
      <c r="X3061" s="80" t="str">
        <f>HYPERLINK("https://www.nathfinancas.com.br/livros/")</f>
        <v>https://www.nathfinancas.com.br/livros/</v>
      </c>
      <c r="Y3061" s="77" t="s">
        <v>6002</v>
      </c>
      <c r="Z3061" s="77"/>
      <c r="AA3061" s="77" t="s">
        <v>7695</v>
      </c>
      <c r="AB3061" s="77" t="s">
        <v>7696</v>
      </c>
      <c r="AC3061" s="82" t="s">
        <v>7707</v>
      </c>
      <c r="AD3061" s="77" t="s">
        <v>7745</v>
      </c>
      <c r="AE3061" s="80" t="str">
        <f>HYPERLINK("https://twitter.com/centralnath/status/1615726443077541891")</f>
        <v>https://twitter.com/centralnath/status/1615726443077541891</v>
      </c>
      <c r="AF3061" s="79">
        <v>44944.62704861111</v>
      </c>
      <c r="AG3061" s="85">
        <v>44944</v>
      </c>
      <c r="AH3061" s="82" t="s">
        <v>10517</v>
      </c>
      <c r="AI3061" s="77" t="b">
        <v>0</v>
      </c>
      <c r="AJ3061" s="77"/>
      <c r="AK3061" s="77"/>
      <c r="AL3061" s="77"/>
      <c r="AM3061" s="77"/>
      <c r="AN3061" s="77"/>
      <c r="AO3061" s="77"/>
      <c r="AP3061" s="77"/>
      <c r="AQ3061" s="77" t="s">
        <v>12201</v>
      </c>
      <c r="AR3061" s="77"/>
      <c r="AS3061" s="77"/>
      <c r="AT3061" s="77"/>
      <c r="AU3061" s="77"/>
      <c r="AV3061" s="80" t="str">
        <f>HYPERLINK("https://pbs.twimg.com/media/Fmw2oylWQAA2qAk.jpg")</f>
        <v>https://pbs.twimg.com/media/Fmw2oylWQAA2qAk.jpg</v>
      </c>
      <c r="AW3061" s="82" t="s">
        <v>15216</v>
      </c>
      <c r="AX3061" s="82" t="s">
        <v>15216</v>
      </c>
      <c r="AY3061" s="77"/>
      <c r="AZ3061" s="82" t="s">
        <v>15804</v>
      </c>
      <c r="BA3061" s="82" t="s">
        <v>15804</v>
      </c>
      <c r="BB3061" s="82" t="s">
        <v>15804</v>
      </c>
      <c r="BC3061" s="82" t="s">
        <v>15216</v>
      </c>
      <c r="BD3061" s="82" t="s">
        <v>16594</v>
      </c>
      <c r="BE3061" s="77"/>
      <c r="BF3061" s="77"/>
      <c r="BG3061" s="77"/>
      <c r="BH3061" s="77"/>
      <c r="BI3061" s="77"/>
    </row>
    <row r="3062" spans="1:61" x14ac:dyDescent="0.25">
      <c r="A3062" s="62" t="s">
        <v>1047</v>
      </c>
      <c r="B3062" s="62" t="s">
        <v>1046</v>
      </c>
      <c r="C3062" s="63"/>
      <c r="D3062" s="64"/>
      <c r="E3062" s="65"/>
      <c r="F3062" s="66"/>
      <c r="G3062" s="63"/>
      <c r="H3062" s="67"/>
      <c r="I3062" s="68"/>
      <c r="J3062" s="68"/>
      <c r="K3062" s="32"/>
      <c r="L3062" s="75">
        <v>3062</v>
      </c>
      <c r="M3062" s="75"/>
      <c r="N3062" s="70"/>
      <c r="O3062" s="77" t="s">
        <v>1135</v>
      </c>
      <c r="P3062" s="79">
        <v>44944.732708333337</v>
      </c>
      <c r="Q3062" s="77" t="s">
        <v>4074</v>
      </c>
      <c r="R3062" s="77">
        <v>0</v>
      </c>
      <c r="S3062" s="77">
        <v>1</v>
      </c>
      <c r="T3062" s="77">
        <v>0</v>
      </c>
      <c r="U3062" s="77">
        <v>0</v>
      </c>
      <c r="V3062" s="77">
        <v>35</v>
      </c>
      <c r="W3062" s="82" t="s">
        <v>4080</v>
      </c>
      <c r="X3062" s="77"/>
      <c r="Y3062" s="77"/>
      <c r="Z3062" s="77"/>
      <c r="AA3062" s="77"/>
      <c r="AB3062" s="77"/>
      <c r="AC3062" s="82" t="s">
        <v>7705</v>
      </c>
      <c r="AD3062" s="77" t="s">
        <v>7745</v>
      </c>
      <c r="AE3062" s="80" t="str">
        <f>HYPERLINK("https://twitter.com/fee_sa/status/1615764731746189313")</f>
        <v>https://twitter.com/fee_sa/status/1615764731746189313</v>
      </c>
      <c r="AF3062" s="79">
        <v>44944.732708333337</v>
      </c>
      <c r="AG3062" s="85">
        <v>44944</v>
      </c>
      <c r="AH3062" s="82" t="s">
        <v>10518</v>
      </c>
      <c r="AI3062" s="77"/>
      <c r="AJ3062" s="77"/>
      <c r="AK3062" s="77"/>
      <c r="AL3062" s="77"/>
      <c r="AM3062" s="77"/>
      <c r="AN3062" s="77"/>
      <c r="AO3062" s="77"/>
      <c r="AP3062" s="77"/>
      <c r="AQ3062" s="77"/>
      <c r="AR3062" s="77"/>
      <c r="AS3062" s="77"/>
      <c r="AT3062" s="77"/>
      <c r="AU3062" s="77"/>
      <c r="AV3062" s="80" t="str">
        <f>HYPERLINK("https://pbs.twimg.com/profile_images/1383066346007756803/pvHOIQ6F_normal.jpg")</f>
        <v>https://pbs.twimg.com/profile_images/1383066346007756803/pvHOIQ6F_normal.jpg</v>
      </c>
      <c r="AW3062" s="82" t="s">
        <v>15217</v>
      </c>
      <c r="AX3062" s="82" t="s">
        <v>15217</v>
      </c>
      <c r="AY3062" s="77"/>
      <c r="AZ3062" s="82" t="s">
        <v>15804</v>
      </c>
      <c r="BA3062" s="82" t="s">
        <v>15216</v>
      </c>
      <c r="BB3062" s="82" t="s">
        <v>15804</v>
      </c>
      <c r="BC3062" s="82" t="s">
        <v>15216</v>
      </c>
      <c r="BD3062" s="77">
        <v>49765571</v>
      </c>
      <c r="BE3062" s="77"/>
      <c r="BF3062" s="77"/>
      <c r="BG3062" s="77"/>
      <c r="BH3062" s="77"/>
      <c r="BI3062" s="77"/>
    </row>
    <row r="3063" spans="1:61" x14ac:dyDescent="0.25">
      <c r="A3063" s="62" t="s">
        <v>1048</v>
      </c>
      <c r="B3063" s="62" t="s">
        <v>1048</v>
      </c>
      <c r="C3063" s="63"/>
      <c r="D3063" s="64"/>
      <c r="E3063" s="65"/>
      <c r="F3063" s="66"/>
      <c r="G3063" s="63"/>
      <c r="H3063" s="67"/>
      <c r="I3063" s="68"/>
      <c r="J3063" s="68"/>
      <c r="K3063" s="32"/>
      <c r="L3063" s="75">
        <v>3063</v>
      </c>
      <c r="M3063" s="75"/>
      <c r="N3063" s="70"/>
      <c r="O3063" s="77" t="s">
        <v>179</v>
      </c>
      <c r="P3063" s="79">
        <v>45026.987314814818</v>
      </c>
      <c r="Q3063" s="77" t="s">
        <v>4075</v>
      </c>
      <c r="R3063" s="77">
        <v>0</v>
      </c>
      <c r="S3063" s="77">
        <v>0</v>
      </c>
      <c r="T3063" s="77">
        <v>0</v>
      </c>
      <c r="U3063" s="77">
        <v>0</v>
      </c>
      <c r="V3063" s="77">
        <v>58</v>
      </c>
      <c r="W3063" s="82" t="s">
        <v>5985</v>
      </c>
      <c r="X3063" s="80" t="str">
        <f>HYPERLINK("https://youtu.be/bxJpVowihZw")</f>
        <v>https://youtu.be/bxJpVowihZw</v>
      </c>
      <c r="Y3063" s="77" t="s">
        <v>6003</v>
      </c>
      <c r="Z3063" s="77"/>
      <c r="AA3063" s="77"/>
      <c r="AB3063" s="77"/>
      <c r="AC3063" s="82" t="s">
        <v>7706</v>
      </c>
      <c r="AD3063" s="77" t="s">
        <v>7745</v>
      </c>
      <c r="AE3063" s="80" t="str">
        <f>HYPERLINK("https://twitter.com/grafistasclub/status/1645572802408513536")</f>
        <v>https://twitter.com/grafistasclub/status/1645572802408513536</v>
      </c>
      <c r="AF3063" s="79">
        <v>45026.987314814818</v>
      </c>
      <c r="AG3063" s="85">
        <v>45026</v>
      </c>
      <c r="AH3063" s="82" t="s">
        <v>10519</v>
      </c>
      <c r="AI3063" s="77" t="b">
        <v>0</v>
      </c>
      <c r="AJ3063" s="77"/>
      <c r="AK3063" s="77"/>
      <c r="AL3063" s="77"/>
      <c r="AM3063" s="77"/>
      <c r="AN3063" s="77"/>
      <c r="AO3063" s="77"/>
      <c r="AP3063" s="77"/>
      <c r="AQ3063" s="77"/>
      <c r="AR3063" s="77"/>
      <c r="AS3063" s="77"/>
      <c r="AT3063" s="77"/>
      <c r="AU3063" s="77"/>
      <c r="AV3063" s="80" t="str">
        <f>HYPERLINK("https://pbs.twimg.com/profile_images/1610494566888521728/R8SizWkM_normal.jpg")</f>
        <v>https://pbs.twimg.com/profile_images/1610494566888521728/R8SizWkM_normal.jpg</v>
      </c>
      <c r="AW3063" s="82" t="s">
        <v>15218</v>
      </c>
      <c r="AX3063" s="82" t="s">
        <v>15218</v>
      </c>
      <c r="AY3063" s="77"/>
      <c r="AZ3063" s="82" t="s">
        <v>15804</v>
      </c>
      <c r="BA3063" s="82" t="s">
        <v>15804</v>
      </c>
      <c r="BB3063" s="82" t="s">
        <v>15804</v>
      </c>
      <c r="BC3063" s="82" t="s">
        <v>15218</v>
      </c>
      <c r="BD3063" s="82" t="s">
        <v>16595</v>
      </c>
      <c r="BE3063" s="77"/>
      <c r="BF3063" s="77"/>
      <c r="BG3063" s="77"/>
      <c r="BH3063" s="77"/>
      <c r="BI3063"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06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063" xr:uid="{00000000-0002-0000-0000-000001000000}"/>
    <dataValidation allowBlank="1" showErrorMessage="1" sqref="N2:N306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06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063" xr:uid="{00000000-0002-0000-0000-000004000000}"/>
    <dataValidation allowBlank="1" showInputMessage="1" promptTitle="Edge Color" prompt="To select an optional edge color, right-click and select Select Color on the right-click menu." sqref="C3:C3063" xr:uid="{00000000-0002-0000-0000-000005000000}"/>
    <dataValidation allowBlank="1" showInputMessage="1" errorTitle="Invalid Edge Width" error="The optional edge width must be a whole number between 1 and 10." promptTitle="Edge Width" prompt="Enter an optional edge width between 1 and 10." sqref="D3:D306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306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063" xr:uid="{00000000-0002-0000-0000-000008000000}">
      <formula1>ValidEdgeVisibilities</formula1>
    </dataValidation>
    <dataValidation allowBlank="1" showInputMessage="1" showErrorMessage="1" promptTitle="Vertex 1 Name" prompt="Enter the name of the edge's first vertex." sqref="A3:A3063" xr:uid="{00000000-0002-0000-0000-000009000000}"/>
    <dataValidation allowBlank="1" showInputMessage="1" showErrorMessage="1" promptTitle="Vertex 2 Name" prompt="Enter the name of the edge's second vertex." sqref="B3:B306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306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06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306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914"/>
  <sheetViews>
    <sheetView workbookViewId="0">
      <pane xSplit="1" ySplit="2" topLeftCell="B3" activePane="bottomRight" state="frozen"/>
      <selection pane="topRight" activeCell="B1" sqref="B1"/>
      <selection pane="bottomLeft" activeCell="A3" sqref="A3"/>
      <selection pane="bottomRight" activeCell="A2" sqref="A2:BO2"/>
    </sheetView>
  </sheetViews>
  <sheetFormatPr defaultRowHeight="15" x14ac:dyDescent="0.25"/>
  <cols>
    <col min="1" max="1" width="17.5703125" style="1" bestFit="1" customWidth="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16608</v>
      </c>
      <c r="AE2" s="7" t="s">
        <v>16609</v>
      </c>
      <c r="AF2" s="7" t="s">
        <v>16610</v>
      </c>
      <c r="AG2" s="7" t="s">
        <v>16611</v>
      </c>
      <c r="AH2" s="7" t="s">
        <v>16612</v>
      </c>
      <c r="AI2" s="7" t="s">
        <v>16613</v>
      </c>
      <c r="AJ2" s="7" t="s">
        <v>16614</v>
      </c>
      <c r="AK2" s="7" t="s">
        <v>16615</v>
      </c>
      <c r="AL2" s="7" t="s">
        <v>16616</v>
      </c>
      <c r="AM2" s="7" t="s">
        <v>16617</v>
      </c>
      <c r="AN2" s="7" t="s">
        <v>16618</v>
      </c>
      <c r="AO2" s="7" t="s">
        <v>16619</v>
      </c>
      <c r="AP2" s="7" t="s">
        <v>16620</v>
      </c>
      <c r="AQ2" s="7" t="s">
        <v>16621</v>
      </c>
      <c r="AR2" s="7" t="s">
        <v>16622</v>
      </c>
      <c r="AS2" s="7" t="s">
        <v>16623</v>
      </c>
      <c r="AT2" s="7" t="s">
        <v>16624</v>
      </c>
      <c r="AU2" s="7" t="s">
        <v>16625</v>
      </c>
      <c r="AV2" s="7" t="s">
        <v>16626</v>
      </c>
      <c r="AW2" s="7" t="s">
        <v>16627</v>
      </c>
      <c r="AX2" s="7" t="s">
        <v>16628</v>
      </c>
      <c r="AY2" s="7" t="s">
        <v>16629</v>
      </c>
      <c r="AZ2" s="7" t="s">
        <v>16630</v>
      </c>
      <c r="BA2" s="7" t="s">
        <v>16631</v>
      </c>
      <c r="BB2" s="7" t="s">
        <v>16632</v>
      </c>
      <c r="BC2" s="7" t="s">
        <v>16633</v>
      </c>
      <c r="BD2" s="7" t="s">
        <v>16634</v>
      </c>
      <c r="BE2" s="7" t="s">
        <v>16635</v>
      </c>
      <c r="BF2" s="7" t="s">
        <v>16636</v>
      </c>
      <c r="BG2" s="7" t="s">
        <v>197</v>
      </c>
      <c r="BH2" s="7" t="s">
        <v>16637</v>
      </c>
      <c r="BI2" s="7" t="s">
        <v>16638</v>
      </c>
      <c r="BJ2" s="7" t="s">
        <v>16639</v>
      </c>
      <c r="BK2" s="7" t="s">
        <v>16640</v>
      </c>
      <c r="BL2" s="7" t="s">
        <v>16641</v>
      </c>
      <c r="BM2" s="7" t="s">
        <v>16642</v>
      </c>
      <c r="BN2" s="7" t="s">
        <v>16643</v>
      </c>
      <c r="BO2" s="7" t="s">
        <v>16644</v>
      </c>
    </row>
    <row r="3" spans="1:68" ht="15" customHeight="1" x14ac:dyDescent="0.25">
      <c r="A3" s="62" t="s">
        <v>1049</v>
      </c>
      <c r="B3" s="63"/>
      <c r="C3" s="63"/>
      <c r="D3" s="64"/>
      <c r="E3" s="66"/>
      <c r="F3" s="103" t="str">
        <f>HYPERLINK("https://pbs.twimg.com/profile_images/1610767945189269509/PSltd92g_normal.jpg")</f>
        <v>https://pbs.twimg.com/profile_images/1610767945189269509/PSltd92g_normal.jpg</v>
      </c>
      <c r="G3" s="63"/>
      <c r="H3" s="67"/>
      <c r="I3" s="68"/>
      <c r="J3" s="68"/>
      <c r="K3" s="67" t="s">
        <v>20547</v>
      </c>
      <c r="L3" s="71"/>
      <c r="M3" s="72"/>
      <c r="N3" s="72"/>
      <c r="O3" s="73"/>
      <c r="P3" s="74"/>
      <c r="Q3" s="74"/>
      <c r="R3" s="46"/>
      <c r="S3" s="46"/>
      <c r="T3" s="46"/>
      <c r="U3" s="46"/>
      <c r="V3" s="47"/>
      <c r="W3" s="47"/>
      <c r="X3" s="47">
        <v>1.101E-3</v>
      </c>
      <c r="Y3" s="47"/>
      <c r="Z3" s="47"/>
      <c r="AA3" s="69">
        <v>3</v>
      </c>
      <c r="AB3" s="69"/>
      <c r="AC3" s="70"/>
      <c r="AD3" s="76" t="s">
        <v>17536</v>
      </c>
      <c r="AE3" s="81" t="s">
        <v>17860</v>
      </c>
      <c r="AF3" s="76">
        <v>1508</v>
      </c>
      <c r="AG3" s="76">
        <v>36</v>
      </c>
      <c r="AH3" s="76">
        <v>73356</v>
      </c>
      <c r="AI3" s="76">
        <v>3</v>
      </c>
      <c r="AJ3" s="76">
        <v>13</v>
      </c>
      <c r="AK3" s="76">
        <v>1859</v>
      </c>
      <c r="AL3" s="76" t="b">
        <v>0</v>
      </c>
      <c r="AM3" s="78">
        <v>40585.875914351855</v>
      </c>
      <c r="AN3" s="76" t="s">
        <v>18154</v>
      </c>
      <c r="AO3" s="76" t="s">
        <v>18985</v>
      </c>
      <c r="AP3" s="83" t="str">
        <f>HYPERLINK("https://t.co/gIeetgoGn5")</f>
        <v>https://t.co/gIeetgoGn5</v>
      </c>
      <c r="AQ3" s="83" t="str">
        <f>HYPERLINK("http://www.chicosabetudo.com.br")</f>
        <v>http://www.chicosabetudo.com.br</v>
      </c>
      <c r="AR3" s="76" t="s">
        <v>19554</v>
      </c>
      <c r="AS3" s="76"/>
      <c r="AT3" s="76"/>
      <c r="AU3" s="76"/>
      <c r="AV3" s="76"/>
      <c r="AW3" s="83" t="str">
        <f>HYPERLINK("https://t.co/gIeetgoGn5")</f>
        <v>https://t.co/gIeetgoGn5</v>
      </c>
      <c r="AX3" s="76" t="b">
        <v>0</v>
      </c>
      <c r="AY3" s="76"/>
      <c r="AZ3" s="76"/>
      <c r="BA3" s="76" t="b">
        <v>1</v>
      </c>
      <c r="BB3" s="76" t="b">
        <v>1</v>
      </c>
      <c r="BC3" s="76" t="b">
        <v>0</v>
      </c>
      <c r="BD3" s="76" t="b">
        <v>0</v>
      </c>
      <c r="BE3" s="76" t="b">
        <v>1</v>
      </c>
      <c r="BF3" s="76" t="b">
        <v>0</v>
      </c>
      <c r="BG3" s="76" t="b">
        <v>0</v>
      </c>
      <c r="BH3" s="83" t="str">
        <f>HYPERLINK("https://pbs.twimg.com/profile_banners/250804213/1672868077")</f>
        <v>https://pbs.twimg.com/profile_banners/250804213/1672868077</v>
      </c>
      <c r="BI3" s="76"/>
      <c r="BJ3" s="76" t="s">
        <v>19633</v>
      </c>
      <c r="BK3" s="76" t="b">
        <v>0</v>
      </c>
      <c r="BL3" s="76"/>
      <c r="BM3" s="76" t="s">
        <v>66</v>
      </c>
      <c r="BN3" s="76" t="s">
        <v>19635</v>
      </c>
      <c r="BO3" s="83" t="str">
        <f>HYPERLINK("https://twitter.com/chicosabetudo")</f>
        <v>https://twitter.com/chicosabetudo</v>
      </c>
    </row>
    <row r="4" spans="1:68" x14ac:dyDescent="0.25">
      <c r="A4" s="62" t="s">
        <v>224</v>
      </c>
      <c r="B4" s="63"/>
      <c r="C4" s="63"/>
      <c r="D4" s="64"/>
      <c r="E4" s="66"/>
      <c r="F4" s="103" t="str">
        <f>HYPERLINK("https://pbs.twimg.com/profile_images/1666838048586227712/u3CjSGin_normal.jpg")</f>
        <v>https://pbs.twimg.com/profile_images/1666838048586227712/u3CjSGin_normal.jpg</v>
      </c>
      <c r="G4" s="63"/>
      <c r="H4" s="67"/>
      <c r="I4" s="68"/>
      <c r="J4" s="68"/>
      <c r="K4" s="67" t="s">
        <v>19636</v>
      </c>
      <c r="L4" s="71"/>
      <c r="M4" s="72"/>
      <c r="N4" s="72"/>
      <c r="O4" s="73"/>
      <c r="P4" s="74"/>
      <c r="Q4" s="74"/>
      <c r="R4" s="87"/>
      <c r="S4" s="87"/>
      <c r="T4" s="87"/>
      <c r="U4" s="87"/>
      <c r="V4" s="48"/>
      <c r="W4" s="48"/>
      <c r="X4" s="47">
        <v>1.101E-3</v>
      </c>
      <c r="Y4" s="48"/>
      <c r="Z4" s="47"/>
      <c r="AA4" s="69">
        <v>4</v>
      </c>
      <c r="AB4" s="69"/>
      <c r="AC4" s="70"/>
      <c r="AD4" s="76" t="s">
        <v>16645</v>
      </c>
      <c r="AE4" s="81" t="s">
        <v>15672</v>
      </c>
      <c r="AF4" s="76">
        <v>9</v>
      </c>
      <c r="AG4" s="76">
        <v>35</v>
      </c>
      <c r="AH4" s="76">
        <v>184</v>
      </c>
      <c r="AI4" s="76">
        <v>0</v>
      </c>
      <c r="AJ4" s="76">
        <v>29</v>
      </c>
      <c r="AK4" s="76">
        <v>23</v>
      </c>
      <c r="AL4" s="76" t="b">
        <v>0</v>
      </c>
      <c r="AM4" s="78">
        <v>44840.284571759257</v>
      </c>
      <c r="AN4" s="76"/>
      <c r="AO4" s="76" t="s">
        <v>18155</v>
      </c>
      <c r="AP4" s="83" t="str">
        <f>HYPERLINK("https://t.co/woJ1RQYFeO")</f>
        <v>https://t.co/woJ1RQYFeO</v>
      </c>
      <c r="AQ4" s="83" t="str">
        <f>HYPERLINK("https://www.youtube.com/channel/UC0vLXclFf-lunZeeBRyyQuQ")</f>
        <v>https://www.youtube.com/channel/UC0vLXclFf-lunZeeBRyyQuQ</v>
      </c>
      <c r="AR4" s="76" t="s">
        <v>18986</v>
      </c>
      <c r="AS4" s="76"/>
      <c r="AT4" s="76"/>
      <c r="AU4" s="76"/>
      <c r="AV4" s="76"/>
      <c r="AW4" s="83" t="str">
        <f>HYPERLINK("https://t.co/woJ1RQYFeO")</f>
        <v>https://t.co/woJ1RQYFeO</v>
      </c>
      <c r="AX4" s="76" t="b">
        <v>0</v>
      </c>
      <c r="AY4" s="76"/>
      <c r="AZ4" s="76"/>
      <c r="BA4" s="76" t="b">
        <v>0</v>
      </c>
      <c r="BB4" s="76" t="b">
        <v>1</v>
      </c>
      <c r="BC4" s="76" t="b">
        <v>1</v>
      </c>
      <c r="BD4" s="76" t="b">
        <v>0</v>
      </c>
      <c r="BE4" s="76" t="b">
        <v>0</v>
      </c>
      <c r="BF4" s="76" t="b">
        <v>0</v>
      </c>
      <c r="BG4" s="76" t="b">
        <v>0</v>
      </c>
      <c r="BH4" s="83" t="str">
        <f>HYPERLINK("https://pbs.twimg.com/profile_banners/1577902985430159360/1686241704")</f>
        <v>https://pbs.twimg.com/profile_banners/1577902985430159360/1686241704</v>
      </c>
      <c r="BI4" s="76"/>
      <c r="BJ4" s="76" t="s">
        <v>19633</v>
      </c>
      <c r="BK4" s="76" t="b">
        <v>0</v>
      </c>
      <c r="BL4" s="76"/>
      <c r="BM4" s="76" t="s">
        <v>66</v>
      </c>
      <c r="BN4" s="76" t="s">
        <v>19635</v>
      </c>
      <c r="BO4" s="83" t="str">
        <f>HYPERLINK("https://twitter.com/discipulosmidas")</f>
        <v>https://twitter.com/discipulosmidas</v>
      </c>
      <c r="BP4" s="2"/>
    </row>
    <row r="5" spans="1:68" x14ac:dyDescent="0.25">
      <c r="A5" s="62" t="s">
        <v>225</v>
      </c>
      <c r="B5" s="63"/>
      <c r="C5" s="63"/>
      <c r="D5" s="64"/>
      <c r="E5" s="66"/>
      <c r="F5" s="103" t="str">
        <f>HYPERLINK("https://pbs.twimg.com/profile_images/1613373563041419264/sFPTfRBL_normal.jpg")</f>
        <v>https://pbs.twimg.com/profile_images/1613373563041419264/sFPTfRBL_normal.jpg</v>
      </c>
      <c r="G5" s="63"/>
      <c r="H5" s="67"/>
      <c r="I5" s="68"/>
      <c r="J5" s="68"/>
      <c r="K5" s="67" t="s">
        <v>19637</v>
      </c>
      <c r="L5" s="71"/>
      <c r="M5" s="72"/>
      <c r="N5" s="72"/>
      <c r="O5" s="73"/>
      <c r="P5" s="74"/>
      <c r="Q5" s="74"/>
      <c r="R5" s="87"/>
      <c r="S5" s="87"/>
      <c r="T5" s="87"/>
      <c r="U5" s="87"/>
      <c r="V5" s="48"/>
      <c r="W5" s="48"/>
      <c r="X5" s="47">
        <v>1.101E-3</v>
      </c>
      <c r="Y5" s="48"/>
      <c r="Z5" s="47"/>
      <c r="AA5" s="69">
        <v>5</v>
      </c>
      <c r="AB5" s="69"/>
      <c r="AC5" s="70"/>
      <c r="AD5" s="76" t="s">
        <v>16646</v>
      </c>
      <c r="AE5" s="81" t="s">
        <v>16139</v>
      </c>
      <c r="AF5" s="76">
        <v>1</v>
      </c>
      <c r="AG5" s="76">
        <v>21</v>
      </c>
      <c r="AH5" s="76">
        <v>26</v>
      </c>
      <c r="AI5" s="76">
        <v>0</v>
      </c>
      <c r="AJ5" s="76">
        <v>1</v>
      </c>
      <c r="AK5" s="76">
        <v>2</v>
      </c>
      <c r="AL5" s="76" t="b">
        <v>0</v>
      </c>
      <c r="AM5" s="78">
        <v>44065.012303240743</v>
      </c>
      <c r="AN5" s="76"/>
      <c r="AO5" s="76" t="s">
        <v>18156</v>
      </c>
      <c r="AP5" s="83" t="str">
        <f>HYPERLINK("https://t.co/PERggMHWEC")</f>
        <v>https://t.co/PERggMHWEC</v>
      </c>
      <c r="AQ5" s="83" t="str">
        <f>HYPERLINK("https://linktr.ee/oliveiraedison_")</f>
        <v>https://linktr.ee/oliveiraedison_</v>
      </c>
      <c r="AR5" s="76" t="s">
        <v>18987</v>
      </c>
      <c r="AS5" s="76"/>
      <c r="AT5" s="76"/>
      <c r="AU5" s="76"/>
      <c r="AV5" s="76"/>
      <c r="AW5" s="83" t="str">
        <f>HYPERLINK("https://t.co/PERggMHWEC")</f>
        <v>https://t.co/PERggMHWEC</v>
      </c>
      <c r="AX5" s="76" t="b">
        <v>0</v>
      </c>
      <c r="AY5" s="76"/>
      <c r="AZ5" s="76"/>
      <c r="BA5" s="76" t="b">
        <v>0</v>
      </c>
      <c r="BB5" s="76" t="b">
        <v>1</v>
      </c>
      <c r="BC5" s="76" t="b">
        <v>1</v>
      </c>
      <c r="BD5" s="76" t="b">
        <v>0</v>
      </c>
      <c r="BE5" s="76" t="b">
        <v>0</v>
      </c>
      <c r="BF5" s="76" t="b">
        <v>0</v>
      </c>
      <c r="BG5" s="76" t="b">
        <v>0</v>
      </c>
      <c r="BH5" s="83" t="str">
        <f>HYPERLINK("https://pbs.twimg.com/profile_banners/1296964652711194626/1673493240")</f>
        <v>https://pbs.twimg.com/profile_banners/1296964652711194626/1673493240</v>
      </c>
      <c r="BI5" s="76"/>
      <c r="BJ5" s="76" t="s">
        <v>19633</v>
      </c>
      <c r="BK5" s="76" t="b">
        <v>0</v>
      </c>
      <c r="BL5" s="76"/>
      <c r="BM5" s="76" t="s">
        <v>66</v>
      </c>
      <c r="BN5" s="76" t="s">
        <v>19635</v>
      </c>
      <c r="BO5" s="83" t="str">
        <f>HYPERLINK("https://twitter.com/oliveiraedison3")</f>
        <v>https://twitter.com/oliveiraedison3</v>
      </c>
      <c r="BP5" s="2"/>
    </row>
    <row r="6" spans="1:68" x14ac:dyDescent="0.25">
      <c r="A6" s="62" t="s">
        <v>226</v>
      </c>
      <c r="B6" s="63"/>
      <c r="C6" s="63"/>
      <c r="D6" s="64"/>
      <c r="E6" s="66"/>
      <c r="F6" s="103" t="str">
        <f>HYPERLINK("https://pbs.twimg.com/profile_images/1681769901332078592/yJhG_WJ8_normal.jpg")</f>
        <v>https://pbs.twimg.com/profile_images/1681769901332078592/yJhG_WJ8_normal.jpg</v>
      </c>
      <c r="G6" s="63"/>
      <c r="H6" s="67"/>
      <c r="I6" s="68"/>
      <c r="J6" s="68"/>
      <c r="K6" s="67" t="s">
        <v>19638</v>
      </c>
      <c r="L6" s="71"/>
      <c r="M6" s="72"/>
      <c r="N6" s="72"/>
      <c r="O6" s="73"/>
      <c r="P6" s="74"/>
      <c r="Q6" s="74"/>
      <c r="R6" s="87"/>
      <c r="S6" s="87"/>
      <c r="T6" s="87"/>
      <c r="U6" s="87"/>
      <c r="V6" s="48"/>
      <c r="W6" s="48"/>
      <c r="X6" s="47">
        <v>1.101E-3</v>
      </c>
      <c r="Y6" s="48"/>
      <c r="Z6" s="47"/>
      <c r="AA6" s="69">
        <v>6</v>
      </c>
      <c r="AB6" s="69"/>
      <c r="AC6" s="70"/>
      <c r="AD6" s="76" t="s">
        <v>16647</v>
      </c>
      <c r="AE6" s="81" t="s">
        <v>16140</v>
      </c>
      <c r="AF6" s="76">
        <v>66</v>
      </c>
      <c r="AG6" s="76">
        <v>147</v>
      </c>
      <c r="AH6" s="76">
        <v>137</v>
      </c>
      <c r="AI6" s="76">
        <v>0</v>
      </c>
      <c r="AJ6" s="76">
        <v>51</v>
      </c>
      <c r="AK6" s="76">
        <v>46</v>
      </c>
      <c r="AL6" s="76" t="b">
        <v>0</v>
      </c>
      <c r="AM6" s="78">
        <v>44924.158391203702</v>
      </c>
      <c r="AN6" s="76" t="s">
        <v>10558</v>
      </c>
      <c r="AO6" s="76" t="s">
        <v>18157</v>
      </c>
      <c r="AP6" s="83" t="str">
        <f>HYPERLINK("https://t.co/di41yYQTfT")</f>
        <v>https://t.co/di41yYQTfT</v>
      </c>
      <c r="AQ6" s="83" t="str">
        <f>HYPERLINK("http://nerycred.com.br")</f>
        <v>http://nerycred.com.br</v>
      </c>
      <c r="AR6" s="76" t="s">
        <v>18988</v>
      </c>
      <c r="AS6" s="76"/>
      <c r="AT6" s="76"/>
      <c r="AU6" s="76"/>
      <c r="AV6" s="76">
        <v>1.62366658352352E+18</v>
      </c>
      <c r="AW6" s="83" t="str">
        <f>HYPERLINK("https://t.co/di41yYQTfT")</f>
        <v>https://t.co/di41yYQTfT</v>
      </c>
      <c r="AX6" s="76" t="b">
        <v>0</v>
      </c>
      <c r="AY6" s="76"/>
      <c r="AZ6" s="76"/>
      <c r="BA6" s="76" t="b">
        <v>0</v>
      </c>
      <c r="BB6" s="76" t="b">
        <v>1</v>
      </c>
      <c r="BC6" s="76" t="b">
        <v>1</v>
      </c>
      <c r="BD6" s="76" t="b">
        <v>0</v>
      </c>
      <c r="BE6" s="76" t="b">
        <v>0</v>
      </c>
      <c r="BF6" s="76" t="b">
        <v>0</v>
      </c>
      <c r="BG6" s="76" t="b">
        <v>0</v>
      </c>
      <c r="BH6" s="83" t="str">
        <f>HYPERLINK("https://pbs.twimg.com/profile_banners/1608308809365069827/1672286256")</f>
        <v>https://pbs.twimg.com/profile_banners/1608308809365069827/1672286256</v>
      </c>
      <c r="BI6" s="76"/>
      <c r="BJ6" s="76" t="s">
        <v>19633</v>
      </c>
      <c r="BK6" s="76" t="b">
        <v>0</v>
      </c>
      <c r="BL6" s="76"/>
      <c r="BM6" s="76" t="s">
        <v>66</v>
      </c>
      <c r="BN6" s="76" t="s">
        <v>19635</v>
      </c>
      <c r="BO6" s="83" t="str">
        <f>HYPERLINK("https://twitter.com/nerycred")</f>
        <v>https://twitter.com/nerycred</v>
      </c>
      <c r="BP6" s="2"/>
    </row>
    <row r="7" spans="1:68" x14ac:dyDescent="0.25">
      <c r="A7" s="62" t="s">
        <v>227</v>
      </c>
      <c r="B7" s="63"/>
      <c r="C7" s="63"/>
      <c r="D7" s="64"/>
      <c r="E7" s="66"/>
      <c r="F7" s="103" t="str">
        <f>HYPERLINK("https://pbs.twimg.com/profile_images/834476081411395584/j7We1esa_normal.jpg")</f>
        <v>https://pbs.twimg.com/profile_images/834476081411395584/j7We1esa_normal.jpg</v>
      </c>
      <c r="G7" s="63"/>
      <c r="H7" s="67"/>
      <c r="I7" s="68"/>
      <c r="J7" s="68"/>
      <c r="K7" s="67" t="s">
        <v>19639</v>
      </c>
      <c r="L7" s="71"/>
      <c r="M7" s="72"/>
      <c r="N7" s="72"/>
      <c r="O7" s="73"/>
      <c r="P7" s="74"/>
      <c r="Q7" s="74"/>
      <c r="R7" s="87"/>
      <c r="S7" s="87"/>
      <c r="T7" s="87"/>
      <c r="U7" s="87"/>
      <c r="V7" s="48"/>
      <c r="W7" s="48"/>
      <c r="X7" s="47">
        <v>1.101E-3</v>
      </c>
      <c r="Y7" s="48"/>
      <c r="Z7" s="47"/>
      <c r="AA7" s="69">
        <v>7</v>
      </c>
      <c r="AB7" s="69"/>
      <c r="AC7" s="70"/>
      <c r="AD7" s="76" t="s">
        <v>16648</v>
      </c>
      <c r="AE7" s="81" t="s">
        <v>17537</v>
      </c>
      <c r="AF7" s="76">
        <v>10</v>
      </c>
      <c r="AG7" s="76">
        <v>1</v>
      </c>
      <c r="AH7" s="76">
        <v>321</v>
      </c>
      <c r="AI7" s="76">
        <v>0</v>
      </c>
      <c r="AJ7" s="76">
        <v>0</v>
      </c>
      <c r="AK7" s="76">
        <v>123</v>
      </c>
      <c r="AL7" s="76" t="b">
        <v>0</v>
      </c>
      <c r="AM7" s="78">
        <v>40101.644768518519</v>
      </c>
      <c r="AN7" s="76" t="s">
        <v>10561</v>
      </c>
      <c r="AO7" s="76"/>
      <c r="AP7" s="76"/>
      <c r="AQ7" s="76"/>
      <c r="AR7" s="76"/>
      <c r="AS7" s="76"/>
      <c r="AT7" s="76"/>
      <c r="AU7" s="76"/>
      <c r="AV7" s="76"/>
      <c r="AW7" s="76"/>
      <c r="AX7" s="76" t="b">
        <v>0</v>
      </c>
      <c r="AY7" s="76"/>
      <c r="AZ7" s="76"/>
      <c r="BA7" s="76" t="b">
        <v>0</v>
      </c>
      <c r="BB7" s="76" t="b">
        <v>1</v>
      </c>
      <c r="BC7" s="76" t="b">
        <v>0</v>
      </c>
      <c r="BD7" s="76" t="b">
        <v>0</v>
      </c>
      <c r="BE7" s="76" t="b">
        <v>0</v>
      </c>
      <c r="BF7" s="76" t="b">
        <v>0</v>
      </c>
      <c r="BG7" s="76" t="b">
        <v>0</v>
      </c>
      <c r="BH7" s="83" t="str">
        <f>HYPERLINK("https://pbs.twimg.com/profile_banners/82641951/1487789727")</f>
        <v>https://pbs.twimg.com/profile_banners/82641951/1487789727</v>
      </c>
      <c r="BI7" s="76"/>
      <c r="BJ7" s="76" t="s">
        <v>19633</v>
      </c>
      <c r="BK7" s="76" t="b">
        <v>0</v>
      </c>
      <c r="BL7" s="76"/>
      <c r="BM7" s="76" t="s">
        <v>66</v>
      </c>
      <c r="BN7" s="76" t="s">
        <v>19635</v>
      </c>
      <c r="BO7" s="83" t="str">
        <f>HYPERLINK("https://twitter.com/sandrocmattos")</f>
        <v>https://twitter.com/sandrocmattos</v>
      </c>
      <c r="BP7" s="2"/>
    </row>
    <row r="8" spans="1:68" x14ac:dyDescent="0.25">
      <c r="A8" s="62" t="s">
        <v>228</v>
      </c>
      <c r="B8" s="63"/>
      <c r="C8" s="63"/>
      <c r="D8" s="64"/>
      <c r="E8" s="66"/>
      <c r="F8" s="103" t="str">
        <f>HYPERLINK("https://pbs.twimg.com/profile_images/1622089287951962113/nGAaXMeA_normal.png")</f>
        <v>https://pbs.twimg.com/profile_images/1622089287951962113/nGAaXMeA_normal.png</v>
      </c>
      <c r="G8" s="63"/>
      <c r="H8" s="67"/>
      <c r="I8" s="68"/>
      <c r="J8" s="68"/>
      <c r="K8" s="67" t="s">
        <v>19640</v>
      </c>
      <c r="L8" s="71"/>
      <c r="M8" s="72"/>
      <c r="N8" s="72"/>
      <c r="O8" s="73"/>
      <c r="P8" s="74"/>
      <c r="Q8" s="74"/>
      <c r="R8" s="87"/>
      <c r="S8" s="87"/>
      <c r="T8" s="87"/>
      <c r="U8" s="87"/>
      <c r="V8" s="48"/>
      <c r="W8" s="48"/>
      <c r="X8" s="47">
        <v>1.101E-3</v>
      </c>
      <c r="Y8" s="48"/>
      <c r="Z8" s="47"/>
      <c r="AA8" s="69">
        <v>8</v>
      </c>
      <c r="AB8" s="69"/>
      <c r="AC8" s="70"/>
      <c r="AD8" s="76" t="s">
        <v>16649</v>
      </c>
      <c r="AE8" s="81" t="s">
        <v>16141</v>
      </c>
      <c r="AF8" s="76">
        <v>3</v>
      </c>
      <c r="AG8" s="76">
        <v>11</v>
      </c>
      <c r="AH8" s="76">
        <v>1</v>
      </c>
      <c r="AI8" s="76">
        <v>0</v>
      </c>
      <c r="AJ8" s="76">
        <v>2</v>
      </c>
      <c r="AK8" s="76">
        <v>0</v>
      </c>
      <c r="AL8" s="76" t="b">
        <v>0</v>
      </c>
      <c r="AM8" s="78">
        <v>44962.185150462959</v>
      </c>
      <c r="AN8" s="76"/>
      <c r="AO8" s="76"/>
      <c r="AP8" s="76"/>
      <c r="AQ8" s="76"/>
      <c r="AR8" s="76"/>
      <c r="AS8" s="76"/>
      <c r="AT8" s="76"/>
      <c r="AU8" s="76"/>
      <c r="AV8" s="76"/>
      <c r="AW8" s="76"/>
      <c r="AX8" s="76" t="b">
        <v>0</v>
      </c>
      <c r="AY8" s="76"/>
      <c r="AZ8" s="76"/>
      <c r="BA8" s="76" t="b">
        <v>0</v>
      </c>
      <c r="BB8" s="76" t="b">
        <v>1</v>
      </c>
      <c r="BC8" s="76" t="b">
        <v>1</v>
      </c>
      <c r="BD8" s="76" t="b">
        <v>0</v>
      </c>
      <c r="BE8" s="76" t="b">
        <v>1</v>
      </c>
      <c r="BF8" s="76" t="b">
        <v>0</v>
      </c>
      <c r="BG8" s="76" t="b">
        <v>0</v>
      </c>
      <c r="BH8" s="76"/>
      <c r="BI8" s="76"/>
      <c r="BJ8" s="76" t="s">
        <v>19633</v>
      </c>
      <c r="BK8" s="76" t="b">
        <v>0</v>
      </c>
      <c r="BL8" s="76"/>
      <c r="BM8" s="76" t="s">
        <v>66</v>
      </c>
      <c r="BN8" s="76" t="s">
        <v>19635</v>
      </c>
      <c r="BO8" s="83" t="str">
        <f>HYPERLINK("https://twitter.com/cryptonoide_")</f>
        <v>https://twitter.com/cryptonoide_</v>
      </c>
      <c r="BP8" s="2"/>
    </row>
    <row r="9" spans="1:68" x14ac:dyDescent="0.25">
      <c r="A9" s="62" t="s">
        <v>229</v>
      </c>
      <c r="B9" s="63"/>
      <c r="C9" s="63"/>
      <c r="D9" s="64"/>
      <c r="E9" s="66"/>
      <c r="F9" s="103" t="str">
        <f>HYPERLINK("https://pbs.twimg.com/profile_images/1629836957013483520/UiTut9fn_normal.jpg")</f>
        <v>https://pbs.twimg.com/profile_images/1629836957013483520/UiTut9fn_normal.jpg</v>
      </c>
      <c r="G9" s="63"/>
      <c r="H9" s="67"/>
      <c r="I9" s="68"/>
      <c r="J9" s="68"/>
      <c r="K9" s="67" t="s">
        <v>19641</v>
      </c>
      <c r="L9" s="71"/>
      <c r="M9" s="72"/>
      <c r="N9" s="72"/>
      <c r="O9" s="73"/>
      <c r="P9" s="74"/>
      <c r="Q9" s="74"/>
      <c r="R9" s="87"/>
      <c r="S9" s="87"/>
      <c r="T9" s="87"/>
      <c r="U9" s="87"/>
      <c r="V9" s="48"/>
      <c r="W9" s="48"/>
      <c r="X9" s="47">
        <v>1.101E-3</v>
      </c>
      <c r="Y9" s="48"/>
      <c r="Z9" s="47"/>
      <c r="AA9" s="69">
        <v>9</v>
      </c>
      <c r="AB9" s="69"/>
      <c r="AC9" s="70"/>
      <c r="AD9" s="76" t="s">
        <v>16650</v>
      </c>
      <c r="AE9" s="81" t="s">
        <v>16142</v>
      </c>
      <c r="AF9" s="76">
        <v>104</v>
      </c>
      <c r="AG9" s="76">
        <v>57</v>
      </c>
      <c r="AH9" s="76">
        <v>20</v>
      </c>
      <c r="AI9" s="76">
        <v>0</v>
      </c>
      <c r="AJ9" s="76">
        <v>18</v>
      </c>
      <c r="AK9" s="76">
        <v>16</v>
      </c>
      <c r="AL9" s="76" t="b">
        <v>0</v>
      </c>
      <c r="AM9" s="78">
        <v>44983.56386574074</v>
      </c>
      <c r="AN9" s="76" t="s">
        <v>10552</v>
      </c>
      <c r="AO9" s="76" t="s">
        <v>18158</v>
      </c>
      <c r="AP9" s="76"/>
      <c r="AQ9" s="76"/>
      <c r="AR9" s="76"/>
      <c r="AS9" s="76"/>
      <c r="AT9" s="76"/>
      <c r="AU9" s="76"/>
      <c r="AV9" s="76"/>
      <c r="AW9" s="76"/>
      <c r="AX9" s="76" t="b">
        <v>1</v>
      </c>
      <c r="AY9" s="76"/>
      <c r="AZ9" s="76"/>
      <c r="BA9" s="76" t="b">
        <v>0</v>
      </c>
      <c r="BB9" s="76" t="b">
        <v>1</v>
      </c>
      <c r="BC9" s="76" t="b">
        <v>1</v>
      </c>
      <c r="BD9" s="76" t="b">
        <v>0</v>
      </c>
      <c r="BE9" s="76" t="b">
        <v>0</v>
      </c>
      <c r="BF9" s="76" t="b">
        <v>0</v>
      </c>
      <c r="BG9" s="76" t="b">
        <v>0</v>
      </c>
      <c r="BH9" s="83" t="str">
        <f>HYPERLINK("https://pbs.twimg.com/profile_banners/1629836634102407169/1677422472")</f>
        <v>https://pbs.twimg.com/profile_banners/1629836634102407169/1677422472</v>
      </c>
      <c r="BI9" s="76"/>
      <c r="BJ9" s="76" t="s">
        <v>19633</v>
      </c>
      <c r="BK9" s="76" t="b">
        <v>0</v>
      </c>
      <c r="BL9" s="76"/>
      <c r="BM9" s="76" t="s">
        <v>66</v>
      </c>
      <c r="BN9" s="76" t="s">
        <v>19635</v>
      </c>
      <c r="BO9" s="83" t="str">
        <f>HYPERLINK("https://twitter.com/ederlorenzobr")</f>
        <v>https://twitter.com/ederlorenzobr</v>
      </c>
      <c r="BP9" s="2"/>
    </row>
    <row r="10" spans="1:68" x14ac:dyDescent="0.25">
      <c r="A10" s="62" t="s">
        <v>230</v>
      </c>
      <c r="B10" s="63"/>
      <c r="C10" s="63"/>
      <c r="D10" s="64"/>
      <c r="E10" s="66"/>
      <c r="F10" s="103" t="str">
        <f>HYPERLINK("https://pbs.twimg.com/profile_images/1649152439537266809/usI0AuDu_normal.jpg")</f>
        <v>https://pbs.twimg.com/profile_images/1649152439537266809/usI0AuDu_normal.jpg</v>
      </c>
      <c r="G10" s="63"/>
      <c r="H10" s="67"/>
      <c r="I10" s="68"/>
      <c r="J10" s="68"/>
      <c r="K10" s="67" t="s">
        <v>19642</v>
      </c>
      <c r="L10" s="71"/>
      <c r="M10" s="72"/>
      <c r="N10" s="72"/>
      <c r="O10" s="73"/>
      <c r="P10" s="74"/>
      <c r="Q10" s="74"/>
      <c r="R10" s="87"/>
      <c r="S10" s="87"/>
      <c r="T10" s="87"/>
      <c r="U10" s="87"/>
      <c r="V10" s="48"/>
      <c r="W10" s="48"/>
      <c r="X10" s="47">
        <v>1.101E-3</v>
      </c>
      <c r="Y10" s="48"/>
      <c r="Z10" s="47"/>
      <c r="AA10" s="69">
        <v>10</v>
      </c>
      <c r="AB10" s="69"/>
      <c r="AC10" s="70"/>
      <c r="AD10" s="76" t="s">
        <v>16651</v>
      </c>
      <c r="AE10" s="81" t="s">
        <v>16143</v>
      </c>
      <c r="AF10" s="76">
        <v>0</v>
      </c>
      <c r="AG10" s="76">
        <v>10</v>
      </c>
      <c r="AH10" s="76">
        <v>49</v>
      </c>
      <c r="AI10" s="76">
        <v>0</v>
      </c>
      <c r="AJ10" s="76">
        <v>0</v>
      </c>
      <c r="AK10" s="76">
        <v>39</v>
      </c>
      <c r="AL10" s="76" t="b">
        <v>0</v>
      </c>
      <c r="AM10" s="78">
        <v>45036.854641203703</v>
      </c>
      <c r="AN10" s="76"/>
      <c r="AO10" s="76"/>
      <c r="AP10" s="76"/>
      <c r="AQ10" s="76"/>
      <c r="AR10" s="76"/>
      <c r="AS10" s="76"/>
      <c r="AT10" s="76"/>
      <c r="AU10" s="76"/>
      <c r="AV10" s="76"/>
      <c r="AW10" s="76"/>
      <c r="AX10" s="76" t="b">
        <v>0</v>
      </c>
      <c r="AY10" s="76"/>
      <c r="AZ10" s="76"/>
      <c r="BA10" s="76" t="b">
        <v>0</v>
      </c>
      <c r="BB10" s="76" t="b">
        <v>1</v>
      </c>
      <c r="BC10" s="76" t="b">
        <v>1</v>
      </c>
      <c r="BD10" s="76" t="b">
        <v>0</v>
      </c>
      <c r="BE10" s="76" t="b">
        <v>0</v>
      </c>
      <c r="BF10" s="76" t="b">
        <v>0</v>
      </c>
      <c r="BG10" s="76" t="b">
        <v>0</v>
      </c>
      <c r="BH10" s="83" t="str">
        <f>HYPERLINK("https://pbs.twimg.com/profile_banners/1649148528118099984/1682023562")</f>
        <v>https://pbs.twimg.com/profile_banners/1649148528118099984/1682023562</v>
      </c>
      <c r="BI10" s="76"/>
      <c r="BJ10" s="76" t="s">
        <v>19633</v>
      </c>
      <c r="BK10" s="76" t="b">
        <v>0</v>
      </c>
      <c r="BL10" s="76"/>
      <c r="BM10" s="76" t="s">
        <v>66</v>
      </c>
      <c r="BN10" s="76" t="s">
        <v>19635</v>
      </c>
      <c r="BO10" s="83" t="str">
        <f>HYPERLINK("https://twitter.com/atlantickapital")</f>
        <v>https://twitter.com/atlantickapital</v>
      </c>
      <c r="BP10" s="2"/>
    </row>
    <row r="11" spans="1:68" x14ac:dyDescent="0.25">
      <c r="A11" s="62" t="s">
        <v>231</v>
      </c>
      <c r="B11" s="63"/>
      <c r="C11" s="63"/>
      <c r="D11" s="64"/>
      <c r="E11" s="66"/>
      <c r="F11" s="103" t="str">
        <f>HYPERLINK("https://pbs.twimg.com/profile_images/1622767050283225090/OIQqJWOd_normal.jpg")</f>
        <v>https://pbs.twimg.com/profile_images/1622767050283225090/OIQqJWOd_normal.jpg</v>
      </c>
      <c r="G11" s="63"/>
      <c r="H11" s="67"/>
      <c r="I11" s="68"/>
      <c r="J11" s="68"/>
      <c r="K11" s="67" t="s">
        <v>19643</v>
      </c>
      <c r="L11" s="71"/>
      <c r="M11" s="72"/>
      <c r="N11" s="72"/>
      <c r="O11" s="73"/>
      <c r="P11" s="74"/>
      <c r="Q11" s="74"/>
      <c r="R11" s="87"/>
      <c r="S11" s="87"/>
      <c r="T11" s="87"/>
      <c r="U11" s="87"/>
      <c r="V11" s="48"/>
      <c r="W11" s="48"/>
      <c r="X11" s="47">
        <v>1.101E-3</v>
      </c>
      <c r="Y11" s="48"/>
      <c r="Z11" s="47"/>
      <c r="AA11" s="69">
        <v>11</v>
      </c>
      <c r="AB11" s="69"/>
      <c r="AC11" s="70"/>
      <c r="AD11" s="76" t="s">
        <v>16652</v>
      </c>
      <c r="AE11" s="81" t="s">
        <v>17538</v>
      </c>
      <c r="AF11" s="76">
        <v>102</v>
      </c>
      <c r="AG11" s="76">
        <v>183</v>
      </c>
      <c r="AH11" s="76">
        <v>2918</v>
      </c>
      <c r="AI11" s="76">
        <v>2</v>
      </c>
      <c r="AJ11" s="76">
        <v>1471</v>
      </c>
      <c r="AK11" s="76">
        <v>2171</v>
      </c>
      <c r="AL11" s="76" t="b">
        <v>0</v>
      </c>
      <c r="AM11" s="78">
        <v>40025.70548611111</v>
      </c>
      <c r="AN11" s="76" t="s">
        <v>17861</v>
      </c>
      <c r="AO11" s="76" t="s">
        <v>18159</v>
      </c>
      <c r="AP11" s="83" t="str">
        <f>HYPERLINK("https://t.co/szXVOxKh3s")</f>
        <v>https://t.co/szXVOxKh3s</v>
      </c>
      <c r="AQ11" s="83" t="str">
        <f>HYPERLINK("https://www.politicadistrital.com.br")</f>
        <v>https://www.politicadistrital.com.br</v>
      </c>
      <c r="AR11" s="76" t="s">
        <v>18989</v>
      </c>
      <c r="AS11" s="83" t="str">
        <f>HYPERLINK("https://t.co/YoOx2MDOjg")</f>
        <v>https://t.co/YoOx2MDOjg</v>
      </c>
      <c r="AT11" s="83" t="str">
        <f>HYPERLINK("http://politicadistrital.com.br")</f>
        <v>http://politicadistrital.com.br</v>
      </c>
      <c r="AU11" s="76" t="s">
        <v>18989</v>
      </c>
      <c r="AV11" s="76"/>
      <c r="AW11" s="83" t="str">
        <f>HYPERLINK("https://t.co/szXVOxKh3s")</f>
        <v>https://t.co/szXVOxKh3s</v>
      </c>
      <c r="AX11" s="76" t="b">
        <v>0</v>
      </c>
      <c r="AY11" s="76"/>
      <c r="AZ11" s="76"/>
      <c r="BA11" s="76" t="b">
        <v>0</v>
      </c>
      <c r="BB11" s="76" t="b">
        <v>1</v>
      </c>
      <c r="BC11" s="76" t="b">
        <v>0</v>
      </c>
      <c r="BD11" s="76" t="b">
        <v>0</v>
      </c>
      <c r="BE11" s="76" t="b">
        <v>0</v>
      </c>
      <c r="BF11" s="76" t="b">
        <v>0</v>
      </c>
      <c r="BG11" s="76" t="b">
        <v>0</v>
      </c>
      <c r="BH11" s="83" t="str">
        <f>HYPERLINK("https://pbs.twimg.com/profile_banners/61815962/1685456005")</f>
        <v>https://pbs.twimg.com/profile_banners/61815962/1685456005</v>
      </c>
      <c r="BI11" s="76"/>
      <c r="BJ11" s="76" t="s">
        <v>19633</v>
      </c>
      <c r="BK11" s="76" t="b">
        <v>0</v>
      </c>
      <c r="BL11" s="76"/>
      <c r="BM11" s="76" t="s">
        <v>66</v>
      </c>
      <c r="BN11" s="76" t="s">
        <v>19635</v>
      </c>
      <c r="BO11" s="83" t="str">
        <f>HYPERLINK("https://twitter.com/polidistrital")</f>
        <v>https://twitter.com/polidistrital</v>
      </c>
      <c r="BP11" s="2"/>
    </row>
    <row r="12" spans="1:68" x14ac:dyDescent="0.25">
      <c r="A12" s="62" t="s">
        <v>232</v>
      </c>
      <c r="B12" s="63"/>
      <c r="C12" s="63"/>
      <c r="D12" s="64"/>
      <c r="E12" s="66"/>
      <c r="F12" s="103" t="str">
        <f>HYPERLINK("https://pbs.twimg.com/profile_images/1619914701487443968/ENwZP8Fq_normal.jpg")</f>
        <v>https://pbs.twimg.com/profile_images/1619914701487443968/ENwZP8Fq_normal.jpg</v>
      </c>
      <c r="G12" s="63"/>
      <c r="H12" s="67"/>
      <c r="I12" s="68"/>
      <c r="J12" s="68"/>
      <c r="K12" s="67" t="s">
        <v>19644</v>
      </c>
      <c r="L12" s="71"/>
      <c r="M12" s="72"/>
      <c r="N12" s="72"/>
      <c r="O12" s="73"/>
      <c r="P12" s="74"/>
      <c r="Q12" s="74"/>
      <c r="R12" s="87"/>
      <c r="S12" s="87"/>
      <c r="T12" s="87"/>
      <c r="U12" s="87"/>
      <c r="V12" s="48"/>
      <c r="W12" s="48"/>
      <c r="X12" s="47">
        <v>1.101E-3</v>
      </c>
      <c r="Y12" s="48"/>
      <c r="Z12" s="47"/>
      <c r="AA12" s="69">
        <v>12</v>
      </c>
      <c r="AB12" s="69"/>
      <c r="AC12" s="70"/>
      <c r="AD12" s="76" t="s">
        <v>16653</v>
      </c>
      <c r="AE12" s="81" t="s">
        <v>16144</v>
      </c>
      <c r="AF12" s="76">
        <v>931</v>
      </c>
      <c r="AG12" s="76">
        <v>9</v>
      </c>
      <c r="AH12" s="76">
        <v>55</v>
      </c>
      <c r="AI12" s="76">
        <v>1</v>
      </c>
      <c r="AJ12" s="76">
        <v>15</v>
      </c>
      <c r="AK12" s="76">
        <v>51</v>
      </c>
      <c r="AL12" s="76" t="b">
        <v>0</v>
      </c>
      <c r="AM12" s="78">
        <v>44641.789548611108</v>
      </c>
      <c r="AN12" s="76" t="s">
        <v>10554</v>
      </c>
      <c r="AO12" s="76" t="s">
        <v>18160</v>
      </c>
      <c r="AP12" s="83" t="str">
        <f>HYPERLINK("https://t.co/ph9DxyN4z0")</f>
        <v>https://t.co/ph9DxyN4z0</v>
      </c>
      <c r="AQ12" s="83" t="str">
        <f>HYPERLINK("http://thetryum.com")</f>
        <v>http://thetryum.com</v>
      </c>
      <c r="AR12" s="76" t="s">
        <v>18990</v>
      </c>
      <c r="AS12" s="83" t="str">
        <f>HYPERLINK("https://t.co/NocB3Zvlhc")</f>
        <v>https://t.co/NocB3Zvlhc</v>
      </c>
      <c r="AT12" s="83" t="str">
        <f>HYPERLINK("http://t.me/thetryum")</f>
        <v>http://t.me/thetryum</v>
      </c>
      <c r="AU12" s="76" t="s">
        <v>19571</v>
      </c>
      <c r="AV12" s="76"/>
      <c r="AW12" s="83" t="str">
        <f>HYPERLINK("https://t.co/ph9DxyN4z0")</f>
        <v>https://t.co/ph9DxyN4z0</v>
      </c>
      <c r="AX12" s="76" t="b">
        <v>0</v>
      </c>
      <c r="AY12" s="76"/>
      <c r="AZ12" s="76"/>
      <c r="BA12" s="76" t="b">
        <v>0</v>
      </c>
      <c r="BB12" s="76" t="b">
        <v>1</v>
      </c>
      <c r="BC12" s="76" t="b">
        <v>1</v>
      </c>
      <c r="BD12" s="76" t="b">
        <v>0</v>
      </c>
      <c r="BE12" s="76" t="b">
        <v>0</v>
      </c>
      <c r="BF12" s="76" t="b">
        <v>0</v>
      </c>
      <c r="BG12" s="76" t="b">
        <v>0</v>
      </c>
      <c r="BH12" s="83" t="str">
        <f>HYPERLINK("https://pbs.twimg.com/profile_banners/1505981757648261121/1673104074")</f>
        <v>https://pbs.twimg.com/profile_banners/1505981757648261121/1673104074</v>
      </c>
      <c r="BI12" s="76"/>
      <c r="BJ12" s="76" t="s">
        <v>19633</v>
      </c>
      <c r="BK12" s="76" t="b">
        <v>0</v>
      </c>
      <c r="BL12" s="76"/>
      <c r="BM12" s="76" t="s">
        <v>66</v>
      </c>
      <c r="BN12" s="76" t="s">
        <v>19635</v>
      </c>
      <c r="BO12" s="83" t="str">
        <f>HYPERLINK("https://twitter.com/thetryum")</f>
        <v>https://twitter.com/thetryum</v>
      </c>
      <c r="BP12" s="2"/>
    </row>
    <row r="13" spans="1:68" x14ac:dyDescent="0.25">
      <c r="A13" s="62" t="s">
        <v>233</v>
      </c>
      <c r="B13" s="63"/>
      <c r="C13" s="63"/>
      <c r="D13" s="64"/>
      <c r="E13" s="66"/>
      <c r="F13" s="103" t="str">
        <f>HYPERLINK("https://pbs.twimg.com/profile_images/1638982532787064835/tHQH37NF_normal.jpg")</f>
        <v>https://pbs.twimg.com/profile_images/1638982532787064835/tHQH37NF_normal.jpg</v>
      </c>
      <c r="G13" s="63"/>
      <c r="H13" s="67"/>
      <c r="I13" s="68"/>
      <c r="J13" s="68"/>
      <c r="K13" s="67" t="s">
        <v>19645</v>
      </c>
      <c r="L13" s="71"/>
      <c r="M13" s="72"/>
      <c r="N13" s="72"/>
      <c r="O13" s="73"/>
      <c r="P13" s="74"/>
      <c r="Q13" s="74"/>
      <c r="R13" s="87"/>
      <c r="S13" s="87"/>
      <c r="T13" s="87"/>
      <c r="U13" s="87"/>
      <c r="V13" s="48"/>
      <c r="W13" s="48"/>
      <c r="X13" s="47">
        <v>1.101E-3</v>
      </c>
      <c r="Y13" s="48"/>
      <c r="Z13" s="47"/>
      <c r="AA13" s="69">
        <v>13</v>
      </c>
      <c r="AB13" s="69"/>
      <c r="AC13" s="70"/>
      <c r="AD13" s="76" t="s">
        <v>16654</v>
      </c>
      <c r="AE13" s="81" t="s">
        <v>16145</v>
      </c>
      <c r="AF13" s="76">
        <v>2</v>
      </c>
      <c r="AG13" s="76">
        <v>95</v>
      </c>
      <c r="AH13" s="76">
        <v>54</v>
      </c>
      <c r="AI13" s="76">
        <v>0</v>
      </c>
      <c r="AJ13" s="76">
        <v>0</v>
      </c>
      <c r="AK13" s="76">
        <v>54</v>
      </c>
      <c r="AL13" s="76" t="b">
        <v>0</v>
      </c>
      <c r="AM13" s="78">
        <v>45008.801423611112</v>
      </c>
      <c r="AN13" s="76" t="s">
        <v>17862</v>
      </c>
      <c r="AO13" s="76" t="s">
        <v>18161</v>
      </c>
      <c r="AP13" s="83" t="str">
        <f>HYPERLINK("https://t.co/nOeLUjjXJJ")</f>
        <v>https://t.co/nOeLUjjXJJ</v>
      </c>
      <c r="AQ13" s="83" t="str">
        <f>HYPERLINK("https://policorretora.com.br/")</f>
        <v>https://policorretora.com.br/</v>
      </c>
      <c r="AR13" s="76" t="s">
        <v>18991</v>
      </c>
      <c r="AS13" s="76"/>
      <c r="AT13" s="76"/>
      <c r="AU13" s="76"/>
      <c r="AV13" s="76"/>
      <c r="AW13" s="83" t="str">
        <f>HYPERLINK("https://t.co/nOeLUjjXJJ")</f>
        <v>https://t.co/nOeLUjjXJJ</v>
      </c>
      <c r="AX13" s="76" t="b">
        <v>0</v>
      </c>
      <c r="AY13" s="76"/>
      <c r="AZ13" s="76"/>
      <c r="BA13" s="76" t="b">
        <v>0</v>
      </c>
      <c r="BB13" s="76" t="b">
        <v>1</v>
      </c>
      <c r="BC13" s="76" t="b">
        <v>1</v>
      </c>
      <c r="BD13" s="76" t="b">
        <v>0</v>
      </c>
      <c r="BE13" s="76" t="b">
        <v>0</v>
      </c>
      <c r="BF13" s="76" t="b">
        <v>0</v>
      </c>
      <c r="BG13" s="76" t="b">
        <v>0</v>
      </c>
      <c r="BH13" s="83" t="str">
        <f>HYPERLINK("https://pbs.twimg.com/profile_banners/1638982291195084802/1679599089")</f>
        <v>https://pbs.twimg.com/profile_banners/1638982291195084802/1679599089</v>
      </c>
      <c r="BI13" s="76"/>
      <c r="BJ13" s="76" t="s">
        <v>19633</v>
      </c>
      <c r="BK13" s="76" t="b">
        <v>0</v>
      </c>
      <c r="BL13" s="76"/>
      <c r="BM13" s="76" t="s">
        <v>66</v>
      </c>
      <c r="BN13" s="76" t="s">
        <v>19635</v>
      </c>
      <c r="BO13" s="83" t="str">
        <f>HYPERLINK("https://twitter.com/poli_corretora")</f>
        <v>https://twitter.com/poli_corretora</v>
      </c>
      <c r="BP13" s="2"/>
    </row>
    <row r="14" spans="1:68" x14ac:dyDescent="0.25">
      <c r="A14" s="62" t="s">
        <v>234</v>
      </c>
      <c r="B14" s="63"/>
      <c r="C14" s="63"/>
      <c r="D14" s="64"/>
      <c r="E14" s="66"/>
      <c r="F14" s="103" t="str">
        <f>HYPERLINK("https://pbs.twimg.com/profile_images/1649087655424958467/Kj-OEYcB_normal.jpg")</f>
        <v>https://pbs.twimg.com/profile_images/1649087655424958467/Kj-OEYcB_normal.jpg</v>
      </c>
      <c r="G14" s="63"/>
      <c r="H14" s="67"/>
      <c r="I14" s="68"/>
      <c r="J14" s="68"/>
      <c r="K14" s="67" t="s">
        <v>19646</v>
      </c>
      <c r="L14" s="71"/>
      <c r="M14" s="72"/>
      <c r="N14" s="72"/>
      <c r="O14" s="73"/>
      <c r="P14" s="74"/>
      <c r="Q14" s="74"/>
      <c r="R14" s="87"/>
      <c r="S14" s="87"/>
      <c r="T14" s="87"/>
      <c r="U14" s="87"/>
      <c r="V14" s="48"/>
      <c r="W14" s="48"/>
      <c r="X14" s="47">
        <v>1.178E-3</v>
      </c>
      <c r="Y14" s="48"/>
      <c r="Z14" s="47"/>
      <c r="AA14" s="69">
        <v>14</v>
      </c>
      <c r="AB14" s="69"/>
      <c r="AC14" s="70"/>
      <c r="AD14" s="76" t="s">
        <v>16655</v>
      </c>
      <c r="AE14" s="81" t="s">
        <v>16146</v>
      </c>
      <c r="AF14" s="76">
        <v>12145</v>
      </c>
      <c r="AG14" s="76">
        <v>4255</v>
      </c>
      <c r="AH14" s="76">
        <v>32628</v>
      </c>
      <c r="AI14" s="76">
        <v>151</v>
      </c>
      <c r="AJ14" s="76">
        <v>255502</v>
      </c>
      <c r="AK14" s="76">
        <v>1299</v>
      </c>
      <c r="AL14" s="76" t="b">
        <v>0</v>
      </c>
      <c r="AM14" s="78">
        <v>43522.875648148147</v>
      </c>
      <c r="AN14" s="76" t="s">
        <v>10552</v>
      </c>
      <c r="AO14" s="76" t="s">
        <v>18162</v>
      </c>
      <c r="AP14" s="83" t="str">
        <f>HYPERLINK("https://t.co/9fwacFaV4J")</f>
        <v>https://t.co/9fwacFaV4J</v>
      </c>
      <c r="AQ14" s="83" t="str">
        <f>HYPERLINK("http://www.investe10.com.br")</f>
        <v>http://www.investe10.com.br</v>
      </c>
      <c r="AR14" s="76" t="s">
        <v>18992</v>
      </c>
      <c r="AS14" s="76"/>
      <c r="AT14" s="76"/>
      <c r="AU14" s="76"/>
      <c r="AV14" s="76">
        <v>1.6535602671066601E+18</v>
      </c>
      <c r="AW14" s="83" t="str">
        <f>HYPERLINK("https://t.co/9fwacFaV4J")</f>
        <v>https://t.co/9fwacFaV4J</v>
      </c>
      <c r="AX14" s="76" t="b">
        <v>1</v>
      </c>
      <c r="AY14" s="76"/>
      <c r="AZ14" s="76"/>
      <c r="BA14" s="76" t="b">
        <v>1</v>
      </c>
      <c r="BB14" s="76" t="b">
        <v>1</v>
      </c>
      <c r="BC14" s="76" t="b">
        <v>0</v>
      </c>
      <c r="BD14" s="76" t="b">
        <v>0</v>
      </c>
      <c r="BE14" s="76" t="b">
        <v>1</v>
      </c>
      <c r="BF14" s="76" t="b">
        <v>0</v>
      </c>
      <c r="BG14" s="76" t="b">
        <v>0</v>
      </c>
      <c r="BH14" s="83" t="str">
        <f>HYPERLINK("https://pbs.twimg.com/profile_banners/1100500988744687618/1664807233")</f>
        <v>https://pbs.twimg.com/profile_banners/1100500988744687618/1664807233</v>
      </c>
      <c r="BI14" s="76"/>
      <c r="BJ14" s="76" t="s">
        <v>19633</v>
      </c>
      <c r="BK14" s="76" t="b">
        <v>0</v>
      </c>
      <c r="BL14" s="76"/>
      <c r="BM14" s="76" t="s">
        <v>66</v>
      </c>
      <c r="BN14" s="76" t="s">
        <v>19635</v>
      </c>
      <c r="BO14" s="83" t="str">
        <f>HYPERLINK("https://twitter.com/crisinveste")</f>
        <v>https://twitter.com/crisinveste</v>
      </c>
      <c r="BP14" s="2"/>
    </row>
    <row r="15" spans="1:68" x14ac:dyDescent="0.25">
      <c r="A15" s="62" t="s">
        <v>1050</v>
      </c>
      <c r="B15" s="63"/>
      <c r="C15" s="63"/>
      <c r="D15" s="64"/>
      <c r="E15" s="66"/>
      <c r="F15" s="103" t="str">
        <f>HYPERLINK("https://pbs.twimg.com/profile_images/1688610371001552896/ZDVixY9c_normal.jpg")</f>
        <v>https://pbs.twimg.com/profile_images/1688610371001552896/ZDVixY9c_normal.jpg</v>
      </c>
      <c r="G15" s="63"/>
      <c r="H15" s="67"/>
      <c r="I15" s="68"/>
      <c r="J15" s="68"/>
      <c r="K15" s="67" t="s">
        <v>19647</v>
      </c>
      <c r="L15" s="71"/>
      <c r="M15" s="72"/>
      <c r="N15" s="72"/>
      <c r="O15" s="73"/>
      <c r="P15" s="74"/>
      <c r="Q15" s="74"/>
      <c r="R15" s="87"/>
      <c r="S15" s="87"/>
      <c r="T15" s="87"/>
      <c r="U15" s="87"/>
      <c r="V15" s="48"/>
      <c r="W15" s="48"/>
      <c r="X15" s="47">
        <v>1.024E-3</v>
      </c>
      <c r="Y15" s="48"/>
      <c r="Z15" s="47"/>
      <c r="AA15" s="69">
        <v>15</v>
      </c>
      <c r="AB15" s="69"/>
      <c r="AC15" s="70"/>
      <c r="AD15" s="76" t="s">
        <v>16656</v>
      </c>
      <c r="AE15" s="81" t="s">
        <v>17539</v>
      </c>
      <c r="AF15" s="76">
        <v>86498</v>
      </c>
      <c r="AG15" s="76">
        <v>545</v>
      </c>
      <c r="AH15" s="76">
        <v>13296</v>
      </c>
      <c r="AI15" s="76">
        <v>509</v>
      </c>
      <c r="AJ15" s="76">
        <v>223</v>
      </c>
      <c r="AK15" s="76">
        <v>8514</v>
      </c>
      <c r="AL15" s="76" t="b">
        <v>0</v>
      </c>
      <c r="AM15" s="78">
        <v>39929.20590277778</v>
      </c>
      <c r="AN15" s="76" t="s">
        <v>10552</v>
      </c>
      <c r="AO15" s="76" t="s">
        <v>18163</v>
      </c>
      <c r="AP15" s="83" t="str">
        <f>HYPERLINK("https://t.co/dXh5GvCmbs")</f>
        <v>https://t.co/dXh5GvCmbs</v>
      </c>
      <c r="AQ15" s="83" t="str">
        <f>HYPERLINK("http://www.arezzo.com.br")</f>
        <v>http://www.arezzo.com.br</v>
      </c>
      <c r="AR15" s="76" t="s">
        <v>18993</v>
      </c>
      <c r="AS15" s="76"/>
      <c r="AT15" s="76"/>
      <c r="AU15" s="76"/>
      <c r="AV15" s="76"/>
      <c r="AW15" s="83" t="str">
        <f>HYPERLINK("https://t.co/dXh5GvCmbs")</f>
        <v>https://t.co/dXh5GvCmbs</v>
      </c>
      <c r="AX15" s="76" t="b">
        <v>0</v>
      </c>
      <c r="AY15" s="76"/>
      <c r="AZ15" s="76"/>
      <c r="BA15" s="76" t="b">
        <v>0</v>
      </c>
      <c r="BB15" s="76" t="b">
        <v>1</v>
      </c>
      <c r="BC15" s="76" t="b">
        <v>0</v>
      </c>
      <c r="BD15" s="76" t="b">
        <v>0</v>
      </c>
      <c r="BE15" s="76" t="b">
        <v>0</v>
      </c>
      <c r="BF15" s="76" t="b">
        <v>0</v>
      </c>
      <c r="BG15" s="76" t="b">
        <v>0</v>
      </c>
      <c r="BH15" s="83" t="str">
        <f>HYPERLINK("https://pbs.twimg.com/profile_banners/35406894/1691431589")</f>
        <v>https://pbs.twimg.com/profile_banners/35406894/1691431589</v>
      </c>
      <c r="BI15" s="76"/>
      <c r="BJ15" s="76" t="s">
        <v>19633</v>
      </c>
      <c r="BK15" s="76" t="b">
        <v>0</v>
      </c>
      <c r="BL15" s="76"/>
      <c r="BM15" s="76" t="s">
        <v>65</v>
      </c>
      <c r="BN15" s="76" t="s">
        <v>19635</v>
      </c>
      <c r="BO15" s="83" t="str">
        <f>HYPERLINK("https://twitter.com/arezzo")</f>
        <v>https://twitter.com/arezzo</v>
      </c>
      <c r="BP15" s="2"/>
    </row>
    <row r="16" spans="1:68" x14ac:dyDescent="0.25">
      <c r="A16" s="62" t="s">
        <v>235</v>
      </c>
      <c r="B16" s="63"/>
      <c r="C16" s="63"/>
      <c r="D16" s="64"/>
      <c r="E16" s="66"/>
      <c r="F16" s="103" t="str">
        <f>HYPERLINK("https://pbs.twimg.com/profile_images/1599558080844468231/9LDq-Cf2_normal.jpg")</f>
        <v>https://pbs.twimg.com/profile_images/1599558080844468231/9LDq-Cf2_normal.jpg</v>
      </c>
      <c r="G16" s="63"/>
      <c r="H16" s="67"/>
      <c r="I16" s="68"/>
      <c r="J16" s="68"/>
      <c r="K16" s="67" t="s">
        <v>19648</v>
      </c>
      <c r="L16" s="71"/>
      <c r="M16" s="72"/>
      <c r="N16" s="72"/>
      <c r="O16" s="73"/>
      <c r="P16" s="74"/>
      <c r="Q16" s="74"/>
      <c r="R16" s="87"/>
      <c r="S16" s="87"/>
      <c r="T16" s="87"/>
      <c r="U16" s="87"/>
      <c r="V16" s="48"/>
      <c r="W16" s="48"/>
      <c r="X16" s="47">
        <v>1.101E-3</v>
      </c>
      <c r="Y16" s="48"/>
      <c r="Z16" s="47"/>
      <c r="AA16" s="69">
        <v>16</v>
      </c>
      <c r="AB16" s="69"/>
      <c r="AC16" s="70"/>
      <c r="AD16" s="76" t="s">
        <v>16657</v>
      </c>
      <c r="AE16" s="81" t="s">
        <v>16147</v>
      </c>
      <c r="AF16" s="76">
        <v>13</v>
      </c>
      <c r="AG16" s="76">
        <v>67</v>
      </c>
      <c r="AH16" s="76">
        <v>144</v>
      </c>
      <c r="AI16" s="76">
        <v>0</v>
      </c>
      <c r="AJ16" s="76">
        <v>52</v>
      </c>
      <c r="AK16" s="76">
        <v>80</v>
      </c>
      <c r="AL16" s="76" t="b">
        <v>0</v>
      </c>
      <c r="AM16" s="78">
        <v>44726.523796296293</v>
      </c>
      <c r="AN16" s="76"/>
      <c r="AO16" s="76" t="s">
        <v>18164</v>
      </c>
      <c r="AP16" s="83" t="str">
        <f>HYPERLINK("https://t.co/B1d3y3FdfP")</f>
        <v>https://t.co/B1d3y3FdfP</v>
      </c>
      <c r="AQ16" s="83" t="str">
        <f>HYPERLINK("https://youtube.com/c/InvestidorThetaGang")</f>
        <v>https://youtube.com/c/InvestidorThetaGang</v>
      </c>
      <c r="AR16" s="76" t="s">
        <v>18994</v>
      </c>
      <c r="AS16" s="76"/>
      <c r="AT16" s="76"/>
      <c r="AU16" s="76"/>
      <c r="AV16" s="76"/>
      <c r="AW16" s="83" t="str">
        <f>HYPERLINK("https://t.co/B1d3y3FdfP")</f>
        <v>https://t.co/B1d3y3FdfP</v>
      </c>
      <c r="AX16" s="76" t="b">
        <v>0</v>
      </c>
      <c r="AY16" s="76"/>
      <c r="AZ16" s="76"/>
      <c r="BA16" s="76" t="b">
        <v>0</v>
      </c>
      <c r="BB16" s="76" t="b">
        <v>1</v>
      </c>
      <c r="BC16" s="76" t="b">
        <v>1</v>
      </c>
      <c r="BD16" s="76" t="b">
        <v>0</v>
      </c>
      <c r="BE16" s="76" t="b">
        <v>0</v>
      </c>
      <c r="BF16" s="76" t="b">
        <v>0</v>
      </c>
      <c r="BG16" s="76" t="b">
        <v>0</v>
      </c>
      <c r="BH16" s="83" t="str">
        <f>HYPERLINK("https://pbs.twimg.com/profile_banners/1536688439470563329/1670194651")</f>
        <v>https://pbs.twimg.com/profile_banners/1536688439470563329/1670194651</v>
      </c>
      <c r="BI16" s="76"/>
      <c r="BJ16" s="76" t="s">
        <v>19633</v>
      </c>
      <c r="BK16" s="76" t="b">
        <v>0</v>
      </c>
      <c r="BL16" s="76"/>
      <c r="BM16" s="76" t="s">
        <v>66</v>
      </c>
      <c r="BN16" s="76" t="s">
        <v>19635</v>
      </c>
      <c r="BO16" s="83" t="str">
        <f>HYPERLINK("https://twitter.com/investthetagang")</f>
        <v>https://twitter.com/investthetagang</v>
      </c>
      <c r="BP16" s="2"/>
    </row>
    <row r="17" spans="1:68" x14ac:dyDescent="0.25">
      <c r="A17" s="62" t="s">
        <v>236</v>
      </c>
      <c r="B17" s="63"/>
      <c r="C17" s="63"/>
      <c r="D17" s="64"/>
      <c r="E17" s="66"/>
      <c r="F17" s="103" t="str">
        <f>HYPERLINK("https://pbs.twimg.com/profile_images/1592886496725540864/HHRb-bi3_normal.jpg")</f>
        <v>https://pbs.twimg.com/profile_images/1592886496725540864/HHRb-bi3_normal.jpg</v>
      </c>
      <c r="G17" s="63"/>
      <c r="H17" s="67"/>
      <c r="I17" s="68"/>
      <c r="J17" s="68"/>
      <c r="K17" s="67" t="s">
        <v>19649</v>
      </c>
      <c r="L17" s="71"/>
      <c r="M17" s="72"/>
      <c r="N17" s="72"/>
      <c r="O17" s="73"/>
      <c r="P17" s="74"/>
      <c r="Q17" s="74"/>
      <c r="R17" s="87"/>
      <c r="S17" s="87"/>
      <c r="T17" s="87"/>
      <c r="U17" s="87"/>
      <c r="V17" s="48"/>
      <c r="W17" s="48"/>
      <c r="X17" s="47">
        <v>1.101E-3</v>
      </c>
      <c r="Y17" s="48"/>
      <c r="Z17" s="47"/>
      <c r="AA17" s="69">
        <v>17</v>
      </c>
      <c r="AB17" s="69"/>
      <c r="AC17" s="70"/>
      <c r="AD17" s="76" t="s">
        <v>16658</v>
      </c>
      <c r="AE17" s="81" t="s">
        <v>17540</v>
      </c>
      <c r="AF17" s="76">
        <v>105</v>
      </c>
      <c r="AG17" s="76">
        <v>272</v>
      </c>
      <c r="AH17" s="76">
        <v>569</v>
      </c>
      <c r="AI17" s="76">
        <v>3</v>
      </c>
      <c r="AJ17" s="76">
        <v>33872</v>
      </c>
      <c r="AK17" s="76">
        <v>54</v>
      </c>
      <c r="AL17" s="76" t="b">
        <v>0</v>
      </c>
      <c r="AM17" s="78">
        <v>40003.871145833335</v>
      </c>
      <c r="AN17" s="76" t="s">
        <v>17863</v>
      </c>
      <c r="AO17" s="76" t="s">
        <v>18165</v>
      </c>
      <c r="AP17" s="76"/>
      <c r="AQ17" s="76"/>
      <c r="AR17" s="76"/>
      <c r="AS17" s="76"/>
      <c r="AT17" s="76"/>
      <c r="AU17" s="76"/>
      <c r="AV17" s="76"/>
      <c r="AW17" s="76"/>
      <c r="AX17" s="76" t="b">
        <v>0</v>
      </c>
      <c r="AY17" s="76"/>
      <c r="AZ17" s="76"/>
      <c r="BA17" s="76" t="b">
        <v>0</v>
      </c>
      <c r="BB17" s="76" t="b">
        <v>1</v>
      </c>
      <c r="BC17" s="76" t="b">
        <v>0</v>
      </c>
      <c r="BD17" s="76" t="b">
        <v>0</v>
      </c>
      <c r="BE17" s="76" t="b">
        <v>1</v>
      </c>
      <c r="BF17" s="76" t="b">
        <v>0</v>
      </c>
      <c r="BG17" s="76" t="b">
        <v>0</v>
      </c>
      <c r="BH17" s="83" t="str">
        <f>HYPERLINK("https://pbs.twimg.com/profile_banners/55358981/1691425664")</f>
        <v>https://pbs.twimg.com/profile_banners/55358981/1691425664</v>
      </c>
      <c r="BI17" s="76"/>
      <c r="BJ17" s="76" t="s">
        <v>19633</v>
      </c>
      <c r="BK17" s="76" t="b">
        <v>0</v>
      </c>
      <c r="BL17" s="76"/>
      <c r="BM17" s="76" t="s">
        <v>66</v>
      </c>
      <c r="BN17" s="76" t="s">
        <v>19635</v>
      </c>
      <c r="BO17" s="83" t="str">
        <f>HYPERLINK("https://twitter.com/mzambianco")</f>
        <v>https://twitter.com/mzambianco</v>
      </c>
      <c r="BP17" s="2"/>
    </row>
    <row r="18" spans="1:68" x14ac:dyDescent="0.25">
      <c r="A18" s="62" t="s">
        <v>237</v>
      </c>
      <c r="B18" s="63"/>
      <c r="C18" s="63"/>
      <c r="D18" s="64"/>
      <c r="E18" s="66"/>
      <c r="F18" s="103" t="str">
        <f>HYPERLINK("https://pbs.twimg.com/profile_images/1501740640371200000/QjO0v_eH_normal.png")</f>
        <v>https://pbs.twimg.com/profile_images/1501740640371200000/QjO0v_eH_normal.png</v>
      </c>
      <c r="G18" s="63"/>
      <c r="H18" s="67"/>
      <c r="I18" s="68"/>
      <c r="J18" s="68"/>
      <c r="K18" s="67" t="s">
        <v>19650</v>
      </c>
      <c r="L18" s="71"/>
      <c r="M18" s="72"/>
      <c r="N18" s="72"/>
      <c r="O18" s="73"/>
      <c r="P18" s="74"/>
      <c r="Q18" s="74"/>
      <c r="R18" s="87"/>
      <c r="S18" s="87"/>
      <c r="T18" s="87"/>
      <c r="U18" s="87"/>
      <c r="V18" s="48"/>
      <c r="W18" s="48"/>
      <c r="X18" s="47">
        <v>1.101E-3</v>
      </c>
      <c r="Y18" s="48"/>
      <c r="Z18" s="47"/>
      <c r="AA18" s="69">
        <v>18</v>
      </c>
      <c r="AB18" s="69"/>
      <c r="AC18" s="70"/>
      <c r="AD18" s="76" t="s">
        <v>16659</v>
      </c>
      <c r="AE18" s="81" t="s">
        <v>16148</v>
      </c>
      <c r="AF18" s="76">
        <v>4000</v>
      </c>
      <c r="AG18" s="76">
        <v>4999</v>
      </c>
      <c r="AH18" s="76">
        <v>14807</v>
      </c>
      <c r="AI18" s="76">
        <v>8</v>
      </c>
      <c r="AJ18" s="76">
        <v>13322</v>
      </c>
      <c r="AK18" s="76">
        <v>3239</v>
      </c>
      <c r="AL18" s="76" t="b">
        <v>0</v>
      </c>
      <c r="AM18" s="78">
        <v>43467.090682870374</v>
      </c>
      <c r="AN18" s="76"/>
      <c r="AO18" s="76" t="s">
        <v>18166</v>
      </c>
      <c r="AP18" s="83" t="str">
        <f>HYPERLINK("https://t.co/jQrnDMm9m1")</f>
        <v>https://t.co/jQrnDMm9m1</v>
      </c>
      <c r="AQ18" s="83" t="str">
        <f>HYPERLINK("http://apoia.se/brasil_popular")</f>
        <v>http://apoia.se/brasil_popular</v>
      </c>
      <c r="AR18" s="76" t="s">
        <v>18995</v>
      </c>
      <c r="AS18" s="83" t="str">
        <f>HYPERLINK("https://t.co/fUM5SbeLup")</f>
        <v>https://t.co/fUM5SbeLup</v>
      </c>
      <c r="AT18" s="83" t="str">
        <f>HYPERLINK("http://linktr.ee/brasil.popular")</f>
        <v>http://linktr.ee/brasil.popular</v>
      </c>
      <c r="AU18" s="76" t="s">
        <v>19572</v>
      </c>
      <c r="AV18" s="76">
        <v>1.7017323483273001E+18</v>
      </c>
      <c r="AW18" s="83" t="str">
        <f>HYPERLINK("https://t.co/jQrnDMm9m1")</f>
        <v>https://t.co/jQrnDMm9m1</v>
      </c>
      <c r="AX18" s="76" t="b">
        <v>0</v>
      </c>
      <c r="AY18" s="76"/>
      <c r="AZ18" s="76"/>
      <c r="BA18" s="76" t="b">
        <v>0</v>
      </c>
      <c r="BB18" s="76" t="b">
        <v>1</v>
      </c>
      <c r="BC18" s="76" t="b">
        <v>1</v>
      </c>
      <c r="BD18" s="76" t="b">
        <v>0</v>
      </c>
      <c r="BE18" s="76" t="b">
        <v>1</v>
      </c>
      <c r="BF18" s="76" t="b">
        <v>0</v>
      </c>
      <c r="BG18" s="76" t="b">
        <v>0</v>
      </c>
      <c r="BH18" s="83" t="str">
        <f>HYPERLINK("https://pbs.twimg.com/profile_banners/1080285191392903169/1694206385")</f>
        <v>https://pbs.twimg.com/profile_banners/1080285191392903169/1694206385</v>
      </c>
      <c r="BI18" s="76"/>
      <c r="BJ18" s="76" t="s">
        <v>19633</v>
      </c>
      <c r="BK18" s="76" t="b">
        <v>0</v>
      </c>
      <c r="BL18" s="76"/>
      <c r="BM18" s="76" t="s">
        <v>66</v>
      </c>
      <c r="BN18" s="76" t="s">
        <v>19635</v>
      </c>
      <c r="BO18" s="83" t="str">
        <f>HYPERLINK("https://twitter.com/_brasilpopular")</f>
        <v>https://twitter.com/_brasilpopular</v>
      </c>
      <c r="BP18" s="2"/>
    </row>
    <row r="19" spans="1:68" x14ac:dyDescent="0.25">
      <c r="A19" s="62" t="s">
        <v>238</v>
      </c>
      <c r="B19" s="63"/>
      <c r="C19" s="63"/>
      <c r="D19" s="64"/>
      <c r="E19" s="66"/>
      <c r="F19" s="103" t="str">
        <f>HYPERLINK("https://pbs.twimg.com/profile_images/1625928128894836737/yz2R8fPT_normal.jpg")</f>
        <v>https://pbs.twimg.com/profile_images/1625928128894836737/yz2R8fPT_normal.jpg</v>
      </c>
      <c r="G19" s="63"/>
      <c r="H19" s="67"/>
      <c r="I19" s="68"/>
      <c r="J19" s="68"/>
      <c r="K19" s="67" t="s">
        <v>19651</v>
      </c>
      <c r="L19" s="71"/>
      <c r="M19" s="72"/>
      <c r="N19" s="72"/>
      <c r="O19" s="73"/>
      <c r="P19" s="74"/>
      <c r="Q19" s="74"/>
      <c r="R19" s="87"/>
      <c r="S19" s="87"/>
      <c r="T19" s="87"/>
      <c r="U19" s="87"/>
      <c r="V19" s="48"/>
      <c r="W19" s="48"/>
      <c r="X19" s="47">
        <v>1.101E-3</v>
      </c>
      <c r="Y19" s="48"/>
      <c r="Z19" s="47"/>
      <c r="AA19" s="69">
        <v>19</v>
      </c>
      <c r="AB19" s="69"/>
      <c r="AC19" s="70"/>
      <c r="AD19" s="76" t="s">
        <v>16660</v>
      </c>
      <c r="AE19" s="81" t="s">
        <v>17541</v>
      </c>
      <c r="AF19" s="76">
        <v>26</v>
      </c>
      <c r="AG19" s="76">
        <v>342</v>
      </c>
      <c r="AH19" s="76">
        <v>315</v>
      </c>
      <c r="AI19" s="76">
        <v>0</v>
      </c>
      <c r="AJ19" s="76">
        <v>973</v>
      </c>
      <c r="AK19" s="76">
        <v>63</v>
      </c>
      <c r="AL19" s="76" t="b">
        <v>0</v>
      </c>
      <c r="AM19" s="78">
        <v>41606.23101851852</v>
      </c>
      <c r="AN19" s="76" t="s">
        <v>17864</v>
      </c>
      <c r="AO19" s="76" t="s">
        <v>18167</v>
      </c>
      <c r="AP19" s="83" t="str">
        <f>HYPERLINK("https://t.co/5v1Jcv4C2m")</f>
        <v>https://t.co/5v1Jcv4C2m</v>
      </c>
      <c r="AQ19" s="83" t="str">
        <f>HYPERLINK("https://instagram.com/naiole_silva?igshid=ZDdkNTZiNTM=")</f>
        <v>https://instagram.com/naiole_silva?igshid=ZDdkNTZiNTM=</v>
      </c>
      <c r="AR19" s="76" t="s">
        <v>18996</v>
      </c>
      <c r="AS19" s="76"/>
      <c r="AT19" s="76"/>
      <c r="AU19" s="76"/>
      <c r="AV19" s="76">
        <v>1.14132166495065E+18</v>
      </c>
      <c r="AW19" s="83" t="str">
        <f>HYPERLINK("https://t.co/5v1Jcv4C2m")</f>
        <v>https://t.co/5v1Jcv4C2m</v>
      </c>
      <c r="AX19" s="76" t="b">
        <v>0</v>
      </c>
      <c r="AY19" s="76"/>
      <c r="AZ19" s="76"/>
      <c r="BA19" s="76" t="b">
        <v>0</v>
      </c>
      <c r="BB19" s="76" t="b">
        <v>1</v>
      </c>
      <c r="BC19" s="76" t="b">
        <v>1</v>
      </c>
      <c r="BD19" s="76" t="b">
        <v>0</v>
      </c>
      <c r="BE19" s="76" t="b">
        <v>1</v>
      </c>
      <c r="BF19" s="76" t="b">
        <v>0</v>
      </c>
      <c r="BG19" s="76" t="b">
        <v>0</v>
      </c>
      <c r="BH19" s="83" t="str">
        <f>HYPERLINK("https://pbs.twimg.com/profile_banners/2198832585/1676486449")</f>
        <v>https://pbs.twimg.com/profile_banners/2198832585/1676486449</v>
      </c>
      <c r="BI19" s="76"/>
      <c r="BJ19" s="76" t="s">
        <v>19633</v>
      </c>
      <c r="BK19" s="76" t="b">
        <v>0</v>
      </c>
      <c r="BL19" s="76"/>
      <c r="BM19" s="76" t="s">
        <v>66</v>
      </c>
      <c r="BN19" s="76" t="s">
        <v>19635</v>
      </c>
      <c r="BO19" s="83" t="str">
        <f>HYPERLINK("https://twitter.com/3l0y4n")</f>
        <v>https://twitter.com/3l0y4n</v>
      </c>
      <c r="BP19" s="2"/>
    </row>
    <row r="20" spans="1:68" x14ac:dyDescent="0.25">
      <c r="A20" s="62" t="s">
        <v>239</v>
      </c>
      <c r="B20" s="63"/>
      <c r="C20" s="63"/>
      <c r="D20" s="64"/>
      <c r="E20" s="66"/>
      <c r="F20" s="103" t="str">
        <f>HYPERLINK("https://pbs.twimg.com/profile_images/1177212695776518144/61vDUE-Q_normal.jpg")</f>
        <v>https://pbs.twimg.com/profile_images/1177212695776518144/61vDUE-Q_normal.jpg</v>
      </c>
      <c r="G20" s="63"/>
      <c r="H20" s="67"/>
      <c r="I20" s="68"/>
      <c r="J20" s="68"/>
      <c r="K20" s="67" t="s">
        <v>19652</v>
      </c>
      <c r="L20" s="71"/>
      <c r="M20" s="72"/>
      <c r="N20" s="72"/>
      <c r="O20" s="73"/>
      <c r="P20" s="74"/>
      <c r="Q20" s="74"/>
      <c r="R20" s="87"/>
      <c r="S20" s="87"/>
      <c r="T20" s="87"/>
      <c r="U20" s="87"/>
      <c r="V20" s="48"/>
      <c r="W20" s="48"/>
      <c r="X20" s="47">
        <v>1.101E-3</v>
      </c>
      <c r="Y20" s="48"/>
      <c r="Z20" s="47"/>
      <c r="AA20" s="69">
        <v>20</v>
      </c>
      <c r="AB20" s="69"/>
      <c r="AC20" s="70"/>
      <c r="AD20" s="76" t="s">
        <v>16661</v>
      </c>
      <c r="AE20" s="81" t="s">
        <v>17542</v>
      </c>
      <c r="AF20" s="76">
        <v>5396</v>
      </c>
      <c r="AG20" s="76">
        <v>301</v>
      </c>
      <c r="AH20" s="76">
        <v>19421</v>
      </c>
      <c r="AI20" s="76">
        <v>74</v>
      </c>
      <c r="AJ20" s="76">
        <v>106</v>
      </c>
      <c r="AK20" s="76">
        <v>7593</v>
      </c>
      <c r="AL20" s="76" t="b">
        <v>0</v>
      </c>
      <c r="AM20" s="78">
        <v>40056.621666666666</v>
      </c>
      <c r="AN20" s="76" t="s">
        <v>17865</v>
      </c>
      <c r="AO20" s="76" t="s">
        <v>18168</v>
      </c>
      <c r="AP20" s="83" t="str">
        <f>HYPERLINK("https://t.co/sODD7O12qo")</f>
        <v>https://t.co/sODD7O12qo</v>
      </c>
      <c r="AQ20" s="83" t="str">
        <f>HYPERLINK("https://guarulhosonline.com.br/")</f>
        <v>https://guarulhosonline.com.br/</v>
      </c>
      <c r="AR20" s="76" t="s">
        <v>18997</v>
      </c>
      <c r="AS20" s="76"/>
      <c r="AT20" s="76"/>
      <c r="AU20" s="76"/>
      <c r="AV20" s="76"/>
      <c r="AW20" s="83" t="str">
        <f>HYPERLINK("https://t.co/sODD7O12qo")</f>
        <v>https://t.co/sODD7O12qo</v>
      </c>
      <c r="AX20" s="76" t="b">
        <v>0</v>
      </c>
      <c r="AY20" s="76"/>
      <c r="AZ20" s="76"/>
      <c r="BA20" s="76" t="b">
        <v>1</v>
      </c>
      <c r="BB20" s="76" t="b">
        <v>0</v>
      </c>
      <c r="BC20" s="76" t="b">
        <v>0</v>
      </c>
      <c r="BD20" s="76" t="b">
        <v>0</v>
      </c>
      <c r="BE20" s="76" t="b">
        <v>1</v>
      </c>
      <c r="BF20" s="76" t="b">
        <v>0</v>
      </c>
      <c r="BG20" s="76" t="b">
        <v>0</v>
      </c>
      <c r="BH20" s="83" t="str">
        <f>HYPERLINK("https://pbs.twimg.com/profile_banners/70411503/1569504354")</f>
        <v>https://pbs.twimg.com/profile_banners/70411503/1569504354</v>
      </c>
      <c r="BI20" s="76"/>
      <c r="BJ20" s="76" t="s">
        <v>19633</v>
      </c>
      <c r="BK20" s="76" t="b">
        <v>0</v>
      </c>
      <c r="BL20" s="76"/>
      <c r="BM20" s="76" t="s">
        <v>66</v>
      </c>
      <c r="BN20" s="76" t="s">
        <v>19635</v>
      </c>
      <c r="BO20" s="83" t="str">
        <f>HYPERLINK("https://twitter.com/guarulhosonline")</f>
        <v>https://twitter.com/guarulhosonline</v>
      </c>
      <c r="BP20" s="2"/>
    </row>
    <row r="21" spans="1:68" x14ac:dyDescent="0.25">
      <c r="A21" s="62" t="s">
        <v>240</v>
      </c>
      <c r="B21" s="63"/>
      <c r="C21" s="63"/>
      <c r="D21" s="64"/>
      <c r="E21" s="66"/>
      <c r="F21" s="103" t="str">
        <f>HYPERLINK("https://pbs.twimg.com/profile_images/895288503260635136/_ghSfGnE_normal.jpg")</f>
        <v>https://pbs.twimg.com/profile_images/895288503260635136/_ghSfGnE_normal.jpg</v>
      </c>
      <c r="G21" s="63"/>
      <c r="H21" s="67"/>
      <c r="I21" s="68"/>
      <c r="J21" s="68"/>
      <c r="K21" s="67" t="s">
        <v>19653</v>
      </c>
      <c r="L21" s="71"/>
      <c r="M21" s="72"/>
      <c r="N21" s="72"/>
      <c r="O21" s="73"/>
      <c r="P21" s="74"/>
      <c r="Q21" s="74"/>
      <c r="R21" s="87"/>
      <c r="S21" s="87"/>
      <c r="T21" s="87"/>
      <c r="U21" s="87"/>
      <c r="V21" s="48"/>
      <c r="W21" s="48"/>
      <c r="X21" s="47">
        <v>1.245E-3</v>
      </c>
      <c r="Y21" s="48"/>
      <c r="Z21" s="47"/>
      <c r="AA21" s="69">
        <v>21</v>
      </c>
      <c r="AB21" s="69"/>
      <c r="AC21" s="70"/>
      <c r="AD21" s="76" t="s">
        <v>16662</v>
      </c>
      <c r="AE21" s="81" t="s">
        <v>16149</v>
      </c>
      <c r="AF21" s="76">
        <v>1916</v>
      </c>
      <c r="AG21" s="76">
        <v>4583</v>
      </c>
      <c r="AH21" s="76">
        <v>8572</v>
      </c>
      <c r="AI21" s="76">
        <v>4</v>
      </c>
      <c r="AJ21" s="76">
        <v>367</v>
      </c>
      <c r="AK21" s="76">
        <v>41</v>
      </c>
      <c r="AL21" s="76" t="b">
        <v>0</v>
      </c>
      <c r="AM21" s="78">
        <v>42955.624131944445</v>
      </c>
      <c r="AN21" s="76" t="s">
        <v>10552</v>
      </c>
      <c r="AO21" s="76" t="s">
        <v>18169</v>
      </c>
      <c r="AP21" s="76"/>
      <c r="AQ21" s="76"/>
      <c r="AR21" s="76"/>
      <c r="AS21" s="76"/>
      <c r="AT21" s="76"/>
      <c r="AU21" s="76"/>
      <c r="AV21" s="76"/>
      <c r="AW21" s="76"/>
      <c r="AX21" s="76" t="b">
        <v>0</v>
      </c>
      <c r="AY21" s="76"/>
      <c r="AZ21" s="76"/>
      <c r="BA21" s="76" t="b">
        <v>0</v>
      </c>
      <c r="BB21" s="76" t="b">
        <v>1</v>
      </c>
      <c r="BC21" s="76" t="b">
        <v>0</v>
      </c>
      <c r="BD21" s="76" t="b">
        <v>0</v>
      </c>
      <c r="BE21" s="76" t="b">
        <v>0</v>
      </c>
      <c r="BF21" s="76" t="b">
        <v>0</v>
      </c>
      <c r="BG21" s="76" t="b">
        <v>0</v>
      </c>
      <c r="BH21" s="83" t="str">
        <f>HYPERLINK("https://pbs.twimg.com/profile_banners/894935920901840898/1502289090")</f>
        <v>https://pbs.twimg.com/profile_banners/894935920901840898/1502289090</v>
      </c>
      <c r="BI21" s="76"/>
      <c r="BJ21" s="76" t="s">
        <v>19633</v>
      </c>
      <c r="BK21" s="76" t="b">
        <v>0</v>
      </c>
      <c r="BL21" s="76"/>
      <c r="BM21" s="76" t="s">
        <v>66</v>
      </c>
      <c r="BN21" s="76" t="s">
        <v>19635</v>
      </c>
      <c r="BO21" s="83" t="str">
        <f>HYPERLINK("https://twitter.com/amanumanoela")</f>
        <v>https://twitter.com/amanumanoela</v>
      </c>
      <c r="BP21" s="2"/>
    </row>
    <row r="22" spans="1:68" x14ac:dyDescent="0.25">
      <c r="A22" s="62" t="s">
        <v>1051</v>
      </c>
      <c r="B22" s="63"/>
      <c r="C22" s="63"/>
      <c r="D22" s="64"/>
      <c r="E22" s="66"/>
      <c r="F22" s="103" t="str">
        <f>HYPERLINK("https://pbs.twimg.com/profile_images/2223803311/465749_150534431740077_100003505628852_186356_1286254089_o_normal.jpg")</f>
        <v>https://pbs.twimg.com/profile_images/2223803311/465749_150534431740077_100003505628852_186356_1286254089_o_normal.jpg</v>
      </c>
      <c r="G22" s="63"/>
      <c r="H22" s="67"/>
      <c r="I22" s="68"/>
      <c r="J22" s="68"/>
      <c r="K22" s="67" t="s">
        <v>19654</v>
      </c>
      <c r="L22" s="71"/>
      <c r="M22" s="72"/>
      <c r="N22" s="72"/>
      <c r="O22" s="73"/>
      <c r="P22" s="74"/>
      <c r="Q22" s="74"/>
      <c r="R22" s="87"/>
      <c r="S22" s="87"/>
      <c r="T22" s="87"/>
      <c r="U22" s="87"/>
      <c r="V22" s="48"/>
      <c r="W22" s="48"/>
      <c r="X22" s="47">
        <v>1.0300000000000001E-3</v>
      </c>
      <c r="Y22" s="48"/>
      <c r="Z22" s="47"/>
      <c r="AA22" s="69">
        <v>22</v>
      </c>
      <c r="AB22" s="69"/>
      <c r="AC22" s="70"/>
      <c r="AD22" s="76" t="s">
        <v>16663</v>
      </c>
      <c r="AE22" s="81" t="s">
        <v>17543</v>
      </c>
      <c r="AF22" s="76">
        <v>11</v>
      </c>
      <c r="AG22" s="76">
        <v>5</v>
      </c>
      <c r="AH22" s="76">
        <v>12</v>
      </c>
      <c r="AI22" s="76">
        <v>0</v>
      </c>
      <c r="AJ22" s="76">
        <v>0</v>
      </c>
      <c r="AK22" s="76">
        <v>5</v>
      </c>
      <c r="AL22" s="76" t="b">
        <v>0</v>
      </c>
      <c r="AM22" s="78">
        <v>40952.580879629626</v>
      </c>
      <c r="AN22" s="76" t="s">
        <v>17866</v>
      </c>
      <c r="AO22" s="76" t="s">
        <v>18170</v>
      </c>
      <c r="AP22" s="83" t="str">
        <f>HYPERLINK("https://t.co/nOLltqqWbT")</f>
        <v>https://t.co/nOLltqqWbT</v>
      </c>
      <c r="AQ22" s="83" t="str">
        <f>HYPERLINK("https://www.facebook.com/jornalcorreiodopovo")</f>
        <v>https://www.facebook.com/jornalcorreiodopovo</v>
      </c>
      <c r="AR22" s="76" t="s">
        <v>18998</v>
      </c>
      <c r="AS22" s="76"/>
      <c r="AT22" s="76"/>
      <c r="AU22" s="76"/>
      <c r="AV22" s="76"/>
      <c r="AW22" s="83" t="str">
        <f>HYPERLINK("https://t.co/nOLltqqWbT")</f>
        <v>https://t.co/nOLltqqWbT</v>
      </c>
      <c r="AX22" s="76" t="b">
        <v>0</v>
      </c>
      <c r="AY22" s="76"/>
      <c r="AZ22" s="76"/>
      <c r="BA22" s="76" t="b">
        <v>0</v>
      </c>
      <c r="BB22" s="76" t="b">
        <v>1</v>
      </c>
      <c r="BC22" s="76" t="b">
        <v>1</v>
      </c>
      <c r="BD22" s="76" t="b">
        <v>0</v>
      </c>
      <c r="BE22" s="76" t="b">
        <v>0</v>
      </c>
      <c r="BF22" s="76" t="b">
        <v>0</v>
      </c>
      <c r="BG22" s="76" t="b">
        <v>0</v>
      </c>
      <c r="BH22" s="76"/>
      <c r="BI22" s="76"/>
      <c r="BJ22" s="76" t="s">
        <v>19633</v>
      </c>
      <c r="BK22" s="76" t="b">
        <v>0</v>
      </c>
      <c r="BL22" s="76"/>
      <c r="BM22" s="76" t="s">
        <v>65</v>
      </c>
      <c r="BN22" s="76" t="s">
        <v>19635</v>
      </c>
      <c r="BO22" s="83" t="str">
        <f>HYPERLINK("https://twitter.com/jcorreiodopovo")</f>
        <v>https://twitter.com/jcorreiodopovo</v>
      </c>
      <c r="BP22" s="2"/>
    </row>
    <row r="23" spans="1:68" x14ac:dyDescent="0.25">
      <c r="A23" s="62" t="s">
        <v>1052</v>
      </c>
      <c r="B23" s="63"/>
      <c r="C23" s="63"/>
      <c r="D23" s="64"/>
      <c r="E23" s="66"/>
      <c r="F23" s="103" t="str">
        <f>HYPERLINK("https://pbs.twimg.com/profile_images/1231242846906339330/Ffu6LESm_normal.jpg")</f>
        <v>https://pbs.twimg.com/profile_images/1231242846906339330/Ffu6LESm_normal.jpg</v>
      </c>
      <c r="G23" s="63"/>
      <c r="H23" s="67"/>
      <c r="I23" s="68"/>
      <c r="J23" s="68"/>
      <c r="K23" s="67" t="s">
        <v>19655</v>
      </c>
      <c r="L23" s="71"/>
      <c r="M23" s="72"/>
      <c r="N23" s="72"/>
      <c r="O23" s="73"/>
      <c r="P23" s="74"/>
      <c r="Q23" s="74"/>
      <c r="R23" s="87"/>
      <c r="S23" s="87"/>
      <c r="T23" s="87"/>
      <c r="U23" s="87"/>
      <c r="V23" s="48"/>
      <c r="W23" s="48"/>
      <c r="X23" s="47">
        <v>1.0300000000000001E-3</v>
      </c>
      <c r="Y23" s="48"/>
      <c r="Z23" s="47"/>
      <c r="AA23" s="69">
        <v>23</v>
      </c>
      <c r="AB23" s="69"/>
      <c r="AC23" s="70"/>
      <c r="AD23" s="76" t="s">
        <v>16664</v>
      </c>
      <c r="AE23" s="81" t="s">
        <v>17544</v>
      </c>
      <c r="AF23" s="76">
        <v>1057</v>
      </c>
      <c r="AG23" s="76">
        <v>309</v>
      </c>
      <c r="AH23" s="76">
        <v>719</v>
      </c>
      <c r="AI23" s="76">
        <v>7</v>
      </c>
      <c r="AJ23" s="76">
        <v>460</v>
      </c>
      <c r="AK23" s="76">
        <v>185</v>
      </c>
      <c r="AL23" s="76" t="b">
        <v>0</v>
      </c>
      <c r="AM23" s="78">
        <v>43177.858472222222</v>
      </c>
      <c r="AN23" s="76" t="s">
        <v>10552</v>
      </c>
      <c r="AO23" s="76" t="s">
        <v>18171</v>
      </c>
      <c r="AP23" s="83" t="str">
        <f>HYPERLINK("https://t.co/opXW6aPwlt")</f>
        <v>https://t.co/opXW6aPwlt</v>
      </c>
      <c r="AQ23" s="83" t="str">
        <f>HYPERLINK("https://obecon.org")</f>
        <v>https://obecon.org</v>
      </c>
      <c r="AR23" s="76" t="s">
        <v>18999</v>
      </c>
      <c r="AS23" s="76"/>
      <c r="AT23" s="76"/>
      <c r="AU23" s="76"/>
      <c r="AV23" s="76">
        <v>1.53681774771949E+18</v>
      </c>
      <c r="AW23" s="83" t="str">
        <f>HYPERLINK("https://t.co/opXW6aPwlt")</f>
        <v>https://t.co/opXW6aPwlt</v>
      </c>
      <c r="AX23" s="76" t="b">
        <v>0</v>
      </c>
      <c r="AY23" s="76"/>
      <c r="AZ23" s="76"/>
      <c r="BA23" s="76" t="b">
        <v>1</v>
      </c>
      <c r="BB23" s="76" t="b">
        <v>1</v>
      </c>
      <c r="BC23" s="76" t="b">
        <v>0</v>
      </c>
      <c r="BD23" s="76" t="b">
        <v>0</v>
      </c>
      <c r="BE23" s="76" t="b">
        <v>0</v>
      </c>
      <c r="BF23" s="76" t="b">
        <v>0</v>
      </c>
      <c r="BG23" s="76" t="b">
        <v>0</v>
      </c>
      <c r="BH23" s="83" t="str">
        <f>HYPERLINK("https://pbs.twimg.com/profile_banners/975470951394631681/1623189092")</f>
        <v>https://pbs.twimg.com/profile_banners/975470951394631681/1623189092</v>
      </c>
      <c r="BI23" s="76"/>
      <c r="BJ23" s="76" t="s">
        <v>19633</v>
      </c>
      <c r="BK23" s="76" t="b">
        <v>0</v>
      </c>
      <c r="BL23" s="76"/>
      <c r="BM23" s="76" t="s">
        <v>65</v>
      </c>
      <c r="BN23" s="76" t="s">
        <v>19635</v>
      </c>
      <c r="BO23" s="83" t="str">
        <f>HYPERLINK("https://twitter.com/obeconomia")</f>
        <v>https://twitter.com/obeconomia</v>
      </c>
      <c r="BP23" s="2"/>
    </row>
    <row r="24" spans="1:68" x14ac:dyDescent="0.25">
      <c r="A24" s="62" t="s">
        <v>241</v>
      </c>
      <c r="B24" s="63"/>
      <c r="C24" s="63"/>
      <c r="D24" s="64"/>
      <c r="E24" s="66"/>
      <c r="F24" s="103" t="str">
        <f>HYPERLINK("https://pbs.twimg.com/profile_images/1697036144842539008/AYykvCJH_normal.jpg")</f>
        <v>https://pbs.twimg.com/profile_images/1697036144842539008/AYykvCJH_normal.jpg</v>
      </c>
      <c r="G24" s="63"/>
      <c r="H24" s="67"/>
      <c r="I24" s="68"/>
      <c r="J24" s="68"/>
      <c r="K24" s="67" t="s">
        <v>19656</v>
      </c>
      <c r="L24" s="71"/>
      <c r="M24" s="72"/>
      <c r="N24" s="72"/>
      <c r="O24" s="73"/>
      <c r="P24" s="74"/>
      <c r="Q24" s="74"/>
      <c r="R24" s="87"/>
      <c r="S24" s="87"/>
      <c r="T24" s="87"/>
      <c r="U24" s="87"/>
      <c r="V24" s="48"/>
      <c r="W24" s="48"/>
      <c r="X24" s="47">
        <v>1.101E-3</v>
      </c>
      <c r="Y24" s="48"/>
      <c r="Z24" s="47"/>
      <c r="AA24" s="69">
        <v>24</v>
      </c>
      <c r="AB24" s="69"/>
      <c r="AC24" s="70"/>
      <c r="AD24" s="76" t="s">
        <v>16665</v>
      </c>
      <c r="AE24" s="81" t="s">
        <v>16150</v>
      </c>
      <c r="AF24" s="76">
        <v>34</v>
      </c>
      <c r="AG24" s="76">
        <v>1</v>
      </c>
      <c r="AH24" s="76">
        <v>26</v>
      </c>
      <c r="AI24" s="76">
        <v>0</v>
      </c>
      <c r="AJ24" s="76">
        <v>0</v>
      </c>
      <c r="AK24" s="76">
        <v>4</v>
      </c>
      <c r="AL24" s="76" t="b">
        <v>0</v>
      </c>
      <c r="AM24" s="78">
        <v>45168.888888888891</v>
      </c>
      <c r="AN24" s="76"/>
      <c r="AO24" s="76" t="s">
        <v>18172</v>
      </c>
      <c r="AP24" s="83" t="str">
        <f>HYPERLINK("https://t.co/JqwrND4bQM")</f>
        <v>https://t.co/JqwrND4bQM</v>
      </c>
      <c r="AQ24" s="83" t="str">
        <f>HYPERLINK("https://linklist.bio/mangabeiraunger")</f>
        <v>https://linklist.bio/mangabeiraunger</v>
      </c>
      <c r="AR24" s="76" t="s">
        <v>19000</v>
      </c>
      <c r="AS24" s="76"/>
      <c r="AT24" s="76"/>
      <c r="AU24" s="76"/>
      <c r="AV24" s="76"/>
      <c r="AW24" s="83" t="str">
        <f>HYPERLINK("https://t.co/JqwrND4bQM")</f>
        <v>https://t.co/JqwrND4bQM</v>
      </c>
      <c r="AX24" s="76" t="b">
        <v>0</v>
      </c>
      <c r="AY24" s="76"/>
      <c r="AZ24" s="76"/>
      <c r="BA24" s="76" t="b">
        <v>0</v>
      </c>
      <c r="BB24" s="76" t="b">
        <v>1</v>
      </c>
      <c r="BC24" s="76" t="b">
        <v>1</v>
      </c>
      <c r="BD24" s="76" t="b">
        <v>0</v>
      </c>
      <c r="BE24" s="76" t="b">
        <v>0</v>
      </c>
      <c r="BF24" s="76" t="b">
        <v>0</v>
      </c>
      <c r="BG24" s="76" t="b">
        <v>0</v>
      </c>
      <c r="BH24" s="83" t="str">
        <f>HYPERLINK("https://pbs.twimg.com/profile_banners/1696995956279963648/1693440057")</f>
        <v>https://pbs.twimg.com/profile_banners/1696995956279963648/1693440057</v>
      </c>
      <c r="BI24" s="76"/>
      <c r="BJ24" s="76" t="s">
        <v>19633</v>
      </c>
      <c r="BK24" s="76" t="b">
        <v>0</v>
      </c>
      <c r="BL24" s="76"/>
      <c r="BM24" s="76" t="s">
        <v>66</v>
      </c>
      <c r="BN24" s="76" t="s">
        <v>19635</v>
      </c>
      <c r="BO24" s="83" t="str">
        <f>HYPERLINK("https://twitter.com/roberto_unger_")</f>
        <v>https://twitter.com/roberto_unger_</v>
      </c>
      <c r="BP24" s="2"/>
    </row>
    <row r="25" spans="1:68" x14ac:dyDescent="0.25">
      <c r="A25" s="62" t="s">
        <v>242</v>
      </c>
      <c r="B25" s="63"/>
      <c r="C25" s="63"/>
      <c r="D25" s="64"/>
      <c r="E25" s="66"/>
      <c r="F25" s="103" t="str">
        <f>HYPERLINK("https://pbs.twimg.com/profile_images/1557895013152997376/0uSgq0fx_normal.jpg")</f>
        <v>https://pbs.twimg.com/profile_images/1557895013152997376/0uSgq0fx_normal.jpg</v>
      </c>
      <c r="G25" s="63"/>
      <c r="H25" s="67"/>
      <c r="I25" s="68"/>
      <c r="J25" s="68"/>
      <c r="K25" s="67" t="s">
        <v>19657</v>
      </c>
      <c r="L25" s="71"/>
      <c r="M25" s="72"/>
      <c r="N25" s="72"/>
      <c r="O25" s="73"/>
      <c r="P25" s="74"/>
      <c r="Q25" s="74"/>
      <c r="R25" s="87"/>
      <c r="S25" s="87"/>
      <c r="T25" s="87"/>
      <c r="U25" s="87"/>
      <c r="V25" s="48"/>
      <c r="W25" s="48"/>
      <c r="X25" s="47">
        <v>1.101E-3</v>
      </c>
      <c r="Y25" s="48"/>
      <c r="Z25" s="47"/>
      <c r="AA25" s="69">
        <v>25</v>
      </c>
      <c r="AB25" s="69"/>
      <c r="AC25" s="70"/>
      <c r="AD25" s="76" t="s">
        <v>16666</v>
      </c>
      <c r="AE25" s="81" t="s">
        <v>16151</v>
      </c>
      <c r="AF25" s="76">
        <v>57</v>
      </c>
      <c r="AG25" s="76">
        <v>661</v>
      </c>
      <c r="AH25" s="76">
        <v>140</v>
      </c>
      <c r="AI25" s="76">
        <v>1</v>
      </c>
      <c r="AJ25" s="76">
        <v>1378</v>
      </c>
      <c r="AK25" s="76">
        <v>55</v>
      </c>
      <c r="AL25" s="76" t="b">
        <v>0</v>
      </c>
      <c r="AM25" s="78">
        <v>44785.019479166665</v>
      </c>
      <c r="AN25" s="76"/>
      <c r="AO25" s="76" t="s">
        <v>18173</v>
      </c>
      <c r="AP25" s="76"/>
      <c r="AQ25" s="76"/>
      <c r="AR25" s="76"/>
      <c r="AS25" s="76"/>
      <c r="AT25" s="76"/>
      <c r="AU25" s="76"/>
      <c r="AV25" s="76"/>
      <c r="AW25" s="76"/>
      <c r="AX25" s="76" t="b">
        <v>0</v>
      </c>
      <c r="AY25" s="76"/>
      <c r="AZ25" s="76"/>
      <c r="BA25" s="76" t="b">
        <v>0</v>
      </c>
      <c r="BB25" s="76" t="b">
        <v>1</v>
      </c>
      <c r="BC25" s="76" t="b">
        <v>1</v>
      </c>
      <c r="BD25" s="76" t="b">
        <v>0</v>
      </c>
      <c r="BE25" s="76" t="b">
        <v>0</v>
      </c>
      <c r="BF25" s="76" t="b">
        <v>0</v>
      </c>
      <c r="BG25" s="76" t="b">
        <v>0</v>
      </c>
      <c r="BH25" s="83" t="str">
        <f>HYPERLINK("https://pbs.twimg.com/profile_banners/1557886523873394688/1677369020")</f>
        <v>https://pbs.twimg.com/profile_banners/1557886523873394688/1677369020</v>
      </c>
      <c r="BI25" s="76"/>
      <c r="BJ25" s="76" t="s">
        <v>19633</v>
      </c>
      <c r="BK25" s="76" t="b">
        <v>0</v>
      </c>
      <c r="BL25" s="76"/>
      <c r="BM25" s="76" t="s">
        <v>66</v>
      </c>
      <c r="BN25" s="76" t="s">
        <v>19635</v>
      </c>
      <c r="BO25" s="83" t="str">
        <f>HYPERLINK("https://twitter.com/stockcollector_")</f>
        <v>https://twitter.com/stockcollector_</v>
      </c>
      <c r="BP25" s="2"/>
    </row>
    <row r="26" spans="1:68" x14ac:dyDescent="0.25">
      <c r="A26" s="62" t="s">
        <v>243</v>
      </c>
      <c r="B26" s="63"/>
      <c r="C26" s="63"/>
      <c r="D26" s="64"/>
      <c r="E26" s="66"/>
      <c r="F26" s="103" t="str">
        <f>HYPERLINK("https://pbs.twimg.com/profile_images/1584509275631656962/RUnUXbUY_normal.jpg")</f>
        <v>https://pbs.twimg.com/profile_images/1584509275631656962/RUnUXbUY_normal.jpg</v>
      </c>
      <c r="G26" s="63"/>
      <c r="H26" s="67"/>
      <c r="I26" s="68"/>
      <c r="J26" s="68"/>
      <c r="K26" s="67" t="s">
        <v>19658</v>
      </c>
      <c r="L26" s="71"/>
      <c r="M26" s="72"/>
      <c r="N26" s="72"/>
      <c r="O26" s="73"/>
      <c r="P26" s="74"/>
      <c r="Q26" s="74"/>
      <c r="R26" s="87"/>
      <c r="S26" s="87"/>
      <c r="T26" s="87"/>
      <c r="U26" s="87"/>
      <c r="V26" s="48"/>
      <c r="W26" s="48"/>
      <c r="X26" s="47">
        <v>1.101E-3</v>
      </c>
      <c r="Y26" s="48"/>
      <c r="Z26" s="47"/>
      <c r="AA26" s="69">
        <v>26</v>
      </c>
      <c r="AB26" s="69"/>
      <c r="AC26" s="70"/>
      <c r="AD26" s="76" t="s">
        <v>16667</v>
      </c>
      <c r="AE26" s="81" t="s">
        <v>17545</v>
      </c>
      <c r="AF26" s="76">
        <v>240</v>
      </c>
      <c r="AG26" s="76">
        <v>67</v>
      </c>
      <c r="AH26" s="76">
        <v>693</v>
      </c>
      <c r="AI26" s="76">
        <v>0</v>
      </c>
      <c r="AJ26" s="76">
        <v>192</v>
      </c>
      <c r="AK26" s="76">
        <v>130</v>
      </c>
      <c r="AL26" s="76" t="b">
        <v>0</v>
      </c>
      <c r="AM26" s="78">
        <v>39942.442025462966</v>
      </c>
      <c r="AN26" s="76" t="s">
        <v>17867</v>
      </c>
      <c r="AO26" s="83" t="str">
        <f>HYPERLINK("https://t.co/x12jpA3cfp")</f>
        <v>https://t.co/x12jpA3cfp</v>
      </c>
      <c r="AP26" s="76"/>
      <c r="AQ26" s="76"/>
      <c r="AR26" s="76"/>
      <c r="AS26" s="83" t="str">
        <f>HYPERLINK("https://t.co/x12jpA3cfp")</f>
        <v>https://t.co/x12jpA3cfp</v>
      </c>
      <c r="AT26" s="83" t="str">
        <f>HYPERLINK("http://hiltonvieira.medium.com")</f>
        <v>http://hiltonvieira.medium.com</v>
      </c>
      <c r="AU26" s="76" t="s">
        <v>19573</v>
      </c>
      <c r="AV26" s="76"/>
      <c r="AW26" s="76"/>
      <c r="AX26" s="76" t="b">
        <v>0</v>
      </c>
      <c r="AY26" s="76"/>
      <c r="AZ26" s="76"/>
      <c r="BA26" s="76" t="b">
        <v>0</v>
      </c>
      <c r="BB26" s="76" t="b">
        <v>0</v>
      </c>
      <c r="BC26" s="76" t="b">
        <v>0</v>
      </c>
      <c r="BD26" s="76" t="b">
        <v>0</v>
      </c>
      <c r="BE26" s="76" t="b">
        <v>0</v>
      </c>
      <c r="BF26" s="76" t="b">
        <v>0</v>
      </c>
      <c r="BG26" s="76" t="b">
        <v>0</v>
      </c>
      <c r="BH26" s="83" t="str">
        <f>HYPERLINK("https://pbs.twimg.com/profile_banners/38833158/1666611428")</f>
        <v>https://pbs.twimg.com/profile_banners/38833158/1666611428</v>
      </c>
      <c r="BI26" s="76"/>
      <c r="BJ26" s="76" t="s">
        <v>19633</v>
      </c>
      <c r="BK26" s="76" t="b">
        <v>0</v>
      </c>
      <c r="BL26" s="76"/>
      <c r="BM26" s="76" t="s">
        <v>66</v>
      </c>
      <c r="BN26" s="76" t="s">
        <v>19635</v>
      </c>
      <c r="BO26" s="83" t="str">
        <f>HYPERLINK("https://twitter.com/hilvieira")</f>
        <v>https://twitter.com/hilvieira</v>
      </c>
      <c r="BP26" s="2"/>
    </row>
    <row r="27" spans="1:68" x14ac:dyDescent="0.25">
      <c r="A27" s="62" t="s">
        <v>244</v>
      </c>
      <c r="B27" s="63"/>
      <c r="C27" s="63"/>
      <c r="D27" s="64"/>
      <c r="E27" s="66"/>
      <c r="F27" s="103" t="str">
        <f>HYPERLINK("https://pbs.twimg.com/profile_images/1700338049694015488/1-GtmB-a_normal.jpg")</f>
        <v>https://pbs.twimg.com/profile_images/1700338049694015488/1-GtmB-a_normal.jpg</v>
      </c>
      <c r="G27" s="63"/>
      <c r="H27" s="67"/>
      <c r="I27" s="68"/>
      <c r="J27" s="68"/>
      <c r="K27" s="67" t="s">
        <v>19659</v>
      </c>
      <c r="L27" s="71"/>
      <c r="M27" s="72"/>
      <c r="N27" s="72"/>
      <c r="O27" s="73"/>
      <c r="P27" s="74"/>
      <c r="Q27" s="74"/>
      <c r="R27" s="87"/>
      <c r="S27" s="87"/>
      <c r="T27" s="87"/>
      <c r="U27" s="87"/>
      <c r="V27" s="48"/>
      <c r="W27" s="48"/>
      <c r="X27" s="47">
        <v>9.7999999999999997E-4</v>
      </c>
      <c r="Y27" s="48"/>
      <c r="Z27" s="47"/>
      <c r="AA27" s="69">
        <v>27</v>
      </c>
      <c r="AB27" s="69"/>
      <c r="AC27" s="70"/>
      <c r="AD27" s="76" t="s">
        <v>16668</v>
      </c>
      <c r="AE27" s="81" t="s">
        <v>17546</v>
      </c>
      <c r="AF27" s="76">
        <v>944</v>
      </c>
      <c r="AG27" s="76">
        <v>676</v>
      </c>
      <c r="AH27" s="76">
        <v>12208</v>
      </c>
      <c r="AI27" s="76">
        <v>15</v>
      </c>
      <c r="AJ27" s="76">
        <v>5631</v>
      </c>
      <c r="AK27" s="76">
        <v>401</v>
      </c>
      <c r="AL27" s="76" t="b">
        <v>0</v>
      </c>
      <c r="AM27" s="78">
        <v>40513.893680555557</v>
      </c>
      <c r="AN27" s="76" t="s">
        <v>17868</v>
      </c>
      <c r="AO27" s="76" t="s">
        <v>18174</v>
      </c>
      <c r="AP27" s="83" t="str">
        <f>HYPERLINK("https://t.co/Wv9498l0UI")</f>
        <v>https://t.co/Wv9498l0UI</v>
      </c>
      <c r="AQ27" s="83" t="str">
        <f>HYPERLINK("http://odobrao.blogspot.com/?m=0")</f>
        <v>http://odobrao.blogspot.com/?m=0</v>
      </c>
      <c r="AR27" s="76" t="s">
        <v>19001</v>
      </c>
      <c r="AS27" s="76"/>
      <c r="AT27" s="76"/>
      <c r="AU27" s="76"/>
      <c r="AV27" s="76">
        <v>1.06356751144947E+18</v>
      </c>
      <c r="AW27" s="83" t="str">
        <f>HYPERLINK("https://t.co/Wv9498l0UI")</f>
        <v>https://t.co/Wv9498l0UI</v>
      </c>
      <c r="AX27" s="76" t="b">
        <v>0</v>
      </c>
      <c r="AY27" s="76"/>
      <c r="AZ27" s="76"/>
      <c r="BA27" s="76" t="b">
        <v>0</v>
      </c>
      <c r="BB27" s="76" t="b">
        <v>1</v>
      </c>
      <c r="BC27" s="76" t="b">
        <v>1</v>
      </c>
      <c r="BD27" s="76" t="b">
        <v>0</v>
      </c>
      <c r="BE27" s="76" t="b">
        <v>0</v>
      </c>
      <c r="BF27" s="76" t="b">
        <v>0</v>
      </c>
      <c r="BG27" s="76" t="b">
        <v>0</v>
      </c>
      <c r="BH27" s="83" t="str">
        <f>HYPERLINK("https://pbs.twimg.com/profile_banners/221876473/1360944936")</f>
        <v>https://pbs.twimg.com/profile_banners/221876473/1360944936</v>
      </c>
      <c r="BI27" s="76"/>
      <c r="BJ27" s="76" t="s">
        <v>19633</v>
      </c>
      <c r="BK27" s="76" t="b">
        <v>0</v>
      </c>
      <c r="BL27" s="76"/>
      <c r="BM27" s="76" t="s">
        <v>66</v>
      </c>
      <c r="BN27" s="76" t="s">
        <v>19635</v>
      </c>
      <c r="BO27" s="83" t="str">
        <f>HYPERLINK("https://twitter.com/iecamarabahia")</f>
        <v>https://twitter.com/iecamarabahia</v>
      </c>
      <c r="BP27" s="2"/>
    </row>
    <row r="28" spans="1:68" x14ac:dyDescent="0.25">
      <c r="A28" s="62" t="s">
        <v>610</v>
      </c>
      <c r="B28" s="63"/>
      <c r="C28" s="63"/>
      <c r="D28" s="64"/>
      <c r="E28" s="66"/>
      <c r="F28" s="103" t="str">
        <f>HYPERLINK("https://pbs.twimg.com/profile_images/1313489698279567360/FTKDY8qH_normal.jpg")</f>
        <v>https://pbs.twimg.com/profile_images/1313489698279567360/FTKDY8qH_normal.jpg</v>
      </c>
      <c r="G28" s="63"/>
      <c r="H28" s="67"/>
      <c r="I28" s="68"/>
      <c r="J28" s="68"/>
      <c r="K28" s="67" t="s">
        <v>19660</v>
      </c>
      <c r="L28" s="71"/>
      <c r="M28" s="72"/>
      <c r="N28" s="72"/>
      <c r="O28" s="73"/>
      <c r="P28" s="74"/>
      <c r="Q28" s="74"/>
      <c r="R28" s="87"/>
      <c r="S28" s="87"/>
      <c r="T28" s="87"/>
      <c r="U28" s="87"/>
      <c r="V28" s="48"/>
      <c r="W28" s="48"/>
      <c r="X28" s="47">
        <v>1.454E-3</v>
      </c>
      <c r="Y28" s="48"/>
      <c r="Z28" s="47"/>
      <c r="AA28" s="69">
        <v>28</v>
      </c>
      <c r="AB28" s="69"/>
      <c r="AC28" s="70"/>
      <c r="AD28" s="76" t="s">
        <v>16669</v>
      </c>
      <c r="AE28" s="81" t="s">
        <v>17547</v>
      </c>
      <c r="AF28" s="76">
        <v>42917</v>
      </c>
      <c r="AG28" s="76">
        <v>423</v>
      </c>
      <c r="AH28" s="76">
        <v>41804</v>
      </c>
      <c r="AI28" s="76">
        <v>278</v>
      </c>
      <c r="AJ28" s="76">
        <v>5125</v>
      </c>
      <c r="AK28" s="76">
        <v>26681</v>
      </c>
      <c r="AL28" s="76" t="b">
        <v>0</v>
      </c>
      <c r="AM28" s="78">
        <v>40382.583032407405</v>
      </c>
      <c r="AN28" s="76" t="s">
        <v>10552</v>
      </c>
      <c r="AO28" s="76" t="s">
        <v>18175</v>
      </c>
      <c r="AP28" s="83" t="str">
        <f>HYPERLINK("https://t.co/EzAa4xvaWP")</f>
        <v>https://t.co/EzAa4xvaWP</v>
      </c>
      <c r="AQ28" s="83" t="str">
        <f>HYPERLINK("http://www.tvt.org.br")</f>
        <v>http://www.tvt.org.br</v>
      </c>
      <c r="AR28" s="76" t="s">
        <v>19002</v>
      </c>
      <c r="AS28" s="83" t="str">
        <f>HYPERLINK("https://t.co/6mjfGkWOcG")</f>
        <v>https://t.co/6mjfGkWOcG</v>
      </c>
      <c r="AT28" s="83" t="str">
        <f>HYPERLINK("http://catarse.me/tvt")</f>
        <v>http://catarse.me/tvt</v>
      </c>
      <c r="AU28" s="76" t="s">
        <v>19574</v>
      </c>
      <c r="AV28" s="76"/>
      <c r="AW28" s="83" t="str">
        <f>HYPERLINK("https://t.co/EzAa4xvaWP")</f>
        <v>https://t.co/EzAa4xvaWP</v>
      </c>
      <c r="AX28" s="76" t="b">
        <v>0</v>
      </c>
      <c r="AY28" s="76"/>
      <c r="AZ28" s="76"/>
      <c r="BA28" s="76" t="b">
        <v>0</v>
      </c>
      <c r="BB28" s="76" t="b">
        <v>1</v>
      </c>
      <c r="BC28" s="76" t="b">
        <v>0</v>
      </c>
      <c r="BD28" s="76" t="b">
        <v>0</v>
      </c>
      <c r="BE28" s="76" t="b">
        <v>0</v>
      </c>
      <c r="BF28" s="76" t="b">
        <v>0</v>
      </c>
      <c r="BG28" s="76" t="b">
        <v>0</v>
      </c>
      <c r="BH28" s="83" t="str">
        <f>HYPERLINK("https://pbs.twimg.com/profile_banners/169918595/1671133237")</f>
        <v>https://pbs.twimg.com/profile_banners/169918595/1671133237</v>
      </c>
      <c r="BI28" s="76"/>
      <c r="BJ28" s="76" t="s">
        <v>19633</v>
      </c>
      <c r="BK28" s="76" t="b">
        <v>0</v>
      </c>
      <c r="BL28" s="76"/>
      <c r="BM28" s="76" t="s">
        <v>66</v>
      </c>
      <c r="BN28" s="76" t="s">
        <v>19635</v>
      </c>
      <c r="BO28" s="83" t="str">
        <f>HYPERLINK("https://twitter.com/redetvt")</f>
        <v>https://twitter.com/redetvt</v>
      </c>
      <c r="BP28" s="2"/>
    </row>
    <row r="29" spans="1:68" x14ac:dyDescent="0.25">
      <c r="A29" s="62" t="s">
        <v>245</v>
      </c>
      <c r="B29" s="63"/>
      <c r="C29" s="63"/>
      <c r="D29" s="64"/>
      <c r="E29" s="66"/>
      <c r="F29" s="103" t="str">
        <f>HYPERLINK("https://pbs.twimg.com/profile_images/1611812350490775553/bX1O8LhQ_normal.jpg")</f>
        <v>https://pbs.twimg.com/profile_images/1611812350490775553/bX1O8LhQ_normal.jpg</v>
      </c>
      <c r="G29" s="63"/>
      <c r="H29" s="67"/>
      <c r="I29" s="68"/>
      <c r="J29" s="68"/>
      <c r="K29" s="67" t="s">
        <v>19661</v>
      </c>
      <c r="L29" s="71"/>
      <c r="M29" s="72"/>
      <c r="N29" s="72"/>
      <c r="O29" s="73"/>
      <c r="P29" s="74"/>
      <c r="Q29" s="74"/>
      <c r="R29" s="87"/>
      <c r="S29" s="87"/>
      <c r="T29" s="87"/>
      <c r="U29" s="87"/>
      <c r="V29" s="48"/>
      <c r="W29" s="48"/>
      <c r="X29" s="47">
        <v>1.0200000000000001E-3</v>
      </c>
      <c r="Y29" s="48"/>
      <c r="Z29" s="47"/>
      <c r="AA29" s="69">
        <v>29</v>
      </c>
      <c r="AB29" s="69"/>
      <c r="AC29" s="70"/>
      <c r="AD29" s="76" t="s">
        <v>16670</v>
      </c>
      <c r="AE29" s="81" t="s">
        <v>16152</v>
      </c>
      <c r="AF29" s="76">
        <v>44</v>
      </c>
      <c r="AG29" s="76">
        <v>499</v>
      </c>
      <c r="AH29" s="76">
        <v>1627</v>
      </c>
      <c r="AI29" s="76">
        <v>0</v>
      </c>
      <c r="AJ29" s="76">
        <v>73</v>
      </c>
      <c r="AK29" s="76">
        <v>78</v>
      </c>
      <c r="AL29" s="76" t="b">
        <v>0</v>
      </c>
      <c r="AM29" s="78">
        <v>44933.813391203701</v>
      </c>
      <c r="AN29" s="76" t="s">
        <v>17869</v>
      </c>
      <c r="AO29" s="76" t="s">
        <v>18176</v>
      </c>
      <c r="AP29" s="83" t="str">
        <f>HYPERLINK("https://t.co/ix0DRii0QE")</f>
        <v>https://t.co/ix0DRii0QE</v>
      </c>
      <c r="AQ29" s="83" t="str">
        <f>HYPERLINK("https://wa.me/qr/FD5IQQBVUVK4I1")</f>
        <v>https://wa.me/qr/FD5IQQBVUVK4I1</v>
      </c>
      <c r="AR29" s="76" t="s">
        <v>19003</v>
      </c>
      <c r="AS29" s="76"/>
      <c r="AT29" s="76"/>
      <c r="AU29" s="76"/>
      <c r="AV29" s="76">
        <v>1.6144557184002099E+18</v>
      </c>
      <c r="AW29" s="83" t="str">
        <f>HYPERLINK("https://t.co/ix0DRii0QE")</f>
        <v>https://t.co/ix0DRii0QE</v>
      </c>
      <c r="AX29" s="76" t="b">
        <v>0</v>
      </c>
      <c r="AY29" s="76"/>
      <c r="AZ29" s="76"/>
      <c r="BA29" s="76" t="b">
        <v>0</v>
      </c>
      <c r="BB29" s="76" t="b">
        <v>1</v>
      </c>
      <c r="BC29" s="76" t="b">
        <v>1</v>
      </c>
      <c r="BD29" s="76" t="b">
        <v>0</v>
      </c>
      <c r="BE29" s="76" t="b">
        <v>1</v>
      </c>
      <c r="BF29" s="76" t="b">
        <v>0</v>
      </c>
      <c r="BG29" s="76" t="b">
        <v>0</v>
      </c>
      <c r="BH29" s="83" t="str">
        <f>HYPERLINK("https://pbs.twimg.com/profile_banners/1611807579532922887/1673120984")</f>
        <v>https://pbs.twimg.com/profile_banners/1611807579532922887/1673120984</v>
      </c>
      <c r="BI29" s="76"/>
      <c r="BJ29" s="76" t="s">
        <v>19633</v>
      </c>
      <c r="BK29" s="76" t="b">
        <v>0</v>
      </c>
      <c r="BL29" s="76"/>
      <c r="BM29" s="76" t="s">
        <v>66</v>
      </c>
      <c r="BN29" s="76" t="s">
        <v>19635</v>
      </c>
      <c r="BO29" s="83" t="str">
        <f>HYPERLINK("https://twitter.com/marianasmkt")</f>
        <v>https://twitter.com/marianasmkt</v>
      </c>
      <c r="BP29" s="2"/>
    </row>
    <row r="30" spans="1:68" x14ac:dyDescent="0.25">
      <c r="A30" s="62" t="s">
        <v>1011</v>
      </c>
      <c r="B30" s="63"/>
      <c r="C30" s="63"/>
      <c r="D30" s="64"/>
      <c r="E30" s="66"/>
      <c r="F30" s="103" t="str">
        <f>HYPERLINK("https://pbs.twimg.com/profile_images/1617997699940339721/qAAS3acV_normal.jpg")</f>
        <v>https://pbs.twimg.com/profile_images/1617997699940339721/qAAS3acV_normal.jpg</v>
      </c>
      <c r="G30" s="63"/>
      <c r="H30" s="67"/>
      <c r="I30" s="68"/>
      <c r="J30" s="68"/>
      <c r="K30" s="67" t="s">
        <v>19662</v>
      </c>
      <c r="L30" s="71"/>
      <c r="M30" s="72"/>
      <c r="N30" s="72"/>
      <c r="O30" s="73"/>
      <c r="P30" s="74"/>
      <c r="Q30" s="74"/>
      <c r="R30" s="87"/>
      <c r="S30" s="87"/>
      <c r="T30" s="87"/>
      <c r="U30" s="87"/>
      <c r="V30" s="48"/>
      <c r="W30" s="48"/>
      <c r="X30" s="47">
        <v>1.122E-3</v>
      </c>
      <c r="Y30" s="48"/>
      <c r="Z30" s="47"/>
      <c r="AA30" s="69">
        <v>30</v>
      </c>
      <c r="AB30" s="69"/>
      <c r="AC30" s="70"/>
      <c r="AD30" s="76" t="s">
        <v>16671</v>
      </c>
      <c r="AE30" s="81" t="s">
        <v>17548</v>
      </c>
      <c r="AF30" s="76">
        <v>270</v>
      </c>
      <c r="AG30" s="76">
        <v>72</v>
      </c>
      <c r="AH30" s="76">
        <v>4558</v>
      </c>
      <c r="AI30" s="76">
        <v>2</v>
      </c>
      <c r="AJ30" s="76">
        <v>5264</v>
      </c>
      <c r="AK30" s="76">
        <v>127</v>
      </c>
      <c r="AL30" s="76" t="b">
        <v>0</v>
      </c>
      <c r="AM30" s="78">
        <v>39996.654826388891</v>
      </c>
      <c r="AN30" s="76" t="s">
        <v>17870</v>
      </c>
      <c r="AO30" s="76" t="s">
        <v>18177</v>
      </c>
      <c r="AP30" s="83" t="str">
        <f>HYPERLINK("https://t.co/aZrNd8FDt1")</f>
        <v>https://t.co/aZrNd8FDt1</v>
      </c>
      <c r="AQ30" s="83" t="str">
        <f>HYPERLINK("http://www.deixemecontar.com.br")</f>
        <v>http://www.deixemecontar.com.br</v>
      </c>
      <c r="AR30" s="76" t="s">
        <v>19004</v>
      </c>
      <c r="AS30" s="76"/>
      <c r="AT30" s="76"/>
      <c r="AU30" s="76"/>
      <c r="AV30" s="76"/>
      <c r="AW30" s="83" t="str">
        <f>HYPERLINK("https://t.co/aZrNd8FDt1")</f>
        <v>https://t.co/aZrNd8FDt1</v>
      </c>
      <c r="AX30" s="76" t="b">
        <v>0</v>
      </c>
      <c r="AY30" s="76"/>
      <c r="AZ30" s="76"/>
      <c r="BA30" s="76" t="b">
        <v>0</v>
      </c>
      <c r="BB30" s="76" t="b">
        <v>1</v>
      </c>
      <c r="BC30" s="76" t="b">
        <v>0</v>
      </c>
      <c r="BD30" s="76" t="b">
        <v>0</v>
      </c>
      <c r="BE30" s="76" t="b">
        <v>1</v>
      </c>
      <c r="BF30" s="76" t="b">
        <v>0</v>
      </c>
      <c r="BG30" s="76" t="b">
        <v>0</v>
      </c>
      <c r="BH30" s="83" t="str">
        <f>HYPERLINK("https://pbs.twimg.com/profile_banners/53097336/1680188916")</f>
        <v>https://pbs.twimg.com/profile_banners/53097336/1680188916</v>
      </c>
      <c r="BI30" s="76"/>
      <c r="BJ30" s="76" t="s">
        <v>19633</v>
      </c>
      <c r="BK30" s="76" t="b">
        <v>0</v>
      </c>
      <c r="BL30" s="76"/>
      <c r="BM30" s="76" t="s">
        <v>66</v>
      </c>
      <c r="BN30" s="76" t="s">
        <v>19635</v>
      </c>
      <c r="BO30" s="83" t="str">
        <f>HYPERLINK("https://twitter.com/jessiviesil")</f>
        <v>https://twitter.com/jessiviesil</v>
      </c>
      <c r="BP30" s="2"/>
    </row>
    <row r="31" spans="1:68" x14ac:dyDescent="0.25">
      <c r="A31" s="62" t="s">
        <v>246</v>
      </c>
      <c r="B31" s="63"/>
      <c r="C31" s="63"/>
      <c r="D31" s="64"/>
      <c r="E31" s="66"/>
      <c r="F31" s="103" t="str">
        <f>HYPERLINK("https://pbs.twimg.com/profile_images/1587155063708983296/Ohw8mdTx_normal.jpg")</f>
        <v>https://pbs.twimg.com/profile_images/1587155063708983296/Ohw8mdTx_normal.jpg</v>
      </c>
      <c r="G31" s="63"/>
      <c r="H31" s="67"/>
      <c r="I31" s="68"/>
      <c r="J31" s="68"/>
      <c r="K31" s="67" t="s">
        <v>19663</v>
      </c>
      <c r="L31" s="71"/>
      <c r="M31" s="72"/>
      <c r="N31" s="72"/>
      <c r="O31" s="73"/>
      <c r="P31" s="74"/>
      <c r="Q31" s="74"/>
      <c r="R31" s="87"/>
      <c r="S31" s="87"/>
      <c r="T31" s="87"/>
      <c r="U31" s="87"/>
      <c r="V31" s="48"/>
      <c r="W31" s="48"/>
      <c r="X31" s="47">
        <v>1.101E-3</v>
      </c>
      <c r="Y31" s="48"/>
      <c r="Z31" s="47"/>
      <c r="AA31" s="69">
        <v>31</v>
      </c>
      <c r="AB31" s="69"/>
      <c r="AC31" s="70"/>
      <c r="AD31" s="76" t="s">
        <v>16672</v>
      </c>
      <c r="AE31" s="81" t="s">
        <v>15673</v>
      </c>
      <c r="AF31" s="76">
        <v>4370</v>
      </c>
      <c r="AG31" s="76">
        <v>109</v>
      </c>
      <c r="AH31" s="76">
        <v>3504</v>
      </c>
      <c r="AI31" s="76">
        <v>21</v>
      </c>
      <c r="AJ31" s="76">
        <v>1114</v>
      </c>
      <c r="AK31" s="76">
        <v>824</v>
      </c>
      <c r="AL31" s="76" t="b">
        <v>0</v>
      </c>
      <c r="AM31" s="78">
        <v>44215.600127314814</v>
      </c>
      <c r="AN31" s="76" t="s">
        <v>17871</v>
      </c>
      <c r="AO31" s="76" t="s">
        <v>18178</v>
      </c>
      <c r="AP31" s="83" t="str">
        <f>HYPERLINK("https://t.co/gcKCqzYYe9")</f>
        <v>https://t.co/gcKCqzYYe9</v>
      </c>
      <c r="AQ31" s="83" t="str">
        <f>HYPERLINK("https://defensoria.rj.def.br/")</f>
        <v>https://defensoria.rj.def.br/</v>
      </c>
      <c r="AR31" s="76" t="s">
        <v>19005</v>
      </c>
      <c r="AS31" s="76"/>
      <c r="AT31" s="76"/>
      <c r="AU31" s="76"/>
      <c r="AV31" s="76"/>
      <c r="AW31" s="83" t="str">
        <f>HYPERLINK("https://t.co/gcKCqzYYe9")</f>
        <v>https://t.co/gcKCqzYYe9</v>
      </c>
      <c r="AX31" s="76" t="b">
        <v>0</v>
      </c>
      <c r="AY31" s="76"/>
      <c r="AZ31" s="76"/>
      <c r="BA31" s="76" t="b">
        <v>1</v>
      </c>
      <c r="BB31" s="76" t="b">
        <v>1</v>
      </c>
      <c r="BC31" s="76" t="b">
        <v>1</v>
      </c>
      <c r="BD31" s="76" t="b">
        <v>0</v>
      </c>
      <c r="BE31" s="76" t="b">
        <v>1</v>
      </c>
      <c r="BF31" s="76" t="b">
        <v>0</v>
      </c>
      <c r="BG31" s="76" t="b">
        <v>0</v>
      </c>
      <c r="BH31" s="83" t="str">
        <f>HYPERLINK("https://pbs.twimg.com/profile_banners/1351535881853792257/1685553138")</f>
        <v>https://pbs.twimg.com/profile_banners/1351535881853792257/1685553138</v>
      </c>
      <c r="BI31" s="76"/>
      <c r="BJ31" s="76" t="s">
        <v>19633</v>
      </c>
      <c r="BK31" s="76" t="b">
        <v>0</v>
      </c>
      <c r="BL31" s="76"/>
      <c r="BM31" s="76" t="s">
        <v>66</v>
      </c>
      <c r="BN31" s="76" t="s">
        <v>19635</v>
      </c>
      <c r="BO31" s="83" t="str">
        <f>HYPERLINK("https://twitter.com/defensoria_rj")</f>
        <v>https://twitter.com/defensoria_rj</v>
      </c>
      <c r="BP31" s="2"/>
    </row>
    <row r="32" spans="1:68" x14ac:dyDescent="0.25">
      <c r="A32" s="62" t="s">
        <v>247</v>
      </c>
      <c r="B32" s="63"/>
      <c r="C32" s="63"/>
      <c r="D32" s="64"/>
      <c r="E32" s="66"/>
      <c r="F32" s="103" t="str">
        <f>HYPERLINK("https://pbs.twimg.com/profile_images/1630192989946499073/6IqvnUb5_normal.jpg")</f>
        <v>https://pbs.twimg.com/profile_images/1630192989946499073/6IqvnUb5_normal.jpg</v>
      </c>
      <c r="G32" s="63"/>
      <c r="H32" s="67"/>
      <c r="I32" s="68"/>
      <c r="J32" s="68"/>
      <c r="K32" s="67" t="s">
        <v>19664</v>
      </c>
      <c r="L32" s="71"/>
      <c r="M32" s="72"/>
      <c r="N32" s="72"/>
      <c r="O32" s="73"/>
      <c r="P32" s="74"/>
      <c r="Q32" s="74"/>
      <c r="R32" s="87"/>
      <c r="S32" s="87"/>
      <c r="T32" s="87"/>
      <c r="U32" s="87"/>
      <c r="V32" s="48"/>
      <c r="W32" s="48"/>
      <c r="X32" s="47">
        <v>1.178E-3</v>
      </c>
      <c r="Y32" s="48"/>
      <c r="Z32" s="47"/>
      <c r="AA32" s="69">
        <v>32</v>
      </c>
      <c r="AB32" s="69"/>
      <c r="AC32" s="70"/>
      <c r="AD32" s="76" t="s">
        <v>16673</v>
      </c>
      <c r="AE32" s="81" t="s">
        <v>15674</v>
      </c>
      <c r="AF32" s="76">
        <v>73</v>
      </c>
      <c r="AG32" s="76">
        <v>56</v>
      </c>
      <c r="AH32" s="76">
        <v>98</v>
      </c>
      <c r="AI32" s="76">
        <v>1</v>
      </c>
      <c r="AJ32" s="76">
        <v>42</v>
      </c>
      <c r="AK32" s="76">
        <v>10</v>
      </c>
      <c r="AL32" s="76" t="b">
        <v>0</v>
      </c>
      <c r="AM32" s="78">
        <v>44984.542847222219</v>
      </c>
      <c r="AN32" s="76" t="s">
        <v>10552</v>
      </c>
      <c r="AO32" s="76" t="s">
        <v>18179</v>
      </c>
      <c r="AP32" s="76"/>
      <c r="AQ32" s="76"/>
      <c r="AR32" s="76"/>
      <c r="AS32" s="76"/>
      <c r="AT32" s="76"/>
      <c r="AU32" s="76"/>
      <c r="AV32" s="76"/>
      <c r="AW32" s="76"/>
      <c r="AX32" s="76" t="b">
        <v>0</v>
      </c>
      <c r="AY32" s="76"/>
      <c r="AZ32" s="76"/>
      <c r="BA32" s="76" t="b">
        <v>0</v>
      </c>
      <c r="BB32" s="76" t="b">
        <v>1</v>
      </c>
      <c r="BC32" s="76" t="b">
        <v>1</v>
      </c>
      <c r="BD32" s="76" t="b">
        <v>0</v>
      </c>
      <c r="BE32" s="76" t="b">
        <v>0</v>
      </c>
      <c r="BF32" s="76" t="b">
        <v>0</v>
      </c>
      <c r="BG32" s="76" t="b">
        <v>0</v>
      </c>
      <c r="BH32" s="83" t="str">
        <f>HYPERLINK("https://pbs.twimg.com/profile_banners/1630191287126073344/1677517611")</f>
        <v>https://pbs.twimg.com/profile_banners/1630191287126073344/1677517611</v>
      </c>
      <c r="BI32" s="76"/>
      <c r="BJ32" s="76" t="s">
        <v>19633</v>
      </c>
      <c r="BK32" s="76" t="b">
        <v>0</v>
      </c>
      <c r="BL32" s="76"/>
      <c r="BM32" s="76" t="s">
        <v>66</v>
      </c>
      <c r="BN32" s="76" t="s">
        <v>19635</v>
      </c>
      <c r="BO32" s="83" t="str">
        <f>HYPERLINK("https://twitter.com/comoreinventar")</f>
        <v>https://twitter.com/comoreinventar</v>
      </c>
      <c r="BP32" s="2"/>
    </row>
    <row r="33" spans="1:68" x14ac:dyDescent="0.25">
      <c r="A33" s="62" t="s">
        <v>1053</v>
      </c>
      <c r="B33" s="63"/>
      <c r="C33" s="63"/>
      <c r="D33" s="64"/>
      <c r="E33" s="66"/>
      <c r="F33" s="103" t="str">
        <f>HYPERLINK("https://pbs.twimg.com/profile_images/834356862128705538/AwuQlHKE_normal.jpg")</f>
        <v>https://pbs.twimg.com/profile_images/834356862128705538/AwuQlHKE_normal.jpg</v>
      </c>
      <c r="G33" s="63"/>
      <c r="H33" s="67"/>
      <c r="I33" s="68"/>
      <c r="J33" s="68"/>
      <c r="K33" s="67" t="s">
        <v>19665</v>
      </c>
      <c r="L33" s="71"/>
      <c r="M33" s="72"/>
      <c r="N33" s="72"/>
      <c r="O33" s="73"/>
      <c r="P33" s="74"/>
      <c r="Q33" s="74"/>
      <c r="R33" s="87"/>
      <c r="S33" s="87"/>
      <c r="T33" s="87"/>
      <c r="U33" s="87"/>
      <c r="V33" s="48"/>
      <c r="W33" s="48"/>
      <c r="X33" s="47">
        <v>1.024E-3</v>
      </c>
      <c r="Y33" s="48"/>
      <c r="Z33" s="47"/>
      <c r="AA33" s="69">
        <v>33</v>
      </c>
      <c r="AB33" s="69"/>
      <c r="AC33" s="70"/>
      <c r="AD33" s="76" t="s">
        <v>16674</v>
      </c>
      <c r="AE33" s="81" t="s">
        <v>17549</v>
      </c>
      <c r="AF33" s="76">
        <v>103626</v>
      </c>
      <c r="AG33" s="76">
        <v>157</v>
      </c>
      <c r="AH33" s="76">
        <v>6495</v>
      </c>
      <c r="AI33" s="76">
        <v>1207</v>
      </c>
      <c r="AJ33" s="76">
        <v>3169</v>
      </c>
      <c r="AK33" s="76">
        <v>531</v>
      </c>
      <c r="AL33" s="76" t="b">
        <v>0</v>
      </c>
      <c r="AM33" s="78">
        <v>39617.252534722225</v>
      </c>
      <c r="AN33" s="76" t="s">
        <v>17872</v>
      </c>
      <c r="AO33" s="76" t="s">
        <v>18180</v>
      </c>
      <c r="AP33" s="83" t="str">
        <f>HYPERLINK("https://t.co/StRYjNDsJu")</f>
        <v>https://t.co/StRYjNDsJu</v>
      </c>
      <c r="AQ33" s="83" t="str">
        <f>HYPERLINK("http://www.gustavocerbasi.com.br")</f>
        <v>http://www.gustavocerbasi.com.br</v>
      </c>
      <c r="AR33" s="76" t="s">
        <v>19006</v>
      </c>
      <c r="AS33" s="76"/>
      <c r="AT33" s="76"/>
      <c r="AU33" s="76"/>
      <c r="AV33" s="76"/>
      <c r="AW33" s="83" t="str">
        <f>HYPERLINK("https://t.co/StRYjNDsJu")</f>
        <v>https://t.co/StRYjNDsJu</v>
      </c>
      <c r="AX33" s="76" t="b">
        <v>0</v>
      </c>
      <c r="AY33" s="76"/>
      <c r="AZ33" s="76"/>
      <c r="BA33" s="76" t="b">
        <v>0</v>
      </c>
      <c r="BB33" s="76" t="b">
        <v>1</v>
      </c>
      <c r="BC33" s="76" t="b">
        <v>0</v>
      </c>
      <c r="BD33" s="76" t="b">
        <v>0</v>
      </c>
      <c r="BE33" s="76" t="b">
        <v>1</v>
      </c>
      <c r="BF33" s="76" t="b">
        <v>0</v>
      </c>
      <c r="BG33" s="76" t="b">
        <v>0</v>
      </c>
      <c r="BH33" s="83" t="str">
        <f>HYPERLINK("https://pbs.twimg.com/profile_banners/15154720/1666631577")</f>
        <v>https://pbs.twimg.com/profile_banners/15154720/1666631577</v>
      </c>
      <c r="BI33" s="76"/>
      <c r="BJ33" s="76" t="s">
        <v>19633</v>
      </c>
      <c r="BK33" s="76" t="b">
        <v>0</v>
      </c>
      <c r="BL33" s="76"/>
      <c r="BM33" s="76" t="s">
        <v>65</v>
      </c>
      <c r="BN33" s="76" t="s">
        <v>19635</v>
      </c>
      <c r="BO33" s="83" t="str">
        <f>HYPERLINK("https://twitter.com/gcerbasi")</f>
        <v>https://twitter.com/gcerbasi</v>
      </c>
      <c r="BP33" s="2"/>
    </row>
    <row r="34" spans="1:68" x14ac:dyDescent="0.25">
      <c r="A34" s="62" t="s">
        <v>248</v>
      </c>
      <c r="B34" s="63"/>
      <c r="C34" s="63"/>
      <c r="D34" s="64"/>
      <c r="E34" s="66"/>
      <c r="F34" s="103" t="str">
        <f>HYPERLINK("https://pbs.twimg.com/profile_images/1381393729790091266/OpNx3ruq_normal.png")</f>
        <v>https://pbs.twimg.com/profile_images/1381393729790091266/OpNx3ruq_normal.png</v>
      </c>
      <c r="G34" s="63"/>
      <c r="H34" s="67"/>
      <c r="I34" s="68"/>
      <c r="J34" s="68"/>
      <c r="K34" s="67" t="s">
        <v>19666</v>
      </c>
      <c r="L34" s="71"/>
      <c r="M34" s="72"/>
      <c r="N34" s="72"/>
      <c r="O34" s="73"/>
      <c r="P34" s="74"/>
      <c r="Q34" s="74"/>
      <c r="R34" s="87"/>
      <c r="S34" s="87"/>
      <c r="T34" s="87"/>
      <c r="U34" s="87"/>
      <c r="V34" s="48"/>
      <c r="W34" s="48"/>
      <c r="X34" s="47">
        <v>1.101E-3</v>
      </c>
      <c r="Y34" s="48"/>
      <c r="Z34" s="47"/>
      <c r="AA34" s="69">
        <v>34</v>
      </c>
      <c r="AB34" s="69"/>
      <c r="AC34" s="70"/>
      <c r="AD34" s="76" t="s">
        <v>16675</v>
      </c>
      <c r="AE34" s="81" t="s">
        <v>17550</v>
      </c>
      <c r="AF34" s="76">
        <v>25825</v>
      </c>
      <c r="AG34" s="76">
        <v>13</v>
      </c>
      <c r="AH34" s="76">
        <v>19282</v>
      </c>
      <c r="AI34" s="76">
        <v>92</v>
      </c>
      <c r="AJ34" s="76">
        <v>1189</v>
      </c>
      <c r="AK34" s="76">
        <v>1121</v>
      </c>
      <c r="AL34" s="76" t="b">
        <v>0</v>
      </c>
      <c r="AM34" s="78">
        <v>41478.587430555555</v>
      </c>
      <c r="AN34" s="76" t="s">
        <v>10561</v>
      </c>
      <c r="AO34" s="76" t="s">
        <v>18181</v>
      </c>
      <c r="AP34" s="83" t="str">
        <f>HYPERLINK("https://t.co/KgakJ1lehR")</f>
        <v>https://t.co/KgakJ1lehR</v>
      </c>
      <c r="AQ34" s="83" t="str">
        <f>HYPERLINK("https://www.original.com.br/")</f>
        <v>https://www.original.com.br/</v>
      </c>
      <c r="AR34" s="76" t="s">
        <v>19007</v>
      </c>
      <c r="AS34" s="76"/>
      <c r="AT34" s="76"/>
      <c r="AU34" s="76"/>
      <c r="AV34" s="76">
        <v>1.50887394485358E+18</v>
      </c>
      <c r="AW34" s="83" t="str">
        <f>HYPERLINK("https://t.co/KgakJ1lehR")</f>
        <v>https://t.co/KgakJ1lehR</v>
      </c>
      <c r="AX34" s="76" t="b">
        <v>0</v>
      </c>
      <c r="AY34" s="76"/>
      <c r="AZ34" s="76"/>
      <c r="BA34" s="76" t="b">
        <v>1</v>
      </c>
      <c r="BB34" s="76" t="b">
        <v>0</v>
      </c>
      <c r="BC34" s="76" t="b">
        <v>0</v>
      </c>
      <c r="BD34" s="76" t="b">
        <v>0</v>
      </c>
      <c r="BE34" s="76" t="b">
        <v>1</v>
      </c>
      <c r="BF34" s="76" t="b">
        <v>0</v>
      </c>
      <c r="BG34" s="76" t="b">
        <v>0</v>
      </c>
      <c r="BH34" s="83" t="str">
        <f>HYPERLINK("https://pbs.twimg.com/profile_banners/1615322238/1689504890")</f>
        <v>https://pbs.twimg.com/profile_banners/1615322238/1689504890</v>
      </c>
      <c r="BI34" s="76"/>
      <c r="BJ34" s="76" t="s">
        <v>19633</v>
      </c>
      <c r="BK34" s="76" t="b">
        <v>0</v>
      </c>
      <c r="BL34" s="76"/>
      <c r="BM34" s="76" t="s">
        <v>66</v>
      </c>
      <c r="BN34" s="76" t="s">
        <v>19635</v>
      </c>
      <c r="BO34" s="83" t="str">
        <f>HYPERLINK("https://twitter.com/bancooriginal")</f>
        <v>https://twitter.com/bancooriginal</v>
      </c>
      <c r="BP34" s="2"/>
    </row>
    <row r="35" spans="1:68" x14ac:dyDescent="0.25">
      <c r="A35" s="62" t="s">
        <v>249</v>
      </c>
      <c r="B35" s="63"/>
      <c r="C35" s="63"/>
      <c r="D35" s="64"/>
      <c r="E35" s="66"/>
      <c r="F35" s="103" t="str">
        <f>HYPERLINK("https://pbs.twimg.com/profile_images/1639856286035484673/deZImN9h_normal.jpg")</f>
        <v>https://pbs.twimg.com/profile_images/1639856286035484673/deZImN9h_normal.jpg</v>
      </c>
      <c r="G35" s="63"/>
      <c r="H35" s="67"/>
      <c r="I35" s="68"/>
      <c r="J35" s="68"/>
      <c r="K35" s="67" t="s">
        <v>19667</v>
      </c>
      <c r="L35" s="71"/>
      <c r="M35" s="72"/>
      <c r="N35" s="72"/>
      <c r="O35" s="73"/>
      <c r="P35" s="74"/>
      <c r="Q35" s="74"/>
      <c r="R35" s="87"/>
      <c r="S35" s="87"/>
      <c r="T35" s="87"/>
      <c r="U35" s="87"/>
      <c r="V35" s="48"/>
      <c r="W35" s="48"/>
      <c r="X35" s="47">
        <v>1.101E-3</v>
      </c>
      <c r="Y35" s="48"/>
      <c r="Z35" s="47"/>
      <c r="AA35" s="69">
        <v>35</v>
      </c>
      <c r="AB35" s="69"/>
      <c r="AC35" s="70"/>
      <c r="AD35" s="76" t="s">
        <v>16676</v>
      </c>
      <c r="AE35" s="81" t="s">
        <v>16153</v>
      </c>
      <c r="AF35" s="76">
        <v>36</v>
      </c>
      <c r="AG35" s="76">
        <v>718</v>
      </c>
      <c r="AH35" s="76">
        <v>63</v>
      </c>
      <c r="AI35" s="76">
        <v>0</v>
      </c>
      <c r="AJ35" s="76">
        <v>7</v>
      </c>
      <c r="AK35" s="76">
        <v>61</v>
      </c>
      <c r="AL35" s="76" t="b">
        <v>0</v>
      </c>
      <c r="AM35" s="78">
        <v>44240.952916666669</v>
      </c>
      <c r="AN35" s="76"/>
      <c r="AO35" s="76" t="s">
        <v>18182</v>
      </c>
      <c r="AP35" s="83" t="str">
        <f>HYPERLINK("https://t.co/WrXgJt1Xz2")</f>
        <v>https://t.co/WrXgJt1Xz2</v>
      </c>
      <c r="AQ35" s="83" t="str">
        <f>HYPERLINK("https://linktr.ee/angelus.crane")</f>
        <v>https://linktr.ee/angelus.crane</v>
      </c>
      <c r="AR35" s="76" t="s">
        <v>19008</v>
      </c>
      <c r="AS35" s="76"/>
      <c r="AT35" s="76"/>
      <c r="AU35" s="76"/>
      <c r="AV35" s="76"/>
      <c r="AW35" s="83" t="str">
        <f>HYPERLINK("https://t.co/WrXgJt1Xz2")</f>
        <v>https://t.co/WrXgJt1Xz2</v>
      </c>
      <c r="AX35" s="76" t="b">
        <v>0</v>
      </c>
      <c r="AY35" s="76"/>
      <c r="AZ35" s="76"/>
      <c r="BA35" s="76" t="b">
        <v>0</v>
      </c>
      <c r="BB35" s="76" t="b">
        <v>1</v>
      </c>
      <c r="BC35" s="76" t="b">
        <v>1</v>
      </c>
      <c r="BD35" s="76" t="b">
        <v>0</v>
      </c>
      <c r="BE35" s="76" t="b">
        <v>0</v>
      </c>
      <c r="BF35" s="76" t="b">
        <v>0</v>
      </c>
      <c r="BG35" s="76" t="b">
        <v>0</v>
      </c>
      <c r="BH35" s="83" t="str">
        <f>HYPERLINK("https://pbs.twimg.com/profile_banners/1360723400365400071/1653505366")</f>
        <v>https://pbs.twimg.com/profile_banners/1360723400365400071/1653505366</v>
      </c>
      <c r="BI35" s="76"/>
      <c r="BJ35" s="76" t="s">
        <v>19633</v>
      </c>
      <c r="BK35" s="76" t="b">
        <v>0</v>
      </c>
      <c r="BL35" s="76"/>
      <c r="BM35" s="76" t="s">
        <v>66</v>
      </c>
      <c r="BN35" s="76" t="s">
        <v>19635</v>
      </c>
      <c r="BO35" s="83" t="str">
        <f>HYPERLINK("https://twitter.com/angeluscrane")</f>
        <v>https://twitter.com/angeluscrane</v>
      </c>
      <c r="BP35" s="2"/>
    </row>
    <row r="36" spans="1:68" x14ac:dyDescent="0.25">
      <c r="A36" s="62" t="s">
        <v>250</v>
      </c>
      <c r="B36" s="63"/>
      <c r="C36" s="63"/>
      <c r="D36" s="64"/>
      <c r="E36" s="66"/>
      <c r="F36" s="103" t="str">
        <f>HYPERLINK("https://pbs.twimg.com/profile_images/496005777325166592/5Q-VWtvs_normal.jpeg")</f>
        <v>https://pbs.twimg.com/profile_images/496005777325166592/5Q-VWtvs_normal.jpeg</v>
      </c>
      <c r="G36" s="63"/>
      <c r="H36" s="67"/>
      <c r="I36" s="68"/>
      <c r="J36" s="68"/>
      <c r="K36" s="67" t="s">
        <v>19668</v>
      </c>
      <c r="L36" s="71"/>
      <c r="M36" s="72"/>
      <c r="N36" s="72"/>
      <c r="O36" s="73"/>
      <c r="P36" s="74"/>
      <c r="Q36" s="74"/>
      <c r="R36" s="87"/>
      <c r="S36" s="87"/>
      <c r="T36" s="87"/>
      <c r="U36" s="87"/>
      <c r="V36" s="48"/>
      <c r="W36" s="48"/>
      <c r="X36" s="47">
        <v>1.101E-3</v>
      </c>
      <c r="Y36" s="48"/>
      <c r="Z36" s="47"/>
      <c r="AA36" s="69">
        <v>36</v>
      </c>
      <c r="AB36" s="69"/>
      <c r="AC36" s="70"/>
      <c r="AD36" s="76" t="s">
        <v>16677</v>
      </c>
      <c r="AE36" s="81" t="s">
        <v>17551</v>
      </c>
      <c r="AF36" s="76">
        <v>7040</v>
      </c>
      <c r="AG36" s="76">
        <v>3045</v>
      </c>
      <c r="AH36" s="76">
        <v>51513</v>
      </c>
      <c r="AI36" s="76">
        <v>100</v>
      </c>
      <c r="AJ36" s="76">
        <v>121</v>
      </c>
      <c r="AK36" s="76">
        <v>673</v>
      </c>
      <c r="AL36" s="76" t="b">
        <v>0</v>
      </c>
      <c r="AM36" s="78">
        <v>40230.742592592593</v>
      </c>
      <c r="AN36" s="76" t="s">
        <v>17873</v>
      </c>
      <c r="AO36" s="76" t="s">
        <v>18183</v>
      </c>
      <c r="AP36" s="83" t="str">
        <f>HYPERLINK("https://t.co/wyXpaebsvI")</f>
        <v>https://t.co/wyXpaebsvI</v>
      </c>
      <c r="AQ36" s="83" t="str">
        <f>HYPERLINK("https://www.facebook.com/pages/Blumenau-Agora/366196200075955")</f>
        <v>https://www.facebook.com/pages/Blumenau-Agora/366196200075955</v>
      </c>
      <c r="AR36" s="76" t="s">
        <v>19009</v>
      </c>
      <c r="AS36" s="76"/>
      <c r="AT36" s="76"/>
      <c r="AU36" s="76"/>
      <c r="AV36" s="76"/>
      <c r="AW36" s="83" t="str">
        <f>HYPERLINK("https://t.co/wyXpaebsvI")</f>
        <v>https://t.co/wyXpaebsvI</v>
      </c>
      <c r="AX36" s="76" t="b">
        <v>0</v>
      </c>
      <c r="AY36" s="76"/>
      <c r="AZ36" s="76"/>
      <c r="BA36" s="76" t="b">
        <v>0</v>
      </c>
      <c r="BB36" s="76" t="b">
        <v>1</v>
      </c>
      <c r="BC36" s="76" t="b">
        <v>0</v>
      </c>
      <c r="BD36" s="76" t="b">
        <v>0</v>
      </c>
      <c r="BE36" s="76" t="b">
        <v>0</v>
      </c>
      <c r="BF36" s="76" t="b">
        <v>0</v>
      </c>
      <c r="BG36" s="76" t="b">
        <v>0</v>
      </c>
      <c r="BH36" s="83" t="str">
        <f>HYPERLINK("https://pbs.twimg.com/profile_banners/116233438/1401557484")</f>
        <v>https://pbs.twimg.com/profile_banners/116233438/1401557484</v>
      </c>
      <c r="BI36" s="76"/>
      <c r="BJ36" s="76" t="s">
        <v>19633</v>
      </c>
      <c r="BK36" s="76" t="b">
        <v>0</v>
      </c>
      <c r="BL36" s="76"/>
      <c r="BM36" s="76" t="s">
        <v>66</v>
      </c>
      <c r="BN36" s="76" t="s">
        <v>19635</v>
      </c>
      <c r="BO36" s="83" t="str">
        <f>HYPERLINK("https://twitter.com/blumenauagora")</f>
        <v>https://twitter.com/blumenauagora</v>
      </c>
      <c r="BP36" s="2"/>
    </row>
    <row r="37" spans="1:68" x14ac:dyDescent="0.25">
      <c r="A37" s="62" t="s">
        <v>251</v>
      </c>
      <c r="B37" s="63"/>
      <c r="C37" s="63"/>
      <c r="D37" s="64"/>
      <c r="E37" s="66"/>
      <c r="F37" s="103" t="str">
        <f>HYPERLINK("https://pbs.twimg.com/profile_images/1678518151162503171/a6ShhjJ2_normal.jpg")</f>
        <v>https://pbs.twimg.com/profile_images/1678518151162503171/a6ShhjJ2_normal.jpg</v>
      </c>
      <c r="G37" s="63"/>
      <c r="H37" s="67"/>
      <c r="I37" s="68"/>
      <c r="J37" s="68"/>
      <c r="K37" s="67" t="s">
        <v>19669</v>
      </c>
      <c r="L37" s="71"/>
      <c r="M37" s="72"/>
      <c r="N37" s="72"/>
      <c r="O37" s="73"/>
      <c r="P37" s="74"/>
      <c r="Q37" s="74"/>
      <c r="R37" s="87"/>
      <c r="S37" s="87"/>
      <c r="T37" s="87"/>
      <c r="U37" s="87"/>
      <c r="V37" s="48"/>
      <c r="W37" s="48"/>
      <c r="X37" s="47">
        <v>1.101E-3</v>
      </c>
      <c r="Y37" s="48"/>
      <c r="Z37" s="47"/>
      <c r="AA37" s="69">
        <v>37</v>
      </c>
      <c r="AB37" s="69"/>
      <c r="AC37" s="70"/>
      <c r="AD37" s="76" t="s">
        <v>16678</v>
      </c>
      <c r="AE37" s="81" t="s">
        <v>16154</v>
      </c>
      <c r="AF37" s="76">
        <v>0</v>
      </c>
      <c r="AG37" s="76">
        <v>30</v>
      </c>
      <c r="AH37" s="76">
        <v>14</v>
      </c>
      <c r="AI37" s="76">
        <v>0</v>
      </c>
      <c r="AJ37" s="76">
        <v>9</v>
      </c>
      <c r="AK37" s="76">
        <v>1</v>
      </c>
      <c r="AL37" s="76" t="b">
        <v>0</v>
      </c>
      <c r="AM37" s="78">
        <v>44847.764803240738</v>
      </c>
      <c r="AN37" s="76" t="s">
        <v>10552</v>
      </c>
      <c r="AO37" s="76" t="s">
        <v>18184</v>
      </c>
      <c r="AP37" s="76"/>
      <c r="AQ37" s="76"/>
      <c r="AR37" s="76"/>
      <c r="AS37" s="76"/>
      <c r="AT37" s="76"/>
      <c r="AU37" s="76"/>
      <c r="AV37" s="76"/>
      <c r="AW37" s="76"/>
      <c r="AX37" s="76" t="b">
        <v>0</v>
      </c>
      <c r="AY37" s="76"/>
      <c r="AZ37" s="76"/>
      <c r="BA37" s="76" t="b">
        <v>1</v>
      </c>
      <c r="BB37" s="76" t="b">
        <v>1</v>
      </c>
      <c r="BC37" s="76" t="b">
        <v>1</v>
      </c>
      <c r="BD37" s="76" t="b">
        <v>0</v>
      </c>
      <c r="BE37" s="76" t="b">
        <v>0</v>
      </c>
      <c r="BF37" s="76" t="b">
        <v>0</v>
      </c>
      <c r="BG37" s="76" t="b">
        <v>0</v>
      </c>
      <c r="BH37" s="76"/>
      <c r="BI37" s="76"/>
      <c r="BJ37" s="76" t="s">
        <v>19633</v>
      </c>
      <c r="BK37" s="76" t="b">
        <v>0</v>
      </c>
      <c r="BL37" s="76"/>
      <c r="BM37" s="76" t="s">
        <v>66</v>
      </c>
      <c r="BN37" s="76" t="s">
        <v>19635</v>
      </c>
      <c r="BO37" s="83" t="str">
        <f>HYPERLINK("https://twitter.com/aju_manganelli")</f>
        <v>https://twitter.com/aju_manganelli</v>
      </c>
      <c r="BP37" s="2"/>
    </row>
    <row r="38" spans="1:68" x14ac:dyDescent="0.25">
      <c r="A38" s="62" t="s">
        <v>252</v>
      </c>
      <c r="B38" s="63"/>
      <c r="C38" s="63"/>
      <c r="D38" s="64"/>
      <c r="E38" s="66"/>
      <c r="F38" s="103" t="str">
        <f>HYPERLINK("https://pbs.twimg.com/profile_images/1595207739332071430/24l6G5Pg_normal.jpg")</f>
        <v>https://pbs.twimg.com/profile_images/1595207739332071430/24l6G5Pg_normal.jpg</v>
      </c>
      <c r="G38" s="63"/>
      <c r="H38" s="67"/>
      <c r="I38" s="68"/>
      <c r="J38" s="68"/>
      <c r="K38" s="67" t="s">
        <v>19670</v>
      </c>
      <c r="L38" s="71"/>
      <c r="M38" s="72"/>
      <c r="N38" s="72"/>
      <c r="O38" s="73"/>
      <c r="P38" s="74"/>
      <c r="Q38" s="74"/>
      <c r="R38" s="87"/>
      <c r="S38" s="87"/>
      <c r="T38" s="87"/>
      <c r="U38" s="87"/>
      <c r="V38" s="48"/>
      <c r="W38" s="48"/>
      <c r="X38" s="47">
        <v>1.101E-3</v>
      </c>
      <c r="Y38" s="48"/>
      <c r="Z38" s="47"/>
      <c r="AA38" s="69">
        <v>38</v>
      </c>
      <c r="AB38" s="69"/>
      <c r="AC38" s="70"/>
      <c r="AD38" s="76" t="s">
        <v>16679</v>
      </c>
      <c r="AE38" s="81" t="s">
        <v>16155</v>
      </c>
      <c r="AF38" s="76">
        <v>1</v>
      </c>
      <c r="AG38" s="76">
        <v>1</v>
      </c>
      <c r="AH38" s="76">
        <v>74</v>
      </c>
      <c r="AI38" s="76">
        <v>0</v>
      </c>
      <c r="AJ38" s="76">
        <v>1</v>
      </c>
      <c r="AK38" s="76">
        <v>66</v>
      </c>
      <c r="AL38" s="76" t="b">
        <v>0</v>
      </c>
      <c r="AM38" s="78">
        <v>44639.548900462964</v>
      </c>
      <c r="AN38" s="76"/>
      <c r="AO38" s="76" t="s">
        <v>18185</v>
      </c>
      <c r="AP38" s="83" t="str">
        <f>HYPERLINK("https://t.co/Q8qj8BAiLI")</f>
        <v>https://t.co/Q8qj8BAiLI</v>
      </c>
      <c r="AQ38" s="83" t="str">
        <f>HYPERLINK("http://www.instagram.com/euedinheiro")</f>
        <v>http://www.instagram.com/euedinheiro</v>
      </c>
      <c r="AR38" s="76" t="s">
        <v>19010</v>
      </c>
      <c r="AS38" s="83" t="str">
        <f>HYPERLINK("https://t.co/4ZaTqAv0SJ")</f>
        <v>https://t.co/4ZaTqAv0SJ</v>
      </c>
      <c r="AT38" s="83" t="str">
        <f>HYPERLINK("http://linktr.ee/euedinheiro")</f>
        <v>http://linktr.ee/euedinheiro</v>
      </c>
      <c r="AU38" s="76" t="s">
        <v>19575</v>
      </c>
      <c r="AV38" s="76"/>
      <c r="AW38" s="83" t="str">
        <f>HYPERLINK("https://t.co/Q8qj8BAiLI")</f>
        <v>https://t.co/Q8qj8BAiLI</v>
      </c>
      <c r="AX38" s="76" t="b">
        <v>0</v>
      </c>
      <c r="AY38" s="76"/>
      <c r="AZ38" s="76"/>
      <c r="BA38" s="76" t="b">
        <v>0</v>
      </c>
      <c r="BB38" s="76" t="b">
        <v>1</v>
      </c>
      <c r="BC38" s="76" t="b">
        <v>1</v>
      </c>
      <c r="BD38" s="76" t="b">
        <v>0</v>
      </c>
      <c r="BE38" s="76" t="b">
        <v>0</v>
      </c>
      <c r="BF38" s="76" t="b">
        <v>0</v>
      </c>
      <c r="BG38" s="76" t="b">
        <v>0</v>
      </c>
      <c r="BH38" s="83" t="str">
        <f>HYPERLINK("https://pbs.twimg.com/profile_banners/1505169653710172166/1669162154")</f>
        <v>https://pbs.twimg.com/profile_banners/1505169653710172166/1669162154</v>
      </c>
      <c r="BI38" s="76"/>
      <c r="BJ38" s="76" t="s">
        <v>19633</v>
      </c>
      <c r="BK38" s="76" t="b">
        <v>0</v>
      </c>
      <c r="BL38" s="76"/>
      <c r="BM38" s="76" t="s">
        <v>66</v>
      </c>
      <c r="BN38" s="76" t="s">
        <v>19635</v>
      </c>
      <c r="BO38" s="83" t="str">
        <f>HYPERLINK("https://twitter.com/euedinheiro")</f>
        <v>https://twitter.com/euedinheiro</v>
      </c>
      <c r="BP38" s="2"/>
    </row>
    <row r="39" spans="1:68" x14ac:dyDescent="0.25">
      <c r="A39" s="62" t="s">
        <v>253</v>
      </c>
      <c r="B39" s="63"/>
      <c r="C39" s="63"/>
      <c r="D39" s="64"/>
      <c r="E39" s="66"/>
      <c r="F39" s="103" t="str">
        <f>HYPERLINK("https://pbs.twimg.com/profile_images/1427607722770550805/zfjF2I1H_normal.jpg")</f>
        <v>https://pbs.twimg.com/profile_images/1427607722770550805/zfjF2I1H_normal.jpg</v>
      </c>
      <c r="G39" s="63"/>
      <c r="H39" s="67"/>
      <c r="I39" s="68"/>
      <c r="J39" s="68"/>
      <c r="K39" s="67" t="s">
        <v>19671</v>
      </c>
      <c r="L39" s="71"/>
      <c r="M39" s="72"/>
      <c r="N39" s="72"/>
      <c r="O39" s="73"/>
      <c r="P39" s="74"/>
      <c r="Q39" s="74"/>
      <c r="R39" s="87"/>
      <c r="S39" s="87"/>
      <c r="T39" s="87"/>
      <c r="U39" s="87"/>
      <c r="V39" s="48"/>
      <c r="W39" s="48"/>
      <c r="X39" s="47">
        <v>1.101E-3</v>
      </c>
      <c r="Y39" s="48"/>
      <c r="Z39" s="47"/>
      <c r="AA39" s="69">
        <v>39</v>
      </c>
      <c r="AB39" s="69"/>
      <c r="AC39" s="70"/>
      <c r="AD39" s="76" t="s">
        <v>16680</v>
      </c>
      <c r="AE39" s="81" t="s">
        <v>15675</v>
      </c>
      <c r="AF39" s="76">
        <v>773</v>
      </c>
      <c r="AG39" s="76">
        <v>28</v>
      </c>
      <c r="AH39" s="76">
        <v>1371</v>
      </c>
      <c r="AI39" s="76">
        <v>6</v>
      </c>
      <c r="AJ39" s="76">
        <v>11</v>
      </c>
      <c r="AK39" s="76">
        <v>274</v>
      </c>
      <c r="AL39" s="76" t="b">
        <v>0</v>
      </c>
      <c r="AM39" s="78">
        <v>40036.686041666668</v>
      </c>
      <c r="AN39" s="76" t="s">
        <v>10558</v>
      </c>
      <c r="AO39" s="76" t="s">
        <v>18186</v>
      </c>
      <c r="AP39" s="83" t="str">
        <f>HYPERLINK("https://t.co/fD2QZyVuWi")</f>
        <v>https://t.co/fD2QZyVuWi</v>
      </c>
      <c r="AQ39" s="83" t="str">
        <f>HYPERLINK("http://www.sicoobcrediembrapa.com.br")</f>
        <v>http://www.sicoobcrediembrapa.com.br</v>
      </c>
      <c r="AR39" s="76" t="s">
        <v>19011</v>
      </c>
      <c r="AS39" s="76"/>
      <c r="AT39" s="76"/>
      <c r="AU39" s="76"/>
      <c r="AV39" s="76"/>
      <c r="AW39" s="83" t="str">
        <f>HYPERLINK("https://t.co/fD2QZyVuWi")</f>
        <v>https://t.co/fD2QZyVuWi</v>
      </c>
      <c r="AX39" s="76" t="b">
        <v>0</v>
      </c>
      <c r="AY39" s="76"/>
      <c r="AZ39" s="76"/>
      <c r="BA39" s="76" t="b">
        <v>0</v>
      </c>
      <c r="BB39" s="76" t="b">
        <v>1</v>
      </c>
      <c r="BC39" s="76" t="b">
        <v>0</v>
      </c>
      <c r="BD39" s="76" t="b">
        <v>0</v>
      </c>
      <c r="BE39" s="76" t="b">
        <v>0</v>
      </c>
      <c r="BF39" s="76" t="b">
        <v>0</v>
      </c>
      <c r="BG39" s="76" t="b">
        <v>0</v>
      </c>
      <c r="BH39" s="83" t="str">
        <f>HYPERLINK("https://pbs.twimg.com/profile_banners/64757742/1691497007")</f>
        <v>https://pbs.twimg.com/profile_banners/64757742/1691497007</v>
      </c>
      <c r="BI39" s="76"/>
      <c r="BJ39" s="76" t="s">
        <v>19633</v>
      </c>
      <c r="BK39" s="76" t="b">
        <v>0</v>
      </c>
      <c r="BL39" s="76"/>
      <c r="BM39" s="76" t="s">
        <v>66</v>
      </c>
      <c r="BN39" s="76" t="s">
        <v>19635</v>
      </c>
      <c r="BO39" s="83" t="str">
        <f>HYPERLINK("https://twitter.com/crediembrapa")</f>
        <v>https://twitter.com/crediembrapa</v>
      </c>
      <c r="BP39" s="2"/>
    </row>
    <row r="40" spans="1:68" x14ac:dyDescent="0.25">
      <c r="A40" s="62" t="s">
        <v>254</v>
      </c>
      <c r="B40" s="63"/>
      <c r="C40" s="63"/>
      <c r="D40" s="64"/>
      <c r="E40" s="66"/>
      <c r="F40" s="103" t="str">
        <f>HYPERLINK("https://pbs.twimg.com/profile_images/1510225048971489284/Z_xI6ZEz_normal.png")</f>
        <v>https://pbs.twimg.com/profile_images/1510225048971489284/Z_xI6ZEz_normal.png</v>
      </c>
      <c r="G40" s="63"/>
      <c r="H40" s="67"/>
      <c r="I40" s="68"/>
      <c r="J40" s="68"/>
      <c r="K40" s="67" t="s">
        <v>19672</v>
      </c>
      <c r="L40" s="71"/>
      <c r="M40" s="72"/>
      <c r="N40" s="72"/>
      <c r="O40" s="73"/>
      <c r="P40" s="74"/>
      <c r="Q40" s="74"/>
      <c r="R40" s="87"/>
      <c r="S40" s="87"/>
      <c r="T40" s="87"/>
      <c r="U40" s="87"/>
      <c r="V40" s="48"/>
      <c r="W40" s="48"/>
      <c r="X40" s="47">
        <v>1.101E-3</v>
      </c>
      <c r="Y40" s="48"/>
      <c r="Z40" s="47"/>
      <c r="AA40" s="69">
        <v>40</v>
      </c>
      <c r="AB40" s="69"/>
      <c r="AC40" s="70"/>
      <c r="AD40" s="76" t="s">
        <v>16681</v>
      </c>
      <c r="AE40" s="81" t="s">
        <v>16156</v>
      </c>
      <c r="AF40" s="76">
        <v>49</v>
      </c>
      <c r="AG40" s="76">
        <v>22</v>
      </c>
      <c r="AH40" s="76">
        <v>382</v>
      </c>
      <c r="AI40" s="76">
        <v>0</v>
      </c>
      <c r="AJ40" s="76">
        <v>945</v>
      </c>
      <c r="AK40" s="76">
        <v>27</v>
      </c>
      <c r="AL40" s="76" t="b">
        <v>0</v>
      </c>
      <c r="AM40" s="78">
        <v>44653.498657407406</v>
      </c>
      <c r="AN40" s="76"/>
      <c r="AO40" s="76" t="s">
        <v>18187</v>
      </c>
      <c r="AP40" s="83" t="str">
        <f>HYPERLINK("https://t.co/XsecPtCCzm")</f>
        <v>https://t.co/XsecPtCCzm</v>
      </c>
      <c r="AQ40" s="83" t="str">
        <f>HYPERLINK("http://www.lojauchoa.com.br")</f>
        <v>http://www.lojauchoa.com.br</v>
      </c>
      <c r="AR40" s="76" t="s">
        <v>19012</v>
      </c>
      <c r="AS40" s="76"/>
      <c r="AT40" s="76"/>
      <c r="AU40" s="76"/>
      <c r="AV40" s="76">
        <v>1.6683690511967401E+18</v>
      </c>
      <c r="AW40" s="83" t="str">
        <f>HYPERLINK("https://t.co/XsecPtCCzm")</f>
        <v>https://t.co/XsecPtCCzm</v>
      </c>
      <c r="AX40" s="76" t="b">
        <v>0</v>
      </c>
      <c r="AY40" s="76"/>
      <c r="AZ40" s="76"/>
      <c r="BA40" s="76" t="b">
        <v>0</v>
      </c>
      <c r="BB40" s="76" t="b">
        <v>0</v>
      </c>
      <c r="BC40" s="76" t="b">
        <v>1</v>
      </c>
      <c r="BD40" s="76" t="b">
        <v>0</v>
      </c>
      <c r="BE40" s="76" t="b">
        <v>1</v>
      </c>
      <c r="BF40" s="76" t="b">
        <v>0</v>
      </c>
      <c r="BG40" s="76" t="b">
        <v>0</v>
      </c>
      <c r="BH40" s="83" t="str">
        <f>HYPERLINK("https://pbs.twimg.com/profile_banners/1510089977304170497/1661832340")</f>
        <v>https://pbs.twimg.com/profile_banners/1510089977304170497/1661832340</v>
      </c>
      <c r="BI40" s="76"/>
      <c r="BJ40" s="76" t="s">
        <v>19633</v>
      </c>
      <c r="BK40" s="76" t="b">
        <v>0</v>
      </c>
      <c r="BL40" s="76"/>
      <c r="BM40" s="76" t="s">
        <v>66</v>
      </c>
      <c r="BN40" s="76" t="s">
        <v>19635</v>
      </c>
      <c r="BO40" s="83" t="str">
        <f>HYPERLINK("https://twitter.com/uchoavf")</f>
        <v>https://twitter.com/uchoavf</v>
      </c>
      <c r="BP40" s="2"/>
    </row>
    <row r="41" spans="1:68" x14ac:dyDescent="0.25">
      <c r="A41" s="62" t="s">
        <v>255</v>
      </c>
      <c r="B41" s="63"/>
      <c r="C41" s="63"/>
      <c r="D41" s="64"/>
      <c r="E41" s="66"/>
      <c r="F41" s="103" t="str">
        <f>HYPERLINK("https://pbs.twimg.com/profile_images/1647855478846660609/XYlP1_dQ_normal.jpg")</f>
        <v>https://pbs.twimg.com/profile_images/1647855478846660609/XYlP1_dQ_normal.jpg</v>
      </c>
      <c r="G41" s="63"/>
      <c r="H41" s="67"/>
      <c r="I41" s="68"/>
      <c r="J41" s="68"/>
      <c r="K41" s="67" t="s">
        <v>19673</v>
      </c>
      <c r="L41" s="71"/>
      <c r="M41" s="72"/>
      <c r="N41" s="72"/>
      <c r="O41" s="73"/>
      <c r="P41" s="74"/>
      <c r="Q41" s="74"/>
      <c r="R41" s="87"/>
      <c r="S41" s="87"/>
      <c r="T41" s="87"/>
      <c r="U41" s="87"/>
      <c r="V41" s="48"/>
      <c r="W41" s="48"/>
      <c r="X41" s="47">
        <v>1.101E-3</v>
      </c>
      <c r="Y41" s="48"/>
      <c r="Z41" s="47"/>
      <c r="AA41" s="69">
        <v>41</v>
      </c>
      <c r="AB41" s="69"/>
      <c r="AC41" s="70"/>
      <c r="AD41" s="76" t="s">
        <v>16682</v>
      </c>
      <c r="AE41" s="81" t="s">
        <v>16157</v>
      </c>
      <c r="AF41" s="76">
        <v>47</v>
      </c>
      <c r="AG41" s="76">
        <v>330</v>
      </c>
      <c r="AH41" s="76">
        <v>6307</v>
      </c>
      <c r="AI41" s="76">
        <v>0</v>
      </c>
      <c r="AJ41" s="76">
        <v>10084</v>
      </c>
      <c r="AK41" s="76">
        <v>429</v>
      </c>
      <c r="AL41" s="76" t="b">
        <v>0</v>
      </c>
      <c r="AM41" s="78">
        <v>44883.824907407405</v>
      </c>
      <c r="AN41" s="76" t="s">
        <v>17874</v>
      </c>
      <c r="AO41" s="76" t="s">
        <v>18188</v>
      </c>
      <c r="AP41" s="76"/>
      <c r="AQ41" s="76"/>
      <c r="AR41" s="76"/>
      <c r="AS41" s="76"/>
      <c r="AT41" s="76"/>
      <c r="AU41" s="76"/>
      <c r="AV41" s="76">
        <v>1.70107508413005E+18</v>
      </c>
      <c r="AW41" s="76"/>
      <c r="AX41" s="76" t="b">
        <v>0</v>
      </c>
      <c r="AY41" s="76"/>
      <c r="AZ41" s="76"/>
      <c r="BA41" s="76" t="b">
        <v>0</v>
      </c>
      <c r="BB41" s="76" t="b">
        <v>1</v>
      </c>
      <c r="BC41" s="76" t="b">
        <v>1</v>
      </c>
      <c r="BD41" s="76" t="b">
        <v>0</v>
      </c>
      <c r="BE41" s="76" t="b">
        <v>0</v>
      </c>
      <c r="BF41" s="76" t="b">
        <v>0</v>
      </c>
      <c r="BG41" s="76" t="b">
        <v>0</v>
      </c>
      <c r="BH41" s="83" t="str">
        <f>HYPERLINK("https://pbs.twimg.com/profile_banners/1593691763251757056/1681958420")</f>
        <v>https://pbs.twimg.com/profile_banners/1593691763251757056/1681958420</v>
      </c>
      <c r="BI41" s="76"/>
      <c r="BJ41" s="76" t="s">
        <v>19633</v>
      </c>
      <c r="BK41" s="76" t="b">
        <v>0</v>
      </c>
      <c r="BL41" s="76"/>
      <c r="BM41" s="76" t="s">
        <v>66</v>
      </c>
      <c r="BN41" s="76" t="s">
        <v>19635</v>
      </c>
      <c r="BO41" s="83" t="str">
        <f>HYPERLINK("https://twitter.com/ivana_p_almeida")</f>
        <v>https://twitter.com/ivana_p_almeida</v>
      </c>
      <c r="BP41" s="2"/>
    </row>
    <row r="42" spans="1:68" x14ac:dyDescent="0.25">
      <c r="A42" s="62" t="s">
        <v>256</v>
      </c>
      <c r="B42" s="63"/>
      <c r="C42" s="63"/>
      <c r="D42" s="64"/>
      <c r="E42" s="66"/>
      <c r="F42" s="103" t="str">
        <f>HYPERLINK("https://pbs.twimg.com/profile_images/1579147114281590786/CDygmsLX_normal.jpg")</f>
        <v>https://pbs.twimg.com/profile_images/1579147114281590786/CDygmsLX_normal.jpg</v>
      </c>
      <c r="G42" s="63"/>
      <c r="H42" s="67"/>
      <c r="I42" s="68"/>
      <c r="J42" s="68"/>
      <c r="K42" s="67" t="s">
        <v>19674</v>
      </c>
      <c r="L42" s="71"/>
      <c r="M42" s="72"/>
      <c r="N42" s="72"/>
      <c r="O42" s="73"/>
      <c r="P42" s="74"/>
      <c r="Q42" s="74"/>
      <c r="R42" s="87"/>
      <c r="S42" s="87"/>
      <c r="T42" s="87"/>
      <c r="U42" s="87"/>
      <c r="V42" s="48"/>
      <c r="W42" s="48"/>
      <c r="X42" s="47">
        <v>1.101E-3</v>
      </c>
      <c r="Y42" s="48"/>
      <c r="Z42" s="47"/>
      <c r="AA42" s="69">
        <v>42</v>
      </c>
      <c r="AB42" s="69"/>
      <c r="AC42" s="70"/>
      <c r="AD42" s="76" t="s">
        <v>16683</v>
      </c>
      <c r="AE42" s="81" t="s">
        <v>16158</v>
      </c>
      <c r="AF42" s="76">
        <v>67</v>
      </c>
      <c r="AG42" s="76">
        <v>57</v>
      </c>
      <c r="AH42" s="76">
        <v>410</v>
      </c>
      <c r="AI42" s="76">
        <v>1</v>
      </c>
      <c r="AJ42" s="76">
        <v>282</v>
      </c>
      <c r="AK42" s="76">
        <v>101</v>
      </c>
      <c r="AL42" s="76" t="b">
        <v>0</v>
      </c>
      <c r="AM42" s="78">
        <v>44807.773344907408</v>
      </c>
      <c r="AN42" s="76"/>
      <c r="AO42" s="83" t="str">
        <f>HYPERLINK("https://t.co/tiq8UvLSsN")</f>
        <v>https://t.co/tiq8UvLSsN</v>
      </c>
      <c r="AP42" s="83" t="str">
        <f>HYPERLINK("https://t.co/2z1W0W6vzI")</f>
        <v>https://t.co/2z1W0W6vzI</v>
      </c>
      <c r="AQ42" s="83" t="str">
        <f>HYPERLINK("https://www.instagram.com/analista.investidor/")</f>
        <v>https://www.instagram.com/analista.investidor/</v>
      </c>
      <c r="AR42" s="76" t="s">
        <v>19013</v>
      </c>
      <c r="AS42" s="83" t="str">
        <f>HYPERLINK("https://t.co/tiq8UvLSsN")</f>
        <v>https://t.co/tiq8UvLSsN</v>
      </c>
      <c r="AT42" s="83" t="str">
        <f>HYPERLINK("http://bit.ly/analista_investidor")</f>
        <v>http://bit.ly/analista_investidor</v>
      </c>
      <c r="AU42" s="76" t="s">
        <v>19576</v>
      </c>
      <c r="AV42" s="76">
        <v>1.62892396223421E+18</v>
      </c>
      <c r="AW42" s="83" t="str">
        <f>HYPERLINK("https://t.co/2z1W0W6vzI")</f>
        <v>https://t.co/2z1W0W6vzI</v>
      </c>
      <c r="AX42" s="76" t="b">
        <v>0</v>
      </c>
      <c r="AY42" s="76"/>
      <c r="AZ42" s="76"/>
      <c r="BA42" s="76" t="b">
        <v>0</v>
      </c>
      <c r="BB42" s="76" t="b">
        <v>1</v>
      </c>
      <c r="BC42" s="76" t="b">
        <v>1</v>
      </c>
      <c r="BD42" s="76" t="b">
        <v>0</v>
      </c>
      <c r="BE42" s="76" t="b">
        <v>1</v>
      </c>
      <c r="BF42" s="76" t="b">
        <v>0</v>
      </c>
      <c r="BG42" s="76" t="b">
        <v>0</v>
      </c>
      <c r="BH42" s="76"/>
      <c r="BI42" s="76"/>
      <c r="BJ42" s="76" t="s">
        <v>19633</v>
      </c>
      <c r="BK42" s="76" t="b">
        <v>0</v>
      </c>
      <c r="BL42" s="76"/>
      <c r="BM42" s="76" t="s">
        <v>66</v>
      </c>
      <c r="BN42" s="76" t="s">
        <v>19635</v>
      </c>
      <c r="BO42" s="83" t="str">
        <f>HYPERLINK("https://twitter.com/analistainvest")</f>
        <v>https://twitter.com/analistainvest</v>
      </c>
      <c r="BP42" s="2"/>
    </row>
    <row r="43" spans="1:68" x14ac:dyDescent="0.25">
      <c r="A43" s="62" t="s">
        <v>257</v>
      </c>
      <c r="B43" s="63"/>
      <c r="C43" s="63"/>
      <c r="D43" s="64"/>
      <c r="E43" s="66"/>
      <c r="F43" s="103" t="str">
        <f>HYPERLINK("https://pbs.twimg.com/profile_images/1260317888675819520/A2bQu2FT_normal.png")</f>
        <v>https://pbs.twimg.com/profile_images/1260317888675819520/A2bQu2FT_normal.png</v>
      </c>
      <c r="G43" s="63"/>
      <c r="H43" s="67"/>
      <c r="I43" s="68"/>
      <c r="J43" s="68"/>
      <c r="K43" s="67" t="s">
        <v>19675</v>
      </c>
      <c r="L43" s="71"/>
      <c r="M43" s="72"/>
      <c r="N43" s="72"/>
      <c r="O43" s="73"/>
      <c r="P43" s="74"/>
      <c r="Q43" s="74"/>
      <c r="R43" s="87"/>
      <c r="S43" s="87"/>
      <c r="T43" s="87"/>
      <c r="U43" s="87"/>
      <c r="V43" s="48"/>
      <c r="W43" s="48"/>
      <c r="X43" s="47">
        <v>9.859999999999999E-4</v>
      </c>
      <c r="Y43" s="48"/>
      <c r="Z43" s="47"/>
      <c r="AA43" s="69">
        <v>43</v>
      </c>
      <c r="AB43" s="69"/>
      <c r="AC43" s="70"/>
      <c r="AD43" s="76" t="s">
        <v>16684</v>
      </c>
      <c r="AE43" s="81" t="s">
        <v>16159</v>
      </c>
      <c r="AF43" s="76">
        <v>993</v>
      </c>
      <c r="AG43" s="76">
        <v>2624</v>
      </c>
      <c r="AH43" s="76">
        <v>33393</v>
      </c>
      <c r="AI43" s="76">
        <v>2</v>
      </c>
      <c r="AJ43" s="76">
        <v>238092</v>
      </c>
      <c r="AK43" s="76">
        <v>2736</v>
      </c>
      <c r="AL43" s="76" t="b">
        <v>0</v>
      </c>
      <c r="AM43" s="78">
        <v>43558.107083333336</v>
      </c>
      <c r="AN43" s="76" t="s">
        <v>17875</v>
      </c>
      <c r="AO43" s="76" t="s">
        <v>18189</v>
      </c>
      <c r="AP43" s="76"/>
      <c r="AQ43" s="76"/>
      <c r="AR43" s="76"/>
      <c r="AS43" s="76"/>
      <c r="AT43" s="76"/>
      <c r="AU43" s="76"/>
      <c r="AV43" s="76">
        <v>1.12920832765583E+18</v>
      </c>
      <c r="AW43" s="76"/>
      <c r="AX43" s="76" t="b">
        <v>0</v>
      </c>
      <c r="AY43" s="76"/>
      <c r="AZ43" s="76"/>
      <c r="BA43" s="76" t="b">
        <v>1</v>
      </c>
      <c r="BB43" s="76" t="b">
        <v>0</v>
      </c>
      <c r="BC43" s="76" t="b">
        <v>0</v>
      </c>
      <c r="BD43" s="76" t="b">
        <v>0</v>
      </c>
      <c r="BE43" s="76" t="b">
        <v>1</v>
      </c>
      <c r="BF43" s="76" t="b">
        <v>0</v>
      </c>
      <c r="BG43" s="76" t="b">
        <v>0</v>
      </c>
      <c r="BH43" s="83" t="str">
        <f>HYPERLINK("https://pbs.twimg.com/profile_banners/1113268433687388160/1661138868")</f>
        <v>https://pbs.twimg.com/profile_banners/1113268433687388160/1661138868</v>
      </c>
      <c r="BI43" s="76"/>
      <c r="BJ43" s="76" t="s">
        <v>19633</v>
      </c>
      <c r="BK43" s="76" t="b">
        <v>0</v>
      </c>
      <c r="BL43" s="76"/>
      <c r="BM43" s="76" t="s">
        <v>66</v>
      </c>
      <c r="BN43" s="76" t="s">
        <v>19635</v>
      </c>
      <c r="BO43" s="83" t="str">
        <f>HYPERLINK("https://twitter.com/econandreiaferr")</f>
        <v>https://twitter.com/econandreiaferr</v>
      </c>
      <c r="BP43" s="2"/>
    </row>
    <row r="44" spans="1:68" x14ac:dyDescent="0.25">
      <c r="A44" s="62" t="s">
        <v>839</v>
      </c>
      <c r="B44" s="63"/>
      <c r="C44" s="63"/>
      <c r="D44" s="64"/>
      <c r="E44" s="66"/>
      <c r="F44" s="103" t="str">
        <f>HYPERLINK("https://pbs.twimg.com/profile_images/1594851141916958720/7jZ5LFb2_normal.jpg")</f>
        <v>https://pbs.twimg.com/profile_images/1594851141916958720/7jZ5LFb2_normal.jpg</v>
      </c>
      <c r="G44" s="63"/>
      <c r="H44" s="67"/>
      <c r="I44" s="68"/>
      <c r="J44" s="68"/>
      <c r="K44" s="67" t="s">
        <v>19676</v>
      </c>
      <c r="L44" s="71"/>
      <c r="M44" s="72"/>
      <c r="N44" s="72"/>
      <c r="O44" s="73"/>
      <c r="P44" s="74"/>
      <c r="Q44" s="74"/>
      <c r="R44" s="87"/>
      <c r="S44" s="87"/>
      <c r="T44" s="87"/>
      <c r="U44" s="87"/>
      <c r="V44" s="48"/>
      <c r="W44" s="48"/>
      <c r="X44" s="47">
        <v>1.676E-3</v>
      </c>
      <c r="Y44" s="48"/>
      <c r="Z44" s="47"/>
      <c r="AA44" s="69">
        <v>44</v>
      </c>
      <c r="AB44" s="69"/>
      <c r="AC44" s="70"/>
      <c r="AD44" s="76" t="s">
        <v>16685</v>
      </c>
      <c r="AE44" s="81" t="s">
        <v>17552</v>
      </c>
      <c r="AF44" s="76">
        <v>3407</v>
      </c>
      <c r="AG44" s="76">
        <v>1031</v>
      </c>
      <c r="AH44" s="76">
        <v>3124</v>
      </c>
      <c r="AI44" s="76">
        <v>34</v>
      </c>
      <c r="AJ44" s="76">
        <v>3028</v>
      </c>
      <c r="AK44" s="76">
        <v>304</v>
      </c>
      <c r="AL44" s="76" t="b">
        <v>0</v>
      </c>
      <c r="AM44" s="78">
        <v>40004.836539351854</v>
      </c>
      <c r="AN44" s="76" t="s">
        <v>17867</v>
      </c>
      <c r="AO44" s="76" t="s">
        <v>18190</v>
      </c>
      <c r="AP44" s="76"/>
      <c r="AQ44" s="76"/>
      <c r="AR44" s="76"/>
      <c r="AS44" s="76"/>
      <c r="AT44" s="76"/>
      <c r="AU44" s="76"/>
      <c r="AV44" s="76"/>
      <c r="AW44" s="76"/>
      <c r="AX44" s="76" t="b">
        <v>0</v>
      </c>
      <c r="AY44" s="76"/>
      <c r="AZ44" s="76"/>
      <c r="BA44" s="76" t="b">
        <v>0</v>
      </c>
      <c r="BB44" s="76" t="b">
        <v>1</v>
      </c>
      <c r="BC44" s="76" t="b">
        <v>0</v>
      </c>
      <c r="BD44" s="76" t="b">
        <v>0</v>
      </c>
      <c r="BE44" s="76" t="b">
        <v>1</v>
      </c>
      <c r="BF44" s="76" t="b">
        <v>0</v>
      </c>
      <c r="BG44" s="76" t="b">
        <v>0</v>
      </c>
      <c r="BH44" s="83" t="str">
        <f>HYPERLINK("https://pbs.twimg.com/profile_banners/55650566/1589998909")</f>
        <v>https://pbs.twimg.com/profile_banners/55650566/1589998909</v>
      </c>
      <c r="BI44" s="76"/>
      <c r="BJ44" s="76" t="s">
        <v>19633</v>
      </c>
      <c r="BK44" s="76" t="b">
        <v>0</v>
      </c>
      <c r="BL44" s="76"/>
      <c r="BM44" s="76" t="s">
        <v>66</v>
      </c>
      <c r="BN44" s="76" t="s">
        <v>19635</v>
      </c>
      <c r="BO44" s="83" t="str">
        <f>HYPERLINK("https://twitter.com/caiovilella")</f>
        <v>https://twitter.com/caiovilella</v>
      </c>
      <c r="BP44" s="2"/>
    </row>
    <row r="45" spans="1:68" x14ac:dyDescent="0.25">
      <c r="A45" s="62" t="s">
        <v>258</v>
      </c>
      <c r="B45" s="63"/>
      <c r="C45" s="63"/>
      <c r="D45" s="64"/>
      <c r="E45" s="66"/>
      <c r="F45" s="103" t="str">
        <f>HYPERLINK("https://pbs.twimg.com/profile_images/1683263869643259904/q3q5Jhke_normal.jpg")</f>
        <v>https://pbs.twimg.com/profile_images/1683263869643259904/q3q5Jhke_normal.jpg</v>
      </c>
      <c r="G45" s="63"/>
      <c r="H45" s="67"/>
      <c r="I45" s="68"/>
      <c r="J45" s="68"/>
      <c r="K45" s="67" t="s">
        <v>19677</v>
      </c>
      <c r="L45" s="71"/>
      <c r="M45" s="72"/>
      <c r="N45" s="72"/>
      <c r="O45" s="73"/>
      <c r="P45" s="74"/>
      <c r="Q45" s="74"/>
      <c r="R45" s="87"/>
      <c r="S45" s="87"/>
      <c r="T45" s="87"/>
      <c r="U45" s="87"/>
      <c r="V45" s="48"/>
      <c r="W45" s="48"/>
      <c r="X45" s="47">
        <v>1.101E-3</v>
      </c>
      <c r="Y45" s="48"/>
      <c r="Z45" s="47"/>
      <c r="AA45" s="69">
        <v>45</v>
      </c>
      <c r="AB45" s="69"/>
      <c r="AC45" s="70"/>
      <c r="AD45" s="76" t="s">
        <v>16686</v>
      </c>
      <c r="AE45" s="81" t="s">
        <v>17553</v>
      </c>
      <c r="AF45" s="76">
        <v>22</v>
      </c>
      <c r="AG45" s="76">
        <v>46</v>
      </c>
      <c r="AH45" s="76">
        <v>121</v>
      </c>
      <c r="AI45" s="76">
        <v>1</v>
      </c>
      <c r="AJ45" s="76">
        <v>11</v>
      </c>
      <c r="AK45" s="76">
        <v>17</v>
      </c>
      <c r="AL45" s="76" t="b">
        <v>0</v>
      </c>
      <c r="AM45" s="78">
        <v>40156.644942129627</v>
      </c>
      <c r="AN45" s="76" t="s">
        <v>17876</v>
      </c>
      <c r="AO45" s="76" t="s">
        <v>18191</v>
      </c>
      <c r="AP45" s="83" t="str">
        <f>HYPERLINK("https://t.co/LjQdE0mVkZ")</f>
        <v>https://t.co/LjQdE0mVkZ</v>
      </c>
      <c r="AQ45" s="83" t="str">
        <f>HYPERLINK("http://mabcontabil.com.br")</f>
        <v>http://mabcontabil.com.br</v>
      </c>
      <c r="AR45" s="76" t="s">
        <v>19014</v>
      </c>
      <c r="AS45" s="76"/>
      <c r="AT45" s="76"/>
      <c r="AU45" s="76"/>
      <c r="AV45" s="76"/>
      <c r="AW45" s="83" t="str">
        <f>HYPERLINK("https://t.co/LjQdE0mVkZ")</f>
        <v>https://t.co/LjQdE0mVkZ</v>
      </c>
      <c r="AX45" s="76" t="b">
        <v>0</v>
      </c>
      <c r="AY45" s="76"/>
      <c r="AZ45" s="76"/>
      <c r="BA45" s="76" t="b">
        <v>0</v>
      </c>
      <c r="BB45" s="76" t="b">
        <v>1</v>
      </c>
      <c r="BC45" s="76" t="b">
        <v>0</v>
      </c>
      <c r="BD45" s="76" t="b">
        <v>0</v>
      </c>
      <c r="BE45" s="76" t="b">
        <v>1</v>
      </c>
      <c r="BF45" s="76" t="b">
        <v>0</v>
      </c>
      <c r="BG45" s="76" t="b">
        <v>0</v>
      </c>
      <c r="BH45" s="83" t="str">
        <f>HYPERLINK("https://pbs.twimg.com/profile_banners/95668137/1421279008")</f>
        <v>https://pbs.twimg.com/profile_banners/95668137/1421279008</v>
      </c>
      <c r="BI45" s="76"/>
      <c r="BJ45" s="76" t="s">
        <v>19633</v>
      </c>
      <c r="BK45" s="76" t="b">
        <v>0</v>
      </c>
      <c r="BL45" s="76"/>
      <c r="BM45" s="76" t="s">
        <v>66</v>
      </c>
      <c r="BN45" s="76" t="s">
        <v>19635</v>
      </c>
      <c r="BO45" s="83" t="str">
        <f>HYPERLINK("https://twitter.com/marcos_b_39")</f>
        <v>https://twitter.com/marcos_b_39</v>
      </c>
      <c r="BP45" s="2"/>
    </row>
    <row r="46" spans="1:68" x14ac:dyDescent="0.25">
      <c r="A46" s="62" t="s">
        <v>259</v>
      </c>
      <c r="B46" s="63"/>
      <c r="C46" s="63"/>
      <c r="D46" s="64"/>
      <c r="E46" s="66"/>
      <c r="F46" s="103" t="str">
        <f>HYPERLINK("https://pbs.twimg.com/profile_images/1423325598768844802/k_7EudDS_normal.png")</f>
        <v>https://pbs.twimg.com/profile_images/1423325598768844802/k_7EudDS_normal.png</v>
      </c>
      <c r="G46" s="63"/>
      <c r="H46" s="67"/>
      <c r="I46" s="68"/>
      <c r="J46" s="68"/>
      <c r="K46" s="67" t="s">
        <v>19678</v>
      </c>
      <c r="L46" s="71"/>
      <c r="M46" s="72"/>
      <c r="N46" s="72"/>
      <c r="O46" s="73"/>
      <c r="P46" s="74"/>
      <c r="Q46" s="74"/>
      <c r="R46" s="87"/>
      <c r="S46" s="87"/>
      <c r="T46" s="87"/>
      <c r="U46" s="87"/>
      <c r="V46" s="48"/>
      <c r="W46" s="48"/>
      <c r="X46" s="47">
        <v>1.101E-3</v>
      </c>
      <c r="Y46" s="48"/>
      <c r="Z46" s="47"/>
      <c r="AA46" s="69">
        <v>46</v>
      </c>
      <c r="AB46" s="69"/>
      <c r="AC46" s="70"/>
      <c r="AD46" s="76" t="s">
        <v>16687</v>
      </c>
      <c r="AE46" s="81" t="s">
        <v>16160</v>
      </c>
      <c r="AF46" s="76">
        <v>8</v>
      </c>
      <c r="AG46" s="76">
        <v>14</v>
      </c>
      <c r="AH46" s="76">
        <v>1100</v>
      </c>
      <c r="AI46" s="76">
        <v>0</v>
      </c>
      <c r="AJ46" s="76">
        <v>18</v>
      </c>
      <c r="AK46" s="76">
        <v>392</v>
      </c>
      <c r="AL46" s="76" t="b">
        <v>0</v>
      </c>
      <c r="AM46" s="78">
        <v>44413.701562499999</v>
      </c>
      <c r="AN46" s="76" t="s">
        <v>10622</v>
      </c>
      <c r="AO46" s="76" t="s">
        <v>18192</v>
      </c>
      <c r="AP46" s="83" t="str">
        <f>HYPERLINK("https://t.co/mDqGw8VUAA")</f>
        <v>https://t.co/mDqGw8VUAA</v>
      </c>
      <c r="AQ46" s="83" t="str">
        <f>HYPERLINK("http://www.ief.com.br")</f>
        <v>http://www.ief.com.br</v>
      </c>
      <c r="AR46" s="76" t="s">
        <v>19015</v>
      </c>
      <c r="AS46" s="76"/>
      <c r="AT46" s="76"/>
      <c r="AU46" s="76"/>
      <c r="AV46" s="76"/>
      <c r="AW46" s="83" t="str">
        <f>HYPERLINK("https://t.co/mDqGw8VUAA")</f>
        <v>https://t.co/mDqGw8VUAA</v>
      </c>
      <c r="AX46" s="76" t="b">
        <v>0</v>
      </c>
      <c r="AY46" s="76"/>
      <c r="AZ46" s="76"/>
      <c r="BA46" s="76" t="b">
        <v>0</v>
      </c>
      <c r="BB46" s="76" t="b">
        <v>1</v>
      </c>
      <c r="BC46" s="76" t="b">
        <v>1</v>
      </c>
      <c r="BD46" s="76" t="b">
        <v>0</v>
      </c>
      <c r="BE46" s="76" t="b">
        <v>0</v>
      </c>
      <c r="BF46" s="76" t="b">
        <v>0</v>
      </c>
      <c r="BG46" s="76" t="b">
        <v>0</v>
      </c>
      <c r="BH46" s="83" t="str">
        <f>HYPERLINK("https://pbs.twimg.com/profile_banners/1423325433467129860/1628188037")</f>
        <v>https://pbs.twimg.com/profile_banners/1423325433467129860/1628188037</v>
      </c>
      <c r="BI46" s="76"/>
      <c r="BJ46" s="76" t="s">
        <v>19633</v>
      </c>
      <c r="BK46" s="76" t="b">
        <v>0</v>
      </c>
      <c r="BL46" s="76"/>
      <c r="BM46" s="76" t="s">
        <v>66</v>
      </c>
      <c r="BN46" s="76" t="s">
        <v>19635</v>
      </c>
      <c r="BO46" s="83" t="str">
        <f>HYPERLINK("https://twitter.com/informacaoief")</f>
        <v>https://twitter.com/informacaoief</v>
      </c>
      <c r="BP46" s="2"/>
    </row>
    <row r="47" spans="1:68" x14ac:dyDescent="0.25">
      <c r="A47" s="62" t="s">
        <v>260</v>
      </c>
      <c r="B47" s="63"/>
      <c r="C47" s="63"/>
      <c r="D47" s="64"/>
      <c r="E47" s="66"/>
      <c r="F47" s="103" t="str">
        <f>HYPERLINK("https://pbs.twimg.com/profile_images/1496870997680697349/A2S-vjoY_normal.jpg")</f>
        <v>https://pbs.twimg.com/profile_images/1496870997680697349/A2S-vjoY_normal.jpg</v>
      </c>
      <c r="G47" s="63"/>
      <c r="H47" s="67"/>
      <c r="I47" s="68"/>
      <c r="J47" s="68"/>
      <c r="K47" s="67" t="s">
        <v>19679</v>
      </c>
      <c r="L47" s="71"/>
      <c r="M47" s="72"/>
      <c r="N47" s="72"/>
      <c r="O47" s="73"/>
      <c r="P47" s="74"/>
      <c r="Q47" s="74"/>
      <c r="R47" s="87"/>
      <c r="S47" s="87"/>
      <c r="T47" s="87"/>
      <c r="U47" s="87"/>
      <c r="V47" s="48"/>
      <c r="W47" s="48"/>
      <c r="X47" s="47">
        <v>1.101E-3</v>
      </c>
      <c r="Y47" s="48"/>
      <c r="Z47" s="47"/>
      <c r="AA47" s="69">
        <v>47</v>
      </c>
      <c r="AB47" s="69"/>
      <c r="AC47" s="70"/>
      <c r="AD47" s="76" t="s">
        <v>16688</v>
      </c>
      <c r="AE47" s="81" t="s">
        <v>16161</v>
      </c>
      <c r="AF47" s="76">
        <v>4</v>
      </c>
      <c r="AG47" s="76">
        <v>235</v>
      </c>
      <c r="AH47" s="76">
        <v>85</v>
      </c>
      <c r="AI47" s="76">
        <v>4</v>
      </c>
      <c r="AJ47" s="76">
        <v>167</v>
      </c>
      <c r="AK47" s="76">
        <v>8</v>
      </c>
      <c r="AL47" s="76" t="b">
        <v>0</v>
      </c>
      <c r="AM47" s="78">
        <v>43821.839594907404</v>
      </c>
      <c r="AN47" s="76"/>
      <c r="AO47" s="76"/>
      <c r="AP47" s="76"/>
      <c r="AQ47" s="76"/>
      <c r="AR47" s="76"/>
      <c r="AS47" s="76"/>
      <c r="AT47" s="76"/>
      <c r="AU47" s="76"/>
      <c r="AV47" s="76"/>
      <c r="AW47" s="76"/>
      <c r="AX47" s="76" t="b">
        <v>0</v>
      </c>
      <c r="AY47" s="76"/>
      <c r="AZ47" s="76"/>
      <c r="BA47" s="76" t="b">
        <v>0</v>
      </c>
      <c r="BB47" s="76" t="b">
        <v>1</v>
      </c>
      <c r="BC47" s="76" t="b">
        <v>1</v>
      </c>
      <c r="BD47" s="76" t="b">
        <v>0</v>
      </c>
      <c r="BE47" s="76" t="b">
        <v>0</v>
      </c>
      <c r="BF47" s="76" t="b">
        <v>0</v>
      </c>
      <c r="BG47" s="76" t="b">
        <v>0</v>
      </c>
      <c r="BH47" s="76"/>
      <c r="BI47" s="76"/>
      <c r="BJ47" s="76" t="s">
        <v>19633</v>
      </c>
      <c r="BK47" s="76" t="b">
        <v>0</v>
      </c>
      <c r="BL47" s="76"/>
      <c r="BM47" s="76" t="s">
        <v>66</v>
      </c>
      <c r="BN47" s="76" t="s">
        <v>19635</v>
      </c>
      <c r="BO47" s="83" t="str">
        <f>HYPERLINK("https://twitter.com/wellersonferr13")</f>
        <v>https://twitter.com/wellersonferr13</v>
      </c>
      <c r="BP47" s="2"/>
    </row>
    <row r="48" spans="1:68" x14ac:dyDescent="0.25">
      <c r="A48" s="62" t="s">
        <v>261</v>
      </c>
      <c r="B48" s="63"/>
      <c r="C48" s="63"/>
      <c r="D48" s="64"/>
      <c r="E48" s="66"/>
      <c r="F48" s="103" t="str">
        <f>HYPERLINK("https://pbs.twimg.com/profile_images/1668391532842434561/lx4cSEUa_normal.png")</f>
        <v>https://pbs.twimg.com/profile_images/1668391532842434561/lx4cSEUa_normal.png</v>
      </c>
      <c r="G48" s="63"/>
      <c r="H48" s="67"/>
      <c r="I48" s="68"/>
      <c r="J48" s="68"/>
      <c r="K48" s="67" t="s">
        <v>19680</v>
      </c>
      <c r="L48" s="71"/>
      <c r="M48" s="72"/>
      <c r="N48" s="72"/>
      <c r="O48" s="73"/>
      <c r="P48" s="74"/>
      <c r="Q48" s="74"/>
      <c r="R48" s="87"/>
      <c r="S48" s="87"/>
      <c r="T48" s="87"/>
      <c r="U48" s="87"/>
      <c r="V48" s="48"/>
      <c r="W48" s="48"/>
      <c r="X48" s="47">
        <v>1.101E-3</v>
      </c>
      <c r="Y48" s="48"/>
      <c r="Z48" s="47"/>
      <c r="AA48" s="69">
        <v>48</v>
      </c>
      <c r="AB48" s="69"/>
      <c r="AC48" s="70"/>
      <c r="AD48" s="76" t="s">
        <v>16689</v>
      </c>
      <c r="AE48" s="81" t="s">
        <v>16162</v>
      </c>
      <c r="AF48" s="76">
        <v>2</v>
      </c>
      <c r="AG48" s="76">
        <v>27</v>
      </c>
      <c r="AH48" s="76">
        <v>248</v>
      </c>
      <c r="AI48" s="76">
        <v>0</v>
      </c>
      <c r="AJ48" s="76">
        <v>3</v>
      </c>
      <c r="AK48" s="76">
        <v>248</v>
      </c>
      <c r="AL48" s="76" t="b">
        <v>0</v>
      </c>
      <c r="AM48" s="78">
        <v>45089.955000000002</v>
      </c>
      <c r="AN48" s="76"/>
      <c r="AO48" s="76"/>
      <c r="AP48" s="76"/>
      <c r="AQ48" s="76"/>
      <c r="AR48" s="76"/>
      <c r="AS48" s="76"/>
      <c r="AT48" s="76"/>
      <c r="AU48" s="76"/>
      <c r="AV48" s="76"/>
      <c r="AW48" s="76"/>
      <c r="AX48" s="76" t="b">
        <v>0</v>
      </c>
      <c r="AY48" s="76"/>
      <c r="AZ48" s="76"/>
      <c r="BA48" s="76" t="b">
        <v>0</v>
      </c>
      <c r="BB48" s="76" t="b">
        <v>1</v>
      </c>
      <c r="BC48" s="76" t="b">
        <v>1</v>
      </c>
      <c r="BD48" s="76" t="b">
        <v>0</v>
      </c>
      <c r="BE48" s="76" t="b">
        <v>0</v>
      </c>
      <c r="BF48" s="76" t="b">
        <v>0</v>
      </c>
      <c r="BG48" s="76" t="b">
        <v>0</v>
      </c>
      <c r="BH48" s="76"/>
      <c r="BI48" s="76"/>
      <c r="BJ48" s="76" t="s">
        <v>19633</v>
      </c>
      <c r="BK48" s="76" t="b">
        <v>0</v>
      </c>
      <c r="BL48" s="76"/>
      <c r="BM48" s="76" t="s">
        <v>66</v>
      </c>
      <c r="BN48" s="76" t="s">
        <v>19635</v>
      </c>
      <c r="BO48" s="83" t="str">
        <f>HYPERLINK("https://twitter.com/flaviosouza2810")</f>
        <v>https://twitter.com/flaviosouza2810</v>
      </c>
      <c r="BP48" s="2"/>
    </row>
    <row r="49" spans="1:68" x14ac:dyDescent="0.25">
      <c r="A49" s="62" t="s">
        <v>262</v>
      </c>
      <c r="B49" s="63"/>
      <c r="C49" s="63"/>
      <c r="D49" s="64"/>
      <c r="E49" s="66"/>
      <c r="F49" s="103" t="str">
        <f>HYPERLINK("https://pbs.twimg.com/profile_images/1664038483218821121/fsQ54AW3_normal.jpg")</f>
        <v>https://pbs.twimg.com/profile_images/1664038483218821121/fsQ54AW3_normal.jpg</v>
      </c>
      <c r="G49" s="63"/>
      <c r="H49" s="67"/>
      <c r="I49" s="68"/>
      <c r="J49" s="68"/>
      <c r="K49" s="67" t="s">
        <v>19681</v>
      </c>
      <c r="L49" s="71"/>
      <c r="M49" s="72"/>
      <c r="N49" s="72"/>
      <c r="O49" s="73"/>
      <c r="P49" s="74"/>
      <c r="Q49" s="74"/>
      <c r="R49" s="87"/>
      <c r="S49" s="87"/>
      <c r="T49" s="87"/>
      <c r="U49" s="87"/>
      <c r="V49" s="48"/>
      <c r="W49" s="48"/>
      <c r="X49" s="47">
        <v>1.101E-3</v>
      </c>
      <c r="Y49" s="48"/>
      <c r="Z49" s="47"/>
      <c r="AA49" s="69">
        <v>49</v>
      </c>
      <c r="AB49" s="69"/>
      <c r="AC49" s="70"/>
      <c r="AD49" s="76" t="s">
        <v>16690</v>
      </c>
      <c r="AE49" s="81" t="s">
        <v>16163</v>
      </c>
      <c r="AF49" s="76">
        <v>35</v>
      </c>
      <c r="AG49" s="76">
        <v>107</v>
      </c>
      <c r="AH49" s="76">
        <v>1009</v>
      </c>
      <c r="AI49" s="76">
        <v>3</v>
      </c>
      <c r="AJ49" s="76">
        <v>2636</v>
      </c>
      <c r="AK49" s="76">
        <v>102</v>
      </c>
      <c r="AL49" s="76" t="b">
        <v>0</v>
      </c>
      <c r="AM49" s="78">
        <v>44911.918842592589</v>
      </c>
      <c r="AN49" s="76" t="s">
        <v>10561</v>
      </c>
      <c r="AO49" s="76"/>
      <c r="AP49" s="83" t="str">
        <f>HYPERLINK("https://t.co/Q7ip4W8BRy")</f>
        <v>https://t.co/Q7ip4W8BRy</v>
      </c>
      <c r="AQ49" s="83" t="str">
        <f>HYPERLINK("http://bento.me/cesarkato")</f>
        <v>http://bento.me/cesarkato</v>
      </c>
      <c r="AR49" s="76" t="s">
        <v>19016</v>
      </c>
      <c r="AS49" s="76"/>
      <c r="AT49" s="76"/>
      <c r="AU49" s="76"/>
      <c r="AV49" s="76"/>
      <c r="AW49" s="83" t="str">
        <f>HYPERLINK("https://t.co/Q7ip4W8BRy")</f>
        <v>https://t.co/Q7ip4W8BRy</v>
      </c>
      <c r="AX49" s="76" t="b">
        <v>0</v>
      </c>
      <c r="AY49" s="76"/>
      <c r="AZ49" s="76"/>
      <c r="BA49" s="76" t="b">
        <v>0</v>
      </c>
      <c r="BB49" s="76" t="b">
        <v>1</v>
      </c>
      <c r="BC49" s="76" t="b">
        <v>1</v>
      </c>
      <c r="BD49" s="76" t="b">
        <v>0</v>
      </c>
      <c r="BE49" s="76" t="b">
        <v>1</v>
      </c>
      <c r="BF49" s="76" t="b">
        <v>0</v>
      </c>
      <c r="BG49" s="76" t="b">
        <v>0</v>
      </c>
      <c r="BH49" s="83" t="str">
        <f>HYPERLINK("https://pbs.twimg.com/profile_banners/1603873155159842827/1671230372")</f>
        <v>https://pbs.twimg.com/profile_banners/1603873155159842827/1671230372</v>
      </c>
      <c r="BI49" s="76"/>
      <c r="BJ49" s="76" t="s">
        <v>19633</v>
      </c>
      <c r="BK49" s="76" t="b">
        <v>0</v>
      </c>
      <c r="BL49" s="76"/>
      <c r="BM49" s="76" t="s">
        <v>66</v>
      </c>
      <c r="BN49" s="76" t="s">
        <v>19635</v>
      </c>
      <c r="BO49" s="83" t="str">
        <f>HYPERLINK("https://twitter.com/ocesarkato")</f>
        <v>https://twitter.com/ocesarkato</v>
      </c>
      <c r="BP49" s="2"/>
    </row>
    <row r="50" spans="1:68" x14ac:dyDescent="0.25">
      <c r="A50" s="62" t="s">
        <v>263</v>
      </c>
      <c r="B50" s="63"/>
      <c r="C50" s="63"/>
      <c r="D50" s="64"/>
      <c r="E50" s="66"/>
      <c r="F50" s="103" t="str">
        <f>HYPERLINK("https://pbs.twimg.com/profile_images/1686163878537752576/OVdOC0bK_normal.jpg")</f>
        <v>https://pbs.twimg.com/profile_images/1686163878537752576/OVdOC0bK_normal.jpg</v>
      </c>
      <c r="G50" s="63"/>
      <c r="H50" s="67"/>
      <c r="I50" s="68"/>
      <c r="J50" s="68"/>
      <c r="K50" s="67" t="s">
        <v>19682</v>
      </c>
      <c r="L50" s="71"/>
      <c r="M50" s="72"/>
      <c r="N50" s="72"/>
      <c r="O50" s="73"/>
      <c r="P50" s="74"/>
      <c r="Q50" s="74"/>
      <c r="R50" s="87"/>
      <c r="S50" s="87"/>
      <c r="T50" s="87"/>
      <c r="U50" s="87"/>
      <c r="V50" s="48"/>
      <c r="W50" s="48"/>
      <c r="X50" s="47">
        <v>1.101E-3</v>
      </c>
      <c r="Y50" s="48"/>
      <c r="Z50" s="47"/>
      <c r="AA50" s="69">
        <v>50</v>
      </c>
      <c r="AB50" s="69"/>
      <c r="AC50" s="70"/>
      <c r="AD50" s="76" t="s">
        <v>16691</v>
      </c>
      <c r="AE50" s="81" t="s">
        <v>16164</v>
      </c>
      <c r="AF50" s="76">
        <v>21</v>
      </c>
      <c r="AG50" s="76">
        <v>98</v>
      </c>
      <c r="AH50" s="76">
        <v>308</v>
      </c>
      <c r="AI50" s="76">
        <v>0</v>
      </c>
      <c r="AJ50" s="76">
        <v>473</v>
      </c>
      <c r="AK50" s="76">
        <v>2</v>
      </c>
      <c r="AL50" s="76" t="b">
        <v>0</v>
      </c>
      <c r="AM50" s="78">
        <v>45137.817175925928</v>
      </c>
      <c r="AN50" s="76"/>
      <c r="AO50" s="76" t="s">
        <v>18193</v>
      </c>
      <c r="AP50" s="83" t="str">
        <f>HYPERLINK("https://t.co/MIysM24xQl")</f>
        <v>https://t.co/MIysM24xQl</v>
      </c>
      <c r="AQ50" s="83" t="str">
        <f>HYPERLINK("http://ocapital.digital")</f>
        <v>http://ocapital.digital</v>
      </c>
      <c r="AR50" s="76" t="s">
        <v>6009</v>
      </c>
      <c r="AS50" s="76"/>
      <c r="AT50" s="76"/>
      <c r="AU50" s="76"/>
      <c r="AV50" s="76">
        <v>1.69908026765727E+18</v>
      </c>
      <c r="AW50" s="83" t="str">
        <f>HYPERLINK("https://t.co/MIysM24xQl")</f>
        <v>https://t.co/MIysM24xQl</v>
      </c>
      <c r="AX50" s="76" t="b">
        <v>0</v>
      </c>
      <c r="AY50" s="76"/>
      <c r="AZ50" s="76"/>
      <c r="BA50" s="76" t="b">
        <v>0</v>
      </c>
      <c r="BB50" s="76" t="b">
        <v>1</v>
      </c>
      <c r="BC50" s="76" t="b">
        <v>1</v>
      </c>
      <c r="BD50" s="76" t="b">
        <v>0</v>
      </c>
      <c r="BE50" s="76" t="b">
        <v>0</v>
      </c>
      <c r="BF50" s="76" t="b">
        <v>0</v>
      </c>
      <c r="BG50" s="76" t="b">
        <v>0</v>
      </c>
      <c r="BH50" s="83" t="str">
        <f>HYPERLINK("https://pbs.twimg.com/profile_banners/1685736119474786304/1690760538")</f>
        <v>https://pbs.twimg.com/profile_banners/1685736119474786304/1690760538</v>
      </c>
      <c r="BI50" s="76"/>
      <c r="BJ50" s="76" t="s">
        <v>19633</v>
      </c>
      <c r="BK50" s="76" t="b">
        <v>0</v>
      </c>
      <c r="BL50" s="76"/>
      <c r="BM50" s="76" t="s">
        <v>66</v>
      </c>
      <c r="BN50" s="76" t="s">
        <v>19635</v>
      </c>
      <c r="BO50" s="83" t="str">
        <f>HYPERLINK("https://twitter.com/ocapitaldigital")</f>
        <v>https://twitter.com/ocapitaldigital</v>
      </c>
      <c r="BP50" s="2"/>
    </row>
    <row r="51" spans="1:68" x14ac:dyDescent="0.25">
      <c r="A51" s="62" t="s">
        <v>264</v>
      </c>
      <c r="B51" s="63"/>
      <c r="C51" s="63"/>
      <c r="D51" s="64"/>
      <c r="E51" s="66"/>
      <c r="F51" s="103" t="str">
        <f>HYPERLINK("https://pbs.twimg.com/profile_images/1582143568927490048/mj1dEvyI_normal.jpg")</f>
        <v>https://pbs.twimg.com/profile_images/1582143568927490048/mj1dEvyI_normal.jpg</v>
      </c>
      <c r="G51" s="63"/>
      <c r="H51" s="67"/>
      <c r="I51" s="68"/>
      <c r="J51" s="68"/>
      <c r="K51" s="67" t="s">
        <v>19683</v>
      </c>
      <c r="L51" s="71"/>
      <c r="M51" s="72"/>
      <c r="N51" s="72"/>
      <c r="O51" s="73"/>
      <c r="P51" s="74"/>
      <c r="Q51" s="74"/>
      <c r="R51" s="87"/>
      <c r="S51" s="87"/>
      <c r="T51" s="87"/>
      <c r="U51" s="87"/>
      <c r="V51" s="48"/>
      <c r="W51" s="48"/>
      <c r="X51" s="47">
        <v>1.101E-3</v>
      </c>
      <c r="Y51" s="48"/>
      <c r="Z51" s="47"/>
      <c r="AA51" s="69">
        <v>51</v>
      </c>
      <c r="AB51" s="69"/>
      <c r="AC51" s="70"/>
      <c r="AD51" s="76" t="s">
        <v>16692</v>
      </c>
      <c r="AE51" s="81" t="s">
        <v>17554</v>
      </c>
      <c r="AF51" s="76">
        <v>9649</v>
      </c>
      <c r="AG51" s="76">
        <v>2013</v>
      </c>
      <c r="AH51" s="76">
        <v>3853</v>
      </c>
      <c r="AI51" s="76">
        <v>263</v>
      </c>
      <c r="AJ51" s="76">
        <v>213</v>
      </c>
      <c r="AK51" s="76">
        <v>62</v>
      </c>
      <c r="AL51" s="76" t="b">
        <v>0</v>
      </c>
      <c r="AM51" s="78">
        <v>39625.050150462965</v>
      </c>
      <c r="AN51" s="76" t="s">
        <v>10552</v>
      </c>
      <c r="AO51" s="76" t="s">
        <v>18194</v>
      </c>
      <c r="AP51" s="83" t="str">
        <f>HYPERLINK("https://t.co/ZfgrzpkCGW")</f>
        <v>https://t.co/ZfgrzpkCGW</v>
      </c>
      <c r="AQ51" s="83" t="str">
        <f>HYPERLINK("http://www.nomercadofinanceiro.com.br")</f>
        <v>http://www.nomercadofinanceiro.com.br</v>
      </c>
      <c r="AR51" s="76" t="s">
        <v>19017</v>
      </c>
      <c r="AS51" s="76"/>
      <c r="AT51" s="76"/>
      <c r="AU51" s="76"/>
      <c r="AV51" s="76">
        <v>1.59026029952514E+18</v>
      </c>
      <c r="AW51" s="83" t="str">
        <f>HYPERLINK("https://t.co/ZfgrzpkCGW")</f>
        <v>https://t.co/ZfgrzpkCGW</v>
      </c>
      <c r="AX51" s="76" t="b">
        <v>0</v>
      </c>
      <c r="AY51" s="76"/>
      <c r="AZ51" s="76"/>
      <c r="BA51" s="76" t="b">
        <v>0</v>
      </c>
      <c r="BB51" s="76" t="b">
        <v>1</v>
      </c>
      <c r="BC51" s="76" t="b">
        <v>0</v>
      </c>
      <c r="BD51" s="76" t="b">
        <v>0</v>
      </c>
      <c r="BE51" s="76" t="b">
        <v>0</v>
      </c>
      <c r="BF51" s="76" t="b">
        <v>0</v>
      </c>
      <c r="BG51" s="76" t="b">
        <v>0</v>
      </c>
      <c r="BH51" s="83" t="str">
        <f>HYPERLINK("https://pbs.twimg.com/profile_banners/15238801/1665180345")</f>
        <v>https://pbs.twimg.com/profile_banners/15238801/1665180345</v>
      </c>
      <c r="BI51" s="76"/>
      <c r="BJ51" s="76" t="s">
        <v>19633</v>
      </c>
      <c r="BK51" s="76" t="b">
        <v>0</v>
      </c>
      <c r="BL51" s="76"/>
      <c r="BM51" s="76" t="s">
        <v>66</v>
      </c>
      <c r="BN51" s="76" t="s">
        <v>19635</v>
      </c>
      <c r="BO51" s="83" t="str">
        <f>HYPERLINK("https://twitter.com/albert_taka")</f>
        <v>https://twitter.com/albert_taka</v>
      </c>
      <c r="BP51" s="2"/>
    </row>
    <row r="52" spans="1:68" x14ac:dyDescent="0.25">
      <c r="A52" s="62" t="s">
        <v>265</v>
      </c>
      <c r="B52" s="63"/>
      <c r="C52" s="63"/>
      <c r="D52" s="64"/>
      <c r="E52" s="66"/>
      <c r="F52" s="103" t="str">
        <f>HYPERLINK("https://pbs.twimg.com/profile_images/1688892765646503936/0D5iBx8P_normal.jpg")</f>
        <v>https://pbs.twimg.com/profile_images/1688892765646503936/0D5iBx8P_normal.jpg</v>
      </c>
      <c r="G52" s="63"/>
      <c r="H52" s="67"/>
      <c r="I52" s="68"/>
      <c r="J52" s="68"/>
      <c r="K52" s="67" t="s">
        <v>19684</v>
      </c>
      <c r="L52" s="71"/>
      <c r="M52" s="72"/>
      <c r="N52" s="72"/>
      <c r="O52" s="73"/>
      <c r="P52" s="74"/>
      <c r="Q52" s="74"/>
      <c r="R52" s="87"/>
      <c r="S52" s="87"/>
      <c r="T52" s="87"/>
      <c r="U52" s="87"/>
      <c r="V52" s="48"/>
      <c r="W52" s="48"/>
      <c r="X52" s="47">
        <v>1.101E-3</v>
      </c>
      <c r="Y52" s="48"/>
      <c r="Z52" s="47"/>
      <c r="AA52" s="69">
        <v>52</v>
      </c>
      <c r="AB52" s="69"/>
      <c r="AC52" s="70"/>
      <c r="AD52" s="76" t="s">
        <v>16693</v>
      </c>
      <c r="AE52" s="81" t="s">
        <v>17555</v>
      </c>
      <c r="AF52" s="76">
        <v>1795</v>
      </c>
      <c r="AG52" s="76">
        <v>350</v>
      </c>
      <c r="AH52" s="76">
        <v>2456</v>
      </c>
      <c r="AI52" s="76">
        <v>34</v>
      </c>
      <c r="AJ52" s="76">
        <v>1057</v>
      </c>
      <c r="AK52" s="76">
        <v>681</v>
      </c>
      <c r="AL52" s="76" t="b">
        <v>0</v>
      </c>
      <c r="AM52" s="78">
        <v>41022.657025462962</v>
      </c>
      <c r="AN52" s="76" t="s">
        <v>17877</v>
      </c>
      <c r="AO52" s="76" t="s">
        <v>18195</v>
      </c>
      <c r="AP52" s="83" t="str">
        <f>HYPERLINK("https://t.co/bK0J2puTlW")</f>
        <v>https://t.co/bK0J2puTlW</v>
      </c>
      <c r="AQ52" s="83" t="str">
        <f>HYPERLINK("http://www.desenvolvesp.com.br")</f>
        <v>http://www.desenvolvesp.com.br</v>
      </c>
      <c r="AR52" s="76" t="s">
        <v>19018</v>
      </c>
      <c r="AS52" s="76"/>
      <c r="AT52" s="76"/>
      <c r="AU52" s="76"/>
      <c r="AV52" s="76"/>
      <c r="AW52" s="83" t="str">
        <f>HYPERLINK("https://t.co/bK0J2puTlW")</f>
        <v>https://t.co/bK0J2puTlW</v>
      </c>
      <c r="AX52" s="76" t="b">
        <v>0</v>
      </c>
      <c r="AY52" s="76"/>
      <c r="AZ52" s="76"/>
      <c r="BA52" s="76" t="b">
        <v>1</v>
      </c>
      <c r="BB52" s="76" t="b">
        <v>0</v>
      </c>
      <c r="BC52" s="76" t="b">
        <v>0</v>
      </c>
      <c r="BD52" s="76" t="b">
        <v>0</v>
      </c>
      <c r="BE52" s="76" t="b">
        <v>0</v>
      </c>
      <c r="BF52" s="76" t="b">
        <v>0</v>
      </c>
      <c r="BG52" s="76" t="b">
        <v>0</v>
      </c>
      <c r="BH52" s="83" t="str">
        <f>HYPERLINK("https://pbs.twimg.com/profile_banners/561322533/1691498389")</f>
        <v>https://pbs.twimg.com/profile_banners/561322533/1691498389</v>
      </c>
      <c r="BI52" s="76"/>
      <c r="BJ52" s="76" t="s">
        <v>19633</v>
      </c>
      <c r="BK52" s="76" t="b">
        <v>0</v>
      </c>
      <c r="BL52" s="76"/>
      <c r="BM52" s="76" t="s">
        <v>66</v>
      </c>
      <c r="BN52" s="76" t="s">
        <v>19635</v>
      </c>
      <c r="BO52" s="83" t="str">
        <f>HYPERLINK("https://twitter.com/desenvolve_sp")</f>
        <v>https://twitter.com/desenvolve_sp</v>
      </c>
      <c r="BP52" s="2"/>
    </row>
    <row r="53" spans="1:68" x14ac:dyDescent="0.25">
      <c r="A53" s="62" t="s">
        <v>266</v>
      </c>
      <c r="B53" s="63"/>
      <c r="C53" s="63"/>
      <c r="D53" s="64"/>
      <c r="E53" s="66"/>
      <c r="F53" s="103" t="str">
        <f>HYPERLINK("https://pbs.twimg.com/profile_images/1550999438952464384/tFhqdbVs_normal.jpg")</f>
        <v>https://pbs.twimg.com/profile_images/1550999438952464384/tFhqdbVs_normal.jpg</v>
      </c>
      <c r="G53" s="63"/>
      <c r="H53" s="67"/>
      <c r="I53" s="68"/>
      <c r="J53" s="68"/>
      <c r="K53" s="67" t="s">
        <v>19685</v>
      </c>
      <c r="L53" s="71"/>
      <c r="M53" s="72"/>
      <c r="N53" s="72"/>
      <c r="O53" s="73"/>
      <c r="P53" s="74"/>
      <c r="Q53" s="74"/>
      <c r="R53" s="87"/>
      <c r="S53" s="87"/>
      <c r="T53" s="87"/>
      <c r="U53" s="87"/>
      <c r="V53" s="48"/>
      <c r="W53" s="48"/>
      <c r="X53" s="47">
        <v>1.101E-3</v>
      </c>
      <c r="Y53" s="48"/>
      <c r="Z53" s="47"/>
      <c r="AA53" s="69">
        <v>53</v>
      </c>
      <c r="AB53" s="69"/>
      <c r="AC53" s="70"/>
      <c r="AD53" s="76" t="s">
        <v>16694</v>
      </c>
      <c r="AE53" s="81" t="s">
        <v>15676</v>
      </c>
      <c r="AF53" s="76">
        <v>17</v>
      </c>
      <c r="AG53" s="76">
        <v>303</v>
      </c>
      <c r="AH53" s="76">
        <v>140</v>
      </c>
      <c r="AI53" s="76">
        <v>0</v>
      </c>
      <c r="AJ53" s="76">
        <v>2878</v>
      </c>
      <c r="AK53" s="76">
        <v>2</v>
      </c>
      <c r="AL53" s="76" t="b">
        <v>0</v>
      </c>
      <c r="AM53" s="78">
        <v>44607.163541666669</v>
      </c>
      <c r="AN53" s="76" t="s">
        <v>10622</v>
      </c>
      <c r="AO53" s="76" t="s">
        <v>18196</v>
      </c>
      <c r="AP53" s="76"/>
      <c r="AQ53" s="76"/>
      <c r="AR53" s="76"/>
      <c r="AS53" s="76"/>
      <c r="AT53" s="76"/>
      <c r="AU53" s="76"/>
      <c r="AV53" s="76"/>
      <c r="AW53" s="76"/>
      <c r="AX53" s="76" t="b">
        <v>0</v>
      </c>
      <c r="AY53" s="76"/>
      <c r="AZ53" s="76"/>
      <c r="BA53" s="76" t="b">
        <v>1</v>
      </c>
      <c r="BB53" s="76" t="b">
        <v>1</v>
      </c>
      <c r="BC53" s="76" t="b">
        <v>1</v>
      </c>
      <c r="BD53" s="76" t="b">
        <v>0</v>
      </c>
      <c r="BE53" s="76" t="b">
        <v>1</v>
      </c>
      <c r="BF53" s="76" t="b">
        <v>0</v>
      </c>
      <c r="BG53" s="76" t="b">
        <v>0</v>
      </c>
      <c r="BH53" s="83" t="str">
        <f>HYPERLINK("https://pbs.twimg.com/profile_banners/1493433552196808704/1644898155")</f>
        <v>https://pbs.twimg.com/profile_banners/1493433552196808704/1644898155</v>
      </c>
      <c r="BI53" s="76"/>
      <c r="BJ53" s="76" t="s">
        <v>19633</v>
      </c>
      <c r="BK53" s="76" t="b">
        <v>0</v>
      </c>
      <c r="BL53" s="76"/>
      <c r="BM53" s="76" t="s">
        <v>66</v>
      </c>
      <c r="BN53" s="76" t="s">
        <v>19635</v>
      </c>
      <c r="BO53" s="83" t="str">
        <f>HYPERLINK("https://twitter.com/financialstream")</f>
        <v>https://twitter.com/financialstream</v>
      </c>
      <c r="BP53" s="2"/>
    </row>
    <row r="54" spans="1:68" x14ac:dyDescent="0.25">
      <c r="A54" s="62" t="s">
        <v>267</v>
      </c>
      <c r="B54" s="63"/>
      <c r="C54" s="63"/>
      <c r="D54" s="64"/>
      <c r="E54" s="66"/>
      <c r="F54" s="103" t="str">
        <f>HYPERLINK("https://pbs.twimg.com/profile_images/1570481566039539715/leEExsEx_normal.jpg")</f>
        <v>https://pbs.twimg.com/profile_images/1570481566039539715/leEExsEx_normal.jpg</v>
      </c>
      <c r="G54" s="63"/>
      <c r="H54" s="67"/>
      <c r="I54" s="68"/>
      <c r="J54" s="68"/>
      <c r="K54" s="67" t="s">
        <v>19686</v>
      </c>
      <c r="L54" s="71"/>
      <c r="M54" s="72"/>
      <c r="N54" s="72"/>
      <c r="O54" s="73"/>
      <c r="P54" s="74"/>
      <c r="Q54" s="74"/>
      <c r="R54" s="87"/>
      <c r="S54" s="87"/>
      <c r="T54" s="87"/>
      <c r="U54" s="87"/>
      <c r="V54" s="48"/>
      <c r="W54" s="48"/>
      <c r="X54" s="47">
        <v>9.7999999999999997E-4</v>
      </c>
      <c r="Y54" s="48"/>
      <c r="Z54" s="47"/>
      <c r="AA54" s="69">
        <v>54</v>
      </c>
      <c r="AB54" s="69"/>
      <c r="AC54" s="70"/>
      <c r="AD54" s="76" t="s">
        <v>16695</v>
      </c>
      <c r="AE54" s="81" t="s">
        <v>16165</v>
      </c>
      <c r="AF54" s="76">
        <v>196</v>
      </c>
      <c r="AG54" s="76">
        <v>573</v>
      </c>
      <c r="AH54" s="76">
        <v>11759</v>
      </c>
      <c r="AI54" s="76">
        <v>1</v>
      </c>
      <c r="AJ54" s="76">
        <v>10833</v>
      </c>
      <c r="AK54" s="76">
        <v>842</v>
      </c>
      <c r="AL54" s="76" t="b">
        <v>0</v>
      </c>
      <c r="AM54" s="78">
        <v>44172.557199074072</v>
      </c>
      <c r="AN54" s="76" t="s">
        <v>17878</v>
      </c>
      <c r="AO54" s="76" t="s">
        <v>18197</v>
      </c>
      <c r="AP54" s="83" t="str">
        <f>HYPERLINK("https://t.co/ApOjm086NZ")</f>
        <v>https://t.co/ApOjm086NZ</v>
      </c>
      <c r="AQ54" s="83" t="str">
        <f>HYPERLINK("http://www.vagasdeempregosemsalvador.blogspot.com")</f>
        <v>http://www.vagasdeempregosemsalvador.blogspot.com</v>
      </c>
      <c r="AR54" s="76" t="s">
        <v>19019</v>
      </c>
      <c r="AS54" s="83" t="str">
        <f>HYPERLINK("https://t.co/O27gXsWL87")</f>
        <v>https://t.co/O27gXsWL87</v>
      </c>
      <c r="AT54" s="83" t="str">
        <f>HYPERLINK("https://salvadorfolhetim.blogspot.com/?m=0")</f>
        <v>https://salvadorfolhetim.blogspot.com/?m=0</v>
      </c>
      <c r="AU54" s="76" t="s">
        <v>19577</v>
      </c>
      <c r="AV54" s="76">
        <v>1.6984345354765701E+18</v>
      </c>
      <c r="AW54" s="83" t="str">
        <f>HYPERLINK("https://t.co/ApOjm086NZ")</f>
        <v>https://t.co/ApOjm086NZ</v>
      </c>
      <c r="AX54" s="76" t="b">
        <v>0</v>
      </c>
      <c r="AY54" s="76"/>
      <c r="AZ54" s="76"/>
      <c r="BA54" s="76" t="b">
        <v>0</v>
      </c>
      <c r="BB54" s="76" t="b">
        <v>1</v>
      </c>
      <c r="BC54" s="76" t="b">
        <v>1</v>
      </c>
      <c r="BD54" s="76" t="b">
        <v>0</v>
      </c>
      <c r="BE54" s="76" t="b">
        <v>0</v>
      </c>
      <c r="BF54" s="76" t="b">
        <v>0</v>
      </c>
      <c r="BG54" s="76" t="b">
        <v>0</v>
      </c>
      <c r="BH54" s="83" t="str">
        <f>HYPERLINK("https://pbs.twimg.com/profile_banners/1335937657474527233/1692294290")</f>
        <v>https://pbs.twimg.com/profile_banners/1335937657474527233/1692294290</v>
      </c>
      <c r="BI54" s="76"/>
      <c r="BJ54" s="76" t="s">
        <v>19633</v>
      </c>
      <c r="BK54" s="76" t="b">
        <v>0</v>
      </c>
      <c r="BL54" s="76"/>
      <c r="BM54" s="76" t="s">
        <v>66</v>
      </c>
      <c r="BN54" s="76" t="s">
        <v>19635</v>
      </c>
      <c r="BO54" s="83" t="str">
        <f>HYPERLINK("https://twitter.com/vagasdesalvador")</f>
        <v>https://twitter.com/vagasdesalvador</v>
      </c>
      <c r="BP54" s="2"/>
    </row>
    <row r="55" spans="1:68" x14ac:dyDescent="0.25">
      <c r="A55" s="62" t="s">
        <v>268</v>
      </c>
      <c r="B55" s="63"/>
      <c r="C55" s="63"/>
      <c r="D55" s="64"/>
      <c r="E55" s="66"/>
      <c r="F55" s="103" t="str">
        <f>HYPERLINK("https://pbs.twimg.com/profile_images/1576923164260663296/6Xauuine_normal.jpg")</f>
        <v>https://pbs.twimg.com/profile_images/1576923164260663296/6Xauuine_normal.jpg</v>
      </c>
      <c r="G55" s="63"/>
      <c r="H55" s="67"/>
      <c r="I55" s="68"/>
      <c r="J55" s="68"/>
      <c r="K55" s="67" t="s">
        <v>19687</v>
      </c>
      <c r="L55" s="71"/>
      <c r="M55" s="72"/>
      <c r="N55" s="72"/>
      <c r="O55" s="73"/>
      <c r="P55" s="74"/>
      <c r="Q55" s="74"/>
      <c r="R55" s="87"/>
      <c r="S55" s="87"/>
      <c r="T55" s="87"/>
      <c r="U55" s="87"/>
      <c r="V55" s="48"/>
      <c r="W55" s="48"/>
      <c r="X55" s="47">
        <v>1.101E-3</v>
      </c>
      <c r="Y55" s="48"/>
      <c r="Z55" s="47"/>
      <c r="AA55" s="69">
        <v>55</v>
      </c>
      <c r="AB55" s="69"/>
      <c r="AC55" s="70"/>
      <c r="AD55" s="76" t="s">
        <v>16696</v>
      </c>
      <c r="AE55" s="81" t="s">
        <v>17556</v>
      </c>
      <c r="AF55" s="76">
        <v>787</v>
      </c>
      <c r="AG55" s="76">
        <v>4905</v>
      </c>
      <c r="AH55" s="76">
        <v>40646</v>
      </c>
      <c r="AI55" s="76">
        <v>9</v>
      </c>
      <c r="AJ55" s="76">
        <v>4322</v>
      </c>
      <c r="AK55" s="76">
        <v>2888</v>
      </c>
      <c r="AL55" s="76" t="b">
        <v>0</v>
      </c>
      <c r="AM55" s="78">
        <v>41186.606157407405</v>
      </c>
      <c r="AN55" s="76" t="s">
        <v>10559</v>
      </c>
      <c r="AO55" s="76" t="s">
        <v>18198</v>
      </c>
      <c r="AP55" s="83" t="str">
        <f>HYPERLINK("https://t.co/oJhzEr1ftv")</f>
        <v>https://t.co/oJhzEr1ftv</v>
      </c>
      <c r="AQ55" s="83" t="str">
        <f>HYPERLINK("https://kwai-video.com/u/@linssdoceara/e9JCWLu0")</f>
        <v>https://kwai-video.com/u/@linssdoceara/e9JCWLu0</v>
      </c>
      <c r="AR55" s="76" t="s">
        <v>19020</v>
      </c>
      <c r="AS55" s="83" t="str">
        <f>HYPERLINK("https://t.co/oJhzEr1ftv")</f>
        <v>https://t.co/oJhzEr1ftv</v>
      </c>
      <c r="AT55" s="83" t="str">
        <f>HYPERLINK("https://kwai-video.com/u/@linssdoceara/e9JCWLu0")</f>
        <v>https://kwai-video.com/u/@linssdoceara/e9JCWLu0</v>
      </c>
      <c r="AU55" s="76" t="s">
        <v>19020</v>
      </c>
      <c r="AV55" s="76">
        <v>1.5993480341730099E+18</v>
      </c>
      <c r="AW55" s="83" t="str">
        <f>HYPERLINK("https://t.co/oJhzEr1ftv")</f>
        <v>https://t.co/oJhzEr1ftv</v>
      </c>
      <c r="AX55" s="76" t="b">
        <v>0</v>
      </c>
      <c r="AY55" s="76"/>
      <c r="AZ55" s="76"/>
      <c r="BA55" s="76" t="b">
        <v>0</v>
      </c>
      <c r="BB55" s="76" t="b">
        <v>0</v>
      </c>
      <c r="BC55" s="76" t="b">
        <v>0</v>
      </c>
      <c r="BD55" s="76" t="b">
        <v>0</v>
      </c>
      <c r="BE55" s="76" t="b">
        <v>0</v>
      </c>
      <c r="BF55" s="76" t="b">
        <v>0</v>
      </c>
      <c r="BG55" s="76" t="b">
        <v>0</v>
      </c>
      <c r="BH55" s="83" t="str">
        <f>HYPERLINK("https://pbs.twimg.com/profile_banners/861499507/1666307677")</f>
        <v>https://pbs.twimg.com/profile_banners/861499507/1666307677</v>
      </c>
      <c r="BI55" s="76"/>
      <c r="BJ55" s="76" t="s">
        <v>19633</v>
      </c>
      <c r="BK55" s="76" t="b">
        <v>0</v>
      </c>
      <c r="BL55" s="76"/>
      <c r="BM55" s="76" t="s">
        <v>66</v>
      </c>
      <c r="BN55" s="76" t="s">
        <v>19635</v>
      </c>
      <c r="BO55" s="83" t="str">
        <f>HYPERLINK("https://twitter.com/linsdoceara")</f>
        <v>https://twitter.com/linsdoceara</v>
      </c>
      <c r="BP55" s="2"/>
    </row>
    <row r="56" spans="1:68" x14ac:dyDescent="0.25">
      <c r="A56" s="62" t="s">
        <v>1054</v>
      </c>
      <c r="B56" s="63"/>
      <c r="C56" s="63"/>
      <c r="D56" s="64"/>
      <c r="E56" s="66"/>
      <c r="F56" s="103" t="str">
        <f>HYPERLINK("https://pbs.twimg.com/profile_images/1633970063312138240/GgnQJIyp_normal.jpg")</f>
        <v>https://pbs.twimg.com/profile_images/1633970063312138240/GgnQJIyp_normal.jpg</v>
      </c>
      <c r="G56" s="63"/>
      <c r="H56" s="67"/>
      <c r="I56" s="68"/>
      <c r="J56" s="68"/>
      <c r="K56" s="67" t="s">
        <v>19688</v>
      </c>
      <c r="L56" s="71"/>
      <c r="M56" s="72"/>
      <c r="N56" s="72"/>
      <c r="O56" s="73"/>
      <c r="P56" s="74"/>
      <c r="Q56" s="74"/>
      <c r="R56" s="87"/>
      <c r="S56" s="87"/>
      <c r="T56" s="87"/>
      <c r="U56" s="87"/>
      <c r="V56" s="48"/>
      <c r="W56" s="48"/>
      <c r="X56" s="47">
        <v>1.101E-3</v>
      </c>
      <c r="Y56" s="48"/>
      <c r="Z56" s="47"/>
      <c r="AA56" s="69">
        <v>56</v>
      </c>
      <c r="AB56" s="69"/>
      <c r="AC56" s="70"/>
      <c r="AD56" s="76" t="s">
        <v>16697</v>
      </c>
      <c r="AE56" s="81" t="s">
        <v>17557</v>
      </c>
      <c r="AF56" s="76">
        <v>5</v>
      </c>
      <c r="AG56" s="76">
        <v>0</v>
      </c>
      <c r="AH56" s="76">
        <v>0</v>
      </c>
      <c r="AI56" s="76">
        <v>0</v>
      </c>
      <c r="AJ56" s="76">
        <v>1</v>
      </c>
      <c r="AK56" s="76">
        <v>0</v>
      </c>
      <c r="AL56" s="76" t="b">
        <v>0</v>
      </c>
      <c r="AM56" s="78">
        <v>44902.647141203706</v>
      </c>
      <c r="AN56" s="76"/>
      <c r="AO56" s="76"/>
      <c r="AP56" s="76"/>
      <c r="AQ56" s="76"/>
      <c r="AR56" s="76"/>
      <c r="AS56" s="76"/>
      <c r="AT56" s="76"/>
      <c r="AU56" s="76"/>
      <c r="AV56" s="76"/>
      <c r="AW56" s="76"/>
      <c r="AX56" s="76" t="b">
        <v>0</v>
      </c>
      <c r="AY56" s="76"/>
      <c r="AZ56" s="76"/>
      <c r="BA56" s="76" t="b">
        <v>0</v>
      </c>
      <c r="BB56" s="76" t="b">
        <v>1</v>
      </c>
      <c r="BC56" s="76" t="b">
        <v>1</v>
      </c>
      <c r="BD56" s="76" t="b">
        <v>0</v>
      </c>
      <c r="BE56" s="76" t="b">
        <v>0</v>
      </c>
      <c r="BF56" s="76" t="b">
        <v>0</v>
      </c>
      <c r="BG56" s="76" t="b">
        <v>0</v>
      </c>
      <c r="BH56" s="76"/>
      <c r="BI56" s="76"/>
      <c r="BJ56" s="76" t="s">
        <v>19633</v>
      </c>
      <c r="BK56" s="76" t="b">
        <v>0</v>
      </c>
      <c r="BL56" s="76"/>
      <c r="BM56" s="76" t="s">
        <v>65</v>
      </c>
      <c r="BN56" s="76" t="s">
        <v>19635</v>
      </c>
      <c r="BO56" s="83" t="str">
        <f>HYPERLINK("https://twitter.com/brunodabrantes")</f>
        <v>https://twitter.com/brunodabrantes</v>
      </c>
      <c r="BP56" s="2"/>
    </row>
    <row r="57" spans="1:68" x14ac:dyDescent="0.25">
      <c r="A57" s="62" t="s">
        <v>269</v>
      </c>
      <c r="B57" s="63"/>
      <c r="C57" s="63"/>
      <c r="D57" s="64"/>
      <c r="E57" s="66"/>
      <c r="F57" s="103" t="str">
        <f>HYPERLINK("https://pbs.twimg.com/profile_images/1229068388678406145/3fQb3p23_normal.jpg")</f>
        <v>https://pbs.twimg.com/profile_images/1229068388678406145/3fQb3p23_normal.jpg</v>
      </c>
      <c r="G57" s="63"/>
      <c r="H57" s="67"/>
      <c r="I57" s="68"/>
      <c r="J57" s="68"/>
      <c r="K57" s="67" t="s">
        <v>19689</v>
      </c>
      <c r="L57" s="71"/>
      <c r="M57" s="72"/>
      <c r="N57" s="72"/>
      <c r="O57" s="73"/>
      <c r="P57" s="74"/>
      <c r="Q57" s="74"/>
      <c r="R57" s="87"/>
      <c r="S57" s="87"/>
      <c r="T57" s="87"/>
      <c r="U57" s="87"/>
      <c r="V57" s="48"/>
      <c r="W57" s="48"/>
      <c r="X57" s="47">
        <v>1.101E-3</v>
      </c>
      <c r="Y57" s="48"/>
      <c r="Z57" s="47"/>
      <c r="AA57" s="69">
        <v>57</v>
      </c>
      <c r="AB57" s="69"/>
      <c r="AC57" s="70"/>
      <c r="AD57" s="76" t="s">
        <v>16698</v>
      </c>
      <c r="AE57" s="81" t="s">
        <v>16166</v>
      </c>
      <c r="AF57" s="76">
        <v>43</v>
      </c>
      <c r="AG57" s="76">
        <v>195</v>
      </c>
      <c r="AH57" s="76">
        <v>990</v>
      </c>
      <c r="AI57" s="76">
        <v>0</v>
      </c>
      <c r="AJ57" s="76">
        <v>728</v>
      </c>
      <c r="AK57" s="76">
        <v>28</v>
      </c>
      <c r="AL57" s="76" t="b">
        <v>0</v>
      </c>
      <c r="AM57" s="78">
        <v>43877.652928240743</v>
      </c>
      <c r="AN57" s="76" t="s">
        <v>17879</v>
      </c>
      <c r="AO57" s="76" t="s">
        <v>18199</v>
      </c>
      <c r="AP57" s="83" t="str">
        <f>HYPERLINK("https://t.co/gg7mz21ZUf")</f>
        <v>https://t.co/gg7mz21ZUf</v>
      </c>
      <c r="AQ57" s="83" t="str">
        <f>HYPERLINK("http://www.wetranslateontime.com")</f>
        <v>http://www.wetranslateontime.com</v>
      </c>
      <c r="AR57" s="76" t="s">
        <v>19021</v>
      </c>
      <c r="AS57" s="76"/>
      <c r="AT57" s="76"/>
      <c r="AU57" s="76"/>
      <c r="AV57" s="76"/>
      <c r="AW57" s="83" t="str">
        <f>HYPERLINK("https://t.co/gg7mz21ZUf")</f>
        <v>https://t.co/gg7mz21ZUf</v>
      </c>
      <c r="AX57" s="76" t="b">
        <v>0</v>
      </c>
      <c r="AY57" s="76"/>
      <c r="AZ57" s="76"/>
      <c r="BA57" s="76" t="b">
        <v>0</v>
      </c>
      <c r="BB57" s="76" t="b">
        <v>1</v>
      </c>
      <c r="BC57" s="76" t="b">
        <v>1</v>
      </c>
      <c r="BD57" s="76" t="b">
        <v>0</v>
      </c>
      <c r="BE57" s="76" t="b">
        <v>1</v>
      </c>
      <c r="BF57" s="76" t="b">
        <v>0</v>
      </c>
      <c r="BG57" s="76" t="b">
        <v>0</v>
      </c>
      <c r="BH57" s="83" t="str">
        <f>HYPERLINK("https://pbs.twimg.com/profile_banners/1229067916479533057/1581897694")</f>
        <v>https://pbs.twimg.com/profile_banners/1229067916479533057/1581897694</v>
      </c>
      <c r="BI57" s="76"/>
      <c r="BJ57" s="76" t="s">
        <v>19633</v>
      </c>
      <c r="BK57" s="76" t="b">
        <v>0</v>
      </c>
      <c r="BL57" s="76"/>
      <c r="BM57" s="76" t="s">
        <v>66</v>
      </c>
      <c r="BN57" s="76" t="s">
        <v>19635</v>
      </c>
      <c r="BO57" s="83" t="str">
        <f>HYPERLINK("https://twitter.com/gersonantunesc1")</f>
        <v>https://twitter.com/gersonantunesc1</v>
      </c>
      <c r="BP57" s="2"/>
    </row>
    <row r="58" spans="1:68" x14ac:dyDescent="0.25">
      <c r="A58" s="62" t="s">
        <v>1055</v>
      </c>
      <c r="B58" s="63"/>
      <c r="C58" s="63"/>
      <c r="D58" s="64"/>
      <c r="E58" s="66"/>
      <c r="F58" s="103" t="str">
        <f>HYPERLINK("https://pbs.twimg.com/profile_images/1687975038639575040/67i03Yew_normal.jpg")</f>
        <v>https://pbs.twimg.com/profile_images/1687975038639575040/67i03Yew_normal.jpg</v>
      </c>
      <c r="G58" s="63"/>
      <c r="H58" s="67"/>
      <c r="I58" s="68"/>
      <c r="J58" s="68"/>
      <c r="K58" s="67" t="s">
        <v>19690</v>
      </c>
      <c r="L58" s="71"/>
      <c r="M58" s="72"/>
      <c r="N58" s="72"/>
      <c r="O58" s="73"/>
      <c r="P58" s="74"/>
      <c r="Q58" s="74"/>
      <c r="R58" s="87"/>
      <c r="S58" s="87"/>
      <c r="T58" s="87"/>
      <c r="U58" s="87"/>
      <c r="V58" s="48"/>
      <c r="W58" s="48"/>
      <c r="X58" s="47">
        <v>1.101E-3</v>
      </c>
      <c r="Y58" s="48"/>
      <c r="Z58" s="47"/>
      <c r="AA58" s="69">
        <v>58</v>
      </c>
      <c r="AB58" s="69"/>
      <c r="AC58" s="70"/>
      <c r="AD58" s="76" t="s">
        <v>16699</v>
      </c>
      <c r="AE58" s="81" t="s">
        <v>15677</v>
      </c>
      <c r="AF58" s="76">
        <v>16612</v>
      </c>
      <c r="AG58" s="76">
        <v>215</v>
      </c>
      <c r="AH58" s="76">
        <v>1680</v>
      </c>
      <c r="AI58" s="76">
        <v>30</v>
      </c>
      <c r="AJ58" s="76">
        <v>2798</v>
      </c>
      <c r="AK58" s="76">
        <v>506</v>
      </c>
      <c r="AL58" s="76" t="b">
        <v>0</v>
      </c>
      <c r="AM58" s="78">
        <v>44898.044687499998</v>
      </c>
      <c r="AN58" s="76" t="s">
        <v>10554</v>
      </c>
      <c r="AO58" s="76" t="s">
        <v>18200</v>
      </c>
      <c r="AP58" s="83" t="str">
        <f>HYPERLINK("https://t.co/QbnSLD0hIC")</f>
        <v>https://t.co/QbnSLD0hIC</v>
      </c>
      <c r="AQ58" s="83" t="str">
        <f>HYPERLINK("https://linktr.ee/goncalosousa")</f>
        <v>https://linktr.ee/goncalosousa</v>
      </c>
      <c r="AR58" s="76" t="s">
        <v>19022</v>
      </c>
      <c r="AS58" s="76"/>
      <c r="AT58" s="76"/>
      <c r="AU58" s="76"/>
      <c r="AV58" s="76"/>
      <c r="AW58" s="83" t="str">
        <f>HYPERLINK("https://t.co/QbnSLD0hIC")</f>
        <v>https://t.co/QbnSLD0hIC</v>
      </c>
      <c r="AX58" s="76" t="b">
        <v>1</v>
      </c>
      <c r="AY58" s="76"/>
      <c r="AZ58" s="76"/>
      <c r="BA58" s="76" t="b">
        <v>0</v>
      </c>
      <c r="BB58" s="76" t="b">
        <v>0</v>
      </c>
      <c r="BC58" s="76" t="b">
        <v>1</v>
      </c>
      <c r="BD58" s="76" t="b">
        <v>0</v>
      </c>
      <c r="BE58" s="76" t="b">
        <v>0</v>
      </c>
      <c r="BF58" s="76" t="b">
        <v>0</v>
      </c>
      <c r="BG58" s="76" t="b">
        <v>0</v>
      </c>
      <c r="BH58" s="83" t="str">
        <f>HYPERLINK("https://pbs.twimg.com/profile_banners/1598845422268727296/1691279113")</f>
        <v>https://pbs.twimg.com/profile_banners/1598845422268727296/1691279113</v>
      </c>
      <c r="BI58" s="76"/>
      <c r="BJ58" s="76" t="s">
        <v>19633</v>
      </c>
      <c r="BK58" s="76" t="b">
        <v>0</v>
      </c>
      <c r="BL58" s="76"/>
      <c r="BM58" s="76" t="s">
        <v>65</v>
      </c>
      <c r="BN58" s="76" t="s">
        <v>19635</v>
      </c>
      <c r="BO58" s="83" t="str">
        <f>HYPERLINK("https://twitter.com/machotoxico_")</f>
        <v>https://twitter.com/machotoxico_</v>
      </c>
      <c r="BP58" s="2"/>
    </row>
    <row r="59" spans="1:68" x14ac:dyDescent="0.25">
      <c r="A59" s="62" t="s">
        <v>270</v>
      </c>
      <c r="B59" s="63"/>
      <c r="C59" s="63"/>
      <c r="D59" s="64"/>
      <c r="E59" s="66"/>
      <c r="F59" s="103" t="str">
        <f>HYPERLINK("https://pbs.twimg.com/profile_images/1656004536211841032/HRnhFWb4_normal.jpg")</f>
        <v>https://pbs.twimg.com/profile_images/1656004536211841032/HRnhFWb4_normal.jpg</v>
      </c>
      <c r="G59" s="63"/>
      <c r="H59" s="67"/>
      <c r="I59" s="68"/>
      <c r="J59" s="68"/>
      <c r="K59" s="67" t="s">
        <v>19691</v>
      </c>
      <c r="L59" s="71"/>
      <c r="M59" s="72"/>
      <c r="N59" s="72"/>
      <c r="O59" s="73"/>
      <c r="P59" s="74"/>
      <c r="Q59" s="74"/>
      <c r="R59" s="87"/>
      <c r="S59" s="87"/>
      <c r="T59" s="87"/>
      <c r="U59" s="87"/>
      <c r="V59" s="48"/>
      <c r="W59" s="48"/>
      <c r="X59" s="47">
        <v>1.101E-3</v>
      </c>
      <c r="Y59" s="48"/>
      <c r="Z59" s="47"/>
      <c r="AA59" s="69">
        <v>59</v>
      </c>
      <c r="AB59" s="69"/>
      <c r="AC59" s="70"/>
      <c r="AD59" s="76" t="s">
        <v>16700</v>
      </c>
      <c r="AE59" s="81" t="s">
        <v>15678</v>
      </c>
      <c r="AF59" s="76">
        <v>1</v>
      </c>
      <c r="AG59" s="76">
        <v>19</v>
      </c>
      <c r="AH59" s="76">
        <v>112</v>
      </c>
      <c r="AI59" s="76">
        <v>0</v>
      </c>
      <c r="AJ59" s="76">
        <v>19</v>
      </c>
      <c r="AK59" s="76">
        <v>27</v>
      </c>
      <c r="AL59" s="76" t="b">
        <v>0</v>
      </c>
      <c r="AM59" s="78">
        <v>45055.065381944441</v>
      </c>
      <c r="AN59" s="76"/>
      <c r="AO59" s="76" t="s">
        <v>18201</v>
      </c>
      <c r="AP59" s="83" t="str">
        <f>HYPERLINK("https://t.co/NtAsymS1yx")</f>
        <v>https://t.co/NtAsymS1yx</v>
      </c>
      <c r="AQ59" s="83" t="str">
        <f>HYPERLINK("https://www.aflawgovernancatributaria.com/home")</f>
        <v>https://www.aflawgovernancatributaria.com/home</v>
      </c>
      <c r="AR59" s="76" t="s">
        <v>19023</v>
      </c>
      <c r="AS59" s="76"/>
      <c r="AT59" s="76"/>
      <c r="AU59" s="76"/>
      <c r="AV59" s="76">
        <v>1.6635392480272901E+18</v>
      </c>
      <c r="AW59" s="83" t="str">
        <f>HYPERLINK("https://t.co/NtAsymS1yx")</f>
        <v>https://t.co/NtAsymS1yx</v>
      </c>
      <c r="AX59" s="76" t="b">
        <v>0</v>
      </c>
      <c r="AY59" s="76"/>
      <c r="AZ59" s="76"/>
      <c r="BA59" s="76" t="b">
        <v>0</v>
      </c>
      <c r="BB59" s="76" t="b">
        <v>1</v>
      </c>
      <c r="BC59" s="76" t="b">
        <v>1</v>
      </c>
      <c r="BD59" s="76" t="b">
        <v>0</v>
      </c>
      <c r="BE59" s="76" t="b">
        <v>0</v>
      </c>
      <c r="BF59" s="76" t="b">
        <v>0</v>
      </c>
      <c r="BG59" s="76" t="b">
        <v>0</v>
      </c>
      <c r="BH59" s="83" t="str">
        <f>HYPERLINK("https://pbs.twimg.com/profile_banners/1655747852386050049/1683657376")</f>
        <v>https://pbs.twimg.com/profile_banners/1655747852386050049/1683657376</v>
      </c>
      <c r="BI59" s="76"/>
      <c r="BJ59" s="76" t="s">
        <v>19633</v>
      </c>
      <c r="BK59" s="76" t="b">
        <v>0</v>
      </c>
      <c r="BL59" s="76"/>
      <c r="BM59" s="76" t="s">
        <v>66</v>
      </c>
      <c r="BN59" s="76" t="s">
        <v>19635</v>
      </c>
      <c r="BO59" s="83" t="str">
        <f>HYPERLINK("https://twitter.com/focanoimposto")</f>
        <v>https://twitter.com/focanoimposto</v>
      </c>
      <c r="BP59" s="2"/>
    </row>
    <row r="60" spans="1:68" x14ac:dyDescent="0.25">
      <c r="A60" s="62" t="s">
        <v>271</v>
      </c>
      <c r="B60" s="63"/>
      <c r="C60" s="63"/>
      <c r="D60" s="64"/>
      <c r="E60" s="66"/>
      <c r="F60" s="103" t="str">
        <f>HYPERLINK("https://pbs.twimg.com/profile_images/1662657806854500352/u83X0UAc_normal.jpg")</f>
        <v>https://pbs.twimg.com/profile_images/1662657806854500352/u83X0UAc_normal.jpg</v>
      </c>
      <c r="G60" s="63"/>
      <c r="H60" s="67"/>
      <c r="I60" s="68"/>
      <c r="J60" s="68"/>
      <c r="K60" s="67" t="s">
        <v>19692</v>
      </c>
      <c r="L60" s="71"/>
      <c r="M60" s="72"/>
      <c r="N60" s="72"/>
      <c r="O60" s="73"/>
      <c r="P60" s="74"/>
      <c r="Q60" s="74"/>
      <c r="R60" s="87"/>
      <c r="S60" s="87"/>
      <c r="T60" s="87"/>
      <c r="U60" s="87"/>
      <c r="V60" s="48"/>
      <c r="W60" s="48"/>
      <c r="X60" s="47">
        <v>1.101E-3</v>
      </c>
      <c r="Y60" s="48"/>
      <c r="Z60" s="47"/>
      <c r="AA60" s="69">
        <v>60</v>
      </c>
      <c r="AB60" s="69"/>
      <c r="AC60" s="70"/>
      <c r="AD60" s="76" t="s">
        <v>16701</v>
      </c>
      <c r="AE60" s="81" t="s">
        <v>17558</v>
      </c>
      <c r="AF60" s="76">
        <v>1081</v>
      </c>
      <c r="AG60" s="76">
        <v>624</v>
      </c>
      <c r="AH60" s="76">
        <v>39729</v>
      </c>
      <c r="AI60" s="76">
        <v>2</v>
      </c>
      <c r="AJ60" s="76">
        <v>35693</v>
      </c>
      <c r="AK60" s="76">
        <v>2459</v>
      </c>
      <c r="AL60" s="76" t="b">
        <v>0</v>
      </c>
      <c r="AM60" s="78">
        <v>40405.775243055556</v>
      </c>
      <c r="AN60" s="76" t="s">
        <v>10565</v>
      </c>
      <c r="AO60" s="76" t="s">
        <v>18202</v>
      </c>
      <c r="AP60" s="76"/>
      <c r="AQ60" s="76"/>
      <c r="AR60" s="76"/>
      <c r="AS60" s="76"/>
      <c r="AT60" s="76"/>
      <c r="AU60" s="76"/>
      <c r="AV60" s="76">
        <v>1.6591720009700301E+18</v>
      </c>
      <c r="AW60" s="76"/>
      <c r="AX60" s="76" t="b">
        <v>0</v>
      </c>
      <c r="AY60" s="76"/>
      <c r="AZ60" s="76"/>
      <c r="BA60" s="76" t="b">
        <v>0</v>
      </c>
      <c r="BB60" s="76" t="b">
        <v>0</v>
      </c>
      <c r="BC60" s="76" t="b">
        <v>0</v>
      </c>
      <c r="BD60" s="76" t="b">
        <v>0</v>
      </c>
      <c r="BE60" s="76" t="b">
        <v>1</v>
      </c>
      <c r="BF60" s="76" t="b">
        <v>0</v>
      </c>
      <c r="BG60" s="76" t="b">
        <v>0</v>
      </c>
      <c r="BH60" s="83" t="str">
        <f>HYPERLINK("https://pbs.twimg.com/profile_banners/178797676/1680720086")</f>
        <v>https://pbs.twimg.com/profile_banners/178797676/1680720086</v>
      </c>
      <c r="BI60" s="76"/>
      <c r="BJ60" s="76" t="s">
        <v>19633</v>
      </c>
      <c r="BK60" s="76" t="b">
        <v>0</v>
      </c>
      <c r="BL60" s="76"/>
      <c r="BM60" s="76" t="s">
        <v>66</v>
      </c>
      <c r="BN60" s="76" t="s">
        <v>19635</v>
      </c>
      <c r="BO60" s="83" t="str">
        <f>HYPERLINK("https://twitter.com/chaleira__")</f>
        <v>https://twitter.com/chaleira__</v>
      </c>
      <c r="BP60" s="2"/>
    </row>
    <row r="61" spans="1:68" x14ac:dyDescent="0.25">
      <c r="A61" s="62" t="s">
        <v>272</v>
      </c>
      <c r="B61" s="63"/>
      <c r="C61" s="63"/>
      <c r="D61" s="64"/>
      <c r="E61" s="66"/>
      <c r="F61" s="103" t="str">
        <f>HYPERLINK("https://pbs.twimg.com/profile_images/1288565039629246468/FpQ5WkT9_normal.jpg")</f>
        <v>https://pbs.twimg.com/profile_images/1288565039629246468/FpQ5WkT9_normal.jpg</v>
      </c>
      <c r="G61" s="63"/>
      <c r="H61" s="67"/>
      <c r="I61" s="68"/>
      <c r="J61" s="68"/>
      <c r="K61" s="67" t="s">
        <v>19693</v>
      </c>
      <c r="L61" s="71"/>
      <c r="M61" s="72"/>
      <c r="N61" s="72"/>
      <c r="O61" s="73"/>
      <c r="P61" s="74"/>
      <c r="Q61" s="74"/>
      <c r="R61" s="87"/>
      <c r="S61" s="87"/>
      <c r="T61" s="87"/>
      <c r="U61" s="87"/>
      <c r="V61" s="48"/>
      <c r="W61" s="48"/>
      <c r="X61" s="47">
        <v>1.101E-3</v>
      </c>
      <c r="Y61" s="48"/>
      <c r="Z61" s="47"/>
      <c r="AA61" s="69">
        <v>61</v>
      </c>
      <c r="AB61" s="69"/>
      <c r="AC61" s="70"/>
      <c r="AD61" s="76" t="s">
        <v>16702</v>
      </c>
      <c r="AE61" s="81" t="s">
        <v>16167</v>
      </c>
      <c r="AF61" s="76">
        <v>1</v>
      </c>
      <c r="AG61" s="76">
        <v>8</v>
      </c>
      <c r="AH61" s="76">
        <v>177</v>
      </c>
      <c r="AI61" s="76">
        <v>0</v>
      </c>
      <c r="AJ61" s="76">
        <v>0</v>
      </c>
      <c r="AK61" s="76">
        <v>16</v>
      </c>
      <c r="AL61" s="76" t="b">
        <v>0</v>
      </c>
      <c r="AM61" s="78">
        <v>44041.83321759259</v>
      </c>
      <c r="AN61" s="76"/>
      <c r="AO61" s="76" t="s">
        <v>18203</v>
      </c>
      <c r="AP61" s="83" t="str">
        <f>HYPERLINK("https://t.co/utppMS27oI")</f>
        <v>https://t.co/utppMS27oI</v>
      </c>
      <c r="AQ61" s="83" t="str">
        <f>HYPERLINK("https://linktr.ee/enriquecendo_com_acoes")</f>
        <v>https://linktr.ee/enriquecendo_com_acoes</v>
      </c>
      <c r="AR61" s="76" t="s">
        <v>19024</v>
      </c>
      <c r="AS61" s="76"/>
      <c r="AT61" s="76"/>
      <c r="AU61" s="76"/>
      <c r="AV61" s="76"/>
      <c r="AW61" s="83" t="str">
        <f>HYPERLINK("https://t.co/utppMS27oI")</f>
        <v>https://t.co/utppMS27oI</v>
      </c>
      <c r="AX61" s="76" t="b">
        <v>0</v>
      </c>
      <c r="AY61" s="76"/>
      <c r="AZ61" s="76"/>
      <c r="BA61" s="76" t="b">
        <v>0</v>
      </c>
      <c r="BB61" s="76" t="b">
        <v>1</v>
      </c>
      <c r="BC61" s="76" t="b">
        <v>1</v>
      </c>
      <c r="BD61" s="76" t="b">
        <v>0</v>
      </c>
      <c r="BE61" s="76" t="b">
        <v>0</v>
      </c>
      <c r="BF61" s="76" t="b">
        <v>0</v>
      </c>
      <c r="BG61" s="76" t="b">
        <v>0</v>
      </c>
      <c r="BH61" s="83" t="str">
        <f>HYPERLINK("https://pbs.twimg.com/profile_banners/1288564823182147584/1596052831")</f>
        <v>https://pbs.twimg.com/profile_banners/1288564823182147584/1596052831</v>
      </c>
      <c r="BI61" s="76"/>
      <c r="BJ61" s="76" t="s">
        <v>19633</v>
      </c>
      <c r="BK61" s="76" t="b">
        <v>0</v>
      </c>
      <c r="BL61" s="76"/>
      <c r="BM61" s="76" t="s">
        <v>66</v>
      </c>
      <c r="BN61" s="76" t="s">
        <v>19635</v>
      </c>
      <c r="BO61" s="83" t="str">
        <f>HYPERLINK("https://twitter.com/eacoes")</f>
        <v>https://twitter.com/eacoes</v>
      </c>
      <c r="BP61" s="2"/>
    </row>
    <row r="62" spans="1:68" x14ac:dyDescent="0.25">
      <c r="A62" s="62" t="s">
        <v>273</v>
      </c>
      <c r="B62" s="63"/>
      <c r="C62" s="63"/>
      <c r="D62" s="64"/>
      <c r="E62" s="66"/>
      <c r="F62" s="103" t="str">
        <f>HYPERLINK("https://pbs.twimg.com/profile_images/1680366298843209729/hcpCculI_normal.jpg")</f>
        <v>https://pbs.twimg.com/profile_images/1680366298843209729/hcpCculI_normal.jpg</v>
      </c>
      <c r="G62" s="63"/>
      <c r="H62" s="67"/>
      <c r="I62" s="68"/>
      <c r="J62" s="68"/>
      <c r="K62" s="67" t="s">
        <v>19694</v>
      </c>
      <c r="L62" s="71"/>
      <c r="M62" s="72"/>
      <c r="N62" s="72"/>
      <c r="O62" s="73"/>
      <c r="P62" s="74"/>
      <c r="Q62" s="74"/>
      <c r="R62" s="87"/>
      <c r="S62" s="87"/>
      <c r="T62" s="87"/>
      <c r="U62" s="87"/>
      <c r="V62" s="48"/>
      <c r="W62" s="48"/>
      <c r="X62" s="47">
        <v>1.024E-3</v>
      </c>
      <c r="Y62" s="48"/>
      <c r="Z62" s="47"/>
      <c r="AA62" s="69">
        <v>62</v>
      </c>
      <c r="AB62" s="69"/>
      <c r="AC62" s="70"/>
      <c r="AD62" s="76" t="s">
        <v>16703</v>
      </c>
      <c r="AE62" s="81" t="s">
        <v>17559</v>
      </c>
      <c r="AF62" s="76">
        <v>2149</v>
      </c>
      <c r="AG62" s="76">
        <v>808</v>
      </c>
      <c r="AH62" s="76">
        <v>9504</v>
      </c>
      <c r="AI62" s="76">
        <v>47</v>
      </c>
      <c r="AJ62" s="76">
        <v>11857</v>
      </c>
      <c r="AK62" s="76">
        <v>387</v>
      </c>
      <c r="AL62" s="76" t="b">
        <v>0</v>
      </c>
      <c r="AM62" s="78">
        <v>39850.494155092594</v>
      </c>
      <c r="AN62" s="76" t="s">
        <v>10552</v>
      </c>
      <c r="AO62" s="76" t="s">
        <v>18204</v>
      </c>
      <c r="AP62" s="83" t="str">
        <f>HYPERLINK("https://t.co/uUCkFKyG5J")</f>
        <v>https://t.co/uUCkFKyG5J</v>
      </c>
      <c r="AQ62" s="83" t="str">
        <f>HYPERLINK("http://www.meexplica.com")</f>
        <v>http://www.meexplica.com</v>
      </c>
      <c r="AR62" s="76" t="s">
        <v>19025</v>
      </c>
      <c r="AS62" s="76"/>
      <c r="AT62" s="76"/>
      <c r="AU62" s="76"/>
      <c r="AV62" s="76"/>
      <c r="AW62" s="83" t="str">
        <f>HYPERLINK("https://t.co/uUCkFKyG5J")</f>
        <v>https://t.co/uUCkFKyG5J</v>
      </c>
      <c r="AX62" s="76" t="b">
        <v>0</v>
      </c>
      <c r="AY62" s="76"/>
      <c r="AZ62" s="76"/>
      <c r="BA62" s="76" t="b">
        <v>0</v>
      </c>
      <c r="BB62" s="76" t="b">
        <v>0</v>
      </c>
      <c r="BC62" s="76" t="b">
        <v>0</v>
      </c>
      <c r="BD62" s="76" t="b">
        <v>0</v>
      </c>
      <c r="BE62" s="76" t="b">
        <v>1</v>
      </c>
      <c r="BF62" s="76" t="b">
        <v>0</v>
      </c>
      <c r="BG62" s="76" t="b">
        <v>0</v>
      </c>
      <c r="BH62" s="83" t="str">
        <f>HYPERLINK("https://pbs.twimg.com/profile_banners/20231571/1629898902")</f>
        <v>https://pbs.twimg.com/profile_banners/20231571/1629898902</v>
      </c>
      <c r="BI62" s="76"/>
      <c r="BJ62" s="76" t="s">
        <v>19633</v>
      </c>
      <c r="BK62" s="76" t="b">
        <v>0</v>
      </c>
      <c r="BL62" s="76"/>
      <c r="BM62" s="76" t="s">
        <v>66</v>
      </c>
      <c r="BN62" s="76" t="s">
        <v>19635</v>
      </c>
      <c r="BO62" s="83" t="str">
        <f>HYPERLINK("https://twitter.com/diogojorn")</f>
        <v>https://twitter.com/diogojorn</v>
      </c>
      <c r="BP62" s="2"/>
    </row>
    <row r="63" spans="1:68" x14ac:dyDescent="0.25">
      <c r="A63" s="62" t="s">
        <v>527</v>
      </c>
      <c r="B63" s="63"/>
      <c r="C63" s="63"/>
      <c r="D63" s="64"/>
      <c r="E63" s="66"/>
      <c r="F63" s="103" t="str">
        <f>HYPERLINK("https://pbs.twimg.com/profile_images/1694699476663914496/pAhGWDTb_normal.jpg")</f>
        <v>https://pbs.twimg.com/profile_images/1694699476663914496/pAhGWDTb_normal.jpg</v>
      </c>
      <c r="G63" s="63"/>
      <c r="H63" s="67"/>
      <c r="I63" s="68"/>
      <c r="J63" s="68"/>
      <c r="K63" s="67" t="s">
        <v>19695</v>
      </c>
      <c r="L63" s="71"/>
      <c r="M63" s="72"/>
      <c r="N63" s="72"/>
      <c r="O63" s="73"/>
      <c r="P63" s="74"/>
      <c r="Q63" s="74"/>
      <c r="R63" s="87"/>
      <c r="S63" s="87"/>
      <c r="T63" s="87"/>
      <c r="U63" s="87"/>
      <c r="V63" s="48"/>
      <c r="W63" s="48"/>
      <c r="X63" s="47">
        <v>1.178E-3</v>
      </c>
      <c r="Y63" s="48"/>
      <c r="Z63" s="47"/>
      <c r="AA63" s="69">
        <v>63</v>
      </c>
      <c r="AB63" s="69"/>
      <c r="AC63" s="70"/>
      <c r="AD63" s="76" t="s">
        <v>16704</v>
      </c>
      <c r="AE63" s="81" t="s">
        <v>16303</v>
      </c>
      <c r="AF63" s="76">
        <v>4756</v>
      </c>
      <c r="AG63" s="76">
        <v>18</v>
      </c>
      <c r="AH63" s="76">
        <v>16931</v>
      </c>
      <c r="AI63" s="76">
        <v>48</v>
      </c>
      <c r="AJ63" s="76">
        <v>233</v>
      </c>
      <c r="AK63" s="76">
        <v>963</v>
      </c>
      <c r="AL63" s="76" t="b">
        <v>0</v>
      </c>
      <c r="AM63" s="78">
        <v>44434.865127314813</v>
      </c>
      <c r="AN63" s="76" t="s">
        <v>10561</v>
      </c>
      <c r="AO63" s="76" t="s">
        <v>18205</v>
      </c>
      <c r="AP63" s="83" t="str">
        <f>HYPERLINK("https://t.co/U9FwGQUhSH")</f>
        <v>https://t.co/U9FwGQUhSH</v>
      </c>
      <c r="AQ63" s="83" t="str">
        <f>HYPERLINK("https://inteligenciafinanceira.com.br/")</f>
        <v>https://inteligenciafinanceira.com.br/</v>
      </c>
      <c r="AR63" s="76" t="s">
        <v>19026</v>
      </c>
      <c r="AS63" s="76"/>
      <c r="AT63" s="76"/>
      <c r="AU63" s="76"/>
      <c r="AV63" s="76"/>
      <c r="AW63" s="83" t="str">
        <f>HYPERLINK("https://t.co/U9FwGQUhSH")</f>
        <v>https://t.co/U9FwGQUhSH</v>
      </c>
      <c r="AX63" s="76" t="b">
        <v>0</v>
      </c>
      <c r="AY63" s="76"/>
      <c r="AZ63" s="76"/>
      <c r="BA63" s="76" t="b">
        <v>0</v>
      </c>
      <c r="BB63" s="76" t="b">
        <v>0</v>
      </c>
      <c r="BC63" s="76" t="b">
        <v>1</v>
      </c>
      <c r="BD63" s="76" t="b">
        <v>0</v>
      </c>
      <c r="BE63" s="76" t="b">
        <v>1</v>
      </c>
      <c r="BF63" s="76" t="b">
        <v>0</v>
      </c>
      <c r="BG63" s="76" t="b">
        <v>0</v>
      </c>
      <c r="BH63" s="83" t="str">
        <f>HYPERLINK("https://pbs.twimg.com/profile_banners/1430994486277156879/1692882816")</f>
        <v>https://pbs.twimg.com/profile_banners/1430994486277156879/1692882816</v>
      </c>
      <c r="BI63" s="76"/>
      <c r="BJ63" s="76" t="s">
        <v>19633</v>
      </c>
      <c r="BK63" s="76" t="b">
        <v>0</v>
      </c>
      <c r="BL63" s="76"/>
      <c r="BM63" s="76" t="s">
        <v>66</v>
      </c>
      <c r="BN63" s="76" t="s">
        <v>19635</v>
      </c>
      <c r="BO63" s="83" t="str">
        <f>HYPERLINK("https://twitter.com/sigaif")</f>
        <v>https://twitter.com/sigaif</v>
      </c>
      <c r="BP63" s="2"/>
    </row>
    <row r="64" spans="1:68" x14ac:dyDescent="0.25">
      <c r="A64" s="62" t="s">
        <v>274</v>
      </c>
      <c r="B64" s="63"/>
      <c r="C64" s="63"/>
      <c r="D64" s="64"/>
      <c r="E64" s="66"/>
      <c r="F64" s="103" t="str">
        <f>HYPERLINK("https://pbs.twimg.com/profile_images/1617627128605949954/-kKKlOMk_normal.jpg")</f>
        <v>https://pbs.twimg.com/profile_images/1617627128605949954/-kKKlOMk_normal.jpg</v>
      </c>
      <c r="G64" s="63"/>
      <c r="H64" s="67"/>
      <c r="I64" s="68"/>
      <c r="J64" s="68"/>
      <c r="K64" s="67" t="s">
        <v>19696</v>
      </c>
      <c r="L64" s="71"/>
      <c r="M64" s="72"/>
      <c r="N64" s="72"/>
      <c r="O64" s="73"/>
      <c r="P64" s="74"/>
      <c r="Q64" s="74"/>
      <c r="R64" s="87"/>
      <c r="S64" s="87"/>
      <c r="T64" s="87"/>
      <c r="U64" s="87"/>
      <c r="V64" s="48"/>
      <c r="W64" s="48"/>
      <c r="X64" s="47">
        <v>1.101E-3</v>
      </c>
      <c r="Y64" s="48"/>
      <c r="Z64" s="47"/>
      <c r="AA64" s="69">
        <v>64</v>
      </c>
      <c r="AB64" s="69"/>
      <c r="AC64" s="70"/>
      <c r="AD64" s="76" t="s">
        <v>16705</v>
      </c>
      <c r="AE64" s="81" t="s">
        <v>15679</v>
      </c>
      <c r="AF64" s="76">
        <v>5</v>
      </c>
      <c r="AG64" s="76">
        <v>70</v>
      </c>
      <c r="AH64" s="76">
        <v>164</v>
      </c>
      <c r="AI64" s="76">
        <v>0</v>
      </c>
      <c r="AJ64" s="76">
        <v>10</v>
      </c>
      <c r="AK64" s="76">
        <v>23</v>
      </c>
      <c r="AL64" s="76" t="b">
        <v>0</v>
      </c>
      <c r="AM64" s="78">
        <v>44949.709907407407</v>
      </c>
      <c r="AN64" s="76" t="s">
        <v>17880</v>
      </c>
      <c r="AO64" s="76" t="s">
        <v>18206</v>
      </c>
      <c r="AP64" s="76"/>
      <c r="AQ64" s="76"/>
      <c r="AR64" s="76"/>
      <c r="AS64" s="76"/>
      <c r="AT64" s="76"/>
      <c r="AU64" s="76"/>
      <c r="AV64" s="76">
        <v>1.61759864855186E+18</v>
      </c>
      <c r="AW64" s="76"/>
      <c r="AX64" s="76" t="b">
        <v>0</v>
      </c>
      <c r="AY64" s="76"/>
      <c r="AZ64" s="76"/>
      <c r="BA64" s="76" t="b">
        <v>0</v>
      </c>
      <c r="BB64" s="76" t="b">
        <v>1</v>
      </c>
      <c r="BC64" s="76" t="b">
        <v>1</v>
      </c>
      <c r="BD64" s="76" t="b">
        <v>0</v>
      </c>
      <c r="BE64" s="76" t="b">
        <v>1</v>
      </c>
      <c r="BF64" s="76" t="b">
        <v>0</v>
      </c>
      <c r="BG64" s="76" t="b">
        <v>0</v>
      </c>
      <c r="BH64" s="83" t="str">
        <f>HYPERLINK("https://pbs.twimg.com/profile_banners/1617568330553999385/1674507939")</f>
        <v>https://pbs.twimg.com/profile_banners/1617568330553999385/1674507939</v>
      </c>
      <c r="BI64" s="76"/>
      <c r="BJ64" s="76" t="s">
        <v>19633</v>
      </c>
      <c r="BK64" s="76" t="b">
        <v>0</v>
      </c>
      <c r="BL64" s="76"/>
      <c r="BM64" s="76" t="s">
        <v>66</v>
      </c>
      <c r="BN64" s="76" t="s">
        <v>19635</v>
      </c>
      <c r="BO64" s="83" t="str">
        <f>HYPERLINK("https://twitter.com/explibertario")</f>
        <v>https://twitter.com/explibertario</v>
      </c>
      <c r="BP64" s="2"/>
    </row>
    <row r="65" spans="1:68" x14ac:dyDescent="0.25">
      <c r="A65" s="62" t="s">
        <v>275</v>
      </c>
      <c r="B65" s="63"/>
      <c r="C65" s="63"/>
      <c r="D65" s="64"/>
      <c r="E65" s="66"/>
      <c r="F65" s="103" t="str">
        <f>HYPERLINK("https://pbs.twimg.com/profile_images/1483811240761872388/DhXZGQ1j_normal.jpg")</f>
        <v>https://pbs.twimg.com/profile_images/1483811240761872388/DhXZGQ1j_normal.jpg</v>
      </c>
      <c r="G65" s="63"/>
      <c r="H65" s="67"/>
      <c r="I65" s="68"/>
      <c r="J65" s="68"/>
      <c r="K65" s="67" t="s">
        <v>19697</v>
      </c>
      <c r="L65" s="71"/>
      <c r="M65" s="72"/>
      <c r="N65" s="72"/>
      <c r="O65" s="73"/>
      <c r="P65" s="74"/>
      <c r="Q65" s="74"/>
      <c r="R65" s="87"/>
      <c r="S65" s="87"/>
      <c r="T65" s="87"/>
      <c r="U65" s="87"/>
      <c r="V65" s="48"/>
      <c r="W65" s="48"/>
      <c r="X65" s="47">
        <v>1.101E-3</v>
      </c>
      <c r="Y65" s="48"/>
      <c r="Z65" s="47"/>
      <c r="AA65" s="69">
        <v>65</v>
      </c>
      <c r="AB65" s="69"/>
      <c r="AC65" s="70"/>
      <c r="AD65" s="76" t="s">
        <v>16706</v>
      </c>
      <c r="AE65" s="81" t="s">
        <v>15680</v>
      </c>
      <c r="AF65" s="76">
        <v>7</v>
      </c>
      <c r="AG65" s="76">
        <v>135</v>
      </c>
      <c r="AH65" s="76">
        <v>215</v>
      </c>
      <c r="AI65" s="76">
        <v>0</v>
      </c>
      <c r="AJ65" s="76">
        <v>8</v>
      </c>
      <c r="AK65" s="76">
        <v>1</v>
      </c>
      <c r="AL65" s="76" t="b">
        <v>0</v>
      </c>
      <c r="AM65" s="78">
        <v>44580.591041666667</v>
      </c>
      <c r="AN65" s="76" t="s">
        <v>10552</v>
      </c>
      <c r="AO65" s="76" t="s">
        <v>18207</v>
      </c>
      <c r="AP65" s="83" t="str">
        <f>HYPERLINK("https://t.co/m5HjKmGZ4P")</f>
        <v>https://t.co/m5HjKmGZ4P</v>
      </c>
      <c r="AQ65" s="83" t="str">
        <f>HYPERLINK("https://linktr.ee/inovacaolean")</f>
        <v>https://linktr.ee/inovacaolean</v>
      </c>
      <c r="AR65" s="76" t="s">
        <v>19027</v>
      </c>
      <c r="AS65" s="76"/>
      <c r="AT65" s="76"/>
      <c r="AU65" s="76"/>
      <c r="AV65" s="76"/>
      <c r="AW65" s="83" t="str">
        <f>HYPERLINK("https://t.co/m5HjKmGZ4P")</f>
        <v>https://t.co/m5HjKmGZ4P</v>
      </c>
      <c r="AX65" s="76" t="b">
        <v>0</v>
      </c>
      <c r="AY65" s="76"/>
      <c r="AZ65" s="76"/>
      <c r="BA65" s="76" t="b">
        <v>0</v>
      </c>
      <c r="BB65" s="76" t="b">
        <v>1</v>
      </c>
      <c r="BC65" s="76" t="b">
        <v>1</v>
      </c>
      <c r="BD65" s="76" t="b">
        <v>0</v>
      </c>
      <c r="BE65" s="76" t="b">
        <v>0</v>
      </c>
      <c r="BF65" s="76" t="b">
        <v>0</v>
      </c>
      <c r="BG65" s="76" t="b">
        <v>0</v>
      </c>
      <c r="BH65" s="83" t="str">
        <f>HYPERLINK("https://pbs.twimg.com/profile_banners/1483804131076812801/1642603163")</f>
        <v>https://pbs.twimg.com/profile_banners/1483804131076812801/1642603163</v>
      </c>
      <c r="BI65" s="76"/>
      <c r="BJ65" s="76" t="s">
        <v>19633</v>
      </c>
      <c r="BK65" s="76" t="b">
        <v>0</v>
      </c>
      <c r="BL65" s="76"/>
      <c r="BM65" s="76" t="s">
        <v>66</v>
      </c>
      <c r="BN65" s="76" t="s">
        <v>19635</v>
      </c>
      <c r="BO65" s="83" t="str">
        <f>HYPERLINK("https://twitter.com/inovacao_lean")</f>
        <v>https://twitter.com/inovacao_lean</v>
      </c>
      <c r="BP65" s="2"/>
    </row>
    <row r="66" spans="1:68" x14ac:dyDescent="0.25">
      <c r="A66" s="62" t="s">
        <v>276</v>
      </c>
      <c r="B66" s="63"/>
      <c r="C66" s="63"/>
      <c r="D66" s="64"/>
      <c r="E66" s="66"/>
      <c r="F66" s="103" t="str">
        <f>HYPERLINK("https://pbs.twimg.com/profile_images/338641028/daniel_normal.jpg")</f>
        <v>https://pbs.twimg.com/profile_images/338641028/daniel_normal.jpg</v>
      </c>
      <c r="G66" s="63"/>
      <c r="H66" s="67"/>
      <c r="I66" s="68"/>
      <c r="J66" s="68"/>
      <c r="K66" s="67" t="s">
        <v>19698</v>
      </c>
      <c r="L66" s="71"/>
      <c r="M66" s="72"/>
      <c r="N66" s="72"/>
      <c r="O66" s="73"/>
      <c r="P66" s="74"/>
      <c r="Q66" s="74"/>
      <c r="R66" s="87"/>
      <c r="S66" s="87"/>
      <c r="T66" s="87"/>
      <c r="U66" s="87"/>
      <c r="V66" s="48"/>
      <c r="W66" s="48"/>
      <c r="X66" s="47">
        <v>1.101E-3</v>
      </c>
      <c r="Y66" s="48"/>
      <c r="Z66" s="47"/>
      <c r="AA66" s="69">
        <v>66</v>
      </c>
      <c r="AB66" s="69"/>
      <c r="AC66" s="70"/>
      <c r="AD66" s="76" t="s">
        <v>16707</v>
      </c>
      <c r="AE66" s="81" t="s">
        <v>17560</v>
      </c>
      <c r="AF66" s="76">
        <v>1188</v>
      </c>
      <c r="AG66" s="76">
        <v>2396</v>
      </c>
      <c r="AH66" s="76">
        <v>10969</v>
      </c>
      <c r="AI66" s="76">
        <v>10</v>
      </c>
      <c r="AJ66" s="76">
        <v>16649</v>
      </c>
      <c r="AK66" s="76">
        <v>845</v>
      </c>
      <c r="AL66" s="76" t="b">
        <v>0</v>
      </c>
      <c r="AM66" s="78">
        <v>39750.774629629632</v>
      </c>
      <c r="AN66" s="76" t="s">
        <v>17881</v>
      </c>
      <c r="AO66" s="76" t="s">
        <v>18208</v>
      </c>
      <c r="AP66" s="83" t="str">
        <f>HYPERLINK("https://t.co/BMHqAWjAQW")</f>
        <v>https://t.co/BMHqAWjAQW</v>
      </c>
      <c r="AQ66" s="83" t="str">
        <f>HYPERLINK("http://www.roggia.com.br")</f>
        <v>http://www.roggia.com.br</v>
      </c>
      <c r="AR66" s="76" t="s">
        <v>19028</v>
      </c>
      <c r="AS66" s="76"/>
      <c r="AT66" s="76"/>
      <c r="AU66" s="76"/>
      <c r="AV66" s="76">
        <v>1.6514144831205701E+18</v>
      </c>
      <c r="AW66" s="83" t="str">
        <f>HYPERLINK("https://t.co/BMHqAWjAQW")</f>
        <v>https://t.co/BMHqAWjAQW</v>
      </c>
      <c r="AX66" s="76" t="b">
        <v>0</v>
      </c>
      <c r="AY66" s="76"/>
      <c r="AZ66" s="76"/>
      <c r="BA66" s="76" t="b">
        <v>0</v>
      </c>
      <c r="BB66" s="76" t="b">
        <v>1</v>
      </c>
      <c r="BC66" s="76" t="b">
        <v>0</v>
      </c>
      <c r="BD66" s="76" t="b">
        <v>0</v>
      </c>
      <c r="BE66" s="76" t="b">
        <v>1</v>
      </c>
      <c r="BF66" s="76" t="b">
        <v>0</v>
      </c>
      <c r="BG66" s="76" t="b">
        <v>0</v>
      </c>
      <c r="BH66" s="76"/>
      <c r="BI66" s="76"/>
      <c r="BJ66" s="76" t="s">
        <v>19633</v>
      </c>
      <c r="BK66" s="76" t="b">
        <v>0</v>
      </c>
      <c r="BL66" s="76"/>
      <c r="BM66" s="76" t="s">
        <v>66</v>
      </c>
      <c r="BN66" s="76" t="s">
        <v>19635</v>
      </c>
      <c r="BO66" s="83" t="str">
        <f>HYPERLINK("https://twitter.com/roggia")</f>
        <v>https://twitter.com/roggia</v>
      </c>
      <c r="BP66" s="2"/>
    </row>
    <row r="67" spans="1:68" x14ac:dyDescent="0.25">
      <c r="A67" s="62" t="s">
        <v>441</v>
      </c>
      <c r="B67" s="63"/>
      <c r="C67" s="63"/>
      <c r="D67" s="64"/>
      <c r="E67" s="66"/>
      <c r="F67" s="103" t="str">
        <f>HYPERLINK("https://pbs.twimg.com/profile_images/1589356813543247872/f3EUudVZ_normal.jpg")</f>
        <v>https://pbs.twimg.com/profile_images/1589356813543247872/f3EUudVZ_normal.jpg</v>
      </c>
      <c r="G67" s="63"/>
      <c r="H67" s="67"/>
      <c r="I67" s="68"/>
      <c r="J67" s="68"/>
      <c r="K67" s="67" t="s">
        <v>19699</v>
      </c>
      <c r="L67" s="71"/>
      <c r="M67" s="72"/>
      <c r="N67" s="72"/>
      <c r="O67" s="73"/>
      <c r="P67" s="74"/>
      <c r="Q67" s="74"/>
      <c r="R67" s="87"/>
      <c r="S67" s="87"/>
      <c r="T67" s="87"/>
      <c r="U67" s="87"/>
      <c r="V67" s="48"/>
      <c r="W67" s="48"/>
      <c r="X67" s="47">
        <v>1.101E-3</v>
      </c>
      <c r="Y67" s="48"/>
      <c r="Z67" s="47"/>
      <c r="AA67" s="69">
        <v>67</v>
      </c>
      <c r="AB67" s="69"/>
      <c r="AC67" s="70"/>
      <c r="AD67" s="76" t="s">
        <v>16708</v>
      </c>
      <c r="AE67" s="81" t="s">
        <v>17561</v>
      </c>
      <c r="AF67" s="76">
        <v>35703</v>
      </c>
      <c r="AG67" s="76">
        <v>9387</v>
      </c>
      <c r="AH67" s="76">
        <v>25807</v>
      </c>
      <c r="AI67" s="76">
        <v>24</v>
      </c>
      <c r="AJ67" s="76">
        <v>17534</v>
      </c>
      <c r="AK67" s="76">
        <v>3066</v>
      </c>
      <c r="AL67" s="76" t="b">
        <v>0</v>
      </c>
      <c r="AM67" s="78">
        <v>40997.878333333334</v>
      </c>
      <c r="AN67" s="76" t="s">
        <v>17882</v>
      </c>
      <c r="AO67" s="76" t="s">
        <v>18209</v>
      </c>
      <c r="AP67" s="76"/>
      <c r="AQ67" s="76"/>
      <c r="AR67" s="76"/>
      <c r="AS67" s="76"/>
      <c r="AT67" s="76"/>
      <c r="AU67" s="76"/>
      <c r="AV67" s="76"/>
      <c r="AW67" s="76"/>
      <c r="AX67" s="76" t="b">
        <v>0</v>
      </c>
      <c r="AY67" s="76"/>
      <c r="AZ67" s="76"/>
      <c r="BA67" s="76" t="b">
        <v>0</v>
      </c>
      <c r="BB67" s="76" t="b">
        <v>1</v>
      </c>
      <c r="BC67" s="76" t="b">
        <v>1</v>
      </c>
      <c r="BD67" s="76" t="b">
        <v>0</v>
      </c>
      <c r="BE67" s="76" t="b">
        <v>1</v>
      </c>
      <c r="BF67" s="76" t="b">
        <v>0</v>
      </c>
      <c r="BG67" s="76" t="b">
        <v>0</v>
      </c>
      <c r="BH67" s="83" t="str">
        <f>HYPERLINK("https://pbs.twimg.com/profile_banners/540276838/1667767142")</f>
        <v>https://pbs.twimg.com/profile_banners/540276838/1667767142</v>
      </c>
      <c r="BI67" s="76"/>
      <c r="BJ67" s="76" t="s">
        <v>19633</v>
      </c>
      <c r="BK67" s="76" t="b">
        <v>0</v>
      </c>
      <c r="BL67" s="76"/>
      <c r="BM67" s="76" t="s">
        <v>66</v>
      </c>
      <c r="BN67" s="76" t="s">
        <v>19635</v>
      </c>
      <c r="BO67" s="83" t="str">
        <f>HYPERLINK("https://twitter.com/terra__brasilis")</f>
        <v>https://twitter.com/terra__brasilis</v>
      </c>
      <c r="BP67" s="2"/>
    </row>
    <row r="68" spans="1:68" x14ac:dyDescent="0.25">
      <c r="A68" s="62" t="s">
        <v>277</v>
      </c>
      <c r="B68" s="63"/>
      <c r="C68" s="63"/>
      <c r="D68" s="64"/>
      <c r="E68" s="66"/>
      <c r="F68" s="103" t="str">
        <f>HYPERLINK("https://pbs.twimg.com/profile_images/1403025377639940101/CZQOoL51_normal.jpg")</f>
        <v>https://pbs.twimg.com/profile_images/1403025377639940101/CZQOoL51_normal.jpg</v>
      </c>
      <c r="G68" s="63"/>
      <c r="H68" s="67"/>
      <c r="I68" s="68"/>
      <c r="J68" s="68"/>
      <c r="K68" s="67" t="s">
        <v>19700</v>
      </c>
      <c r="L68" s="71"/>
      <c r="M68" s="72"/>
      <c r="N68" s="72"/>
      <c r="O68" s="73"/>
      <c r="P68" s="74"/>
      <c r="Q68" s="74"/>
      <c r="R68" s="87"/>
      <c r="S68" s="87"/>
      <c r="T68" s="87"/>
      <c r="U68" s="87"/>
      <c r="V68" s="48"/>
      <c r="W68" s="48"/>
      <c r="X68" s="47">
        <v>1.101E-3</v>
      </c>
      <c r="Y68" s="48"/>
      <c r="Z68" s="47"/>
      <c r="AA68" s="69">
        <v>68</v>
      </c>
      <c r="AB68" s="69"/>
      <c r="AC68" s="70"/>
      <c r="AD68" s="76" t="s">
        <v>16709</v>
      </c>
      <c r="AE68" s="81" t="s">
        <v>17562</v>
      </c>
      <c r="AF68" s="76">
        <v>1429</v>
      </c>
      <c r="AG68" s="76">
        <v>285</v>
      </c>
      <c r="AH68" s="76">
        <v>46417</v>
      </c>
      <c r="AI68" s="76">
        <v>8</v>
      </c>
      <c r="AJ68" s="76">
        <v>320</v>
      </c>
      <c r="AK68" s="76">
        <v>27880</v>
      </c>
      <c r="AL68" s="76" t="b">
        <v>0</v>
      </c>
      <c r="AM68" s="78">
        <v>41799.823981481481</v>
      </c>
      <c r="AN68" s="76" t="s">
        <v>17883</v>
      </c>
      <c r="AO68" s="76" t="s">
        <v>18210</v>
      </c>
      <c r="AP68" s="83" t="str">
        <f>HYPERLINK("https://t.co/P8jRmkTyxJ")</f>
        <v>https://t.co/P8jRmkTyxJ</v>
      </c>
      <c r="AQ68" s="83" t="str">
        <f>HYPERLINK("http://jornaldealagoas.com.br/")</f>
        <v>http://jornaldealagoas.com.br/</v>
      </c>
      <c r="AR68" s="76" t="s">
        <v>19029</v>
      </c>
      <c r="AS68" s="76"/>
      <c r="AT68" s="76"/>
      <c r="AU68" s="76"/>
      <c r="AV68" s="76"/>
      <c r="AW68" s="83" t="str">
        <f>HYPERLINK("https://t.co/P8jRmkTyxJ")</f>
        <v>https://t.co/P8jRmkTyxJ</v>
      </c>
      <c r="AX68" s="76" t="b">
        <v>0</v>
      </c>
      <c r="AY68" s="76"/>
      <c r="AZ68" s="76"/>
      <c r="BA68" s="76" t="b">
        <v>0</v>
      </c>
      <c r="BB68" s="76" t="b">
        <v>1</v>
      </c>
      <c r="BC68" s="76" t="b">
        <v>1</v>
      </c>
      <c r="BD68" s="76" t="b">
        <v>0</v>
      </c>
      <c r="BE68" s="76" t="b">
        <v>1</v>
      </c>
      <c r="BF68" s="76" t="b">
        <v>0</v>
      </c>
      <c r="BG68" s="76" t="b">
        <v>0</v>
      </c>
      <c r="BH68" s="83" t="str">
        <f>HYPERLINK("https://pbs.twimg.com/profile_banners/2557438489/1623342295")</f>
        <v>https://pbs.twimg.com/profile_banners/2557438489/1623342295</v>
      </c>
      <c r="BI68" s="76"/>
      <c r="BJ68" s="76" t="s">
        <v>19633</v>
      </c>
      <c r="BK68" s="76" t="b">
        <v>0</v>
      </c>
      <c r="BL68" s="76"/>
      <c r="BM68" s="76" t="s">
        <v>66</v>
      </c>
      <c r="BN68" s="76" t="s">
        <v>19635</v>
      </c>
      <c r="BO68" s="83" t="str">
        <f>HYPERLINK("https://twitter.com/jornaldealagoas")</f>
        <v>https://twitter.com/jornaldealagoas</v>
      </c>
      <c r="BP68" s="2"/>
    </row>
    <row r="69" spans="1:68" x14ac:dyDescent="0.25">
      <c r="A69" s="62" t="s">
        <v>278</v>
      </c>
      <c r="B69" s="63"/>
      <c r="C69" s="63"/>
      <c r="D69" s="64"/>
      <c r="E69" s="66"/>
      <c r="F69" s="103" t="str">
        <f>HYPERLINK("https://pbs.twimg.com/profile_images/1050746979943354373/GDnOnAx4_normal.jpg")</f>
        <v>https://pbs.twimg.com/profile_images/1050746979943354373/GDnOnAx4_normal.jpg</v>
      </c>
      <c r="G69" s="63"/>
      <c r="H69" s="67"/>
      <c r="I69" s="68"/>
      <c r="J69" s="68"/>
      <c r="K69" s="67" t="s">
        <v>19701</v>
      </c>
      <c r="L69" s="71"/>
      <c r="M69" s="72"/>
      <c r="N69" s="72"/>
      <c r="O69" s="73"/>
      <c r="P69" s="74"/>
      <c r="Q69" s="74"/>
      <c r="R69" s="87"/>
      <c r="S69" s="87"/>
      <c r="T69" s="87"/>
      <c r="U69" s="87"/>
      <c r="V69" s="48"/>
      <c r="W69" s="48"/>
      <c r="X69" s="47">
        <v>9.7400000000000004E-4</v>
      </c>
      <c r="Y69" s="48"/>
      <c r="Z69" s="47"/>
      <c r="AA69" s="69">
        <v>69</v>
      </c>
      <c r="AB69" s="69"/>
      <c r="AC69" s="70"/>
      <c r="AD69" s="76" t="s">
        <v>16710</v>
      </c>
      <c r="AE69" s="81" t="s">
        <v>16168</v>
      </c>
      <c r="AF69" s="76">
        <v>26</v>
      </c>
      <c r="AG69" s="76">
        <v>34</v>
      </c>
      <c r="AH69" s="76">
        <v>250</v>
      </c>
      <c r="AI69" s="76">
        <v>2</v>
      </c>
      <c r="AJ69" s="76">
        <v>496</v>
      </c>
      <c r="AK69" s="76">
        <v>4</v>
      </c>
      <c r="AL69" s="76" t="b">
        <v>0</v>
      </c>
      <c r="AM69" s="78">
        <v>43385.573796296296</v>
      </c>
      <c r="AN69" s="76" t="s">
        <v>10570</v>
      </c>
      <c r="AO69" s="76"/>
      <c r="AP69" s="76"/>
      <c r="AQ69" s="76"/>
      <c r="AR69" s="76"/>
      <c r="AS69" s="76"/>
      <c r="AT69" s="76"/>
      <c r="AU69" s="76"/>
      <c r="AV69" s="76"/>
      <c r="AW69" s="76"/>
      <c r="AX69" s="76" t="b">
        <v>0</v>
      </c>
      <c r="AY69" s="76"/>
      <c r="AZ69" s="76"/>
      <c r="BA69" s="76" t="b">
        <v>1</v>
      </c>
      <c r="BB69" s="76" t="b">
        <v>0</v>
      </c>
      <c r="BC69" s="76" t="b">
        <v>1</v>
      </c>
      <c r="BD69" s="76" t="b">
        <v>0</v>
      </c>
      <c r="BE69" s="76" t="b">
        <v>0</v>
      </c>
      <c r="BF69" s="76" t="b">
        <v>0</v>
      </c>
      <c r="BG69" s="76" t="b">
        <v>0</v>
      </c>
      <c r="BH69" s="76"/>
      <c r="BI69" s="76"/>
      <c r="BJ69" s="76" t="s">
        <v>19633</v>
      </c>
      <c r="BK69" s="76" t="b">
        <v>0</v>
      </c>
      <c r="BL69" s="76"/>
      <c r="BM69" s="76" t="s">
        <v>66</v>
      </c>
      <c r="BN69" s="76" t="s">
        <v>19635</v>
      </c>
      <c r="BO69" s="83" t="str">
        <f>HYPERLINK("https://twitter.com/j_caio_r")</f>
        <v>https://twitter.com/j_caio_r</v>
      </c>
      <c r="BP69" s="2"/>
    </row>
    <row r="70" spans="1:68" x14ac:dyDescent="0.25">
      <c r="A70" s="62" t="s">
        <v>934</v>
      </c>
      <c r="B70" s="63"/>
      <c r="C70" s="63"/>
      <c r="D70" s="64"/>
      <c r="E70" s="66"/>
      <c r="F70" s="103" t="str">
        <f>HYPERLINK("https://pbs.twimg.com/profile_images/1413272230100979712/20Fepaxt_normal.jpg")</f>
        <v>https://pbs.twimg.com/profile_images/1413272230100979712/20Fepaxt_normal.jpg</v>
      </c>
      <c r="G70" s="63"/>
      <c r="H70" s="67"/>
      <c r="I70" s="68"/>
      <c r="J70" s="68"/>
      <c r="K70" s="67" t="s">
        <v>19702</v>
      </c>
      <c r="L70" s="71"/>
      <c r="M70" s="72"/>
      <c r="N70" s="72"/>
      <c r="O70" s="73"/>
      <c r="P70" s="74"/>
      <c r="Q70" s="74"/>
      <c r="R70" s="87"/>
      <c r="S70" s="87"/>
      <c r="T70" s="87"/>
      <c r="U70" s="87"/>
      <c r="V70" s="48"/>
      <c r="W70" s="48"/>
      <c r="X70" s="47">
        <v>1.784E-3</v>
      </c>
      <c r="Y70" s="48"/>
      <c r="Z70" s="47"/>
      <c r="AA70" s="69">
        <v>70</v>
      </c>
      <c r="AB70" s="69"/>
      <c r="AC70" s="70"/>
      <c r="AD70" s="76" t="s">
        <v>16711</v>
      </c>
      <c r="AE70" s="81" t="s">
        <v>16542</v>
      </c>
      <c r="AF70" s="76">
        <v>2881</v>
      </c>
      <c r="AG70" s="76">
        <v>61</v>
      </c>
      <c r="AH70" s="76">
        <v>919</v>
      </c>
      <c r="AI70" s="76">
        <v>4</v>
      </c>
      <c r="AJ70" s="76">
        <v>955</v>
      </c>
      <c r="AK70" s="76">
        <v>349</v>
      </c>
      <c r="AL70" s="76" t="b">
        <v>0</v>
      </c>
      <c r="AM70" s="78">
        <v>44336.860798611109</v>
      </c>
      <c r="AN70" s="76" t="s">
        <v>10631</v>
      </c>
      <c r="AO70" s="76" t="s">
        <v>18211</v>
      </c>
      <c r="AP70" s="83" t="str">
        <f>HYPERLINK("https://t.co/rLp2pnLLIM")</f>
        <v>https://t.co/rLp2pnLLIM</v>
      </c>
      <c r="AQ70" s="83" t="str">
        <f>HYPERLINK("https://trakto.link/leveinvest")</f>
        <v>https://trakto.link/leveinvest</v>
      </c>
      <c r="AR70" s="76" t="s">
        <v>19030</v>
      </c>
      <c r="AS70" s="83" t="str">
        <f>HYPERLINK("https://t.co/J1qDhJ5VAo")</f>
        <v>https://t.co/J1qDhJ5VAo</v>
      </c>
      <c r="AT70" s="83" t="str">
        <f>HYPERLINK("http://t.me/leveinvestimento")</f>
        <v>http://t.me/leveinvestimento</v>
      </c>
      <c r="AU70" s="76" t="s">
        <v>19578</v>
      </c>
      <c r="AV70" s="76">
        <v>1.65054775406465E+18</v>
      </c>
      <c r="AW70" s="83" t="str">
        <f>HYPERLINK("https://t.co/rLp2pnLLIM")</f>
        <v>https://t.co/rLp2pnLLIM</v>
      </c>
      <c r="AX70" s="76" t="b">
        <v>1</v>
      </c>
      <c r="AY70" s="76"/>
      <c r="AZ70" s="76"/>
      <c r="BA70" s="76" t="b">
        <v>0</v>
      </c>
      <c r="BB70" s="76" t="b">
        <v>1</v>
      </c>
      <c r="BC70" s="76" t="b">
        <v>1</v>
      </c>
      <c r="BD70" s="76" t="b">
        <v>0</v>
      </c>
      <c r="BE70" s="76" t="b">
        <v>0</v>
      </c>
      <c r="BF70" s="76" t="b">
        <v>0</v>
      </c>
      <c r="BG70" s="76" t="b">
        <v>0</v>
      </c>
      <c r="BH70" s="83" t="str">
        <f>HYPERLINK("https://pbs.twimg.com/profile_banners/1395479292352548865/1666046265")</f>
        <v>https://pbs.twimg.com/profile_banners/1395479292352548865/1666046265</v>
      </c>
      <c r="BI70" s="76"/>
      <c r="BJ70" s="76" t="s">
        <v>19633</v>
      </c>
      <c r="BK70" s="76" t="b">
        <v>0</v>
      </c>
      <c r="BL70" s="76"/>
      <c r="BM70" s="76" t="s">
        <v>66</v>
      </c>
      <c r="BN70" s="76" t="s">
        <v>19635</v>
      </c>
      <c r="BO70" s="83" t="str">
        <f>HYPERLINK("https://twitter.com/leveappbr")</f>
        <v>https://twitter.com/leveappbr</v>
      </c>
      <c r="BP70" s="2"/>
    </row>
    <row r="71" spans="1:68" x14ac:dyDescent="0.25">
      <c r="A71" s="62" t="s">
        <v>279</v>
      </c>
      <c r="B71" s="63"/>
      <c r="C71" s="63"/>
      <c r="D71" s="64"/>
      <c r="E71" s="66"/>
      <c r="F71" s="103" t="str">
        <f>HYPERLINK("https://pbs.twimg.com/profile_images/1635030400572575746/pQHcxflX_normal.png")</f>
        <v>https://pbs.twimg.com/profile_images/1635030400572575746/pQHcxflX_normal.png</v>
      </c>
      <c r="G71" s="63"/>
      <c r="H71" s="67"/>
      <c r="I71" s="68"/>
      <c r="J71" s="68"/>
      <c r="K71" s="67" t="s">
        <v>19703</v>
      </c>
      <c r="L71" s="71"/>
      <c r="M71" s="72"/>
      <c r="N71" s="72"/>
      <c r="O71" s="73"/>
      <c r="P71" s="74"/>
      <c r="Q71" s="74"/>
      <c r="R71" s="87"/>
      <c r="S71" s="87"/>
      <c r="T71" s="87"/>
      <c r="U71" s="87"/>
      <c r="V71" s="48"/>
      <c r="W71" s="48"/>
      <c r="X71" s="47">
        <v>1.101E-3</v>
      </c>
      <c r="Y71" s="48"/>
      <c r="Z71" s="47"/>
      <c r="AA71" s="69">
        <v>71</v>
      </c>
      <c r="AB71" s="69"/>
      <c r="AC71" s="70"/>
      <c r="AD71" s="76" t="s">
        <v>16712</v>
      </c>
      <c r="AE71" s="81" t="s">
        <v>16169</v>
      </c>
      <c r="AF71" s="76">
        <v>584</v>
      </c>
      <c r="AG71" s="76">
        <v>40</v>
      </c>
      <c r="AH71" s="76">
        <v>43</v>
      </c>
      <c r="AI71" s="76">
        <v>0</v>
      </c>
      <c r="AJ71" s="76">
        <v>7</v>
      </c>
      <c r="AK71" s="76">
        <v>25</v>
      </c>
      <c r="AL71" s="76" t="b">
        <v>0</v>
      </c>
      <c r="AM71" s="78">
        <v>42932.637777777774</v>
      </c>
      <c r="AN71" s="76" t="s">
        <v>17884</v>
      </c>
      <c r="AO71" s="76" t="s">
        <v>18212</v>
      </c>
      <c r="AP71" s="83" t="str">
        <f>HYPERLINK("https://t.co/HNmTE75mgI")</f>
        <v>https://t.co/HNmTE75mgI</v>
      </c>
      <c r="AQ71" s="83" t="str">
        <f>HYPERLINK("http://linktr.ee/meunomelimpo")</f>
        <v>http://linktr.ee/meunomelimpo</v>
      </c>
      <c r="AR71" s="76" t="s">
        <v>19031</v>
      </c>
      <c r="AS71" s="76"/>
      <c r="AT71" s="76"/>
      <c r="AU71" s="76"/>
      <c r="AV71" s="76"/>
      <c r="AW71" s="83" t="str">
        <f>HYPERLINK("https://t.co/HNmTE75mgI")</f>
        <v>https://t.co/HNmTE75mgI</v>
      </c>
      <c r="AX71" s="76" t="b">
        <v>0</v>
      </c>
      <c r="AY71" s="76"/>
      <c r="AZ71" s="76"/>
      <c r="BA71" s="76" t="b">
        <v>0</v>
      </c>
      <c r="BB71" s="76" t="b">
        <v>1</v>
      </c>
      <c r="BC71" s="76" t="b">
        <v>1</v>
      </c>
      <c r="BD71" s="76" t="b">
        <v>0</v>
      </c>
      <c r="BE71" s="76" t="b">
        <v>0</v>
      </c>
      <c r="BF71" s="76" t="b">
        <v>0</v>
      </c>
      <c r="BG71" s="76" t="b">
        <v>0</v>
      </c>
      <c r="BH71" s="83" t="str">
        <f>HYPERLINK("https://pbs.twimg.com/profile_banners/886605943370338305/1678657442")</f>
        <v>https://pbs.twimg.com/profile_banners/886605943370338305/1678657442</v>
      </c>
      <c r="BI71" s="76"/>
      <c r="BJ71" s="76" t="s">
        <v>19633</v>
      </c>
      <c r="BK71" s="76" t="b">
        <v>0</v>
      </c>
      <c r="BL71" s="76"/>
      <c r="BM71" s="76" t="s">
        <v>66</v>
      </c>
      <c r="BN71" s="76" t="s">
        <v>19635</v>
      </c>
      <c r="BO71" s="83" t="str">
        <f>HYPERLINK("https://twitter.com/_meunomelimpo")</f>
        <v>https://twitter.com/_meunomelimpo</v>
      </c>
      <c r="BP71" s="2"/>
    </row>
    <row r="72" spans="1:68" x14ac:dyDescent="0.25">
      <c r="A72" s="62" t="s">
        <v>280</v>
      </c>
      <c r="B72" s="63"/>
      <c r="C72" s="63"/>
      <c r="D72" s="64"/>
      <c r="E72" s="66"/>
      <c r="F72" s="103" t="str">
        <f>HYPERLINK("https://pbs.twimg.com/profile_images/1681320842687332352/5SWEz6Q4_normal.jpg")</f>
        <v>https://pbs.twimg.com/profile_images/1681320842687332352/5SWEz6Q4_normal.jpg</v>
      </c>
      <c r="G72" s="63"/>
      <c r="H72" s="67"/>
      <c r="I72" s="68"/>
      <c r="J72" s="68"/>
      <c r="K72" s="67" t="s">
        <v>19704</v>
      </c>
      <c r="L72" s="71"/>
      <c r="M72" s="72"/>
      <c r="N72" s="72"/>
      <c r="O72" s="73"/>
      <c r="P72" s="74"/>
      <c r="Q72" s="74"/>
      <c r="R72" s="87"/>
      <c r="S72" s="87"/>
      <c r="T72" s="87"/>
      <c r="U72" s="87"/>
      <c r="V72" s="48"/>
      <c r="W72" s="48"/>
      <c r="X72" s="47">
        <v>1.101E-3</v>
      </c>
      <c r="Y72" s="48"/>
      <c r="Z72" s="47"/>
      <c r="AA72" s="69">
        <v>72</v>
      </c>
      <c r="AB72" s="69"/>
      <c r="AC72" s="70"/>
      <c r="AD72" s="76" t="s">
        <v>16713</v>
      </c>
      <c r="AE72" s="81" t="s">
        <v>16170</v>
      </c>
      <c r="AF72" s="76">
        <v>3</v>
      </c>
      <c r="AG72" s="76">
        <v>7</v>
      </c>
      <c r="AH72" s="76">
        <v>100</v>
      </c>
      <c r="AI72" s="76">
        <v>0</v>
      </c>
      <c r="AJ72" s="76">
        <v>3</v>
      </c>
      <c r="AK72" s="76">
        <v>3</v>
      </c>
      <c r="AL72" s="76" t="b">
        <v>0</v>
      </c>
      <c r="AM72" s="78">
        <v>45125.629386574074</v>
      </c>
      <c r="AN72" s="76"/>
      <c r="AO72" s="76" t="s">
        <v>18213</v>
      </c>
      <c r="AP72" s="76"/>
      <c r="AQ72" s="76"/>
      <c r="AR72" s="76"/>
      <c r="AS72" s="83" t="str">
        <f>HYPERLINK("https://t.co/pBrgQnIk7C")</f>
        <v>https://t.co/pBrgQnIk7C</v>
      </c>
      <c r="AT72" s="83" t="str">
        <f>HYPERLINK("http://homemlapidado.gumroad.com/?_gl=1*u7qhdx")</f>
        <v>http://homemlapidado.gumroad.com/?_gl=1*u7qhdx</v>
      </c>
      <c r="AU72" s="76" t="s">
        <v>19579</v>
      </c>
      <c r="AV72" s="76">
        <v>1.6864225836363799E+18</v>
      </c>
      <c r="AW72" s="76"/>
      <c r="AX72" s="76" t="b">
        <v>0</v>
      </c>
      <c r="AY72" s="76"/>
      <c r="AZ72" s="76"/>
      <c r="BA72" s="76" t="b">
        <v>0</v>
      </c>
      <c r="BB72" s="76" t="b">
        <v>1</v>
      </c>
      <c r="BC72" s="76" t="b">
        <v>1</v>
      </c>
      <c r="BD72" s="76" t="b">
        <v>0</v>
      </c>
      <c r="BE72" s="76" t="b">
        <v>0</v>
      </c>
      <c r="BF72" s="76" t="b">
        <v>0</v>
      </c>
      <c r="BG72" s="76" t="b">
        <v>0</v>
      </c>
      <c r="BH72" s="83" t="str">
        <f>HYPERLINK("https://pbs.twimg.com/profile_banners/1681319448932941824/1691163308")</f>
        <v>https://pbs.twimg.com/profile_banners/1681319448932941824/1691163308</v>
      </c>
      <c r="BI72" s="76"/>
      <c r="BJ72" s="76" t="s">
        <v>19633</v>
      </c>
      <c r="BK72" s="76" t="b">
        <v>0</v>
      </c>
      <c r="BL72" s="76"/>
      <c r="BM72" s="76" t="s">
        <v>66</v>
      </c>
      <c r="BN72" s="76" t="s">
        <v>19635</v>
      </c>
      <c r="BO72" s="83" t="str">
        <f>HYPERLINK("https://twitter.com/manframing")</f>
        <v>https://twitter.com/manframing</v>
      </c>
      <c r="BP72" s="2"/>
    </row>
    <row r="73" spans="1:68" x14ac:dyDescent="0.25">
      <c r="A73" s="62" t="s">
        <v>281</v>
      </c>
      <c r="B73" s="63"/>
      <c r="C73" s="63"/>
      <c r="D73" s="64"/>
      <c r="E73" s="66"/>
      <c r="F73" s="103" t="str">
        <f>HYPERLINK("https://pbs.twimg.com/profile_images/782964612539019264/rp814j8a_normal.jpg")</f>
        <v>https://pbs.twimg.com/profile_images/782964612539019264/rp814j8a_normal.jpg</v>
      </c>
      <c r="G73" s="63"/>
      <c r="H73" s="67"/>
      <c r="I73" s="68"/>
      <c r="J73" s="68"/>
      <c r="K73" s="67" t="s">
        <v>19705</v>
      </c>
      <c r="L73" s="71"/>
      <c r="M73" s="72"/>
      <c r="N73" s="72"/>
      <c r="O73" s="73"/>
      <c r="P73" s="74"/>
      <c r="Q73" s="74"/>
      <c r="R73" s="87"/>
      <c r="S73" s="87"/>
      <c r="T73" s="87"/>
      <c r="U73" s="87"/>
      <c r="V73" s="48"/>
      <c r="W73" s="48"/>
      <c r="X73" s="47">
        <v>1.101E-3</v>
      </c>
      <c r="Y73" s="48"/>
      <c r="Z73" s="47"/>
      <c r="AA73" s="69">
        <v>73</v>
      </c>
      <c r="AB73" s="69"/>
      <c r="AC73" s="70"/>
      <c r="AD73" s="76" t="s">
        <v>16714</v>
      </c>
      <c r="AE73" s="81" t="s">
        <v>16171</v>
      </c>
      <c r="AF73" s="76">
        <v>18738</v>
      </c>
      <c r="AG73" s="76">
        <v>20559</v>
      </c>
      <c r="AH73" s="76">
        <v>511196</v>
      </c>
      <c r="AI73" s="76">
        <v>40</v>
      </c>
      <c r="AJ73" s="76">
        <v>226425</v>
      </c>
      <c r="AK73" s="76">
        <v>129525</v>
      </c>
      <c r="AL73" s="76" t="b">
        <v>0</v>
      </c>
      <c r="AM73" s="78">
        <v>42646.634652777779</v>
      </c>
      <c r="AN73" s="76" t="s">
        <v>17885</v>
      </c>
      <c r="AO73" s="76" t="s">
        <v>18214</v>
      </c>
      <c r="AP73" s="83" t="str">
        <f>HYPERLINK("https://t.co/qopO5P7bxb")</f>
        <v>https://t.co/qopO5P7bxb</v>
      </c>
      <c r="AQ73" s="83" t="str">
        <f>HYPERLINK("http://www.economiapersonal.com.ar/")</f>
        <v>http://www.economiapersonal.com.ar/</v>
      </c>
      <c r="AR73" s="76" t="s">
        <v>19032</v>
      </c>
      <c r="AS73" s="76"/>
      <c r="AT73" s="76"/>
      <c r="AU73" s="76"/>
      <c r="AV73" s="76">
        <v>9.2317964676562099E+17</v>
      </c>
      <c r="AW73" s="83" t="str">
        <f>HYPERLINK("https://t.co/qopO5P7bxb")</f>
        <v>https://t.co/qopO5P7bxb</v>
      </c>
      <c r="AX73" s="76" t="b">
        <v>0</v>
      </c>
      <c r="AY73" s="76"/>
      <c r="AZ73" s="76"/>
      <c r="BA73" s="76" t="b">
        <v>0</v>
      </c>
      <c r="BB73" s="76" t="b">
        <v>0</v>
      </c>
      <c r="BC73" s="76" t="b">
        <v>1</v>
      </c>
      <c r="BD73" s="76" t="b">
        <v>0</v>
      </c>
      <c r="BE73" s="76" t="b">
        <v>1</v>
      </c>
      <c r="BF73" s="76" t="b">
        <v>0</v>
      </c>
      <c r="BG73" s="76" t="b">
        <v>0</v>
      </c>
      <c r="BH73" s="83" t="str">
        <f>HYPERLINK("https://pbs.twimg.com/profile_banners/782961882634280960/1480365700")</f>
        <v>https://pbs.twimg.com/profile_banners/782961882634280960/1480365700</v>
      </c>
      <c r="BI73" s="76"/>
      <c r="BJ73" s="76" t="s">
        <v>19633</v>
      </c>
      <c r="BK73" s="76" t="b">
        <v>0</v>
      </c>
      <c r="BL73" s="76"/>
      <c r="BM73" s="76" t="s">
        <v>66</v>
      </c>
      <c r="BN73" s="76" t="s">
        <v>19635</v>
      </c>
      <c r="BO73" s="83" t="str">
        <f>HYPERLINK("https://twitter.com/gustavoipadilla")</f>
        <v>https://twitter.com/gustavoipadilla</v>
      </c>
      <c r="BP73" s="2"/>
    </row>
    <row r="74" spans="1:68" x14ac:dyDescent="0.25">
      <c r="A74" s="62" t="s">
        <v>282</v>
      </c>
      <c r="B74" s="63"/>
      <c r="C74" s="63"/>
      <c r="D74" s="64"/>
      <c r="E74" s="66"/>
      <c r="F74" s="103" t="str">
        <f>HYPERLINK("https://pbs.twimg.com/profile_images/1409966028889731073/kTZPYPUa_normal.jpg")</f>
        <v>https://pbs.twimg.com/profile_images/1409966028889731073/kTZPYPUa_normal.jpg</v>
      </c>
      <c r="G74" s="63"/>
      <c r="H74" s="67"/>
      <c r="I74" s="68"/>
      <c r="J74" s="68"/>
      <c r="K74" s="67" t="s">
        <v>19706</v>
      </c>
      <c r="L74" s="71"/>
      <c r="M74" s="72"/>
      <c r="N74" s="72"/>
      <c r="O74" s="73"/>
      <c r="P74" s="74"/>
      <c r="Q74" s="74"/>
      <c r="R74" s="87"/>
      <c r="S74" s="87"/>
      <c r="T74" s="87"/>
      <c r="U74" s="87"/>
      <c r="V74" s="48"/>
      <c r="W74" s="48"/>
      <c r="X74" s="47">
        <v>1.101E-3</v>
      </c>
      <c r="Y74" s="48"/>
      <c r="Z74" s="47"/>
      <c r="AA74" s="69">
        <v>74</v>
      </c>
      <c r="AB74" s="69"/>
      <c r="AC74" s="70"/>
      <c r="AD74" s="76" t="s">
        <v>16715</v>
      </c>
      <c r="AE74" s="81" t="s">
        <v>16172</v>
      </c>
      <c r="AF74" s="76">
        <v>44</v>
      </c>
      <c r="AG74" s="76">
        <v>34</v>
      </c>
      <c r="AH74" s="76">
        <v>318</v>
      </c>
      <c r="AI74" s="76">
        <v>0</v>
      </c>
      <c r="AJ74" s="76">
        <v>1</v>
      </c>
      <c r="AK74" s="76">
        <v>32</v>
      </c>
      <c r="AL74" s="76" t="b">
        <v>0</v>
      </c>
      <c r="AM74" s="78">
        <v>44358.610173611109</v>
      </c>
      <c r="AN74" s="76"/>
      <c r="AO74" s="76" t="s">
        <v>18215</v>
      </c>
      <c r="AP74" s="83" t="str">
        <f>HYPERLINK("https://t.co/4KnnsSYdC5")</f>
        <v>https://t.co/4KnnsSYdC5</v>
      </c>
      <c r="AQ74" s="83" t="str">
        <f>HYPERLINK("https://linktr.ee/acquavero")</f>
        <v>https://linktr.ee/acquavero</v>
      </c>
      <c r="AR74" s="76" t="s">
        <v>19033</v>
      </c>
      <c r="AS74" s="76"/>
      <c r="AT74" s="76"/>
      <c r="AU74" s="76"/>
      <c r="AV74" s="76"/>
      <c r="AW74" s="83" t="str">
        <f>HYPERLINK("https://t.co/4KnnsSYdC5")</f>
        <v>https://t.co/4KnnsSYdC5</v>
      </c>
      <c r="AX74" s="76" t="b">
        <v>0</v>
      </c>
      <c r="AY74" s="76"/>
      <c r="AZ74" s="76"/>
      <c r="BA74" s="76" t="b">
        <v>0</v>
      </c>
      <c r="BB74" s="76" t="b">
        <v>1</v>
      </c>
      <c r="BC74" s="76" t="b">
        <v>1</v>
      </c>
      <c r="BD74" s="76" t="b">
        <v>0</v>
      </c>
      <c r="BE74" s="76" t="b">
        <v>0</v>
      </c>
      <c r="BF74" s="76" t="b">
        <v>0</v>
      </c>
      <c r="BG74" s="76" t="b">
        <v>0</v>
      </c>
      <c r="BH74" s="83" t="str">
        <f>HYPERLINK("https://pbs.twimg.com/profile_banners/1403360996316618763/1627653696")</f>
        <v>https://pbs.twimg.com/profile_banners/1403360996316618763/1627653696</v>
      </c>
      <c r="BI74" s="76"/>
      <c r="BJ74" s="76" t="s">
        <v>19633</v>
      </c>
      <c r="BK74" s="76" t="b">
        <v>0</v>
      </c>
      <c r="BL74" s="76"/>
      <c r="BM74" s="76" t="s">
        <v>66</v>
      </c>
      <c r="BN74" s="76" t="s">
        <v>19635</v>
      </c>
      <c r="BO74" s="83" t="str">
        <f>HYPERLINK("https://twitter.com/acqua_vero")</f>
        <v>https://twitter.com/acqua_vero</v>
      </c>
      <c r="BP74" s="2"/>
    </row>
    <row r="75" spans="1:68" x14ac:dyDescent="0.25">
      <c r="A75" s="62" t="s">
        <v>283</v>
      </c>
      <c r="B75" s="63"/>
      <c r="C75" s="63"/>
      <c r="D75" s="64"/>
      <c r="E75" s="66"/>
      <c r="F75" s="103" t="str">
        <f>HYPERLINK("https://pbs.twimg.com/profile_images/1638555528002404354/zYyRgIoe_normal.jpg")</f>
        <v>https://pbs.twimg.com/profile_images/1638555528002404354/zYyRgIoe_normal.jpg</v>
      </c>
      <c r="G75" s="63"/>
      <c r="H75" s="67"/>
      <c r="I75" s="68"/>
      <c r="J75" s="68"/>
      <c r="K75" s="67" t="s">
        <v>19707</v>
      </c>
      <c r="L75" s="71"/>
      <c r="M75" s="72"/>
      <c r="N75" s="72"/>
      <c r="O75" s="73"/>
      <c r="P75" s="74"/>
      <c r="Q75" s="74"/>
      <c r="R75" s="87"/>
      <c r="S75" s="87"/>
      <c r="T75" s="87"/>
      <c r="U75" s="87"/>
      <c r="V75" s="48"/>
      <c r="W75" s="48"/>
      <c r="X75" s="47">
        <v>1.101E-3</v>
      </c>
      <c r="Y75" s="48"/>
      <c r="Z75" s="47"/>
      <c r="AA75" s="69">
        <v>75</v>
      </c>
      <c r="AB75" s="69"/>
      <c r="AC75" s="70"/>
      <c r="AD75" s="76" t="s">
        <v>16710</v>
      </c>
      <c r="AE75" s="81" t="s">
        <v>17563</v>
      </c>
      <c r="AF75" s="76">
        <v>11</v>
      </c>
      <c r="AG75" s="76">
        <v>26</v>
      </c>
      <c r="AH75" s="76">
        <v>273</v>
      </c>
      <c r="AI75" s="76">
        <v>0</v>
      </c>
      <c r="AJ75" s="76">
        <v>255</v>
      </c>
      <c r="AK75" s="76">
        <v>17</v>
      </c>
      <c r="AL75" s="76" t="b">
        <v>0</v>
      </c>
      <c r="AM75" s="78">
        <v>42341.149282407408</v>
      </c>
      <c r="AN75" s="76"/>
      <c r="AO75" s="76" t="s">
        <v>18216</v>
      </c>
      <c r="AP75" s="83" t="str">
        <f>HYPERLINK("https://t.co/RbT4Uq5IaZ")</f>
        <v>https://t.co/RbT4Uq5IaZ</v>
      </c>
      <c r="AQ75" s="83" t="str">
        <f>HYPERLINK("http://www.instagram.com/juliocrf")</f>
        <v>http://www.instagram.com/juliocrf</v>
      </c>
      <c r="AR75" s="76" t="s">
        <v>19034</v>
      </c>
      <c r="AS75" s="83" t="str">
        <f>HYPERLINK("https://t.co/RybOcmM84M")</f>
        <v>https://t.co/RybOcmM84M</v>
      </c>
      <c r="AT75" s="83" t="str">
        <f>HYPERLINK("http://linktr.ee/juliocrf")</f>
        <v>http://linktr.ee/juliocrf</v>
      </c>
      <c r="AU75" s="76" t="s">
        <v>19580</v>
      </c>
      <c r="AV75" s="76">
        <v>1.58964701036977E+18</v>
      </c>
      <c r="AW75" s="83" t="str">
        <f>HYPERLINK("https://t.co/RbT4Uq5IaZ")</f>
        <v>https://t.co/RbT4Uq5IaZ</v>
      </c>
      <c r="AX75" s="76" t="b">
        <v>0</v>
      </c>
      <c r="AY75" s="76"/>
      <c r="AZ75" s="76"/>
      <c r="BA75" s="76" t="b">
        <v>0</v>
      </c>
      <c r="BB75" s="76" t="b">
        <v>0</v>
      </c>
      <c r="BC75" s="76" t="b">
        <v>1</v>
      </c>
      <c r="BD75" s="76" t="b">
        <v>0</v>
      </c>
      <c r="BE75" s="76" t="b">
        <v>0</v>
      </c>
      <c r="BF75" s="76" t="b">
        <v>0</v>
      </c>
      <c r="BG75" s="76" t="b">
        <v>0</v>
      </c>
      <c r="BH75" s="83" t="str">
        <f>HYPERLINK("https://pbs.twimg.com/profile_banners/4357245737/1677883008")</f>
        <v>https://pbs.twimg.com/profile_banners/4357245737/1677883008</v>
      </c>
      <c r="BI75" s="76"/>
      <c r="BJ75" s="76" t="s">
        <v>19633</v>
      </c>
      <c r="BK75" s="76" t="b">
        <v>0</v>
      </c>
      <c r="BL75" s="76"/>
      <c r="BM75" s="76" t="s">
        <v>66</v>
      </c>
      <c r="BN75" s="76" t="s">
        <v>19635</v>
      </c>
      <c r="BO75" s="83" t="str">
        <f>HYPERLINK("https://twitter.com/juliocrrf")</f>
        <v>https://twitter.com/juliocrrf</v>
      </c>
      <c r="BP75" s="2"/>
    </row>
    <row r="76" spans="1:68" x14ac:dyDescent="0.25">
      <c r="A76" s="62" t="s">
        <v>284</v>
      </c>
      <c r="B76" s="63"/>
      <c r="C76" s="63"/>
      <c r="D76" s="64"/>
      <c r="E76" s="66"/>
      <c r="F76" s="103" t="str">
        <f>HYPERLINK("https://pbs.twimg.com/profile_images/1592170946172968965/ShMJZR5u_normal.jpg")</f>
        <v>https://pbs.twimg.com/profile_images/1592170946172968965/ShMJZR5u_normal.jpg</v>
      </c>
      <c r="G76" s="63"/>
      <c r="H76" s="67"/>
      <c r="I76" s="68"/>
      <c r="J76" s="68"/>
      <c r="K76" s="67" t="s">
        <v>19708</v>
      </c>
      <c r="L76" s="71"/>
      <c r="M76" s="72"/>
      <c r="N76" s="72"/>
      <c r="O76" s="73"/>
      <c r="P76" s="74"/>
      <c r="Q76" s="74"/>
      <c r="R76" s="87"/>
      <c r="S76" s="87"/>
      <c r="T76" s="87"/>
      <c r="U76" s="87"/>
      <c r="V76" s="48"/>
      <c r="W76" s="48"/>
      <c r="X76" s="47">
        <v>1.101E-3</v>
      </c>
      <c r="Y76" s="48"/>
      <c r="Z76" s="47"/>
      <c r="AA76" s="69">
        <v>76</v>
      </c>
      <c r="AB76" s="69"/>
      <c r="AC76" s="70"/>
      <c r="AD76" s="76" t="s">
        <v>16716</v>
      </c>
      <c r="AE76" s="81" t="s">
        <v>17564</v>
      </c>
      <c r="AF76" s="76">
        <v>61</v>
      </c>
      <c r="AG76" s="76">
        <v>352</v>
      </c>
      <c r="AH76" s="76">
        <v>1186</v>
      </c>
      <c r="AI76" s="76">
        <v>3</v>
      </c>
      <c r="AJ76" s="76">
        <v>14837</v>
      </c>
      <c r="AK76" s="76">
        <v>40</v>
      </c>
      <c r="AL76" s="76" t="b">
        <v>0</v>
      </c>
      <c r="AM76" s="78">
        <v>40052.698252314818</v>
      </c>
      <c r="AN76" s="76" t="s">
        <v>10570</v>
      </c>
      <c r="AO76" s="76" t="s">
        <v>18217</v>
      </c>
      <c r="AP76" s="76"/>
      <c r="AQ76" s="76"/>
      <c r="AR76" s="76"/>
      <c r="AS76" s="76"/>
      <c r="AT76" s="76"/>
      <c r="AU76" s="76"/>
      <c r="AV76" s="76">
        <v>1.5857795260759199E+18</v>
      </c>
      <c r="AW76" s="76"/>
      <c r="AX76" s="76" t="b">
        <v>0</v>
      </c>
      <c r="AY76" s="76"/>
      <c r="AZ76" s="76"/>
      <c r="BA76" s="76" t="b">
        <v>1</v>
      </c>
      <c r="BB76" s="76" t="b">
        <v>0</v>
      </c>
      <c r="BC76" s="76" t="b">
        <v>0</v>
      </c>
      <c r="BD76" s="76" t="b">
        <v>0</v>
      </c>
      <c r="BE76" s="76" t="b">
        <v>1</v>
      </c>
      <c r="BF76" s="76" t="b">
        <v>0</v>
      </c>
      <c r="BG76" s="76" t="b">
        <v>0</v>
      </c>
      <c r="BH76" s="83" t="str">
        <f>HYPERLINK("https://pbs.twimg.com/profile_banners/69338789/1668438074")</f>
        <v>https://pbs.twimg.com/profile_banners/69338789/1668438074</v>
      </c>
      <c r="BI76" s="76"/>
      <c r="BJ76" s="76" t="s">
        <v>19633</v>
      </c>
      <c r="BK76" s="76" t="b">
        <v>0</v>
      </c>
      <c r="BL76" s="76"/>
      <c r="BM76" s="76" t="s">
        <v>66</v>
      </c>
      <c r="BN76" s="76" t="s">
        <v>19635</v>
      </c>
      <c r="BO76" s="83" t="str">
        <f>HYPERLINK("https://twitter.com/michellefuly")</f>
        <v>https://twitter.com/michellefuly</v>
      </c>
      <c r="BP76" s="2"/>
    </row>
    <row r="77" spans="1:68" x14ac:dyDescent="0.25">
      <c r="A77" s="62" t="s">
        <v>285</v>
      </c>
      <c r="B77" s="63"/>
      <c r="C77" s="63"/>
      <c r="D77" s="64"/>
      <c r="E77" s="66"/>
      <c r="F77" s="103" t="str">
        <f>HYPERLINK("https://pbs.twimg.com/profile_images/1601727135193989121/we9QFsJw_normal.jpg")</f>
        <v>https://pbs.twimg.com/profile_images/1601727135193989121/we9QFsJw_normal.jpg</v>
      </c>
      <c r="G77" s="63"/>
      <c r="H77" s="67"/>
      <c r="I77" s="68"/>
      <c r="J77" s="68"/>
      <c r="K77" s="67" t="s">
        <v>19709</v>
      </c>
      <c r="L77" s="71"/>
      <c r="M77" s="72"/>
      <c r="N77" s="72"/>
      <c r="O77" s="73"/>
      <c r="P77" s="74"/>
      <c r="Q77" s="74"/>
      <c r="R77" s="87"/>
      <c r="S77" s="87"/>
      <c r="T77" s="87"/>
      <c r="U77" s="87"/>
      <c r="V77" s="48"/>
      <c r="W77" s="48"/>
      <c r="X77" s="47">
        <v>1.101E-3</v>
      </c>
      <c r="Y77" s="48"/>
      <c r="Z77" s="47"/>
      <c r="AA77" s="69">
        <v>77</v>
      </c>
      <c r="AB77" s="69"/>
      <c r="AC77" s="70"/>
      <c r="AD77" s="76" t="s">
        <v>16717</v>
      </c>
      <c r="AE77" s="81" t="s">
        <v>16173</v>
      </c>
      <c r="AF77" s="76">
        <v>25</v>
      </c>
      <c r="AG77" s="76">
        <v>45</v>
      </c>
      <c r="AH77" s="76">
        <v>1</v>
      </c>
      <c r="AI77" s="76">
        <v>0</v>
      </c>
      <c r="AJ77" s="76">
        <v>5</v>
      </c>
      <c r="AK77" s="76">
        <v>0</v>
      </c>
      <c r="AL77" s="76" t="b">
        <v>0</v>
      </c>
      <c r="AM77" s="78">
        <v>43857.613599537035</v>
      </c>
      <c r="AN77" s="76" t="s">
        <v>17886</v>
      </c>
      <c r="AO77" s="76"/>
      <c r="AP77" s="83" t="str">
        <f>HYPERLINK("https://t.co/OWpJBGL0bE")</f>
        <v>https://t.co/OWpJBGL0bE</v>
      </c>
      <c r="AQ77" s="83" t="str">
        <f>HYPERLINK("http://agoradeuzebra.com.br")</f>
        <v>http://agoradeuzebra.com.br</v>
      </c>
      <c r="AR77" s="76" t="s">
        <v>19035</v>
      </c>
      <c r="AS77" s="76"/>
      <c r="AT77" s="76"/>
      <c r="AU77" s="76"/>
      <c r="AV77" s="76"/>
      <c r="AW77" s="83" t="str">
        <f>HYPERLINK("https://t.co/OWpJBGL0bE")</f>
        <v>https://t.co/OWpJBGL0bE</v>
      </c>
      <c r="AX77" s="76" t="b">
        <v>0</v>
      </c>
      <c r="AY77" s="76"/>
      <c r="AZ77" s="76"/>
      <c r="BA77" s="76" t="b">
        <v>0</v>
      </c>
      <c r="BB77" s="76" t="b">
        <v>1</v>
      </c>
      <c r="BC77" s="76" t="b">
        <v>1</v>
      </c>
      <c r="BD77" s="76" t="b">
        <v>0</v>
      </c>
      <c r="BE77" s="76" t="b">
        <v>0</v>
      </c>
      <c r="BF77" s="76" t="b">
        <v>0</v>
      </c>
      <c r="BG77" s="76" t="b">
        <v>0</v>
      </c>
      <c r="BH77" s="76"/>
      <c r="BI77" s="76"/>
      <c r="BJ77" s="76" t="s">
        <v>19633</v>
      </c>
      <c r="BK77" s="76" t="b">
        <v>0</v>
      </c>
      <c r="BL77" s="76"/>
      <c r="BM77" s="76" t="s">
        <v>66</v>
      </c>
      <c r="BN77" s="76" t="s">
        <v>19635</v>
      </c>
      <c r="BO77" s="83" t="str">
        <f>HYPERLINK("https://twitter.com/jeelimajorge")</f>
        <v>https://twitter.com/jeelimajorge</v>
      </c>
      <c r="BP77" s="2"/>
    </row>
    <row r="78" spans="1:68" x14ac:dyDescent="0.25">
      <c r="A78" s="62" t="s">
        <v>1056</v>
      </c>
      <c r="B78" s="63"/>
      <c r="C78" s="63"/>
      <c r="D78" s="64"/>
      <c r="E78" s="66"/>
      <c r="F78" s="103" t="str">
        <f>HYPERLINK("https://pbs.twimg.com/profile_images/1532939225326288898/2LXlCg4H_normal.jpg")</f>
        <v>https://pbs.twimg.com/profile_images/1532939225326288898/2LXlCg4H_normal.jpg</v>
      </c>
      <c r="G78" s="63"/>
      <c r="H78" s="67"/>
      <c r="I78" s="68"/>
      <c r="J78" s="68"/>
      <c r="K78" s="67" t="s">
        <v>19710</v>
      </c>
      <c r="L78" s="71"/>
      <c r="M78" s="72"/>
      <c r="N78" s="72"/>
      <c r="O78" s="73"/>
      <c r="P78" s="74"/>
      <c r="Q78" s="74"/>
      <c r="R78" s="87"/>
      <c r="S78" s="87"/>
      <c r="T78" s="87"/>
      <c r="U78" s="87"/>
      <c r="V78" s="48"/>
      <c r="W78" s="48"/>
      <c r="X78" s="47">
        <v>1.101E-3</v>
      </c>
      <c r="Y78" s="48"/>
      <c r="Z78" s="47"/>
      <c r="AA78" s="69">
        <v>78</v>
      </c>
      <c r="AB78" s="69"/>
      <c r="AC78" s="70"/>
      <c r="AD78" s="76" t="s">
        <v>16718</v>
      </c>
      <c r="AE78" s="81" t="s">
        <v>17565</v>
      </c>
      <c r="AF78" s="76">
        <v>449484</v>
      </c>
      <c r="AG78" s="76">
        <v>464</v>
      </c>
      <c r="AH78" s="76">
        <v>3472</v>
      </c>
      <c r="AI78" s="76">
        <v>1658</v>
      </c>
      <c r="AJ78" s="76">
        <v>1194</v>
      </c>
      <c r="AK78" s="76">
        <v>719</v>
      </c>
      <c r="AL78" s="76" t="b">
        <v>0</v>
      </c>
      <c r="AM78" s="78">
        <v>40294.11446759259</v>
      </c>
      <c r="AN78" s="76" t="s">
        <v>17867</v>
      </c>
      <c r="AO78" s="76" t="s">
        <v>18218</v>
      </c>
      <c r="AP78" s="83" t="str">
        <f>HYPERLINK("https://t.co/tUJsALfcFo")</f>
        <v>https://t.co/tUJsALfcFo</v>
      </c>
      <c r="AQ78" s="83" t="str">
        <f>HYPERLINK("http://finclass.com")</f>
        <v>http://finclass.com</v>
      </c>
      <c r="AR78" s="76" t="s">
        <v>19036</v>
      </c>
      <c r="AS78" s="76"/>
      <c r="AT78" s="76"/>
      <c r="AU78" s="76"/>
      <c r="AV78" s="76">
        <v>1.2711866911397299E+18</v>
      </c>
      <c r="AW78" s="83" t="str">
        <f>HYPERLINK("https://t.co/tUJsALfcFo")</f>
        <v>https://t.co/tUJsALfcFo</v>
      </c>
      <c r="AX78" s="76" t="b">
        <v>0</v>
      </c>
      <c r="AY78" s="76"/>
      <c r="AZ78" s="76"/>
      <c r="BA78" s="76" t="b">
        <v>1</v>
      </c>
      <c r="BB78" s="76" t="b">
        <v>1</v>
      </c>
      <c r="BC78" s="76" t="b">
        <v>0</v>
      </c>
      <c r="BD78" s="76" t="b">
        <v>0</v>
      </c>
      <c r="BE78" s="76" t="b">
        <v>1</v>
      </c>
      <c r="BF78" s="76" t="b">
        <v>0</v>
      </c>
      <c r="BG78" s="76" t="b">
        <v>0</v>
      </c>
      <c r="BH78" s="83" t="str">
        <f>HYPERLINK("https://pbs.twimg.com/profile_banners/137195086/1578518601")</f>
        <v>https://pbs.twimg.com/profile_banners/137195086/1578518601</v>
      </c>
      <c r="BI78" s="76"/>
      <c r="BJ78" s="76" t="s">
        <v>19633</v>
      </c>
      <c r="BK78" s="76" t="b">
        <v>0</v>
      </c>
      <c r="BL78" s="76"/>
      <c r="BM78" s="76" t="s">
        <v>65</v>
      </c>
      <c r="BN78" s="76" t="s">
        <v>19635</v>
      </c>
      <c r="BO78" s="83" t="str">
        <f>HYPERLINK("https://twitter.com/thiagonigro")</f>
        <v>https://twitter.com/thiagonigro</v>
      </c>
      <c r="BP78" s="2"/>
    </row>
    <row r="79" spans="1:68" x14ac:dyDescent="0.25">
      <c r="A79" s="62" t="s">
        <v>286</v>
      </c>
      <c r="B79" s="63"/>
      <c r="C79" s="63"/>
      <c r="D79" s="64"/>
      <c r="E79" s="66"/>
      <c r="F79" s="103" t="str">
        <f>HYPERLINK("https://pbs.twimg.com/profile_images/1696175739609972736/tgzOBZ_P_normal.jpg")</f>
        <v>https://pbs.twimg.com/profile_images/1696175739609972736/tgzOBZ_P_normal.jpg</v>
      </c>
      <c r="G79" s="63"/>
      <c r="H79" s="67"/>
      <c r="I79" s="68"/>
      <c r="J79" s="68"/>
      <c r="K79" s="67" t="s">
        <v>19711</v>
      </c>
      <c r="L79" s="71"/>
      <c r="M79" s="72"/>
      <c r="N79" s="72"/>
      <c r="O79" s="73"/>
      <c r="P79" s="74"/>
      <c r="Q79" s="74"/>
      <c r="R79" s="87"/>
      <c r="S79" s="87"/>
      <c r="T79" s="87"/>
      <c r="U79" s="87"/>
      <c r="V79" s="48"/>
      <c r="W79" s="48"/>
      <c r="X79" s="47">
        <v>1.101E-3</v>
      </c>
      <c r="Y79" s="48"/>
      <c r="Z79" s="47"/>
      <c r="AA79" s="69">
        <v>79</v>
      </c>
      <c r="AB79" s="69"/>
      <c r="AC79" s="70"/>
      <c r="AD79" s="76" t="s">
        <v>16719</v>
      </c>
      <c r="AE79" s="81" t="s">
        <v>15681</v>
      </c>
      <c r="AF79" s="76">
        <v>20</v>
      </c>
      <c r="AG79" s="76">
        <v>60</v>
      </c>
      <c r="AH79" s="76">
        <v>181</v>
      </c>
      <c r="AI79" s="76">
        <v>0</v>
      </c>
      <c r="AJ79" s="76">
        <v>169</v>
      </c>
      <c r="AK79" s="76">
        <v>8</v>
      </c>
      <c r="AL79" s="76" t="b">
        <v>0</v>
      </c>
      <c r="AM79" s="78">
        <v>44948.327638888892</v>
      </c>
      <c r="AN79" s="76" t="s">
        <v>17867</v>
      </c>
      <c r="AO79" s="76" t="s">
        <v>18219</v>
      </c>
      <c r="AP79" s="76"/>
      <c r="AQ79" s="76"/>
      <c r="AR79" s="76"/>
      <c r="AS79" s="76"/>
      <c r="AT79" s="76"/>
      <c r="AU79" s="76"/>
      <c r="AV79" s="76"/>
      <c r="AW79" s="76"/>
      <c r="AX79" s="76" t="b">
        <v>1</v>
      </c>
      <c r="AY79" s="76"/>
      <c r="AZ79" s="76"/>
      <c r="BA79" s="76" t="b">
        <v>1</v>
      </c>
      <c r="BB79" s="76" t="b">
        <v>1</v>
      </c>
      <c r="BC79" s="76" t="b">
        <v>1</v>
      </c>
      <c r="BD79" s="76" t="b">
        <v>0</v>
      </c>
      <c r="BE79" s="76" t="b">
        <v>0</v>
      </c>
      <c r="BF79" s="76" t="b">
        <v>0</v>
      </c>
      <c r="BG79" s="76" t="b">
        <v>0</v>
      </c>
      <c r="BH79" s="83" t="str">
        <f>HYPERLINK("https://pbs.twimg.com/profile_banners/1617067317657014274/1674501927")</f>
        <v>https://pbs.twimg.com/profile_banners/1617067317657014274/1674501927</v>
      </c>
      <c r="BI79" s="76"/>
      <c r="BJ79" s="76" t="s">
        <v>19633</v>
      </c>
      <c r="BK79" s="76" t="b">
        <v>0</v>
      </c>
      <c r="BL79" s="76"/>
      <c r="BM79" s="76" t="s">
        <v>66</v>
      </c>
      <c r="BN79" s="76" t="s">
        <v>19635</v>
      </c>
      <c r="BO79" s="83" t="str">
        <f>HYPERLINK("https://twitter.com/barbainveste")</f>
        <v>https://twitter.com/barbainveste</v>
      </c>
      <c r="BP79" s="2"/>
    </row>
    <row r="80" spans="1:68" x14ac:dyDescent="0.25">
      <c r="A80" s="62" t="s">
        <v>287</v>
      </c>
      <c r="B80" s="63"/>
      <c r="C80" s="63"/>
      <c r="D80" s="64"/>
      <c r="E80" s="66"/>
      <c r="F80" s="103" t="str">
        <f>HYPERLINK("https://pbs.twimg.com/profile_images/1613964014601785344/62OkrCU7_normal.jpg")</f>
        <v>https://pbs.twimg.com/profile_images/1613964014601785344/62OkrCU7_normal.jpg</v>
      </c>
      <c r="G80" s="63"/>
      <c r="H80" s="67"/>
      <c r="I80" s="68"/>
      <c r="J80" s="68"/>
      <c r="K80" s="67" t="s">
        <v>19712</v>
      </c>
      <c r="L80" s="71"/>
      <c r="M80" s="72"/>
      <c r="N80" s="72"/>
      <c r="O80" s="73"/>
      <c r="P80" s="74"/>
      <c r="Q80" s="74"/>
      <c r="R80" s="87"/>
      <c r="S80" s="87"/>
      <c r="T80" s="87"/>
      <c r="U80" s="87"/>
      <c r="V80" s="48"/>
      <c r="W80" s="48"/>
      <c r="X80" s="47">
        <v>1.101E-3</v>
      </c>
      <c r="Y80" s="48"/>
      <c r="Z80" s="47"/>
      <c r="AA80" s="69">
        <v>80</v>
      </c>
      <c r="AB80" s="69"/>
      <c r="AC80" s="70"/>
      <c r="AD80" s="76" t="s">
        <v>16720</v>
      </c>
      <c r="AE80" s="81" t="s">
        <v>15682</v>
      </c>
      <c r="AF80" s="76">
        <v>2237</v>
      </c>
      <c r="AG80" s="76">
        <v>775</v>
      </c>
      <c r="AH80" s="76">
        <v>21042</v>
      </c>
      <c r="AI80" s="76">
        <v>31</v>
      </c>
      <c r="AJ80" s="76">
        <v>14287</v>
      </c>
      <c r="AK80" s="76">
        <v>4342</v>
      </c>
      <c r="AL80" s="76" t="b">
        <v>0</v>
      </c>
      <c r="AM80" s="78">
        <v>40047.393287037034</v>
      </c>
      <c r="AN80" s="76" t="s">
        <v>17887</v>
      </c>
      <c r="AO80" s="76" t="s">
        <v>18220</v>
      </c>
      <c r="AP80" s="83" t="str">
        <f>HYPERLINK("https://t.co/xpYfyyfXVr")</f>
        <v>https://t.co/xpYfyyfXVr</v>
      </c>
      <c r="AQ80" s="83" t="str">
        <f>HYPERLINK("http://thatcanonboy.blogspot.com/?m=1")</f>
        <v>http://thatcanonboy.blogspot.com/?m=1</v>
      </c>
      <c r="AR80" s="76" t="s">
        <v>19037</v>
      </c>
      <c r="AS80" s="76"/>
      <c r="AT80" s="76"/>
      <c r="AU80" s="76"/>
      <c r="AV80" s="76">
        <v>1.7015466672821601E+18</v>
      </c>
      <c r="AW80" s="83" t="str">
        <f>HYPERLINK("https://t.co/xpYfyyfXVr")</f>
        <v>https://t.co/xpYfyyfXVr</v>
      </c>
      <c r="AX80" s="76" t="b">
        <v>1</v>
      </c>
      <c r="AY80" s="76"/>
      <c r="AZ80" s="76"/>
      <c r="BA80" s="76" t="b">
        <v>0</v>
      </c>
      <c r="BB80" s="76" t="b">
        <v>0</v>
      </c>
      <c r="BC80" s="76" t="b">
        <v>0</v>
      </c>
      <c r="BD80" s="76" t="b">
        <v>0</v>
      </c>
      <c r="BE80" s="76" t="b">
        <v>1</v>
      </c>
      <c r="BF80" s="76" t="b">
        <v>0</v>
      </c>
      <c r="BG80" s="76" t="b">
        <v>0</v>
      </c>
      <c r="BH80" s="83" t="str">
        <f>HYPERLINK("https://pbs.twimg.com/profile_banners/67855114/1691069513")</f>
        <v>https://pbs.twimg.com/profile_banners/67855114/1691069513</v>
      </c>
      <c r="BI80" s="76"/>
      <c r="BJ80" s="76" t="s">
        <v>19633</v>
      </c>
      <c r="BK80" s="76" t="b">
        <v>0</v>
      </c>
      <c r="BL80" s="76"/>
      <c r="BM80" s="76" t="s">
        <v>66</v>
      </c>
      <c r="BN80" s="76" t="s">
        <v>19635</v>
      </c>
      <c r="BO80" s="83" t="str">
        <f>HYPERLINK("https://twitter.com/salumc")</f>
        <v>https://twitter.com/salumc</v>
      </c>
      <c r="BP80" s="2"/>
    </row>
    <row r="81" spans="1:68" x14ac:dyDescent="0.25">
      <c r="A81" s="62" t="s">
        <v>810</v>
      </c>
      <c r="B81" s="63"/>
      <c r="C81" s="63"/>
      <c r="D81" s="64"/>
      <c r="E81" s="66"/>
      <c r="F81" s="103" t="str">
        <f>HYPERLINK("https://pbs.twimg.com/profile_images/1698793146237263872/4G5aOY3C_normal.jpg")</f>
        <v>https://pbs.twimg.com/profile_images/1698793146237263872/4G5aOY3C_normal.jpg</v>
      </c>
      <c r="G81" s="63"/>
      <c r="H81" s="67"/>
      <c r="I81" s="68"/>
      <c r="J81" s="68"/>
      <c r="K81" s="67" t="s">
        <v>19713</v>
      </c>
      <c r="L81" s="71"/>
      <c r="M81" s="72"/>
      <c r="N81" s="72"/>
      <c r="O81" s="73"/>
      <c r="P81" s="74"/>
      <c r="Q81" s="74"/>
      <c r="R81" s="87"/>
      <c r="S81" s="87"/>
      <c r="T81" s="87"/>
      <c r="U81" s="87"/>
      <c r="V81" s="48"/>
      <c r="W81" s="48"/>
      <c r="X81" s="47">
        <v>1.101E-3</v>
      </c>
      <c r="Y81" s="48"/>
      <c r="Z81" s="47"/>
      <c r="AA81" s="69">
        <v>81</v>
      </c>
      <c r="AB81" s="69"/>
      <c r="AC81" s="70"/>
      <c r="AD81" s="76" t="s">
        <v>16721</v>
      </c>
      <c r="AE81" s="81" t="s">
        <v>16469</v>
      </c>
      <c r="AF81" s="76">
        <v>13960</v>
      </c>
      <c r="AG81" s="76">
        <v>1907</v>
      </c>
      <c r="AH81" s="76">
        <v>9178</v>
      </c>
      <c r="AI81" s="76">
        <v>29</v>
      </c>
      <c r="AJ81" s="76">
        <v>24708</v>
      </c>
      <c r="AK81" s="76">
        <v>586</v>
      </c>
      <c r="AL81" s="76" t="b">
        <v>0</v>
      </c>
      <c r="AM81" s="78">
        <v>43063.961087962962</v>
      </c>
      <c r="AN81" s="76" t="s">
        <v>17879</v>
      </c>
      <c r="AO81" s="76" t="s">
        <v>18221</v>
      </c>
      <c r="AP81" s="83" t="str">
        <f>HYPERLINK("https://t.co/NFf3pEyNVa")</f>
        <v>https://t.co/NFf3pEyNVa</v>
      </c>
      <c r="AQ81" s="83" t="str">
        <f>HYPERLINK("https://www.tiktok.com/@nunobaio")</f>
        <v>https://www.tiktok.com/@nunobaio</v>
      </c>
      <c r="AR81" s="76" t="s">
        <v>19038</v>
      </c>
      <c r="AS81" s="83" t="str">
        <f>HYPERLINK("https://t.co/YwHAL1ShR0")</f>
        <v>https://t.co/YwHAL1ShR0</v>
      </c>
      <c r="AT81" s="83" t="str">
        <f>HYPERLINK("https://instagram.com/nuno_baio?ig")</f>
        <v>https://instagram.com/nuno_baio?ig</v>
      </c>
      <c r="AU81" s="76" t="s">
        <v>19581</v>
      </c>
      <c r="AV81" s="76">
        <v>1.66941857300415E+18</v>
      </c>
      <c r="AW81" s="83" t="str">
        <f>HYPERLINK("https://t.co/NFf3pEyNVa")</f>
        <v>https://t.co/NFf3pEyNVa</v>
      </c>
      <c r="AX81" s="76" t="b">
        <v>1</v>
      </c>
      <c r="AY81" s="76"/>
      <c r="AZ81" s="76"/>
      <c r="BA81" s="76" t="b">
        <v>1</v>
      </c>
      <c r="BB81" s="76" t="b">
        <v>1</v>
      </c>
      <c r="BC81" s="76" t="b">
        <v>1</v>
      </c>
      <c r="BD81" s="76" t="b">
        <v>0</v>
      </c>
      <c r="BE81" s="76" t="b">
        <v>1</v>
      </c>
      <c r="BF81" s="76" t="b">
        <v>0</v>
      </c>
      <c r="BG81" s="76" t="b">
        <v>0</v>
      </c>
      <c r="BH81" s="83" t="str">
        <f>HYPERLINK("https://pbs.twimg.com/profile_banners/934195919804825600/1674758437")</f>
        <v>https://pbs.twimg.com/profile_banners/934195919804825600/1674758437</v>
      </c>
      <c r="BI81" s="76"/>
      <c r="BJ81" s="76" t="s">
        <v>19633</v>
      </c>
      <c r="BK81" s="76" t="b">
        <v>0</v>
      </c>
      <c r="BL81" s="76"/>
      <c r="BM81" s="76" t="s">
        <v>66</v>
      </c>
      <c r="BN81" s="76" t="s">
        <v>19635</v>
      </c>
      <c r="BO81" s="83" t="str">
        <f>HYPERLINK("https://twitter.com/nuno_baio")</f>
        <v>https://twitter.com/nuno_baio</v>
      </c>
      <c r="BP81" s="2"/>
    </row>
    <row r="82" spans="1:68" x14ac:dyDescent="0.25">
      <c r="A82" s="62" t="s">
        <v>288</v>
      </c>
      <c r="B82" s="63"/>
      <c r="C82" s="63"/>
      <c r="D82" s="64"/>
      <c r="E82" s="66"/>
      <c r="F82" s="103" t="str">
        <f>HYPERLINK("https://pbs.twimg.com/profile_images/1691952631160111104/Lf3fT_aX_normal.jpg")</f>
        <v>https://pbs.twimg.com/profile_images/1691952631160111104/Lf3fT_aX_normal.jpg</v>
      </c>
      <c r="G82" s="63"/>
      <c r="H82" s="67"/>
      <c r="I82" s="68"/>
      <c r="J82" s="68"/>
      <c r="K82" s="67" t="s">
        <v>19714</v>
      </c>
      <c r="L82" s="71"/>
      <c r="M82" s="72"/>
      <c r="N82" s="72"/>
      <c r="O82" s="73"/>
      <c r="P82" s="74"/>
      <c r="Q82" s="74"/>
      <c r="R82" s="87"/>
      <c r="S82" s="87"/>
      <c r="T82" s="87"/>
      <c r="U82" s="87"/>
      <c r="V82" s="48"/>
      <c r="W82" s="48"/>
      <c r="X82" s="47">
        <v>1.101E-3</v>
      </c>
      <c r="Y82" s="48"/>
      <c r="Z82" s="47"/>
      <c r="AA82" s="69">
        <v>82</v>
      </c>
      <c r="AB82" s="69"/>
      <c r="AC82" s="70"/>
      <c r="AD82" s="76" t="s">
        <v>16722</v>
      </c>
      <c r="AE82" s="81" t="s">
        <v>16174</v>
      </c>
      <c r="AF82" s="76">
        <v>0</v>
      </c>
      <c r="AG82" s="76">
        <v>9</v>
      </c>
      <c r="AH82" s="76">
        <v>1</v>
      </c>
      <c r="AI82" s="76">
        <v>0</v>
      </c>
      <c r="AJ82" s="76">
        <v>0</v>
      </c>
      <c r="AK82" s="76">
        <v>1</v>
      </c>
      <c r="AL82" s="76" t="b">
        <v>0</v>
      </c>
      <c r="AM82" s="78">
        <v>45108.02721064815</v>
      </c>
      <c r="AN82" s="76"/>
      <c r="AO82" s="76" t="s">
        <v>18222</v>
      </c>
      <c r="AP82" s="76"/>
      <c r="AQ82" s="76"/>
      <c r="AR82" s="76"/>
      <c r="AS82" s="76"/>
      <c r="AT82" s="76"/>
      <c r="AU82" s="76"/>
      <c r="AV82" s="76"/>
      <c r="AW82" s="76"/>
      <c r="AX82" s="76" t="b">
        <v>0</v>
      </c>
      <c r="AY82" s="76"/>
      <c r="AZ82" s="76"/>
      <c r="BA82" s="76" t="b">
        <v>0</v>
      </c>
      <c r="BB82" s="76" t="b">
        <v>1</v>
      </c>
      <c r="BC82" s="76" t="b">
        <v>1</v>
      </c>
      <c r="BD82" s="76" t="b">
        <v>0</v>
      </c>
      <c r="BE82" s="76" t="b">
        <v>0</v>
      </c>
      <c r="BF82" s="76" t="b">
        <v>0</v>
      </c>
      <c r="BG82" s="76" t="b">
        <v>0</v>
      </c>
      <c r="BH82" s="83" t="str">
        <f>HYPERLINK("https://pbs.twimg.com/profile_banners/1674940384940630017/1692227917")</f>
        <v>https://pbs.twimg.com/profile_banners/1674940384940630017/1692227917</v>
      </c>
      <c r="BI82" s="76"/>
      <c r="BJ82" s="76" t="s">
        <v>19633</v>
      </c>
      <c r="BK82" s="76" t="b">
        <v>0</v>
      </c>
      <c r="BL82" s="76"/>
      <c r="BM82" s="76" t="s">
        <v>66</v>
      </c>
      <c r="BN82" s="76" t="s">
        <v>19635</v>
      </c>
      <c r="BO82" s="83" t="str">
        <f>HYPERLINK("https://twitter.com/sestarileticia")</f>
        <v>https://twitter.com/sestarileticia</v>
      </c>
      <c r="BP82" s="2"/>
    </row>
    <row r="83" spans="1:68" x14ac:dyDescent="0.25">
      <c r="A83" s="62" t="s">
        <v>289</v>
      </c>
      <c r="B83" s="63"/>
      <c r="C83" s="63"/>
      <c r="D83" s="64"/>
      <c r="E83" s="66"/>
      <c r="F83" s="103" t="str">
        <f>HYPERLINK("https://pbs.twimg.com/profile_images/1469409227991130114/T0Ah3xAN_normal.jpg")</f>
        <v>https://pbs.twimg.com/profile_images/1469409227991130114/T0Ah3xAN_normal.jpg</v>
      </c>
      <c r="G83" s="63"/>
      <c r="H83" s="67"/>
      <c r="I83" s="68"/>
      <c r="J83" s="68"/>
      <c r="K83" s="67" t="s">
        <v>19715</v>
      </c>
      <c r="L83" s="71"/>
      <c r="M83" s="72"/>
      <c r="N83" s="72"/>
      <c r="O83" s="73"/>
      <c r="P83" s="74"/>
      <c r="Q83" s="74"/>
      <c r="R83" s="87"/>
      <c r="S83" s="87"/>
      <c r="T83" s="87"/>
      <c r="U83" s="87"/>
      <c r="V83" s="48"/>
      <c r="W83" s="48"/>
      <c r="X83" s="47">
        <v>1.101E-3</v>
      </c>
      <c r="Y83" s="48"/>
      <c r="Z83" s="47"/>
      <c r="AA83" s="69">
        <v>83</v>
      </c>
      <c r="AB83" s="69"/>
      <c r="AC83" s="70"/>
      <c r="AD83" s="76" t="s">
        <v>16723</v>
      </c>
      <c r="AE83" s="81" t="s">
        <v>16175</v>
      </c>
      <c r="AF83" s="76">
        <v>6</v>
      </c>
      <c r="AG83" s="76">
        <v>4</v>
      </c>
      <c r="AH83" s="76">
        <v>342</v>
      </c>
      <c r="AI83" s="76">
        <v>0</v>
      </c>
      <c r="AJ83" s="76">
        <v>0</v>
      </c>
      <c r="AK83" s="76">
        <v>336</v>
      </c>
      <c r="AL83" s="76" t="b">
        <v>0</v>
      </c>
      <c r="AM83" s="78">
        <v>44540.867997685185</v>
      </c>
      <c r="AN83" s="76"/>
      <c r="AO83" s="76" t="s">
        <v>18223</v>
      </c>
      <c r="AP83" s="76"/>
      <c r="AQ83" s="76"/>
      <c r="AR83" s="76"/>
      <c r="AS83" s="76"/>
      <c r="AT83" s="76"/>
      <c r="AU83" s="76"/>
      <c r="AV83" s="76"/>
      <c r="AW83" s="76"/>
      <c r="AX83" s="76" t="b">
        <v>0</v>
      </c>
      <c r="AY83" s="76"/>
      <c r="AZ83" s="76"/>
      <c r="BA83" s="76" t="b">
        <v>0</v>
      </c>
      <c r="BB83" s="76" t="b">
        <v>1</v>
      </c>
      <c r="BC83" s="76" t="b">
        <v>1</v>
      </c>
      <c r="BD83" s="76" t="b">
        <v>0</v>
      </c>
      <c r="BE83" s="76" t="b">
        <v>0</v>
      </c>
      <c r="BF83" s="76" t="b">
        <v>0</v>
      </c>
      <c r="BG83" s="76" t="b">
        <v>0</v>
      </c>
      <c r="BH83" s="83" t="str">
        <f>HYPERLINK("https://pbs.twimg.com/profile_banners/1469408883601022987/1639170344")</f>
        <v>https://pbs.twimg.com/profile_banners/1469408883601022987/1639170344</v>
      </c>
      <c r="BI83" s="76"/>
      <c r="BJ83" s="76" t="s">
        <v>19633</v>
      </c>
      <c r="BK83" s="76" t="b">
        <v>0</v>
      </c>
      <c r="BL83" s="76"/>
      <c r="BM83" s="76" t="s">
        <v>66</v>
      </c>
      <c r="BN83" s="76" t="s">
        <v>19635</v>
      </c>
      <c r="BO83" s="83" t="str">
        <f>HYPERLINK("https://twitter.com/atlanticpay")</f>
        <v>https://twitter.com/atlanticpay</v>
      </c>
      <c r="BP83" s="2"/>
    </row>
    <row r="84" spans="1:68" x14ac:dyDescent="0.25">
      <c r="A84" s="62" t="s">
        <v>290</v>
      </c>
      <c r="B84" s="63"/>
      <c r="C84" s="63"/>
      <c r="D84" s="64"/>
      <c r="E84" s="66"/>
      <c r="F84" s="103" t="str">
        <f>HYPERLINK("https://pbs.twimg.com/profile_images/1662150632965304320/8xGCE5kf_normal.jpg")</f>
        <v>https://pbs.twimg.com/profile_images/1662150632965304320/8xGCE5kf_normal.jpg</v>
      </c>
      <c r="G84" s="63"/>
      <c r="H84" s="67"/>
      <c r="I84" s="68"/>
      <c r="J84" s="68"/>
      <c r="K84" s="67" t="s">
        <v>19716</v>
      </c>
      <c r="L84" s="71"/>
      <c r="M84" s="72"/>
      <c r="N84" s="72"/>
      <c r="O84" s="73"/>
      <c r="P84" s="74"/>
      <c r="Q84" s="74"/>
      <c r="R84" s="87"/>
      <c r="S84" s="87"/>
      <c r="T84" s="87"/>
      <c r="U84" s="87"/>
      <c r="V84" s="48"/>
      <c r="W84" s="48"/>
      <c r="X84" s="47">
        <v>1.101E-3</v>
      </c>
      <c r="Y84" s="48"/>
      <c r="Z84" s="47"/>
      <c r="AA84" s="69">
        <v>84</v>
      </c>
      <c r="AB84" s="69"/>
      <c r="AC84" s="70"/>
      <c r="AD84" s="76" t="s">
        <v>16724</v>
      </c>
      <c r="AE84" s="81" t="s">
        <v>15683</v>
      </c>
      <c r="AF84" s="76">
        <v>1802</v>
      </c>
      <c r="AG84" s="76">
        <v>58</v>
      </c>
      <c r="AH84" s="76">
        <v>1092</v>
      </c>
      <c r="AI84" s="76">
        <v>7</v>
      </c>
      <c r="AJ84" s="76">
        <v>969</v>
      </c>
      <c r="AK84" s="76">
        <v>267</v>
      </c>
      <c r="AL84" s="76" t="b">
        <v>0</v>
      </c>
      <c r="AM84" s="78">
        <v>44613.785173611112</v>
      </c>
      <c r="AN84" s="76" t="s">
        <v>17888</v>
      </c>
      <c r="AO84" s="76" t="s">
        <v>18224</v>
      </c>
      <c r="AP84" s="83" t="str">
        <f>HYPERLINK("https://t.co/TIkVxBAYXd")</f>
        <v>https://t.co/TIkVxBAYXd</v>
      </c>
      <c r="AQ84" s="83" t="str">
        <f>HYPERLINK("https://LoopiPay.com")</f>
        <v>https://LoopiPay.com</v>
      </c>
      <c r="AR84" s="76" t="s">
        <v>19039</v>
      </c>
      <c r="AS84" s="83" t="str">
        <f>HYPERLINK("https://t.co/Gq4sFtKl8W")</f>
        <v>https://t.co/Gq4sFtKl8W</v>
      </c>
      <c r="AT84" s="83" t="str">
        <f>HYPERLINK("https://bit.ly/apploopipay")</f>
        <v>https://bit.ly/apploopipay</v>
      </c>
      <c r="AU84" s="76" t="s">
        <v>19582</v>
      </c>
      <c r="AV84" s="76">
        <v>1.66392358772658E+18</v>
      </c>
      <c r="AW84" s="83" t="str">
        <f>HYPERLINK("https://t.co/TIkVxBAYXd")</f>
        <v>https://t.co/TIkVxBAYXd</v>
      </c>
      <c r="AX84" s="76" t="b">
        <v>0</v>
      </c>
      <c r="AY84" s="76"/>
      <c r="AZ84" s="76"/>
      <c r="BA84" s="76" t="b">
        <v>0</v>
      </c>
      <c r="BB84" s="76" t="b">
        <v>1</v>
      </c>
      <c r="BC84" s="76" t="b">
        <v>1</v>
      </c>
      <c r="BD84" s="76" t="b">
        <v>0</v>
      </c>
      <c r="BE84" s="76" t="b">
        <v>1</v>
      </c>
      <c r="BF84" s="76" t="b">
        <v>0</v>
      </c>
      <c r="BG84" s="76" t="b">
        <v>0</v>
      </c>
      <c r="BH84" s="83" t="str">
        <f>HYPERLINK("https://pbs.twimg.com/profile_banners/1495833252531220488/1690408854")</f>
        <v>https://pbs.twimg.com/profile_banners/1495833252531220488/1690408854</v>
      </c>
      <c r="BI84" s="76"/>
      <c r="BJ84" s="76" t="s">
        <v>19633</v>
      </c>
      <c r="BK84" s="76" t="b">
        <v>0</v>
      </c>
      <c r="BL84" s="76"/>
      <c r="BM84" s="76" t="s">
        <v>66</v>
      </c>
      <c r="BN84" s="76" t="s">
        <v>19635</v>
      </c>
      <c r="BO84" s="83" t="str">
        <f>HYPERLINK("https://twitter.com/loopipay")</f>
        <v>https://twitter.com/loopipay</v>
      </c>
      <c r="BP84" s="2"/>
    </row>
    <row r="85" spans="1:68" x14ac:dyDescent="0.25">
      <c r="A85" s="62" t="s">
        <v>291</v>
      </c>
      <c r="B85" s="63"/>
      <c r="C85" s="63"/>
      <c r="D85" s="64"/>
      <c r="E85" s="66"/>
      <c r="F85" s="103" t="str">
        <f>HYPERLINK("https://pbs.twimg.com/profile_images/1610325557580898306/UZehEg0I_normal.jpg")</f>
        <v>https://pbs.twimg.com/profile_images/1610325557580898306/UZehEg0I_normal.jpg</v>
      </c>
      <c r="G85" s="63"/>
      <c r="H85" s="67"/>
      <c r="I85" s="68"/>
      <c r="J85" s="68"/>
      <c r="K85" s="67" t="s">
        <v>19717</v>
      </c>
      <c r="L85" s="71"/>
      <c r="M85" s="72"/>
      <c r="N85" s="72"/>
      <c r="O85" s="73"/>
      <c r="P85" s="74"/>
      <c r="Q85" s="74"/>
      <c r="R85" s="87"/>
      <c r="S85" s="87"/>
      <c r="T85" s="87"/>
      <c r="U85" s="87"/>
      <c r="V85" s="48"/>
      <c r="W85" s="48"/>
      <c r="X85" s="47">
        <v>1.101E-3</v>
      </c>
      <c r="Y85" s="48"/>
      <c r="Z85" s="47"/>
      <c r="AA85" s="69">
        <v>85</v>
      </c>
      <c r="AB85" s="69"/>
      <c r="AC85" s="70"/>
      <c r="AD85" s="76" t="s">
        <v>16725</v>
      </c>
      <c r="AE85" s="81" t="s">
        <v>17566</v>
      </c>
      <c r="AF85" s="76">
        <v>3771</v>
      </c>
      <c r="AG85" s="76">
        <v>1154</v>
      </c>
      <c r="AH85" s="76">
        <v>41371</v>
      </c>
      <c r="AI85" s="76">
        <v>118</v>
      </c>
      <c r="AJ85" s="76">
        <v>2187</v>
      </c>
      <c r="AK85" s="76">
        <v>17651</v>
      </c>
      <c r="AL85" s="76" t="b">
        <v>0</v>
      </c>
      <c r="AM85" s="78">
        <v>40150.785960648151</v>
      </c>
      <c r="AN85" s="76" t="s">
        <v>17889</v>
      </c>
      <c r="AO85" s="76" t="s">
        <v>18225</v>
      </c>
      <c r="AP85" s="83" t="str">
        <f>HYPERLINK("https://t.co/6A3YCXdYQW")</f>
        <v>https://t.co/6A3YCXdYQW</v>
      </c>
      <c r="AQ85" s="83" t="str">
        <f>HYPERLINK("http://www.diariodocomercio.com.br")</f>
        <v>http://www.diariodocomercio.com.br</v>
      </c>
      <c r="AR85" s="76" t="s">
        <v>19040</v>
      </c>
      <c r="AS85" s="76"/>
      <c r="AT85" s="76"/>
      <c r="AU85" s="76"/>
      <c r="AV85" s="76"/>
      <c r="AW85" s="83" t="str">
        <f>HYPERLINK("https://t.co/6A3YCXdYQW")</f>
        <v>https://t.co/6A3YCXdYQW</v>
      </c>
      <c r="AX85" s="76" t="b">
        <v>0</v>
      </c>
      <c r="AY85" s="76"/>
      <c r="AZ85" s="76"/>
      <c r="BA85" s="76" t="b">
        <v>0</v>
      </c>
      <c r="BB85" s="76" t="b">
        <v>1</v>
      </c>
      <c r="BC85" s="76" t="b">
        <v>0</v>
      </c>
      <c r="BD85" s="76" t="b">
        <v>0</v>
      </c>
      <c r="BE85" s="76" t="b">
        <v>1</v>
      </c>
      <c r="BF85" s="76" t="b">
        <v>0</v>
      </c>
      <c r="BG85" s="76" t="b">
        <v>0</v>
      </c>
      <c r="BH85" s="83" t="str">
        <f>HYPERLINK("https://pbs.twimg.com/profile_banners/94388843/1672766564")</f>
        <v>https://pbs.twimg.com/profile_banners/94388843/1672766564</v>
      </c>
      <c r="BI85" s="76"/>
      <c r="BJ85" s="76" t="s">
        <v>19633</v>
      </c>
      <c r="BK85" s="76" t="b">
        <v>0</v>
      </c>
      <c r="BL85" s="76"/>
      <c r="BM85" s="76" t="s">
        <v>66</v>
      </c>
      <c r="BN85" s="76" t="s">
        <v>19635</v>
      </c>
      <c r="BO85" s="83" t="str">
        <f>HYPERLINK("https://twitter.com/diario_comercio")</f>
        <v>https://twitter.com/diario_comercio</v>
      </c>
      <c r="BP85" s="2"/>
    </row>
    <row r="86" spans="1:68" x14ac:dyDescent="0.25">
      <c r="A86" s="62" t="s">
        <v>292</v>
      </c>
      <c r="B86" s="63"/>
      <c r="C86" s="63"/>
      <c r="D86" s="64"/>
      <c r="E86" s="66"/>
      <c r="F86" s="103" t="str">
        <f>HYPERLINK("https://pbs.twimg.com/profile_images/1535590782832414720/m76mRnR1_normal.jpg")</f>
        <v>https://pbs.twimg.com/profile_images/1535590782832414720/m76mRnR1_normal.jpg</v>
      </c>
      <c r="G86" s="63"/>
      <c r="H86" s="67"/>
      <c r="I86" s="68"/>
      <c r="J86" s="68"/>
      <c r="K86" s="67" t="s">
        <v>19718</v>
      </c>
      <c r="L86" s="71"/>
      <c r="M86" s="72"/>
      <c r="N86" s="72"/>
      <c r="O86" s="73"/>
      <c r="P86" s="74"/>
      <c r="Q86" s="74"/>
      <c r="R86" s="87"/>
      <c r="S86" s="87"/>
      <c r="T86" s="87"/>
      <c r="U86" s="87"/>
      <c r="V86" s="48"/>
      <c r="W86" s="48"/>
      <c r="X86" s="47">
        <v>1.101E-3</v>
      </c>
      <c r="Y86" s="48"/>
      <c r="Z86" s="47"/>
      <c r="AA86" s="69">
        <v>86</v>
      </c>
      <c r="AB86" s="69"/>
      <c r="AC86" s="70"/>
      <c r="AD86" s="76" t="s">
        <v>16726</v>
      </c>
      <c r="AE86" s="81" t="s">
        <v>17567</v>
      </c>
      <c r="AF86" s="76">
        <v>88</v>
      </c>
      <c r="AG86" s="76">
        <v>119</v>
      </c>
      <c r="AH86" s="76">
        <v>96</v>
      </c>
      <c r="AI86" s="76">
        <v>1</v>
      </c>
      <c r="AJ86" s="76">
        <v>234</v>
      </c>
      <c r="AK86" s="76">
        <v>8</v>
      </c>
      <c r="AL86" s="76" t="b">
        <v>0</v>
      </c>
      <c r="AM86" s="78">
        <v>41385.388356481482</v>
      </c>
      <c r="AN86" s="76" t="s">
        <v>17867</v>
      </c>
      <c r="AO86" s="76" t="s">
        <v>18226</v>
      </c>
      <c r="AP86" s="76"/>
      <c r="AQ86" s="76"/>
      <c r="AR86" s="76"/>
      <c r="AS86" s="76"/>
      <c r="AT86" s="76"/>
      <c r="AU86" s="76"/>
      <c r="AV86" s="76"/>
      <c r="AW86" s="76"/>
      <c r="AX86" s="76" t="b">
        <v>0</v>
      </c>
      <c r="AY86" s="76"/>
      <c r="AZ86" s="76"/>
      <c r="BA86" s="76" t="b">
        <v>0</v>
      </c>
      <c r="BB86" s="76" t="b">
        <v>1</v>
      </c>
      <c r="BC86" s="76" t="b">
        <v>0</v>
      </c>
      <c r="BD86" s="76" t="b">
        <v>0</v>
      </c>
      <c r="BE86" s="76" t="b">
        <v>1</v>
      </c>
      <c r="BF86" s="76" t="b">
        <v>0</v>
      </c>
      <c r="BG86" s="76" t="b">
        <v>0</v>
      </c>
      <c r="BH86" s="83" t="str">
        <f>HYPERLINK("https://pbs.twimg.com/profile_banners/1369100046/1648434558")</f>
        <v>https://pbs.twimg.com/profile_banners/1369100046/1648434558</v>
      </c>
      <c r="BI86" s="76"/>
      <c r="BJ86" s="76" t="s">
        <v>19633</v>
      </c>
      <c r="BK86" s="76" t="b">
        <v>0</v>
      </c>
      <c r="BL86" s="76"/>
      <c r="BM86" s="76" t="s">
        <v>66</v>
      </c>
      <c r="BN86" s="76" t="s">
        <v>19635</v>
      </c>
      <c r="BO86" s="83" t="str">
        <f>HYPERLINK("https://twitter.com/santiagolmoraes")</f>
        <v>https://twitter.com/santiagolmoraes</v>
      </c>
      <c r="BP86" s="2"/>
    </row>
    <row r="87" spans="1:68" x14ac:dyDescent="0.25">
      <c r="A87" s="62" t="s">
        <v>293</v>
      </c>
      <c r="B87" s="63"/>
      <c r="C87" s="63"/>
      <c r="D87" s="64"/>
      <c r="E87" s="66"/>
      <c r="F87" s="103" t="str">
        <f>HYPERLINK("https://pbs.twimg.com/profile_images/1660516506491568129/s9Q9FabK_normal.jpg")</f>
        <v>https://pbs.twimg.com/profile_images/1660516506491568129/s9Q9FabK_normal.jpg</v>
      </c>
      <c r="G87" s="63"/>
      <c r="H87" s="67"/>
      <c r="I87" s="68"/>
      <c r="J87" s="68"/>
      <c r="K87" s="67" t="s">
        <v>19719</v>
      </c>
      <c r="L87" s="71"/>
      <c r="M87" s="72"/>
      <c r="N87" s="72"/>
      <c r="O87" s="73"/>
      <c r="P87" s="74"/>
      <c r="Q87" s="74"/>
      <c r="R87" s="87"/>
      <c r="S87" s="87"/>
      <c r="T87" s="87"/>
      <c r="U87" s="87"/>
      <c r="V87" s="48"/>
      <c r="W87" s="48"/>
      <c r="X87" s="47">
        <v>1.101E-3</v>
      </c>
      <c r="Y87" s="48"/>
      <c r="Z87" s="47"/>
      <c r="AA87" s="69">
        <v>87</v>
      </c>
      <c r="AB87" s="69"/>
      <c r="AC87" s="70"/>
      <c r="AD87" s="76" t="s">
        <v>16727</v>
      </c>
      <c r="AE87" s="81" t="s">
        <v>15684</v>
      </c>
      <c r="AF87" s="76">
        <v>236</v>
      </c>
      <c r="AG87" s="76">
        <v>0</v>
      </c>
      <c r="AH87" s="76">
        <v>768</v>
      </c>
      <c r="AI87" s="76">
        <v>1</v>
      </c>
      <c r="AJ87" s="76">
        <v>80</v>
      </c>
      <c r="AK87" s="76">
        <v>561</v>
      </c>
      <c r="AL87" s="76" t="b">
        <v>0</v>
      </c>
      <c r="AM87" s="78">
        <v>41758.464236111111</v>
      </c>
      <c r="AN87" s="76" t="s">
        <v>17890</v>
      </c>
      <c r="AO87" s="76" t="s">
        <v>18227</v>
      </c>
      <c r="AP87" s="83" t="str">
        <f>HYPERLINK("https://t.co/5y6BNqbkqN")</f>
        <v>https://t.co/5y6BNqbkqN</v>
      </c>
      <c r="AQ87" s="83" t="str">
        <f>HYPERLINK("https://www.paraminvest.in/")</f>
        <v>https://www.paraminvest.in/</v>
      </c>
      <c r="AR87" s="76" t="s">
        <v>19041</v>
      </c>
      <c r="AS87" s="76"/>
      <c r="AT87" s="76"/>
      <c r="AU87" s="76"/>
      <c r="AV87" s="76"/>
      <c r="AW87" s="83" t="str">
        <f>HYPERLINK("https://t.co/5y6BNqbkqN")</f>
        <v>https://t.co/5y6BNqbkqN</v>
      </c>
      <c r="AX87" s="76" t="b">
        <v>0</v>
      </c>
      <c r="AY87" s="76"/>
      <c r="AZ87" s="76"/>
      <c r="BA87" s="76" t="b">
        <v>0</v>
      </c>
      <c r="BB87" s="76" t="b">
        <v>1</v>
      </c>
      <c r="BC87" s="76" t="b">
        <v>1</v>
      </c>
      <c r="BD87" s="76" t="b">
        <v>0</v>
      </c>
      <c r="BE87" s="76" t="b">
        <v>0</v>
      </c>
      <c r="BF87" s="76" t="b">
        <v>0</v>
      </c>
      <c r="BG87" s="76" t="b">
        <v>0</v>
      </c>
      <c r="BH87" s="83" t="str">
        <f>HYPERLINK("https://pbs.twimg.com/profile_banners/2469127752/1641209950")</f>
        <v>https://pbs.twimg.com/profile_banners/2469127752/1641209950</v>
      </c>
      <c r="BI87" s="76"/>
      <c r="BJ87" s="76" t="s">
        <v>19633</v>
      </c>
      <c r="BK87" s="76" t="b">
        <v>0</v>
      </c>
      <c r="BL87" s="76"/>
      <c r="BM87" s="76" t="s">
        <v>66</v>
      </c>
      <c r="BN87" s="76" t="s">
        <v>19635</v>
      </c>
      <c r="BO87" s="83" t="str">
        <f>HYPERLINK("https://twitter.com/paraminvest")</f>
        <v>https://twitter.com/paraminvest</v>
      </c>
      <c r="BP87" s="2"/>
    </row>
    <row r="88" spans="1:68" x14ac:dyDescent="0.25">
      <c r="A88" s="62" t="s">
        <v>294</v>
      </c>
      <c r="B88" s="63"/>
      <c r="C88" s="63"/>
      <c r="D88" s="64"/>
      <c r="E88" s="66"/>
      <c r="F88" s="103" t="str">
        <f>HYPERLINK("https://pbs.twimg.com/profile_images/1586870796064116740/nAZohRyF_normal.jpg")</f>
        <v>https://pbs.twimg.com/profile_images/1586870796064116740/nAZohRyF_normal.jpg</v>
      </c>
      <c r="G88" s="63"/>
      <c r="H88" s="67"/>
      <c r="I88" s="68"/>
      <c r="J88" s="68"/>
      <c r="K88" s="67" t="s">
        <v>19720</v>
      </c>
      <c r="L88" s="71"/>
      <c r="M88" s="72"/>
      <c r="N88" s="72"/>
      <c r="O88" s="73"/>
      <c r="P88" s="74"/>
      <c r="Q88" s="74"/>
      <c r="R88" s="87"/>
      <c r="S88" s="87"/>
      <c r="T88" s="87"/>
      <c r="U88" s="87"/>
      <c r="V88" s="48"/>
      <c r="W88" s="48"/>
      <c r="X88" s="47">
        <v>1.101E-3</v>
      </c>
      <c r="Y88" s="48"/>
      <c r="Z88" s="47"/>
      <c r="AA88" s="69">
        <v>88</v>
      </c>
      <c r="AB88" s="69"/>
      <c r="AC88" s="70"/>
      <c r="AD88" s="76" t="s">
        <v>16728</v>
      </c>
      <c r="AE88" s="81" t="s">
        <v>17568</v>
      </c>
      <c r="AF88" s="76">
        <v>2218</v>
      </c>
      <c r="AG88" s="76">
        <v>3158</v>
      </c>
      <c r="AH88" s="76">
        <v>5427</v>
      </c>
      <c r="AI88" s="76">
        <v>0</v>
      </c>
      <c r="AJ88" s="76">
        <v>2287</v>
      </c>
      <c r="AK88" s="76">
        <v>1429</v>
      </c>
      <c r="AL88" s="76" t="b">
        <v>0</v>
      </c>
      <c r="AM88" s="78">
        <v>41951.989479166667</v>
      </c>
      <c r="AN88" s="76"/>
      <c r="AO88" s="76" t="s">
        <v>18228</v>
      </c>
      <c r="AP88" s="76"/>
      <c r="AQ88" s="76"/>
      <c r="AR88" s="76"/>
      <c r="AS88" s="76"/>
      <c r="AT88" s="76"/>
      <c r="AU88" s="76"/>
      <c r="AV88" s="76">
        <v>1.58126279848653E+18</v>
      </c>
      <c r="AW88" s="76"/>
      <c r="AX88" s="76" t="b">
        <v>0</v>
      </c>
      <c r="AY88" s="76"/>
      <c r="AZ88" s="76"/>
      <c r="BA88" s="76" t="b">
        <v>0</v>
      </c>
      <c r="BB88" s="76" t="b">
        <v>1</v>
      </c>
      <c r="BC88" s="76" t="b">
        <v>0</v>
      </c>
      <c r="BD88" s="76" t="b">
        <v>0</v>
      </c>
      <c r="BE88" s="76" t="b">
        <v>1</v>
      </c>
      <c r="BF88" s="76" t="b">
        <v>0</v>
      </c>
      <c r="BG88" s="76" t="b">
        <v>0</v>
      </c>
      <c r="BH88" s="83" t="str">
        <f>HYPERLINK("https://pbs.twimg.com/profile_banners/2868134025/1674810434")</f>
        <v>https://pbs.twimg.com/profile_banners/2868134025/1674810434</v>
      </c>
      <c r="BI88" s="76"/>
      <c r="BJ88" s="76" t="s">
        <v>19633</v>
      </c>
      <c r="BK88" s="76" t="b">
        <v>0</v>
      </c>
      <c r="BL88" s="76"/>
      <c r="BM88" s="76" t="s">
        <v>66</v>
      </c>
      <c r="BN88" s="76" t="s">
        <v>19635</v>
      </c>
      <c r="BO88" s="83" t="str">
        <f>HYPERLINK("https://twitter.com/sandroveiga_")</f>
        <v>https://twitter.com/sandroveiga_</v>
      </c>
      <c r="BP88" s="2"/>
    </row>
    <row r="89" spans="1:68" x14ac:dyDescent="0.25">
      <c r="A89" s="62" t="s">
        <v>295</v>
      </c>
      <c r="B89" s="63"/>
      <c r="C89" s="63"/>
      <c r="D89" s="64"/>
      <c r="E89" s="66"/>
      <c r="F89" s="103" t="str">
        <f>HYPERLINK("https://pbs.twimg.com/profile_images/1658921909365399555/S40awpxr_normal.jpg")</f>
        <v>https://pbs.twimg.com/profile_images/1658921909365399555/S40awpxr_normal.jpg</v>
      </c>
      <c r="G89" s="63"/>
      <c r="H89" s="67"/>
      <c r="I89" s="68"/>
      <c r="J89" s="68"/>
      <c r="K89" s="67" t="s">
        <v>19721</v>
      </c>
      <c r="L89" s="71"/>
      <c r="M89" s="72"/>
      <c r="N89" s="72"/>
      <c r="O89" s="73"/>
      <c r="P89" s="74"/>
      <c r="Q89" s="74"/>
      <c r="R89" s="87"/>
      <c r="S89" s="87"/>
      <c r="T89" s="87"/>
      <c r="U89" s="87"/>
      <c r="V89" s="48"/>
      <c r="W89" s="48"/>
      <c r="X89" s="47">
        <v>1.101E-3</v>
      </c>
      <c r="Y89" s="48"/>
      <c r="Z89" s="47"/>
      <c r="AA89" s="69">
        <v>89</v>
      </c>
      <c r="AB89" s="69"/>
      <c r="AC89" s="70"/>
      <c r="AD89" s="76" t="s">
        <v>16729</v>
      </c>
      <c r="AE89" s="81" t="s">
        <v>16176</v>
      </c>
      <c r="AF89" s="76">
        <v>4</v>
      </c>
      <c r="AG89" s="76">
        <v>0</v>
      </c>
      <c r="AH89" s="76">
        <v>75</v>
      </c>
      <c r="AI89" s="76">
        <v>0</v>
      </c>
      <c r="AJ89" s="76">
        <v>33</v>
      </c>
      <c r="AK89" s="76">
        <v>74</v>
      </c>
      <c r="AL89" s="76" t="b">
        <v>0</v>
      </c>
      <c r="AM89" s="78">
        <v>44782.790856481479</v>
      </c>
      <c r="AN89" s="76"/>
      <c r="AO89" s="76" t="s">
        <v>18229</v>
      </c>
      <c r="AP89" s="83" t="str">
        <f>HYPERLINK("https://t.co/Bx3x4pWJV8")</f>
        <v>https://t.co/Bx3x4pWJV8</v>
      </c>
      <c r="AQ89" s="83" t="str">
        <f>HYPERLINK("https://linkr.com/deduzsolucoes")</f>
        <v>https://linkr.com/deduzsolucoes</v>
      </c>
      <c r="AR89" s="76" t="s">
        <v>19042</v>
      </c>
      <c r="AS89" s="76"/>
      <c r="AT89" s="76"/>
      <c r="AU89" s="76"/>
      <c r="AV89" s="76"/>
      <c r="AW89" s="83" t="str">
        <f>HYPERLINK("https://t.co/Bx3x4pWJV8")</f>
        <v>https://t.co/Bx3x4pWJV8</v>
      </c>
      <c r="AX89" s="76" t="b">
        <v>0</v>
      </c>
      <c r="AY89" s="76"/>
      <c r="AZ89" s="76"/>
      <c r="BA89" s="76" t="b">
        <v>1</v>
      </c>
      <c r="BB89" s="76" t="b">
        <v>1</v>
      </c>
      <c r="BC89" s="76" t="b">
        <v>1</v>
      </c>
      <c r="BD89" s="76" t="b">
        <v>0</v>
      </c>
      <c r="BE89" s="76" t="b">
        <v>0</v>
      </c>
      <c r="BF89" s="76" t="b">
        <v>0</v>
      </c>
      <c r="BG89" s="76" t="b">
        <v>0</v>
      </c>
      <c r="BH89" s="83" t="str">
        <f>HYPERLINK("https://pbs.twimg.com/profile_banners/1557078865650008065/1684244276")</f>
        <v>https://pbs.twimg.com/profile_banners/1557078865650008065/1684244276</v>
      </c>
      <c r="BI89" s="76"/>
      <c r="BJ89" s="76" t="s">
        <v>19633</v>
      </c>
      <c r="BK89" s="76" t="b">
        <v>0</v>
      </c>
      <c r="BL89" s="76"/>
      <c r="BM89" s="76" t="s">
        <v>66</v>
      </c>
      <c r="BN89" s="76" t="s">
        <v>19635</v>
      </c>
      <c r="BO89" s="83" t="str">
        <f>HYPERLINK("https://twitter.com/deduzsolucoes")</f>
        <v>https://twitter.com/deduzsolucoes</v>
      </c>
      <c r="BP89" s="2"/>
    </row>
    <row r="90" spans="1:68" x14ac:dyDescent="0.25">
      <c r="A90" s="62" t="s">
        <v>296</v>
      </c>
      <c r="B90" s="63"/>
      <c r="C90" s="63"/>
      <c r="D90" s="64"/>
      <c r="E90" s="66"/>
      <c r="F90" s="103" t="str">
        <f>HYPERLINK("https://pbs.twimg.com/profile_images/1556378128540385282/6_C43Yzh_normal.jpg")</f>
        <v>https://pbs.twimg.com/profile_images/1556378128540385282/6_C43Yzh_normal.jpg</v>
      </c>
      <c r="G90" s="63"/>
      <c r="H90" s="67"/>
      <c r="I90" s="68"/>
      <c r="J90" s="68"/>
      <c r="K90" s="67" t="s">
        <v>19722</v>
      </c>
      <c r="L90" s="71"/>
      <c r="M90" s="72"/>
      <c r="N90" s="72"/>
      <c r="O90" s="73"/>
      <c r="P90" s="74"/>
      <c r="Q90" s="74"/>
      <c r="R90" s="87"/>
      <c r="S90" s="87"/>
      <c r="T90" s="87"/>
      <c r="U90" s="87"/>
      <c r="V90" s="48"/>
      <c r="W90" s="48"/>
      <c r="X90" s="47">
        <v>1.101E-3</v>
      </c>
      <c r="Y90" s="48"/>
      <c r="Z90" s="47"/>
      <c r="AA90" s="69">
        <v>90</v>
      </c>
      <c r="AB90" s="69"/>
      <c r="AC90" s="70"/>
      <c r="AD90" s="76" t="s">
        <v>16730</v>
      </c>
      <c r="AE90" s="81" t="s">
        <v>17569</v>
      </c>
      <c r="AF90" s="76">
        <v>704</v>
      </c>
      <c r="AG90" s="76">
        <v>181</v>
      </c>
      <c r="AH90" s="76">
        <v>1306</v>
      </c>
      <c r="AI90" s="76">
        <v>4</v>
      </c>
      <c r="AJ90" s="76">
        <v>6</v>
      </c>
      <c r="AK90" s="76">
        <v>432</v>
      </c>
      <c r="AL90" s="76" t="b">
        <v>0</v>
      </c>
      <c r="AM90" s="78">
        <v>42210.483518518522</v>
      </c>
      <c r="AN90" s="76" t="s">
        <v>17891</v>
      </c>
      <c r="AO90" s="76" t="s">
        <v>18230</v>
      </c>
      <c r="AP90" s="76"/>
      <c r="AQ90" s="76"/>
      <c r="AR90" s="76"/>
      <c r="AS90" s="76"/>
      <c r="AT90" s="76"/>
      <c r="AU90" s="76"/>
      <c r="AV90" s="76">
        <v>1.70169660850349E+18</v>
      </c>
      <c r="AW90" s="76"/>
      <c r="AX90" s="76" t="b">
        <v>0</v>
      </c>
      <c r="AY90" s="76"/>
      <c r="AZ90" s="76"/>
      <c r="BA90" s="76" t="b">
        <v>0</v>
      </c>
      <c r="BB90" s="76" t="b">
        <v>0</v>
      </c>
      <c r="BC90" s="76" t="b">
        <v>1</v>
      </c>
      <c r="BD90" s="76" t="b">
        <v>0</v>
      </c>
      <c r="BE90" s="76" t="b">
        <v>1</v>
      </c>
      <c r="BF90" s="76" t="b">
        <v>0</v>
      </c>
      <c r="BG90" s="76" t="b">
        <v>0</v>
      </c>
      <c r="BH90" s="83" t="str">
        <f>HYPERLINK("https://pbs.twimg.com/profile_banners/3292463382/1659856572")</f>
        <v>https://pbs.twimg.com/profile_banners/3292463382/1659856572</v>
      </c>
      <c r="BI90" s="76"/>
      <c r="BJ90" s="76" t="s">
        <v>19633</v>
      </c>
      <c r="BK90" s="76" t="b">
        <v>0</v>
      </c>
      <c r="BL90" s="76"/>
      <c r="BM90" s="76" t="s">
        <v>66</v>
      </c>
      <c r="BN90" s="76" t="s">
        <v>19635</v>
      </c>
      <c r="BO90" s="83" t="str">
        <f>HYPERLINK("https://twitter.com/origin22_22")</f>
        <v>https://twitter.com/origin22_22</v>
      </c>
      <c r="BP90" s="2"/>
    </row>
    <row r="91" spans="1:68" x14ac:dyDescent="0.25">
      <c r="A91" s="62" t="s">
        <v>297</v>
      </c>
      <c r="B91" s="63"/>
      <c r="C91" s="63"/>
      <c r="D91" s="64"/>
      <c r="E91" s="66"/>
      <c r="F91" s="103" t="str">
        <f>HYPERLINK("https://pbs.twimg.com/profile_images/1680193293739597826/CssDDNfK_normal.jpg")</f>
        <v>https://pbs.twimg.com/profile_images/1680193293739597826/CssDDNfK_normal.jpg</v>
      </c>
      <c r="G91" s="63"/>
      <c r="H91" s="67"/>
      <c r="I91" s="68"/>
      <c r="J91" s="68"/>
      <c r="K91" s="67" t="s">
        <v>19723</v>
      </c>
      <c r="L91" s="71"/>
      <c r="M91" s="72"/>
      <c r="N91" s="72"/>
      <c r="O91" s="73"/>
      <c r="P91" s="74"/>
      <c r="Q91" s="74"/>
      <c r="R91" s="87"/>
      <c r="S91" s="87"/>
      <c r="T91" s="87"/>
      <c r="U91" s="87"/>
      <c r="V91" s="48"/>
      <c r="W91" s="48"/>
      <c r="X91" s="47">
        <v>1.101E-3</v>
      </c>
      <c r="Y91" s="48"/>
      <c r="Z91" s="47"/>
      <c r="AA91" s="69">
        <v>91</v>
      </c>
      <c r="AB91" s="69"/>
      <c r="AC91" s="70"/>
      <c r="AD91" s="76" t="s">
        <v>16731</v>
      </c>
      <c r="AE91" s="81" t="s">
        <v>16177</v>
      </c>
      <c r="AF91" s="76">
        <v>38</v>
      </c>
      <c r="AG91" s="76">
        <v>118</v>
      </c>
      <c r="AH91" s="76">
        <v>108</v>
      </c>
      <c r="AI91" s="76">
        <v>0</v>
      </c>
      <c r="AJ91" s="76">
        <v>119</v>
      </c>
      <c r="AK91" s="76">
        <v>12</v>
      </c>
      <c r="AL91" s="76" t="b">
        <v>0</v>
      </c>
      <c r="AM91" s="78">
        <v>45110.99291666667</v>
      </c>
      <c r="AN91" s="76" t="s">
        <v>10562</v>
      </c>
      <c r="AO91" s="76" t="s">
        <v>18231</v>
      </c>
      <c r="AP91" s="76"/>
      <c r="AQ91" s="76"/>
      <c r="AR91" s="76"/>
      <c r="AS91" s="76"/>
      <c r="AT91" s="76"/>
      <c r="AU91" s="76"/>
      <c r="AV91" s="76"/>
      <c r="AW91" s="76"/>
      <c r="AX91" s="76" t="b">
        <v>0</v>
      </c>
      <c r="AY91" s="76"/>
      <c r="AZ91" s="76"/>
      <c r="BA91" s="76" t="b">
        <v>0</v>
      </c>
      <c r="BB91" s="76" t="b">
        <v>1</v>
      </c>
      <c r="BC91" s="76" t="b">
        <v>1</v>
      </c>
      <c r="BD91" s="76" t="b">
        <v>0</v>
      </c>
      <c r="BE91" s="76" t="b">
        <v>0</v>
      </c>
      <c r="BF91" s="76" t="b">
        <v>0</v>
      </c>
      <c r="BG91" s="76" t="b">
        <v>0</v>
      </c>
      <c r="BH91" s="83" t="str">
        <f>HYPERLINK("https://pbs.twimg.com/profile_banners/1676015326952079362/1688489703")</f>
        <v>https://pbs.twimg.com/profile_banners/1676015326952079362/1688489703</v>
      </c>
      <c r="BI91" s="76"/>
      <c r="BJ91" s="76" t="s">
        <v>19633</v>
      </c>
      <c r="BK91" s="76" t="b">
        <v>0</v>
      </c>
      <c r="BL91" s="76"/>
      <c r="BM91" s="76" t="s">
        <v>66</v>
      </c>
      <c r="BN91" s="76" t="s">
        <v>19635</v>
      </c>
      <c r="BO91" s="83" t="str">
        <f>HYPERLINK("https://twitter.com/maismillionario")</f>
        <v>https://twitter.com/maismillionario</v>
      </c>
      <c r="BP91" s="2"/>
    </row>
    <row r="92" spans="1:68" x14ac:dyDescent="0.25">
      <c r="A92" s="62" t="s">
        <v>298</v>
      </c>
      <c r="B92" s="63"/>
      <c r="C92" s="63"/>
      <c r="D92" s="64"/>
      <c r="E92" s="66"/>
      <c r="F92" s="103" t="str">
        <f>HYPERLINK("https://pbs.twimg.com/profile_images/1336274058963525632/6yK1d7_9_normal.jpg")</f>
        <v>https://pbs.twimg.com/profile_images/1336274058963525632/6yK1d7_9_normal.jpg</v>
      </c>
      <c r="G92" s="63"/>
      <c r="H92" s="67"/>
      <c r="I92" s="68"/>
      <c r="J92" s="68"/>
      <c r="K92" s="67" t="s">
        <v>19724</v>
      </c>
      <c r="L92" s="71"/>
      <c r="M92" s="72"/>
      <c r="N92" s="72"/>
      <c r="O92" s="73"/>
      <c r="P92" s="74"/>
      <c r="Q92" s="74"/>
      <c r="R92" s="87"/>
      <c r="S92" s="87"/>
      <c r="T92" s="87"/>
      <c r="U92" s="87"/>
      <c r="V92" s="48"/>
      <c r="W92" s="48"/>
      <c r="X92" s="47">
        <v>1.101E-3</v>
      </c>
      <c r="Y92" s="48"/>
      <c r="Z92" s="47"/>
      <c r="AA92" s="69">
        <v>92</v>
      </c>
      <c r="AB92" s="69"/>
      <c r="AC92" s="70"/>
      <c r="AD92" s="76" t="s">
        <v>16732</v>
      </c>
      <c r="AE92" s="81" t="s">
        <v>16178</v>
      </c>
      <c r="AF92" s="76">
        <v>278</v>
      </c>
      <c r="AG92" s="76">
        <v>198</v>
      </c>
      <c r="AH92" s="76">
        <v>476</v>
      </c>
      <c r="AI92" s="76">
        <v>5</v>
      </c>
      <c r="AJ92" s="76">
        <v>152</v>
      </c>
      <c r="AK92" s="76">
        <v>8</v>
      </c>
      <c r="AL92" s="76" t="b">
        <v>0</v>
      </c>
      <c r="AM92" s="78">
        <v>43999.264525462961</v>
      </c>
      <c r="AN92" s="76" t="s">
        <v>17892</v>
      </c>
      <c r="AO92" s="76"/>
      <c r="AP92" s="76"/>
      <c r="AQ92" s="76"/>
      <c r="AR92" s="76"/>
      <c r="AS92" s="76"/>
      <c r="AT92" s="76"/>
      <c r="AU92" s="76"/>
      <c r="AV92" s="76">
        <v>1.6869827319917801E+18</v>
      </c>
      <c r="AW92" s="76"/>
      <c r="AX92" s="76" t="b">
        <v>0</v>
      </c>
      <c r="AY92" s="76"/>
      <c r="AZ92" s="76"/>
      <c r="BA92" s="76" t="b">
        <v>0</v>
      </c>
      <c r="BB92" s="76" t="b">
        <v>1</v>
      </c>
      <c r="BC92" s="76" t="b">
        <v>1</v>
      </c>
      <c r="BD92" s="76" t="b">
        <v>0</v>
      </c>
      <c r="BE92" s="76" t="b">
        <v>1</v>
      </c>
      <c r="BF92" s="76" t="b">
        <v>0</v>
      </c>
      <c r="BG92" s="76" t="b">
        <v>0</v>
      </c>
      <c r="BH92" s="83" t="str">
        <f>HYPERLINK("https://pbs.twimg.com/profile_banners/1273138459402801153/1607427648")</f>
        <v>https://pbs.twimg.com/profile_banners/1273138459402801153/1607427648</v>
      </c>
      <c r="BI92" s="76"/>
      <c r="BJ92" s="76" t="s">
        <v>19633</v>
      </c>
      <c r="BK92" s="76" t="b">
        <v>0</v>
      </c>
      <c r="BL92" s="76"/>
      <c r="BM92" s="76" t="s">
        <v>66</v>
      </c>
      <c r="BN92" s="76" t="s">
        <v>19635</v>
      </c>
      <c r="BO92" s="83" t="str">
        <f>HYPERLINK("https://twitter.com/druzi11")</f>
        <v>https://twitter.com/druzi11</v>
      </c>
      <c r="BP92" s="2"/>
    </row>
    <row r="93" spans="1:68" x14ac:dyDescent="0.25">
      <c r="A93" s="62" t="s">
        <v>299</v>
      </c>
      <c r="B93" s="63"/>
      <c r="C93" s="63"/>
      <c r="D93" s="64"/>
      <c r="E93" s="66"/>
      <c r="F93" s="103" t="str">
        <f>HYPERLINK("https://pbs.twimg.com/profile_images/1698999438612553728/d9M_d5ip_normal.jpg")</f>
        <v>https://pbs.twimg.com/profile_images/1698999438612553728/d9M_d5ip_normal.jpg</v>
      </c>
      <c r="G93" s="63"/>
      <c r="H93" s="67"/>
      <c r="I93" s="68"/>
      <c r="J93" s="68"/>
      <c r="K93" s="67" t="s">
        <v>19725</v>
      </c>
      <c r="L93" s="71"/>
      <c r="M93" s="72"/>
      <c r="N93" s="72"/>
      <c r="O93" s="73"/>
      <c r="P93" s="74"/>
      <c r="Q93" s="74"/>
      <c r="R93" s="87"/>
      <c r="S93" s="87"/>
      <c r="T93" s="87"/>
      <c r="U93" s="87"/>
      <c r="V93" s="48"/>
      <c r="W93" s="48"/>
      <c r="X93" s="47">
        <v>1.101E-3</v>
      </c>
      <c r="Y93" s="48"/>
      <c r="Z93" s="47"/>
      <c r="AA93" s="69">
        <v>93</v>
      </c>
      <c r="AB93" s="69"/>
      <c r="AC93" s="70"/>
      <c r="AD93" s="76" t="s">
        <v>16733</v>
      </c>
      <c r="AE93" s="81" t="s">
        <v>15685</v>
      </c>
      <c r="AF93" s="76">
        <v>29</v>
      </c>
      <c r="AG93" s="76">
        <v>322</v>
      </c>
      <c r="AH93" s="76">
        <v>515</v>
      </c>
      <c r="AI93" s="76">
        <v>0</v>
      </c>
      <c r="AJ93" s="76">
        <v>1403</v>
      </c>
      <c r="AK93" s="76">
        <v>53</v>
      </c>
      <c r="AL93" s="76" t="b">
        <v>0</v>
      </c>
      <c r="AM93" s="78">
        <v>40979.881238425929</v>
      </c>
      <c r="AN93" s="76" t="s">
        <v>17893</v>
      </c>
      <c r="AO93" s="76" t="s">
        <v>18232</v>
      </c>
      <c r="AP93" s="76"/>
      <c r="AQ93" s="76"/>
      <c r="AR93" s="76"/>
      <c r="AS93" s="76"/>
      <c r="AT93" s="76"/>
      <c r="AU93" s="76"/>
      <c r="AV93" s="76"/>
      <c r="AW93" s="76"/>
      <c r="AX93" s="76" t="b">
        <v>0</v>
      </c>
      <c r="AY93" s="76"/>
      <c r="AZ93" s="76"/>
      <c r="BA93" s="76" t="b">
        <v>0</v>
      </c>
      <c r="BB93" s="76" t="b">
        <v>1</v>
      </c>
      <c r="BC93" s="76" t="b">
        <v>1</v>
      </c>
      <c r="BD93" s="76" t="b">
        <v>0</v>
      </c>
      <c r="BE93" s="76" t="b">
        <v>1</v>
      </c>
      <c r="BF93" s="76" t="b">
        <v>0</v>
      </c>
      <c r="BG93" s="76" t="b">
        <v>0</v>
      </c>
      <c r="BH93" s="76"/>
      <c r="BI93" s="76"/>
      <c r="BJ93" s="76" t="s">
        <v>19633</v>
      </c>
      <c r="BK93" s="76" t="b">
        <v>0</v>
      </c>
      <c r="BL93" s="76"/>
      <c r="BM93" s="76" t="s">
        <v>66</v>
      </c>
      <c r="BN93" s="76" t="s">
        <v>19635</v>
      </c>
      <c r="BO93" s="83" t="str">
        <f>HYPERLINK("https://twitter.com/diogorugeroni")</f>
        <v>https://twitter.com/diogorugeroni</v>
      </c>
      <c r="BP93" s="2"/>
    </row>
    <row r="94" spans="1:68" x14ac:dyDescent="0.25">
      <c r="A94" s="62" t="s">
        <v>300</v>
      </c>
      <c r="B94" s="63"/>
      <c r="C94" s="63"/>
      <c r="D94" s="64"/>
      <c r="E94" s="66"/>
      <c r="F94" s="103" t="str">
        <f>HYPERLINK("https://pbs.twimg.com/profile_images/1587445839257116674/XFns5bkL_normal.jpg")</f>
        <v>https://pbs.twimg.com/profile_images/1587445839257116674/XFns5bkL_normal.jpg</v>
      </c>
      <c r="G94" s="63"/>
      <c r="H94" s="67"/>
      <c r="I94" s="68"/>
      <c r="J94" s="68"/>
      <c r="K94" s="67" t="s">
        <v>19726</v>
      </c>
      <c r="L94" s="71"/>
      <c r="M94" s="72"/>
      <c r="N94" s="72"/>
      <c r="O94" s="73"/>
      <c r="P94" s="74"/>
      <c r="Q94" s="74"/>
      <c r="R94" s="87"/>
      <c r="S94" s="87"/>
      <c r="T94" s="87"/>
      <c r="U94" s="87"/>
      <c r="V94" s="48"/>
      <c r="W94" s="48"/>
      <c r="X94" s="47">
        <v>1.101E-3</v>
      </c>
      <c r="Y94" s="48"/>
      <c r="Z94" s="47"/>
      <c r="AA94" s="69">
        <v>94</v>
      </c>
      <c r="AB94" s="69"/>
      <c r="AC94" s="70"/>
      <c r="AD94" s="76" t="s">
        <v>16734</v>
      </c>
      <c r="AE94" s="81" t="s">
        <v>16179</v>
      </c>
      <c r="AF94" s="76">
        <v>1057</v>
      </c>
      <c r="AG94" s="76">
        <v>2451</v>
      </c>
      <c r="AH94" s="76">
        <v>4888</v>
      </c>
      <c r="AI94" s="76">
        <v>0</v>
      </c>
      <c r="AJ94" s="76">
        <v>5485</v>
      </c>
      <c r="AK94" s="76">
        <v>3969</v>
      </c>
      <c r="AL94" s="76" t="b">
        <v>0</v>
      </c>
      <c r="AM94" s="78">
        <v>44675.274201388886</v>
      </c>
      <c r="AN94" s="76" t="s">
        <v>17894</v>
      </c>
      <c r="AO94" s="76" t="s">
        <v>18233</v>
      </c>
      <c r="AP94" s="83" t="str">
        <f>HYPERLINK("https://t.co/H8VpGLIaNe")</f>
        <v>https://t.co/H8VpGLIaNe</v>
      </c>
      <c r="AQ94" s="83" t="str">
        <f>HYPERLINK("https://twitter.com/ValdecirRondel1")</f>
        <v>https://twitter.com/ValdecirRondel1</v>
      </c>
      <c r="AR94" s="76" t="s">
        <v>19043</v>
      </c>
      <c r="AS94" s="76"/>
      <c r="AT94" s="76"/>
      <c r="AU94" s="76"/>
      <c r="AV94" s="76"/>
      <c r="AW94" s="83" t="str">
        <f>HYPERLINK("https://t.co/H8VpGLIaNe")</f>
        <v>https://t.co/H8VpGLIaNe</v>
      </c>
      <c r="AX94" s="76" t="b">
        <v>0</v>
      </c>
      <c r="AY94" s="76"/>
      <c r="AZ94" s="76"/>
      <c r="BA94" s="76" t="b">
        <v>0</v>
      </c>
      <c r="BB94" s="76" t="b">
        <v>1</v>
      </c>
      <c r="BC94" s="76" t="b">
        <v>1</v>
      </c>
      <c r="BD94" s="76" t="b">
        <v>0</v>
      </c>
      <c r="BE94" s="76" t="b">
        <v>1</v>
      </c>
      <c r="BF94" s="76" t="b">
        <v>0</v>
      </c>
      <c r="BG94" s="76" t="b">
        <v>0</v>
      </c>
      <c r="BH94" s="83" t="str">
        <f>HYPERLINK("https://pbs.twimg.com/profile_banners/1518116105478356992/1667311557")</f>
        <v>https://pbs.twimg.com/profile_banners/1518116105478356992/1667311557</v>
      </c>
      <c r="BI94" s="76"/>
      <c r="BJ94" s="76" t="s">
        <v>19633</v>
      </c>
      <c r="BK94" s="76" t="b">
        <v>0</v>
      </c>
      <c r="BL94" s="76"/>
      <c r="BM94" s="76" t="s">
        <v>66</v>
      </c>
      <c r="BN94" s="76" t="s">
        <v>19635</v>
      </c>
      <c r="BO94" s="83" t="str">
        <f>HYPERLINK("https://twitter.com/valdecirrondel1")</f>
        <v>https://twitter.com/valdecirrondel1</v>
      </c>
      <c r="BP94" s="2"/>
    </row>
    <row r="95" spans="1:68" x14ac:dyDescent="0.25">
      <c r="A95" s="62" t="s">
        <v>301</v>
      </c>
      <c r="B95" s="63"/>
      <c r="C95" s="63"/>
      <c r="D95" s="64"/>
      <c r="E95" s="66"/>
      <c r="F95" s="103" t="str">
        <f>HYPERLINK("https://pbs.twimg.com/profile_images/1439280143936204805/i6VqBL7__normal.png")</f>
        <v>https://pbs.twimg.com/profile_images/1439280143936204805/i6VqBL7__normal.png</v>
      </c>
      <c r="G95" s="63"/>
      <c r="H95" s="67"/>
      <c r="I95" s="68"/>
      <c r="J95" s="68"/>
      <c r="K95" s="67" t="s">
        <v>19727</v>
      </c>
      <c r="L95" s="71"/>
      <c r="M95" s="72"/>
      <c r="N95" s="72"/>
      <c r="O95" s="73"/>
      <c r="P95" s="74"/>
      <c r="Q95" s="74"/>
      <c r="R95" s="87"/>
      <c r="S95" s="87"/>
      <c r="T95" s="87"/>
      <c r="U95" s="87"/>
      <c r="V95" s="48"/>
      <c r="W95" s="48"/>
      <c r="X95" s="47">
        <v>9.7400000000000004E-4</v>
      </c>
      <c r="Y95" s="48"/>
      <c r="Z95" s="47"/>
      <c r="AA95" s="69">
        <v>95</v>
      </c>
      <c r="AB95" s="69"/>
      <c r="AC95" s="70"/>
      <c r="AD95" s="76" t="s">
        <v>16735</v>
      </c>
      <c r="AE95" s="81" t="s">
        <v>16180</v>
      </c>
      <c r="AF95" s="76">
        <v>16</v>
      </c>
      <c r="AG95" s="76">
        <v>16</v>
      </c>
      <c r="AH95" s="76">
        <v>3146</v>
      </c>
      <c r="AI95" s="76">
        <v>2</v>
      </c>
      <c r="AJ95" s="76">
        <v>1538</v>
      </c>
      <c r="AK95" s="76">
        <v>13</v>
      </c>
      <c r="AL95" s="76" t="b">
        <v>0</v>
      </c>
      <c r="AM95" s="78">
        <v>44457.728020833332</v>
      </c>
      <c r="AN95" s="76"/>
      <c r="AO95" s="76"/>
      <c r="AP95" s="76"/>
      <c r="AQ95" s="76"/>
      <c r="AR95" s="76"/>
      <c r="AS95" s="76"/>
      <c r="AT95" s="76"/>
      <c r="AU95" s="76"/>
      <c r="AV95" s="76">
        <v>1.4689844589887301E+18</v>
      </c>
      <c r="AW95" s="76"/>
      <c r="AX95" s="76" t="b">
        <v>0</v>
      </c>
      <c r="AY95" s="76"/>
      <c r="AZ95" s="76"/>
      <c r="BA95" s="76" t="b">
        <v>0</v>
      </c>
      <c r="BB95" s="76" t="b">
        <v>1</v>
      </c>
      <c r="BC95" s="76" t="b">
        <v>1</v>
      </c>
      <c r="BD95" s="76" t="b">
        <v>0</v>
      </c>
      <c r="BE95" s="76" t="b">
        <v>1</v>
      </c>
      <c r="BF95" s="76" t="b">
        <v>0</v>
      </c>
      <c r="BG95" s="76" t="b">
        <v>0</v>
      </c>
      <c r="BH95" s="76"/>
      <c r="BI95" s="76"/>
      <c r="BJ95" s="76" t="s">
        <v>19633</v>
      </c>
      <c r="BK95" s="76" t="b">
        <v>0</v>
      </c>
      <c r="BL95" s="76"/>
      <c r="BM95" s="76" t="s">
        <v>66</v>
      </c>
      <c r="BN95" s="76" t="s">
        <v>19635</v>
      </c>
      <c r="BO95" s="83" t="str">
        <f>HYPERLINK("https://twitter.com/jorgeag51888144")</f>
        <v>https://twitter.com/jorgeag51888144</v>
      </c>
      <c r="BP95" s="2"/>
    </row>
    <row r="96" spans="1:68" x14ac:dyDescent="0.25">
      <c r="A96" s="62" t="s">
        <v>302</v>
      </c>
      <c r="B96" s="63"/>
      <c r="C96" s="63"/>
      <c r="D96" s="64"/>
      <c r="E96" s="66"/>
      <c r="F96" s="103" t="str">
        <f>HYPERLINK("https://pbs.twimg.com/profile_images/1465275011925782528/EiTs7yfZ_normal.jpg")</f>
        <v>https://pbs.twimg.com/profile_images/1465275011925782528/EiTs7yfZ_normal.jpg</v>
      </c>
      <c r="G96" s="63"/>
      <c r="H96" s="67"/>
      <c r="I96" s="68"/>
      <c r="J96" s="68"/>
      <c r="K96" s="67" t="s">
        <v>19728</v>
      </c>
      <c r="L96" s="71"/>
      <c r="M96" s="72"/>
      <c r="N96" s="72"/>
      <c r="O96" s="73"/>
      <c r="P96" s="74"/>
      <c r="Q96" s="74"/>
      <c r="R96" s="87"/>
      <c r="S96" s="87"/>
      <c r="T96" s="87"/>
      <c r="U96" s="87"/>
      <c r="V96" s="48"/>
      <c r="W96" s="48"/>
      <c r="X96" s="47">
        <v>1.101E-3</v>
      </c>
      <c r="Y96" s="48"/>
      <c r="Z96" s="47"/>
      <c r="AA96" s="69">
        <v>96</v>
      </c>
      <c r="AB96" s="69"/>
      <c r="AC96" s="70"/>
      <c r="AD96" s="76" t="s">
        <v>16736</v>
      </c>
      <c r="AE96" s="81" t="s">
        <v>16181</v>
      </c>
      <c r="AF96" s="76">
        <v>81</v>
      </c>
      <c r="AG96" s="76">
        <v>29</v>
      </c>
      <c r="AH96" s="76">
        <v>2188</v>
      </c>
      <c r="AI96" s="76">
        <v>0</v>
      </c>
      <c r="AJ96" s="76">
        <v>1656</v>
      </c>
      <c r="AK96" s="76">
        <v>959</v>
      </c>
      <c r="AL96" s="76" t="b">
        <v>0</v>
      </c>
      <c r="AM96" s="78">
        <v>43492.434039351851</v>
      </c>
      <c r="AN96" s="76" t="s">
        <v>10570</v>
      </c>
      <c r="AO96" s="76" t="s">
        <v>18234</v>
      </c>
      <c r="AP96" s="83" t="str">
        <f>HYPERLINK("https://t.co/Ldbk1SbI7G")</f>
        <v>https://t.co/Ldbk1SbI7G</v>
      </c>
      <c r="AQ96" s="83" t="str">
        <f>HYPERLINK("https://linktr.ee/AlanCoelho")</f>
        <v>https://linktr.ee/AlanCoelho</v>
      </c>
      <c r="AR96" s="76" t="s">
        <v>19044</v>
      </c>
      <c r="AS96" s="76"/>
      <c r="AT96" s="76"/>
      <c r="AU96" s="76"/>
      <c r="AV96" s="76"/>
      <c r="AW96" s="83" t="str">
        <f>HYPERLINK("https://t.co/Ldbk1SbI7G")</f>
        <v>https://t.co/Ldbk1SbI7G</v>
      </c>
      <c r="AX96" s="76" t="b">
        <v>0</v>
      </c>
      <c r="AY96" s="76"/>
      <c r="AZ96" s="76"/>
      <c r="BA96" s="76" t="b">
        <v>0</v>
      </c>
      <c r="BB96" s="76" t="b">
        <v>1</v>
      </c>
      <c r="BC96" s="76" t="b">
        <v>1</v>
      </c>
      <c r="BD96" s="76" t="b">
        <v>0</v>
      </c>
      <c r="BE96" s="76" t="b">
        <v>0</v>
      </c>
      <c r="BF96" s="76" t="b">
        <v>0</v>
      </c>
      <c r="BG96" s="76" t="b">
        <v>0</v>
      </c>
      <c r="BH96" s="83" t="str">
        <f>HYPERLINK("https://pbs.twimg.com/profile_banners/1089469318717427712/1639066954")</f>
        <v>https://pbs.twimg.com/profile_banners/1089469318717427712/1639066954</v>
      </c>
      <c r="BI96" s="76"/>
      <c r="BJ96" s="76" t="s">
        <v>19633</v>
      </c>
      <c r="BK96" s="76" t="b">
        <v>0</v>
      </c>
      <c r="BL96" s="76"/>
      <c r="BM96" s="76" t="s">
        <v>66</v>
      </c>
      <c r="BN96" s="76" t="s">
        <v>19635</v>
      </c>
      <c r="BO96" s="83" t="str">
        <f>HYPERLINK("https://twitter.com/asc_alancoelho")</f>
        <v>https://twitter.com/asc_alancoelho</v>
      </c>
      <c r="BP96" s="2"/>
    </row>
    <row r="97" spans="1:68" x14ac:dyDescent="0.25">
      <c r="A97" s="62" t="s">
        <v>303</v>
      </c>
      <c r="B97" s="63"/>
      <c r="C97" s="63"/>
      <c r="D97" s="64"/>
      <c r="E97" s="66"/>
      <c r="F97" s="103" t="str">
        <f>HYPERLINK("https://pbs.twimg.com/profile_images/1587037797470425090/WcvinNwd_normal.jpg")</f>
        <v>https://pbs.twimg.com/profile_images/1587037797470425090/WcvinNwd_normal.jpg</v>
      </c>
      <c r="G97" s="63"/>
      <c r="H97" s="67"/>
      <c r="I97" s="68"/>
      <c r="J97" s="68"/>
      <c r="K97" s="67" t="s">
        <v>19729</v>
      </c>
      <c r="L97" s="71"/>
      <c r="M97" s="72"/>
      <c r="N97" s="72"/>
      <c r="O97" s="73"/>
      <c r="P97" s="74"/>
      <c r="Q97" s="74"/>
      <c r="R97" s="87"/>
      <c r="S97" s="87"/>
      <c r="T97" s="87"/>
      <c r="U97" s="87"/>
      <c r="V97" s="48"/>
      <c r="W97" s="48"/>
      <c r="X97" s="47">
        <v>1.101E-3</v>
      </c>
      <c r="Y97" s="48"/>
      <c r="Z97" s="47"/>
      <c r="AA97" s="69">
        <v>97</v>
      </c>
      <c r="AB97" s="69"/>
      <c r="AC97" s="70"/>
      <c r="AD97" s="76" t="s">
        <v>16737</v>
      </c>
      <c r="AE97" s="81" t="s">
        <v>16182</v>
      </c>
      <c r="AF97" s="76">
        <v>4</v>
      </c>
      <c r="AG97" s="76">
        <v>59</v>
      </c>
      <c r="AH97" s="76">
        <v>124</v>
      </c>
      <c r="AI97" s="76">
        <v>0</v>
      </c>
      <c r="AJ97" s="76">
        <v>133</v>
      </c>
      <c r="AK97" s="76">
        <v>83</v>
      </c>
      <c r="AL97" s="76" t="b">
        <v>0</v>
      </c>
      <c r="AM97" s="78">
        <v>44183.547812500001</v>
      </c>
      <c r="AN97" s="76" t="s">
        <v>17895</v>
      </c>
      <c r="AO97" s="76" t="s">
        <v>18235</v>
      </c>
      <c r="AP97" s="83" t="str">
        <f>HYPERLINK("https://t.co/VCqTpx8rtJ")</f>
        <v>https://t.co/VCqTpx8rtJ</v>
      </c>
      <c r="AQ97" s="83" t="str">
        <f>HYPERLINK("https://planosassessoria.com/")</f>
        <v>https://planosassessoria.com/</v>
      </c>
      <c r="AR97" s="76" t="s">
        <v>19045</v>
      </c>
      <c r="AS97" s="76"/>
      <c r="AT97" s="76"/>
      <c r="AU97" s="76"/>
      <c r="AV97" s="76">
        <v>1.5242184723345999E+18</v>
      </c>
      <c r="AW97" s="83" t="str">
        <f>HYPERLINK("https://t.co/VCqTpx8rtJ")</f>
        <v>https://t.co/VCqTpx8rtJ</v>
      </c>
      <c r="AX97" s="76" t="b">
        <v>0</v>
      </c>
      <c r="AY97" s="76"/>
      <c r="AZ97" s="76"/>
      <c r="BA97" s="76" t="b">
        <v>1</v>
      </c>
      <c r="BB97" s="76" t="b">
        <v>1</v>
      </c>
      <c r="BC97" s="76" t="b">
        <v>1</v>
      </c>
      <c r="BD97" s="76" t="b">
        <v>0</v>
      </c>
      <c r="BE97" s="76" t="b">
        <v>0</v>
      </c>
      <c r="BF97" s="76" t="b">
        <v>0</v>
      </c>
      <c r="BG97" s="76" t="b">
        <v>0</v>
      </c>
      <c r="BH97" s="83" t="str">
        <f>HYPERLINK("https://pbs.twimg.com/profile_banners/1339920532335173632/1608297264")</f>
        <v>https://pbs.twimg.com/profile_banners/1339920532335173632/1608297264</v>
      </c>
      <c r="BI97" s="76"/>
      <c r="BJ97" s="76" t="s">
        <v>19633</v>
      </c>
      <c r="BK97" s="76" t="b">
        <v>0</v>
      </c>
      <c r="BL97" s="76"/>
      <c r="BM97" s="76" t="s">
        <v>66</v>
      </c>
      <c r="BN97" s="76" t="s">
        <v>19635</v>
      </c>
      <c r="BO97" s="83" t="str">
        <f>HYPERLINK("https://twitter.com/planosassess")</f>
        <v>https://twitter.com/planosassess</v>
      </c>
      <c r="BP97" s="2"/>
    </row>
    <row r="98" spans="1:68" x14ac:dyDescent="0.25">
      <c r="A98" s="62" t="s">
        <v>304</v>
      </c>
      <c r="B98" s="63"/>
      <c r="C98" s="63"/>
      <c r="D98" s="64"/>
      <c r="E98" s="66"/>
      <c r="F98" s="103" t="str">
        <f>HYPERLINK("https://pbs.twimg.com/profile_images/1505149618400681988/_a3_-WCc_normal.jpg")</f>
        <v>https://pbs.twimg.com/profile_images/1505149618400681988/_a3_-WCc_normal.jpg</v>
      </c>
      <c r="G98" s="63"/>
      <c r="H98" s="67"/>
      <c r="I98" s="68"/>
      <c r="J98" s="68"/>
      <c r="K98" s="67" t="s">
        <v>19730</v>
      </c>
      <c r="L98" s="71"/>
      <c r="M98" s="72"/>
      <c r="N98" s="72"/>
      <c r="O98" s="73"/>
      <c r="P98" s="74"/>
      <c r="Q98" s="74"/>
      <c r="R98" s="87"/>
      <c r="S98" s="87"/>
      <c r="T98" s="87"/>
      <c r="U98" s="87"/>
      <c r="V98" s="48"/>
      <c r="W98" s="48"/>
      <c r="X98" s="47">
        <v>1.101E-3</v>
      </c>
      <c r="Y98" s="48"/>
      <c r="Z98" s="47"/>
      <c r="AA98" s="69">
        <v>98</v>
      </c>
      <c r="AB98" s="69"/>
      <c r="AC98" s="70"/>
      <c r="AD98" s="76" t="s">
        <v>16738</v>
      </c>
      <c r="AE98" s="81" t="s">
        <v>17570</v>
      </c>
      <c r="AF98" s="76">
        <v>5730</v>
      </c>
      <c r="AG98" s="76">
        <v>557</v>
      </c>
      <c r="AH98" s="76">
        <v>4163</v>
      </c>
      <c r="AI98" s="76">
        <v>105</v>
      </c>
      <c r="AJ98" s="76">
        <v>29</v>
      </c>
      <c r="AK98" s="76">
        <v>786</v>
      </c>
      <c r="AL98" s="76" t="b">
        <v>0</v>
      </c>
      <c r="AM98" s="78">
        <v>39903.662662037037</v>
      </c>
      <c r="AN98" s="76" t="s">
        <v>10631</v>
      </c>
      <c r="AO98" s="76" t="s">
        <v>18236</v>
      </c>
      <c r="AP98" s="83" t="str">
        <f>HYPERLINK("https://t.co/k73iQdQeKS")</f>
        <v>https://t.co/k73iQdQeKS</v>
      </c>
      <c r="AQ98" s="83" t="str">
        <f>HYPERLINK("https://www.fernando-augusto.com")</f>
        <v>https://www.fernando-augusto.com</v>
      </c>
      <c r="AR98" s="76" t="s">
        <v>19046</v>
      </c>
      <c r="AS98" s="76"/>
      <c r="AT98" s="76"/>
      <c r="AU98" s="76"/>
      <c r="AV98" s="76">
        <v>1.5600520775603E+18</v>
      </c>
      <c r="AW98" s="83" t="str">
        <f>HYPERLINK("https://t.co/k73iQdQeKS")</f>
        <v>https://t.co/k73iQdQeKS</v>
      </c>
      <c r="AX98" s="76" t="b">
        <v>1</v>
      </c>
      <c r="AY98" s="76"/>
      <c r="AZ98" s="76"/>
      <c r="BA98" s="76" t="b">
        <v>0</v>
      </c>
      <c r="BB98" s="76" t="b">
        <v>1</v>
      </c>
      <c r="BC98" s="76" t="b">
        <v>0</v>
      </c>
      <c r="BD98" s="76" t="b">
        <v>0</v>
      </c>
      <c r="BE98" s="76" t="b">
        <v>0</v>
      </c>
      <c r="BF98" s="76" t="b">
        <v>0</v>
      </c>
      <c r="BG98" s="76" t="b">
        <v>0</v>
      </c>
      <c r="BH98" s="83" t="str">
        <f>HYPERLINK("https://pbs.twimg.com/profile_banners/27897816/1501548149")</f>
        <v>https://pbs.twimg.com/profile_banners/27897816/1501548149</v>
      </c>
      <c r="BI98" s="76"/>
      <c r="BJ98" s="76" t="s">
        <v>19633</v>
      </c>
      <c r="BK98" s="76" t="b">
        <v>0</v>
      </c>
      <c r="BL98" s="76"/>
      <c r="BM98" s="76" t="s">
        <v>66</v>
      </c>
      <c r="BN98" s="76" t="s">
        <v>19635</v>
      </c>
      <c r="BO98" s="83" t="str">
        <f>HYPERLINK("https://twitter.com/seumentor")</f>
        <v>https://twitter.com/seumentor</v>
      </c>
      <c r="BP98" s="2"/>
    </row>
    <row r="99" spans="1:68" x14ac:dyDescent="0.25">
      <c r="A99" s="62" t="s">
        <v>305</v>
      </c>
      <c r="B99" s="63"/>
      <c r="C99" s="63"/>
      <c r="D99" s="64"/>
      <c r="E99" s="66"/>
      <c r="F99" s="103" t="str">
        <f>HYPERLINK("https://pbs.twimg.com/profile_images/1666982575406043136/eAGYGk2r_normal.jpg")</f>
        <v>https://pbs.twimg.com/profile_images/1666982575406043136/eAGYGk2r_normal.jpg</v>
      </c>
      <c r="G99" s="63"/>
      <c r="H99" s="67"/>
      <c r="I99" s="68"/>
      <c r="J99" s="68"/>
      <c r="K99" s="67" t="s">
        <v>19731</v>
      </c>
      <c r="L99" s="71"/>
      <c r="M99" s="72"/>
      <c r="N99" s="72"/>
      <c r="O99" s="73"/>
      <c r="P99" s="74"/>
      <c r="Q99" s="74"/>
      <c r="R99" s="87"/>
      <c r="S99" s="87"/>
      <c r="T99" s="87"/>
      <c r="U99" s="87"/>
      <c r="V99" s="48"/>
      <c r="W99" s="48"/>
      <c r="X99" s="47">
        <v>1.101E-3</v>
      </c>
      <c r="Y99" s="48"/>
      <c r="Z99" s="47"/>
      <c r="AA99" s="69">
        <v>99</v>
      </c>
      <c r="AB99" s="69"/>
      <c r="AC99" s="70"/>
      <c r="AD99" s="76" t="s">
        <v>16739</v>
      </c>
      <c r="AE99" s="81" t="s">
        <v>15686</v>
      </c>
      <c r="AF99" s="76">
        <v>319</v>
      </c>
      <c r="AG99" s="76">
        <v>1372</v>
      </c>
      <c r="AH99" s="76">
        <v>1043</v>
      </c>
      <c r="AI99" s="76">
        <v>18</v>
      </c>
      <c r="AJ99" s="76">
        <v>530</v>
      </c>
      <c r="AK99" s="76">
        <v>33</v>
      </c>
      <c r="AL99" s="76" t="b">
        <v>0</v>
      </c>
      <c r="AM99" s="78">
        <v>39646.129837962966</v>
      </c>
      <c r="AN99" s="76" t="s">
        <v>10622</v>
      </c>
      <c r="AO99" s="76" t="s">
        <v>18237</v>
      </c>
      <c r="AP99" s="83" t="str">
        <f>HYPERLINK("https://t.co/XJeiSIZWcd")</f>
        <v>https://t.co/XJeiSIZWcd</v>
      </c>
      <c r="AQ99" s="83" t="str">
        <f>HYPERLINK("http://instagram.com/bcripto.eth")</f>
        <v>http://instagram.com/bcripto.eth</v>
      </c>
      <c r="AR99" s="76" t="s">
        <v>19047</v>
      </c>
      <c r="AS99" s="76"/>
      <c r="AT99" s="76"/>
      <c r="AU99" s="76"/>
      <c r="AV99" s="76"/>
      <c r="AW99" s="83" t="str">
        <f>HYPERLINK("https://t.co/XJeiSIZWcd")</f>
        <v>https://t.co/XJeiSIZWcd</v>
      </c>
      <c r="AX99" s="76" t="b">
        <v>0</v>
      </c>
      <c r="AY99" s="76"/>
      <c r="AZ99" s="76"/>
      <c r="BA99" s="76" t="b">
        <v>0</v>
      </c>
      <c r="BB99" s="76" t="b">
        <v>1</v>
      </c>
      <c r="BC99" s="76" t="b">
        <v>0</v>
      </c>
      <c r="BD99" s="76" t="b">
        <v>0</v>
      </c>
      <c r="BE99" s="76" t="b">
        <v>0</v>
      </c>
      <c r="BF99" s="76" t="b">
        <v>0</v>
      </c>
      <c r="BG99" s="76" t="b">
        <v>0</v>
      </c>
      <c r="BH99" s="83" t="str">
        <f>HYPERLINK("https://pbs.twimg.com/profile_banners/15463401/1588855893")</f>
        <v>https://pbs.twimg.com/profile_banners/15463401/1588855893</v>
      </c>
      <c r="BI99" s="76"/>
      <c r="BJ99" s="76" t="s">
        <v>19633</v>
      </c>
      <c r="BK99" s="76" t="b">
        <v>0</v>
      </c>
      <c r="BL99" s="76"/>
      <c r="BM99" s="76" t="s">
        <v>66</v>
      </c>
      <c r="BN99" s="76" t="s">
        <v>19635</v>
      </c>
      <c r="BO99" s="83" t="str">
        <f>HYPERLINK("https://twitter.com/bruvelloso")</f>
        <v>https://twitter.com/bruvelloso</v>
      </c>
      <c r="BP99" s="2"/>
    </row>
    <row r="100" spans="1:68" x14ac:dyDescent="0.25">
      <c r="A100" s="62" t="s">
        <v>306</v>
      </c>
      <c r="B100" s="63"/>
      <c r="C100" s="63"/>
      <c r="D100" s="64"/>
      <c r="E100" s="66"/>
      <c r="F100" s="103" t="str">
        <f>HYPERLINK("https://pbs.twimg.com/profile_images/576112126185492480/MDrKoKb4_normal.jpeg")</f>
        <v>https://pbs.twimg.com/profile_images/576112126185492480/MDrKoKb4_normal.jpeg</v>
      </c>
      <c r="G100" s="63"/>
      <c r="H100" s="67"/>
      <c r="I100" s="68"/>
      <c r="J100" s="68"/>
      <c r="K100" s="67" t="s">
        <v>19732</v>
      </c>
      <c r="L100" s="71"/>
      <c r="M100" s="72"/>
      <c r="N100" s="72"/>
      <c r="O100" s="73"/>
      <c r="P100" s="74"/>
      <c r="Q100" s="74"/>
      <c r="R100" s="87"/>
      <c r="S100" s="87"/>
      <c r="T100" s="87"/>
      <c r="U100" s="87"/>
      <c r="V100" s="48"/>
      <c r="W100" s="48"/>
      <c r="X100" s="47">
        <v>1.101E-3</v>
      </c>
      <c r="Y100" s="48"/>
      <c r="Z100" s="47"/>
      <c r="AA100" s="69">
        <v>100</v>
      </c>
      <c r="AB100" s="69"/>
      <c r="AC100" s="70"/>
      <c r="AD100" s="76" t="s">
        <v>16740</v>
      </c>
      <c r="AE100" s="81" t="s">
        <v>17571</v>
      </c>
      <c r="AF100" s="76">
        <v>763</v>
      </c>
      <c r="AG100" s="76">
        <v>376</v>
      </c>
      <c r="AH100" s="76">
        <v>5809</v>
      </c>
      <c r="AI100" s="76">
        <v>7</v>
      </c>
      <c r="AJ100" s="76">
        <v>142</v>
      </c>
      <c r="AK100" s="76">
        <v>3191</v>
      </c>
      <c r="AL100" s="76" t="b">
        <v>0</v>
      </c>
      <c r="AM100" s="78">
        <v>40554.856435185182</v>
      </c>
      <c r="AN100" s="76" t="s">
        <v>17896</v>
      </c>
      <c r="AO100" s="76" t="s">
        <v>18238</v>
      </c>
      <c r="AP100" s="83" t="str">
        <f>HYPERLINK("https://t.co/2Y6n5zdMvs")</f>
        <v>https://t.co/2Y6n5zdMvs</v>
      </c>
      <c r="AQ100" s="83" t="str">
        <f>HYPERLINK("http://www.correiopopular.com.br")</f>
        <v>http://www.correiopopular.com.br</v>
      </c>
      <c r="AR100" s="76" t="s">
        <v>19048</v>
      </c>
      <c r="AS100" s="76"/>
      <c r="AT100" s="76"/>
      <c r="AU100" s="76"/>
      <c r="AV100" s="76">
        <v>1.68355987663774E+18</v>
      </c>
      <c r="AW100" s="83" t="str">
        <f>HYPERLINK("https://t.co/2Y6n5zdMvs")</f>
        <v>https://t.co/2Y6n5zdMvs</v>
      </c>
      <c r="AX100" s="76" t="b">
        <v>0</v>
      </c>
      <c r="AY100" s="76"/>
      <c r="AZ100" s="76"/>
      <c r="BA100" s="76" t="b">
        <v>0</v>
      </c>
      <c r="BB100" s="76" t="b">
        <v>1</v>
      </c>
      <c r="BC100" s="76" t="b">
        <v>0</v>
      </c>
      <c r="BD100" s="76" t="b">
        <v>0</v>
      </c>
      <c r="BE100" s="76" t="b">
        <v>0</v>
      </c>
      <c r="BF100" s="76" t="b">
        <v>0</v>
      </c>
      <c r="BG100" s="76" t="b">
        <v>0</v>
      </c>
      <c r="BH100" s="83" t="str">
        <f>HYPERLINK("https://pbs.twimg.com/profile_banners/236985635/1571671932")</f>
        <v>https://pbs.twimg.com/profile_banners/236985635/1571671932</v>
      </c>
      <c r="BI100" s="76"/>
      <c r="BJ100" s="76" t="s">
        <v>19633</v>
      </c>
      <c r="BK100" s="76" t="b">
        <v>0</v>
      </c>
      <c r="BL100" s="76"/>
      <c r="BM100" s="76" t="s">
        <v>66</v>
      </c>
      <c r="BN100" s="76" t="s">
        <v>19635</v>
      </c>
      <c r="BO100" s="83" t="str">
        <f>HYPERLINK("https://twitter.com/correiopopular_")</f>
        <v>https://twitter.com/correiopopular_</v>
      </c>
      <c r="BP100" s="2"/>
    </row>
    <row r="101" spans="1:68" x14ac:dyDescent="0.25">
      <c r="A101" s="62" t="s">
        <v>307</v>
      </c>
      <c r="B101" s="63"/>
      <c r="C101" s="63"/>
      <c r="D101" s="64"/>
      <c r="E101" s="66"/>
      <c r="F101" s="103" t="str">
        <f>HYPERLINK("https://pbs.twimg.com/profile_images/1642201546933846020/08-q-ei9_normal.jpg")</f>
        <v>https://pbs.twimg.com/profile_images/1642201546933846020/08-q-ei9_normal.jpg</v>
      </c>
      <c r="G101" s="63"/>
      <c r="H101" s="67"/>
      <c r="I101" s="68"/>
      <c r="J101" s="68"/>
      <c r="K101" s="67" t="s">
        <v>19733</v>
      </c>
      <c r="L101" s="71"/>
      <c r="M101" s="72"/>
      <c r="N101" s="72"/>
      <c r="O101" s="73"/>
      <c r="P101" s="74"/>
      <c r="Q101" s="74"/>
      <c r="R101" s="87"/>
      <c r="S101" s="87"/>
      <c r="T101" s="87"/>
      <c r="U101" s="87"/>
      <c r="V101" s="48"/>
      <c r="W101" s="48"/>
      <c r="X101" s="47">
        <v>1.101E-3</v>
      </c>
      <c r="Y101" s="48"/>
      <c r="Z101" s="47"/>
      <c r="AA101" s="69">
        <v>101</v>
      </c>
      <c r="AB101" s="69"/>
      <c r="AC101" s="70"/>
      <c r="AD101" s="76" t="s">
        <v>16741</v>
      </c>
      <c r="AE101" s="81" t="s">
        <v>16183</v>
      </c>
      <c r="AF101" s="76">
        <v>6</v>
      </c>
      <c r="AG101" s="76">
        <v>63</v>
      </c>
      <c r="AH101" s="76">
        <v>36</v>
      </c>
      <c r="AI101" s="76">
        <v>1</v>
      </c>
      <c r="AJ101" s="76">
        <v>2</v>
      </c>
      <c r="AK101" s="76">
        <v>25</v>
      </c>
      <c r="AL101" s="76" t="b">
        <v>0</v>
      </c>
      <c r="AM101" s="78">
        <v>43704.68990740741</v>
      </c>
      <c r="AN101" s="76"/>
      <c r="AO101" s="76" t="s">
        <v>18239</v>
      </c>
      <c r="AP101" s="76"/>
      <c r="AQ101" s="76"/>
      <c r="AR101" s="76"/>
      <c r="AS101" s="76"/>
      <c r="AT101" s="76"/>
      <c r="AU101" s="76"/>
      <c r="AV101" s="76">
        <v>1.62732857217503E+18</v>
      </c>
      <c r="AW101" s="76"/>
      <c r="AX101" s="76" t="b">
        <v>0</v>
      </c>
      <c r="AY101" s="76"/>
      <c r="AZ101" s="76"/>
      <c r="BA101" s="76" t="b">
        <v>0</v>
      </c>
      <c r="BB101" s="76" t="b">
        <v>1</v>
      </c>
      <c r="BC101" s="76" t="b">
        <v>1</v>
      </c>
      <c r="BD101" s="76" t="b">
        <v>0</v>
      </c>
      <c r="BE101" s="76" t="b">
        <v>0</v>
      </c>
      <c r="BF101" s="76" t="b">
        <v>0</v>
      </c>
      <c r="BG101" s="76" t="b">
        <v>0</v>
      </c>
      <c r="BH101" s="76"/>
      <c r="BI101" s="76"/>
      <c r="BJ101" s="76" t="s">
        <v>19633</v>
      </c>
      <c r="BK101" s="76" t="b">
        <v>0</v>
      </c>
      <c r="BL101" s="76"/>
      <c r="BM101" s="76" t="s">
        <v>66</v>
      </c>
      <c r="BN101" s="76" t="s">
        <v>19635</v>
      </c>
      <c r="BO101" s="83" t="str">
        <f>HYPERLINK("https://twitter.com/gustavo25867079")</f>
        <v>https://twitter.com/gustavo25867079</v>
      </c>
      <c r="BP101" s="2"/>
    </row>
    <row r="102" spans="1:68" x14ac:dyDescent="0.25">
      <c r="A102" s="62" t="s">
        <v>308</v>
      </c>
      <c r="B102" s="63"/>
      <c r="C102" s="63"/>
      <c r="D102" s="64"/>
      <c r="E102" s="66"/>
      <c r="F102" s="103" t="str">
        <f>HYPERLINK("https://pbs.twimg.com/profile_images/1588545289744486401/qaQYO92D_normal.jpg")</f>
        <v>https://pbs.twimg.com/profile_images/1588545289744486401/qaQYO92D_normal.jpg</v>
      </c>
      <c r="G102" s="63"/>
      <c r="H102" s="67"/>
      <c r="I102" s="68"/>
      <c r="J102" s="68"/>
      <c r="K102" s="67" t="s">
        <v>19734</v>
      </c>
      <c r="L102" s="71"/>
      <c r="M102" s="72"/>
      <c r="N102" s="72"/>
      <c r="O102" s="73"/>
      <c r="P102" s="74"/>
      <c r="Q102" s="74"/>
      <c r="R102" s="87"/>
      <c r="S102" s="87"/>
      <c r="T102" s="87"/>
      <c r="U102" s="87"/>
      <c r="V102" s="48"/>
      <c r="W102" s="48"/>
      <c r="X102" s="47">
        <v>1.101E-3</v>
      </c>
      <c r="Y102" s="48"/>
      <c r="Z102" s="47"/>
      <c r="AA102" s="69">
        <v>102</v>
      </c>
      <c r="AB102" s="69"/>
      <c r="AC102" s="70"/>
      <c r="AD102" s="76" t="s">
        <v>16742</v>
      </c>
      <c r="AE102" s="81" t="s">
        <v>16184</v>
      </c>
      <c r="AF102" s="76">
        <v>85</v>
      </c>
      <c r="AG102" s="76">
        <v>109</v>
      </c>
      <c r="AH102" s="76">
        <v>4506</v>
      </c>
      <c r="AI102" s="76">
        <v>0</v>
      </c>
      <c r="AJ102" s="76">
        <v>1345</v>
      </c>
      <c r="AK102" s="76">
        <v>173</v>
      </c>
      <c r="AL102" s="76" t="b">
        <v>0</v>
      </c>
      <c r="AM102" s="78">
        <v>42618.608402777776</v>
      </c>
      <c r="AN102" s="76" t="s">
        <v>17897</v>
      </c>
      <c r="AO102" s="76" t="s">
        <v>18240</v>
      </c>
      <c r="AP102" s="76"/>
      <c r="AQ102" s="76"/>
      <c r="AR102" s="76"/>
      <c r="AS102" s="76"/>
      <c r="AT102" s="76"/>
      <c r="AU102" s="76"/>
      <c r="AV102" s="76">
        <v>1.6538370095452001E+18</v>
      </c>
      <c r="AW102" s="76"/>
      <c r="AX102" s="76" t="b">
        <v>0</v>
      </c>
      <c r="AY102" s="76"/>
      <c r="AZ102" s="76"/>
      <c r="BA102" s="76" t="b">
        <v>1</v>
      </c>
      <c r="BB102" s="76" t="b">
        <v>0</v>
      </c>
      <c r="BC102" s="76" t="b">
        <v>1</v>
      </c>
      <c r="BD102" s="76" t="b">
        <v>0</v>
      </c>
      <c r="BE102" s="76" t="b">
        <v>1</v>
      </c>
      <c r="BF102" s="76" t="b">
        <v>0</v>
      </c>
      <c r="BG102" s="76" t="b">
        <v>0</v>
      </c>
      <c r="BH102" s="83" t="str">
        <f>HYPERLINK("https://pbs.twimg.com/profile_banners/772805508730327040/1667573687")</f>
        <v>https://pbs.twimg.com/profile_banners/772805508730327040/1667573687</v>
      </c>
      <c r="BI102" s="76"/>
      <c r="BJ102" s="76" t="s">
        <v>19633</v>
      </c>
      <c r="BK102" s="76" t="b">
        <v>0</v>
      </c>
      <c r="BL102" s="76"/>
      <c r="BM102" s="76" t="s">
        <v>66</v>
      </c>
      <c r="BN102" s="76" t="s">
        <v>19635</v>
      </c>
      <c r="BO102" s="83" t="str">
        <f>HYPERLINK("https://twitter.com/dillan__alves")</f>
        <v>https://twitter.com/dillan__alves</v>
      </c>
      <c r="BP102" s="2"/>
    </row>
    <row r="103" spans="1:68" x14ac:dyDescent="0.25">
      <c r="A103" s="62" t="s">
        <v>1057</v>
      </c>
      <c r="B103" s="63"/>
      <c r="C103" s="63"/>
      <c r="D103" s="64"/>
      <c r="E103" s="66"/>
      <c r="F103" s="103" t="str">
        <f>HYPERLINK("https://pbs.twimg.com/profile_images/1698683368810934272/4FidsMn1_normal.jpg")</f>
        <v>https://pbs.twimg.com/profile_images/1698683368810934272/4FidsMn1_normal.jpg</v>
      </c>
      <c r="G103" s="63"/>
      <c r="H103" s="67"/>
      <c r="I103" s="68"/>
      <c r="J103" s="68"/>
      <c r="K103" s="67" t="s">
        <v>19735</v>
      </c>
      <c r="L103" s="71"/>
      <c r="M103" s="72"/>
      <c r="N103" s="72"/>
      <c r="O103" s="73"/>
      <c r="P103" s="74"/>
      <c r="Q103" s="74"/>
      <c r="R103" s="87"/>
      <c r="S103" s="87"/>
      <c r="T103" s="87"/>
      <c r="U103" s="87"/>
      <c r="V103" s="48"/>
      <c r="W103" s="48"/>
      <c r="X103" s="47">
        <v>1.101E-3</v>
      </c>
      <c r="Y103" s="48"/>
      <c r="Z103" s="47"/>
      <c r="AA103" s="69">
        <v>103</v>
      </c>
      <c r="AB103" s="69"/>
      <c r="AC103" s="70"/>
      <c r="AD103" s="76" t="s">
        <v>16743</v>
      </c>
      <c r="AE103" s="81" t="s">
        <v>15687</v>
      </c>
      <c r="AF103" s="76">
        <v>301</v>
      </c>
      <c r="AG103" s="76">
        <v>305</v>
      </c>
      <c r="AH103" s="76">
        <v>9062</v>
      </c>
      <c r="AI103" s="76">
        <v>7</v>
      </c>
      <c r="AJ103" s="76">
        <v>9229</v>
      </c>
      <c r="AK103" s="76">
        <v>219</v>
      </c>
      <c r="AL103" s="76" t="b">
        <v>0</v>
      </c>
      <c r="AM103" s="78">
        <v>40261.750196759262</v>
      </c>
      <c r="AN103" s="76" t="s">
        <v>10558</v>
      </c>
      <c r="AO103" s="76" t="s">
        <v>18241</v>
      </c>
      <c r="AP103" s="83" t="str">
        <f>HYPERLINK("https://t.co/74j8RXB01x")</f>
        <v>https://t.co/74j8RXB01x</v>
      </c>
      <c r="AQ103" s="83" t="str">
        <f>HYPERLINK("http://instagram.com/matteusponttes")</f>
        <v>http://instagram.com/matteusponttes</v>
      </c>
      <c r="AR103" s="76" t="s">
        <v>19049</v>
      </c>
      <c r="AS103" s="76"/>
      <c r="AT103" s="76"/>
      <c r="AU103" s="76"/>
      <c r="AV103" s="76">
        <v>1.68096599915823E+18</v>
      </c>
      <c r="AW103" s="83" t="str">
        <f>HYPERLINK("https://t.co/74j8RXB01x")</f>
        <v>https://t.co/74j8RXB01x</v>
      </c>
      <c r="AX103" s="76" t="b">
        <v>0</v>
      </c>
      <c r="AY103" s="76"/>
      <c r="AZ103" s="76"/>
      <c r="BA103" s="76" t="b">
        <v>1</v>
      </c>
      <c r="BB103" s="76" t="b">
        <v>1</v>
      </c>
      <c r="BC103" s="76" t="b">
        <v>0</v>
      </c>
      <c r="BD103" s="76" t="b">
        <v>0</v>
      </c>
      <c r="BE103" s="76" t="b">
        <v>1</v>
      </c>
      <c r="BF103" s="76" t="b">
        <v>0</v>
      </c>
      <c r="BG103" s="76" t="b">
        <v>0</v>
      </c>
      <c r="BH103" s="83" t="str">
        <f>HYPERLINK("https://pbs.twimg.com/profile_banners/126054491/1692328927")</f>
        <v>https://pbs.twimg.com/profile_banners/126054491/1692328927</v>
      </c>
      <c r="BI103" s="76"/>
      <c r="BJ103" s="76" t="s">
        <v>19633</v>
      </c>
      <c r="BK103" s="76" t="b">
        <v>0</v>
      </c>
      <c r="BL103" s="76"/>
      <c r="BM103" s="76" t="s">
        <v>65</v>
      </c>
      <c r="BN103" s="76" t="s">
        <v>19635</v>
      </c>
      <c r="BO103" s="83" t="str">
        <f>HYPERLINK("https://twitter.com/mattpontes")</f>
        <v>https://twitter.com/mattpontes</v>
      </c>
      <c r="BP103" s="2"/>
    </row>
    <row r="104" spans="1:68" x14ac:dyDescent="0.25">
      <c r="A104" s="62" t="s">
        <v>309</v>
      </c>
      <c r="B104" s="63"/>
      <c r="C104" s="63"/>
      <c r="D104" s="64"/>
      <c r="E104" s="66"/>
      <c r="F104" s="103" t="str">
        <f>HYPERLINK("https://pbs.twimg.com/profile_images/1674890323326128128/SJXVp4hL_normal.jpg")</f>
        <v>https://pbs.twimg.com/profile_images/1674890323326128128/SJXVp4hL_normal.jpg</v>
      </c>
      <c r="G104" s="63"/>
      <c r="H104" s="67"/>
      <c r="I104" s="68"/>
      <c r="J104" s="68"/>
      <c r="K104" s="67" t="s">
        <v>19736</v>
      </c>
      <c r="L104" s="71"/>
      <c r="M104" s="72"/>
      <c r="N104" s="72"/>
      <c r="O104" s="73"/>
      <c r="P104" s="74"/>
      <c r="Q104" s="74"/>
      <c r="R104" s="87"/>
      <c r="S104" s="87"/>
      <c r="T104" s="87"/>
      <c r="U104" s="87"/>
      <c r="V104" s="48"/>
      <c r="W104" s="48"/>
      <c r="X104" s="47">
        <v>1.101E-3</v>
      </c>
      <c r="Y104" s="48"/>
      <c r="Z104" s="47"/>
      <c r="AA104" s="69">
        <v>104</v>
      </c>
      <c r="AB104" s="69"/>
      <c r="AC104" s="70"/>
      <c r="AD104" s="76" t="s">
        <v>16744</v>
      </c>
      <c r="AE104" s="81" t="s">
        <v>15688</v>
      </c>
      <c r="AF104" s="76">
        <v>3111</v>
      </c>
      <c r="AG104" s="76">
        <v>53</v>
      </c>
      <c r="AH104" s="76">
        <v>4617</v>
      </c>
      <c r="AI104" s="76">
        <v>43</v>
      </c>
      <c r="AJ104" s="76">
        <v>445</v>
      </c>
      <c r="AK104" s="76">
        <v>2131</v>
      </c>
      <c r="AL104" s="76" t="b">
        <v>0</v>
      </c>
      <c r="AM104" s="78">
        <v>42264.719884259262</v>
      </c>
      <c r="AN104" s="76" t="s">
        <v>10561</v>
      </c>
      <c r="AO104" s="76" t="s">
        <v>18242</v>
      </c>
      <c r="AP104" s="83" t="str">
        <f>HYPERLINK("https://t.co/N7sr51yefY")</f>
        <v>https://t.co/N7sr51yefY</v>
      </c>
      <c r="AQ104" s="83" t="str">
        <f>HYPERLINK("http://www.riobravo.com.br")</f>
        <v>http://www.riobravo.com.br</v>
      </c>
      <c r="AR104" s="76" t="s">
        <v>19050</v>
      </c>
      <c r="AS104" s="76"/>
      <c r="AT104" s="76"/>
      <c r="AU104" s="76"/>
      <c r="AV104" s="76"/>
      <c r="AW104" s="83" t="str">
        <f>HYPERLINK("https://t.co/N7sr51yefY")</f>
        <v>https://t.co/N7sr51yefY</v>
      </c>
      <c r="AX104" s="76" t="b">
        <v>0</v>
      </c>
      <c r="AY104" s="76"/>
      <c r="AZ104" s="76"/>
      <c r="BA104" s="76" t="b">
        <v>1</v>
      </c>
      <c r="BB104" s="76" t="b">
        <v>1</v>
      </c>
      <c r="BC104" s="76" t="b">
        <v>0</v>
      </c>
      <c r="BD104" s="76" t="b">
        <v>0</v>
      </c>
      <c r="BE104" s="76" t="b">
        <v>0</v>
      </c>
      <c r="BF104" s="76" t="b">
        <v>0</v>
      </c>
      <c r="BG104" s="76" t="b">
        <v>0</v>
      </c>
      <c r="BH104" s="83" t="str">
        <f>HYPERLINK("https://pbs.twimg.com/profile_banners/3687841756/1654030569")</f>
        <v>https://pbs.twimg.com/profile_banners/3687841756/1654030569</v>
      </c>
      <c r="BI104" s="76"/>
      <c r="BJ104" s="76" t="s">
        <v>19633</v>
      </c>
      <c r="BK104" s="76" t="b">
        <v>0</v>
      </c>
      <c r="BL104" s="76"/>
      <c r="BM104" s="76" t="s">
        <v>66</v>
      </c>
      <c r="BN104" s="76" t="s">
        <v>19635</v>
      </c>
      <c r="BO104" s="83" t="str">
        <f>HYPERLINK("https://twitter.com/rio_bravo")</f>
        <v>https://twitter.com/rio_bravo</v>
      </c>
      <c r="BP104" s="2"/>
    </row>
    <row r="105" spans="1:68" x14ac:dyDescent="0.25">
      <c r="A105" s="62" t="s">
        <v>310</v>
      </c>
      <c r="B105" s="63"/>
      <c r="C105" s="63"/>
      <c r="D105" s="64"/>
      <c r="E105" s="66"/>
      <c r="F105" s="103" t="str">
        <f>HYPERLINK("https://pbs.twimg.com/profile_images/1639025473312239618/UUecyHBV_normal.png")</f>
        <v>https://pbs.twimg.com/profile_images/1639025473312239618/UUecyHBV_normal.png</v>
      </c>
      <c r="G105" s="63"/>
      <c r="H105" s="67"/>
      <c r="I105" s="68"/>
      <c r="J105" s="68"/>
      <c r="K105" s="67" t="s">
        <v>19737</v>
      </c>
      <c r="L105" s="71"/>
      <c r="M105" s="72"/>
      <c r="N105" s="72"/>
      <c r="O105" s="73"/>
      <c r="P105" s="74"/>
      <c r="Q105" s="74"/>
      <c r="R105" s="87"/>
      <c r="S105" s="87"/>
      <c r="T105" s="87"/>
      <c r="U105" s="87"/>
      <c r="V105" s="48"/>
      <c r="W105" s="48"/>
      <c r="X105" s="47">
        <v>1.101E-3</v>
      </c>
      <c r="Y105" s="48"/>
      <c r="Z105" s="47"/>
      <c r="AA105" s="69">
        <v>105</v>
      </c>
      <c r="AB105" s="69"/>
      <c r="AC105" s="70"/>
      <c r="AD105" s="76" t="s">
        <v>16745</v>
      </c>
      <c r="AE105" s="81" t="s">
        <v>16185</v>
      </c>
      <c r="AF105" s="76">
        <v>0</v>
      </c>
      <c r="AG105" s="76">
        <v>1</v>
      </c>
      <c r="AH105" s="76">
        <v>38</v>
      </c>
      <c r="AI105" s="76">
        <v>0</v>
      </c>
      <c r="AJ105" s="76">
        <v>0</v>
      </c>
      <c r="AK105" s="76">
        <v>38</v>
      </c>
      <c r="AL105" s="76" t="b">
        <v>0</v>
      </c>
      <c r="AM105" s="78">
        <v>45008.920115740744</v>
      </c>
      <c r="AN105" s="76"/>
      <c r="AO105" s="76"/>
      <c r="AP105" s="76"/>
      <c r="AQ105" s="76"/>
      <c r="AR105" s="76"/>
      <c r="AS105" s="76"/>
      <c r="AT105" s="76"/>
      <c r="AU105" s="76"/>
      <c r="AV105" s="76"/>
      <c r="AW105" s="76"/>
      <c r="AX105" s="76" t="b">
        <v>0</v>
      </c>
      <c r="AY105" s="76"/>
      <c r="AZ105" s="76"/>
      <c r="BA105" s="76" t="b">
        <v>0</v>
      </c>
      <c r="BB105" s="76" t="b">
        <v>1</v>
      </c>
      <c r="BC105" s="76" t="b">
        <v>1</v>
      </c>
      <c r="BD105" s="76" t="b">
        <v>0</v>
      </c>
      <c r="BE105" s="76" t="b">
        <v>0</v>
      </c>
      <c r="BF105" s="76" t="b">
        <v>0</v>
      </c>
      <c r="BG105" s="76" t="b">
        <v>0</v>
      </c>
      <c r="BH105" s="76"/>
      <c r="BI105" s="76"/>
      <c r="BJ105" s="76" t="s">
        <v>19633</v>
      </c>
      <c r="BK105" s="76" t="b">
        <v>0</v>
      </c>
      <c r="BL105" s="76"/>
      <c r="BM105" s="76" t="s">
        <v>66</v>
      </c>
      <c r="BN105" s="76" t="s">
        <v>19635</v>
      </c>
      <c r="BO105" s="83" t="str">
        <f>HYPERLINK("https://twitter.com/sdbadvocacia")</f>
        <v>https://twitter.com/sdbadvocacia</v>
      </c>
      <c r="BP105" s="2"/>
    </row>
    <row r="106" spans="1:68" x14ac:dyDescent="0.25">
      <c r="A106" s="62" t="s">
        <v>311</v>
      </c>
      <c r="B106" s="63"/>
      <c r="C106" s="63"/>
      <c r="D106" s="64"/>
      <c r="E106" s="66"/>
      <c r="F106" s="103" t="str">
        <f>HYPERLINK("https://pbs.twimg.com/profile_images/1590218167116521473/vDJ6FjmE_normal.jpg")</f>
        <v>https://pbs.twimg.com/profile_images/1590218167116521473/vDJ6FjmE_normal.jpg</v>
      </c>
      <c r="G106" s="63"/>
      <c r="H106" s="67"/>
      <c r="I106" s="68"/>
      <c r="J106" s="68"/>
      <c r="K106" s="67" t="s">
        <v>19738</v>
      </c>
      <c r="L106" s="71"/>
      <c r="M106" s="72"/>
      <c r="N106" s="72"/>
      <c r="O106" s="73"/>
      <c r="P106" s="74"/>
      <c r="Q106" s="74"/>
      <c r="R106" s="87"/>
      <c r="S106" s="87"/>
      <c r="T106" s="87"/>
      <c r="U106" s="87"/>
      <c r="V106" s="48"/>
      <c r="W106" s="48"/>
      <c r="X106" s="47">
        <v>1.101E-3</v>
      </c>
      <c r="Y106" s="48"/>
      <c r="Z106" s="47"/>
      <c r="AA106" s="69">
        <v>106</v>
      </c>
      <c r="AB106" s="69"/>
      <c r="AC106" s="70"/>
      <c r="AD106" s="76" t="s">
        <v>16746</v>
      </c>
      <c r="AE106" s="81" t="s">
        <v>16186</v>
      </c>
      <c r="AF106" s="76">
        <v>2</v>
      </c>
      <c r="AG106" s="76">
        <v>0</v>
      </c>
      <c r="AH106" s="76">
        <v>191</v>
      </c>
      <c r="AI106" s="76">
        <v>0</v>
      </c>
      <c r="AJ106" s="76">
        <v>0</v>
      </c>
      <c r="AK106" s="76">
        <v>191</v>
      </c>
      <c r="AL106" s="76" t="b">
        <v>0</v>
      </c>
      <c r="AM106" s="78">
        <v>44865.217546296299</v>
      </c>
      <c r="AN106" s="76"/>
      <c r="AO106" s="76" t="s">
        <v>18243</v>
      </c>
      <c r="AP106" s="76"/>
      <c r="AQ106" s="76"/>
      <c r="AR106" s="76"/>
      <c r="AS106" s="76"/>
      <c r="AT106" s="76"/>
      <c r="AU106" s="76"/>
      <c r="AV106" s="76"/>
      <c r="AW106" s="76"/>
      <c r="AX106" s="76" t="b">
        <v>0</v>
      </c>
      <c r="AY106" s="76"/>
      <c r="AZ106" s="76"/>
      <c r="BA106" s="76" t="b">
        <v>0</v>
      </c>
      <c r="BB106" s="76" t="b">
        <v>1</v>
      </c>
      <c r="BC106" s="76" t="b">
        <v>1</v>
      </c>
      <c r="BD106" s="76" t="b">
        <v>0</v>
      </c>
      <c r="BE106" s="76" t="b">
        <v>0</v>
      </c>
      <c r="BF106" s="76" t="b">
        <v>0</v>
      </c>
      <c r="BG106" s="76" t="b">
        <v>0</v>
      </c>
      <c r="BH106" s="83" t="str">
        <f>HYPERLINK("https://pbs.twimg.com/profile_banners/1586949318900006912/1667980255")</f>
        <v>https://pbs.twimg.com/profile_banners/1586949318900006912/1667980255</v>
      </c>
      <c r="BI106" s="76"/>
      <c r="BJ106" s="76" t="s">
        <v>19633</v>
      </c>
      <c r="BK106" s="76" t="b">
        <v>0</v>
      </c>
      <c r="BL106" s="76"/>
      <c r="BM106" s="76" t="s">
        <v>66</v>
      </c>
      <c r="BN106" s="76" t="s">
        <v>19635</v>
      </c>
      <c r="BO106" s="83" t="str">
        <f>HYPERLINK("https://twitter.com/finvestmentor")</f>
        <v>https://twitter.com/finvestmentor</v>
      </c>
      <c r="BP106" s="2"/>
    </row>
    <row r="107" spans="1:68" x14ac:dyDescent="0.25">
      <c r="A107" s="62" t="s">
        <v>312</v>
      </c>
      <c r="B107" s="63"/>
      <c r="C107" s="63"/>
      <c r="D107" s="64"/>
      <c r="E107" s="66"/>
      <c r="F107" s="103" t="str">
        <f>HYPERLINK("https://pbs.twimg.com/profile_images/1623324391596589064/CiWlWwyn_normal.jpg")</f>
        <v>https://pbs.twimg.com/profile_images/1623324391596589064/CiWlWwyn_normal.jpg</v>
      </c>
      <c r="G107" s="63"/>
      <c r="H107" s="67"/>
      <c r="I107" s="68"/>
      <c r="J107" s="68"/>
      <c r="K107" s="67" t="s">
        <v>19739</v>
      </c>
      <c r="L107" s="71"/>
      <c r="M107" s="72"/>
      <c r="N107" s="72"/>
      <c r="O107" s="73"/>
      <c r="P107" s="74"/>
      <c r="Q107" s="74"/>
      <c r="R107" s="87"/>
      <c r="S107" s="87"/>
      <c r="T107" s="87"/>
      <c r="U107" s="87"/>
      <c r="V107" s="48"/>
      <c r="W107" s="48"/>
      <c r="X107" s="47">
        <v>1.101E-3</v>
      </c>
      <c r="Y107" s="48"/>
      <c r="Z107" s="47"/>
      <c r="AA107" s="69">
        <v>107</v>
      </c>
      <c r="AB107" s="69"/>
      <c r="AC107" s="70"/>
      <c r="AD107" s="76" t="s">
        <v>16747</v>
      </c>
      <c r="AE107" s="81" t="s">
        <v>16187</v>
      </c>
      <c r="AF107" s="76">
        <v>8</v>
      </c>
      <c r="AG107" s="76">
        <v>38</v>
      </c>
      <c r="AH107" s="76">
        <v>24</v>
      </c>
      <c r="AI107" s="76">
        <v>0</v>
      </c>
      <c r="AJ107" s="76">
        <v>44</v>
      </c>
      <c r="AK107" s="76">
        <v>0</v>
      </c>
      <c r="AL107" s="76" t="b">
        <v>0</v>
      </c>
      <c r="AM107" s="78">
        <v>42776.01295138889</v>
      </c>
      <c r="AN107" s="76" t="s">
        <v>10561</v>
      </c>
      <c r="AO107" s="76" t="s">
        <v>18244</v>
      </c>
      <c r="AP107" s="83" t="str">
        <f>HYPERLINK("https://t.co/iFeNqU8nN8")</f>
        <v>https://t.co/iFeNqU8nN8</v>
      </c>
      <c r="AQ107" s="83" t="str">
        <f>HYPERLINK("https://www.instagram.com/andrearruda_investimentos/?hl=pt-br")</f>
        <v>https://www.instagram.com/andrearruda_investimentos/?hl=pt-br</v>
      </c>
      <c r="AR107" s="76" t="s">
        <v>19051</v>
      </c>
      <c r="AS107" s="76"/>
      <c r="AT107" s="76"/>
      <c r="AU107" s="76"/>
      <c r="AV107" s="76"/>
      <c r="AW107" s="83" t="str">
        <f>HYPERLINK("https://t.co/iFeNqU8nN8")</f>
        <v>https://t.co/iFeNqU8nN8</v>
      </c>
      <c r="AX107" s="76" t="b">
        <v>0</v>
      </c>
      <c r="AY107" s="76"/>
      <c r="AZ107" s="76"/>
      <c r="BA107" s="76" t="b">
        <v>0</v>
      </c>
      <c r="BB107" s="76" t="b">
        <v>1</v>
      </c>
      <c r="BC107" s="76" t="b">
        <v>0</v>
      </c>
      <c r="BD107" s="76" t="b">
        <v>0</v>
      </c>
      <c r="BE107" s="76" t="b">
        <v>0</v>
      </c>
      <c r="BF107" s="76" t="b">
        <v>0</v>
      </c>
      <c r="BG107" s="76" t="b">
        <v>0</v>
      </c>
      <c r="BH107" s="83" t="str">
        <f>HYPERLINK("https://pbs.twimg.com/profile_banners/829847008731131904/1675865670")</f>
        <v>https://pbs.twimg.com/profile_banners/829847008731131904/1675865670</v>
      </c>
      <c r="BI107" s="76"/>
      <c r="BJ107" s="76" t="s">
        <v>19633</v>
      </c>
      <c r="BK107" s="76" t="b">
        <v>0</v>
      </c>
      <c r="BL107" s="76"/>
      <c r="BM107" s="76" t="s">
        <v>66</v>
      </c>
      <c r="BN107" s="76" t="s">
        <v>19635</v>
      </c>
      <c r="BO107" s="83" t="str">
        <f>HYPERLINK("https://twitter.com/deharruda94")</f>
        <v>https://twitter.com/deharruda94</v>
      </c>
      <c r="BP107" s="2"/>
    </row>
    <row r="108" spans="1:68" x14ac:dyDescent="0.25">
      <c r="A108" s="62" t="s">
        <v>313</v>
      </c>
      <c r="B108" s="63"/>
      <c r="C108" s="63"/>
      <c r="D108" s="64"/>
      <c r="E108" s="66"/>
      <c r="F108" s="103" t="str">
        <f>HYPERLINK("https://pbs.twimg.com/profile_images/1653831491195904031/QIu4ny8g_normal.jpg")</f>
        <v>https://pbs.twimg.com/profile_images/1653831491195904031/QIu4ny8g_normal.jpg</v>
      </c>
      <c r="G108" s="63"/>
      <c r="H108" s="67"/>
      <c r="I108" s="68"/>
      <c r="J108" s="68"/>
      <c r="K108" s="67" t="s">
        <v>19740</v>
      </c>
      <c r="L108" s="71"/>
      <c r="M108" s="72"/>
      <c r="N108" s="72"/>
      <c r="O108" s="73"/>
      <c r="P108" s="74"/>
      <c r="Q108" s="74"/>
      <c r="R108" s="87"/>
      <c r="S108" s="87"/>
      <c r="T108" s="87"/>
      <c r="U108" s="87"/>
      <c r="V108" s="48"/>
      <c r="W108" s="48"/>
      <c r="X108" s="47">
        <v>1.101E-3</v>
      </c>
      <c r="Y108" s="48"/>
      <c r="Z108" s="47"/>
      <c r="AA108" s="69">
        <v>108</v>
      </c>
      <c r="AB108" s="69"/>
      <c r="AC108" s="70"/>
      <c r="AD108" s="76" t="s">
        <v>16748</v>
      </c>
      <c r="AE108" s="81" t="s">
        <v>17572</v>
      </c>
      <c r="AF108" s="76">
        <v>74</v>
      </c>
      <c r="AG108" s="76">
        <v>361</v>
      </c>
      <c r="AH108" s="76">
        <v>74</v>
      </c>
      <c r="AI108" s="76">
        <v>0</v>
      </c>
      <c r="AJ108" s="76">
        <v>4</v>
      </c>
      <c r="AK108" s="76">
        <v>5</v>
      </c>
      <c r="AL108" s="76" t="b">
        <v>0</v>
      </c>
      <c r="AM108" s="78">
        <v>41590.493217592593</v>
      </c>
      <c r="AN108" s="76" t="s">
        <v>17898</v>
      </c>
      <c r="AO108" s="76" t="s">
        <v>18245</v>
      </c>
      <c r="AP108" s="83" t="str">
        <f>HYPERLINK("https://t.co/2gl1pFxjaH")</f>
        <v>https://t.co/2gl1pFxjaH</v>
      </c>
      <c r="AQ108" s="83" t="str">
        <f>HYPERLINK("http://www.drjerryboni.com.br")</f>
        <v>http://www.drjerryboni.com.br</v>
      </c>
      <c r="AR108" s="76" t="s">
        <v>19052</v>
      </c>
      <c r="AS108" s="76"/>
      <c r="AT108" s="76"/>
      <c r="AU108" s="76"/>
      <c r="AV108" s="76"/>
      <c r="AW108" s="83" t="str">
        <f>HYPERLINK("https://t.co/2gl1pFxjaH")</f>
        <v>https://t.co/2gl1pFxjaH</v>
      </c>
      <c r="AX108" s="76" t="b">
        <v>0</v>
      </c>
      <c r="AY108" s="76"/>
      <c r="AZ108" s="76"/>
      <c r="BA108" s="76" t="b">
        <v>0</v>
      </c>
      <c r="BB108" s="76" t="b">
        <v>1</v>
      </c>
      <c r="BC108" s="76" t="b">
        <v>1</v>
      </c>
      <c r="BD108" s="76" t="b">
        <v>0</v>
      </c>
      <c r="BE108" s="76" t="b">
        <v>0</v>
      </c>
      <c r="BF108" s="76" t="b">
        <v>0</v>
      </c>
      <c r="BG108" s="76" t="b">
        <v>0</v>
      </c>
      <c r="BH108" s="83" t="str">
        <f>HYPERLINK("https://pbs.twimg.com/profile_banners/2178098037/1683139140")</f>
        <v>https://pbs.twimg.com/profile_banners/2178098037/1683139140</v>
      </c>
      <c r="BI108" s="76"/>
      <c r="BJ108" s="76" t="s">
        <v>19633</v>
      </c>
      <c r="BK108" s="76" t="b">
        <v>0</v>
      </c>
      <c r="BL108" s="76"/>
      <c r="BM108" s="76" t="s">
        <v>66</v>
      </c>
      <c r="BN108" s="76" t="s">
        <v>19635</v>
      </c>
      <c r="BO108" s="83" t="str">
        <f>HYPERLINK("https://twitter.com/saudeeprosperi_")</f>
        <v>https://twitter.com/saudeeprosperi_</v>
      </c>
      <c r="BP108" s="2"/>
    </row>
    <row r="109" spans="1:68" x14ac:dyDescent="0.25">
      <c r="A109" s="62" t="s">
        <v>314</v>
      </c>
      <c r="B109" s="63"/>
      <c r="C109" s="63"/>
      <c r="D109" s="64"/>
      <c r="E109" s="66"/>
      <c r="F109" s="103" t="str">
        <f>HYPERLINK("https://pbs.twimg.com/profile_images/1681721328192110595/ef9SqSLi_normal.jpg")</f>
        <v>https://pbs.twimg.com/profile_images/1681721328192110595/ef9SqSLi_normal.jpg</v>
      </c>
      <c r="G109" s="63"/>
      <c r="H109" s="67"/>
      <c r="I109" s="68"/>
      <c r="J109" s="68"/>
      <c r="K109" s="67" t="s">
        <v>19741</v>
      </c>
      <c r="L109" s="71"/>
      <c r="M109" s="72"/>
      <c r="N109" s="72"/>
      <c r="O109" s="73"/>
      <c r="P109" s="74"/>
      <c r="Q109" s="74"/>
      <c r="R109" s="87"/>
      <c r="S109" s="87"/>
      <c r="T109" s="87"/>
      <c r="U109" s="87"/>
      <c r="V109" s="48"/>
      <c r="W109" s="48"/>
      <c r="X109" s="47">
        <v>1.101E-3</v>
      </c>
      <c r="Y109" s="48"/>
      <c r="Z109" s="47"/>
      <c r="AA109" s="69">
        <v>109</v>
      </c>
      <c r="AB109" s="69"/>
      <c r="AC109" s="70"/>
      <c r="AD109" s="76" t="s">
        <v>16749</v>
      </c>
      <c r="AE109" s="81" t="s">
        <v>15689</v>
      </c>
      <c r="AF109" s="76">
        <v>1329</v>
      </c>
      <c r="AG109" s="76">
        <v>1</v>
      </c>
      <c r="AH109" s="76">
        <v>485</v>
      </c>
      <c r="AI109" s="76">
        <v>7</v>
      </c>
      <c r="AJ109" s="76">
        <v>99</v>
      </c>
      <c r="AK109" s="76">
        <v>107</v>
      </c>
      <c r="AL109" s="76" t="b">
        <v>0</v>
      </c>
      <c r="AM109" s="78">
        <v>44355.797025462962</v>
      </c>
      <c r="AN109" s="76"/>
      <c r="AO109" s="76" t="s">
        <v>18246</v>
      </c>
      <c r="AP109" s="83" t="str">
        <f>HYPERLINK("https://t.co/X8wvY2Dxyw")</f>
        <v>https://t.co/X8wvY2Dxyw</v>
      </c>
      <c r="AQ109" s="83" t="str">
        <f>HYPERLINK("http://www.bnb.gov.br")</f>
        <v>http://www.bnb.gov.br</v>
      </c>
      <c r="AR109" s="76" t="s">
        <v>19053</v>
      </c>
      <c r="AS109" s="76"/>
      <c r="AT109" s="76"/>
      <c r="AU109" s="76"/>
      <c r="AV109" s="76">
        <v>1.6643109854007501E+18</v>
      </c>
      <c r="AW109" s="83" t="str">
        <f>HYPERLINK("https://t.co/X8wvY2Dxyw")</f>
        <v>https://t.co/X8wvY2Dxyw</v>
      </c>
      <c r="AX109" s="76" t="b">
        <v>0</v>
      </c>
      <c r="AY109" s="76"/>
      <c r="AZ109" s="76"/>
      <c r="BA109" s="76" t="b">
        <v>1</v>
      </c>
      <c r="BB109" s="76" t="b">
        <v>1</v>
      </c>
      <c r="BC109" s="76" t="b">
        <v>1</v>
      </c>
      <c r="BD109" s="76" t="b">
        <v>0</v>
      </c>
      <c r="BE109" s="76" t="b">
        <v>0</v>
      </c>
      <c r="BF109" s="76" t="b">
        <v>0</v>
      </c>
      <c r="BG109" s="76" t="b">
        <v>0</v>
      </c>
      <c r="BH109" s="83" t="str">
        <f>HYPERLINK("https://pbs.twimg.com/profile_banners/1402341454249443334/1688416244")</f>
        <v>https://pbs.twimg.com/profile_banners/1402341454249443334/1688416244</v>
      </c>
      <c r="BI109" s="76"/>
      <c r="BJ109" s="76" t="s">
        <v>19633</v>
      </c>
      <c r="BK109" s="76" t="b">
        <v>0</v>
      </c>
      <c r="BL109" s="76"/>
      <c r="BM109" s="76" t="s">
        <v>66</v>
      </c>
      <c r="BN109" s="76" t="s">
        <v>19635</v>
      </c>
      <c r="BO109" s="83" t="str">
        <f>HYPERLINK("https://twitter.com/bancodonordeste")</f>
        <v>https://twitter.com/bancodonordeste</v>
      </c>
      <c r="BP109" s="2"/>
    </row>
    <row r="110" spans="1:68" x14ac:dyDescent="0.25">
      <c r="A110" s="62" t="s">
        <v>315</v>
      </c>
      <c r="B110" s="63"/>
      <c r="C110" s="63"/>
      <c r="D110" s="64"/>
      <c r="E110" s="66"/>
      <c r="F110" s="103" t="str">
        <f>HYPERLINK("https://pbs.twimg.com/profile_images/1656111934599512064/Y5f-nAQC_normal.jpg")</f>
        <v>https://pbs.twimg.com/profile_images/1656111934599512064/Y5f-nAQC_normal.jpg</v>
      </c>
      <c r="G110" s="63"/>
      <c r="H110" s="67"/>
      <c r="I110" s="68"/>
      <c r="J110" s="68"/>
      <c r="K110" s="67" t="s">
        <v>19742</v>
      </c>
      <c r="L110" s="71"/>
      <c r="M110" s="72"/>
      <c r="N110" s="72"/>
      <c r="O110" s="73"/>
      <c r="P110" s="74"/>
      <c r="Q110" s="74"/>
      <c r="R110" s="87"/>
      <c r="S110" s="87"/>
      <c r="T110" s="87"/>
      <c r="U110" s="87"/>
      <c r="V110" s="48"/>
      <c r="W110" s="48"/>
      <c r="X110" s="47">
        <v>1.101E-3</v>
      </c>
      <c r="Y110" s="48"/>
      <c r="Z110" s="47"/>
      <c r="AA110" s="69">
        <v>110</v>
      </c>
      <c r="AB110" s="69"/>
      <c r="AC110" s="70"/>
      <c r="AD110" s="76" t="s">
        <v>16750</v>
      </c>
      <c r="AE110" s="81" t="s">
        <v>17573</v>
      </c>
      <c r="AF110" s="76">
        <v>40</v>
      </c>
      <c r="AG110" s="76">
        <v>45</v>
      </c>
      <c r="AH110" s="76">
        <v>491</v>
      </c>
      <c r="AI110" s="76">
        <v>2</v>
      </c>
      <c r="AJ110" s="76">
        <v>293</v>
      </c>
      <c r="AK110" s="76">
        <v>56</v>
      </c>
      <c r="AL110" s="76" t="b">
        <v>0</v>
      </c>
      <c r="AM110" s="78">
        <v>41782.536446759259</v>
      </c>
      <c r="AN110" s="76"/>
      <c r="AO110" s="76" t="s">
        <v>18247</v>
      </c>
      <c r="AP110" s="76"/>
      <c r="AQ110" s="76"/>
      <c r="AR110" s="76"/>
      <c r="AS110" s="76"/>
      <c r="AT110" s="76"/>
      <c r="AU110" s="76"/>
      <c r="AV110" s="76"/>
      <c r="AW110" s="76"/>
      <c r="AX110" s="76" t="b">
        <v>0</v>
      </c>
      <c r="AY110" s="76"/>
      <c r="AZ110" s="76"/>
      <c r="BA110" s="76" t="b">
        <v>1</v>
      </c>
      <c r="BB110" s="76" t="b">
        <v>1</v>
      </c>
      <c r="BC110" s="76" t="b">
        <v>0</v>
      </c>
      <c r="BD110" s="76" t="b">
        <v>0</v>
      </c>
      <c r="BE110" s="76" t="b">
        <v>0</v>
      </c>
      <c r="BF110" s="76" t="b">
        <v>0</v>
      </c>
      <c r="BG110" s="76" t="b">
        <v>0</v>
      </c>
      <c r="BH110" s="83" t="str">
        <f>HYPERLINK("https://pbs.twimg.com/profile_banners/2517788041/1687648919")</f>
        <v>https://pbs.twimg.com/profile_banners/2517788041/1687648919</v>
      </c>
      <c r="BI110" s="76"/>
      <c r="BJ110" s="76" t="s">
        <v>19633</v>
      </c>
      <c r="BK110" s="76" t="b">
        <v>0</v>
      </c>
      <c r="BL110" s="76"/>
      <c r="BM110" s="76" t="s">
        <v>66</v>
      </c>
      <c r="BN110" s="76" t="s">
        <v>19635</v>
      </c>
      <c r="BO110" s="83" t="str">
        <f>HYPERLINK("https://twitter.com/gustavober_59")</f>
        <v>https://twitter.com/gustavober_59</v>
      </c>
      <c r="BP110" s="2"/>
    </row>
    <row r="111" spans="1:68" x14ac:dyDescent="0.25">
      <c r="A111" s="62" t="s">
        <v>316</v>
      </c>
      <c r="B111" s="63"/>
      <c r="C111" s="63"/>
      <c r="D111" s="64"/>
      <c r="E111" s="66"/>
      <c r="F111" s="103" t="str">
        <f>HYPERLINK("https://pbs.twimg.com/profile_images/1670926998888226816/kpibl9QL_normal.png")</f>
        <v>https://pbs.twimg.com/profile_images/1670926998888226816/kpibl9QL_normal.png</v>
      </c>
      <c r="G111" s="63"/>
      <c r="H111" s="67"/>
      <c r="I111" s="68"/>
      <c r="J111" s="68"/>
      <c r="K111" s="67" t="s">
        <v>19743</v>
      </c>
      <c r="L111" s="71"/>
      <c r="M111" s="72"/>
      <c r="N111" s="72"/>
      <c r="O111" s="73"/>
      <c r="P111" s="74"/>
      <c r="Q111" s="74"/>
      <c r="R111" s="87"/>
      <c r="S111" s="87"/>
      <c r="T111" s="87"/>
      <c r="U111" s="87"/>
      <c r="V111" s="48"/>
      <c r="W111" s="48"/>
      <c r="X111" s="47">
        <v>1.101E-3</v>
      </c>
      <c r="Y111" s="48"/>
      <c r="Z111" s="47"/>
      <c r="AA111" s="69">
        <v>111</v>
      </c>
      <c r="AB111" s="69"/>
      <c r="AC111" s="70"/>
      <c r="AD111" s="76" t="s">
        <v>16751</v>
      </c>
      <c r="AE111" s="81" t="s">
        <v>16188</v>
      </c>
      <c r="AF111" s="76">
        <v>10</v>
      </c>
      <c r="AG111" s="76">
        <v>73</v>
      </c>
      <c r="AH111" s="76">
        <v>51</v>
      </c>
      <c r="AI111" s="76">
        <v>0</v>
      </c>
      <c r="AJ111" s="76">
        <v>1</v>
      </c>
      <c r="AK111" s="76">
        <v>51</v>
      </c>
      <c r="AL111" s="76" t="b">
        <v>0</v>
      </c>
      <c r="AM111" s="78">
        <v>45096.951562499999</v>
      </c>
      <c r="AN111" s="76"/>
      <c r="AO111" s="76" t="s">
        <v>18248</v>
      </c>
      <c r="AP111" s="76"/>
      <c r="AQ111" s="76"/>
      <c r="AR111" s="76"/>
      <c r="AS111" s="83" t="str">
        <f>HYPERLINK("https://t.co/ISwSvrf51U")</f>
        <v>https://t.co/ISwSvrf51U</v>
      </c>
      <c r="AT111" s="83" t="str">
        <f>HYPERLINK("https://mycollection.shop/mamaeeconomicabr")</f>
        <v>https://mycollection.shop/mamaeeconomicabr</v>
      </c>
      <c r="AU111" s="76" t="s">
        <v>19583</v>
      </c>
      <c r="AV111" s="76"/>
      <c r="AW111" s="76"/>
      <c r="AX111" s="76" t="b">
        <v>0</v>
      </c>
      <c r="AY111" s="76"/>
      <c r="AZ111" s="76"/>
      <c r="BA111" s="76" t="b">
        <v>0</v>
      </c>
      <c r="BB111" s="76" t="b">
        <v>1</v>
      </c>
      <c r="BC111" s="76" t="b">
        <v>1</v>
      </c>
      <c r="BD111" s="76" t="b">
        <v>0</v>
      </c>
      <c r="BE111" s="76" t="b">
        <v>0</v>
      </c>
      <c r="BF111" s="76" t="b">
        <v>0</v>
      </c>
      <c r="BG111" s="76" t="b">
        <v>0</v>
      </c>
      <c r="BH111" s="76"/>
      <c r="BI111" s="76"/>
      <c r="BJ111" s="76" t="s">
        <v>19633</v>
      </c>
      <c r="BK111" s="76" t="b">
        <v>0</v>
      </c>
      <c r="BL111" s="76"/>
      <c r="BM111" s="76" t="s">
        <v>66</v>
      </c>
      <c r="BN111" s="76" t="s">
        <v>19635</v>
      </c>
      <c r="BO111" s="83" t="str">
        <f>HYPERLINK("https://twitter.com/mamaeeconomica")</f>
        <v>https://twitter.com/mamaeeconomica</v>
      </c>
      <c r="BP111" s="2"/>
    </row>
    <row r="112" spans="1:68" x14ac:dyDescent="0.25">
      <c r="A112" s="62" t="s">
        <v>317</v>
      </c>
      <c r="B112" s="63"/>
      <c r="C112" s="63"/>
      <c r="D112" s="64"/>
      <c r="E112" s="66"/>
      <c r="F112" s="103" t="str">
        <f>HYPERLINK("https://pbs.twimg.com/profile_images/1504467670237777925/7X6yhFZd_normal.jpg")</f>
        <v>https://pbs.twimg.com/profile_images/1504467670237777925/7X6yhFZd_normal.jpg</v>
      </c>
      <c r="G112" s="63"/>
      <c r="H112" s="67"/>
      <c r="I112" s="68"/>
      <c r="J112" s="68"/>
      <c r="K112" s="67" t="s">
        <v>19744</v>
      </c>
      <c r="L112" s="71"/>
      <c r="M112" s="72"/>
      <c r="N112" s="72"/>
      <c r="O112" s="73"/>
      <c r="P112" s="74"/>
      <c r="Q112" s="74"/>
      <c r="R112" s="87"/>
      <c r="S112" s="87"/>
      <c r="T112" s="87"/>
      <c r="U112" s="87"/>
      <c r="V112" s="48"/>
      <c r="W112" s="48"/>
      <c r="X112" s="47">
        <v>1.101E-3</v>
      </c>
      <c r="Y112" s="48"/>
      <c r="Z112" s="47"/>
      <c r="AA112" s="69">
        <v>112</v>
      </c>
      <c r="AB112" s="69"/>
      <c r="AC112" s="70"/>
      <c r="AD112" s="76" t="s">
        <v>317</v>
      </c>
      <c r="AE112" s="81" t="s">
        <v>16189</v>
      </c>
      <c r="AF112" s="76">
        <v>8</v>
      </c>
      <c r="AG112" s="76">
        <v>118</v>
      </c>
      <c r="AH112" s="76">
        <v>163</v>
      </c>
      <c r="AI112" s="76">
        <v>0</v>
      </c>
      <c r="AJ112" s="76">
        <v>70</v>
      </c>
      <c r="AK112" s="76">
        <v>107</v>
      </c>
      <c r="AL112" s="76" t="b">
        <v>0</v>
      </c>
      <c r="AM112" s="78">
        <v>44389.611215277779</v>
      </c>
      <c r="AN112" s="76" t="s">
        <v>10632</v>
      </c>
      <c r="AO112" s="76" t="s">
        <v>18249</v>
      </c>
      <c r="AP112" s="83" t="str">
        <f>HYPERLINK("https://t.co/K8BERcalPc")</f>
        <v>https://t.co/K8BERcalPc</v>
      </c>
      <c r="AQ112" s="83" t="str">
        <f>HYPERLINK("https://linktr.ee/cnpjotas")</f>
        <v>https://linktr.ee/cnpjotas</v>
      </c>
      <c r="AR112" s="76" t="s">
        <v>19054</v>
      </c>
      <c r="AS112" s="76"/>
      <c r="AT112" s="76"/>
      <c r="AU112" s="76"/>
      <c r="AV112" s="76"/>
      <c r="AW112" s="83" t="str">
        <f>HYPERLINK("https://t.co/K8BERcalPc")</f>
        <v>https://t.co/K8BERcalPc</v>
      </c>
      <c r="AX112" s="76" t="b">
        <v>0</v>
      </c>
      <c r="AY112" s="76"/>
      <c r="AZ112" s="76"/>
      <c r="BA112" s="76" t="b">
        <v>1</v>
      </c>
      <c r="BB112" s="76" t="b">
        <v>1</v>
      </c>
      <c r="BC112" s="76" t="b">
        <v>1</v>
      </c>
      <c r="BD112" s="76" t="b">
        <v>0</v>
      </c>
      <c r="BE112" s="76" t="b">
        <v>0</v>
      </c>
      <c r="BF112" s="76" t="b">
        <v>0</v>
      </c>
      <c r="BG112" s="76" t="b">
        <v>0</v>
      </c>
      <c r="BH112" s="83" t="str">
        <f>HYPERLINK("https://pbs.twimg.com/profile_banners/1414595380889759748/1645645323")</f>
        <v>https://pbs.twimg.com/profile_banners/1414595380889759748/1645645323</v>
      </c>
      <c r="BI112" s="76"/>
      <c r="BJ112" s="76" t="s">
        <v>19633</v>
      </c>
      <c r="BK112" s="76" t="b">
        <v>0</v>
      </c>
      <c r="BL112" s="76"/>
      <c r="BM112" s="76" t="s">
        <v>66</v>
      </c>
      <c r="BN112" s="76" t="s">
        <v>19635</v>
      </c>
      <c r="BO112" s="83" t="str">
        <f>HYPERLINK("https://twitter.com/cnpjotas")</f>
        <v>https://twitter.com/cnpjotas</v>
      </c>
      <c r="BP112" s="2"/>
    </row>
    <row r="113" spans="1:68" x14ac:dyDescent="0.25">
      <c r="A113" s="62" t="s">
        <v>318</v>
      </c>
      <c r="B113" s="63"/>
      <c r="C113" s="63"/>
      <c r="D113" s="64"/>
      <c r="E113" s="66"/>
      <c r="F113" s="103" t="str">
        <f>HYPERLINK("https://pbs.twimg.com/profile_images/1618978012300562435/a2HHjZv4_normal.jpg")</f>
        <v>https://pbs.twimg.com/profile_images/1618978012300562435/a2HHjZv4_normal.jpg</v>
      </c>
      <c r="G113" s="63"/>
      <c r="H113" s="67"/>
      <c r="I113" s="68"/>
      <c r="J113" s="68"/>
      <c r="K113" s="67" t="s">
        <v>19745</v>
      </c>
      <c r="L113" s="71"/>
      <c r="M113" s="72"/>
      <c r="N113" s="72"/>
      <c r="O113" s="73"/>
      <c r="P113" s="74"/>
      <c r="Q113" s="74"/>
      <c r="R113" s="87"/>
      <c r="S113" s="87"/>
      <c r="T113" s="87"/>
      <c r="U113" s="87"/>
      <c r="V113" s="48"/>
      <c r="W113" s="48"/>
      <c r="X113" s="47">
        <v>9.6500000000000004E-4</v>
      </c>
      <c r="Y113" s="48"/>
      <c r="Z113" s="47"/>
      <c r="AA113" s="69">
        <v>113</v>
      </c>
      <c r="AB113" s="69"/>
      <c r="AC113" s="70"/>
      <c r="AD113" s="76" t="s">
        <v>16752</v>
      </c>
      <c r="AE113" s="81" t="s">
        <v>16190</v>
      </c>
      <c r="AF113" s="76">
        <v>1</v>
      </c>
      <c r="AG113" s="76">
        <v>9</v>
      </c>
      <c r="AH113" s="76">
        <v>107</v>
      </c>
      <c r="AI113" s="76">
        <v>0</v>
      </c>
      <c r="AJ113" s="76">
        <v>111</v>
      </c>
      <c r="AK113" s="76">
        <v>50</v>
      </c>
      <c r="AL113" s="76" t="b">
        <v>0</v>
      </c>
      <c r="AM113" s="78">
        <v>44335.538414351853</v>
      </c>
      <c r="AN113" s="76" t="s">
        <v>17899</v>
      </c>
      <c r="AO113" s="76" t="s">
        <v>18250</v>
      </c>
      <c r="AP113" s="83" t="str">
        <f>HYPERLINK("https://t.co/olhdYXjg7P")</f>
        <v>https://t.co/olhdYXjg7P</v>
      </c>
      <c r="AQ113" s="83" t="str">
        <f>HYPERLINK("http://danielguidotti.com")</f>
        <v>http://danielguidotti.com</v>
      </c>
      <c r="AR113" s="76" t="s">
        <v>19055</v>
      </c>
      <c r="AS113" s="76"/>
      <c r="AT113" s="76"/>
      <c r="AU113" s="76"/>
      <c r="AV113" s="76">
        <v>1.3968963567242399E+18</v>
      </c>
      <c r="AW113" s="83" t="str">
        <f>HYPERLINK("https://t.co/olhdYXjg7P")</f>
        <v>https://t.co/olhdYXjg7P</v>
      </c>
      <c r="AX113" s="76" t="b">
        <v>0</v>
      </c>
      <c r="AY113" s="76"/>
      <c r="AZ113" s="76"/>
      <c r="BA113" s="76" t="b">
        <v>0</v>
      </c>
      <c r="BB113" s="76" t="b">
        <v>1</v>
      </c>
      <c r="BC113" s="76" t="b">
        <v>1</v>
      </c>
      <c r="BD113" s="76" t="b">
        <v>0</v>
      </c>
      <c r="BE113" s="76" t="b">
        <v>0</v>
      </c>
      <c r="BF113" s="76" t="b">
        <v>0</v>
      </c>
      <c r="BG113" s="76" t="b">
        <v>0</v>
      </c>
      <c r="BH113" s="76"/>
      <c r="BI113" s="76"/>
      <c r="BJ113" s="76" t="s">
        <v>19633</v>
      </c>
      <c r="BK113" s="76" t="b">
        <v>0</v>
      </c>
      <c r="BL113" s="76"/>
      <c r="BM113" s="76" t="s">
        <v>66</v>
      </c>
      <c r="BN113" s="76" t="s">
        <v>19635</v>
      </c>
      <c r="BO113" s="83" t="str">
        <f>HYPERLINK("https://twitter.com/guidottisilva")</f>
        <v>https://twitter.com/guidottisilva</v>
      </c>
      <c r="BP113" s="2"/>
    </row>
    <row r="114" spans="1:68" x14ac:dyDescent="0.25">
      <c r="A114" s="62" t="s">
        <v>1058</v>
      </c>
      <c r="B114" s="63"/>
      <c r="C114" s="63"/>
      <c r="D114" s="64"/>
      <c r="E114" s="66"/>
      <c r="F114" s="103" t="str">
        <f>HYPERLINK("https://pbs.twimg.com/profile_images/1427292844612595720/RC1YSvuT_normal.jpg")</f>
        <v>https://pbs.twimg.com/profile_images/1427292844612595720/RC1YSvuT_normal.jpg</v>
      </c>
      <c r="G114" s="63"/>
      <c r="H114" s="67"/>
      <c r="I114" s="68"/>
      <c r="J114" s="68"/>
      <c r="K114" s="67" t="s">
        <v>19746</v>
      </c>
      <c r="L114" s="71"/>
      <c r="M114" s="72"/>
      <c r="N114" s="72"/>
      <c r="O114" s="73"/>
      <c r="P114" s="74"/>
      <c r="Q114" s="74"/>
      <c r="R114" s="87"/>
      <c r="S114" s="87"/>
      <c r="T114" s="87"/>
      <c r="U114" s="87"/>
      <c r="V114" s="48"/>
      <c r="W114" s="48"/>
      <c r="X114" s="47">
        <v>3.2629999999999998E-3</v>
      </c>
      <c r="Y114" s="48"/>
      <c r="Z114" s="47"/>
      <c r="AA114" s="69">
        <v>114</v>
      </c>
      <c r="AB114" s="69"/>
      <c r="AC114" s="70"/>
      <c r="AD114" s="76" t="s">
        <v>16753</v>
      </c>
      <c r="AE114" s="81" t="s">
        <v>17574</v>
      </c>
      <c r="AF114" s="76">
        <v>79254714</v>
      </c>
      <c r="AG114" s="76">
        <v>1180</v>
      </c>
      <c r="AH114" s="76">
        <v>56430</v>
      </c>
      <c r="AI114" s="76">
        <v>0</v>
      </c>
      <c r="AJ114" s="76">
        <v>6182</v>
      </c>
      <c r="AK114" s="76">
        <v>15678</v>
      </c>
      <c r="AL114" s="76" t="b">
        <v>0</v>
      </c>
      <c r="AM114" s="78">
        <v>39399.905393518522</v>
      </c>
      <c r="AN114" s="76" t="s">
        <v>17900</v>
      </c>
      <c r="AO114" s="76" t="s">
        <v>18251</v>
      </c>
      <c r="AP114" s="83" t="str">
        <f>HYPERLINK("https://t.co/bUisN3Y1A6")</f>
        <v>https://t.co/bUisN3Y1A6</v>
      </c>
      <c r="AQ114" s="83" t="str">
        <f>HYPERLINK("http://youtube.com")</f>
        <v>http://youtube.com</v>
      </c>
      <c r="AR114" s="76" t="s">
        <v>6006</v>
      </c>
      <c r="AS114" s="76"/>
      <c r="AT114" s="76"/>
      <c r="AU114" s="76"/>
      <c r="AV114" s="76"/>
      <c r="AW114" s="83" t="str">
        <f>HYPERLINK("https://t.co/bUisN3Y1A6")</f>
        <v>https://t.co/bUisN3Y1A6</v>
      </c>
      <c r="AX114" s="76" t="b">
        <v>1</v>
      </c>
      <c r="AY114" s="76"/>
      <c r="AZ114" s="76"/>
      <c r="BA114" s="76" t="b">
        <v>0</v>
      </c>
      <c r="BB114" s="76" t="b">
        <v>1</v>
      </c>
      <c r="BC114" s="76" t="b">
        <v>0</v>
      </c>
      <c r="BD114" s="76" t="b">
        <v>0</v>
      </c>
      <c r="BE114" s="76" t="b">
        <v>1</v>
      </c>
      <c r="BF114" s="76" t="b">
        <v>0</v>
      </c>
      <c r="BG114" s="76" t="b">
        <v>0</v>
      </c>
      <c r="BH114" s="83" t="str">
        <f>HYPERLINK("https://pbs.twimg.com/profile_banners/10228272/1694202402")</f>
        <v>https://pbs.twimg.com/profile_banners/10228272/1694202402</v>
      </c>
      <c r="BI114" s="76"/>
      <c r="BJ114" s="76" t="s">
        <v>19634</v>
      </c>
      <c r="BK114" s="76" t="b">
        <v>0</v>
      </c>
      <c r="BL114" s="76"/>
      <c r="BM114" s="76" t="s">
        <v>65</v>
      </c>
      <c r="BN114" s="76" t="s">
        <v>19635</v>
      </c>
      <c r="BO114" s="83" t="str">
        <f>HYPERLINK("https://twitter.com/youtube")</f>
        <v>https://twitter.com/youtube</v>
      </c>
      <c r="BP114" s="2"/>
    </row>
    <row r="115" spans="1:68" x14ac:dyDescent="0.25">
      <c r="A115" s="62" t="s">
        <v>319</v>
      </c>
      <c r="B115" s="63"/>
      <c r="C115" s="63"/>
      <c r="D115" s="64"/>
      <c r="E115" s="66"/>
      <c r="F115" s="103" t="str">
        <f>HYPERLINK("https://pbs.twimg.com/profile_images/1250478021720637441/F4waRUY7_normal.jpg")</f>
        <v>https://pbs.twimg.com/profile_images/1250478021720637441/F4waRUY7_normal.jpg</v>
      </c>
      <c r="G115" s="63"/>
      <c r="H115" s="67"/>
      <c r="I115" s="68"/>
      <c r="J115" s="68"/>
      <c r="K115" s="67" t="s">
        <v>19747</v>
      </c>
      <c r="L115" s="71"/>
      <c r="M115" s="72"/>
      <c r="N115" s="72"/>
      <c r="O115" s="73"/>
      <c r="P115" s="74"/>
      <c r="Q115" s="74"/>
      <c r="R115" s="87"/>
      <c r="S115" s="87"/>
      <c r="T115" s="87"/>
      <c r="U115" s="87"/>
      <c r="V115" s="48"/>
      <c r="W115" s="48"/>
      <c r="X115" s="47">
        <v>1.101E-3</v>
      </c>
      <c r="Y115" s="48"/>
      <c r="Z115" s="47"/>
      <c r="AA115" s="69">
        <v>115</v>
      </c>
      <c r="AB115" s="69"/>
      <c r="AC115" s="70"/>
      <c r="AD115" s="76" t="s">
        <v>16754</v>
      </c>
      <c r="AE115" s="81" t="s">
        <v>17575</v>
      </c>
      <c r="AF115" s="76">
        <v>66</v>
      </c>
      <c r="AG115" s="76">
        <v>68</v>
      </c>
      <c r="AH115" s="76">
        <v>5061</v>
      </c>
      <c r="AI115" s="76">
        <v>27</v>
      </c>
      <c r="AJ115" s="76">
        <v>0</v>
      </c>
      <c r="AK115" s="76">
        <v>4475</v>
      </c>
      <c r="AL115" s="76" t="b">
        <v>0</v>
      </c>
      <c r="AM115" s="78">
        <v>40355.938414351855</v>
      </c>
      <c r="AN115" s="76"/>
      <c r="AO115" s="76" t="s">
        <v>18252</v>
      </c>
      <c r="AP115" s="83" t="str">
        <f>HYPERLINK("https://t.co/2Xbrn8rUNb")</f>
        <v>https://t.co/2Xbrn8rUNb</v>
      </c>
      <c r="AQ115" s="83" t="str">
        <f>HYPERLINK("https://www.facebook.com/Antenado.GiP")</f>
        <v>https://www.facebook.com/Antenado.GiP</v>
      </c>
      <c r="AR115" s="76" t="s">
        <v>19056</v>
      </c>
      <c r="AS115" s="76"/>
      <c r="AT115" s="76"/>
      <c r="AU115" s="76"/>
      <c r="AV115" s="76"/>
      <c r="AW115" s="83" t="str">
        <f>HYPERLINK("https://t.co/2Xbrn8rUNb")</f>
        <v>https://t.co/2Xbrn8rUNb</v>
      </c>
      <c r="AX115" s="76" t="b">
        <v>0</v>
      </c>
      <c r="AY115" s="76"/>
      <c r="AZ115" s="76"/>
      <c r="BA115" s="76" t="b">
        <v>0</v>
      </c>
      <c r="BB115" s="76" t="b">
        <v>1</v>
      </c>
      <c r="BC115" s="76" t="b">
        <v>0</v>
      </c>
      <c r="BD115" s="76" t="b">
        <v>0</v>
      </c>
      <c r="BE115" s="76" t="b">
        <v>1</v>
      </c>
      <c r="BF115" s="76" t="b">
        <v>0</v>
      </c>
      <c r="BG115" s="76" t="b">
        <v>0</v>
      </c>
      <c r="BH115" s="83" t="str">
        <f>HYPERLINK("https://pbs.twimg.com/profile_banners/159996512/1586972171")</f>
        <v>https://pbs.twimg.com/profile_banners/159996512/1586972171</v>
      </c>
      <c r="BI115" s="76"/>
      <c r="BJ115" s="76" t="s">
        <v>19633</v>
      </c>
      <c r="BK115" s="76" t="b">
        <v>0</v>
      </c>
      <c r="BL115" s="76"/>
      <c r="BM115" s="76" t="s">
        <v>66</v>
      </c>
      <c r="BN115" s="76" t="s">
        <v>19635</v>
      </c>
      <c r="BO115" s="83" t="str">
        <f>HYPERLINK("https://twitter.com/antenado_gip")</f>
        <v>https://twitter.com/antenado_gip</v>
      </c>
      <c r="BP115" s="2"/>
    </row>
    <row r="116" spans="1:68" x14ac:dyDescent="0.25">
      <c r="A116" s="62" t="s">
        <v>320</v>
      </c>
      <c r="B116" s="63"/>
      <c r="C116" s="63"/>
      <c r="D116" s="64"/>
      <c r="E116" s="66"/>
      <c r="F116" s="103" t="str">
        <f>HYPERLINK("https://pbs.twimg.com/profile_images/1629808776780951552/Fl1SNRlh_normal.jpg")</f>
        <v>https://pbs.twimg.com/profile_images/1629808776780951552/Fl1SNRlh_normal.jpg</v>
      </c>
      <c r="G116" s="63"/>
      <c r="H116" s="67"/>
      <c r="I116" s="68"/>
      <c r="J116" s="68"/>
      <c r="K116" s="67" t="s">
        <v>19748</v>
      </c>
      <c r="L116" s="71"/>
      <c r="M116" s="72"/>
      <c r="N116" s="72"/>
      <c r="O116" s="73"/>
      <c r="P116" s="74"/>
      <c r="Q116" s="74"/>
      <c r="R116" s="87"/>
      <c r="S116" s="87"/>
      <c r="T116" s="87"/>
      <c r="U116" s="87"/>
      <c r="V116" s="48"/>
      <c r="W116" s="48"/>
      <c r="X116" s="47">
        <v>1.101E-3</v>
      </c>
      <c r="Y116" s="48"/>
      <c r="Z116" s="47"/>
      <c r="AA116" s="69">
        <v>116</v>
      </c>
      <c r="AB116" s="69"/>
      <c r="AC116" s="70"/>
      <c r="AD116" s="76" t="s">
        <v>16755</v>
      </c>
      <c r="AE116" s="81" t="s">
        <v>17576</v>
      </c>
      <c r="AF116" s="76">
        <v>61</v>
      </c>
      <c r="AG116" s="76">
        <v>229</v>
      </c>
      <c r="AH116" s="76">
        <v>1112</v>
      </c>
      <c r="AI116" s="76">
        <v>2</v>
      </c>
      <c r="AJ116" s="76">
        <v>432</v>
      </c>
      <c r="AK116" s="76">
        <v>145</v>
      </c>
      <c r="AL116" s="76" t="b">
        <v>0</v>
      </c>
      <c r="AM116" s="78">
        <v>39853.002118055556</v>
      </c>
      <c r="AN116" s="76" t="s">
        <v>17901</v>
      </c>
      <c r="AO116" s="76" t="s">
        <v>18253</v>
      </c>
      <c r="AP116" s="83" t="str">
        <f>HYPERLINK("https://t.co/pQmmNErjaj")</f>
        <v>https://t.co/pQmmNErjaj</v>
      </c>
      <c r="AQ116" s="83" t="str">
        <f>HYPERLINK("http://www.rikei.com.br")</f>
        <v>http://www.rikei.com.br</v>
      </c>
      <c r="AR116" s="76" t="s">
        <v>19057</v>
      </c>
      <c r="AS116" s="76"/>
      <c r="AT116" s="76"/>
      <c r="AU116" s="76"/>
      <c r="AV116" s="76"/>
      <c r="AW116" s="83" t="str">
        <f>HYPERLINK("https://t.co/pQmmNErjaj")</f>
        <v>https://t.co/pQmmNErjaj</v>
      </c>
      <c r="AX116" s="76" t="b">
        <v>0</v>
      </c>
      <c r="AY116" s="76"/>
      <c r="AZ116" s="76"/>
      <c r="BA116" s="76" t="b">
        <v>0</v>
      </c>
      <c r="BB116" s="76" t="b">
        <v>1</v>
      </c>
      <c r="BC116" s="76" t="b">
        <v>0</v>
      </c>
      <c r="BD116" s="76" t="b">
        <v>0</v>
      </c>
      <c r="BE116" s="76" t="b">
        <v>0</v>
      </c>
      <c r="BF116" s="76" t="b">
        <v>0</v>
      </c>
      <c r="BG116" s="76" t="b">
        <v>0</v>
      </c>
      <c r="BH116" s="83" t="str">
        <f>HYPERLINK("https://pbs.twimg.com/profile_banners/20402910/1655412454")</f>
        <v>https://pbs.twimg.com/profile_banners/20402910/1655412454</v>
      </c>
      <c r="BI116" s="76"/>
      <c r="BJ116" s="76" t="s">
        <v>19633</v>
      </c>
      <c r="BK116" s="76" t="b">
        <v>0</v>
      </c>
      <c r="BL116" s="76"/>
      <c r="BM116" s="76" t="s">
        <v>66</v>
      </c>
      <c r="BN116" s="76" t="s">
        <v>19635</v>
      </c>
      <c r="BO116" s="83" t="str">
        <f>HYPERLINK("https://twitter.com/greboucas")</f>
        <v>https://twitter.com/greboucas</v>
      </c>
      <c r="BP116" s="2"/>
    </row>
    <row r="117" spans="1:68" x14ac:dyDescent="0.25">
      <c r="A117" s="62" t="s">
        <v>321</v>
      </c>
      <c r="B117" s="63"/>
      <c r="C117" s="63"/>
      <c r="D117" s="64"/>
      <c r="E117" s="66"/>
      <c r="F117" s="103" t="str">
        <f>HYPERLINK("https://pbs.twimg.com/profile_images/1621519372962639872/-AUYl2x6_normal.jpg")</f>
        <v>https://pbs.twimg.com/profile_images/1621519372962639872/-AUYl2x6_normal.jpg</v>
      </c>
      <c r="G117" s="63"/>
      <c r="H117" s="67"/>
      <c r="I117" s="68"/>
      <c r="J117" s="68"/>
      <c r="K117" s="67" t="s">
        <v>19749</v>
      </c>
      <c r="L117" s="71"/>
      <c r="M117" s="72"/>
      <c r="N117" s="72"/>
      <c r="O117" s="73"/>
      <c r="P117" s="74"/>
      <c r="Q117" s="74"/>
      <c r="R117" s="87"/>
      <c r="S117" s="87"/>
      <c r="T117" s="87"/>
      <c r="U117" s="87"/>
      <c r="V117" s="48"/>
      <c r="W117" s="48"/>
      <c r="X117" s="47">
        <v>1.101E-3</v>
      </c>
      <c r="Y117" s="48"/>
      <c r="Z117" s="47"/>
      <c r="AA117" s="69">
        <v>117</v>
      </c>
      <c r="AB117" s="69"/>
      <c r="AC117" s="70"/>
      <c r="AD117" s="76" t="s">
        <v>16756</v>
      </c>
      <c r="AE117" s="81" t="s">
        <v>17577</v>
      </c>
      <c r="AF117" s="76">
        <v>14</v>
      </c>
      <c r="AG117" s="76">
        <v>0</v>
      </c>
      <c r="AH117" s="76">
        <v>108</v>
      </c>
      <c r="AI117" s="76">
        <v>0</v>
      </c>
      <c r="AJ117" s="76">
        <v>4</v>
      </c>
      <c r="AK117" s="76">
        <v>106</v>
      </c>
      <c r="AL117" s="76" t="b">
        <v>0</v>
      </c>
      <c r="AM117" s="78">
        <v>40893.710543981484</v>
      </c>
      <c r="AN117" s="76"/>
      <c r="AO117" s="76" t="s">
        <v>18254</v>
      </c>
      <c r="AP117" s="83" t="str">
        <f>HYPERLINK("https://t.co/TAyTDwApwN")</f>
        <v>https://t.co/TAyTDwApwN</v>
      </c>
      <c r="AQ117" s="83" t="str">
        <f>HYPERLINK("https://wagnergeremia.com")</f>
        <v>https://wagnergeremia.com</v>
      </c>
      <c r="AR117" s="76" t="s">
        <v>6017</v>
      </c>
      <c r="AS117" s="83" t="str">
        <f>HYPERLINK("https://t.co/baTRTtnSFN")</f>
        <v>https://t.co/baTRTtnSFN</v>
      </c>
      <c r="AT117" s="83" t="str">
        <f>HYPERLINK("http://wagnergeremia.com")</f>
        <v>http://wagnergeremia.com</v>
      </c>
      <c r="AU117" s="76" t="s">
        <v>6017</v>
      </c>
      <c r="AV117" s="76"/>
      <c r="AW117" s="83" t="str">
        <f>HYPERLINK("https://t.co/TAyTDwApwN")</f>
        <v>https://t.co/TAyTDwApwN</v>
      </c>
      <c r="AX117" s="76" t="b">
        <v>0</v>
      </c>
      <c r="AY117" s="76"/>
      <c r="AZ117" s="76"/>
      <c r="BA117" s="76" t="b">
        <v>0</v>
      </c>
      <c r="BB117" s="76" t="b">
        <v>1</v>
      </c>
      <c r="BC117" s="76" t="b">
        <v>1</v>
      </c>
      <c r="BD117" s="76" t="b">
        <v>0</v>
      </c>
      <c r="BE117" s="76" t="b">
        <v>0</v>
      </c>
      <c r="BF117" s="76" t="b">
        <v>0</v>
      </c>
      <c r="BG117" s="76" t="b">
        <v>0</v>
      </c>
      <c r="BH117" s="83" t="str">
        <f>HYPERLINK("https://pbs.twimg.com/profile_banners/438488077/1675435381")</f>
        <v>https://pbs.twimg.com/profile_banners/438488077/1675435381</v>
      </c>
      <c r="BI117" s="76"/>
      <c r="BJ117" s="76" t="s">
        <v>19633</v>
      </c>
      <c r="BK117" s="76" t="b">
        <v>0</v>
      </c>
      <c r="BL117" s="76"/>
      <c r="BM117" s="76" t="s">
        <v>66</v>
      </c>
      <c r="BN117" s="76" t="s">
        <v>19635</v>
      </c>
      <c r="BO117" s="83" t="str">
        <f>HYPERLINK("https://twitter.com/wagnergeremia")</f>
        <v>https://twitter.com/wagnergeremia</v>
      </c>
      <c r="BP117" s="2"/>
    </row>
    <row r="118" spans="1:68" x14ac:dyDescent="0.25">
      <c r="A118" s="62" t="s">
        <v>322</v>
      </c>
      <c r="B118" s="63"/>
      <c r="C118" s="63"/>
      <c r="D118" s="64"/>
      <c r="E118" s="66"/>
      <c r="F118" s="103" t="str">
        <f>HYPERLINK("https://pbs.twimg.com/profile_images/1653841607945334786/FLrjXjIv_normal.jpg")</f>
        <v>https://pbs.twimg.com/profile_images/1653841607945334786/FLrjXjIv_normal.jpg</v>
      </c>
      <c r="G118" s="63"/>
      <c r="H118" s="67"/>
      <c r="I118" s="68"/>
      <c r="J118" s="68"/>
      <c r="K118" s="67" t="s">
        <v>19750</v>
      </c>
      <c r="L118" s="71"/>
      <c r="M118" s="72"/>
      <c r="N118" s="72"/>
      <c r="O118" s="73"/>
      <c r="P118" s="74"/>
      <c r="Q118" s="74"/>
      <c r="R118" s="87"/>
      <c r="S118" s="87"/>
      <c r="T118" s="87"/>
      <c r="U118" s="87"/>
      <c r="V118" s="48"/>
      <c r="W118" s="48"/>
      <c r="X118" s="47">
        <v>1.101E-3</v>
      </c>
      <c r="Y118" s="48"/>
      <c r="Z118" s="47"/>
      <c r="AA118" s="69">
        <v>118</v>
      </c>
      <c r="AB118" s="69"/>
      <c r="AC118" s="70"/>
      <c r="AD118" s="76" t="s">
        <v>16757</v>
      </c>
      <c r="AE118" s="81" t="s">
        <v>17578</v>
      </c>
      <c r="AF118" s="76">
        <v>79</v>
      </c>
      <c r="AG118" s="76">
        <v>279</v>
      </c>
      <c r="AH118" s="76">
        <v>453</v>
      </c>
      <c r="AI118" s="76">
        <v>0</v>
      </c>
      <c r="AJ118" s="76">
        <v>2091</v>
      </c>
      <c r="AK118" s="76">
        <v>39</v>
      </c>
      <c r="AL118" s="76" t="b">
        <v>0</v>
      </c>
      <c r="AM118" s="78">
        <v>40751.736296296294</v>
      </c>
      <c r="AN118" s="76" t="s">
        <v>17902</v>
      </c>
      <c r="AO118" s="76" t="s">
        <v>18255</v>
      </c>
      <c r="AP118" s="76"/>
      <c r="AQ118" s="76"/>
      <c r="AR118" s="76"/>
      <c r="AS118" s="76"/>
      <c r="AT118" s="76"/>
      <c r="AU118" s="76"/>
      <c r="AV118" s="76"/>
      <c r="AW118" s="76"/>
      <c r="AX118" s="76" t="b">
        <v>0</v>
      </c>
      <c r="AY118" s="76"/>
      <c r="AZ118" s="76"/>
      <c r="BA118" s="76" t="b">
        <v>0</v>
      </c>
      <c r="BB118" s="76" t="b">
        <v>1</v>
      </c>
      <c r="BC118" s="76" t="b">
        <v>1</v>
      </c>
      <c r="BD118" s="76" t="b">
        <v>0</v>
      </c>
      <c r="BE118" s="76" t="b">
        <v>1</v>
      </c>
      <c r="BF118" s="76" t="b">
        <v>0</v>
      </c>
      <c r="BG118" s="76" t="b">
        <v>0</v>
      </c>
      <c r="BH118" s="83" t="str">
        <f>HYPERLINK("https://pbs.twimg.com/profile_banners/343506818/1683141193")</f>
        <v>https://pbs.twimg.com/profile_banners/343506818/1683141193</v>
      </c>
      <c r="BI118" s="76"/>
      <c r="BJ118" s="76" t="s">
        <v>19633</v>
      </c>
      <c r="BK118" s="76" t="b">
        <v>0</v>
      </c>
      <c r="BL118" s="76"/>
      <c r="BM118" s="76" t="s">
        <v>66</v>
      </c>
      <c r="BN118" s="76" t="s">
        <v>19635</v>
      </c>
      <c r="BO118" s="83" t="str">
        <f>HYPERLINK("https://twitter.com/cayocesar89")</f>
        <v>https://twitter.com/cayocesar89</v>
      </c>
      <c r="BP118" s="2"/>
    </row>
    <row r="119" spans="1:68" x14ac:dyDescent="0.25">
      <c r="A119" s="62" t="s">
        <v>323</v>
      </c>
      <c r="B119" s="63"/>
      <c r="C119" s="63"/>
      <c r="D119" s="64"/>
      <c r="E119" s="66"/>
      <c r="F119" s="103" t="str">
        <f>HYPERLINK("https://pbs.twimg.com/profile_images/1609890382300471297/1HGHH84K_normal.png")</f>
        <v>https://pbs.twimg.com/profile_images/1609890382300471297/1HGHH84K_normal.png</v>
      </c>
      <c r="G119" s="63"/>
      <c r="H119" s="67"/>
      <c r="I119" s="68"/>
      <c r="J119" s="68"/>
      <c r="K119" s="67" t="s">
        <v>19751</v>
      </c>
      <c r="L119" s="71"/>
      <c r="M119" s="72"/>
      <c r="N119" s="72"/>
      <c r="O119" s="73"/>
      <c r="P119" s="74"/>
      <c r="Q119" s="74"/>
      <c r="R119" s="87"/>
      <c r="S119" s="87"/>
      <c r="T119" s="87"/>
      <c r="U119" s="87"/>
      <c r="V119" s="48"/>
      <c r="W119" s="48"/>
      <c r="X119" s="47">
        <v>1.101E-3</v>
      </c>
      <c r="Y119" s="48"/>
      <c r="Z119" s="47"/>
      <c r="AA119" s="69">
        <v>119</v>
      </c>
      <c r="AB119" s="69"/>
      <c r="AC119" s="70"/>
      <c r="AD119" s="76" t="s">
        <v>16758</v>
      </c>
      <c r="AE119" s="81" t="s">
        <v>17579</v>
      </c>
      <c r="AF119" s="76">
        <v>149</v>
      </c>
      <c r="AG119" s="76">
        <v>137</v>
      </c>
      <c r="AH119" s="76">
        <v>2288</v>
      </c>
      <c r="AI119" s="76">
        <v>1</v>
      </c>
      <c r="AJ119" s="76">
        <v>6</v>
      </c>
      <c r="AK119" s="76">
        <v>309</v>
      </c>
      <c r="AL119" s="76" t="b">
        <v>0</v>
      </c>
      <c r="AM119" s="78">
        <v>40993.628981481481</v>
      </c>
      <c r="AN119" s="76" t="s">
        <v>10569</v>
      </c>
      <c r="AO119" s="76" t="s">
        <v>18256</v>
      </c>
      <c r="AP119" s="83" t="str">
        <f>HYPERLINK("https://t.co/BdoUz1mriB")</f>
        <v>https://t.co/BdoUz1mriB</v>
      </c>
      <c r="AQ119" s="83" t="str">
        <f>HYPERLINK("https://www.instagram.com/pulsofinanceiro/")</f>
        <v>https://www.instagram.com/pulsofinanceiro/</v>
      </c>
      <c r="AR119" s="76" t="s">
        <v>19058</v>
      </c>
      <c r="AS119" s="76"/>
      <c r="AT119" s="76"/>
      <c r="AU119" s="76"/>
      <c r="AV119" s="76"/>
      <c r="AW119" s="83" t="str">
        <f>HYPERLINK("https://t.co/BdoUz1mriB")</f>
        <v>https://t.co/BdoUz1mriB</v>
      </c>
      <c r="AX119" s="76" t="b">
        <v>0</v>
      </c>
      <c r="AY119" s="76"/>
      <c r="AZ119" s="76"/>
      <c r="BA119" s="76" t="b">
        <v>1</v>
      </c>
      <c r="BB119" s="76" t="b">
        <v>1</v>
      </c>
      <c r="BC119" s="76" t="b">
        <v>0</v>
      </c>
      <c r="BD119" s="76" t="b">
        <v>0</v>
      </c>
      <c r="BE119" s="76" t="b">
        <v>0</v>
      </c>
      <c r="BF119" s="76" t="b">
        <v>0</v>
      </c>
      <c r="BG119" s="76" t="b">
        <v>0</v>
      </c>
      <c r="BH119" s="83" t="str">
        <f>HYPERLINK("https://pbs.twimg.com/profile_banners/536380588/1451739933")</f>
        <v>https://pbs.twimg.com/profile_banners/536380588/1451739933</v>
      </c>
      <c r="BI119" s="76"/>
      <c r="BJ119" s="76" t="s">
        <v>19633</v>
      </c>
      <c r="BK119" s="76" t="b">
        <v>0</v>
      </c>
      <c r="BL119" s="76"/>
      <c r="BM119" s="76" t="s">
        <v>66</v>
      </c>
      <c r="BN119" s="76" t="s">
        <v>19635</v>
      </c>
      <c r="BO119" s="83" t="str">
        <f>HYPERLINK("https://twitter.com/irineubere")</f>
        <v>https://twitter.com/irineubere</v>
      </c>
      <c r="BP119" s="2"/>
    </row>
    <row r="120" spans="1:68" x14ac:dyDescent="0.25">
      <c r="A120" s="62" t="s">
        <v>324</v>
      </c>
      <c r="B120" s="63"/>
      <c r="C120" s="63"/>
      <c r="D120" s="64"/>
      <c r="E120" s="66"/>
      <c r="F120" s="103" t="str">
        <f>HYPERLINK("https://pbs.twimg.com/profile_images/1464048965255639040/OKnJYwhP_normal.jpg")</f>
        <v>https://pbs.twimg.com/profile_images/1464048965255639040/OKnJYwhP_normal.jpg</v>
      </c>
      <c r="G120" s="63"/>
      <c r="H120" s="67"/>
      <c r="I120" s="68"/>
      <c r="J120" s="68"/>
      <c r="K120" s="67" t="s">
        <v>19752</v>
      </c>
      <c r="L120" s="71"/>
      <c r="M120" s="72"/>
      <c r="N120" s="72"/>
      <c r="O120" s="73"/>
      <c r="P120" s="74"/>
      <c r="Q120" s="74"/>
      <c r="R120" s="87"/>
      <c r="S120" s="87"/>
      <c r="T120" s="87"/>
      <c r="U120" s="87"/>
      <c r="V120" s="48"/>
      <c r="W120" s="48"/>
      <c r="X120" s="47">
        <v>1.101E-3</v>
      </c>
      <c r="Y120" s="48"/>
      <c r="Z120" s="47"/>
      <c r="AA120" s="69">
        <v>120</v>
      </c>
      <c r="AB120" s="69"/>
      <c r="AC120" s="70"/>
      <c r="AD120" s="76" t="s">
        <v>16759</v>
      </c>
      <c r="AE120" s="81" t="s">
        <v>17580</v>
      </c>
      <c r="AF120" s="76">
        <v>39</v>
      </c>
      <c r="AG120" s="76">
        <v>110</v>
      </c>
      <c r="AH120" s="76">
        <v>988</v>
      </c>
      <c r="AI120" s="76">
        <v>0</v>
      </c>
      <c r="AJ120" s="76">
        <v>1211</v>
      </c>
      <c r="AK120" s="76">
        <v>104</v>
      </c>
      <c r="AL120" s="76" t="b">
        <v>0</v>
      </c>
      <c r="AM120" s="78">
        <v>41469.659375000003</v>
      </c>
      <c r="AN120" s="76"/>
      <c r="AO120" s="76" t="s">
        <v>18257</v>
      </c>
      <c r="AP120" s="76"/>
      <c r="AQ120" s="76"/>
      <c r="AR120" s="76"/>
      <c r="AS120" s="76"/>
      <c r="AT120" s="76"/>
      <c r="AU120" s="76"/>
      <c r="AV120" s="76"/>
      <c r="AW120" s="76"/>
      <c r="AX120" s="76" t="b">
        <v>0</v>
      </c>
      <c r="AY120" s="76"/>
      <c r="AZ120" s="76"/>
      <c r="BA120" s="76" t="b">
        <v>0</v>
      </c>
      <c r="BB120" s="76" t="b">
        <v>0</v>
      </c>
      <c r="BC120" s="76" t="b">
        <v>1</v>
      </c>
      <c r="BD120" s="76" t="b">
        <v>0</v>
      </c>
      <c r="BE120" s="76" t="b">
        <v>0</v>
      </c>
      <c r="BF120" s="76" t="b">
        <v>0</v>
      </c>
      <c r="BG120" s="76" t="b">
        <v>0</v>
      </c>
      <c r="BH120" s="76"/>
      <c r="BI120" s="76"/>
      <c r="BJ120" s="76" t="s">
        <v>19633</v>
      </c>
      <c r="BK120" s="76" t="b">
        <v>0</v>
      </c>
      <c r="BL120" s="76"/>
      <c r="BM120" s="76" t="s">
        <v>66</v>
      </c>
      <c r="BN120" s="76" t="s">
        <v>19635</v>
      </c>
      <c r="BO120" s="83" t="str">
        <f>HYPERLINK("https://twitter.com/villasboasvi")</f>
        <v>https://twitter.com/villasboasvi</v>
      </c>
      <c r="BP120" s="2"/>
    </row>
    <row r="121" spans="1:68" x14ac:dyDescent="0.25">
      <c r="A121" s="62" t="s">
        <v>325</v>
      </c>
      <c r="B121" s="63"/>
      <c r="C121" s="63"/>
      <c r="D121" s="64"/>
      <c r="E121" s="66"/>
      <c r="F121" s="103" t="str">
        <f>HYPERLINK("https://pbs.twimg.com/profile_images/1656391926927564805/swvPFJ8C_normal.jpg")</f>
        <v>https://pbs.twimg.com/profile_images/1656391926927564805/swvPFJ8C_normal.jpg</v>
      </c>
      <c r="G121" s="63"/>
      <c r="H121" s="67"/>
      <c r="I121" s="68"/>
      <c r="J121" s="68"/>
      <c r="K121" s="67" t="s">
        <v>19753</v>
      </c>
      <c r="L121" s="71"/>
      <c r="M121" s="72"/>
      <c r="N121" s="72"/>
      <c r="O121" s="73"/>
      <c r="P121" s="74"/>
      <c r="Q121" s="74"/>
      <c r="R121" s="87"/>
      <c r="S121" s="87"/>
      <c r="T121" s="87"/>
      <c r="U121" s="87"/>
      <c r="V121" s="48"/>
      <c r="W121" s="48"/>
      <c r="X121" s="47">
        <v>1.101E-3</v>
      </c>
      <c r="Y121" s="48"/>
      <c r="Z121" s="47"/>
      <c r="AA121" s="69">
        <v>121</v>
      </c>
      <c r="AB121" s="69"/>
      <c r="AC121" s="70"/>
      <c r="AD121" s="76" t="s">
        <v>16760</v>
      </c>
      <c r="AE121" s="81" t="s">
        <v>16191</v>
      </c>
      <c r="AF121" s="76">
        <v>5</v>
      </c>
      <c r="AG121" s="76">
        <v>28</v>
      </c>
      <c r="AH121" s="76">
        <v>405</v>
      </c>
      <c r="AI121" s="76">
        <v>1</v>
      </c>
      <c r="AJ121" s="76">
        <v>22</v>
      </c>
      <c r="AK121" s="76">
        <v>48</v>
      </c>
      <c r="AL121" s="76" t="b">
        <v>0</v>
      </c>
      <c r="AM121" s="78">
        <v>44566.925879629627</v>
      </c>
      <c r="AN121" s="76"/>
      <c r="AO121" s="76" t="s">
        <v>18258</v>
      </c>
      <c r="AP121" s="76"/>
      <c r="AQ121" s="76"/>
      <c r="AR121" s="76"/>
      <c r="AS121" s="76"/>
      <c r="AT121" s="76"/>
      <c r="AU121" s="76"/>
      <c r="AV121" s="76">
        <v>1.66513632100479E+18</v>
      </c>
      <c r="AW121" s="76"/>
      <c r="AX121" s="76" t="b">
        <v>0</v>
      </c>
      <c r="AY121" s="76"/>
      <c r="AZ121" s="76"/>
      <c r="BA121" s="76" t="b">
        <v>0</v>
      </c>
      <c r="BB121" s="76" t="b">
        <v>1</v>
      </c>
      <c r="BC121" s="76" t="b">
        <v>1</v>
      </c>
      <c r="BD121" s="76" t="b">
        <v>0</v>
      </c>
      <c r="BE121" s="76" t="b">
        <v>0</v>
      </c>
      <c r="BF121" s="76" t="b">
        <v>0</v>
      </c>
      <c r="BG121" s="76" t="b">
        <v>0</v>
      </c>
      <c r="BH121" s="83" t="str">
        <f>HYPERLINK("https://pbs.twimg.com/profile_banners/1478852050012286980/1694173289")</f>
        <v>https://pbs.twimg.com/profile_banners/1478852050012286980/1694173289</v>
      </c>
      <c r="BI121" s="76"/>
      <c r="BJ121" s="76" t="s">
        <v>19633</v>
      </c>
      <c r="BK121" s="76" t="b">
        <v>0</v>
      </c>
      <c r="BL121" s="76"/>
      <c r="BM121" s="76" t="s">
        <v>66</v>
      </c>
      <c r="BN121" s="76" t="s">
        <v>19635</v>
      </c>
      <c r="BO121" s="83" t="str">
        <f>HYPERLINK("https://twitter.com/eu_resma")</f>
        <v>https://twitter.com/eu_resma</v>
      </c>
      <c r="BP121" s="2"/>
    </row>
    <row r="122" spans="1:68" x14ac:dyDescent="0.25">
      <c r="A122" s="62" t="s">
        <v>326</v>
      </c>
      <c r="B122" s="63"/>
      <c r="C122" s="63"/>
      <c r="D122" s="64"/>
      <c r="E122" s="66"/>
      <c r="F122" s="103" t="str">
        <f>HYPERLINK("https://pbs.twimg.com/profile_images/1603545636309241856/yvqEuSnz_normal.jpg")</f>
        <v>https://pbs.twimg.com/profile_images/1603545636309241856/yvqEuSnz_normal.jpg</v>
      </c>
      <c r="G122" s="63"/>
      <c r="H122" s="67"/>
      <c r="I122" s="68"/>
      <c r="J122" s="68"/>
      <c r="K122" s="67" t="s">
        <v>19754</v>
      </c>
      <c r="L122" s="71"/>
      <c r="M122" s="72"/>
      <c r="N122" s="72"/>
      <c r="O122" s="73"/>
      <c r="P122" s="74"/>
      <c r="Q122" s="74"/>
      <c r="R122" s="87"/>
      <c r="S122" s="87"/>
      <c r="T122" s="87"/>
      <c r="U122" s="87"/>
      <c r="V122" s="48"/>
      <c r="W122" s="48"/>
      <c r="X122" s="47">
        <v>1.101E-3</v>
      </c>
      <c r="Y122" s="48"/>
      <c r="Z122" s="47"/>
      <c r="AA122" s="69">
        <v>122</v>
      </c>
      <c r="AB122" s="69"/>
      <c r="AC122" s="70"/>
      <c r="AD122" s="76" t="s">
        <v>16761</v>
      </c>
      <c r="AE122" s="81" t="s">
        <v>17581</v>
      </c>
      <c r="AF122" s="76">
        <v>122409</v>
      </c>
      <c r="AG122" s="76">
        <v>2603</v>
      </c>
      <c r="AH122" s="76">
        <v>353665</v>
      </c>
      <c r="AI122" s="76">
        <v>898</v>
      </c>
      <c r="AJ122" s="76">
        <v>622</v>
      </c>
      <c r="AK122" s="76">
        <v>44168</v>
      </c>
      <c r="AL122" s="76" t="b">
        <v>0</v>
      </c>
      <c r="AM122" s="78">
        <v>39543.722395833334</v>
      </c>
      <c r="AN122" s="76"/>
      <c r="AO122" s="76" t="s">
        <v>18259</v>
      </c>
      <c r="AP122" s="76"/>
      <c r="AQ122" s="76"/>
      <c r="AR122" s="76"/>
      <c r="AS122" s="76"/>
      <c r="AT122" s="76"/>
      <c r="AU122" s="76"/>
      <c r="AV122" s="76"/>
      <c r="AW122" s="76"/>
      <c r="AX122" s="76" t="b">
        <v>1</v>
      </c>
      <c r="AY122" s="76"/>
      <c r="AZ122" s="76"/>
      <c r="BA122" s="76" t="b">
        <v>1</v>
      </c>
      <c r="BB122" s="76" t="b">
        <v>1</v>
      </c>
      <c r="BC122" s="76" t="b">
        <v>0</v>
      </c>
      <c r="BD122" s="76" t="b">
        <v>0</v>
      </c>
      <c r="BE122" s="76" t="b">
        <v>1</v>
      </c>
      <c r="BF122" s="76" t="b">
        <v>0</v>
      </c>
      <c r="BG122" s="76" t="b">
        <v>0</v>
      </c>
      <c r="BH122" s="83" t="str">
        <f>HYPERLINK("https://pbs.twimg.com/profile_banners/14311308/1685111519")</f>
        <v>https://pbs.twimg.com/profile_banners/14311308/1685111519</v>
      </c>
      <c r="BI122" s="76"/>
      <c r="BJ122" s="76" t="s">
        <v>19633</v>
      </c>
      <c r="BK122" s="76" t="b">
        <v>0</v>
      </c>
      <c r="BL122" s="76"/>
      <c r="BM122" s="76" t="s">
        <v>66</v>
      </c>
      <c r="BN122" s="76" t="s">
        <v>19635</v>
      </c>
      <c r="BO122" s="83" t="str">
        <f>HYPERLINK("https://twitter.com/ig")</f>
        <v>https://twitter.com/ig</v>
      </c>
      <c r="BP122" s="2"/>
    </row>
    <row r="123" spans="1:68" x14ac:dyDescent="0.25">
      <c r="A123" s="62" t="s">
        <v>327</v>
      </c>
      <c r="B123" s="63"/>
      <c r="C123" s="63"/>
      <c r="D123" s="64"/>
      <c r="E123" s="66"/>
      <c r="F123" s="103" t="str">
        <f>HYPERLINK("https://pbs.twimg.com/profile_images/1526166093504688128/mDf-RilF_normal.jpg")</f>
        <v>https://pbs.twimg.com/profile_images/1526166093504688128/mDf-RilF_normal.jpg</v>
      </c>
      <c r="G123" s="63"/>
      <c r="H123" s="67"/>
      <c r="I123" s="68"/>
      <c r="J123" s="68"/>
      <c r="K123" s="67" t="s">
        <v>19755</v>
      </c>
      <c r="L123" s="71"/>
      <c r="M123" s="72"/>
      <c r="N123" s="72"/>
      <c r="O123" s="73"/>
      <c r="P123" s="74"/>
      <c r="Q123" s="74"/>
      <c r="R123" s="87"/>
      <c r="S123" s="87"/>
      <c r="T123" s="87"/>
      <c r="U123" s="87"/>
      <c r="V123" s="48"/>
      <c r="W123" s="48"/>
      <c r="X123" s="47">
        <v>1.101E-3</v>
      </c>
      <c r="Y123" s="48"/>
      <c r="Z123" s="47"/>
      <c r="AA123" s="69">
        <v>123</v>
      </c>
      <c r="AB123" s="69"/>
      <c r="AC123" s="70"/>
      <c r="AD123" s="76" t="s">
        <v>16762</v>
      </c>
      <c r="AE123" s="81" t="s">
        <v>15690</v>
      </c>
      <c r="AF123" s="76">
        <v>47</v>
      </c>
      <c r="AG123" s="76">
        <v>46</v>
      </c>
      <c r="AH123" s="76">
        <v>523</v>
      </c>
      <c r="AI123" s="76">
        <v>0</v>
      </c>
      <c r="AJ123" s="76">
        <v>693</v>
      </c>
      <c r="AK123" s="76">
        <v>80</v>
      </c>
      <c r="AL123" s="76" t="b">
        <v>0</v>
      </c>
      <c r="AM123" s="78">
        <v>41712.718402777777</v>
      </c>
      <c r="AN123" s="76" t="s">
        <v>10570</v>
      </c>
      <c r="AO123" s="76" t="s">
        <v>18260</v>
      </c>
      <c r="AP123" s="83" t="str">
        <f>HYPERLINK("https://t.co/gcBm3ak4Ea")</f>
        <v>https://t.co/gcBm3ak4Ea</v>
      </c>
      <c r="AQ123" s="83" t="str">
        <f>HYPERLINK("http://auxiliocredito.com")</f>
        <v>http://auxiliocredito.com</v>
      </c>
      <c r="AR123" s="76" t="s">
        <v>19059</v>
      </c>
      <c r="AS123" s="76"/>
      <c r="AT123" s="76"/>
      <c r="AU123" s="76"/>
      <c r="AV123" s="76"/>
      <c r="AW123" s="83" t="str">
        <f>HYPERLINK("https://t.co/gcBm3ak4Ea")</f>
        <v>https://t.co/gcBm3ak4Ea</v>
      </c>
      <c r="AX123" s="76" t="b">
        <v>0</v>
      </c>
      <c r="AY123" s="76"/>
      <c r="AZ123" s="76"/>
      <c r="BA123" s="76" t="b">
        <v>0</v>
      </c>
      <c r="BB123" s="76" t="b">
        <v>1</v>
      </c>
      <c r="BC123" s="76" t="b">
        <v>1</v>
      </c>
      <c r="BD123" s="76" t="b">
        <v>0</v>
      </c>
      <c r="BE123" s="76" t="b">
        <v>0</v>
      </c>
      <c r="BF123" s="76" t="b">
        <v>0</v>
      </c>
      <c r="BG123" s="76" t="b">
        <v>0</v>
      </c>
      <c r="BH123" s="76"/>
      <c r="BI123" s="76"/>
      <c r="BJ123" s="76" t="s">
        <v>19633</v>
      </c>
      <c r="BK123" s="76" t="b">
        <v>0</v>
      </c>
      <c r="BL123" s="76"/>
      <c r="BM123" s="76" t="s">
        <v>66</v>
      </c>
      <c r="BN123" s="76" t="s">
        <v>19635</v>
      </c>
      <c r="BO123" s="83" t="str">
        <f>HYPERLINK("https://twitter.com/brennerdelfino")</f>
        <v>https://twitter.com/brennerdelfino</v>
      </c>
      <c r="BP123" s="2"/>
    </row>
    <row r="124" spans="1:68" x14ac:dyDescent="0.25">
      <c r="A124" s="62" t="s">
        <v>328</v>
      </c>
      <c r="B124" s="63"/>
      <c r="C124" s="63"/>
      <c r="D124" s="64"/>
      <c r="E124" s="66"/>
      <c r="F124" s="103" t="str">
        <f>HYPERLINK("https://pbs.twimg.com/profile_images/1601296566748315648/2pHMOSfW_normal.jpg")</f>
        <v>https://pbs.twimg.com/profile_images/1601296566748315648/2pHMOSfW_normal.jpg</v>
      </c>
      <c r="G124" s="63"/>
      <c r="H124" s="67"/>
      <c r="I124" s="68"/>
      <c r="J124" s="68"/>
      <c r="K124" s="67" t="s">
        <v>19756</v>
      </c>
      <c r="L124" s="71"/>
      <c r="M124" s="72"/>
      <c r="N124" s="72"/>
      <c r="O124" s="73"/>
      <c r="P124" s="74"/>
      <c r="Q124" s="74"/>
      <c r="R124" s="87"/>
      <c r="S124" s="87"/>
      <c r="T124" s="87"/>
      <c r="U124" s="87"/>
      <c r="V124" s="48"/>
      <c r="W124" s="48"/>
      <c r="X124" s="47">
        <v>1.101E-3</v>
      </c>
      <c r="Y124" s="48"/>
      <c r="Z124" s="47"/>
      <c r="AA124" s="69">
        <v>124</v>
      </c>
      <c r="AB124" s="69"/>
      <c r="AC124" s="70"/>
      <c r="AD124" s="76" t="s">
        <v>16763</v>
      </c>
      <c r="AE124" s="81" t="s">
        <v>15691</v>
      </c>
      <c r="AF124" s="76">
        <v>3</v>
      </c>
      <c r="AG124" s="76">
        <v>30</v>
      </c>
      <c r="AH124" s="76">
        <v>104</v>
      </c>
      <c r="AI124" s="76">
        <v>0</v>
      </c>
      <c r="AJ124" s="76">
        <v>111</v>
      </c>
      <c r="AK124" s="76">
        <v>12</v>
      </c>
      <c r="AL124" s="76" t="b">
        <v>0</v>
      </c>
      <c r="AM124" s="78">
        <v>44271.571018518516</v>
      </c>
      <c r="AN124" s="76"/>
      <c r="AO124" s="76" t="s">
        <v>18261</v>
      </c>
      <c r="AP124" s="83" t="str">
        <f>HYPERLINK("https://t.co/mpiC7mNf1W")</f>
        <v>https://t.co/mpiC7mNf1W</v>
      </c>
      <c r="AQ124" s="83" t="str">
        <f>HYPERLINK("https://instagram.com/jacoagirafa?igshid=z3qh8s0muuzi")</f>
        <v>https://instagram.com/jacoagirafa?igshid=z3qh8s0muuzi</v>
      </c>
      <c r="AR124" s="76" t="s">
        <v>19060</v>
      </c>
      <c r="AS124" s="76"/>
      <c r="AT124" s="76"/>
      <c r="AU124" s="76"/>
      <c r="AV124" s="76"/>
      <c r="AW124" s="83" t="str">
        <f>HYPERLINK("https://t.co/mpiC7mNf1W")</f>
        <v>https://t.co/mpiC7mNf1W</v>
      </c>
      <c r="AX124" s="76" t="b">
        <v>0</v>
      </c>
      <c r="AY124" s="76"/>
      <c r="AZ124" s="76"/>
      <c r="BA124" s="76" t="b">
        <v>1</v>
      </c>
      <c r="BB124" s="76" t="b">
        <v>1</v>
      </c>
      <c r="BC124" s="76" t="b">
        <v>1</v>
      </c>
      <c r="BD124" s="76" t="b">
        <v>0</v>
      </c>
      <c r="BE124" s="76" t="b">
        <v>1</v>
      </c>
      <c r="BF124" s="76" t="b">
        <v>0</v>
      </c>
      <c r="BG124" s="76" t="b">
        <v>0</v>
      </c>
      <c r="BH124" s="83" t="str">
        <f>HYPERLINK("https://pbs.twimg.com/profile_banners/1371819053791199238/1615986130")</f>
        <v>https://pbs.twimg.com/profile_banners/1371819053791199238/1615986130</v>
      </c>
      <c r="BI124" s="76"/>
      <c r="BJ124" s="76" t="s">
        <v>19633</v>
      </c>
      <c r="BK124" s="76" t="b">
        <v>0</v>
      </c>
      <c r="BL124" s="76"/>
      <c r="BM124" s="76" t="s">
        <v>66</v>
      </c>
      <c r="BN124" s="76" t="s">
        <v>19635</v>
      </c>
      <c r="BO124" s="83" t="str">
        <f>HYPERLINK("https://twitter.com/jacoagirafa")</f>
        <v>https://twitter.com/jacoagirafa</v>
      </c>
      <c r="BP124" s="2"/>
    </row>
    <row r="125" spans="1:68" x14ac:dyDescent="0.25">
      <c r="A125" s="62" t="s">
        <v>329</v>
      </c>
      <c r="B125" s="63"/>
      <c r="C125" s="63"/>
      <c r="D125" s="64"/>
      <c r="E125" s="66"/>
      <c r="F125" s="103" t="str">
        <f>HYPERLINK("https://pbs.twimg.com/profile_images/378800000463633572/8494361443a9361de1017d497c5ee1f2_normal.jpeg")</f>
        <v>https://pbs.twimg.com/profile_images/378800000463633572/8494361443a9361de1017d497c5ee1f2_normal.jpeg</v>
      </c>
      <c r="G125" s="63"/>
      <c r="H125" s="67"/>
      <c r="I125" s="68"/>
      <c r="J125" s="68"/>
      <c r="K125" s="67" t="s">
        <v>19757</v>
      </c>
      <c r="L125" s="71"/>
      <c r="M125" s="72"/>
      <c r="N125" s="72"/>
      <c r="O125" s="73"/>
      <c r="P125" s="74"/>
      <c r="Q125" s="74"/>
      <c r="R125" s="87"/>
      <c r="S125" s="87"/>
      <c r="T125" s="87"/>
      <c r="U125" s="87"/>
      <c r="V125" s="48"/>
      <c r="W125" s="48"/>
      <c r="X125" s="47">
        <v>1.0970000000000001E-3</v>
      </c>
      <c r="Y125" s="48"/>
      <c r="Z125" s="47"/>
      <c r="AA125" s="69">
        <v>125</v>
      </c>
      <c r="AB125" s="69"/>
      <c r="AC125" s="70"/>
      <c r="AD125" s="76" t="s">
        <v>16764</v>
      </c>
      <c r="AE125" s="81" t="s">
        <v>15692</v>
      </c>
      <c r="AF125" s="76">
        <v>36018</v>
      </c>
      <c r="AG125" s="76">
        <v>37391</v>
      </c>
      <c r="AH125" s="76">
        <v>2987565</v>
      </c>
      <c r="AI125" s="76">
        <v>1997</v>
      </c>
      <c r="AJ125" s="76">
        <v>270181</v>
      </c>
      <c r="AK125" s="76">
        <v>198937</v>
      </c>
      <c r="AL125" s="76" t="b">
        <v>0</v>
      </c>
      <c r="AM125" s="78">
        <v>40220.729062500002</v>
      </c>
      <c r="AN125" s="76" t="s">
        <v>10552</v>
      </c>
      <c r="AO125" s="76" t="s">
        <v>18262</v>
      </c>
      <c r="AP125" s="83" t="str">
        <f>HYPERLINK("https://t.co/xkmzfkaz4z")</f>
        <v>https://t.co/xkmzfkaz4z</v>
      </c>
      <c r="AQ125" s="83" t="str">
        <f>HYPERLINK("http://revistaeletronicadesaomiguel.blogspot.com/")</f>
        <v>http://revistaeletronicadesaomiguel.blogspot.com/</v>
      </c>
      <c r="AR125" s="76" t="s">
        <v>19061</v>
      </c>
      <c r="AS125" s="83" t="str">
        <f>HYPERLINK("https://t.co/zr7gpVta8X")</f>
        <v>https://t.co/zr7gpVta8X</v>
      </c>
      <c r="AT125" s="83" t="str">
        <f>HYPERLINK("http://facebook.com/vitor.d.santos")</f>
        <v>http://facebook.com/vitor.d.santos</v>
      </c>
      <c r="AU125" s="76" t="s">
        <v>19584</v>
      </c>
      <c r="AV125" s="76"/>
      <c r="AW125" s="83" t="str">
        <f>HYPERLINK("https://t.co/xkmzfkaz4z")</f>
        <v>https://t.co/xkmzfkaz4z</v>
      </c>
      <c r="AX125" s="76" t="b">
        <v>0</v>
      </c>
      <c r="AY125" s="76"/>
      <c r="AZ125" s="76"/>
      <c r="BA125" s="76" t="b">
        <v>0</v>
      </c>
      <c r="BB125" s="76" t="b">
        <v>1</v>
      </c>
      <c r="BC125" s="76" t="b">
        <v>0</v>
      </c>
      <c r="BD125" s="76" t="b">
        <v>0</v>
      </c>
      <c r="BE125" s="76" t="b">
        <v>1</v>
      </c>
      <c r="BF125" s="76" t="b">
        <v>0</v>
      </c>
      <c r="BG125" s="76" t="b">
        <v>0</v>
      </c>
      <c r="BH125" s="83" t="str">
        <f>HYPERLINK("https://pbs.twimg.com/profile_banners/113410319/1355521436")</f>
        <v>https://pbs.twimg.com/profile_banners/113410319/1355521436</v>
      </c>
      <c r="BI125" s="76"/>
      <c r="BJ125" s="76" t="s">
        <v>19633</v>
      </c>
      <c r="BK125" s="76" t="b">
        <v>0</v>
      </c>
      <c r="BL125" s="76"/>
      <c r="BM125" s="76" t="s">
        <v>66</v>
      </c>
      <c r="BN125" s="76" t="s">
        <v>19635</v>
      </c>
      <c r="BO125" s="83" t="str">
        <f>HYPERLINK("https://twitter.com/jornalistavitor")</f>
        <v>https://twitter.com/jornalistavitor</v>
      </c>
      <c r="BP125" s="2"/>
    </row>
    <row r="126" spans="1:68" x14ac:dyDescent="0.25">
      <c r="A126" s="62" t="s">
        <v>1059</v>
      </c>
      <c r="B126" s="63"/>
      <c r="C126" s="63"/>
      <c r="D126" s="64"/>
      <c r="E126" s="66"/>
      <c r="F126" s="103" t="str">
        <f>HYPERLINK("https://pbs.twimg.com/profile_images/1443244354328567808/bWJlsx4I_normal.jpg")</f>
        <v>https://pbs.twimg.com/profile_images/1443244354328567808/bWJlsx4I_normal.jpg</v>
      </c>
      <c r="G126" s="63"/>
      <c r="H126" s="67"/>
      <c r="I126" s="68"/>
      <c r="J126" s="68"/>
      <c r="K126" s="67" t="s">
        <v>19758</v>
      </c>
      <c r="L126" s="71"/>
      <c r="M126" s="72"/>
      <c r="N126" s="72"/>
      <c r="O126" s="73"/>
      <c r="P126" s="74"/>
      <c r="Q126" s="74"/>
      <c r="R126" s="87"/>
      <c r="S126" s="87"/>
      <c r="T126" s="87"/>
      <c r="U126" s="87"/>
      <c r="V126" s="48"/>
      <c r="W126" s="48"/>
      <c r="X126" s="47">
        <v>1.054E-3</v>
      </c>
      <c r="Y126" s="48"/>
      <c r="Z126" s="47"/>
      <c r="AA126" s="69">
        <v>126</v>
      </c>
      <c r="AB126" s="69"/>
      <c r="AC126" s="70"/>
      <c r="AD126" s="76" t="s">
        <v>16765</v>
      </c>
      <c r="AE126" s="81" t="s">
        <v>17582</v>
      </c>
      <c r="AF126" s="76">
        <v>4043</v>
      </c>
      <c r="AG126" s="76">
        <v>435</v>
      </c>
      <c r="AH126" s="76">
        <v>5116</v>
      </c>
      <c r="AI126" s="76">
        <v>63</v>
      </c>
      <c r="AJ126" s="76">
        <v>21</v>
      </c>
      <c r="AK126" s="76">
        <v>2279</v>
      </c>
      <c r="AL126" s="76" t="b">
        <v>0</v>
      </c>
      <c r="AM126" s="78">
        <v>40442.857951388891</v>
      </c>
      <c r="AN126" s="76" t="s">
        <v>17903</v>
      </c>
      <c r="AO126" s="76" t="s">
        <v>18263</v>
      </c>
      <c r="AP126" s="83" t="str">
        <f>HYPERLINK("https://t.co/dhfAhcvUvf")</f>
        <v>https://t.co/dhfAhcvUvf</v>
      </c>
      <c r="AQ126" s="83" t="str">
        <f>HYPERLINK("http://www.consed.org.br")</f>
        <v>http://www.consed.org.br</v>
      </c>
      <c r="AR126" s="76" t="s">
        <v>19062</v>
      </c>
      <c r="AS126" s="76"/>
      <c r="AT126" s="76"/>
      <c r="AU126" s="76"/>
      <c r="AV126" s="76"/>
      <c r="AW126" s="83" t="str">
        <f>HYPERLINK("https://t.co/dhfAhcvUvf")</f>
        <v>https://t.co/dhfAhcvUvf</v>
      </c>
      <c r="AX126" s="76" t="b">
        <v>0</v>
      </c>
      <c r="AY126" s="76"/>
      <c r="AZ126" s="76"/>
      <c r="BA126" s="76" t="b">
        <v>0</v>
      </c>
      <c r="BB126" s="76" t="b">
        <v>1</v>
      </c>
      <c r="BC126" s="76" t="b">
        <v>0</v>
      </c>
      <c r="BD126" s="76" t="b">
        <v>0</v>
      </c>
      <c r="BE126" s="76" t="b">
        <v>1</v>
      </c>
      <c r="BF126" s="76" t="b">
        <v>0</v>
      </c>
      <c r="BG126" s="76" t="b">
        <v>0</v>
      </c>
      <c r="BH126" s="83" t="str">
        <f>HYPERLINK("https://pbs.twimg.com/profile_banners/193439905/1489091696")</f>
        <v>https://pbs.twimg.com/profile_banners/193439905/1489091696</v>
      </c>
      <c r="BI126" s="76"/>
      <c r="BJ126" s="76" t="s">
        <v>19633</v>
      </c>
      <c r="BK126" s="76" t="b">
        <v>0</v>
      </c>
      <c r="BL126" s="76"/>
      <c r="BM126" s="76" t="s">
        <v>65</v>
      </c>
      <c r="BN126" s="76" t="s">
        <v>19635</v>
      </c>
      <c r="BO126" s="83" t="str">
        <f>HYPERLINK("https://twitter.com/consedbr")</f>
        <v>https://twitter.com/consedbr</v>
      </c>
      <c r="BP126" s="2"/>
    </row>
    <row r="127" spans="1:68" x14ac:dyDescent="0.25">
      <c r="A127" s="62" t="s">
        <v>330</v>
      </c>
      <c r="B127" s="63"/>
      <c r="C127" s="63"/>
      <c r="D127" s="64"/>
      <c r="E127" s="66"/>
      <c r="F127" s="103" t="str">
        <f>HYPERLINK("https://pbs.twimg.com/profile_images/1663964871199805442/XRYkkV6J_normal.jpg")</f>
        <v>https://pbs.twimg.com/profile_images/1663964871199805442/XRYkkV6J_normal.jpg</v>
      </c>
      <c r="G127" s="63"/>
      <c r="H127" s="67"/>
      <c r="I127" s="68"/>
      <c r="J127" s="68"/>
      <c r="K127" s="67" t="s">
        <v>19759</v>
      </c>
      <c r="L127" s="71"/>
      <c r="M127" s="72"/>
      <c r="N127" s="72"/>
      <c r="O127" s="73"/>
      <c r="P127" s="74"/>
      <c r="Q127" s="74"/>
      <c r="R127" s="87"/>
      <c r="S127" s="87"/>
      <c r="T127" s="87"/>
      <c r="U127" s="87"/>
      <c r="V127" s="48"/>
      <c r="W127" s="48"/>
      <c r="X127" s="47">
        <v>1.101E-3</v>
      </c>
      <c r="Y127" s="48"/>
      <c r="Z127" s="47"/>
      <c r="AA127" s="69">
        <v>127</v>
      </c>
      <c r="AB127" s="69"/>
      <c r="AC127" s="70"/>
      <c r="AD127" s="76" t="s">
        <v>16766</v>
      </c>
      <c r="AE127" s="81" t="s">
        <v>16192</v>
      </c>
      <c r="AF127" s="76">
        <v>254</v>
      </c>
      <c r="AG127" s="76">
        <v>24</v>
      </c>
      <c r="AH127" s="76">
        <v>11</v>
      </c>
      <c r="AI127" s="76">
        <v>0</v>
      </c>
      <c r="AJ127" s="76">
        <v>35</v>
      </c>
      <c r="AK127" s="76">
        <v>8</v>
      </c>
      <c r="AL127" s="76" t="b">
        <v>0</v>
      </c>
      <c r="AM127" s="78">
        <v>45077.624837962961</v>
      </c>
      <c r="AN127" s="76" t="s">
        <v>10568</v>
      </c>
      <c r="AO127" s="76" t="s">
        <v>18264</v>
      </c>
      <c r="AP127" s="83" t="str">
        <f>HYPERLINK("https://t.co/K6WtvlGxfz")</f>
        <v>https://t.co/K6WtvlGxfz</v>
      </c>
      <c r="AQ127" s="83" t="str">
        <f>HYPERLINK("http://cwb.finance")</f>
        <v>http://cwb.finance</v>
      </c>
      <c r="AR127" s="76" t="s">
        <v>19063</v>
      </c>
      <c r="AS127" s="76"/>
      <c r="AT127" s="76"/>
      <c r="AU127" s="76"/>
      <c r="AV127" s="76"/>
      <c r="AW127" s="83" t="str">
        <f>HYPERLINK("https://t.co/K6WtvlGxfz")</f>
        <v>https://t.co/K6WtvlGxfz</v>
      </c>
      <c r="AX127" s="76" t="b">
        <v>0</v>
      </c>
      <c r="AY127" s="76"/>
      <c r="AZ127" s="76"/>
      <c r="BA127" s="76" t="b">
        <v>0</v>
      </c>
      <c r="BB127" s="76" t="b">
        <v>1</v>
      </c>
      <c r="BC127" s="76" t="b">
        <v>1</v>
      </c>
      <c r="BD127" s="76" t="b">
        <v>0</v>
      </c>
      <c r="BE127" s="76" t="b">
        <v>0</v>
      </c>
      <c r="BF127" s="76" t="b">
        <v>0</v>
      </c>
      <c r="BG127" s="76" t="b">
        <v>0</v>
      </c>
      <c r="BH127" s="83" t="str">
        <f>HYPERLINK("https://pbs.twimg.com/profile_banners/1663923108573528068/1690830316")</f>
        <v>https://pbs.twimg.com/profile_banners/1663923108573528068/1690830316</v>
      </c>
      <c r="BI127" s="76"/>
      <c r="BJ127" s="76" t="s">
        <v>19633</v>
      </c>
      <c r="BK127" s="76" t="b">
        <v>0</v>
      </c>
      <c r="BL127" s="76"/>
      <c r="BM127" s="76" t="s">
        <v>66</v>
      </c>
      <c r="BN127" s="76" t="s">
        <v>19635</v>
      </c>
      <c r="BO127" s="83" t="str">
        <f>HYPERLINK("https://twitter.com/cwbfinance")</f>
        <v>https://twitter.com/cwbfinance</v>
      </c>
      <c r="BP127" s="2"/>
    </row>
    <row r="128" spans="1:68" x14ac:dyDescent="0.25">
      <c r="A128" s="62" t="s">
        <v>331</v>
      </c>
      <c r="B128" s="63"/>
      <c r="C128" s="63"/>
      <c r="D128" s="64"/>
      <c r="E128" s="66"/>
      <c r="F128" s="103" t="str">
        <f>HYPERLINK("https://pbs.twimg.com/profile_images/1684455763500990464/V8dCdFoJ_normal.jpg")</f>
        <v>https://pbs.twimg.com/profile_images/1684455763500990464/V8dCdFoJ_normal.jpg</v>
      </c>
      <c r="G128" s="63"/>
      <c r="H128" s="67"/>
      <c r="I128" s="68"/>
      <c r="J128" s="68"/>
      <c r="K128" s="67" t="s">
        <v>19760</v>
      </c>
      <c r="L128" s="71"/>
      <c r="M128" s="72"/>
      <c r="N128" s="72"/>
      <c r="O128" s="73"/>
      <c r="P128" s="74"/>
      <c r="Q128" s="74"/>
      <c r="R128" s="87"/>
      <c r="S128" s="87"/>
      <c r="T128" s="87"/>
      <c r="U128" s="87"/>
      <c r="V128" s="48"/>
      <c r="W128" s="48"/>
      <c r="X128" s="47">
        <v>1.101E-3</v>
      </c>
      <c r="Y128" s="48"/>
      <c r="Z128" s="47"/>
      <c r="AA128" s="69">
        <v>128</v>
      </c>
      <c r="AB128" s="69"/>
      <c r="AC128" s="70"/>
      <c r="AD128" s="76" t="s">
        <v>16767</v>
      </c>
      <c r="AE128" s="81" t="s">
        <v>16193</v>
      </c>
      <c r="AF128" s="76">
        <v>29</v>
      </c>
      <c r="AG128" s="76">
        <v>38</v>
      </c>
      <c r="AH128" s="76">
        <v>735</v>
      </c>
      <c r="AI128" s="76">
        <v>0</v>
      </c>
      <c r="AJ128" s="76">
        <v>37</v>
      </c>
      <c r="AK128" s="76">
        <v>275</v>
      </c>
      <c r="AL128" s="76" t="b">
        <v>0</v>
      </c>
      <c r="AM128" s="78">
        <v>43758.290636574071</v>
      </c>
      <c r="AN128" s="76" t="s">
        <v>17904</v>
      </c>
      <c r="AO128" s="76" t="s">
        <v>18265</v>
      </c>
      <c r="AP128" s="83" t="str">
        <f>HYPERLINK("https://t.co/Oc3fEm9Ng3")</f>
        <v>https://t.co/Oc3fEm9Ng3</v>
      </c>
      <c r="AQ128" s="83" t="str">
        <f>HYPERLINK("https://juliomauricio.com/")</f>
        <v>https://juliomauricio.com/</v>
      </c>
      <c r="AR128" s="76" t="s">
        <v>19064</v>
      </c>
      <c r="AS128" s="76"/>
      <c r="AT128" s="76"/>
      <c r="AU128" s="76"/>
      <c r="AV128" s="76"/>
      <c r="AW128" s="83" t="str">
        <f>HYPERLINK("https://t.co/Oc3fEm9Ng3")</f>
        <v>https://t.co/Oc3fEm9Ng3</v>
      </c>
      <c r="AX128" s="76" t="b">
        <v>0</v>
      </c>
      <c r="AY128" s="76"/>
      <c r="AZ128" s="76"/>
      <c r="BA128" s="76" t="b">
        <v>1</v>
      </c>
      <c r="BB128" s="76" t="b">
        <v>1</v>
      </c>
      <c r="BC128" s="76" t="b">
        <v>1</v>
      </c>
      <c r="BD128" s="76" t="b">
        <v>0</v>
      </c>
      <c r="BE128" s="76" t="b">
        <v>1</v>
      </c>
      <c r="BF128" s="76" t="b">
        <v>0</v>
      </c>
      <c r="BG128" s="76" t="b">
        <v>0</v>
      </c>
      <c r="BH128" s="83" t="str">
        <f>HYPERLINK("https://pbs.twimg.com/profile_banners/1185812324696907776/1690981682")</f>
        <v>https://pbs.twimg.com/profile_banners/1185812324696907776/1690981682</v>
      </c>
      <c r="BI128" s="76"/>
      <c r="BJ128" s="76" t="s">
        <v>19633</v>
      </c>
      <c r="BK128" s="76" t="b">
        <v>0</v>
      </c>
      <c r="BL128" s="76"/>
      <c r="BM128" s="76" t="s">
        <v>66</v>
      </c>
      <c r="BN128" s="76" t="s">
        <v>19635</v>
      </c>
      <c r="BO128" s="83" t="str">
        <f>HYPERLINK("https://twitter.com/juliomauriciojm")</f>
        <v>https://twitter.com/juliomauriciojm</v>
      </c>
      <c r="BP128" s="2"/>
    </row>
    <row r="129" spans="1:68" x14ac:dyDescent="0.25">
      <c r="A129" s="62" t="s">
        <v>332</v>
      </c>
      <c r="B129" s="63"/>
      <c r="C129" s="63"/>
      <c r="D129" s="64"/>
      <c r="E129" s="66"/>
      <c r="F129" s="103" t="str">
        <f>HYPERLINK("https://pbs.twimg.com/profile_images/1273964615530053632/qHcU0VHf_normal.jpg")</f>
        <v>https://pbs.twimg.com/profile_images/1273964615530053632/qHcU0VHf_normal.jpg</v>
      </c>
      <c r="G129" s="63"/>
      <c r="H129" s="67"/>
      <c r="I129" s="68"/>
      <c r="J129" s="68"/>
      <c r="K129" s="67" t="s">
        <v>19761</v>
      </c>
      <c r="L129" s="71"/>
      <c r="M129" s="72"/>
      <c r="N129" s="72"/>
      <c r="O129" s="73"/>
      <c r="P129" s="74"/>
      <c r="Q129" s="74"/>
      <c r="R129" s="87"/>
      <c r="S129" s="87"/>
      <c r="T129" s="87"/>
      <c r="U129" s="87"/>
      <c r="V129" s="48"/>
      <c r="W129" s="48"/>
      <c r="X129" s="47">
        <v>1.101E-3</v>
      </c>
      <c r="Y129" s="48"/>
      <c r="Z129" s="47"/>
      <c r="AA129" s="69">
        <v>129</v>
      </c>
      <c r="AB129" s="69"/>
      <c r="AC129" s="70"/>
      <c r="AD129" s="76" t="s">
        <v>16768</v>
      </c>
      <c r="AE129" s="81" t="s">
        <v>16194</v>
      </c>
      <c r="AF129" s="76">
        <v>5798</v>
      </c>
      <c r="AG129" s="76">
        <v>111</v>
      </c>
      <c r="AH129" s="76">
        <v>6265</v>
      </c>
      <c r="AI129" s="76">
        <v>129</v>
      </c>
      <c r="AJ129" s="76">
        <v>1</v>
      </c>
      <c r="AK129" s="76">
        <v>9</v>
      </c>
      <c r="AL129" s="76" t="b">
        <v>0</v>
      </c>
      <c r="AM129" s="78">
        <v>43797.613379629627</v>
      </c>
      <c r="AN129" s="76"/>
      <c r="AO129" s="76" t="s">
        <v>18266</v>
      </c>
      <c r="AP129" s="83" t="str">
        <f>HYPERLINK("https://t.co/WNzFhQbBp9")</f>
        <v>https://t.co/WNzFhQbBp9</v>
      </c>
      <c r="AQ129" s="83" t="str">
        <f>HYPERLINK("https://www.moneytimes.com.br/cryptotimes/")</f>
        <v>https://www.moneytimes.com.br/cryptotimes/</v>
      </c>
      <c r="AR129" s="76" t="s">
        <v>19065</v>
      </c>
      <c r="AS129" s="76"/>
      <c r="AT129" s="76"/>
      <c r="AU129" s="76"/>
      <c r="AV129" s="76"/>
      <c r="AW129" s="83" t="str">
        <f>HYPERLINK("https://t.co/WNzFhQbBp9")</f>
        <v>https://t.co/WNzFhQbBp9</v>
      </c>
      <c r="AX129" s="76" t="b">
        <v>0</v>
      </c>
      <c r="AY129" s="76"/>
      <c r="AZ129" s="76"/>
      <c r="BA129" s="76" t="b">
        <v>0</v>
      </c>
      <c r="BB129" s="76" t="b">
        <v>1</v>
      </c>
      <c r="BC129" s="76" t="b">
        <v>1</v>
      </c>
      <c r="BD129" s="76" t="b">
        <v>0</v>
      </c>
      <c r="BE129" s="76" t="b">
        <v>1</v>
      </c>
      <c r="BF129" s="76" t="b">
        <v>0</v>
      </c>
      <c r="BG129" s="76" t="b">
        <v>0</v>
      </c>
      <c r="BH129" s="83" t="str">
        <f>HYPERLINK("https://pbs.twimg.com/profile_banners/1200062560306958336/1650380415")</f>
        <v>https://pbs.twimg.com/profile_banners/1200062560306958336/1650380415</v>
      </c>
      <c r="BI129" s="76"/>
      <c r="BJ129" s="76" t="s">
        <v>19633</v>
      </c>
      <c r="BK129" s="76" t="b">
        <v>0</v>
      </c>
      <c r="BL129" s="76"/>
      <c r="BM129" s="76" t="s">
        <v>66</v>
      </c>
      <c r="BN129" s="76" t="s">
        <v>19635</v>
      </c>
      <c r="BO129" s="83" t="str">
        <f>HYPERLINK("https://twitter.com/leiacryptotimes")</f>
        <v>https://twitter.com/leiacryptotimes</v>
      </c>
      <c r="BP129" s="2"/>
    </row>
    <row r="130" spans="1:68" x14ac:dyDescent="0.25">
      <c r="A130" s="62" t="s">
        <v>333</v>
      </c>
      <c r="B130" s="63"/>
      <c r="C130" s="63"/>
      <c r="D130" s="64"/>
      <c r="E130" s="66"/>
      <c r="F130" s="103" t="str">
        <f>HYPERLINK("https://pbs.twimg.com/profile_images/1519005304876318721/OM0PJYYp_normal.jpg")</f>
        <v>https://pbs.twimg.com/profile_images/1519005304876318721/OM0PJYYp_normal.jpg</v>
      </c>
      <c r="G130" s="63"/>
      <c r="H130" s="67"/>
      <c r="I130" s="68"/>
      <c r="J130" s="68"/>
      <c r="K130" s="67" t="s">
        <v>19762</v>
      </c>
      <c r="L130" s="71"/>
      <c r="M130" s="72"/>
      <c r="N130" s="72"/>
      <c r="O130" s="73"/>
      <c r="P130" s="74"/>
      <c r="Q130" s="74"/>
      <c r="R130" s="87"/>
      <c r="S130" s="87"/>
      <c r="T130" s="87"/>
      <c r="U130" s="87"/>
      <c r="V130" s="48"/>
      <c r="W130" s="48"/>
      <c r="X130" s="47">
        <v>1.101E-3</v>
      </c>
      <c r="Y130" s="48"/>
      <c r="Z130" s="47"/>
      <c r="AA130" s="69">
        <v>130</v>
      </c>
      <c r="AB130" s="69"/>
      <c r="AC130" s="70"/>
      <c r="AD130" s="76" t="s">
        <v>16769</v>
      </c>
      <c r="AE130" s="81" t="s">
        <v>17583</v>
      </c>
      <c r="AF130" s="76">
        <v>131628</v>
      </c>
      <c r="AG130" s="76">
        <v>18</v>
      </c>
      <c r="AH130" s="76">
        <v>12723</v>
      </c>
      <c r="AI130" s="76">
        <v>23</v>
      </c>
      <c r="AJ130" s="76">
        <v>864</v>
      </c>
      <c r="AK130" s="76">
        <v>2725</v>
      </c>
      <c r="AL130" s="76" t="b">
        <v>0</v>
      </c>
      <c r="AM130" s="78">
        <v>40714.577291666668</v>
      </c>
      <c r="AN130" s="76" t="s">
        <v>17905</v>
      </c>
      <c r="AO130" s="76" t="s">
        <v>18267</v>
      </c>
      <c r="AP130" s="83" t="str">
        <f>HYPERLINK("https://t.co/dPDDgVfqEt")</f>
        <v>https://t.co/dPDDgVfqEt</v>
      </c>
      <c r="AQ130" s="83" t="str">
        <f>HYPERLINK("https://www.wmbmarketingdigital.com.br/")</f>
        <v>https://www.wmbmarketingdigital.com.br/</v>
      </c>
      <c r="AR130" s="76" t="s">
        <v>19066</v>
      </c>
      <c r="AS130" s="76"/>
      <c r="AT130" s="76"/>
      <c r="AU130" s="76"/>
      <c r="AV130" s="76"/>
      <c r="AW130" s="83" t="str">
        <f>HYPERLINK("https://t.co/dPDDgVfqEt")</f>
        <v>https://t.co/dPDDgVfqEt</v>
      </c>
      <c r="AX130" s="76" t="b">
        <v>1</v>
      </c>
      <c r="AY130" s="76"/>
      <c r="AZ130" s="76"/>
      <c r="BA130" s="76" t="b">
        <v>0</v>
      </c>
      <c r="BB130" s="76" t="b">
        <v>1</v>
      </c>
      <c r="BC130" s="76" t="b">
        <v>0</v>
      </c>
      <c r="BD130" s="76" t="b">
        <v>0</v>
      </c>
      <c r="BE130" s="76" t="b">
        <v>0</v>
      </c>
      <c r="BF130" s="76" t="b">
        <v>0</v>
      </c>
      <c r="BG130" s="76" t="b">
        <v>0</v>
      </c>
      <c r="BH130" s="83" t="str">
        <f>HYPERLINK("https://pbs.twimg.com/profile_banners/320762743/1670002961")</f>
        <v>https://pbs.twimg.com/profile_banners/320762743/1670002961</v>
      </c>
      <c r="BI130" s="76"/>
      <c r="BJ130" s="76" t="s">
        <v>19634</v>
      </c>
      <c r="BK130" s="76" t="b">
        <v>0</v>
      </c>
      <c r="BL130" s="76"/>
      <c r="BM130" s="76" t="s">
        <v>66</v>
      </c>
      <c r="BN130" s="76" t="s">
        <v>19635</v>
      </c>
      <c r="BO130" s="83" t="str">
        <f>HYPERLINK("https://twitter.com/_wmbmarketing")</f>
        <v>https://twitter.com/_wmbmarketing</v>
      </c>
      <c r="BP130" s="2"/>
    </row>
    <row r="131" spans="1:68" x14ac:dyDescent="0.25">
      <c r="A131" s="62" t="s">
        <v>334</v>
      </c>
      <c r="B131" s="63"/>
      <c r="C131" s="63"/>
      <c r="D131" s="64"/>
      <c r="E131" s="66"/>
      <c r="F131" s="103" t="str">
        <f>HYPERLINK("https://pbs.twimg.com/profile_images/1588811920974512128/b3L_vyVp_normal.jpg")</f>
        <v>https://pbs.twimg.com/profile_images/1588811920974512128/b3L_vyVp_normal.jpg</v>
      </c>
      <c r="G131" s="63"/>
      <c r="H131" s="67"/>
      <c r="I131" s="68"/>
      <c r="J131" s="68"/>
      <c r="K131" s="67" t="s">
        <v>19763</v>
      </c>
      <c r="L131" s="71"/>
      <c r="M131" s="72"/>
      <c r="N131" s="72"/>
      <c r="O131" s="73"/>
      <c r="P131" s="74"/>
      <c r="Q131" s="74"/>
      <c r="R131" s="87"/>
      <c r="S131" s="87"/>
      <c r="T131" s="87"/>
      <c r="U131" s="87"/>
      <c r="V131" s="48"/>
      <c r="W131" s="48"/>
      <c r="X131" s="47">
        <v>1.101E-3</v>
      </c>
      <c r="Y131" s="48"/>
      <c r="Z131" s="47"/>
      <c r="AA131" s="69">
        <v>131</v>
      </c>
      <c r="AB131" s="69"/>
      <c r="AC131" s="70"/>
      <c r="AD131" s="76" t="s">
        <v>16770</v>
      </c>
      <c r="AE131" s="81" t="s">
        <v>16195</v>
      </c>
      <c r="AF131" s="76">
        <v>10</v>
      </c>
      <c r="AG131" s="76">
        <v>131</v>
      </c>
      <c r="AH131" s="76">
        <v>15</v>
      </c>
      <c r="AI131" s="76">
        <v>0</v>
      </c>
      <c r="AJ131" s="76">
        <v>47</v>
      </c>
      <c r="AK131" s="76">
        <v>5</v>
      </c>
      <c r="AL131" s="76" t="b">
        <v>0</v>
      </c>
      <c r="AM131" s="78">
        <v>44859.2034375</v>
      </c>
      <c r="AN131" s="76"/>
      <c r="AO131" s="76"/>
      <c r="AP131" s="76"/>
      <c r="AQ131" s="76"/>
      <c r="AR131" s="76"/>
      <c r="AS131" s="76"/>
      <c r="AT131" s="76"/>
      <c r="AU131" s="76"/>
      <c r="AV131" s="76"/>
      <c r="AW131" s="76"/>
      <c r="AX131" s="76" t="b">
        <v>0</v>
      </c>
      <c r="AY131" s="76"/>
      <c r="AZ131" s="76"/>
      <c r="BA131" s="76" t="b">
        <v>0</v>
      </c>
      <c r="BB131" s="76" t="b">
        <v>1</v>
      </c>
      <c r="BC131" s="76" t="b">
        <v>1</v>
      </c>
      <c r="BD131" s="76" t="b">
        <v>0</v>
      </c>
      <c r="BE131" s="76" t="b">
        <v>1</v>
      </c>
      <c r="BF131" s="76" t="b">
        <v>0</v>
      </c>
      <c r="BG131" s="76" t="b">
        <v>0</v>
      </c>
      <c r="BH131" s="76"/>
      <c r="BI131" s="76"/>
      <c r="BJ131" s="76" t="s">
        <v>19633</v>
      </c>
      <c r="BK131" s="76" t="b">
        <v>0</v>
      </c>
      <c r="BL131" s="76"/>
      <c r="BM131" s="76" t="s">
        <v>66</v>
      </c>
      <c r="BN131" s="76" t="s">
        <v>19635</v>
      </c>
      <c r="BO131" s="83" t="str">
        <f>HYPERLINK("https://twitter.com/edils_eddie")</f>
        <v>https://twitter.com/edils_eddie</v>
      </c>
      <c r="BP131" s="2"/>
    </row>
    <row r="132" spans="1:68" x14ac:dyDescent="0.25">
      <c r="A132" s="62" t="s">
        <v>335</v>
      </c>
      <c r="B132" s="63"/>
      <c r="C132" s="63"/>
      <c r="D132" s="64"/>
      <c r="E132" s="66"/>
      <c r="F132" s="103" t="str">
        <f>HYPERLINK("https://pbs.twimg.com/profile_images/1652742263116558341/14Qxv7xr_normal.jpg")</f>
        <v>https://pbs.twimg.com/profile_images/1652742263116558341/14Qxv7xr_normal.jpg</v>
      </c>
      <c r="G132" s="63"/>
      <c r="H132" s="67"/>
      <c r="I132" s="68"/>
      <c r="J132" s="68"/>
      <c r="K132" s="67" t="s">
        <v>19764</v>
      </c>
      <c r="L132" s="71"/>
      <c r="M132" s="72"/>
      <c r="N132" s="72"/>
      <c r="O132" s="73"/>
      <c r="P132" s="74"/>
      <c r="Q132" s="74"/>
      <c r="R132" s="87"/>
      <c r="S132" s="87"/>
      <c r="T132" s="87"/>
      <c r="U132" s="87"/>
      <c r="V132" s="48"/>
      <c r="W132" s="48"/>
      <c r="X132" s="47">
        <v>1.101E-3</v>
      </c>
      <c r="Y132" s="48"/>
      <c r="Z132" s="47"/>
      <c r="AA132" s="69">
        <v>132</v>
      </c>
      <c r="AB132" s="69"/>
      <c r="AC132" s="70"/>
      <c r="AD132" s="76" t="s">
        <v>16771</v>
      </c>
      <c r="AE132" s="81" t="s">
        <v>16196</v>
      </c>
      <c r="AF132" s="76">
        <v>3365</v>
      </c>
      <c r="AG132" s="76">
        <v>8</v>
      </c>
      <c r="AH132" s="76">
        <v>34828</v>
      </c>
      <c r="AI132" s="76">
        <v>32</v>
      </c>
      <c r="AJ132" s="76">
        <v>2123</v>
      </c>
      <c r="AK132" s="76">
        <v>160</v>
      </c>
      <c r="AL132" s="76" t="b">
        <v>0</v>
      </c>
      <c r="AM132" s="78">
        <v>45046.767129629632</v>
      </c>
      <c r="AN132" s="76" t="s">
        <v>17906</v>
      </c>
      <c r="AO132" s="76" t="s">
        <v>18268</v>
      </c>
      <c r="AP132" s="83" t="str">
        <f>HYPERLINK("https://t.co/uvadZYj3R4")</f>
        <v>https://t.co/uvadZYj3R4</v>
      </c>
      <c r="AQ132" s="83" t="str">
        <f>HYPERLINK("https://t.me/NOBTheEntertainer")</f>
        <v>https://t.me/NOBTheEntertainer</v>
      </c>
      <c r="AR132" s="76" t="s">
        <v>19067</v>
      </c>
      <c r="AS132" s="76"/>
      <c r="AT132" s="76"/>
      <c r="AU132" s="76"/>
      <c r="AV132" s="76">
        <v>1.6573901290218399E+18</v>
      </c>
      <c r="AW132" s="83" t="str">
        <f>HYPERLINK("https://t.co/uvadZYj3R4")</f>
        <v>https://t.co/uvadZYj3R4</v>
      </c>
      <c r="AX132" s="76" t="b">
        <v>1</v>
      </c>
      <c r="AY132" s="76"/>
      <c r="AZ132" s="76"/>
      <c r="BA132" s="76" t="b">
        <v>0</v>
      </c>
      <c r="BB132" s="76" t="b">
        <v>1</v>
      </c>
      <c r="BC132" s="76" t="b">
        <v>1</v>
      </c>
      <c r="BD132" s="76" t="b">
        <v>0</v>
      </c>
      <c r="BE132" s="76" t="b">
        <v>0</v>
      </c>
      <c r="BF132" s="76" t="b">
        <v>0</v>
      </c>
      <c r="BG132" s="76" t="b">
        <v>0</v>
      </c>
      <c r="BH132" s="83" t="str">
        <f>HYPERLINK("https://pbs.twimg.com/profile_banners/1652740445657608192/1682983229")</f>
        <v>https://pbs.twimg.com/profile_banners/1652740445657608192/1682983229</v>
      </c>
      <c r="BI132" s="76"/>
      <c r="BJ132" s="76" t="s">
        <v>19633</v>
      </c>
      <c r="BK132" s="76" t="b">
        <v>0</v>
      </c>
      <c r="BL132" s="76"/>
      <c r="BM132" s="76" t="s">
        <v>66</v>
      </c>
      <c r="BN132" s="76" t="s">
        <v>19635</v>
      </c>
      <c r="BO132" s="83" t="str">
        <f>HYPERLINK("https://twitter.com/entertainusnob")</f>
        <v>https://twitter.com/entertainusnob</v>
      </c>
      <c r="BP132" s="2"/>
    </row>
    <row r="133" spans="1:68" x14ac:dyDescent="0.25">
      <c r="A133" s="62" t="s">
        <v>1060</v>
      </c>
      <c r="B133" s="63"/>
      <c r="C133" s="63"/>
      <c r="D133" s="64"/>
      <c r="E133" s="66"/>
      <c r="F133" s="103" t="str">
        <f>HYPERLINK("https://pbs.twimg.com/profile_images/1113880789832404993/EcFBGDND_normal.png")</f>
        <v>https://pbs.twimg.com/profile_images/1113880789832404993/EcFBGDND_normal.png</v>
      </c>
      <c r="G133" s="63"/>
      <c r="H133" s="67"/>
      <c r="I133" s="68"/>
      <c r="J133" s="68"/>
      <c r="K133" s="67" t="s">
        <v>19765</v>
      </c>
      <c r="L133" s="71"/>
      <c r="M133" s="72"/>
      <c r="N133" s="72"/>
      <c r="O133" s="73"/>
      <c r="P133" s="74"/>
      <c r="Q133" s="74"/>
      <c r="R133" s="87"/>
      <c r="S133" s="87"/>
      <c r="T133" s="87"/>
      <c r="U133" s="87"/>
      <c r="V133" s="48"/>
      <c r="W133" s="48"/>
      <c r="X133" s="47">
        <v>1.101E-3</v>
      </c>
      <c r="Y133" s="48"/>
      <c r="Z133" s="47"/>
      <c r="AA133" s="69">
        <v>133</v>
      </c>
      <c r="AB133" s="69"/>
      <c r="AC133" s="70"/>
      <c r="AD133" s="76" t="s">
        <v>16772</v>
      </c>
      <c r="AE133" s="81" t="s">
        <v>15693</v>
      </c>
      <c r="AF133" s="76">
        <v>43</v>
      </c>
      <c r="AG133" s="76">
        <v>102</v>
      </c>
      <c r="AH133" s="76">
        <v>327</v>
      </c>
      <c r="AI133" s="76">
        <v>1</v>
      </c>
      <c r="AJ133" s="76">
        <v>545</v>
      </c>
      <c r="AK133" s="76">
        <v>26</v>
      </c>
      <c r="AL133" s="76" t="b">
        <v>0</v>
      </c>
      <c r="AM133" s="78">
        <v>40125.29791666667</v>
      </c>
      <c r="AN133" s="76" t="s">
        <v>10552</v>
      </c>
      <c r="AO133" s="76" t="s">
        <v>18269</v>
      </c>
      <c r="AP133" s="76"/>
      <c r="AQ133" s="76"/>
      <c r="AR133" s="76"/>
      <c r="AS133" s="76"/>
      <c r="AT133" s="76"/>
      <c r="AU133" s="76"/>
      <c r="AV133" s="76"/>
      <c r="AW133" s="76"/>
      <c r="AX133" s="76" t="b">
        <v>0</v>
      </c>
      <c r="AY133" s="76"/>
      <c r="AZ133" s="76"/>
      <c r="BA133" s="76" t="b">
        <v>1</v>
      </c>
      <c r="BB133" s="76" t="b">
        <v>1</v>
      </c>
      <c r="BC133" s="76" t="b">
        <v>1</v>
      </c>
      <c r="BD133" s="76" t="b">
        <v>0</v>
      </c>
      <c r="BE133" s="76" t="b">
        <v>1</v>
      </c>
      <c r="BF133" s="76" t="b">
        <v>0</v>
      </c>
      <c r="BG133" s="76" t="b">
        <v>0</v>
      </c>
      <c r="BH133" s="76"/>
      <c r="BI133" s="76"/>
      <c r="BJ133" s="76" t="s">
        <v>19633</v>
      </c>
      <c r="BK133" s="76" t="b">
        <v>0</v>
      </c>
      <c r="BL133" s="76"/>
      <c r="BM133" s="76" t="s">
        <v>65</v>
      </c>
      <c r="BN133" s="76" t="s">
        <v>19635</v>
      </c>
      <c r="BO133" s="83" t="str">
        <f>HYPERLINK("https://twitter.com/edsontsjr")</f>
        <v>https://twitter.com/edsontsjr</v>
      </c>
      <c r="BP133" s="2"/>
    </row>
    <row r="134" spans="1:68" x14ac:dyDescent="0.25">
      <c r="A134" s="62" t="s">
        <v>336</v>
      </c>
      <c r="B134" s="63"/>
      <c r="C134" s="63"/>
      <c r="D134" s="64"/>
      <c r="E134" s="66"/>
      <c r="F134" s="103" t="str">
        <f>HYPERLINK("https://pbs.twimg.com/profile_images/1555717649337909249/tg1JOUKL_normal.jpg")</f>
        <v>https://pbs.twimg.com/profile_images/1555717649337909249/tg1JOUKL_normal.jpg</v>
      </c>
      <c r="G134" s="63"/>
      <c r="H134" s="67"/>
      <c r="I134" s="68"/>
      <c r="J134" s="68"/>
      <c r="K134" s="67" t="s">
        <v>19766</v>
      </c>
      <c r="L134" s="71"/>
      <c r="M134" s="72"/>
      <c r="N134" s="72"/>
      <c r="O134" s="73"/>
      <c r="P134" s="74"/>
      <c r="Q134" s="74"/>
      <c r="R134" s="87"/>
      <c r="S134" s="87"/>
      <c r="T134" s="87"/>
      <c r="U134" s="87"/>
      <c r="V134" s="48"/>
      <c r="W134" s="48"/>
      <c r="X134" s="47">
        <v>1.024E-3</v>
      </c>
      <c r="Y134" s="48"/>
      <c r="Z134" s="47"/>
      <c r="AA134" s="69">
        <v>134</v>
      </c>
      <c r="AB134" s="69"/>
      <c r="AC134" s="70"/>
      <c r="AD134" s="76" t="s">
        <v>16773</v>
      </c>
      <c r="AE134" s="81" t="s">
        <v>16197</v>
      </c>
      <c r="AF134" s="76">
        <v>87</v>
      </c>
      <c r="AG134" s="76">
        <v>598</v>
      </c>
      <c r="AH134" s="76">
        <v>1233</v>
      </c>
      <c r="AI134" s="76">
        <v>2</v>
      </c>
      <c r="AJ134" s="76">
        <v>8372</v>
      </c>
      <c r="AK134" s="76">
        <v>47</v>
      </c>
      <c r="AL134" s="76" t="b">
        <v>0</v>
      </c>
      <c r="AM134" s="78">
        <v>43649.829328703701</v>
      </c>
      <c r="AN134" s="76"/>
      <c r="AO134" s="76" t="s">
        <v>18270</v>
      </c>
      <c r="AP134" s="83" t="str">
        <f>HYPERLINK("https://t.co/InJap8505X")</f>
        <v>https://t.co/InJap8505X</v>
      </c>
      <c r="AQ134" s="83" t="str">
        <f>HYPERLINK("https://www.gtinvest.com.br/")</f>
        <v>https://www.gtinvest.com.br/</v>
      </c>
      <c r="AR134" s="76" t="s">
        <v>19068</v>
      </c>
      <c r="AS134" s="76"/>
      <c r="AT134" s="76"/>
      <c r="AU134" s="76"/>
      <c r="AV134" s="76"/>
      <c r="AW134" s="83" t="str">
        <f>HYPERLINK("https://t.co/InJap8505X")</f>
        <v>https://t.co/InJap8505X</v>
      </c>
      <c r="AX134" s="76" t="b">
        <v>0</v>
      </c>
      <c r="AY134" s="76"/>
      <c r="AZ134" s="76"/>
      <c r="BA134" s="76" t="b">
        <v>0</v>
      </c>
      <c r="BB134" s="76" t="b">
        <v>1</v>
      </c>
      <c r="BC134" s="76" t="b">
        <v>1</v>
      </c>
      <c r="BD134" s="76" t="b">
        <v>0</v>
      </c>
      <c r="BE134" s="76" t="b">
        <v>1</v>
      </c>
      <c r="BF134" s="76" t="b">
        <v>0</v>
      </c>
      <c r="BG134" s="76" t="b">
        <v>0</v>
      </c>
      <c r="BH134" s="83" t="str">
        <f>HYPERLINK("https://pbs.twimg.com/profile_banners/1146507462033518592/1691335557")</f>
        <v>https://pbs.twimg.com/profile_banners/1146507462033518592/1691335557</v>
      </c>
      <c r="BI134" s="76"/>
      <c r="BJ134" s="76" t="s">
        <v>19633</v>
      </c>
      <c r="BK134" s="76" t="b">
        <v>0</v>
      </c>
      <c r="BL134" s="76"/>
      <c r="BM134" s="76" t="s">
        <v>66</v>
      </c>
      <c r="BN134" s="76" t="s">
        <v>19635</v>
      </c>
      <c r="BO134" s="83" t="str">
        <f>HYPERLINK("https://twitter.com/ejlazzaretti")</f>
        <v>https://twitter.com/ejlazzaretti</v>
      </c>
      <c r="BP134" s="2"/>
    </row>
    <row r="135" spans="1:68" x14ac:dyDescent="0.25">
      <c r="A135" s="62" t="s">
        <v>952</v>
      </c>
      <c r="B135" s="63"/>
      <c r="C135" s="63"/>
      <c r="D135" s="64"/>
      <c r="E135" s="66"/>
      <c r="F135" s="103" t="str">
        <f>HYPERLINK("https://pbs.twimg.com/profile_images/1311404721232633856/UYlzPckZ_normal.jpg")</f>
        <v>https://pbs.twimg.com/profile_images/1311404721232633856/UYlzPckZ_normal.jpg</v>
      </c>
      <c r="G135" s="63"/>
      <c r="H135" s="67"/>
      <c r="I135" s="68"/>
      <c r="J135" s="68"/>
      <c r="K135" s="67" t="s">
        <v>19767</v>
      </c>
      <c r="L135" s="71"/>
      <c r="M135" s="72"/>
      <c r="N135" s="72"/>
      <c r="O135" s="73"/>
      <c r="P135" s="74"/>
      <c r="Q135" s="74"/>
      <c r="R135" s="87"/>
      <c r="S135" s="87"/>
      <c r="T135" s="87"/>
      <c r="U135" s="87"/>
      <c r="V135" s="48"/>
      <c r="W135" s="48"/>
      <c r="X135" s="47">
        <v>1.178E-3</v>
      </c>
      <c r="Y135" s="48"/>
      <c r="Z135" s="47"/>
      <c r="AA135" s="69">
        <v>135</v>
      </c>
      <c r="AB135" s="69"/>
      <c r="AC135" s="70"/>
      <c r="AD135" s="76" t="s">
        <v>16774</v>
      </c>
      <c r="AE135" s="81" t="s">
        <v>16554</v>
      </c>
      <c r="AF135" s="76">
        <v>198</v>
      </c>
      <c r="AG135" s="76">
        <v>1</v>
      </c>
      <c r="AH135" s="76">
        <v>308</v>
      </c>
      <c r="AI135" s="76">
        <v>2</v>
      </c>
      <c r="AJ135" s="76">
        <v>12</v>
      </c>
      <c r="AK135" s="76">
        <v>131</v>
      </c>
      <c r="AL135" s="76" t="b">
        <v>0</v>
      </c>
      <c r="AM135" s="78">
        <v>44046.722638888888</v>
      </c>
      <c r="AN135" s="76" t="s">
        <v>10574</v>
      </c>
      <c r="AO135" s="76" t="s">
        <v>18271</v>
      </c>
      <c r="AP135" s="83" t="str">
        <f>HYPERLINK("https://t.co/RfwrbGmOrs")</f>
        <v>https://t.co/RfwrbGmOrs</v>
      </c>
      <c r="AQ135" s="83" t="str">
        <f>HYPERLINK("https://linktr.ee/vokin")</f>
        <v>https://linktr.ee/vokin</v>
      </c>
      <c r="AR135" s="76" t="s">
        <v>19069</v>
      </c>
      <c r="AS135" s="76"/>
      <c r="AT135" s="76"/>
      <c r="AU135" s="76"/>
      <c r="AV135" s="76">
        <v>1.61142198353489E+18</v>
      </c>
      <c r="AW135" s="83" t="str">
        <f>HYPERLINK("https://t.co/RfwrbGmOrs")</f>
        <v>https://t.co/RfwrbGmOrs</v>
      </c>
      <c r="AX135" s="76" t="b">
        <v>0</v>
      </c>
      <c r="AY135" s="76"/>
      <c r="AZ135" s="76"/>
      <c r="BA135" s="76" t="b">
        <v>0</v>
      </c>
      <c r="BB135" s="76" t="b">
        <v>1</v>
      </c>
      <c r="BC135" s="76" t="b">
        <v>1</v>
      </c>
      <c r="BD135" s="76" t="b">
        <v>0</v>
      </c>
      <c r="BE135" s="76" t="b">
        <v>0</v>
      </c>
      <c r="BF135" s="76" t="b">
        <v>0</v>
      </c>
      <c r="BG135" s="76" t="b">
        <v>0</v>
      </c>
      <c r="BH135" s="83" t="str">
        <f>HYPERLINK("https://pbs.twimg.com/profile_banners/1290336746639708160/1601498345")</f>
        <v>https://pbs.twimg.com/profile_banners/1290336746639708160/1601498345</v>
      </c>
      <c r="BI135" s="76"/>
      <c r="BJ135" s="76" t="s">
        <v>19633</v>
      </c>
      <c r="BK135" s="76" t="b">
        <v>0</v>
      </c>
      <c r="BL135" s="76"/>
      <c r="BM135" s="76" t="s">
        <v>66</v>
      </c>
      <c r="BN135" s="76" t="s">
        <v>19635</v>
      </c>
      <c r="BO135" s="83" t="str">
        <f>HYPERLINK("https://twitter.com/vokininvest")</f>
        <v>https://twitter.com/vokininvest</v>
      </c>
      <c r="BP135" s="2"/>
    </row>
    <row r="136" spans="1:68" x14ac:dyDescent="0.25">
      <c r="A136" s="62" t="s">
        <v>337</v>
      </c>
      <c r="B136" s="63"/>
      <c r="C136" s="63"/>
      <c r="D136" s="64"/>
      <c r="E136" s="66"/>
      <c r="F136" s="103" t="str">
        <f>HYPERLINK("https://pbs.twimg.com/profile_images/1478161944452517889/mkzSNfjF_normal.jpg")</f>
        <v>https://pbs.twimg.com/profile_images/1478161944452517889/mkzSNfjF_normal.jpg</v>
      </c>
      <c r="G136" s="63"/>
      <c r="H136" s="67"/>
      <c r="I136" s="68"/>
      <c r="J136" s="68"/>
      <c r="K136" s="67" t="s">
        <v>19768</v>
      </c>
      <c r="L136" s="71"/>
      <c r="M136" s="72"/>
      <c r="N136" s="72"/>
      <c r="O136" s="73"/>
      <c r="P136" s="74"/>
      <c r="Q136" s="74"/>
      <c r="R136" s="87"/>
      <c r="S136" s="87"/>
      <c r="T136" s="87"/>
      <c r="U136" s="87"/>
      <c r="V136" s="48"/>
      <c r="W136" s="48"/>
      <c r="X136" s="47">
        <v>1.101E-3</v>
      </c>
      <c r="Y136" s="48"/>
      <c r="Z136" s="47"/>
      <c r="AA136" s="69">
        <v>136</v>
      </c>
      <c r="AB136" s="69"/>
      <c r="AC136" s="70"/>
      <c r="AD136" s="76" t="s">
        <v>16775</v>
      </c>
      <c r="AE136" s="81" t="s">
        <v>16198</v>
      </c>
      <c r="AF136" s="76">
        <v>7</v>
      </c>
      <c r="AG136" s="76">
        <v>183</v>
      </c>
      <c r="AH136" s="76">
        <v>29</v>
      </c>
      <c r="AI136" s="76">
        <v>3</v>
      </c>
      <c r="AJ136" s="76">
        <v>6</v>
      </c>
      <c r="AK136" s="76">
        <v>5</v>
      </c>
      <c r="AL136" s="76" t="b">
        <v>0</v>
      </c>
      <c r="AM136" s="78">
        <v>44565.021111111113</v>
      </c>
      <c r="AN136" s="76" t="s">
        <v>17907</v>
      </c>
      <c r="AO136" s="76" t="s">
        <v>18272</v>
      </c>
      <c r="AP136" s="83" t="str">
        <f>HYPERLINK("https://t.co/ECL3C3x1yT")</f>
        <v>https://t.co/ECL3C3x1yT</v>
      </c>
      <c r="AQ136" s="83" t="str">
        <f>HYPERLINK("http://www.hedgementor.com")</f>
        <v>http://www.hedgementor.com</v>
      </c>
      <c r="AR136" s="76" t="s">
        <v>19070</v>
      </c>
      <c r="AS136" s="76"/>
      <c r="AT136" s="76"/>
      <c r="AU136" s="76"/>
      <c r="AV136" s="76"/>
      <c r="AW136" s="83" t="str">
        <f>HYPERLINK("https://t.co/ECL3C3x1yT")</f>
        <v>https://t.co/ECL3C3x1yT</v>
      </c>
      <c r="AX136" s="76" t="b">
        <v>0</v>
      </c>
      <c r="AY136" s="76"/>
      <c r="AZ136" s="76"/>
      <c r="BA136" s="76" t="b">
        <v>0</v>
      </c>
      <c r="BB136" s="76" t="b">
        <v>1</v>
      </c>
      <c r="BC136" s="76" t="b">
        <v>1</v>
      </c>
      <c r="BD136" s="76" t="b">
        <v>0</v>
      </c>
      <c r="BE136" s="76" t="b">
        <v>0</v>
      </c>
      <c r="BF136" s="76" t="b">
        <v>0</v>
      </c>
      <c r="BG136" s="76" t="b">
        <v>0</v>
      </c>
      <c r="BH136" s="83" t="str">
        <f>HYPERLINK("https://pbs.twimg.com/profile_banners/1478161814739472386/1641256998")</f>
        <v>https://pbs.twimg.com/profile_banners/1478161814739472386/1641256998</v>
      </c>
      <c r="BI136" s="76"/>
      <c r="BJ136" s="76" t="s">
        <v>19633</v>
      </c>
      <c r="BK136" s="76" t="b">
        <v>0</v>
      </c>
      <c r="BL136" s="76"/>
      <c r="BM136" s="76" t="s">
        <v>66</v>
      </c>
      <c r="BN136" s="76" t="s">
        <v>19635</v>
      </c>
      <c r="BO136" s="83" t="str">
        <f>HYPERLINK("https://twitter.com/2krydex")</f>
        <v>https://twitter.com/2krydex</v>
      </c>
      <c r="BP136" s="2"/>
    </row>
    <row r="137" spans="1:68" x14ac:dyDescent="0.25">
      <c r="A137" s="62" t="s">
        <v>338</v>
      </c>
      <c r="B137" s="63"/>
      <c r="C137" s="63"/>
      <c r="D137" s="64"/>
      <c r="E137" s="66"/>
      <c r="F137" s="103" t="str">
        <f>HYPERLINK("https://pbs.twimg.com/profile_images/1287854989734547456/IVjNAuYy_normal.jpg")</f>
        <v>https://pbs.twimg.com/profile_images/1287854989734547456/IVjNAuYy_normal.jpg</v>
      </c>
      <c r="G137" s="63"/>
      <c r="H137" s="67"/>
      <c r="I137" s="68"/>
      <c r="J137" s="68"/>
      <c r="K137" s="67" t="s">
        <v>19769</v>
      </c>
      <c r="L137" s="71"/>
      <c r="M137" s="72"/>
      <c r="N137" s="72"/>
      <c r="O137" s="73"/>
      <c r="P137" s="74"/>
      <c r="Q137" s="74"/>
      <c r="R137" s="87"/>
      <c r="S137" s="87"/>
      <c r="T137" s="87"/>
      <c r="U137" s="87"/>
      <c r="V137" s="48"/>
      <c r="W137" s="48"/>
      <c r="X137" s="47">
        <v>1.101E-3</v>
      </c>
      <c r="Y137" s="48"/>
      <c r="Z137" s="47"/>
      <c r="AA137" s="69">
        <v>137</v>
      </c>
      <c r="AB137" s="69"/>
      <c r="AC137" s="70"/>
      <c r="AD137" s="76" t="s">
        <v>16776</v>
      </c>
      <c r="AE137" s="81" t="s">
        <v>15694</v>
      </c>
      <c r="AF137" s="76">
        <v>37</v>
      </c>
      <c r="AG137" s="76">
        <v>249</v>
      </c>
      <c r="AH137" s="76">
        <v>714</v>
      </c>
      <c r="AI137" s="76">
        <v>0</v>
      </c>
      <c r="AJ137" s="76">
        <v>871</v>
      </c>
      <c r="AK137" s="76">
        <v>18</v>
      </c>
      <c r="AL137" s="76" t="b">
        <v>0</v>
      </c>
      <c r="AM137" s="78">
        <v>40434.614120370374</v>
      </c>
      <c r="AN137" s="76" t="s">
        <v>17908</v>
      </c>
      <c r="AO137" s="76" t="s">
        <v>18273</v>
      </c>
      <c r="AP137" s="76"/>
      <c r="AQ137" s="76"/>
      <c r="AR137" s="76"/>
      <c r="AS137" s="76"/>
      <c r="AT137" s="76"/>
      <c r="AU137" s="76"/>
      <c r="AV137" s="76">
        <v>1.6719289383423601E+18</v>
      </c>
      <c r="AW137" s="76"/>
      <c r="AX137" s="76" t="b">
        <v>0</v>
      </c>
      <c r="AY137" s="76"/>
      <c r="AZ137" s="76"/>
      <c r="BA137" s="76" t="b">
        <v>0</v>
      </c>
      <c r="BB137" s="76" t="b">
        <v>0</v>
      </c>
      <c r="BC137" s="76" t="b">
        <v>0</v>
      </c>
      <c r="BD137" s="76" t="b">
        <v>0</v>
      </c>
      <c r="BE137" s="76" t="b">
        <v>1</v>
      </c>
      <c r="BF137" s="76" t="b">
        <v>0</v>
      </c>
      <c r="BG137" s="76" t="b">
        <v>0</v>
      </c>
      <c r="BH137" s="83" t="str">
        <f>HYPERLINK("https://pbs.twimg.com/profile_banners/190271535/1509671574")</f>
        <v>https://pbs.twimg.com/profile_banners/190271535/1509671574</v>
      </c>
      <c r="BI137" s="76"/>
      <c r="BJ137" s="76" t="s">
        <v>19633</v>
      </c>
      <c r="BK137" s="76" t="b">
        <v>0</v>
      </c>
      <c r="BL137" s="76"/>
      <c r="BM137" s="76" t="s">
        <v>66</v>
      </c>
      <c r="BN137" s="76" t="s">
        <v>19635</v>
      </c>
      <c r="BO137" s="83" t="str">
        <f>HYPERLINK("https://twitter.com/vi_ruscito")</f>
        <v>https://twitter.com/vi_ruscito</v>
      </c>
      <c r="BP137" s="2"/>
    </row>
    <row r="138" spans="1:68" x14ac:dyDescent="0.25">
      <c r="A138" s="62" t="s">
        <v>339</v>
      </c>
      <c r="B138" s="63"/>
      <c r="C138" s="63"/>
      <c r="D138" s="64"/>
      <c r="E138" s="66"/>
      <c r="F138" s="103" t="str">
        <f>HYPERLINK("https://pbs.twimg.com/profile_images/1558080847139454984/vmv80SmM_normal.jpg")</f>
        <v>https://pbs.twimg.com/profile_images/1558080847139454984/vmv80SmM_normal.jpg</v>
      </c>
      <c r="G138" s="63"/>
      <c r="H138" s="67"/>
      <c r="I138" s="68"/>
      <c r="J138" s="68"/>
      <c r="K138" s="67" t="s">
        <v>19770</v>
      </c>
      <c r="L138" s="71"/>
      <c r="M138" s="72"/>
      <c r="N138" s="72"/>
      <c r="O138" s="73"/>
      <c r="P138" s="74"/>
      <c r="Q138" s="74"/>
      <c r="R138" s="87"/>
      <c r="S138" s="87"/>
      <c r="T138" s="87"/>
      <c r="U138" s="87"/>
      <c r="V138" s="48"/>
      <c r="W138" s="48"/>
      <c r="X138" s="47">
        <v>1.101E-3</v>
      </c>
      <c r="Y138" s="48"/>
      <c r="Z138" s="47"/>
      <c r="AA138" s="69">
        <v>138</v>
      </c>
      <c r="AB138" s="69"/>
      <c r="AC138" s="70"/>
      <c r="AD138" s="76" t="s">
        <v>339</v>
      </c>
      <c r="AE138" s="81" t="s">
        <v>16199</v>
      </c>
      <c r="AF138" s="76">
        <v>6</v>
      </c>
      <c r="AG138" s="76">
        <v>42</v>
      </c>
      <c r="AH138" s="76">
        <v>78</v>
      </c>
      <c r="AI138" s="76">
        <v>0</v>
      </c>
      <c r="AJ138" s="76">
        <v>27</v>
      </c>
      <c r="AK138" s="76">
        <v>34</v>
      </c>
      <c r="AL138" s="76" t="b">
        <v>0</v>
      </c>
      <c r="AM138" s="78">
        <v>44754.636747685188</v>
      </c>
      <c r="AN138" s="76" t="s">
        <v>10631</v>
      </c>
      <c r="AO138" s="76" t="s">
        <v>18274</v>
      </c>
      <c r="AP138" s="83" t="str">
        <f>HYPERLINK("https://t.co/V9GiLeFJi2")</f>
        <v>https://t.co/V9GiLeFJi2</v>
      </c>
      <c r="AQ138" s="83" t="str">
        <f>HYPERLINK("https://www.financasecia.com.br/")</f>
        <v>https://www.financasecia.com.br/</v>
      </c>
      <c r="AR138" s="76" t="s">
        <v>19071</v>
      </c>
      <c r="AS138" s="83" t="str">
        <f>HYPERLINK("https://t.co/BqZGTotDER")</f>
        <v>https://t.co/BqZGTotDER</v>
      </c>
      <c r="AT138" s="83" t="str">
        <f>HYPERLINK("https://aliancanftbr.my.canva.site/financasecia")</f>
        <v>https://aliancanftbr.my.canva.site/financasecia</v>
      </c>
      <c r="AU138" s="76" t="s">
        <v>19585</v>
      </c>
      <c r="AV138" s="76"/>
      <c r="AW138" s="83" t="str">
        <f>HYPERLINK("https://t.co/V9GiLeFJi2")</f>
        <v>https://t.co/V9GiLeFJi2</v>
      </c>
      <c r="AX138" s="76" t="b">
        <v>0</v>
      </c>
      <c r="AY138" s="76"/>
      <c r="AZ138" s="76"/>
      <c r="BA138" s="76" t="b">
        <v>0</v>
      </c>
      <c r="BB138" s="76" t="b">
        <v>1</v>
      </c>
      <c r="BC138" s="76" t="b">
        <v>1</v>
      </c>
      <c r="BD138" s="76" t="b">
        <v>0</v>
      </c>
      <c r="BE138" s="76" t="b">
        <v>0</v>
      </c>
      <c r="BF138" s="76" t="b">
        <v>0</v>
      </c>
      <c r="BG138" s="76" t="b">
        <v>0</v>
      </c>
      <c r="BH138" s="83" t="str">
        <f>HYPERLINK("https://pbs.twimg.com/profile_banners/1546876165285183488/1657639386")</f>
        <v>https://pbs.twimg.com/profile_banners/1546876165285183488/1657639386</v>
      </c>
      <c r="BI138" s="76"/>
      <c r="BJ138" s="76" t="s">
        <v>19633</v>
      </c>
      <c r="BK138" s="76" t="b">
        <v>0</v>
      </c>
      <c r="BL138" s="76"/>
      <c r="BM138" s="76" t="s">
        <v>66</v>
      </c>
      <c r="BN138" s="76" t="s">
        <v>19635</v>
      </c>
      <c r="BO138" s="83" t="str">
        <f>HYPERLINK("https://twitter.com/financasecia")</f>
        <v>https://twitter.com/financasecia</v>
      </c>
      <c r="BP138" s="2"/>
    </row>
    <row r="139" spans="1:68" x14ac:dyDescent="0.25">
      <c r="A139" s="62" t="s">
        <v>340</v>
      </c>
      <c r="B139" s="63"/>
      <c r="C139" s="63"/>
      <c r="D139" s="64"/>
      <c r="E139" s="66"/>
      <c r="F139" s="103" t="str">
        <f>HYPERLINK("https://pbs.twimg.com/profile_images/1550150737312813057/MXXKlGrw_normal.jpg")</f>
        <v>https://pbs.twimg.com/profile_images/1550150737312813057/MXXKlGrw_normal.jpg</v>
      </c>
      <c r="G139" s="63"/>
      <c r="H139" s="67"/>
      <c r="I139" s="68"/>
      <c r="J139" s="68"/>
      <c r="K139" s="67" t="s">
        <v>19771</v>
      </c>
      <c r="L139" s="71"/>
      <c r="M139" s="72"/>
      <c r="N139" s="72"/>
      <c r="O139" s="73"/>
      <c r="P139" s="74"/>
      <c r="Q139" s="74"/>
      <c r="R139" s="87"/>
      <c r="S139" s="87"/>
      <c r="T139" s="87"/>
      <c r="U139" s="87"/>
      <c r="V139" s="48"/>
      <c r="W139" s="48"/>
      <c r="X139" s="47">
        <v>1.101E-3</v>
      </c>
      <c r="Y139" s="48"/>
      <c r="Z139" s="47"/>
      <c r="AA139" s="69">
        <v>139</v>
      </c>
      <c r="AB139" s="69"/>
      <c r="AC139" s="70"/>
      <c r="AD139" s="76" t="s">
        <v>16777</v>
      </c>
      <c r="AE139" s="81" t="s">
        <v>16200</v>
      </c>
      <c r="AF139" s="76">
        <v>34</v>
      </c>
      <c r="AG139" s="76">
        <v>98</v>
      </c>
      <c r="AH139" s="76">
        <v>557</v>
      </c>
      <c r="AI139" s="76">
        <v>0</v>
      </c>
      <c r="AJ139" s="76">
        <v>23411</v>
      </c>
      <c r="AK139" s="76">
        <v>61</v>
      </c>
      <c r="AL139" s="76" t="b">
        <v>0</v>
      </c>
      <c r="AM139" s="78">
        <v>43970.746342592596</v>
      </c>
      <c r="AN139" s="76" t="s">
        <v>10622</v>
      </c>
      <c r="AO139" s="76" t="s">
        <v>18275</v>
      </c>
      <c r="AP139" s="83" t="str">
        <f>HYPERLINK("https://t.co/RcwSdd2opR")</f>
        <v>https://t.co/RcwSdd2opR</v>
      </c>
      <c r="AQ139" s="83" t="str">
        <f>HYPERLINK("https://wa.me/message/YAFAFBVJSXRBG1")</f>
        <v>https://wa.me/message/YAFAFBVJSXRBG1</v>
      </c>
      <c r="AR139" s="76" t="s">
        <v>19072</v>
      </c>
      <c r="AS139" s="76"/>
      <c r="AT139" s="76"/>
      <c r="AU139" s="76"/>
      <c r="AV139" s="76"/>
      <c r="AW139" s="83" t="str">
        <f>HYPERLINK("https://t.co/RcwSdd2opR")</f>
        <v>https://t.co/RcwSdd2opR</v>
      </c>
      <c r="AX139" s="76" t="b">
        <v>0</v>
      </c>
      <c r="AY139" s="76"/>
      <c r="AZ139" s="76"/>
      <c r="BA139" s="76" t="b">
        <v>0</v>
      </c>
      <c r="BB139" s="76" t="b">
        <v>0</v>
      </c>
      <c r="BC139" s="76" t="b">
        <v>1</v>
      </c>
      <c r="BD139" s="76" t="b">
        <v>0</v>
      </c>
      <c r="BE139" s="76" t="b">
        <v>0</v>
      </c>
      <c r="BF139" s="76" t="b">
        <v>0</v>
      </c>
      <c r="BG139" s="76" t="b">
        <v>0</v>
      </c>
      <c r="BH139" s="83" t="str">
        <f>HYPERLINK("https://pbs.twimg.com/profile_banners/1262803844834222080/1622203434")</f>
        <v>https://pbs.twimg.com/profile_banners/1262803844834222080/1622203434</v>
      </c>
      <c r="BI139" s="76"/>
      <c r="BJ139" s="76" t="s">
        <v>19633</v>
      </c>
      <c r="BK139" s="76" t="b">
        <v>0</v>
      </c>
      <c r="BL139" s="76"/>
      <c r="BM139" s="76" t="s">
        <v>66</v>
      </c>
      <c r="BN139" s="76" t="s">
        <v>19635</v>
      </c>
      <c r="BO139" s="83" t="str">
        <f>HYPERLINK("https://twitter.com/cllaudioleite")</f>
        <v>https://twitter.com/cllaudioleite</v>
      </c>
      <c r="BP139" s="2"/>
    </row>
    <row r="140" spans="1:68" x14ac:dyDescent="0.25">
      <c r="A140" s="62" t="s">
        <v>341</v>
      </c>
      <c r="B140" s="63"/>
      <c r="C140" s="63"/>
      <c r="D140" s="64"/>
      <c r="E140" s="66"/>
      <c r="F140" s="103" t="str">
        <f>HYPERLINK("https://pbs.twimg.com/profile_images/1625951745963659307/aaiwnXqV_normal.jpg")</f>
        <v>https://pbs.twimg.com/profile_images/1625951745963659307/aaiwnXqV_normal.jpg</v>
      </c>
      <c r="G140" s="63"/>
      <c r="H140" s="67"/>
      <c r="I140" s="68"/>
      <c r="J140" s="68"/>
      <c r="K140" s="67" t="s">
        <v>19772</v>
      </c>
      <c r="L140" s="71"/>
      <c r="M140" s="72"/>
      <c r="N140" s="72"/>
      <c r="O140" s="73"/>
      <c r="P140" s="74"/>
      <c r="Q140" s="74"/>
      <c r="R140" s="87"/>
      <c r="S140" s="87"/>
      <c r="T140" s="87"/>
      <c r="U140" s="87"/>
      <c r="V140" s="48"/>
      <c r="W140" s="48"/>
      <c r="X140" s="47">
        <v>1.101E-3</v>
      </c>
      <c r="Y140" s="48"/>
      <c r="Z140" s="47"/>
      <c r="AA140" s="69">
        <v>140</v>
      </c>
      <c r="AB140" s="69"/>
      <c r="AC140" s="70"/>
      <c r="AD140" s="76" t="s">
        <v>16778</v>
      </c>
      <c r="AE140" s="81" t="s">
        <v>16201</v>
      </c>
      <c r="AF140" s="76">
        <v>71</v>
      </c>
      <c r="AG140" s="76">
        <v>25</v>
      </c>
      <c r="AH140" s="76">
        <v>201</v>
      </c>
      <c r="AI140" s="76">
        <v>0</v>
      </c>
      <c r="AJ140" s="76">
        <v>274</v>
      </c>
      <c r="AK140" s="76">
        <v>20</v>
      </c>
      <c r="AL140" s="76" t="b">
        <v>0</v>
      </c>
      <c r="AM140" s="78">
        <v>44905.927164351851</v>
      </c>
      <c r="AN140" s="76" t="s">
        <v>10552</v>
      </c>
      <c r="AO140" s="76" t="s">
        <v>18276</v>
      </c>
      <c r="AP140" s="76"/>
      <c r="AQ140" s="76"/>
      <c r="AR140" s="76"/>
      <c r="AS140" s="76"/>
      <c r="AT140" s="76"/>
      <c r="AU140" s="76"/>
      <c r="AV140" s="76">
        <v>1.6263143295606799E+18</v>
      </c>
      <c r="AW140" s="76"/>
      <c r="AX140" s="76" t="b">
        <v>0</v>
      </c>
      <c r="AY140" s="76"/>
      <c r="AZ140" s="76"/>
      <c r="BA140" s="76" t="b">
        <v>1</v>
      </c>
      <c r="BB140" s="76" t="b">
        <v>1</v>
      </c>
      <c r="BC140" s="76" t="b">
        <v>1</v>
      </c>
      <c r="BD140" s="76" t="b">
        <v>0</v>
      </c>
      <c r="BE140" s="76" t="b">
        <v>1</v>
      </c>
      <c r="BF140" s="76" t="b">
        <v>0</v>
      </c>
      <c r="BG140" s="76" t="b">
        <v>0</v>
      </c>
      <c r="BH140" s="83" t="str">
        <f>HYPERLINK("https://pbs.twimg.com/profile_banners/1601699609079939073/1676492226")</f>
        <v>https://pbs.twimg.com/profile_banners/1601699609079939073/1676492226</v>
      </c>
      <c r="BI140" s="76"/>
      <c r="BJ140" s="76" t="s">
        <v>19633</v>
      </c>
      <c r="BK140" s="76" t="b">
        <v>0</v>
      </c>
      <c r="BL140" s="76"/>
      <c r="BM140" s="76" t="s">
        <v>66</v>
      </c>
      <c r="BN140" s="76" t="s">
        <v>19635</v>
      </c>
      <c r="BO140" s="83" t="str">
        <f>HYPERLINK("https://twitter.com/tayliszatti")</f>
        <v>https://twitter.com/tayliszatti</v>
      </c>
      <c r="BP140" s="2"/>
    </row>
    <row r="141" spans="1:68" x14ac:dyDescent="0.25">
      <c r="A141" s="62" t="s">
        <v>342</v>
      </c>
      <c r="B141" s="63"/>
      <c r="C141" s="63"/>
      <c r="D141" s="64"/>
      <c r="E141" s="66"/>
      <c r="F141" s="103" t="str">
        <f>HYPERLINK("https://pbs.twimg.com/profile_images/1485247923868901376/AOtagI6o_normal.jpg")</f>
        <v>https://pbs.twimg.com/profile_images/1485247923868901376/AOtagI6o_normal.jpg</v>
      </c>
      <c r="G141" s="63"/>
      <c r="H141" s="67"/>
      <c r="I141" s="68"/>
      <c r="J141" s="68"/>
      <c r="K141" s="67" t="s">
        <v>19773</v>
      </c>
      <c r="L141" s="71"/>
      <c r="M141" s="72"/>
      <c r="N141" s="72"/>
      <c r="O141" s="73"/>
      <c r="P141" s="74"/>
      <c r="Q141" s="74"/>
      <c r="R141" s="87"/>
      <c r="S141" s="87"/>
      <c r="T141" s="87"/>
      <c r="U141" s="87"/>
      <c r="V141" s="48"/>
      <c r="W141" s="48"/>
      <c r="X141" s="47">
        <v>1.101E-3</v>
      </c>
      <c r="Y141" s="48"/>
      <c r="Z141" s="47"/>
      <c r="AA141" s="69">
        <v>141</v>
      </c>
      <c r="AB141" s="69"/>
      <c r="AC141" s="70"/>
      <c r="AD141" s="76" t="s">
        <v>16779</v>
      </c>
      <c r="AE141" s="81" t="s">
        <v>16202</v>
      </c>
      <c r="AF141" s="76">
        <v>7</v>
      </c>
      <c r="AG141" s="76">
        <v>60</v>
      </c>
      <c r="AH141" s="76">
        <v>215</v>
      </c>
      <c r="AI141" s="76">
        <v>0</v>
      </c>
      <c r="AJ141" s="76">
        <v>249</v>
      </c>
      <c r="AK141" s="76">
        <v>14</v>
      </c>
      <c r="AL141" s="76" t="b">
        <v>0</v>
      </c>
      <c r="AM141" s="78">
        <v>44584.574421296296</v>
      </c>
      <c r="AN141" s="76"/>
      <c r="AO141" s="76" t="s">
        <v>18277</v>
      </c>
      <c r="AP141" s="76"/>
      <c r="AQ141" s="76"/>
      <c r="AR141" s="76"/>
      <c r="AS141" s="76"/>
      <c r="AT141" s="76"/>
      <c r="AU141" s="76"/>
      <c r="AV141" s="76"/>
      <c r="AW141" s="76"/>
      <c r="AX141" s="76" t="b">
        <v>0</v>
      </c>
      <c r="AY141" s="76"/>
      <c r="AZ141" s="76"/>
      <c r="BA141" s="76" t="b">
        <v>0</v>
      </c>
      <c r="BB141" s="76" t="b">
        <v>1</v>
      </c>
      <c r="BC141" s="76" t="b">
        <v>1</v>
      </c>
      <c r="BD141" s="76" t="b">
        <v>0</v>
      </c>
      <c r="BE141" s="76" t="b">
        <v>1</v>
      </c>
      <c r="BF141" s="76" t="b">
        <v>0</v>
      </c>
      <c r="BG141" s="76" t="b">
        <v>0</v>
      </c>
      <c r="BH141" s="83" t="str">
        <f>HYPERLINK("https://pbs.twimg.com/profile_banners/1485247609065324550/1657734212")</f>
        <v>https://pbs.twimg.com/profile_banners/1485247609065324550/1657734212</v>
      </c>
      <c r="BI141" s="76"/>
      <c r="BJ141" s="76" t="s">
        <v>19633</v>
      </c>
      <c r="BK141" s="76" t="b">
        <v>0</v>
      </c>
      <c r="BL141" s="76"/>
      <c r="BM141" s="76" t="s">
        <v>66</v>
      </c>
      <c r="BN141" s="76" t="s">
        <v>19635</v>
      </c>
      <c r="BO141" s="83" t="str">
        <f>HYPERLINK("https://twitter.com/cassebbsb")</f>
        <v>https://twitter.com/cassebbsb</v>
      </c>
      <c r="BP141" s="2"/>
    </row>
    <row r="142" spans="1:68" x14ac:dyDescent="0.25">
      <c r="A142" s="62" t="s">
        <v>343</v>
      </c>
      <c r="B142" s="63"/>
      <c r="C142" s="63"/>
      <c r="D142" s="64"/>
      <c r="E142" s="66"/>
      <c r="F142" s="103" t="str">
        <f>HYPERLINK("https://pbs.twimg.com/profile_images/1598766824556007439/P3GkCgas_normal.jpg")</f>
        <v>https://pbs.twimg.com/profile_images/1598766824556007439/P3GkCgas_normal.jpg</v>
      </c>
      <c r="G142" s="63"/>
      <c r="H142" s="67"/>
      <c r="I142" s="68"/>
      <c r="J142" s="68"/>
      <c r="K142" s="67" t="s">
        <v>19774</v>
      </c>
      <c r="L142" s="71"/>
      <c r="M142" s="72"/>
      <c r="N142" s="72"/>
      <c r="O142" s="73"/>
      <c r="P142" s="74"/>
      <c r="Q142" s="74"/>
      <c r="R142" s="87"/>
      <c r="S142" s="87"/>
      <c r="T142" s="87"/>
      <c r="U142" s="87"/>
      <c r="V142" s="48"/>
      <c r="W142" s="48"/>
      <c r="X142" s="47">
        <v>1.101E-3</v>
      </c>
      <c r="Y142" s="48"/>
      <c r="Z142" s="47"/>
      <c r="AA142" s="69">
        <v>142</v>
      </c>
      <c r="AB142" s="69"/>
      <c r="AC142" s="70"/>
      <c r="AD142" s="76" t="s">
        <v>16780</v>
      </c>
      <c r="AE142" s="81" t="s">
        <v>16203</v>
      </c>
      <c r="AF142" s="76">
        <v>597</v>
      </c>
      <c r="AG142" s="76">
        <v>1481</v>
      </c>
      <c r="AH142" s="76">
        <v>1548</v>
      </c>
      <c r="AI142" s="76">
        <v>0</v>
      </c>
      <c r="AJ142" s="76">
        <v>1336</v>
      </c>
      <c r="AK142" s="76">
        <v>1050</v>
      </c>
      <c r="AL142" s="76" t="b">
        <v>0</v>
      </c>
      <c r="AM142" s="78">
        <v>44897.826296296298</v>
      </c>
      <c r="AN142" s="76"/>
      <c r="AO142" s="76"/>
      <c r="AP142" s="76"/>
      <c r="AQ142" s="76"/>
      <c r="AR142" s="76"/>
      <c r="AS142" s="76"/>
      <c r="AT142" s="76"/>
      <c r="AU142" s="76"/>
      <c r="AV142" s="76"/>
      <c r="AW142" s="76"/>
      <c r="AX142" s="76" t="b">
        <v>0</v>
      </c>
      <c r="AY142" s="76"/>
      <c r="AZ142" s="76"/>
      <c r="BA142" s="76" t="b">
        <v>0</v>
      </c>
      <c r="BB142" s="76" t="b">
        <v>1</v>
      </c>
      <c r="BC142" s="76" t="b">
        <v>1</v>
      </c>
      <c r="BD142" s="76" t="b">
        <v>0</v>
      </c>
      <c r="BE142" s="76" t="b">
        <v>1</v>
      </c>
      <c r="BF142" s="76" t="b">
        <v>0</v>
      </c>
      <c r="BG142" s="76" t="b">
        <v>0</v>
      </c>
      <c r="BH142" s="83" t="str">
        <f>HYPERLINK("https://pbs.twimg.com/profile_banners/1598766322694881305/1670073566")</f>
        <v>https://pbs.twimg.com/profile_banners/1598766322694881305/1670073566</v>
      </c>
      <c r="BI142" s="76"/>
      <c r="BJ142" s="76" t="s">
        <v>19633</v>
      </c>
      <c r="BK142" s="76" t="b">
        <v>0</v>
      </c>
      <c r="BL142" s="76"/>
      <c r="BM142" s="76" t="s">
        <v>66</v>
      </c>
      <c r="BN142" s="76" t="s">
        <v>19635</v>
      </c>
      <c r="BO142" s="83" t="str">
        <f>HYPERLINK("https://twitter.com/anastaciopbjpa")</f>
        <v>https://twitter.com/anastaciopbjpa</v>
      </c>
      <c r="BP142" s="2"/>
    </row>
    <row r="143" spans="1:68" x14ac:dyDescent="0.25">
      <c r="A143" s="62" t="s">
        <v>1061</v>
      </c>
      <c r="B143" s="63"/>
      <c r="C143" s="63"/>
      <c r="D143" s="64"/>
      <c r="E143" s="66"/>
      <c r="F143" s="103" t="str">
        <f>HYPERLINK("https://abs.twimg.com/sticky/default_profile_images/default_profile_normal.png")</f>
        <v>https://abs.twimg.com/sticky/default_profile_images/default_profile_normal.png</v>
      </c>
      <c r="G143" s="63"/>
      <c r="H143" s="67"/>
      <c r="I143" s="68"/>
      <c r="J143" s="68"/>
      <c r="K143" s="67" t="s">
        <v>19775</v>
      </c>
      <c r="L143" s="71"/>
      <c r="M143" s="72"/>
      <c r="N143" s="72"/>
      <c r="O143" s="73"/>
      <c r="P143" s="74"/>
      <c r="Q143" s="74"/>
      <c r="R143" s="87"/>
      <c r="S143" s="87"/>
      <c r="T143" s="87"/>
      <c r="U143" s="87"/>
      <c r="V143" s="48"/>
      <c r="W143" s="48"/>
      <c r="X143" s="47">
        <v>1.101E-3</v>
      </c>
      <c r="Y143" s="48"/>
      <c r="Z143" s="47"/>
      <c r="AA143" s="69">
        <v>143</v>
      </c>
      <c r="AB143" s="69"/>
      <c r="AC143" s="70"/>
      <c r="AD143" s="76" t="s">
        <v>1061</v>
      </c>
      <c r="AE143" s="81" t="s">
        <v>17584</v>
      </c>
      <c r="AF143" s="76">
        <v>165</v>
      </c>
      <c r="AG143" s="76">
        <v>5</v>
      </c>
      <c r="AH143" s="76">
        <v>1</v>
      </c>
      <c r="AI143" s="76">
        <v>7</v>
      </c>
      <c r="AJ143" s="76">
        <v>0</v>
      </c>
      <c r="AK143" s="76">
        <v>0</v>
      </c>
      <c r="AL143" s="76" t="b">
        <v>0</v>
      </c>
      <c r="AM143" s="78">
        <v>39168.369942129626</v>
      </c>
      <c r="AN143" s="76"/>
      <c r="AO143" s="76"/>
      <c r="AP143" s="76"/>
      <c r="AQ143" s="76"/>
      <c r="AR143" s="76"/>
      <c r="AS143" s="76"/>
      <c r="AT143" s="76"/>
      <c r="AU143" s="76"/>
      <c r="AV143" s="76"/>
      <c r="AW143" s="76"/>
      <c r="AX143" s="76" t="b">
        <v>0</v>
      </c>
      <c r="AY143" s="76"/>
      <c r="AZ143" s="76"/>
      <c r="BA143" s="76" t="b">
        <v>0</v>
      </c>
      <c r="BB143" s="76" t="b">
        <v>0</v>
      </c>
      <c r="BC143" s="76" t="b">
        <v>0</v>
      </c>
      <c r="BD143" s="76" t="b">
        <v>1</v>
      </c>
      <c r="BE143" s="76" t="b">
        <v>0</v>
      </c>
      <c r="BF143" s="76" t="b">
        <v>0</v>
      </c>
      <c r="BG143" s="76" t="b">
        <v>0</v>
      </c>
      <c r="BH143" s="76"/>
      <c r="BI143" s="76"/>
      <c r="BJ143" s="76" t="s">
        <v>19633</v>
      </c>
      <c r="BK143" s="76" t="b">
        <v>0</v>
      </c>
      <c r="BL143" s="76"/>
      <c r="BM143" s="76" t="s">
        <v>65</v>
      </c>
      <c r="BN143" s="76" t="s">
        <v>19635</v>
      </c>
      <c r="BO143" s="83" t="str">
        <f>HYPERLINK("https://twitter.com/let")</f>
        <v>https://twitter.com/let</v>
      </c>
      <c r="BP143" s="2"/>
    </row>
    <row r="144" spans="1:68" x14ac:dyDescent="0.25">
      <c r="A144" s="62" t="s">
        <v>344</v>
      </c>
      <c r="B144" s="63"/>
      <c r="C144" s="63"/>
      <c r="D144" s="64"/>
      <c r="E144" s="66"/>
      <c r="F144" s="103" t="str">
        <f>HYPERLINK("https://pbs.twimg.com/profile_images/1627812809370206208/ck4Av5FO_normal.jpg")</f>
        <v>https://pbs.twimg.com/profile_images/1627812809370206208/ck4Av5FO_normal.jpg</v>
      </c>
      <c r="G144" s="63"/>
      <c r="H144" s="67"/>
      <c r="I144" s="68"/>
      <c r="J144" s="68"/>
      <c r="K144" s="67" t="s">
        <v>19776</v>
      </c>
      <c r="L144" s="71"/>
      <c r="M144" s="72"/>
      <c r="N144" s="72"/>
      <c r="O144" s="73"/>
      <c r="P144" s="74"/>
      <c r="Q144" s="74"/>
      <c r="R144" s="87"/>
      <c r="S144" s="87"/>
      <c r="T144" s="87"/>
      <c r="U144" s="87"/>
      <c r="V144" s="48"/>
      <c r="W144" s="48"/>
      <c r="X144" s="47">
        <v>1.101E-3</v>
      </c>
      <c r="Y144" s="48"/>
      <c r="Z144" s="47"/>
      <c r="AA144" s="69">
        <v>144</v>
      </c>
      <c r="AB144" s="69"/>
      <c r="AC144" s="70"/>
      <c r="AD144" s="76" t="s">
        <v>16781</v>
      </c>
      <c r="AE144" s="81" t="s">
        <v>16204</v>
      </c>
      <c r="AF144" s="76">
        <v>5</v>
      </c>
      <c r="AG144" s="76">
        <v>57</v>
      </c>
      <c r="AH144" s="76">
        <v>52</v>
      </c>
      <c r="AI144" s="76">
        <v>1</v>
      </c>
      <c r="AJ144" s="76">
        <v>2</v>
      </c>
      <c r="AK144" s="76">
        <v>2</v>
      </c>
      <c r="AL144" s="76" t="b">
        <v>0</v>
      </c>
      <c r="AM144" s="78">
        <v>44424.045324074075</v>
      </c>
      <c r="AN144" s="76"/>
      <c r="AO144" s="76" t="s">
        <v>18278</v>
      </c>
      <c r="AP144" s="76"/>
      <c r="AQ144" s="76"/>
      <c r="AR144" s="76"/>
      <c r="AS144" s="76"/>
      <c r="AT144" s="76"/>
      <c r="AU144" s="76"/>
      <c r="AV144" s="76">
        <v>1.4270768174296599E+18</v>
      </c>
      <c r="AW144" s="76"/>
      <c r="AX144" s="76" t="b">
        <v>0</v>
      </c>
      <c r="AY144" s="76"/>
      <c r="AZ144" s="76"/>
      <c r="BA144" s="76" t="b">
        <v>0</v>
      </c>
      <c r="BB144" s="76" t="b">
        <v>1</v>
      </c>
      <c r="BC144" s="76" t="b">
        <v>1</v>
      </c>
      <c r="BD144" s="76" t="b">
        <v>0</v>
      </c>
      <c r="BE144" s="76" t="b">
        <v>1</v>
      </c>
      <c r="BF144" s="76" t="b">
        <v>0</v>
      </c>
      <c r="BG144" s="76" t="b">
        <v>0</v>
      </c>
      <c r="BH144" s="83" t="str">
        <f>HYPERLINK("https://pbs.twimg.com/profile_banners/1427073875624476679/1676935814")</f>
        <v>https://pbs.twimg.com/profile_banners/1427073875624476679/1676935814</v>
      </c>
      <c r="BI144" s="76"/>
      <c r="BJ144" s="76" t="s">
        <v>19633</v>
      </c>
      <c r="BK144" s="76" t="b">
        <v>0</v>
      </c>
      <c r="BL144" s="76"/>
      <c r="BM144" s="76" t="s">
        <v>66</v>
      </c>
      <c r="BN144" s="76" t="s">
        <v>19635</v>
      </c>
      <c r="BO144" s="83" t="str">
        <f>HYPERLINK("https://twitter.com/invest_geracao")</f>
        <v>https://twitter.com/invest_geracao</v>
      </c>
      <c r="BP144" s="2"/>
    </row>
    <row r="145" spans="1:68" x14ac:dyDescent="0.25">
      <c r="A145" s="62" t="s">
        <v>345</v>
      </c>
      <c r="B145" s="63"/>
      <c r="C145" s="63"/>
      <c r="D145" s="64"/>
      <c r="E145" s="66"/>
      <c r="F145" s="103" t="str">
        <f>HYPERLINK("https://pbs.twimg.com/profile_images/1646756314620608512/_2Kf1PVV_normal.jpg")</f>
        <v>https://pbs.twimg.com/profile_images/1646756314620608512/_2Kf1PVV_normal.jpg</v>
      </c>
      <c r="G145" s="63"/>
      <c r="H145" s="67"/>
      <c r="I145" s="68"/>
      <c r="J145" s="68"/>
      <c r="K145" s="67" t="s">
        <v>19777</v>
      </c>
      <c r="L145" s="71"/>
      <c r="M145" s="72"/>
      <c r="N145" s="72"/>
      <c r="O145" s="73"/>
      <c r="P145" s="74"/>
      <c r="Q145" s="74"/>
      <c r="R145" s="87"/>
      <c r="S145" s="87"/>
      <c r="T145" s="87"/>
      <c r="U145" s="87"/>
      <c r="V145" s="48"/>
      <c r="W145" s="48"/>
      <c r="X145" s="47">
        <v>1.101E-3</v>
      </c>
      <c r="Y145" s="48"/>
      <c r="Z145" s="47"/>
      <c r="AA145" s="69">
        <v>145</v>
      </c>
      <c r="AB145" s="69"/>
      <c r="AC145" s="70"/>
      <c r="AD145" s="76" t="s">
        <v>16782</v>
      </c>
      <c r="AE145" s="81" t="s">
        <v>16205</v>
      </c>
      <c r="AF145" s="76">
        <v>143</v>
      </c>
      <c r="AG145" s="76">
        <v>381</v>
      </c>
      <c r="AH145" s="76">
        <v>223</v>
      </c>
      <c r="AI145" s="76">
        <v>1</v>
      </c>
      <c r="AJ145" s="76">
        <v>1069</v>
      </c>
      <c r="AK145" s="76">
        <v>27</v>
      </c>
      <c r="AL145" s="76" t="b">
        <v>0</v>
      </c>
      <c r="AM145" s="78">
        <v>44946.421458333331</v>
      </c>
      <c r="AN145" s="76" t="s">
        <v>17909</v>
      </c>
      <c r="AO145" s="76" t="s">
        <v>18279</v>
      </c>
      <c r="AP145" s="83" t="str">
        <f>HYPERLINK("https://t.co/uq4wLsjgwe")</f>
        <v>https://t.co/uq4wLsjgwe</v>
      </c>
      <c r="AQ145" s="83" t="str">
        <f>HYPERLINK("https://freelancerproof.blogspot.com")</f>
        <v>https://freelancerproof.blogspot.com</v>
      </c>
      <c r="AR145" s="76" t="s">
        <v>19073</v>
      </c>
      <c r="AS145" s="76"/>
      <c r="AT145" s="76"/>
      <c r="AU145" s="76"/>
      <c r="AV145" s="76"/>
      <c r="AW145" s="83" t="str">
        <f>HYPERLINK("https://t.co/uq4wLsjgwe")</f>
        <v>https://t.co/uq4wLsjgwe</v>
      </c>
      <c r="AX145" s="76" t="b">
        <v>0</v>
      </c>
      <c r="AY145" s="76"/>
      <c r="AZ145" s="76"/>
      <c r="BA145" s="76" t="b">
        <v>1</v>
      </c>
      <c r="BB145" s="76" t="b">
        <v>1</v>
      </c>
      <c r="BC145" s="76" t="b">
        <v>1</v>
      </c>
      <c r="BD145" s="76" t="b">
        <v>0</v>
      </c>
      <c r="BE145" s="76" t="b">
        <v>0</v>
      </c>
      <c r="BF145" s="76" t="b">
        <v>0</v>
      </c>
      <c r="BG145" s="76" t="b">
        <v>0</v>
      </c>
      <c r="BH145" s="83" t="str">
        <f>HYPERLINK("https://pbs.twimg.com/profile_banners/1616376531130908674/1674826489")</f>
        <v>https://pbs.twimg.com/profile_banners/1616376531130908674/1674826489</v>
      </c>
      <c r="BI145" s="76"/>
      <c r="BJ145" s="76" t="s">
        <v>19633</v>
      </c>
      <c r="BK145" s="76" t="b">
        <v>0</v>
      </c>
      <c r="BL145" s="76"/>
      <c r="BM145" s="76" t="s">
        <v>66</v>
      </c>
      <c r="BN145" s="76" t="s">
        <v>19635</v>
      </c>
      <c r="BO145" s="83" t="str">
        <f>HYPERLINK("https://twitter.com/financer_ibraim")</f>
        <v>https://twitter.com/financer_ibraim</v>
      </c>
      <c r="BP145" s="2"/>
    </row>
    <row r="146" spans="1:68" x14ac:dyDescent="0.25">
      <c r="A146" s="62" t="s">
        <v>346</v>
      </c>
      <c r="B146" s="63"/>
      <c r="C146" s="63"/>
      <c r="D146" s="64"/>
      <c r="E146" s="66"/>
      <c r="F146" s="103" t="str">
        <f>HYPERLINK("https://pbs.twimg.com/profile_images/1452578858876776452/_wfUVSC2_normal.jpg")</f>
        <v>https://pbs.twimg.com/profile_images/1452578858876776452/_wfUVSC2_normal.jpg</v>
      </c>
      <c r="G146" s="63"/>
      <c r="H146" s="67"/>
      <c r="I146" s="68"/>
      <c r="J146" s="68"/>
      <c r="K146" s="67" t="s">
        <v>19778</v>
      </c>
      <c r="L146" s="71"/>
      <c r="M146" s="72"/>
      <c r="N146" s="72"/>
      <c r="O146" s="73"/>
      <c r="P146" s="74"/>
      <c r="Q146" s="74"/>
      <c r="R146" s="87"/>
      <c r="S146" s="87"/>
      <c r="T146" s="87"/>
      <c r="U146" s="87"/>
      <c r="V146" s="48"/>
      <c r="W146" s="48"/>
      <c r="X146" s="47">
        <v>1.101E-3</v>
      </c>
      <c r="Y146" s="48"/>
      <c r="Z146" s="47"/>
      <c r="AA146" s="69">
        <v>146</v>
      </c>
      <c r="AB146" s="69"/>
      <c r="AC146" s="70"/>
      <c r="AD146" s="76" t="s">
        <v>16783</v>
      </c>
      <c r="AE146" s="81" t="s">
        <v>16206</v>
      </c>
      <c r="AF146" s="76">
        <v>10</v>
      </c>
      <c r="AG146" s="76">
        <v>76</v>
      </c>
      <c r="AH146" s="76">
        <v>489</v>
      </c>
      <c r="AI146" s="76">
        <v>0</v>
      </c>
      <c r="AJ146" s="76">
        <v>0</v>
      </c>
      <c r="AK146" s="76">
        <v>489</v>
      </c>
      <c r="AL146" s="76" t="b">
        <v>0</v>
      </c>
      <c r="AM146" s="78">
        <v>44494.424363425926</v>
      </c>
      <c r="AN146" s="76" t="s">
        <v>17910</v>
      </c>
      <c r="AO146" s="76" t="s">
        <v>18280</v>
      </c>
      <c r="AP146" s="76"/>
      <c r="AQ146" s="76"/>
      <c r="AR146" s="76"/>
      <c r="AS146" s="76"/>
      <c r="AT146" s="76"/>
      <c r="AU146" s="76"/>
      <c r="AV146" s="76"/>
      <c r="AW146" s="76"/>
      <c r="AX146" s="76" t="b">
        <v>0</v>
      </c>
      <c r="AY146" s="76"/>
      <c r="AZ146" s="76"/>
      <c r="BA146" s="76" t="b">
        <v>0</v>
      </c>
      <c r="BB146" s="76" t="b">
        <v>1</v>
      </c>
      <c r="BC146" s="76" t="b">
        <v>1</v>
      </c>
      <c r="BD146" s="76" t="b">
        <v>0</v>
      </c>
      <c r="BE146" s="76" t="b">
        <v>0</v>
      </c>
      <c r="BF146" s="76" t="b">
        <v>0</v>
      </c>
      <c r="BG146" s="76" t="b">
        <v>0</v>
      </c>
      <c r="BH146" s="83" t="str">
        <f>HYPERLINK("https://pbs.twimg.com/profile_banners/1452578336094437382/1635156763")</f>
        <v>https://pbs.twimg.com/profile_banners/1452578336094437382/1635156763</v>
      </c>
      <c r="BI146" s="76"/>
      <c r="BJ146" s="76" t="s">
        <v>19633</v>
      </c>
      <c r="BK146" s="76" t="b">
        <v>0</v>
      </c>
      <c r="BL146" s="76"/>
      <c r="BM146" s="76" t="s">
        <v>66</v>
      </c>
      <c r="BN146" s="76" t="s">
        <v>19635</v>
      </c>
      <c r="BO146" s="83" t="str">
        <f>HYPERLINK("https://twitter.com/rabaioliadvs")</f>
        <v>https://twitter.com/rabaioliadvs</v>
      </c>
      <c r="BP146" s="2"/>
    </row>
    <row r="147" spans="1:68" x14ac:dyDescent="0.25">
      <c r="A147" s="62" t="s">
        <v>347</v>
      </c>
      <c r="B147" s="63"/>
      <c r="C147" s="63"/>
      <c r="D147" s="64"/>
      <c r="E147" s="66"/>
      <c r="F147" s="103" t="str">
        <f>HYPERLINK("https://pbs.twimg.com/profile_images/1240403189016469505/sNkpq40K_normal.jpg")</f>
        <v>https://pbs.twimg.com/profile_images/1240403189016469505/sNkpq40K_normal.jpg</v>
      </c>
      <c r="G147" s="63"/>
      <c r="H147" s="67"/>
      <c r="I147" s="68"/>
      <c r="J147" s="68"/>
      <c r="K147" s="67" t="s">
        <v>19779</v>
      </c>
      <c r="L147" s="71"/>
      <c r="M147" s="72"/>
      <c r="N147" s="72"/>
      <c r="O147" s="73"/>
      <c r="P147" s="74"/>
      <c r="Q147" s="74"/>
      <c r="R147" s="87"/>
      <c r="S147" s="87"/>
      <c r="T147" s="87"/>
      <c r="U147" s="87"/>
      <c r="V147" s="48"/>
      <c r="W147" s="48"/>
      <c r="X147" s="47">
        <v>1.2409999999999999E-3</v>
      </c>
      <c r="Y147" s="48"/>
      <c r="Z147" s="47"/>
      <c r="AA147" s="69">
        <v>147</v>
      </c>
      <c r="AB147" s="69"/>
      <c r="AC147" s="70"/>
      <c r="AD147" s="76" t="s">
        <v>16784</v>
      </c>
      <c r="AE147" s="81" t="s">
        <v>17585</v>
      </c>
      <c r="AF147" s="76">
        <v>2034</v>
      </c>
      <c r="AG147" s="76">
        <v>4987</v>
      </c>
      <c r="AH147" s="76">
        <v>14394</v>
      </c>
      <c r="AI147" s="76">
        <v>60</v>
      </c>
      <c r="AJ147" s="76">
        <v>8553</v>
      </c>
      <c r="AK147" s="76">
        <v>189</v>
      </c>
      <c r="AL147" s="76" t="b">
        <v>0</v>
      </c>
      <c r="AM147" s="78">
        <v>39650.536099537036</v>
      </c>
      <c r="AN147" s="76" t="s">
        <v>17911</v>
      </c>
      <c r="AO147" s="76" t="s">
        <v>18281</v>
      </c>
      <c r="AP147" s="83" t="str">
        <f>HYPERLINK("https://t.co/DcL5gGMNV6")</f>
        <v>https://t.co/DcL5gGMNV6</v>
      </c>
      <c r="AQ147" s="83" t="str">
        <f>HYPERLINK("http://organizze.com.br")</f>
        <v>http://organizze.com.br</v>
      </c>
      <c r="AR147" s="76" t="s">
        <v>19074</v>
      </c>
      <c r="AS147" s="76"/>
      <c r="AT147" s="76"/>
      <c r="AU147" s="76"/>
      <c r="AV147" s="76"/>
      <c r="AW147" s="83" t="str">
        <f>HYPERLINK("https://t.co/DcL5gGMNV6")</f>
        <v>https://t.co/DcL5gGMNV6</v>
      </c>
      <c r="AX147" s="76" t="b">
        <v>0</v>
      </c>
      <c r="AY147" s="76"/>
      <c r="AZ147" s="76"/>
      <c r="BA147" s="76" t="b">
        <v>0</v>
      </c>
      <c r="BB147" s="76" t="b">
        <v>1</v>
      </c>
      <c r="BC147" s="76" t="b">
        <v>0</v>
      </c>
      <c r="BD147" s="76" t="b">
        <v>0</v>
      </c>
      <c r="BE147" s="76" t="b">
        <v>1</v>
      </c>
      <c r="BF147" s="76" t="b">
        <v>0</v>
      </c>
      <c r="BG147" s="76" t="b">
        <v>0</v>
      </c>
      <c r="BH147" s="83" t="str">
        <f>HYPERLINK("https://pbs.twimg.com/profile_banners/15514372/1584570211")</f>
        <v>https://pbs.twimg.com/profile_banners/15514372/1584570211</v>
      </c>
      <c r="BI147" s="76"/>
      <c r="BJ147" s="76" t="s">
        <v>19633</v>
      </c>
      <c r="BK147" s="76" t="b">
        <v>0</v>
      </c>
      <c r="BL147" s="76"/>
      <c r="BM147" s="76" t="s">
        <v>66</v>
      </c>
      <c r="BN147" s="76" t="s">
        <v>19635</v>
      </c>
      <c r="BO147" s="83" t="str">
        <f>HYPERLINK("https://twitter.com/anderson77i")</f>
        <v>https://twitter.com/anderson77i</v>
      </c>
      <c r="BP147" s="2"/>
    </row>
    <row r="148" spans="1:68" x14ac:dyDescent="0.25">
      <c r="A148" s="62" t="s">
        <v>693</v>
      </c>
      <c r="B148" s="63"/>
      <c r="C148" s="63"/>
      <c r="D148" s="64"/>
      <c r="E148" s="66"/>
      <c r="F148" s="103" t="str">
        <f>HYPERLINK("https://pbs.twimg.com/profile_images/1654470883371565058/UJIlAYCp_normal.jpg")</f>
        <v>https://pbs.twimg.com/profile_images/1654470883371565058/UJIlAYCp_normal.jpg</v>
      </c>
      <c r="G148" s="63"/>
      <c r="H148" s="67"/>
      <c r="I148" s="68"/>
      <c r="J148" s="68"/>
      <c r="K148" s="67" t="s">
        <v>19780</v>
      </c>
      <c r="L148" s="71"/>
      <c r="M148" s="72"/>
      <c r="N148" s="72"/>
      <c r="O148" s="73"/>
      <c r="P148" s="74"/>
      <c r="Q148" s="74"/>
      <c r="R148" s="87"/>
      <c r="S148" s="87"/>
      <c r="T148" s="87"/>
      <c r="U148" s="87"/>
      <c r="V148" s="48"/>
      <c r="W148" s="48"/>
      <c r="X148" s="47">
        <v>1.0989999999999999E-3</v>
      </c>
      <c r="Y148" s="48"/>
      <c r="Z148" s="47"/>
      <c r="AA148" s="69">
        <v>148</v>
      </c>
      <c r="AB148" s="69"/>
      <c r="AC148" s="70"/>
      <c r="AD148" s="76" t="s">
        <v>16785</v>
      </c>
      <c r="AE148" s="81" t="s">
        <v>17586</v>
      </c>
      <c r="AF148" s="76">
        <v>4801</v>
      </c>
      <c r="AG148" s="76">
        <v>999</v>
      </c>
      <c r="AH148" s="76">
        <v>8950</v>
      </c>
      <c r="AI148" s="76">
        <v>64</v>
      </c>
      <c r="AJ148" s="76">
        <v>5903</v>
      </c>
      <c r="AK148" s="76">
        <v>2481</v>
      </c>
      <c r="AL148" s="76" t="b">
        <v>0</v>
      </c>
      <c r="AM148" s="78">
        <v>40205.977025462962</v>
      </c>
      <c r="AN148" s="76" t="s">
        <v>17912</v>
      </c>
      <c r="AO148" s="76" t="s">
        <v>18282</v>
      </c>
      <c r="AP148" s="83" t="str">
        <f>HYPERLINK("https://t.co/pdDhAgtQcc")</f>
        <v>https://t.co/pdDhAgtQcc</v>
      </c>
      <c r="AQ148" s="83" t="str">
        <f>HYPERLINK("https://linktr.ee/organizzeme")</f>
        <v>https://linktr.ee/organizzeme</v>
      </c>
      <c r="AR148" s="76" t="s">
        <v>19075</v>
      </c>
      <c r="AS148" s="76"/>
      <c r="AT148" s="76"/>
      <c r="AU148" s="76"/>
      <c r="AV148" s="76"/>
      <c r="AW148" s="83" t="str">
        <f>HYPERLINK("https://t.co/pdDhAgtQcc")</f>
        <v>https://t.co/pdDhAgtQcc</v>
      </c>
      <c r="AX148" s="76" t="b">
        <v>0</v>
      </c>
      <c r="AY148" s="76"/>
      <c r="AZ148" s="76"/>
      <c r="BA148" s="76" t="b">
        <v>1</v>
      </c>
      <c r="BB148" s="76" t="b">
        <v>1</v>
      </c>
      <c r="BC148" s="76" t="b">
        <v>0</v>
      </c>
      <c r="BD148" s="76" t="b">
        <v>0</v>
      </c>
      <c r="BE148" s="76" t="b">
        <v>1</v>
      </c>
      <c r="BF148" s="76" t="b">
        <v>0</v>
      </c>
      <c r="BG148" s="76" t="b">
        <v>0</v>
      </c>
      <c r="BH148" s="83" t="str">
        <f>HYPERLINK("https://pbs.twimg.com/profile_banners/109091764/1693587084")</f>
        <v>https://pbs.twimg.com/profile_banners/109091764/1693587084</v>
      </c>
      <c r="BI148" s="76"/>
      <c r="BJ148" s="76" t="s">
        <v>19633</v>
      </c>
      <c r="BK148" s="76" t="b">
        <v>0</v>
      </c>
      <c r="BL148" s="76"/>
      <c r="BM148" s="76" t="s">
        <v>66</v>
      </c>
      <c r="BN148" s="76" t="s">
        <v>19635</v>
      </c>
      <c r="BO148" s="83" t="str">
        <f>HYPERLINK("https://twitter.com/organizze")</f>
        <v>https://twitter.com/organizze</v>
      </c>
      <c r="BP148" s="2"/>
    </row>
    <row r="149" spans="1:68" x14ac:dyDescent="0.25">
      <c r="A149" s="62" t="s">
        <v>420</v>
      </c>
      <c r="B149" s="63"/>
      <c r="C149" s="63"/>
      <c r="D149" s="64"/>
      <c r="E149" s="66"/>
      <c r="F149" s="103" t="str">
        <f>HYPERLINK("https://pbs.twimg.com/profile_images/1241147984924082183/gZgx_hL-_normal.jpg")</f>
        <v>https://pbs.twimg.com/profile_images/1241147984924082183/gZgx_hL-_normal.jpg</v>
      </c>
      <c r="G149" s="63"/>
      <c r="H149" s="67"/>
      <c r="I149" s="68"/>
      <c r="J149" s="68"/>
      <c r="K149" s="67" t="s">
        <v>19781</v>
      </c>
      <c r="L149" s="71"/>
      <c r="M149" s="72"/>
      <c r="N149" s="72"/>
      <c r="O149" s="73"/>
      <c r="P149" s="74"/>
      <c r="Q149" s="74"/>
      <c r="R149" s="87"/>
      <c r="S149" s="87"/>
      <c r="T149" s="87"/>
      <c r="U149" s="87"/>
      <c r="V149" s="48"/>
      <c r="W149" s="48"/>
      <c r="X149" s="47">
        <v>1.903E-3</v>
      </c>
      <c r="Y149" s="48"/>
      <c r="Z149" s="47"/>
      <c r="AA149" s="69">
        <v>149</v>
      </c>
      <c r="AB149" s="69"/>
      <c r="AC149" s="70"/>
      <c r="AD149" s="76" t="s">
        <v>16786</v>
      </c>
      <c r="AE149" s="81" t="s">
        <v>15756</v>
      </c>
      <c r="AF149" s="76">
        <v>70515</v>
      </c>
      <c r="AG149" s="76">
        <v>28</v>
      </c>
      <c r="AH149" s="76">
        <v>27705</v>
      </c>
      <c r="AI149" s="76">
        <v>326</v>
      </c>
      <c r="AJ149" s="76">
        <v>357</v>
      </c>
      <c r="AK149" s="76">
        <v>2438</v>
      </c>
      <c r="AL149" s="76" t="b">
        <v>0</v>
      </c>
      <c r="AM149" s="78">
        <v>43896.790462962963</v>
      </c>
      <c r="AN149" s="76" t="s">
        <v>10552</v>
      </c>
      <c r="AO149" s="76" t="s">
        <v>18283</v>
      </c>
      <c r="AP149" s="83" t="str">
        <f>HYPERLINK("https://t.co/UXpU15u2ux")</f>
        <v>https://t.co/UXpU15u2ux</v>
      </c>
      <c r="AQ149" s="83" t="str">
        <f>HYPERLINK("https://mla.bs/c1acb5b4")</f>
        <v>https://mla.bs/c1acb5b4</v>
      </c>
      <c r="AR149" s="76" t="s">
        <v>19076</v>
      </c>
      <c r="AS149" s="76"/>
      <c r="AT149" s="76"/>
      <c r="AU149" s="76"/>
      <c r="AV149" s="76">
        <v>1.6658505570456499E+18</v>
      </c>
      <c r="AW149" s="83" t="str">
        <f>HYPERLINK("https://t.co/UXpU15u2ux")</f>
        <v>https://t.co/UXpU15u2ux</v>
      </c>
      <c r="AX149" s="76" t="b">
        <v>0</v>
      </c>
      <c r="AY149" s="76"/>
      <c r="AZ149" s="76"/>
      <c r="BA149" s="76" t="b">
        <v>1</v>
      </c>
      <c r="BB149" s="76" t="b">
        <v>1</v>
      </c>
      <c r="BC149" s="76" t="b">
        <v>1</v>
      </c>
      <c r="BD149" s="76" t="b">
        <v>0</v>
      </c>
      <c r="BE149" s="76" t="b">
        <v>1</v>
      </c>
      <c r="BF149" s="76" t="b">
        <v>0</v>
      </c>
      <c r="BG149" s="76" t="b">
        <v>0</v>
      </c>
      <c r="BH149" s="83" t="str">
        <f>HYPERLINK("https://pbs.twimg.com/profile_banners/1236003131244392448/1685619312")</f>
        <v>https://pbs.twimg.com/profile_banners/1236003131244392448/1685619312</v>
      </c>
      <c r="BI149" s="76"/>
      <c r="BJ149" s="76" t="s">
        <v>19633</v>
      </c>
      <c r="BK149" s="76" t="b">
        <v>0</v>
      </c>
      <c r="BL149" s="76"/>
      <c r="BM149" s="76" t="s">
        <v>66</v>
      </c>
      <c r="BN149" s="76" t="s">
        <v>19635</v>
      </c>
      <c r="BO149" s="83" t="str">
        <f>HYPERLINK("https://twitter.com/einvestidor")</f>
        <v>https://twitter.com/einvestidor</v>
      </c>
      <c r="BP149" s="2"/>
    </row>
    <row r="150" spans="1:68" x14ac:dyDescent="0.25">
      <c r="A150" s="62" t="s">
        <v>870</v>
      </c>
      <c r="B150" s="63"/>
      <c r="C150" s="63"/>
      <c r="D150" s="64"/>
      <c r="E150" s="66"/>
      <c r="F150" s="103" t="str">
        <f>HYPERLINK("https://pbs.twimg.com/profile_images/1498105431478226945/zGag2UWm_normal.jpg")</f>
        <v>https://pbs.twimg.com/profile_images/1498105431478226945/zGag2UWm_normal.jpg</v>
      </c>
      <c r="G150" s="63"/>
      <c r="H150" s="67"/>
      <c r="I150" s="68"/>
      <c r="J150" s="68"/>
      <c r="K150" s="67" t="s">
        <v>19782</v>
      </c>
      <c r="L150" s="71"/>
      <c r="M150" s="72"/>
      <c r="N150" s="72"/>
      <c r="O150" s="73"/>
      <c r="P150" s="74"/>
      <c r="Q150" s="74"/>
      <c r="R150" s="87"/>
      <c r="S150" s="87"/>
      <c r="T150" s="87"/>
      <c r="U150" s="87"/>
      <c r="V150" s="48"/>
      <c r="W150" s="48"/>
      <c r="X150" s="47">
        <v>1.0460000000000001E-3</v>
      </c>
      <c r="Y150" s="48"/>
      <c r="Z150" s="47"/>
      <c r="AA150" s="69">
        <v>150</v>
      </c>
      <c r="AB150" s="69"/>
      <c r="AC150" s="70"/>
      <c r="AD150" s="76" t="s">
        <v>16787</v>
      </c>
      <c r="AE150" s="81" t="s">
        <v>17587</v>
      </c>
      <c r="AF150" s="76">
        <v>16313</v>
      </c>
      <c r="AG150" s="76">
        <v>998</v>
      </c>
      <c r="AH150" s="76">
        <v>26813</v>
      </c>
      <c r="AI150" s="76">
        <v>212</v>
      </c>
      <c r="AJ150" s="76">
        <v>2724</v>
      </c>
      <c r="AK150" s="76">
        <v>1182</v>
      </c>
      <c r="AL150" s="76" t="b">
        <v>0</v>
      </c>
      <c r="AM150" s="78">
        <v>39899.771481481483</v>
      </c>
      <c r="AN150" s="76" t="s">
        <v>17867</v>
      </c>
      <c r="AO150" s="76" t="s">
        <v>18284</v>
      </c>
      <c r="AP150" s="83" t="str">
        <f>HYPERLINK("https://t.co/sYzln2Or6I")</f>
        <v>https://t.co/sYzln2Or6I</v>
      </c>
      <c r="AQ150" s="83" t="str">
        <f>HYPERLINK("https://joaokepler.com.br/")</f>
        <v>https://joaokepler.com.br/</v>
      </c>
      <c r="AR150" s="76" t="s">
        <v>19077</v>
      </c>
      <c r="AS150" s="76"/>
      <c r="AT150" s="76"/>
      <c r="AU150" s="76"/>
      <c r="AV150" s="76"/>
      <c r="AW150" s="83" t="str">
        <f>HYPERLINK("https://t.co/sYzln2Or6I")</f>
        <v>https://t.co/sYzln2Or6I</v>
      </c>
      <c r="AX150" s="76" t="b">
        <v>1</v>
      </c>
      <c r="AY150" s="76"/>
      <c r="AZ150" s="76"/>
      <c r="BA150" s="76" t="b">
        <v>0</v>
      </c>
      <c r="BB150" s="76" t="b">
        <v>1</v>
      </c>
      <c r="BC150" s="76" t="b">
        <v>0</v>
      </c>
      <c r="BD150" s="76" t="b">
        <v>0</v>
      </c>
      <c r="BE150" s="76" t="b">
        <v>0</v>
      </c>
      <c r="BF150" s="76" t="b">
        <v>0</v>
      </c>
      <c r="BG150" s="76" t="b">
        <v>0</v>
      </c>
      <c r="BH150" s="83" t="str">
        <f>HYPERLINK("https://pbs.twimg.com/profile_banners/27064481/1654680761")</f>
        <v>https://pbs.twimg.com/profile_banners/27064481/1654680761</v>
      </c>
      <c r="BI150" s="76"/>
      <c r="BJ150" s="76" t="s">
        <v>19633</v>
      </c>
      <c r="BK150" s="76" t="b">
        <v>0</v>
      </c>
      <c r="BL150" s="76"/>
      <c r="BM150" s="76" t="s">
        <v>66</v>
      </c>
      <c r="BN150" s="76" t="s">
        <v>19635</v>
      </c>
      <c r="BO150" s="83" t="str">
        <f>HYPERLINK("https://twitter.com/joaokepler")</f>
        <v>https://twitter.com/joaokepler</v>
      </c>
      <c r="BP150" s="2"/>
    </row>
    <row r="151" spans="1:68" x14ac:dyDescent="0.25">
      <c r="A151" s="62" t="s">
        <v>367</v>
      </c>
      <c r="B151" s="63"/>
      <c r="C151" s="63"/>
      <c r="D151" s="64"/>
      <c r="E151" s="66"/>
      <c r="F151" s="103" t="str">
        <f>HYPERLINK("https://pbs.twimg.com/profile_images/1354951174034776067/6ahHaR03_normal.jpg")</f>
        <v>https://pbs.twimg.com/profile_images/1354951174034776067/6ahHaR03_normal.jpg</v>
      </c>
      <c r="G151" s="63"/>
      <c r="H151" s="67"/>
      <c r="I151" s="68"/>
      <c r="J151" s="68"/>
      <c r="K151" s="67" t="s">
        <v>19783</v>
      </c>
      <c r="L151" s="71"/>
      <c r="M151" s="72"/>
      <c r="N151" s="72"/>
      <c r="O151" s="73"/>
      <c r="P151" s="74"/>
      <c r="Q151" s="74"/>
      <c r="R151" s="87"/>
      <c r="S151" s="87"/>
      <c r="T151" s="87"/>
      <c r="U151" s="87"/>
      <c r="V151" s="48"/>
      <c r="W151" s="48"/>
      <c r="X151" s="47">
        <v>1.0219999999999999E-3</v>
      </c>
      <c r="Y151" s="48"/>
      <c r="Z151" s="47"/>
      <c r="AA151" s="69">
        <v>151</v>
      </c>
      <c r="AB151" s="69"/>
      <c r="AC151" s="70"/>
      <c r="AD151" s="76" t="s">
        <v>16788</v>
      </c>
      <c r="AE151" s="81" t="s">
        <v>17588</v>
      </c>
      <c r="AF151" s="76">
        <v>586</v>
      </c>
      <c r="AG151" s="76">
        <v>453</v>
      </c>
      <c r="AH151" s="76">
        <v>76782</v>
      </c>
      <c r="AI151" s="76">
        <v>29</v>
      </c>
      <c r="AJ151" s="76">
        <v>706</v>
      </c>
      <c r="AK151" s="76">
        <v>6814</v>
      </c>
      <c r="AL151" s="76" t="b">
        <v>0</v>
      </c>
      <c r="AM151" s="78">
        <v>39919.471759259257</v>
      </c>
      <c r="AN151" s="76" t="s">
        <v>17913</v>
      </c>
      <c r="AO151" s="76" t="s">
        <v>18285</v>
      </c>
      <c r="AP151" s="76"/>
      <c r="AQ151" s="76"/>
      <c r="AR151" s="76"/>
      <c r="AS151" s="76"/>
      <c r="AT151" s="76"/>
      <c r="AU151" s="76"/>
      <c r="AV151" s="76"/>
      <c r="AW151" s="76"/>
      <c r="AX151" s="76" t="b">
        <v>0</v>
      </c>
      <c r="AY151" s="76"/>
      <c r="AZ151" s="76"/>
      <c r="BA151" s="76" t="b">
        <v>0</v>
      </c>
      <c r="BB151" s="76" t="b">
        <v>1</v>
      </c>
      <c r="BC151" s="76" t="b">
        <v>0</v>
      </c>
      <c r="BD151" s="76" t="b">
        <v>0</v>
      </c>
      <c r="BE151" s="76" t="b">
        <v>1</v>
      </c>
      <c r="BF151" s="76" t="b">
        <v>0</v>
      </c>
      <c r="BG151" s="76" t="b">
        <v>0</v>
      </c>
      <c r="BH151" s="83" t="str">
        <f>HYPERLINK("https://pbs.twimg.com/profile_banners/31728843/1673640578")</f>
        <v>https://pbs.twimg.com/profile_banners/31728843/1673640578</v>
      </c>
      <c r="BI151" s="76"/>
      <c r="BJ151" s="76" t="s">
        <v>19634</v>
      </c>
      <c r="BK151" s="76" t="b">
        <v>0</v>
      </c>
      <c r="BL151" s="76"/>
      <c r="BM151" s="76" t="s">
        <v>66</v>
      </c>
      <c r="BN151" s="76" t="s">
        <v>19635</v>
      </c>
      <c r="BO151" s="83" t="str">
        <f>HYPERLINK("https://twitter.com/twetthiago")</f>
        <v>https://twitter.com/twetthiago</v>
      </c>
      <c r="BP151" s="2"/>
    </row>
    <row r="152" spans="1:68" x14ac:dyDescent="0.25">
      <c r="A152" s="62" t="s">
        <v>922</v>
      </c>
      <c r="B152" s="63"/>
      <c r="C152" s="63"/>
      <c r="D152" s="64"/>
      <c r="E152" s="66"/>
      <c r="F152" s="103" t="str">
        <f>HYPERLINK("https://pbs.twimg.com/profile_images/1674371511996628993/reGcyxoU_normal.jpg")</f>
        <v>https://pbs.twimg.com/profile_images/1674371511996628993/reGcyxoU_normal.jpg</v>
      </c>
      <c r="G152" s="63"/>
      <c r="H152" s="67"/>
      <c r="I152" s="68"/>
      <c r="J152" s="68"/>
      <c r="K152" s="67" t="s">
        <v>19784</v>
      </c>
      <c r="L152" s="71"/>
      <c r="M152" s="72"/>
      <c r="N152" s="72"/>
      <c r="O152" s="73"/>
      <c r="P152" s="74"/>
      <c r="Q152" s="74"/>
      <c r="R152" s="87"/>
      <c r="S152" s="87"/>
      <c r="T152" s="87"/>
      <c r="U152" s="87"/>
      <c r="V152" s="48"/>
      <c r="W152" s="48"/>
      <c r="X152" s="47">
        <v>1.178E-3</v>
      </c>
      <c r="Y152" s="48"/>
      <c r="Z152" s="47"/>
      <c r="AA152" s="69">
        <v>152</v>
      </c>
      <c r="AB152" s="69"/>
      <c r="AC152" s="70"/>
      <c r="AD152" s="76" t="s">
        <v>16789</v>
      </c>
      <c r="AE152" s="81" t="s">
        <v>15785</v>
      </c>
      <c r="AF152" s="76">
        <v>460978</v>
      </c>
      <c r="AG152" s="76">
        <v>98</v>
      </c>
      <c r="AH152" s="76">
        <v>11010</v>
      </c>
      <c r="AI152" s="76">
        <v>1925</v>
      </c>
      <c r="AJ152" s="76">
        <v>422</v>
      </c>
      <c r="AK152" s="76">
        <v>4874</v>
      </c>
      <c r="AL152" s="76" t="b">
        <v>0</v>
      </c>
      <c r="AM152" s="78">
        <v>40514.689143518517</v>
      </c>
      <c r="AN152" s="76" t="s">
        <v>17914</v>
      </c>
      <c r="AO152" s="76" t="s">
        <v>18286</v>
      </c>
      <c r="AP152" s="83" t="str">
        <f>HYPERLINK("https://t.co/IX5QvxVQ16")</f>
        <v>https://t.co/IX5QvxVQ16</v>
      </c>
      <c r="AQ152" s="83" t="str">
        <f>HYPERLINK("http://www.bcb.gov.br")</f>
        <v>http://www.bcb.gov.br</v>
      </c>
      <c r="AR152" s="76" t="s">
        <v>19078</v>
      </c>
      <c r="AS152" s="83" t="str">
        <f>HYPERLINK("https://t.co/VrFnR3Etep")</f>
        <v>https://t.co/VrFnR3Etep</v>
      </c>
      <c r="AT152" s="83" t="str">
        <f>HYPERLINK("http://linktr.ee/bancocentraldo")</f>
        <v>http://linktr.ee/bancocentraldo</v>
      </c>
      <c r="AU152" s="76" t="s">
        <v>19586</v>
      </c>
      <c r="AV152" s="76">
        <v>1.64576261704513E+18</v>
      </c>
      <c r="AW152" s="83" t="str">
        <f>HYPERLINK("https://t.co/IX5QvxVQ16")</f>
        <v>https://t.co/IX5QvxVQ16</v>
      </c>
      <c r="AX152" s="76" t="b">
        <v>0</v>
      </c>
      <c r="AY152" s="76"/>
      <c r="AZ152" s="76"/>
      <c r="BA152" s="76" t="b">
        <v>1</v>
      </c>
      <c r="BB152" s="76" t="b">
        <v>0</v>
      </c>
      <c r="BC152" s="76" t="b">
        <v>0</v>
      </c>
      <c r="BD152" s="76" t="b">
        <v>0</v>
      </c>
      <c r="BE152" s="76" t="b">
        <v>1</v>
      </c>
      <c r="BF152" s="76" t="b">
        <v>0</v>
      </c>
      <c r="BG152" s="76" t="b">
        <v>0</v>
      </c>
      <c r="BH152" s="83" t="str">
        <f>HYPERLINK("https://pbs.twimg.com/profile_banners/222157159/1671448684")</f>
        <v>https://pbs.twimg.com/profile_banners/222157159/1671448684</v>
      </c>
      <c r="BI152" s="76"/>
      <c r="BJ152" s="76" t="s">
        <v>19633</v>
      </c>
      <c r="BK152" s="76" t="b">
        <v>0</v>
      </c>
      <c r="BL152" s="76"/>
      <c r="BM152" s="76" t="s">
        <v>66</v>
      </c>
      <c r="BN152" s="76" t="s">
        <v>19635</v>
      </c>
      <c r="BO152" s="83" t="str">
        <f>HYPERLINK("https://twitter.com/bancocentralbr")</f>
        <v>https://twitter.com/bancocentralbr</v>
      </c>
      <c r="BP152" s="2"/>
    </row>
    <row r="153" spans="1:68" x14ac:dyDescent="0.25">
      <c r="A153" s="62" t="s">
        <v>348</v>
      </c>
      <c r="B153" s="63"/>
      <c r="C153" s="63"/>
      <c r="D153" s="64"/>
      <c r="E153" s="66"/>
      <c r="F153" s="103" t="str">
        <f>HYPERLINK("https://pbs.twimg.com/profile_images/1692217044622585870/QgFpIhV2_normal.jpg")</f>
        <v>https://pbs.twimg.com/profile_images/1692217044622585870/QgFpIhV2_normal.jpg</v>
      </c>
      <c r="G153" s="63"/>
      <c r="H153" s="67"/>
      <c r="I153" s="68"/>
      <c r="J153" s="68"/>
      <c r="K153" s="67" t="s">
        <v>19785</v>
      </c>
      <c r="L153" s="71"/>
      <c r="M153" s="72"/>
      <c r="N153" s="72"/>
      <c r="O153" s="73"/>
      <c r="P153" s="74"/>
      <c r="Q153" s="74"/>
      <c r="R153" s="87"/>
      <c r="S153" s="87"/>
      <c r="T153" s="87"/>
      <c r="U153" s="87"/>
      <c r="V153" s="48"/>
      <c r="W153" s="48"/>
      <c r="X153" s="47">
        <v>1.101E-3</v>
      </c>
      <c r="Y153" s="48"/>
      <c r="Z153" s="47"/>
      <c r="AA153" s="69">
        <v>153</v>
      </c>
      <c r="AB153" s="69"/>
      <c r="AC153" s="70"/>
      <c r="AD153" s="76" t="s">
        <v>16790</v>
      </c>
      <c r="AE153" s="81" t="s">
        <v>15695</v>
      </c>
      <c r="AF153" s="76">
        <v>12</v>
      </c>
      <c r="AG153" s="76">
        <v>44</v>
      </c>
      <c r="AH153" s="76">
        <v>115</v>
      </c>
      <c r="AI153" s="76">
        <v>0</v>
      </c>
      <c r="AJ153" s="76">
        <v>249</v>
      </c>
      <c r="AK153" s="76">
        <v>31</v>
      </c>
      <c r="AL153" s="76" t="b">
        <v>0</v>
      </c>
      <c r="AM153" s="78">
        <v>45155.699733796297</v>
      </c>
      <c r="AN153" s="76" t="s">
        <v>10625</v>
      </c>
      <c r="AO153" s="76" t="s">
        <v>18287</v>
      </c>
      <c r="AP153" s="83" t="str">
        <f>HYPERLINK("https://t.co/oq8bdF1K6t")</f>
        <v>https://t.co/oq8bdF1K6t</v>
      </c>
      <c r="AQ153" s="83" t="str">
        <f>HYPERLINK("http://linktr.ee/tiago.roberto.oficial")</f>
        <v>http://linktr.ee/tiago.roberto.oficial</v>
      </c>
      <c r="AR153" s="76" t="s">
        <v>19079</v>
      </c>
      <c r="AS153" s="76"/>
      <c r="AT153" s="76"/>
      <c r="AU153" s="76"/>
      <c r="AV153" s="76"/>
      <c r="AW153" s="83" t="str">
        <f>HYPERLINK("https://t.co/oq8bdF1K6t")</f>
        <v>https://t.co/oq8bdF1K6t</v>
      </c>
      <c r="AX153" s="76" t="b">
        <v>0</v>
      </c>
      <c r="AY153" s="76"/>
      <c r="AZ153" s="76"/>
      <c r="BA153" s="76" t="b">
        <v>0</v>
      </c>
      <c r="BB153" s="76" t="b">
        <v>1</v>
      </c>
      <c r="BC153" s="76" t="b">
        <v>1</v>
      </c>
      <c r="BD153" s="76" t="b">
        <v>0</v>
      </c>
      <c r="BE153" s="76" t="b">
        <v>0</v>
      </c>
      <c r="BF153" s="76" t="b">
        <v>0</v>
      </c>
      <c r="BG153" s="76" t="b">
        <v>0</v>
      </c>
      <c r="BH153" s="83" t="str">
        <f>HYPERLINK("https://pbs.twimg.com/profile_banners/1692216582485782548/1692291434")</f>
        <v>https://pbs.twimg.com/profile_banners/1692216582485782548/1692291434</v>
      </c>
      <c r="BI153" s="76"/>
      <c r="BJ153" s="76" t="s">
        <v>19633</v>
      </c>
      <c r="BK153" s="76" t="b">
        <v>0</v>
      </c>
      <c r="BL153" s="76"/>
      <c r="BM153" s="76" t="s">
        <v>66</v>
      </c>
      <c r="BN153" s="76" t="s">
        <v>19635</v>
      </c>
      <c r="BO153" s="83" t="str">
        <f>HYPERLINK("https://twitter.com/tiago_roberto_")</f>
        <v>https://twitter.com/tiago_roberto_</v>
      </c>
      <c r="BP153" s="2"/>
    </row>
    <row r="154" spans="1:68" x14ac:dyDescent="0.25">
      <c r="A154" s="62" t="s">
        <v>349</v>
      </c>
      <c r="B154" s="63"/>
      <c r="C154" s="63"/>
      <c r="D154" s="64"/>
      <c r="E154" s="66"/>
      <c r="F154" s="103" t="str">
        <f>HYPERLINK("https://pbs.twimg.com/profile_images/1616103084849070081/jTS84e5l_normal.jpg")</f>
        <v>https://pbs.twimg.com/profile_images/1616103084849070081/jTS84e5l_normal.jpg</v>
      </c>
      <c r="G154" s="63"/>
      <c r="H154" s="67"/>
      <c r="I154" s="68"/>
      <c r="J154" s="68"/>
      <c r="K154" s="67" t="s">
        <v>19786</v>
      </c>
      <c r="L154" s="71"/>
      <c r="M154" s="72"/>
      <c r="N154" s="72"/>
      <c r="O154" s="73"/>
      <c r="P154" s="74"/>
      <c r="Q154" s="74"/>
      <c r="R154" s="87"/>
      <c r="S154" s="87"/>
      <c r="T154" s="87"/>
      <c r="U154" s="87"/>
      <c r="V154" s="48"/>
      <c r="W154" s="48"/>
      <c r="X154" s="47">
        <v>1.101E-3</v>
      </c>
      <c r="Y154" s="48"/>
      <c r="Z154" s="47"/>
      <c r="AA154" s="69">
        <v>154</v>
      </c>
      <c r="AB154" s="69"/>
      <c r="AC154" s="70"/>
      <c r="AD154" s="76" t="s">
        <v>16791</v>
      </c>
      <c r="AE154" s="81" t="s">
        <v>16207</v>
      </c>
      <c r="AF154" s="76">
        <v>1</v>
      </c>
      <c r="AG154" s="76">
        <v>32</v>
      </c>
      <c r="AH154" s="76">
        <v>61</v>
      </c>
      <c r="AI154" s="76">
        <v>0</v>
      </c>
      <c r="AJ154" s="76">
        <v>2</v>
      </c>
      <c r="AK154" s="76">
        <v>59</v>
      </c>
      <c r="AL154" s="76" t="b">
        <v>0</v>
      </c>
      <c r="AM154" s="78">
        <v>44945.653680555559</v>
      </c>
      <c r="AN154" s="76"/>
      <c r="AO154" s="76" t="s">
        <v>18288</v>
      </c>
      <c r="AP154" s="83" t="str">
        <f>HYPERLINK("https://t.co/hLVpLLlzAV")</f>
        <v>https://t.co/hLVpLLlzAV</v>
      </c>
      <c r="AQ154" s="83" t="str">
        <f>HYPERLINK("https://www.youtube.com/c/pordentrodoassuntoanselmosantana")</f>
        <v>https://www.youtube.com/c/pordentrodoassuntoanselmosantana</v>
      </c>
      <c r="AR154" s="76" t="s">
        <v>19080</v>
      </c>
      <c r="AS154" s="76"/>
      <c r="AT154" s="76"/>
      <c r="AU154" s="76"/>
      <c r="AV154" s="76"/>
      <c r="AW154" s="83" t="str">
        <f>HYPERLINK("https://t.co/hLVpLLlzAV")</f>
        <v>https://t.co/hLVpLLlzAV</v>
      </c>
      <c r="AX154" s="76" t="b">
        <v>0</v>
      </c>
      <c r="AY154" s="76"/>
      <c r="AZ154" s="76"/>
      <c r="BA154" s="76" t="b">
        <v>0</v>
      </c>
      <c r="BB154" s="76" t="b">
        <v>1</v>
      </c>
      <c r="BC154" s="76" t="b">
        <v>1</v>
      </c>
      <c r="BD154" s="76" t="b">
        <v>0</v>
      </c>
      <c r="BE154" s="76" t="b">
        <v>0</v>
      </c>
      <c r="BF154" s="76" t="b">
        <v>0</v>
      </c>
      <c r="BG154" s="76" t="b">
        <v>0</v>
      </c>
      <c r="BH154" s="83" t="str">
        <f>HYPERLINK("https://pbs.twimg.com/profile_banners/1616098342131453952/1674143977")</f>
        <v>https://pbs.twimg.com/profile_banners/1616098342131453952/1674143977</v>
      </c>
      <c r="BI154" s="76"/>
      <c r="BJ154" s="76" t="s">
        <v>19633</v>
      </c>
      <c r="BK154" s="76" t="b">
        <v>0</v>
      </c>
      <c r="BL154" s="76"/>
      <c r="BM154" s="76" t="s">
        <v>66</v>
      </c>
      <c r="BN154" s="76" t="s">
        <v>19635</v>
      </c>
      <c r="BO154" s="83" t="str">
        <f>HYPERLINK("https://twitter.com/pdentroassunto")</f>
        <v>https://twitter.com/pdentroassunto</v>
      </c>
      <c r="BP154" s="2"/>
    </row>
    <row r="155" spans="1:68" x14ac:dyDescent="0.25">
      <c r="A155" s="62" t="s">
        <v>350</v>
      </c>
      <c r="B155" s="63"/>
      <c r="C155" s="63"/>
      <c r="D155" s="64"/>
      <c r="E155" s="66"/>
      <c r="F155" s="103" t="str">
        <f>HYPERLINK("https://pbs.twimg.com/profile_images/1328021585350025217/H4jzJqXW_normal.jpg")</f>
        <v>https://pbs.twimg.com/profile_images/1328021585350025217/H4jzJqXW_normal.jpg</v>
      </c>
      <c r="G155" s="63"/>
      <c r="H155" s="67"/>
      <c r="I155" s="68"/>
      <c r="J155" s="68"/>
      <c r="K155" s="67" t="s">
        <v>19787</v>
      </c>
      <c r="L155" s="71"/>
      <c r="M155" s="72"/>
      <c r="N155" s="72"/>
      <c r="O155" s="73"/>
      <c r="P155" s="74"/>
      <c r="Q155" s="74"/>
      <c r="R155" s="87"/>
      <c r="S155" s="87"/>
      <c r="T155" s="87"/>
      <c r="U155" s="87"/>
      <c r="V155" s="48"/>
      <c r="W155" s="48"/>
      <c r="X155" s="47">
        <v>1.101E-3</v>
      </c>
      <c r="Y155" s="48"/>
      <c r="Z155" s="47"/>
      <c r="AA155" s="69">
        <v>155</v>
      </c>
      <c r="AB155" s="69"/>
      <c r="AC155" s="70"/>
      <c r="AD155" s="76" t="s">
        <v>16792</v>
      </c>
      <c r="AE155" s="81" t="s">
        <v>15696</v>
      </c>
      <c r="AF155" s="76">
        <v>19</v>
      </c>
      <c r="AG155" s="76">
        <v>122</v>
      </c>
      <c r="AH155" s="76">
        <v>26</v>
      </c>
      <c r="AI155" s="76">
        <v>1</v>
      </c>
      <c r="AJ155" s="76">
        <v>79</v>
      </c>
      <c r="AK155" s="76">
        <v>0</v>
      </c>
      <c r="AL155" s="76" t="b">
        <v>0</v>
      </c>
      <c r="AM155" s="78">
        <v>41522.571157407408</v>
      </c>
      <c r="AN155" s="76"/>
      <c r="AO155" s="76"/>
      <c r="AP155" s="76"/>
      <c r="AQ155" s="76"/>
      <c r="AR155" s="76"/>
      <c r="AS155" s="76"/>
      <c r="AT155" s="76"/>
      <c r="AU155" s="76"/>
      <c r="AV155" s="76"/>
      <c r="AW155" s="76"/>
      <c r="AX155" s="76" t="b">
        <v>0</v>
      </c>
      <c r="AY155" s="76"/>
      <c r="AZ155" s="76"/>
      <c r="BA155" s="76" t="b">
        <v>0</v>
      </c>
      <c r="BB155" s="76" t="b">
        <v>1</v>
      </c>
      <c r="BC155" s="76" t="b">
        <v>1</v>
      </c>
      <c r="BD155" s="76" t="b">
        <v>0</v>
      </c>
      <c r="BE155" s="76" t="b">
        <v>1</v>
      </c>
      <c r="BF155" s="76" t="b">
        <v>0</v>
      </c>
      <c r="BG155" s="76" t="b">
        <v>0</v>
      </c>
      <c r="BH155" s="76"/>
      <c r="BI155" s="76"/>
      <c r="BJ155" s="76" t="s">
        <v>19633</v>
      </c>
      <c r="BK155" s="76" t="b">
        <v>0</v>
      </c>
      <c r="BL155" s="76"/>
      <c r="BM155" s="76" t="s">
        <v>66</v>
      </c>
      <c r="BN155" s="76" t="s">
        <v>19635</v>
      </c>
      <c r="BO155" s="83" t="str">
        <f>HYPERLINK("https://twitter.com/oluizbaur")</f>
        <v>https://twitter.com/oluizbaur</v>
      </c>
      <c r="BP155" s="2"/>
    </row>
    <row r="156" spans="1:68" x14ac:dyDescent="0.25">
      <c r="A156" s="62" t="s">
        <v>351</v>
      </c>
      <c r="B156" s="63"/>
      <c r="C156" s="63"/>
      <c r="D156" s="64"/>
      <c r="E156" s="66"/>
      <c r="F156" s="103" t="str">
        <f>HYPERLINK("https://pbs.twimg.com/profile_images/1600501959034912773/3IUZtp0D_normal.jpg")</f>
        <v>https://pbs.twimg.com/profile_images/1600501959034912773/3IUZtp0D_normal.jpg</v>
      </c>
      <c r="G156" s="63"/>
      <c r="H156" s="67"/>
      <c r="I156" s="68"/>
      <c r="J156" s="68"/>
      <c r="K156" s="67" t="s">
        <v>19788</v>
      </c>
      <c r="L156" s="71"/>
      <c r="M156" s="72"/>
      <c r="N156" s="72"/>
      <c r="O156" s="73"/>
      <c r="P156" s="74"/>
      <c r="Q156" s="74"/>
      <c r="R156" s="87"/>
      <c r="S156" s="87"/>
      <c r="T156" s="87"/>
      <c r="U156" s="87"/>
      <c r="V156" s="48"/>
      <c r="W156" s="48"/>
      <c r="X156" s="47">
        <v>1.101E-3</v>
      </c>
      <c r="Y156" s="48"/>
      <c r="Z156" s="47"/>
      <c r="AA156" s="69">
        <v>156</v>
      </c>
      <c r="AB156" s="69"/>
      <c r="AC156" s="70"/>
      <c r="AD156" s="76" t="s">
        <v>16793</v>
      </c>
      <c r="AE156" s="81" t="s">
        <v>17589</v>
      </c>
      <c r="AF156" s="76">
        <v>322</v>
      </c>
      <c r="AG156" s="76">
        <v>118</v>
      </c>
      <c r="AH156" s="76">
        <v>7158</v>
      </c>
      <c r="AI156" s="76">
        <v>1</v>
      </c>
      <c r="AJ156" s="76">
        <v>7700</v>
      </c>
      <c r="AK156" s="76">
        <v>369</v>
      </c>
      <c r="AL156" s="76" t="b">
        <v>0</v>
      </c>
      <c r="AM156" s="78">
        <v>41151.014965277776</v>
      </c>
      <c r="AN156" s="76" t="s">
        <v>17915</v>
      </c>
      <c r="AO156" s="76" t="s">
        <v>18289</v>
      </c>
      <c r="AP156" s="83" t="str">
        <f>HYPERLINK("https://t.co/4RhCm8dlwi")</f>
        <v>https://t.co/4RhCm8dlwi</v>
      </c>
      <c r="AQ156" s="83" t="str">
        <f>HYPERLINK("http://www.gosto-disto.com")</f>
        <v>http://www.gosto-disto.com</v>
      </c>
      <c r="AR156" s="76" t="s">
        <v>19081</v>
      </c>
      <c r="AS156" s="76"/>
      <c r="AT156" s="76"/>
      <c r="AU156" s="76"/>
      <c r="AV156" s="76"/>
      <c r="AW156" s="83" t="str">
        <f>HYPERLINK("https://t.co/4RhCm8dlwi")</f>
        <v>https://t.co/4RhCm8dlwi</v>
      </c>
      <c r="AX156" s="76" t="b">
        <v>0</v>
      </c>
      <c r="AY156" s="76"/>
      <c r="AZ156" s="76"/>
      <c r="BA156" s="76" t="b">
        <v>0</v>
      </c>
      <c r="BB156" s="76" t="b">
        <v>1</v>
      </c>
      <c r="BC156" s="76" t="b">
        <v>1</v>
      </c>
      <c r="BD156" s="76" t="b">
        <v>0</v>
      </c>
      <c r="BE156" s="76" t="b">
        <v>0</v>
      </c>
      <c r="BF156" s="76" t="b">
        <v>0</v>
      </c>
      <c r="BG156" s="76" t="b">
        <v>0</v>
      </c>
      <c r="BH156" s="83" t="str">
        <f>HYPERLINK("https://pbs.twimg.com/profile_banners/790434666/1670425115")</f>
        <v>https://pbs.twimg.com/profile_banners/790434666/1670425115</v>
      </c>
      <c r="BI156" s="76"/>
      <c r="BJ156" s="76" t="s">
        <v>19633</v>
      </c>
      <c r="BK156" s="76" t="b">
        <v>0</v>
      </c>
      <c r="BL156" s="76"/>
      <c r="BM156" s="76" t="s">
        <v>66</v>
      </c>
      <c r="BN156" s="76" t="s">
        <v>19635</v>
      </c>
      <c r="BO156" s="83" t="str">
        <f>HYPERLINK("https://twitter.com/gosto_disto")</f>
        <v>https://twitter.com/gosto_disto</v>
      </c>
      <c r="BP156" s="2"/>
    </row>
    <row r="157" spans="1:68" x14ac:dyDescent="0.25">
      <c r="A157" s="62" t="s">
        <v>352</v>
      </c>
      <c r="B157" s="63"/>
      <c r="C157" s="63"/>
      <c r="D157" s="64"/>
      <c r="E157" s="66"/>
      <c r="F157" s="103" t="str">
        <f>HYPERLINK("https://pbs.twimg.com/profile_images/550592012849016832/hyDtvYPe_normal.jpeg")</f>
        <v>https://pbs.twimg.com/profile_images/550592012849016832/hyDtvYPe_normal.jpeg</v>
      </c>
      <c r="G157" s="63"/>
      <c r="H157" s="67"/>
      <c r="I157" s="68"/>
      <c r="J157" s="68"/>
      <c r="K157" s="67" t="s">
        <v>19789</v>
      </c>
      <c r="L157" s="71"/>
      <c r="M157" s="72"/>
      <c r="N157" s="72"/>
      <c r="O157" s="73"/>
      <c r="P157" s="74"/>
      <c r="Q157" s="74"/>
      <c r="R157" s="87"/>
      <c r="S157" s="87"/>
      <c r="T157" s="87"/>
      <c r="U157" s="87"/>
      <c r="V157" s="48"/>
      <c r="W157" s="48"/>
      <c r="X157" s="47">
        <v>1.101E-3</v>
      </c>
      <c r="Y157" s="48"/>
      <c r="Z157" s="47"/>
      <c r="AA157" s="69">
        <v>157</v>
      </c>
      <c r="AB157" s="69"/>
      <c r="AC157" s="70"/>
      <c r="AD157" s="76" t="s">
        <v>16794</v>
      </c>
      <c r="AE157" s="81" t="s">
        <v>15697</v>
      </c>
      <c r="AF157" s="76">
        <v>16</v>
      </c>
      <c r="AG157" s="76">
        <v>81</v>
      </c>
      <c r="AH157" s="76">
        <v>1365</v>
      </c>
      <c r="AI157" s="76">
        <v>0</v>
      </c>
      <c r="AJ157" s="76">
        <v>495</v>
      </c>
      <c r="AK157" s="76">
        <v>71</v>
      </c>
      <c r="AL157" s="76" t="b">
        <v>0</v>
      </c>
      <c r="AM157" s="78">
        <v>42005.412581018521</v>
      </c>
      <c r="AN157" s="76"/>
      <c r="AO157" s="76"/>
      <c r="AP157" s="76"/>
      <c r="AQ157" s="76"/>
      <c r="AR157" s="76"/>
      <c r="AS157" s="76"/>
      <c r="AT157" s="76"/>
      <c r="AU157" s="76"/>
      <c r="AV157" s="76"/>
      <c r="AW157" s="76"/>
      <c r="AX157" s="76" t="b">
        <v>0</v>
      </c>
      <c r="AY157" s="76"/>
      <c r="AZ157" s="76"/>
      <c r="BA157" s="76" t="b">
        <v>0</v>
      </c>
      <c r="BB157" s="76" t="b">
        <v>0</v>
      </c>
      <c r="BC157" s="76" t="b">
        <v>1</v>
      </c>
      <c r="BD157" s="76" t="b">
        <v>0</v>
      </c>
      <c r="BE157" s="76" t="b">
        <v>1</v>
      </c>
      <c r="BF157" s="76" t="b">
        <v>0</v>
      </c>
      <c r="BG157" s="76" t="b">
        <v>0</v>
      </c>
      <c r="BH157" s="76"/>
      <c r="BI157" s="76"/>
      <c r="BJ157" s="76" t="s">
        <v>19633</v>
      </c>
      <c r="BK157" s="76" t="b">
        <v>0</v>
      </c>
      <c r="BL157" s="76"/>
      <c r="BM157" s="76" t="s">
        <v>66</v>
      </c>
      <c r="BN157" s="76" t="s">
        <v>19635</v>
      </c>
      <c r="BO157" s="83" t="str">
        <f>HYPERLINK("https://twitter.com/fabi_b_amador")</f>
        <v>https://twitter.com/fabi_b_amador</v>
      </c>
      <c r="BP157" s="2"/>
    </row>
    <row r="158" spans="1:68" x14ac:dyDescent="0.25">
      <c r="A158" s="62" t="s">
        <v>353</v>
      </c>
      <c r="B158" s="63"/>
      <c r="C158" s="63"/>
      <c r="D158" s="64"/>
      <c r="E158" s="66"/>
      <c r="F158" s="103" t="str">
        <f>HYPERLINK("https://pbs.twimg.com/profile_images/1276150299560992770/f8LsoPYA_normal.jpg")</f>
        <v>https://pbs.twimg.com/profile_images/1276150299560992770/f8LsoPYA_normal.jpg</v>
      </c>
      <c r="G158" s="63"/>
      <c r="H158" s="67"/>
      <c r="I158" s="68"/>
      <c r="J158" s="68"/>
      <c r="K158" s="67" t="s">
        <v>19790</v>
      </c>
      <c r="L158" s="71"/>
      <c r="M158" s="72"/>
      <c r="N158" s="72"/>
      <c r="O158" s="73"/>
      <c r="P158" s="74"/>
      <c r="Q158" s="74"/>
      <c r="R158" s="87"/>
      <c r="S158" s="87"/>
      <c r="T158" s="87"/>
      <c r="U158" s="87"/>
      <c r="V158" s="48"/>
      <c r="W158" s="48"/>
      <c r="X158" s="47">
        <v>1.101E-3</v>
      </c>
      <c r="Y158" s="48"/>
      <c r="Z158" s="47"/>
      <c r="AA158" s="69">
        <v>158</v>
      </c>
      <c r="AB158" s="69"/>
      <c r="AC158" s="70"/>
      <c r="AD158" s="76" t="s">
        <v>16795</v>
      </c>
      <c r="AE158" s="81" t="s">
        <v>16208</v>
      </c>
      <c r="AF158" s="76">
        <v>58</v>
      </c>
      <c r="AG158" s="76">
        <v>4</v>
      </c>
      <c r="AH158" s="76">
        <v>898</v>
      </c>
      <c r="AI158" s="76">
        <v>0</v>
      </c>
      <c r="AJ158" s="76">
        <v>3</v>
      </c>
      <c r="AK158" s="76">
        <v>887</v>
      </c>
      <c r="AL158" s="76" t="b">
        <v>0</v>
      </c>
      <c r="AM158" s="78">
        <v>43152.878703703704</v>
      </c>
      <c r="AN158" s="76"/>
      <c r="AO158" s="76" t="s">
        <v>18290</v>
      </c>
      <c r="AP158" s="83" t="str">
        <f>HYPERLINK("https://t.co/fMRDv0Jekv")</f>
        <v>https://t.co/fMRDv0Jekv</v>
      </c>
      <c r="AQ158" s="83" t="str">
        <f>HYPERLINK("https://www.williamhunt.com.br/segredos-dos-investimentos-para-iniciantes")</f>
        <v>https://www.williamhunt.com.br/segredos-dos-investimentos-para-iniciantes</v>
      </c>
      <c r="AR158" s="76" t="s">
        <v>19082</v>
      </c>
      <c r="AS158" s="76"/>
      <c r="AT158" s="76"/>
      <c r="AU158" s="76"/>
      <c r="AV158" s="76"/>
      <c r="AW158" s="83" t="str">
        <f>HYPERLINK("https://t.co/fMRDv0Jekv")</f>
        <v>https://t.co/fMRDv0Jekv</v>
      </c>
      <c r="AX158" s="76" t="b">
        <v>0</v>
      </c>
      <c r="AY158" s="76"/>
      <c r="AZ158" s="76"/>
      <c r="BA158" s="76" t="b">
        <v>0</v>
      </c>
      <c r="BB158" s="76" t="b">
        <v>1</v>
      </c>
      <c r="BC158" s="76" t="b">
        <v>0</v>
      </c>
      <c r="BD158" s="76" t="b">
        <v>0</v>
      </c>
      <c r="BE158" s="76" t="b">
        <v>0</v>
      </c>
      <c r="BF158" s="76" t="b">
        <v>0</v>
      </c>
      <c r="BG158" s="76" t="b">
        <v>0</v>
      </c>
      <c r="BH158" s="83" t="str">
        <f>HYPERLINK("https://pbs.twimg.com/profile_banners/966418582421811200/1678219927")</f>
        <v>https://pbs.twimg.com/profile_banners/966418582421811200/1678219927</v>
      </c>
      <c r="BI158" s="76"/>
      <c r="BJ158" s="76" t="s">
        <v>19633</v>
      </c>
      <c r="BK158" s="76" t="b">
        <v>0</v>
      </c>
      <c r="BL158" s="76"/>
      <c r="BM158" s="76" t="s">
        <v>66</v>
      </c>
      <c r="BN158" s="76" t="s">
        <v>19635</v>
      </c>
      <c r="BO158" s="83" t="str">
        <f>HYPERLINK("https://twitter.com/williamhuntbr")</f>
        <v>https://twitter.com/williamhuntbr</v>
      </c>
      <c r="BP158" s="2"/>
    </row>
    <row r="159" spans="1:68" x14ac:dyDescent="0.25">
      <c r="A159" s="62" t="s">
        <v>354</v>
      </c>
      <c r="B159" s="63"/>
      <c r="C159" s="63"/>
      <c r="D159" s="64"/>
      <c r="E159" s="66"/>
      <c r="F159" s="103" t="str">
        <f>HYPERLINK("https://pbs.twimg.com/profile_images/1359621541047189514/O3Pb64nd_normal.jpg")</f>
        <v>https://pbs.twimg.com/profile_images/1359621541047189514/O3Pb64nd_normal.jpg</v>
      </c>
      <c r="G159" s="63"/>
      <c r="H159" s="67"/>
      <c r="I159" s="68"/>
      <c r="J159" s="68"/>
      <c r="K159" s="67" t="s">
        <v>19791</v>
      </c>
      <c r="L159" s="71"/>
      <c r="M159" s="72"/>
      <c r="N159" s="72"/>
      <c r="O159" s="73"/>
      <c r="P159" s="74"/>
      <c r="Q159" s="74"/>
      <c r="R159" s="87"/>
      <c r="S159" s="87"/>
      <c r="T159" s="87"/>
      <c r="U159" s="87"/>
      <c r="V159" s="48"/>
      <c r="W159" s="48"/>
      <c r="X159" s="47">
        <v>9.6599999999999995E-4</v>
      </c>
      <c r="Y159" s="48"/>
      <c r="Z159" s="47"/>
      <c r="AA159" s="69">
        <v>159</v>
      </c>
      <c r="AB159" s="69"/>
      <c r="AC159" s="70"/>
      <c r="AD159" s="76" t="s">
        <v>16796</v>
      </c>
      <c r="AE159" s="81" t="s">
        <v>16209</v>
      </c>
      <c r="AF159" s="76">
        <v>207</v>
      </c>
      <c r="AG159" s="76">
        <v>307</v>
      </c>
      <c r="AH159" s="76">
        <v>1657</v>
      </c>
      <c r="AI159" s="76">
        <v>0</v>
      </c>
      <c r="AJ159" s="76">
        <v>10961</v>
      </c>
      <c r="AK159" s="76">
        <v>36</v>
      </c>
      <c r="AL159" s="76" t="b">
        <v>0</v>
      </c>
      <c r="AM159" s="78">
        <v>44153.609953703701</v>
      </c>
      <c r="AN159" s="76" t="s">
        <v>17916</v>
      </c>
      <c r="AO159" s="76" t="s">
        <v>18291</v>
      </c>
      <c r="AP159" s="83" t="str">
        <f>HYPERLINK("https://t.co/6zvJDbfcgv")</f>
        <v>https://t.co/6zvJDbfcgv</v>
      </c>
      <c r="AQ159" s="83" t="str">
        <f>HYPERLINK("https://youtu.be/1t9qKcLwB28")</f>
        <v>https://youtu.be/1t9qKcLwB28</v>
      </c>
      <c r="AR159" s="76" t="s">
        <v>19083</v>
      </c>
      <c r="AS159" s="83" t="str">
        <f>HYPERLINK("https://t.co/B6anoj7YBm")</f>
        <v>https://t.co/B6anoj7YBm</v>
      </c>
      <c r="AT159" s="83" t="str">
        <f>HYPERLINK("https://soundcloud.com/user-611551941/coisas-bonitas-ft-emy-key-kaminino")</f>
        <v>https://soundcloud.com/user-611551941/coisas-bonitas-ft-emy-key-kaminino</v>
      </c>
      <c r="AU159" s="76" t="s">
        <v>19587</v>
      </c>
      <c r="AV159" s="76">
        <v>1.4997915742800599E+18</v>
      </c>
      <c r="AW159" s="83" t="str">
        <f>HYPERLINK("https://t.co/6zvJDbfcgv")</f>
        <v>https://t.co/6zvJDbfcgv</v>
      </c>
      <c r="AX159" s="76" t="b">
        <v>0</v>
      </c>
      <c r="AY159" s="76"/>
      <c r="AZ159" s="76"/>
      <c r="BA159" s="76" t="b">
        <v>0</v>
      </c>
      <c r="BB159" s="76" t="b">
        <v>1</v>
      </c>
      <c r="BC159" s="76" t="b">
        <v>1</v>
      </c>
      <c r="BD159" s="76" t="b">
        <v>0</v>
      </c>
      <c r="BE159" s="76" t="b">
        <v>1</v>
      </c>
      <c r="BF159" s="76" t="b">
        <v>0</v>
      </c>
      <c r="BG159" s="76" t="b">
        <v>0</v>
      </c>
      <c r="BH159" s="83" t="str">
        <f>HYPERLINK("https://pbs.twimg.com/profile_banners/1329071357208903688/1612994009")</f>
        <v>https://pbs.twimg.com/profile_banners/1329071357208903688/1612994009</v>
      </c>
      <c r="BI159" s="76"/>
      <c r="BJ159" s="76" t="s">
        <v>19633</v>
      </c>
      <c r="BK159" s="76" t="b">
        <v>0</v>
      </c>
      <c r="BL159" s="76"/>
      <c r="BM159" s="76" t="s">
        <v>66</v>
      </c>
      <c r="BN159" s="76" t="s">
        <v>19635</v>
      </c>
      <c r="BO159" s="83" t="str">
        <f>HYPERLINK("https://twitter.com/emykey05")</f>
        <v>https://twitter.com/emykey05</v>
      </c>
      <c r="BP159" s="2"/>
    </row>
    <row r="160" spans="1:68" x14ac:dyDescent="0.25">
      <c r="A160" s="62" t="s">
        <v>891</v>
      </c>
      <c r="B160" s="63"/>
      <c r="C160" s="63"/>
      <c r="D160" s="64"/>
      <c r="E160" s="66"/>
      <c r="F160" s="103" t="str">
        <f>HYPERLINK("https://pbs.twimg.com/profile_images/1665081532455821312/Yh2qs3r3_normal.jpg")</f>
        <v>https://pbs.twimg.com/profile_images/1665081532455821312/Yh2qs3r3_normal.jpg</v>
      </c>
      <c r="G160" s="63"/>
      <c r="H160" s="67"/>
      <c r="I160" s="68"/>
      <c r="J160" s="68"/>
      <c r="K160" s="67" t="s">
        <v>19792</v>
      </c>
      <c r="L160" s="71"/>
      <c r="M160" s="72"/>
      <c r="N160" s="72"/>
      <c r="O160" s="73"/>
      <c r="P160" s="74"/>
      <c r="Q160" s="74"/>
      <c r="R160" s="87"/>
      <c r="S160" s="87"/>
      <c r="T160" s="87"/>
      <c r="U160" s="87"/>
      <c r="V160" s="48"/>
      <c r="W160" s="48"/>
      <c r="X160" s="47">
        <v>2.7820000000000002E-3</v>
      </c>
      <c r="Y160" s="48"/>
      <c r="Z160" s="47"/>
      <c r="AA160" s="69">
        <v>160</v>
      </c>
      <c r="AB160" s="69"/>
      <c r="AC160" s="70"/>
      <c r="AD160" s="76" t="s">
        <v>16797</v>
      </c>
      <c r="AE160" s="81" t="s">
        <v>16519</v>
      </c>
      <c r="AF160" s="76">
        <v>106538</v>
      </c>
      <c r="AG160" s="76">
        <v>0</v>
      </c>
      <c r="AH160" s="76">
        <v>486</v>
      </c>
      <c r="AI160" s="76">
        <v>61</v>
      </c>
      <c r="AJ160" s="76">
        <v>194</v>
      </c>
      <c r="AK160" s="76">
        <v>263</v>
      </c>
      <c r="AL160" s="76" t="b">
        <v>0</v>
      </c>
      <c r="AM160" s="78">
        <v>43953.634398148148</v>
      </c>
      <c r="AN160" s="76" t="s">
        <v>10552</v>
      </c>
      <c r="AO160" s="76" t="s">
        <v>18292</v>
      </c>
      <c r="AP160" s="83" t="str">
        <f>HYPERLINK("https://t.co/Qsy3zizQUp")</f>
        <v>https://t.co/Qsy3zizQUp</v>
      </c>
      <c r="AQ160" s="83" t="str">
        <f>HYPERLINK("https://www.amazon.com.br/dp/B07PN1MF14")</f>
        <v>https://www.amazon.com.br/dp/B07PN1MF14</v>
      </c>
      <c r="AR160" s="76" t="s">
        <v>19084</v>
      </c>
      <c r="AS160" s="76"/>
      <c r="AT160" s="76"/>
      <c r="AU160" s="76"/>
      <c r="AV160" s="76">
        <v>1.6667696975665999E+18</v>
      </c>
      <c r="AW160" s="83" t="str">
        <f>HYPERLINK("https://t.co/Qsy3zizQUp")</f>
        <v>https://t.co/Qsy3zizQUp</v>
      </c>
      <c r="AX160" s="76" t="b">
        <v>1</v>
      </c>
      <c r="AY160" s="76"/>
      <c r="AZ160" s="76"/>
      <c r="BA160" s="76" t="b">
        <v>0</v>
      </c>
      <c r="BB160" s="76" t="b">
        <v>0</v>
      </c>
      <c r="BC160" s="76" t="b">
        <v>1</v>
      </c>
      <c r="BD160" s="76" t="b">
        <v>0</v>
      </c>
      <c r="BE160" s="76" t="b">
        <v>1</v>
      </c>
      <c r="BF160" s="76" t="b">
        <v>0</v>
      </c>
      <c r="BG160" s="76" t="b">
        <v>0</v>
      </c>
      <c r="BH160" s="83" t="str">
        <f>HYPERLINK("https://pbs.twimg.com/profile_banners/1256602692220260355/1685821170")</f>
        <v>https://pbs.twimg.com/profile_banners/1256602692220260355/1685821170</v>
      </c>
      <c r="BI160" s="76"/>
      <c r="BJ160" s="76" t="s">
        <v>19633</v>
      </c>
      <c r="BK160" s="76" t="b">
        <v>0</v>
      </c>
      <c r="BL160" s="76"/>
      <c r="BM160" s="76" t="s">
        <v>66</v>
      </c>
      <c r="BN160" s="76" t="s">
        <v>19635</v>
      </c>
      <c r="BO160" s="83" t="str">
        <f>HYPERLINK("https://twitter.com/mat_financeira")</f>
        <v>https://twitter.com/mat_financeira</v>
      </c>
      <c r="BP160" s="2"/>
    </row>
    <row r="161" spans="1:68" x14ac:dyDescent="0.25">
      <c r="A161" s="62" t="s">
        <v>355</v>
      </c>
      <c r="B161" s="63"/>
      <c r="C161" s="63"/>
      <c r="D161" s="64"/>
      <c r="E161" s="66"/>
      <c r="F161" s="103" t="str">
        <f>HYPERLINK("https://pbs.twimg.com/profile_images/1559822836528828416/BYTLO6Jn_normal.jpg")</f>
        <v>https://pbs.twimg.com/profile_images/1559822836528828416/BYTLO6Jn_normal.jpg</v>
      </c>
      <c r="G161" s="63"/>
      <c r="H161" s="67"/>
      <c r="I161" s="68"/>
      <c r="J161" s="68"/>
      <c r="K161" s="67" t="s">
        <v>19793</v>
      </c>
      <c r="L161" s="71"/>
      <c r="M161" s="72"/>
      <c r="N161" s="72"/>
      <c r="O161" s="73"/>
      <c r="P161" s="74"/>
      <c r="Q161" s="74"/>
      <c r="R161" s="87"/>
      <c r="S161" s="87"/>
      <c r="T161" s="87"/>
      <c r="U161" s="87"/>
      <c r="V161" s="48"/>
      <c r="W161" s="48"/>
      <c r="X161" s="47">
        <v>1.101E-3</v>
      </c>
      <c r="Y161" s="48"/>
      <c r="Z161" s="47"/>
      <c r="AA161" s="69">
        <v>161</v>
      </c>
      <c r="AB161" s="69"/>
      <c r="AC161" s="70"/>
      <c r="AD161" s="76" t="s">
        <v>16798</v>
      </c>
      <c r="AE161" s="81" t="s">
        <v>17590</v>
      </c>
      <c r="AF161" s="76">
        <v>176</v>
      </c>
      <c r="AG161" s="76">
        <v>381</v>
      </c>
      <c r="AH161" s="76">
        <v>1892</v>
      </c>
      <c r="AI161" s="76">
        <v>1</v>
      </c>
      <c r="AJ161" s="76">
        <v>307</v>
      </c>
      <c r="AK161" s="76">
        <v>105</v>
      </c>
      <c r="AL161" s="76" t="b">
        <v>0</v>
      </c>
      <c r="AM161" s="78">
        <v>39921.963009259256</v>
      </c>
      <c r="AN161" s="76" t="s">
        <v>17917</v>
      </c>
      <c r="AO161" s="76" t="s">
        <v>18293</v>
      </c>
      <c r="AP161" s="83" t="str">
        <f>HYPERLINK("https://t.co/nQwdPN5USY")</f>
        <v>https://t.co/nQwdPN5USY</v>
      </c>
      <c r="AQ161" s="83" t="str">
        <f>HYPERLINK("http://bit.ly/PouparSeguros")</f>
        <v>http://bit.ly/PouparSeguros</v>
      </c>
      <c r="AR161" s="76" t="s">
        <v>19085</v>
      </c>
      <c r="AS161" s="76"/>
      <c r="AT161" s="76"/>
      <c r="AU161" s="76"/>
      <c r="AV161" s="76"/>
      <c r="AW161" s="83" t="str">
        <f>HYPERLINK("https://t.co/nQwdPN5USY")</f>
        <v>https://t.co/nQwdPN5USY</v>
      </c>
      <c r="AX161" s="76" t="b">
        <v>0</v>
      </c>
      <c r="AY161" s="76"/>
      <c r="AZ161" s="76"/>
      <c r="BA161" s="76" t="b">
        <v>1</v>
      </c>
      <c r="BB161" s="76" t="b">
        <v>1</v>
      </c>
      <c r="BC161" s="76" t="b">
        <v>0</v>
      </c>
      <c r="BD161" s="76" t="b">
        <v>0</v>
      </c>
      <c r="BE161" s="76" t="b">
        <v>0</v>
      </c>
      <c r="BF161" s="76" t="b">
        <v>0</v>
      </c>
      <c r="BG161" s="76" t="b">
        <v>0</v>
      </c>
      <c r="BH161" s="83" t="str">
        <f>HYPERLINK("https://pbs.twimg.com/profile_banners/33044346/1496416129")</f>
        <v>https://pbs.twimg.com/profile_banners/33044346/1496416129</v>
      </c>
      <c r="BI161" s="76"/>
      <c r="BJ161" s="76" t="s">
        <v>19633</v>
      </c>
      <c r="BK161" s="76" t="b">
        <v>0</v>
      </c>
      <c r="BL161" s="76"/>
      <c r="BM161" s="76" t="s">
        <v>66</v>
      </c>
      <c r="BN161" s="76" t="s">
        <v>19635</v>
      </c>
      <c r="BO161" s="83" t="str">
        <f>HYPERLINK("https://twitter.com/cacdazevedo")</f>
        <v>https://twitter.com/cacdazevedo</v>
      </c>
      <c r="BP161" s="2"/>
    </row>
    <row r="162" spans="1:68" x14ac:dyDescent="0.25">
      <c r="A162" s="62" t="s">
        <v>356</v>
      </c>
      <c r="B162" s="63"/>
      <c r="C162" s="63"/>
      <c r="D162" s="64"/>
      <c r="E162" s="66"/>
      <c r="F162" s="103" t="str">
        <f>HYPERLINK("https://pbs.twimg.com/profile_images/1634646004174561281/4NspdLeY_normal.jpg")</f>
        <v>https://pbs.twimg.com/profile_images/1634646004174561281/4NspdLeY_normal.jpg</v>
      </c>
      <c r="G162" s="63"/>
      <c r="H162" s="67"/>
      <c r="I162" s="68"/>
      <c r="J162" s="68"/>
      <c r="K162" s="67" t="s">
        <v>19794</v>
      </c>
      <c r="L162" s="71"/>
      <c r="M162" s="72"/>
      <c r="N162" s="72"/>
      <c r="O162" s="73"/>
      <c r="P162" s="74"/>
      <c r="Q162" s="74"/>
      <c r="R162" s="87"/>
      <c r="S162" s="87"/>
      <c r="T162" s="87"/>
      <c r="U162" s="87"/>
      <c r="V162" s="48"/>
      <c r="W162" s="48"/>
      <c r="X162" s="47">
        <v>1.101E-3</v>
      </c>
      <c r="Y162" s="48"/>
      <c r="Z162" s="47"/>
      <c r="AA162" s="69">
        <v>162</v>
      </c>
      <c r="AB162" s="69"/>
      <c r="AC162" s="70"/>
      <c r="AD162" s="76" t="s">
        <v>16799</v>
      </c>
      <c r="AE162" s="81" t="s">
        <v>16210</v>
      </c>
      <c r="AF162" s="76">
        <v>1981</v>
      </c>
      <c r="AG162" s="76">
        <v>217</v>
      </c>
      <c r="AH162" s="76">
        <v>2674</v>
      </c>
      <c r="AI162" s="76">
        <v>8</v>
      </c>
      <c r="AJ162" s="76">
        <v>2263</v>
      </c>
      <c r="AK162" s="76">
        <v>417</v>
      </c>
      <c r="AL162" s="76" t="b">
        <v>0</v>
      </c>
      <c r="AM162" s="78">
        <v>43417.109629629631</v>
      </c>
      <c r="AN162" s="76" t="s">
        <v>17918</v>
      </c>
      <c r="AO162" s="76" t="s">
        <v>18294</v>
      </c>
      <c r="AP162" s="83" t="str">
        <f>HYPERLINK("https://t.co/h2XlYxm84E")</f>
        <v>https://t.co/h2XlYxm84E</v>
      </c>
      <c r="AQ162" s="83" t="str">
        <f>HYPERLINK("http://linktr.ee/mblparana")</f>
        <v>http://linktr.ee/mblparana</v>
      </c>
      <c r="AR162" s="76" t="s">
        <v>19086</v>
      </c>
      <c r="AS162" s="76"/>
      <c r="AT162" s="76"/>
      <c r="AU162" s="76"/>
      <c r="AV162" s="76"/>
      <c r="AW162" s="83" t="str">
        <f>HYPERLINK("https://t.co/h2XlYxm84E")</f>
        <v>https://t.co/h2XlYxm84E</v>
      </c>
      <c r="AX162" s="76" t="b">
        <v>0</v>
      </c>
      <c r="AY162" s="76"/>
      <c r="AZ162" s="76"/>
      <c r="BA162" s="76" t="b">
        <v>0</v>
      </c>
      <c r="BB162" s="76" t="b">
        <v>1</v>
      </c>
      <c r="BC162" s="76" t="b">
        <v>1</v>
      </c>
      <c r="BD162" s="76" t="b">
        <v>0</v>
      </c>
      <c r="BE162" s="76" t="b">
        <v>0</v>
      </c>
      <c r="BF162" s="76" t="b">
        <v>0</v>
      </c>
      <c r="BG162" s="76" t="b">
        <v>0</v>
      </c>
      <c r="BH162" s="83" t="str">
        <f>HYPERLINK("https://pbs.twimg.com/profile_banners/1062172664201134080/1678564951")</f>
        <v>https://pbs.twimg.com/profile_banners/1062172664201134080/1678564951</v>
      </c>
      <c r="BI162" s="76"/>
      <c r="BJ162" s="76" t="s">
        <v>19633</v>
      </c>
      <c r="BK162" s="76" t="b">
        <v>0</v>
      </c>
      <c r="BL162" s="76"/>
      <c r="BM162" s="76" t="s">
        <v>66</v>
      </c>
      <c r="BN162" s="76" t="s">
        <v>19635</v>
      </c>
      <c r="BO162" s="83" t="str">
        <f>HYPERLINK("https://twitter.com/mblparana")</f>
        <v>https://twitter.com/mblparana</v>
      </c>
      <c r="BP162" s="2"/>
    </row>
    <row r="163" spans="1:68" x14ac:dyDescent="0.25">
      <c r="A163" s="62" t="s">
        <v>1062</v>
      </c>
      <c r="B163" s="63"/>
      <c r="C163" s="63"/>
      <c r="D163" s="64"/>
      <c r="E163" s="66"/>
      <c r="F163" s="103" t="str">
        <f>HYPERLINK("https://pbs.twimg.com/profile_images/1437771794824507396/soBQliEw_normal.jpg")</f>
        <v>https://pbs.twimg.com/profile_images/1437771794824507396/soBQliEw_normal.jpg</v>
      </c>
      <c r="G163" s="63"/>
      <c r="H163" s="67"/>
      <c r="I163" s="68"/>
      <c r="J163" s="68"/>
      <c r="K163" s="67" t="s">
        <v>19795</v>
      </c>
      <c r="L163" s="71"/>
      <c r="M163" s="72"/>
      <c r="N163" s="72"/>
      <c r="O163" s="73"/>
      <c r="P163" s="74"/>
      <c r="Q163" s="74"/>
      <c r="R163" s="87"/>
      <c r="S163" s="87"/>
      <c r="T163" s="87"/>
      <c r="U163" s="87"/>
      <c r="V163" s="48"/>
      <c r="W163" s="48"/>
      <c r="X163" s="47">
        <v>1.101E-3</v>
      </c>
      <c r="Y163" s="48"/>
      <c r="Z163" s="47"/>
      <c r="AA163" s="69">
        <v>163</v>
      </c>
      <c r="AB163" s="69"/>
      <c r="AC163" s="70"/>
      <c r="AD163" s="76" t="s">
        <v>16800</v>
      </c>
      <c r="AE163" s="81" t="s">
        <v>17591</v>
      </c>
      <c r="AF163" s="76">
        <v>535073</v>
      </c>
      <c r="AG163" s="76">
        <v>1214</v>
      </c>
      <c r="AH163" s="76">
        <v>51219</v>
      </c>
      <c r="AI163" s="76">
        <v>936</v>
      </c>
      <c r="AJ163" s="76">
        <v>6898</v>
      </c>
      <c r="AK163" s="76">
        <v>13002</v>
      </c>
      <c r="AL163" s="76" t="b">
        <v>0</v>
      </c>
      <c r="AM163" s="78">
        <v>41442.143101851849</v>
      </c>
      <c r="AN163" s="76"/>
      <c r="AO163" s="76" t="s">
        <v>18295</v>
      </c>
      <c r="AP163" s="83" t="str">
        <f>HYPERLINK("https://t.co/OllLFoIeZ4")</f>
        <v>https://t.co/OllLFoIeZ4</v>
      </c>
      <c r="AQ163" s="83" t="str">
        <f>HYPERLINK("http://mbl.org.br")</f>
        <v>http://mbl.org.br</v>
      </c>
      <c r="AR163" s="76" t="s">
        <v>19087</v>
      </c>
      <c r="AS163" s="76"/>
      <c r="AT163" s="76"/>
      <c r="AU163" s="76"/>
      <c r="AV163" s="76">
        <v>1.6707994780586299E+18</v>
      </c>
      <c r="AW163" s="83" t="str">
        <f>HYPERLINK("https://t.co/OllLFoIeZ4")</f>
        <v>https://t.co/OllLFoIeZ4</v>
      </c>
      <c r="AX163" s="76" t="b">
        <v>1</v>
      </c>
      <c r="AY163" s="76"/>
      <c r="AZ163" s="76"/>
      <c r="BA163" s="76" t="b">
        <v>1</v>
      </c>
      <c r="BB163" s="76" t="b">
        <v>0</v>
      </c>
      <c r="BC163" s="76" t="b">
        <v>1</v>
      </c>
      <c r="BD163" s="76" t="b">
        <v>0</v>
      </c>
      <c r="BE163" s="76" t="b">
        <v>1</v>
      </c>
      <c r="BF163" s="76" t="b">
        <v>0</v>
      </c>
      <c r="BG163" s="76" t="b">
        <v>0</v>
      </c>
      <c r="BH163" s="83" t="str">
        <f>HYPERLINK("https://pbs.twimg.com/profile_banners/1523823530/1688756322")</f>
        <v>https://pbs.twimg.com/profile_banners/1523823530/1688756322</v>
      </c>
      <c r="BI163" s="76"/>
      <c r="BJ163" s="76" t="s">
        <v>19633</v>
      </c>
      <c r="BK163" s="76" t="b">
        <v>0</v>
      </c>
      <c r="BL163" s="76"/>
      <c r="BM163" s="76" t="s">
        <v>65</v>
      </c>
      <c r="BN163" s="76" t="s">
        <v>19635</v>
      </c>
      <c r="BO163" s="83" t="str">
        <f>HYPERLINK("https://twitter.com/mblivre")</f>
        <v>https://twitter.com/mblivre</v>
      </c>
      <c r="BP163" s="2"/>
    </row>
    <row r="164" spans="1:68" x14ac:dyDescent="0.25">
      <c r="A164" s="62" t="s">
        <v>357</v>
      </c>
      <c r="B164" s="63"/>
      <c r="C164" s="63"/>
      <c r="D164" s="64"/>
      <c r="E164" s="66"/>
      <c r="F164" s="103" t="str">
        <f>HYPERLINK("https://pbs.twimg.com/profile_images/1671655458036219905/GgDI_nve_normal.jpg")</f>
        <v>https://pbs.twimg.com/profile_images/1671655458036219905/GgDI_nve_normal.jpg</v>
      </c>
      <c r="G164" s="63"/>
      <c r="H164" s="67"/>
      <c r="I164" s="68"/>
      <c r="J164" s="68"/>
      <c r="K164" s="67" t="s">
        <v>19796</v>
      </c>
      <c r="L164" s="71"/>
      <c r="M164" s="72"/>
      <c r="N164" s="72"/>
      <c r="O164" s="73"/>
      <c r="P164" s="74"/>
      <c r="Q164" s="74"/>
      <c r="R164" s="87"/>
      <c r="S164" s="87"/>
      <c r="T164" s="87"/>
      <c r="U164" s="87"/>
      <c r="V164" s="48"/>
      <c r="W164" s="48"/>
      <c r="X164" s="47">
        <v>1.101E-3</v>
      </c>
      <c r="Y164" s="48"/>
      <c r="Z164" s="47"/>
      <c r="AA164" s="69">
        <v>164</v>
      </c>
      <c r="AB164" s="69"/>
      <c r="AC164" s="70"/>
      <c r="AD164" s="76" t="s">
        <v>16801</v>
      </c>
      <c r="AE164" s="81" t="s">
        <v>16211</v>
      </c>
      <c r="AF164" s="76">
        <v>32</v>
      </c>
      <c r="AG164" s="76">
        <v>28</v>
      </c>
      <c r="AH164" s="76">
        <v>512</v>
      </c>
      <c r="AI164" s="76">
        <v>1</v>
      </c>
      <c r="AJ164" s="76">
        <v>24</v>
      </c>
      <c r="AK164" s="76">
        <v>396</v>
      </c>
      <c r="AL164" s="76" t="b">
        <v>0</v>
      </c>
      <c r="AM164" s="78">
        <v>43961.692210648151</v>
      </c>
      <c r="AN164" s="76" t="s">
        <v>17919</v>
      </c>
      <c r="AO164" s="76" t="s">
        <v>18296</v>
      </c>
      <c r="AP164" s="83" t="str">
        <f>HYPERLINK("https://t.co/ttfSjtZaii")</f>
        <v>https://t.co/ttfSjtZaii</v>
      </c>
      <c r="AQ164" s="83" t="str">
        <f>HYPERLINK("https://bit.ly/3oR4wGI")</f>
        <v>https://bit.ly/3oR4wGI</v>
      </c>
      <c r="AR164" s="76" t="s">
        <v>19088</v>
      </c>
      <c r="AS164" s="76"/>
      <c r="AT164" s="76"/>
      <c r="AU164" s="76"/>
      <c r="AV164" s="76"/>
      <c r="AW164" s="83" t="str">
        <f>HYPERLINK("https://t.co/ttfSjtZaii")</f>
        <v>https://t.co/ttfSjtZaii</v>
      </c>
      <c r="AX164" s="76" t="b">
        <v>0</v>
      </c>
      <c r="AY164" s="76"/>
      <c r="AZ164" s="76"/>
      <c r="BA164" s="76" t="b">
        <v>0</v>
      </c>
      <c r="BB164" s="76" t="b">
        <v>1</v>
      </c>
      <c r="BC164" s="76" t="b">
        <v>1</v>
      </c>
      <c r="BD164" s="76" t="b">
        <v>0</v>
      </c>
      <c r="BE164" s="76" t="b">
        <v>0</v>
      </c>
      <c r="BF164" s="76" t="b">
        <v>0</v>
      </c>
      <c r="BG164" s="76" t="b">
        <v>0</v>
      </c>
      <c r="BH164" s="83" t="str">
        <f>HYPERLINK("https://pbs.twimg.com/profile_banners/1259522744770797568/1589408233")</f>
        <v>https://pbs.twimg.com/profile_banners/1259522744770797568/1589408233</v>
      </c>
      <c r="BI164" s="76"/>
      <c r="BJ164" s="76" t="s">
        <v>19633</v>
      </c>
      <c r="BK164" s="76" t="b">
        <v>0</v>
      </c>
      <c r="BL164" s="76"/>
      <c r="BM164" s="76" t="s">
        <v>66</v>
      </c>
      <c r="BN164" s="76" t="s">
        <v>19635</v>
      </c>
      <c r="BO164" s="83" t="str">
        <f>HYPERLINK("https://twitter.com/casal_trader")</f>
        <v>https://twitter.com/casal_trader</v>
      </c>
      <c r="BP164" s="2"/>
    </row>
    <row r="165" spans="1:68" x14ac:dyDescent="0.25">
      <c r="A165" s="62" t="s">
        <v>358</v>
      </c>
      <c r="B165" s="63"/>
      <c r="C165" s="63"/>
      <c r="D165" s="64"/>
      <c r="E165" s="66"/>
      <c r="F165" s="103" t="str">
        <f>HYPERLINK("https://pbs.twimg.com/profile_images/1272691553618755590/AGwT69Fm_normal.jpg")</f>
        <v>https://pbs.twimg.com/profile_images/1272691553618755590/AGwT69Fm_normal.jpg</v>
      </c>
      <c r="G165" s="63"/>
      <c r="H165" s="67"/>
      <c r="I165" s="68"/>
      <c r="J165" s="68"/>
      <c r="K165" s="67" t="s">
        <v>19797</v>
      </c>
      <c r="L165" s="71"/>
      <c r="M165" s="72"/>
      <c r="N165" s="72"/>
      <c r="O165" s="73"/>
      <c r="P165" s="74"/>
      <c r="Q165" s="74"/>
      <c r="R165" s="87"/>
      <c r="S165" s="87"/>
      <c r="T165" s="87"/>
      <c r="U165" s="87"/>
      <c r="V165" s="48"/>
      <c r="W165" s="48"/>
      <c r="X165" s="47">
        <v>1.101E-3</v>
      </c>
      <c r="Y165" s="48"/>
      <c r="Z165" s="47"/>
      <c r="AA165" s="69">
        <v>165</v>
      </c>
      <c r="AB165" s="69"/>
      <c r="AC165" s="70"/>
      <c r="AD165" s="76" t="s">
        <v>16802</v>
      </c>
      <c r="AE165" s="81" t="s">
        <v>15698</v>
      </c>
      <c r="AF165" s="76">
        <v>7</v>
      </c>
      <c r="AG165" s="76">
        <v>47</v>
      </c>
      <c r="AH165" s="76">
        <v>92</v>
      </c>
      <c r="AI165" s="76">
        <v>0</v>
      </c>
      <c r="AJ165" s="76">
        <v>11</v>
      </c>
      <c r="AK165" s="76">
        <v>6</v>
      </c>
      <c r="AL165" s="76" t="b">
        <v>0</v>
      </c>
      <c r="AM165" s="78">
        <v>43998.030717592592</v>
      </c>
      <c r="AN165" s="76" t="s">
        <v>17868</v>
      </c>
      <c r="AO165" s="76" t="s">
        <v>18297</v>
      </c>
      <c r="AP165" s="76"/>
      <c r="AQ165" s="76"/>
      <c r="AR165" s="76"/>
      <c r="AS165" s="76"/>
      <c r="AT165" s="76"/>
      <c r="AU165" s="76"/>
      <c r="AV165" s="76">
        <v>1.6629923465128499E+18</v>
      </c>
      <c r="AW165" s="76"/>
      <c r="AX165" s="76" t="b">
        <v>0</v>
      </c>
      <c r="AY165" s="76"/>
      <c r="AZ165" s="76"/>
      <c r="BA165" s="76" t="b">
        <v>1</v>
      </c>
      <c r="BB165" s="76" t="b">
        <v>1</v>
      </c>
      <c r="BC165" s="76" t="b">
        <v>1</v>
      </c>
      <c r="BD165" s="76" t="b">
        <v>0</v>
      </c>
      <c r="BE165" s="76" t="b">
        <v>0</v>
      </c>
      <c r="BF165" s="76" t="b">
        <v>0</v>
      </c>
      <c r="BG165" s="76" t="b">
        <v>0</v>
      </c>
      <c r="BH165" s="83" t="str">
        <f>HYPERLINK("https://pbs.twimg.com/profile_banners/1272691383418138624/1685321461")</f>
        <v>https://pbs.twimg.com/profile_banners/1272691383418138624/1685321461</v>
      </c>
      <c r="BI165" s="76"/>
      <c r="BJ165" s="76" t="s">
        <v>19633</v>
      </c>
      <c r="BK165" s="76" t="b">
        <v>0</v>
      </c>
      <c r="BL165" s="76"/>
      <c r="BM165" s="76" t="s">
        <v>66</v>
      </c>
      <c r="BN165" s="76" t="s">
        <v>19635</v>
      </c>
      <c r="BO165" s="83" t="str">
        <f>HYPERLINK("https://twitter.com/netorebello1")</f>
        <v>https://twitter.com/netorebello1</v>
      </c>
      <c r="BP165" s="2"/>
    </row>
    <row r="166" spans="1:68" x14ac:dyDescent="0.25">
      <c r="A166" s="62" t="s">
        <v>359</v>
      </c>
      <c r="B166" s="63"/>
      <c r="C166" s="63"/>
      <c r="D166" s="64"/>
      <c r="E166" s="66"/>
      <c r="F166" s="103" t="str">
        <f>HYPERLINK("https://pbs.twimg.com/profile_images/1610288298580213762/dn0xwCrp_normal.jpg")</f>
        <v>https://pbs.twimg.com/profile_images/1610288298580213762/dn0xwCrp_normal.jpg</v>
      </c>
      <c r="G166" s="63"/>
      <c r="H166" s="67"/>
      <c r="I166" s="68"/>
      <c r="J166" s="68"/>
      <c r="K166" s="67" t="s">
        <v>19798</v>
      </c>
      <c r="L166" s="71"/>
      <c r="M166" s="72"/>
      <c r="N166" s="72"/>
      <c r="O166" s="73"/>
      <c r="P166" s="74"/>
      <c r="Q166" s="74"/>
      <c r="R166" s="87"/>
      <c r="S166" s="87"/>
      <c r="T166" s="87"/>
      <c r="U166" s="87"/>
      <c r="V166" s="48"/>
      <c r="W166" s="48"/>
      <c r="X166" s="47">
        <v>1.101E-3</v>
      </c>
      <c r="Y166" s="48"/>
      <c r="Z166" s="47"/>
      <c r="AA166" s="69">
        <v>166</v>
      </c>
      <c r="AB166" s="69"/>
      <c r="AC166" s="70"/>
      <c r="AD166" s="76" t="s">
        <v>16803</v>
      </c>
      <c r="AE166" s="81" t="s">
        <v>16212</v>
      </c>
      <c r="AF166" s="76">
        <v>6</v>
      </c>
      <c r="AG166" s="76">
        <v>2</v>
      </c>
      <c r="AH166" s="76">
        <v>16</v>
      </c>
      <c r="AI166" s="76">
        <v>0</v>
      </c>
      <c r="AJ166" s="76">
        <v>1</v>
      </c>
      <c r="AK166" s="76">
        <v>15</v>
      </c>
      <c r="AL166" s="76" t="b">
        <v>0</v>
      </c>
      <c r="AM166" s="78">
        <v>44929.613240740742</v>
      </c>
      <c r="AN166" s="76" t="s">
        <v>17920</v>
      </c>
      <c r="AO166" s="76" t="s">
        <v>18298</v>
      </c>
      <c r="AP166" s="83" t="str">
        <f>HYPERLINK("https://t.co/obbcFTTAbN")</f>
        <v>https://t.co/obbcFTTAbN</v>
      </c>
      <c r="AQ166" s="83" t="str">
        <f>HYPERLINK("https://islamicbfs.com")</f>
        <v>https://islamicbfs.com</v>
      </c>
      <c r="AR166" s="76" t="s">
        <v>6027</v>
      </c>
      <c r="AS166" s="76"/>
      <c r="AT166" s="76"/>
      <c r="AU166" s="76"/>
      <c r="AV166" s="76"/>
      <c r="AW166" s="83" t="str">
        <f>HYPERLINK("https://t.co/obbcFTTAbN")</f>
        <v>https://t.co/obbcFTTAbN</v>
      </c>
      <c r="AX166" s="76" t="b">
        <v>0</v>
      </c>
      <c r="AY166" s="76"/>
      <c r="AZ166" s="76"/>
      <c r="BA166" s="76" t="b">
        <v>0</v>
      </c>
      <c r="BB166" s="76" t="b">
        <v>1</v>
      </c>
      <c r="BC166" s="76" t="b">
        <v>1</v>
      </c>
      <c r="BD166" s="76" t="b">
        <v>0</v>
      </c>
      <c r="BE166" s="76" t="b">
        <v>0</v>
      </c>
      <c r="BF166" s="76" t="b">
        <v>0</v>
      </c>
      <c r="BG166" s="76" t="b">
        <v>0</v>
      </c>
      <c r="BH166" s="83" t="str">
        <f>HYPERLINK("https://pbs.twimg.com/profile_banners/1610285565282222081/1673427022")</f>
        <v>https://pbs.twimg.com/profile_banners/1610285565282222081/1673427022</v>
      </c>
      <c r="BI166" s="76"/>
      <c r="BJ166" s="76" t="s">
        <v>19633</v>
      </c>
      <c r="BK166" s="76" t="b">
        <v>0</v>
      </c>
      <c r="BL166" s="76"/>
      <c r="BM166" s="76" t="s">
        <v>66</v>
      </c>
      <c r="BN166" s="76" t="s">
        <v>19635</v>
      </c>
      <c r="BO166" s="83" t="str">
        <f>HYPERLINK("https://twitter.com/islamicsummit")</f>
        <v>https://twitter.com/islamicsummit</v>
      </c>
      <c r="BP166" s="2"/>
    </row>
    <row r="167" spans="1:68" x14ac:dyDescent="0.25">
      <c r="A167" s="62" t="s">
        <v>1063</v>
      </c>
      <c r="B167" s="63"/>
      <c r="C167" s="63"/>
      <c r="D167" s="64"/>
      <c r="E167" s="66"/>
      <c r="F167" s="103" t="str">
        <f>HYPERLINK("https://pbs.twimg.com/profile_images/1374658898217422851/3lzixyle_normal.jpg")</f>
        <v>https://pbs.twimg.com/profile_images/1374658898217422851/3lzixyle_normal.jpg</v>
      </c>
      <c r="G167" s="63"/>
      <c r="H167" s="67"/>
      <c r="I167" s="68"/>
      <c r="J167" s="68"/>
      <c r="K167" s="67" t="s">
        <v>19799</v>
      </c>
      <c r="L167" s="71"/>
      <c r="M167" s="72"/>
      <c r="N167" s="72"/>
      <c r="O167" s="73"/>
      <c r="P167" s="74"/>
      <c r="Q167" s="74"/>
      <c r="R167" s="87"/>
      <c r="S167" s="87"/>
      <c r="T167" s="87"/>
      <c r="U167" s="87"/>
      <c r="V167" s="48"/>
      <c r="W167" s="48"/>
      <c r="X167" s="47">
        <v>1.101E-3</v>
      </c>
      <c r="Y167" s="48"/>
      <c r="Z167" s="47"/>
      <c r="AA167" s="69">
        <v>167</v>
      </c>
      <c r="AB167" s="69"/>
      <c r="AC167" s="70"/>
      <c r="AD167" s="76" t="s">
        <v>16804</v>
      </c>
      <c r="AE167" s="81" t="s">
        <v>17592</v>
      </c>
      <c r="AF167" s="76">
        <v>4636</v>
      </c>
      <c r="AG167" s="76">
        <v>343</v>
      </c>
      <c r="AH167" s="76">
        <v>2589</v>
      </c>
      <c r="AI167" s="76">
        <v>0</v>
      </c>
      <c r="AJ167" s="76">
        <v>22</v>
      </c>
      <c r="AK167" s="76">
        <v>2465</v>
      </c>
      <c r="AL167" s="76" t="b">
        <v>0</v>
      </c>
      <c r="AM167" s="78">
        <v>44279.407164351855</v>
      </c>
      <c r="AN167" s="76" t="s">
        <v>17921</v>
      </c>
      <c r="AO167" s="76" t="s">
        <v>18299</v>
      </c>
      <c r="AP167" s="83" t="str">
        <f>HYPERLINK("https://t.co/d5oqNcQrmc")</f>
        <v>https://t.co/d5oqNcQrmc</v>
      </c>
      <c r="AQ167" s="83" t="str">
        <f>HYPERLINK("https://worldbusinessoutlook.com/")</f>
        <v>https://worldbusinessoutlook.com/</v>
      </c>
      <c r="AR167" s="76" t="s">
        <v>19089</v>
      </c>
      <c r="AS167" s="76"/>
      <c r="AT167" s="76"/>
      <c r="AU167" s="76"/>
      <c r="AV167" s="76"/>
      <c r="AW167" s="83" t="str">
        <f>HYPERLINK("https://t.co/d5oqNcQrmc")</f>
        <v>https://t.co/d5oqNcQrmc</v>
      </c>
      <c r="AX167" s="76" t="b">
        <v>0</v>
      </c>
      <c r="AY167" s="76"/>
      <c r="AZ167" s="76"/>
      <c r="BA167" s="76" t="b">
        <v>0</v>
      </c>
      <c r="BB167" s="76" t="b">
        <v>1</v>
      </c>
      <c r="BC167" s="76" t="b">
        <v>1</v>
      </c>
      <c r="BD167" s="76" t="b">
        <v>0</v>
      </c>
      <c r="BE167" s="76" t="b">
        <v>1</v>
      </c>
      <c r="BF167" s="76" t="b">
        <v>0</v>
      </c>
      <c r="BG167" s="76" t="b">
        <v>0</v>
      </c>
      <c r="BH167" s="83" t="str">
        <f>HYPERLINK("https://pbs.twimg.com/profile_banners/1374658665903394818/1694175133")</f>
        <v>https://pbs.twimg.com/profile_banners/1374658665903394818/1694175133</v>
      </c>
      <c r="BI167" s="76"/>
      <c r="BJ167" s="76" t="s">
        <v>19633</v>
      </c>
      <c r="BK167" s="76" t="b">
        <v>0</v>
      </c>
      <c r="BL167" s="76"/>
      <c r="BM167" s="76" t="s">
        <v>65</v>
      </c>
      <c r="BN167" s="76" t="s">
        <v>19635</v>
      </c>
      <c r="BO167" s="83" t="str">
        <f>HYPERLINK("https://twitter.com/wboutlook")</f>
        <v>https://twitter.com/wboutlook</v>
      </c>
      <c r="BP167" s="2"/>
    </row>
    <row r="168" spans="1:68" x14ac:dyDescent="0.25">
      <c r="A168" s="62" t="s">
        <v>360</v>
      </c>
      <c r="B168" s="63"/>
      <c r="C168" s="63"/>
      <c r="D168" s="64"/>
      <c r="E168" s="66"/>
      <c r="F168" s="103" t="str">
        <f>HYPERLINK("https://pbs.twimg.com/profile_images/448881387550953472/P-1PdAmb_normal.png")</f>
        <v>https://pbs.twimg.com/profile_images/448881387550953472/P-1PdAmb_normal.png</v>
      </c>
      <c r="G168" s="63"/>
      <c r="H168" s="67"/>
      <c r="I168" s="68"/>
      <c r="J168" s="68"/>
      <c r="K168" s="67" t="s">
        <v>19800</v>
      </c>
      <c r="L168" s="71"/>
      <c r="M168" s="72"/>
      <c r="N168" s="72"/>
      <c r="O168" s="73"/>
      <c r="P168" s="74"/>
      <c r="Q168" s="74"/>
      <c r="R168" s="87"/>
      <c r="S168" s="87"/>
      <c r="T168" s="87"/>
      <c r="U168" s="87"/>
      <c r="V168" s="48"/>
      <c r="W168" s="48"/>
      <c r="X168" s="47">
        <v>1.101E-3</v>
      </c>
      <c r="Y168" s="48"/>
      <c r="Z168" s="47"/>
      <c r="AA168" s="69">
        <v>168</v>
      </c>
      <c r="AB168" s="69"/>
      <c r="AC168" s="70"/>
      <c r="AD168" s="76" t="s">
        <v>16805</v>
      </c>
      <c r="AE168" s="81" t="s">
        <v>17593</v>
      </c>
      <c r="AF168" s="76">
        <v>15427</v>
      </c>
      <c r="AG168" s="76">
        <v>1125</v>
      </c>
      <c r="AH168" s="76">
        <v>13511</v>
      </c>
      <c r="AI168" s="76">
        <v>177</v>
      </c>
      <c r="AJ168" s="76">
        <v>1416</v>
      </c>
      <c r="AK168" s="76">
        <v>3611</v>
      </c>
      <c r="AL168" s="76" t="b">
        <v>0</v>
      </c>
      <c r="AM168" s="78">
        <v>39967.856527777774</v>
      </c>
      <c r="AN168" s="76" t="s">
        <v>10622</v>
      </c>
      <c r="AO168" s="76" t="s">
        <v>18300</v>
      </c>
      <c r="AP168" s="83" t="str">
        <f>HYPERLINK("https://t.co/3kV3Mk4SFM")</f>
        <v>https://t.co/3kV3Mk4SFM</v>
      </c>
      <c r="AQ168" s="83" t="str">
        <f>HYPERLINK("http://fgv.br/eaesp")</f>
        <v>http://fgv.br/eaesp</v>
      </c>
      <c r="AR168" s="76" t="s">
        <v>19090</v>
      </c>
      <c r="AS168" s="76"/>
      <c r="AT168" s="76"/>
      <c r="AU168" s="76"/>
      <c r="AV168" s="76"/>
      <c r="AW168" s="83" t="str">
        <f>HYPERLINK("https://t.co/3kV3Mk4SFM")</f>
        <v>https://t.co/3kV3Mk4SFM</v>
      </c>
      <c r="AX168" s="76" t="b">
        <v>0</v>
      </c>
      <c r="AY168" s="76"/>
      <c r="AZ168" s="76"/>
      <c r="BA168" s="76" t="b">
        <v>0</v>
      </c>
      <c r="BB168" s="76" t="b">
        <v>1</v>
      </c>
      <c r="BC168" s="76" t="b">
        <v>0</v>
      </c>
      <c r="BD168" s="76" t="b">
        <v>0</v>
      </c>
      <c r="BE168" s="76" t="b">
        <v>0</v>
      </c>
      <c r="BF168" s="76" t="b">
        <v>0</v>
      </c>
      <c r="BG168" s="76" t="b">
        <v>0</v>
      </c>
      <c r="BH168" s="83" t="str">
        <f>HYPERLINK("https://pbs.twimg.com/profile_banners/44449999/1672758917")</f>
        <v>https://pbs.twimg.com/profile_banners/44449999/1672758917</v>
      </c>
      <c r="BI168" s="76"/>
      <c r="BJ168" s="76" t="s">
        <v>19633</v>
      </c>
      <c r="BK168" s="76" t="b">
        <v>0</v>
      </c>
      <c r="BL168" s="76"/>
      <c r="BM168" s="76" t="s">
        <v>66</v>
      </c>
      <c r="BN168" s="76" t="s">
        <v>19635</v>
      </c>
      <c r="BO168" s="83" t="str">
        <f>HYPERLINK("https://twitter.com/fgv_eaesp")</f>
        <v>https://twitter.com/fgv_eaesp</v>
      </c>
      <c r="BP168" s="2"/>
    </row>
    <row r="169" spans="1:68" x14ac:dyDescent="0.25">
      <c r="A169" s="62" t="s">
        <v>361</v>
      </c>
      <c r="B169" s="63"/>
      <c r="C169" s="63"/>
      <c r="D169" s="64"/>
      <c r="E169" s="66"/>
      <c r="F169" s="103" t="str">
        <f>HYPERLINK("https://pbs.twimg.com/profile_images/1658810643582001154/QHWsdNGE_normal.jpg")</f>
        <v>https://pbs.twimg.com/profile_images/1658810643582001154/QHWsdNGE_normal.jpg</v>
      </c>
      <c r="G169" s="63"/>
      <c r="H169" s="67"/>
      <c r="I169" s="68"/>
      <c r="J169" s="68"/>
      <c r="K169" s="67" t="s">
        <v>19801</v>
      </c>
      <c r="L169" s="71"/>
      <c r="M169" s="72"/>
      <c r="N169" s="72"/>
      <c r="O169" s="73"/>
      <c r="P169" s="74"/>
      <c r="Q169" s="74"/>
      <c r="R169" s="87"/>
      <c r="S169" s="87"/>
      <c r="T169" s="87"/>
      <c r="U169" s="87"/>
      <c r="V169" s="48"/>
      <c r="W169" s="48"/>
      <c r="X169" s="47">
        <v>1.101E-3</v>
      </c>
      <c r="Y169" s="48"/>
      <c r="Z169" s="47"/>
      <c r="AA169" s="69">
        <v>169</v>
      </c>
      <c r="AB169" s="69"/>
      <c r="AC169" s="70"/>
      <c r="AD169" s="76" t="s">
        <v>16806</v>
      </c>
      <c r="AE169" s="81" t="s">
        <v>16213</v>
      </c>
      <c r="AF169" s="76">
        <v>193</v>
      </c>
      <c r="AG169" s="76">
        <v>283</v>
      </c>
      <c r="AH169" s="76">
        <v>4189</v>
      </c>
      <c r="AI169" s="76">
        <v>2</v>
      </c>
      <c r="AJ169" s="76">
        <v>3829</v>
      </c>
      <c r="AK169" s="76">
        <v>263</v>
      </c>
      <c r="AL169" s="76" t="b">
        <v>0</v>
      </c>
      <c r="AM169" s="78">
        <v>44496.019293981481</v>
      </c>
      <c r="AN169" s="76" t="s">
        <v>10561</v>
      </c>
      <c r="AO169" s="76" t="s">
        <v>18301</v>
      </c>
      <c r="AP169" s="76"/>
      <c r="AQ169" s="76"/>
      <c r="AR169" s="76"/>
      <c r="AS169" s="76"/>
      <c r="AT169" s="76"/>
      <c r="AU169" s="76"/>
      <c r="AV169" s="76"/>
      <c r="AW169" s="76"/>
      <c r="AX169" s="76" t="b">
        <v>0</v>
      </c>
      <c r="AY169" s="76"/>
      <c r="AZ169" s="76"/>
      <c r="BA169" s="76" t="b">
        <v>1</v>
      </c>
      <c r="BB169" s="76" t="b">
        <v>1</v>
      </c>
      <c r="BC169" s="76" t="b">
        <v>1</v>
      </c>
      <c r="BD169" s="76" t="b">
        <v>0</v>
      </c>
      <c r="BE169" s="76" t="b">
        <v>0</v>
      </c>
      <c r="BF169" s="76" t="b">
        <v>0</v>
      </c>
      <c r="BG169" s="76" t="b">
        <v>0</v>
      </c>
      <c r="BH169" s="83" t="str">
        <f>HYPERLINK("https://pbs.twimg.com/profile_banners/1453156387094159363/1635295253")</f>
        <v>https://pbs.twimg.com/profile_banners/1453156387094159363/1635295253</v>
      </c>
      <c r="BI169" s="76"/>
      <c r="BJ169" s="76" t="s">
        <v>19633</v>
      </c>
      <c r="BK169" s="76" t="b">
        <v>0</v>
      </c>
      <c r="BL169" s="76"/>
      <c r="BM169" s="76" t="s">
        <v>66</v>
      </c>
      <c r="BN169" s="76" t="s">
        <v>19635</v>
      </c>
      <c r="BO169" s="83" t="str">
        <f>HYPERLINK("https://twitter.com/evertondesg")</f>
        <v>https://twitter.com/evertondesg</v>
      </c>
      <c r="BP169" s="2"/>
    </row>
    <row r="170" spans="1:68" x14ac:dyDescent="0.25">
      <c r="A170" s="62" t="s">
        <v>362</v>
      </c>
      <c r="B170" s="63"/>
      <c r="C170" s="63"/>
      <c r="D170" s="64"/>
      <c r="E170" s="66"/>
      <c r="F170" s="103" t="str">
        <f>HYPERLINK("https://pbs.twimg.com/profile_images/1587440474213711872/tq5ofef__normal.jpg")</f>
        <v>https://pbs.twimg.com/profile_images/1587440474213711872/tq5ofef__normal.jpg</v>
      </c>
      <c r="G170" s="63"/>
      <c r="H170" s="67"/>
      <c r="I170" s="68"/>
      <c r="J170" s="68"/>
      <c r="K170" s="67" t="s">
        <v>19802</v>
      </c>
      <c r="L170" s="71"/>
      <c r="M170" s="72"/>
      <c r="N170" s="72"/>
      <c r="O170" s="73"/>
      <c r="P170" s="74"/>
      <c r="Q170" s="74"/>
      <c r="R170" s="87"/>
      <c r="S170" s="87"/>
      <c r="T170" s="87"/>
      <c r="U170" s="87"/>
      <c r="V170" s="48"/>
      <c r="W170" s="48"/>
      <c r="X170" s="47">
        <v>1.101E-3</v>
      </c>
      <c r="Y170" s="48"/>
      <c r="Z170" s="47"/>
      <c r="AA170" s="69">
        <v>170</v>
      </c>
      <c r="AB170" s="69"/>
      <c r="AC170" s="70"/>
      <c r="AD170" s="76" t="s">
        <v>16807</v>
      </c>
      <c r="AE170" s="81" t="s">
        <v>17594</v>
      </c>
      <c r="AF170" s="76">
        <v>8222</v>
      </c>
      <c r="AG170" s="76">
        <v>164</v>
      </c>
      <c r="AH170" s="76">
        <v>17506</v>
      </c>
      <c r="AI170" s="76">
        <v>54</v>
      </c>
      <c r="AJ170" s="76">
        <v>1285</v>
      </c>
      <c r="AK170" s="76">
        <v>6876</v>
      </c>
      <c r="AL170" s="76" t="b">
        <v>0</v>
      </c>
      <c r="AM170" s="78">
        <v>40157.54146990741</v>
      </c>
      <c r="AN170" s="76" t="s">
        <v>17922</v>
      </c>
      <c r="AO170" s="76" t="s">
        <v>18302</v>
      </c>
      <c r="AP170" s="83" t="str">
        <f>HYPERLINK("https://t.co/j5LG5986PI")</f>
        <v>https://t.co/j5LG5986PI</v>
      </c>
      <c r="AQ170" s="83" t="str">
        <f>HYPERLINK("https://www.joaopessoa.pb.leg.br")</f>
        <v>https://www.joaopessoa.pb.leg.br</v>
      </c>
      <c r="AR170" s="76" t="s">
        <v>19091</v>
      </c>
      <c r="AS170" s="76"/>
      <c r="AT170" s="76"/>
      <c r="AU170" s="76"/>
      <c r="AV170" s="76"/>
      <c r="AW170" s="83" t="str">
        <f>HYPERLINK("https://t.co/j5LG5986PI")</f>
        <v>https://t.co/j5LG5986PI</v>
      </c>
      <c r="AX170" s="76" t="b">
        <v>0</v>
      </c>
      <c r="AY170" s="76"/>
      <c r="AZ170" s="76"/>
      <c r="BA170" s="76" t="b">
        <v>1</v>
      </c>
      <c r="BB170" s="76" t="b">
        <v>1</v>
      </c>
      <c r="BC170" s="76" t="b">
        <v>0</v>
      </c>
      <c r="BD170" s="76" t="b">
        <v>0</v>
      </c>
      <c r="BE170" s="76" t="b">
        <v>0</v>
      </c>
      <c r="BF170" s="76" t="b">
        <v>0</v>
      </c>
      <c r="BG170" s="76" t="b">
        <v>0</v>
      </c>
      <c r="BH170" s="83" t="str">
        <f>HYPERLINK("https://pbs.twimg.com/profile_banners/95895775/1565362369")</f>
        <v>https://pbs.twimg.com/profile_banners/95895775/1565362369</v>
      </c>
      <c r="BI170" s="76"/>
      <c r="BJ170" s="76" t="s">
        <v>19633</v>
      </c>
      <c r="BK170" s="76" t="b">
        <v>0</v>
      </c>
      <c r="BL170" s="76"/>
      <c r="BM170" s="76" t="s">
        <v>66</v>
      </c>
      <c r="BN170" s="76" t="s">
        <v>19635</v>
      </c>
      <c r="BO170" s="83" t="str">
        <f>HYPERLINK("https://twitter.com/camarajp")</f>
        <v>https://twitter.com/camarajp</v>
      </c>
      <c r="BP170" s="2"/>
    </row>
    <row r="171" spans="1:68" x14ac:dyDescent="0.25">
      <c r="A171" s="62" t="s">
        <v>1064</v>
      </c>
      <c r="B171" s="63"/>
      <c r="C171" s="63"/>
      <c r="D171" s="64"/>
      <c r="E171" s="66"/>
      <c r="F171" s="103" t="str">
        <f>HYPERLINK("https://pbs.twimg.com/profile_images/506531587580645376/Z-b8NtBr_normal.png")</f>
        <v>https://pbs.twimg.com/profile_images/506531587580645376/Z-b8NtBr_normal.png</v>
      </c>
      <c r="G171" s="63"/>
      <c r="H171" s="67"/>
      <c r="I171" s="68"/>
      <c r="J171" s="68"/>
      <c r="K171" s="67" t="s">
        <v>19803</v>
      </c>
      <c r="L171" s="71"/>
      <c r="M171" s="72"/>
      <c r="N171" s="72"/>
      <c r="O171" s="73"/>
      <c r="P171" s="74"/>
      <c r="Q171" s="74"/>
      <c r="R171" s="87"/>
      <c r="S171" s="87"/>
      <c r="T171" s="87"/>
      <c r="U171" s="87"/>
      <c r="V171" s="48"/>
      <c r="W171" s="48"/>
      <c r="X171" s="47">
        <v>1.101E-3</v>
      </c>
      <c r="Y171" s="48"/>
      <c r="Z171" s="47"/>
      <c r="AA171" s="69">
        <v>171</v>
      </c>
      <c r="AB171" s="69"/>
      <c r="AC171" s="70"/>
      <c r="AD171" s="76" t="s">
        <v>16808</v>
      </c>
      <c r="AE171" s="81" t="s">
        <v>17595</v>
      </c>
      <c r="AF171" s="76">
        <v>4802</v>
      </c>
      <c r="AG171" s="76">
        <v>1379</v>
      </c>
      <c r="AH171" s="76">
        <v>5145</v>
      </c>
      <c r="AI171" s="76">
        <v>23</v>
      </c>
      <c r="AJ171" s="76">
        <v>30</v>
      </c>
      <c r="AK171" s="76">
        <v>26</v>
      </c>
      <c r="AL171" s="76" t="b">
        <v>0</v>
      </c>
      <c r="AM171" s="78">
        <v>40623.892372685186</v>
      </c>
      <c r="AN171" s="76" t="s">
        <v>17923</v>
      </c>
      <c r="AO171" s="76" t="s">
        <v>18303</v>
      </c>
      <c r="AP171" s="76"/>
      <c r="AQ171" s="76"/>
      <c r="AR171" s="76"/>
      <c r="AS171" s="76"/>
      <c r="AT171" s="76"/>
      <c r="AU171" s="76"/>
      <c r="AV171" s="76"/>
      <c r="AW171" s="76"/>
      <c r="AX171" s="76" t="b">
        <v>0</v>
      </c>
      <c r="AY171" s="76"/>
      <c r="AZ171" s="76"/>
      <c r="BA171" s="76" t="b">
        <v>0</v>
      </c>
      <c r="BB171" s="76" t="b">
        <v>1</v>
      </c>
      <c r="BC171" s="76" t="b">
        <v>0</v>
      </c>
      <c r="BD171" s="76" t="b">
        <v>0</v>
      </c>
      <c r="BE171" s="76" t="b">
        <v>0</v>
      </c>
      <c r="BF171" s="76" t="b">
        <v>0</v>
      </c>
      <c r="BG171" s="76" t="b">
        <v>0</v>
      </c>
      <c r="BH171" s="83" t="str">
        <f>HYPERLINK("https://pbs.twimg.com/profile_banners/270020969/1409601538")</f>
        <v>https://pbs.twimg.com/profile_banners/270020969/1409601538</v>
      </c>
      <c r="BI171" s="76"/>
      <c r="BJ171" s="76" t="s">
        <v>19633</v>
      </c>
      <c r="BK171" s="76" t="b">
        <v>0</v>
      </c>
      <c r="BL171" s="76"/>
      <c r="BM171" s="76" t="s">
        <v>65</v>
      </c>
      <c r="BN171" s="76" t="s">
        <v>19635</v>
      </c>
      <c r="BO171" s="83" t="str">
        <f>HYPERLINK("https://twitter.com/odonbezerraadv")</f>
        <v>https://twitter.com/odonbezerraadv</v>
      </c>
      <c r="BP171" s="2"/>
    </row>
    <row r="172" spans="1:68" x14ac:dyDescent="0.25">
      <c r="A172" s="62" t="s">
        <v>363</v>
      </c>
      <c r="B172" s="63"/>
      <c r="C172" s="63"/>
      <c r="D172" s="64"/>
      <c r="E172" s="66"/>
      <c r="F172" s="103" t="str">
        <f>HYPERLINK("https://pbs.twimg.com/profile_images/1642214481383104513/CSuLwrVo_normal.jpg")</f>
        <v>https://pbs.twimg.com/profile_images/1642214481383104513/CSuLwrVo_normal.jpg</v>
      </c>
      <c r="G172" s="63"/>
      <c r="H172" s="67"/>
      <c r="I172" s="68"/>
      <c r="J172" s="68"/>
      <c r="K172" s="67" t="s">
        <v>19804</v>
      </c>
      <c r="L172" s="71"/>
      <c r="M172" s="72"/>
      <c r="N172" s="72"/>
      <c r="O172" s="73"/>
      <c r="P172" s="74"/>
      <c r="Q172" s="74"/>
      <c r="R172" s="87"/>
      <c r="S172" s="87"/>
      <c r="T172" s="87"/>
      <c r="U172" s="87"/>
      <c r="V172" s="48"/>
      <c r="W172" s="48"/>
      <c r="X172" s="47">
        <v>1.101E-3</v>
      </c>
      <c r="Y172" s="48"/>
      <c r="Z172" s="47"/>
      <c r="AA172" s="69">
        <v>172</v>
      </c>
      <c r="AB172" s="69"/>
      <c r="AC172" s="70"/>
      <c r="AD172" s="76" t="s">
        <v>16809</v>
      </c>
      <c r="AE172" s="81" t="s">
        <v>15699</v>
      </c>
      <c r="AF172" s="76">
        <v>8</v>
      </c>
      <c r="AG172" s="76">
        <v>108</v>
      </c>
      <c r="AH172" s="76">
        <v>219</v>
      </c>
      <c r="AI172" s="76">
        <v>0</v>
      </c>
      <c r="AJ172" s="76">
        <v>139</v>
      </c>
      <c r="AK172" s="76">
        <v>8</v>
      </c>
      <c r="AL172" s="76" t="b">
        <v>0</v>
      </c>
      <c r="AM172" s="78">
        <v>40338.879895833335</v>
      </c>
      <c r="AN172" s="76" t="s">
        <v>17924</v>
      </c>
      <c r="AO172" s="76" t="s">
        <v>18304</v>
      </c>
      <c r="AP172" s="83" t="str">
        <f>HYPERLINK("https://t.co/otPabn9GLk")</f>
        <v>https://t.co/otPabn9GLk</v>
      </c>
      <c r="AQ172" s="83" t="str">
        <f>HYPERLINK("https://www.youtube.com/@opoder.do.dinheiro")</f>
        <v>https://www.youtube.com/@opoder.do.dinheiro</v>
      </c>
      <c r="AR172" s="76" t="s">
        <v>19092</v>
      </c>
      <c r="AS172" s="76"/>
      <c r="AT172" s="76"/>
      <c r="AU172" s="76"/>
      <c r="AV172" s="76">
        <v>1.64656740029523E+18</v>
      </c>
      <c r="AW172" s="83" t="str">
        <f>HYPERLINK("https://t.co/otPabn9GLk")</f>
        <v>https://t.co/otPabn9GLk</v>
      </c>
      <c r="AX172" s="76" t="b">
        <v>0</v>
      </c>
      <c r="AY172" s="76"/>
      <c r="AZ172" s="76"/>
      <c r="BA172" s="76" t="b">
        <v>1</v>
      </c>
      <c r="BB172" s="76" t="b">
        <v>1</v>
      </c>
      <c r="BC172" s="76" t="b">
        <v>1</v>
      </c>
      <c r="BD172" s="76" t="b">
        <v>0</v>
      </c>
      <c r="BE172" s="76" t="b">
        <v>0</v>
      </c>
      <c r="BF172" s="76" t="b">
        <v>0</v>
      </c>
      <c r="BG172" s="76" t="b">
        <v>0</v>
      </c>
      <c r="BH172" s="83" t="str">
        <f>HYPERLINK("https://pbs.twimg.com/profile_banners/153904334/1685911236")</f>
        <v>https://pbs.twimg.com/profile_banners/153904334/1685911236</v>
      </c>
      <c r="BI172" s="76"/>
      <c r="BJ172" s="76" t="s">
        <v>19633</v>
      </c>
      <c r="BK172" s="76" t="b">
        <v>0</v>
      </c>
      <c r="BL172" s="76"/>
      <c r="BM172" s="76" t="s">
        <v>66</v>
      </c>
      <c r="BN172" s="76" t="s">
        <v>19635</v>
      </c>
      <c r="BO172" s="83" t="str">
        <f>HYPERLINK("https://twitter.com/paulonodigital")</f>
        <v>https://twitter.com/paulonodigital</v>
      </c>
      <c r="BP172" s="2"/>
    </row>
    <row r="173" spans="1:68" x14ac:dyDescent="0.25">
      <c r="A173" s="62" t="s">
        <v>364</v>
      </c>
      <c r="B173" s="63"/>
      <c r="C173" s="63"/>
      <c r="D173" s="64"/>
      <c r="E173" s="66"/>
      <c r="F173" s="103" t="str">
        <f>HYPERLINK("https://pbs.twimg.com/profile_images/1673031564274331650/UJXLLwks_normal.jpg")</f>
        <v>https://pbs.twimg.com/profile_images/1673031564274331650/UJXLLwks_normal.jpg</v>
      </c>
      <c r="G173" s="63"/>
      <c r="H173" s="67"/>
      <c r="I173" s="68"/>
      <c r="J173" s="68"/>
      <c r="K173" s="67" t="s">
        <v>19805</v>
      </c>
      <c r="L173" s="71"/>
      <c r="M173" s="72"/>
      <c r="N173" s="72"/>
      <c r="O173" s="73"/>
      <c r="P173" s="74"/>
      <c r="Q173" s="74"/>
      <c r="R173" s="87"/>
      <c r="S173" s="87"/>
      <c r="T173" s="87"/>
      <c r="U173" s="87"/>
      <c r="V173" s="48"/>
      <c r="W173" s="48"/>
      <c r="X173" s="47">
        <v>1.101E-3</v>
      </c>
      <c r="Y173" s="48"/>
      <c r="Z173" s="47"/>
      <c r="AA173" s="69">
        <v>173</v>
      </c>
      <c r="AB173" s="69"/>
      <c r="AC173" s="70"/>
      <c r="AD173" s="76" t="s">
        <v>16810</v>
      </c>
      <c r="AE173" s="81" t="s">
        <v>15700</v>
      </c>
      <c r="AF173" s="76">
        <v>112</v>
      </c>
      <c r="AG173" s="76">
        <v>30</v>
      </c>
      <c r="AH173" s="76">
        <v>2517</v>
      </c>
      <c r="AI173" s="76">
        <v>0</v>
      </c>
      <c r="AJ173" s="76">
        <v>1090</v>
      </c>
      <c r="AK173" s="76">
        <v>352</v>
      </c>
      <c r="AL173" s="76" t="b">
        <v>0</v>
      </c>
      <c r="AM173" s="78">
        <v>40676.569305555553</v>
      </c>
      <c r="AN173" s="76" t="s">
        <v>17925</v>
      </c>
      <c r="AO173" s="76" t="s">
        <v>18305</v>
      </c>
      <c r="AP173" s="83" t="str">
        <f>HYPERLINK("https://t.co/et8khQyoaV")</f>
        <v>https://t.co/et8khQyoaV</v>
      </c>
      <c r="AQ173" s="83" t="str">
        <f>HYPERLINK("https://www.blocknews.tech/author/dielison-demix/")</f>
        <v>https://www.blocknews.tech/author/dielison-demix/</v>
      </c>
      <c r="AR173" s="76" t="s">
        <v>19093</v>
      </c>
      <c r="AS173" s="76"/>
      <c r="AT173" s="76"/>
      <c r="AU173" s="76"/>
      <c r="AV173" s="76">
        <v>1.4517810593523999E+18</v>
      </c>
      <c r="AW173" s="83" t="str">
        <f>HYPERLINK("https://t.co/et8khQyoaV")</f>
        <v>https://t.co/et8khQyoaV</v>
      </c>
      <c r="AX173" s="76" t="b">
        <v>0</v>
      </c>
      <c r="AY173" s="76"/>
      <c r="AZ173" s="76"/>
      <c r="BA173" s="76" t="b">
        <v>1</v>
      </c>
      <c r="BB173" s="76" t="b">
        <v>1</v>
      </c>
      <c r="BC173" s="76" t="b">
        <v>1</v>
      </c>
      <c r="BD173" s="76" t="b">
        <v>0</v>
      </c>
      <c r="BE173" s="76" t="b">
        <v>0</v>
      </c>
      <c r="BF173" s="76" t="b">
        <v>0</v>
      </c>
      <c r="BG173" s="76" t="b">
        <v>0</v>
      </c>
      <c r="BH173" s="83" t="str">
        <f>HYPERLINK("https://pbs.twimg.com/profile_banners/297991789/1633751937")</f>
        <v>https://pbs.twimg.com/profile_banners/297991789/1633751937</v>
      </c>
      <c r="BI173" s="76"/>
      <c r="BJ173" s="76" t="s">
        <v>19633</v>
      </c>
      <c r="BK173" s="76" t="b">
        <v>0</v>
      </c>
      <c r="BL173" s="76"/>
      <c r="BM173" s="76" t="s">
        <v>66</v>
      </c>
      <c r="BN173" s="76" t="s">
        <v>19635</v>
      </c>
      <c r="BO173" s="83" t="str">
        <f>HYPERLINK("https://twitter.com/dielison_")</f>
        <v>https://twitter.com/dielison_</v>
      </c>
      <c r="BP173" s="2"/>
    </row>
    <row r="174" spans="1:68" x14ac:dyDescent="0.25">
      <c r="A174" s="62" t="s">
        <v>365</v>
      </c>
      <c r="B174" s="63"/>
      <c r="C174" s="63"/>
      <c r="D174" s="64"/>
      <c r="E174" s="66"/>
      <c r="F174" s="103" t="str">
        <f>HYPERLINK("https://pbs.twimg.com/profile_images/1617287797420744708/4SCzfUm3_normal.jpg")</f>
        <v>https://pbs.twimg.com/profile_images/1617287797420744708/4SCzfUm3_normal.jpg</v>
      </c>
      <c r="G174" s="63"/>
      <c r="H174" s="67"/>
      <c r="I174" s="68"/>
      <c r="J174" s="68"/>
      <c r="K174" s="67" t="s">
        <v>19806</v>
      </c>
      <c r="L174" s="71"/>
      <c r="M174" s="72"/>
      <c r="N174" s="72"/>
      <c r="O174" s="73"/>
      <c r="P174" s="74"/>
      <c r="Q174" s="74"/>
      <c r="R174" s="87"/>
      <c r="S174" s="87"/>
      <c r="T174" s="87"/>
      <c r="U174" s="87"/>
      <c r="V174" s="48"/>
      <c r="W174" s="48"/>
      <c r="X174" s="47">
        <v>1.101E-3</v>
      </c>
      <c r="Y174" s="48"/>
      <c r="Z174" s="47"/>
      <c r="AA174" s="69">
        <v>174</v>
      </c>
      <c r="AB174" s="69"/>
      <c r="AC174" s="70"/>
      <c r="AD174" s="76" t="s">
        <v>16811</v>
      </c>
      <c r="AE174" s="81" t="s">
        <v>16214</v>
      </c>
      <c r="AF174" s="76">
        <v>0</v>
      </c>
      <c r="AG174" s="76">
        <v>2</v>
      </c>
      <c r="AH174" s="76">
        <v>3</v>
      </c>
      <c r="AI174" s="76">
        <v>0</v>
      </c>
      <c r="AJ174" s="76">
        <v>0</v>
      </c>
      <c r="AK174" s="76">
        <v>3</v>
      </c>
      <c r="AL174" s="76" t="b">
        <v>0</v>
      </c>
      <c r="AM174" s="78">
        <v>44929.004502314812</v>
      </c>
      <c r="AN174" s="76"/>
      <c r="AO174" s="76" t="s">
        <v>18306</v>
      </c>
      <c r="AP174" s="76"/>
      <c r="AQ174" s="76"/>
      <c r="AR174" s="76"/>
      <c r="AS174" s="76"/>
      <c r="AT174" s="76"/>
      <c r="AU174" s="76"/>
      <c r="AV174" s="76"/>
      <c r="AW174" s="76"/>
      <c r="AX174" s="76" t="b">
        <v>0</v>
      </c>
      <c r="AY174" s="76"/>
      <c r="AZ174" s="76"/>
      <c r="BA174" s="76" t="b">
        <v>0</v>
      </c>
      <c r="BB174" s="76" t="b">
        <v>1</v>
      </c>
      <c r="BC174" s="76" t="b">
        <v>1</v>
      </c>
      <c r="BD174" s="76" t="b">
        <v>0</v>
      </c>
      <c r="BE174" s="76" t="b">
        <v>0</v>
      </c>
      <c r="BF174" s="76" t="b">
        <v>0</v>
      </c>
      <c r="BG174" s="76" t="b">
        <v>0</v>
      </c>
      <c r="BH174" s="76"/>
      <c r="BI174" s="76"/>
      <c r="BJ174" s="76" t="s">
        <v>19633</v>
      </c>
      <c r="BK174" s="76" t="b">
        <v>0</v>
      </c>
      <c r="BL174" s="76"/>
      <c r="BM174" s="76" t="s">
        <v>66</v>
      </c>
      <c r="BN174" s="76" t="s">
        <v>19635</v>
      </c>
      <c r="BO174" s="83" t="str">
        <f>HYPERLINK("https://twitter.com/pinchapila")</f>
        <v>https://twitter.com/pinchapila</v>
      </c>
      <c r="BP174" s="2"/>
    </row>
    <row r="175" spans="1:68" x14ac:dyDescent="0.25">
      <c r="A175" s="62" t="s">
        <v>366</v>
      </c>
      <c r="B175" s="63"/>
      <c r="C175" s="63"/>
      <c r="D175" s="64"/>
      <c r="E175" s="66"/>
      <c r="F175" s="103" t="str">
        <f>HYPERLINK("https://pbs.twimg.com/profile_images/1621931547141050372/tDbiUJW3_normal.jpg")</f>
        <v>https://pbs.twimg.com/profile_images/1621931547141050372/tDbiUJW3_normal.jpg</v>
      </c>
      <c r="G175" s="63"/>
      <c r="H175" s="67"/>
      <c r="I175" s="68"/>
      <c r="J175" s="68"/>
      <c r="K175" s="67" t="s">
        <v>19807</v>
      </c>
      <c r="L175" s="71"/>
      <c r="M175" s="72"/>
      <c r="N175" s="72"/>
      <c r="O175" s="73"/>
      <c r="P175" s="74"/>
      <c r="Q175" s="74"/>
      <c r="R175" s="87"/>
      <c r="S175" s="87"/>
      <c r="T175" s="87"/>
      <c r="U175" s="87"/>
      <c r="V175" s="48"/>
      <c r="W175" s="48"/>
      <c r="X175" s="47">
        <v>1.101E-3</v>
      </c>
      <c r="Y175" s="48"/>
      <c r="Z175" s="47"/>
      <c r="AA175" s="69">
        <v>175</v>
      </c>
      <c r="AB175" s="69"/>
      <c r="AC175" s="70"/>
      <c r="AD175" s="76" t="s">
        <v>366</v>
      </c>
      <c r="AE175" s="81" t="s">
        <v>16215</v>
      </c>
      <c r="AF175" s="76">
        <v>1</v>
      </c>
      <c r="AG175" s="76">
        <v>0</v>
      </c>
      <c r="AH175" s="76">
        <v>13</v>
      </c>
      <c r="AI175" s="76">
        <v>0</v>
      </c>
      <c r="AJ175" s="76">
        <v>1</v>
      </c>
      <c r="AK175" s="76">
        <v>10</v>
      </c>
      <c r="AL175" s="76" t="b">
        <v>0</v>
      </c>
      <c r="AM175" s="78">
        <v>44169.752245370371</v>
      </c>
      <c r="AN175" s="76" t="s">
        <v>17926</v>
      </c>
      <c r="AO175" s="76" t="s">
        <v>18307</v>
      </c>
      <c r="AP175" s="83" t="str">
        <f>HYPERLINK("https://t.co/rWcMqu93PB")</f>
        <v>https://t.co/rWcMqu93PB</v>
      </c>
      <c r="AQ175" s="83" t="str">
        <f>HYPERLINK("http://bizucash.com.br")</f>
        <v>http://bizucash.com.br</v>
      </c>
      <c r="AR175" s="76" t="s">
        <v>19094</v>
      </c>
      <c r="AS175" s="76"/>
      <c r="AT175" s="76"/>
      <c r="AU175" s="76"/>
      <c r="AV175" s="76"/>
      <c r="AW175" s="83" t="str">
        <f>HYPERLINK("https://t.co/rWcMqu93PB")</f>
        <v>https://t.co/rWcMqu93PB</v>
      </c>
      <c r="AX175" s="76" t="b">
        <v>0</v>
      </c>
      <c r="AY175" s="76"/>
      <c r="AZ175" s="76"/>
      <c r="BA175" s="76" t="b">
        <v>0</v>
      </c>
      <c r="BB175" s="76" t="b">
        <v>1</v>
      </c>
      <c r="BC175" s="76" t="b">
        <v>1</v>
      </c>
      <c r="BD175" s="76" t="b">
        <v>0</v>
      </c>
      <c r="BE175" s="76" t="b">
        <v>0</v>
      </c>
      <c r="BF175" s="76" t="b">
        <v>0</v>
      </c>
      <c r="BG175" s="76" t="b">
        <v>0</v>
      </c>
      <c r="BH175" s="83" t="str">
        <f>HYPERLINK("https://pbs.twimg.com/profile_banners/1334921170643202049/1675533804")</f>
        <v>https://pbs.twimg.com/profile_banners/1334921170643202049/1675533804</v>
      </c>
      <c r="BI175" s="76"/>
      <c r="BJ175" s="76" t="s">
        <v>19633</v>
      </c>
      <c r="BK175" s="76" t="b">
        <v>0</v>
      </c>
      <c r="BL175" s="76"/>
      <c r="BM175" s="76" t="s">
        <v>66</v>
      </c>
      <c r="BN175" s="76" t="s">
        <v>19635</v>
      </c>
      <c r="BO175" s="83" t="str">
        <f>HYPERLINK("https://twitter.com/bizucash")</f>
        <v>https://twitter.com/bizucash</v>
      </c>
      <c r="BP175" s="2"/>
    </row>
    <row r="176" spans="1:68" x14ac:dyDescent="0.25">
      <c r="A176" s="62" t="s">
        <v>368</v>
      </c>
      <c r="B176" s="63"/>
      <c r="C176" s="63"/>
      <c r="D176" s="64"/>
      <c r="E176" s="66"/>
      <c r="F176" s="103" t="str">
        <f>HYPERLINK("https://pbs.twimg.com/profile_images/1493337066188550147/Yx8CrlTU_normal.jpg")</f>
        <v>https://pbs.twimg.com/profile_images/1493337066188550147/Yx8CrlTU_normal.jpg</v>
      </c>
      <c r="G176" s="63"/>
      <c r="H176" s="67"/>
      <c r="I176" s="68"/>
      <c r="J176" s="68"/>
      <c r="K176" s="67" t="s">
        <v>19808</v>
      </c>
      <c r="L176" s="71"/>
      <c r="M176" s="72"/>
      <c r="N176" s="72"/>
      <c r="O176" s="73"/>
      <c r="P176" s="74"/>
      <c r="Q176" s="74"/>
      <c r="R176" s="87"/>
      <c r="S176" s="87"/>
      <c r="T176" s="87"/>
      <c r="U176" s="87"/>
      <c r="V176" s="48"/>
      <c r="W176" s="48"/>
      <c r="X176" s="47">
        <v>1.101E-3</v>
      </c>
      <c r="Y176" s="48"/>
      <c r="Z176" s="47"/>
      <c r="AA176" s="69">
        <v>176</v>
      </c>
      <c r="AB176" s="69"/>
      <c r="AC176" s="70"/>
      <c r="AD176" s="76" t="s">
        <v>16812</v>
      </c>
      <c r="AE176" s="81" t="s">
        <v>17596</v>
      </c>
      <c r="AF176" s="76">
        <v>337</v>
      </c>
      <c r="AG176" s="76">
        <v>226</v>
      </c>
      <c r="AH176" s="76">
        <v>14419</v>
      </c>
      <c r="AI176" s="76">
        <v>11</v>
      </c>
      <c r="AJ176" s="76">
        <v>14908</v>
      </c>
      <c r="AK176" s="76">
        <v>977</v>
      </c>
      <c r="AL176" s="76" t="b">
        <v>0</v>
      </c>
      <c r="AM176" s="78">
        <v>40665.996145833335</v>
      </c>
      <c r="AN176" s="76"/>
      <c r="AO176" s="76" t="s">
        <v>18308</v>
      </c>
      <c r="AP176" s="76"/>
      <c r="AQ176" s="76"/>
      <c r="AR176" s="76"/>
      <c r="AS176" s="76"/>
      <c r="AT176" s="76"/>
      <c r="AU176" s="76"/>
      <c r="AV176" s="76">
        <v>1.3215040098243799E+18</v>
      </c>
      <c r="AW176" s="76"/>
      <c r="AX176" s="76" t="b">
        <v>0</v>
      </c>
      <c r="AY176" s="76"/>
      <c r="AZ176" s="76"/>
      <c r="BA176" s="76" t="b">
        <v>1</v>
      </c>
      <c r="BB176" s="76" t="b">
        <v>1</v>
      </c>
      <c r="BC176" s="76" t="b">
        <v>0</v>
      </c>
      <c r="BD176" s="76" t="b">
        <v>0</v>
      </c>
      <c r="BE176" s="76" t="b">
        <v>1</v>
      </c>
      <c r="BF176" s="76" t="b">
        <v>0</v>
      </c>
      <c r="BG176" s="76" t="b">
        <v>0</v>
      </c>
      <c r="BH176" s="83" t="str">
        <f>HYPERLINK("https://pbs.twimg.com/profile_banners/292013489/1641304283")</f>
        <v>https://pbs.twimg.com/profile_banners/292013489/1641304283</v>
      </c>
      <c r="BI176" s="76"/>
      <c r="BJ176" s="76" t="s">
        <v>19633</v>
      </c>
      <c r="BK176" s="76" t="b">
        <v>0</v>
      </c>
      <c r="BL176" s="76"/>
      <c r="BM176" s="76" t="s">
        <v>66</v>
      </c>
      <c r="BN176" s="76" t="s">
        <v>19635</v>
      </c>
      <c r="BO176" s="83" t="str">
        <f>HYPERLINK("https://twitter.com/tlcardoso")</f>
        <v>https://twitter.com/tlcardoso</v>
      </c>
      <c r="BP176" s="2"/>
    </row>
    <row r="177" spans="1:68" x14ac:dyDescent="0.25">
      <c r="A177" s="62" t="s">
        <v>369</v>
      </c>
      <c r="B177" s="63"/>
      <c r="C177" s="63"/>
      <c r="D177" s="64"/>
      <c r="E177" s="66"/>
      <c r="F177" s="103" t="str">
        <f>HYPERLINK("https://pbs.twimg.com/profile_images/1410013183226617856/0XifvNTL_normal.jpg")</f>
        <v>https://pbs.twimg.com/profile_images/1410013183226617856/0XifvNTL_normal.jpg</v>
      </c>
      <c r="G177" s="63"/>
      <c r="H177" s="67"/>
      <c r="I177" s="68"/>
      <c r="J177" s="68"/>
      <c r="K177" s="67" t="s">
        <v>19809</v>
      </c>
      <c r="L177" s="71"/>
      <c r="M177" s="72"/>
      <c r="N177" s="72"/>
      <c r="O177" s="73"/>
      <c r="P177" s="74"/>
      <c r="Q177" s="74"/>
      <c r="R177" s="87"/>
      <c r="S177" s="87"/>
      <c r="T177" s="87"/>
      <c r="U177" s="87"/>
      <c r="V177" s="48"/>
      <c r="W177" s="48"/>
      <c r="X177" s="47">
        <v>9.6500000000000004E-4</v>
      </c>
      <c r="Y177" s="48"/>
      <c r="Z177" s="47"/>
      <c r="AA177" s="69">
        <v>177</v>
      </c>
      <c r="AB177" s="69"/>
      <c r="AC177" s="70"/>
      <c r="AD177" s="76" t="s">
        <v>16813</v>
      </c>
      <c r="AE177" s="81" t="s">
        <v>16216</v>
      </c>
      <c r="AF177" s="76">
        <v>2</v>
      </c>
      <c r="AG177" s="76">
        <v>208</v>
      </c>
      <c r="AH177" s="76">
        <v>930</v>
      </c>
      <c r="AI177" s="76">
        <v>1</v>
      </c>
      <c r="AJ177" s="76">
        <v>2289</v>
      </c>
      <c r="AK177" s="76">
        <v>0</v>
      </c>
      <c r="AL177" s="76" t="b">
        <v>0</v>
      </c>
      <c r="AM177" s="78">
        <v>44376.965613425928</v>
      </c>
      <c r="AN177" s="76"/>
      <c r="AO177" s="76"/>
      <c r="AP177" s="76"/>
      <c r="AQ177" s="76"/>
      <c r="AR177" s="76"/>
      <c r="AS177" s="76"/>
      <c r="AT177" s="76"/>
      <c r="AU177" s="76"/>
      <c r="AV177" s="76"/>
      <c r="AW177" s="76"/>
      <c r="AX177" s="76" t="b">
        <v>0</v>
      </c>
      <c r="AY177" s="76"/>
      <c r="AZ177" s="76"/>
      <c r="BA177" s="76" t="b">
        <v>0</v>
      </c>
      <c r="BB177" s="76" t="b">
        <v>1</v>
      </c>
      <c r="BC177" s="76" t="b">
        <v>1</v>
      </c>
      <c r="BD177" s="76" t="b">
        <v>0</v>
      </c>
      <c r="BE177" s="76" t="b">
        <v>0</v>
      </c>
      <c r="BF177" s="76" t="b">
        <v>0</v>
      </c>
      <c r="BG177" s="76" t="b">
        <v>0</v>
      </c>
      <c r="BH177" s="83" t="str">
        <f>HYPERLINK("https://pbs.twimg.com/profile_banners/1410012779285827592/1625610500")</f>
        <v>https://pbs.twimg.com/profile_banners/1410012779285827592/1625610500</v>
      </c>
      <c r="BI177" s="76"/>
      <c r="BJ177" s="76" t="s">
        <v>19633</v>
      </c>
      <c r="BK177" s="76" t="b">
        <v>0</v>
      </c>
      <c r="BL177" s="76"/>
      <c r="BM177" s="76" t="s">
        <v>66</v>
      </c>
      <c r="BN177" s="76" t="s">
        <v>19635</v>
      </c>
      <c r="BO177" s="83" t="str">
        <f>HYPERLINK("https://twitter.com/gabrielaprocpi9")</f>
        <v>https://twitter.com/gabrielaprocpi9</v>
      </c>
      <c r="BP177" s="2"/>
    </row>
    <row r="178" spans="1:68" x14ac:dyDescent="0.25">
      <c r="A178" s="62" t="s">
        <v>370</v>
      </c>
      <c r="B178" s="63"/>
      <c r="C178" s="63"/>
      <c r="D178" s="64"/>
      <c r="E178" s="66"/>
      <c r="F178" s="103" t="str">
        <f>HYPERLINK("https://pbs.twimg.com/profile_images/1579950136003895296/pk5m1FTe_normal.jpg")</f>
        <v>https://pbs.twimg.com/profile_images/1579950136003895296/pk5m1FTe_normal.jpg</v>
      </c>
      <c r="G178" s="63"/>
      <c r="H178" s="67"/>
      <c r="I178" s="68"/>
      <c r="J178" s="68"/>
      <c r="K178" s="67" t="s">
        <v>19810</v>
      </c>
      <c r="L178" s="71"/>
      <c r="M178" s="72"/>
      <c r="N178" s="72"/>
      <c r="O178" s="73"/>
      <c r="P178" s="74"/>
      <c r="Q178" s="74"/>
      <c r="R178" s="87"/>
      <c r="S178" s="87"/>
      <c r="T178" s="87"/>
      <c r="U178" s="87"/>
      <c r="V178" s="48"/>
      <c r="W178" s="48"/>
      <c r="X178" s="47">
        <v>9.6500000000000004E-4</v>
      </c>
      <c r="Y178" s="48"/>
      <c r="Z178" s="47"/>
      <c r="AA178" s="69">
        <v>178</v>
      </c>
      <c r="AB178" s="69"/>
      <c r="AC178" s="70"/>
      <c r="AD178" s="76" t="s">
        <v>16814</v>
      </c>
      <c r="AE178" s="81" t="s">
        <v>16217</v>
      </c>
      <c r="AF178" s="76">
        <v>57</v>
      </c>
      <c r="AG178" s="76">
        <v>230</v>
      </c>
      <c r="AH178" s="76">
        <v>991</v>
      </c>
      <c r="AI178" s="76">
        <v>1</v>
      </c>
      <c r="AJ178" s="76">
        <v>1207</v>
      </c>
      <c r="AK178" s="76">
        <v>171</v>
      </c>
      <c r="AL178" s="76" t="b">
        <v>0</v>
      </c>
      <c r="AM178" s="78">
        <v>44047.137557870374</v>
      </c>
      <c r="AN178" s="76"/>
      <c r="AO178" s="76" t="s">
        <v>18309</v>
      </c>
      <c r="AP178" s="83" t="str">
        <f>HYPERLINK("https://t.co/SsqvVDNAj4")</f>
        <v>https://t.co/SsqvVDNAj4</v>
      </c>
      <c r="AQ178" s="83" t="str">
        <f>HYPERLINK("http://www.youtube.com/@grdotrader")</f>
        <v>http://www.youtube.com/@grdotrader</v>
      </c>
      <c r="AR178" s="76" t="s">
        <v>19095</v>
      </c>
      <c r="AS178" s="76"/>
      <c r="AT178" s="76"/>
      <c r="AU178" s="76"/>
      <c r="AV178" s="76">
        <v>1.6097032440618801E+18</v>
      </c>
      <c r="AW178" s="83" t="str">
        <f>HYPERLINK("https://t.co/SsqvVDNAj4")</f>
        <v>https://t.co/SsqvVDNAj4</v>
      </c>
      <c r="AX178" s="76" t="b">
        <v>0</v>
      </c>
      <c r="AY178" s="76"/>
      <c r="AZ178" s="76"/>
      <c r="BA178" s="76" t="b">
        <v>0</v>
      </c>
      <c r="BB178" s="76" t="b">
        <v>1</v>
      </c>
      <c r="BC178" s="76" t="b">
        <v>1</v>
      </c>
      <c r="BD178" s="76" t="b">
        <v>0</v>
      </c>
      <c r="BE178" s="76" t="b">
        <v>1</v>
      </c>
      <c r="BF178" s="76" t="b">
        <v>0</v>
      </c>
      <c r="BG178" s="76" t="b">
        <v>0</v>
      </c>
      <c r="BH178" s="83" t="str">
        <f>HYPERLINK("https://pbs.twimg.com/profile_banners/1290487068112457731/1665524465")</f>
        <v>https://pbs.twimg.com/profile_banners/1290487068112457731/1665524465</v>
      </c>
      <c r="BI178" s="76"/>
      <c r="BJ178" s="76" t="s">
        <v>19633</v>
      </c>
      <c r="BK178" s="76" t="b">
        <v>0</v>
      </c>
      <c r="BL178" s="76"/>
      <c r="BM178" s="76" t="s">
        <v>66</v>
      </c>
      <c r="BN178" s="76" t="s">
        <v>19635</v>
      </c>
      <c r="BO178" s="83" t="str">
        <f>HYPERLINK("https://twitter.com/grdotrader")</f>
        <v>https://twitter.com/grdotrader</v>
      </c>
      <c r="BP178" s="2"/>
    </row>
    <row r="179" spans="1:68" x14ac:dyDescent="0.25">
      <c r="A179" s="62" t="s">
        <v>371</v>
      </c>
      <c r="B179" s="63"/>
      <c r="C179" s="63"/>
      <c r="D179" s="64"/>
      <c r="E179" s="66"/>
      <c r="F179" s="103" t="str">
        <f>HYPERLINK("https://pbs.twimg.com/profile_images/1668406966454976514/dGDemEaa_normal.jpg")</f>
        <v>https://pbs.twimg.com/profile_images/1668406966454976514/dGDemEaa_normal.jpg</v>
      </c>
      <c r="G179" s="63"/>
      <c r="H179" s="67"/>
      <c r="I179" s="68"/>
      <c r="J179" s="68"/>
      <c r="K179" s="67" t="s">
        <v>19811</v>
      </c>
      <c r="L179" s="71"/>
      <c r="M179" s="72"/>
      <c r="N179" s="72"/>
      <c r="O179" s="73"/>
      <c r="P179" s="74"/>
      <c r="Q179" s="74"/>
      <c r="R179" s="87"/>
      <c r="S179" s="87"/>
      <c r="T179" s="87"/>
      <c r="U179" s="87"/>
      <c r="V179" s="48"/>
      <c r="W179" s="48"/>
      <c r="X179" s="47">
        <v>1.101E-3</v>
      </c>
      <c r="Y179" s="48"/>
      <c r="Z179" s="47"/>
      <c r="AA179" s="69">
        <v>179</v>
      </c>
      <c r="AB179" s="69"/>
      <c r="AC179" s="70"/>
      <c r="AD179" s="76" t="s">
        <v>16815</v>
      </c>
      <c r="AE179" s="81" t="s">
        <v>16218</v>
      </c>
      <c r="AF179" s="76">
        <v>695</v>
      </c>
      <c r="AG179" s="76">
        <v>759</v>
      </c>
      <c r="AH179" s="76">
        <v>57081</v>
      </c>
      <c r="AI179" s="76">
        <v>1</v>
      </c>
      <c r="AJ179" s="76">
        <v>72299</v>
      </c>
      <c r="AK179" s="76">
        <v>14894</v>
      </c>
      <c r="AL179" s="76" t="b">
        <v>0</v>
      </c>
      <c r="AM179" s="78">
        <v>44214.587118055555</v>
      </c>
      <c r="AN179" s="76" t="s">
        <v>17927</v>
      </c>
      <c r="AO179" s="76" t="s">
        <v>18310</v>
      </c>
      <c r="AP179" s="76"/>
      <c r="AQ179" s="76"/>
      <c r="AR179" s="76"/>
      <c r="AS179" s="76"/>
      <c r="AT179" s="76"/>
      <c r="AU179" s="76"/>
      <c r="AV179" s="76">
        <v>1.4690140535153999E+18</v>
      </c>
      <c r="AW179" s="76"/>
      <c r="AX179" s="76" t="b">
        <v>0</v>
      </c>
      <c r="AY179" s="76"/>
      <c r="AZ179" s="76"/>
      <c r="BA179" s="76" t="b">
        <v>0</v>
      </c>
      <c r="BB179" s="76" t="b">
        <v>0</v>
      </c>
      <c r="BC179" s="76" t="b">
        <v>1</v>
      </c>
      <c r="BD179" s="76" t="b">
        <v>0</v>
      </c>
      <c r="BE179" s="76" t="b">
        <v>1</v>
      </c>
      <c r="BF179" s="76" t="b">
        <v>0</v>
      </c>
      <c r="BG179" s="76" t="b">
        <v>1</v>
      </c>
      <c r="BH179" s="83" t="str">
        <f>HYPERLINK("https://pbs.twimg.com/profile_banners/1351168770031628292/1683422423")</f>
        <v>https://pbs.twimg.com/profile_banners/1351168770031628292/1683422423</v>
      </c>
      <c r="BI179" s="76" t="s">
        <v>19632</v>
      </c>
      <c r="BJ179" s="76" t="s">
        <v>19633</v>
      </c>
      <c r="BK179" s="76" t="b">
        <v>0</v>
      </c>
      <c r="BL179" s="76"/>
      <c r="BM179" s="76" t="s">
        <v>66</v>
      </c>
      <c r="BN179" s="76" t="s">
        <v>19635</v>
      </c>
      <c r="BO179" s="83" t="str">
        <f>HYPERLINK("https://twitter.com/narfortsac")</f>
        <v>https://twitter.com/narfortsac</v>
      </c>
      <c r="BP179" s="2"/>
    </row>
    <row r="180" spans="1:68" x14ac:dyDescent="0.25">
      <c r="A180" s="62" t="s">
        <v>372</v>
      </c>
      <c r="B180" s="63"/>
      <c r="C180" s="63"/>
      <c r="D180" s="64"/>
      <c r="E180" s="66"/>
      <c r="F180" s="103" t="str">
        <f>HYPERLINK("https://pbs.twimg.com/profile_images/1632444353409892352/MpxaQjgQ_normal.jpg")</f>
        <v>https://pbs.twimg.com/profile_images/1632444353409892352/MpxaQjgQ_normal.jpg</v>
      </c>
      <c r="G180" s="63"/>
      <c r="H180" s="67"/>
      <c r="I180" s="68"/>
      <c r="J180" s="68"/>
      <c r="K180" s="67" t="s">
        <v>19812</v>
      </c>
      <c r="L180" s="71"/>
      <c r="M180" s="72"/>
      <c r="N180" s="72"/>
      <c r="O180" s="73"/>
      <c r="P180" s="74"/>
      <c r="Q180" s="74"/>
      <c r="R180" s="87"/>
      <c r="S180" s="87"/>
      <c r="T180" s="87"/>
      <c r="U180" s="87"/>
      <c r="V180" s="48"/>
      <c r="W180" s="48"/>
      <c r="X180" s="47">
        <v>1.101E-3</v>
      </c>
      <c r="Y180" s="48"/>
      <c r="Z180" s="47"/>
      <c r="AA180" s="69">
        <v>180</v>
      </c>
      <c r="AB180" s="69"/>
      <c r="AC180" s="70"/>
      <c r="AD180" s="76" t="s">
        <v>16816</v>
      </c>
      <c r="AE180" s="81" t="s">
        <v>17597</v>
      </c>
      <c r="AF180" s="76">
        <v>3595</v>
      </c>
      <c r="AG180" s="76">
        <v>4167</v>
      </c>
      <c r="AH180" s="76">
        <v>60393</v>
      </c>
      <c r="AI180" s="76">
        <v>11</v>
      </c>
      <c r="AJ180" s="76">
        <v>11605</v>
      </c>
      <c r="AK180" s="76">
        <v>1915</v>
      </c>
      <c r="AL180" s="76" t="b">
        <v>0</v>
      </c>
      <c r="AM180" s="78">
        <v>39819.495312500003</v>
      </c>
      <c r="AN180" s="76" t="s">
        <v>17928</v>
      </c>
      <c r="AO180" s="76" t="s">
        <v>18311</v>
      </c>
      <c r="AP180" s="83" t="str">
        <f>HYPERLINK("https://t.co/AcGiIpPpok")</f>
        <v>https://t.co/AcGiIpPpok</v>
      </c>
      <c r="AQ180" s="83" t="str">
        <f>HYPERLINK("http://www.fortecultural.wordpress.com")</f>
        <v>http://www.fortecultural.wordpress.com</v>
      </c>
      <c r="AR180" s="76" t="s">
        <v>19096</v>
      </c>
      <c r="AS180" s="76" t="s">
        <v>19555</v>
      </c>
      <c r="AT180" s="76" t="s">
        <v>19563</v>
      </c>
      <c r="AU180" s="76" t="s">
        <v>19588</v>
      </c>
      <c r="AV180" s="76">
        <v>1.66458972127459E+18</v>
      </c>
      <c r="AW180" s="83" t="str">
        <f>HYPERLINK("https://t.co/AcGiIpPpok")</f>
        <v>https://t.co/AcGiIpPpok</v>
      </c>
      <c r="AX180" s="76" t="b">
        <v>0</v>
      </c>
      <c r="AY180" s="76"/>
      <c r="AZ180" s="76"/>
      <c r="BA180" s="76" t="b">
        <v>0</v>
      </c>
      <c r="BB180" s="76" t="b">
        <v>1</v>
      </c>
      <c r="BC180" s="76" t="b">
        <v>0</v>
      </c>
      <c r="BD180" s="76" t="b">
        <v>0</v>
      </c>
      <c r="BE180" s="76" t="b">
        <v>1</v>
      </c>
      <c r="BF180" s="76" t="b">
        <v>0</v>
      </c>
      <c r="BG180" s="76" t="b">
        <v>0</v>
      </c>
      <c r="BH180" s="83" t="str">
        <f>HYPERLINK("https://pbs.twimg.com/profile_banners/18671212/1672319831")</f>
        <v>https://pbs.twimg.com/profile_banners/18671212/1672319831</v>
      </c>
      <c r="BI180" s="76"/>
      <c r="BJ180" s="76" t="s">
        <v>19633</v>
      </c>
      <c r="BK180" s="76" t="b">
        <v>0</v>
      </c>
      <c r="BL180" s="76"/>
      <c r="BM180" s="76" t="s">
        <v>66</v>
      </c>
      <c r="BN180" s="76" t="s">
        <v>19635</v>
      </c>
      <c r="BO180" s="83" t="str">
        <f>HYPERLINK("https://twitter.com/edisilva64")</f>
        <v>https://twitter.com/edisilva64</v>
      </c>
      <c r="BP180" s="2"/>
    </row>
    <row r="181" spans="1:68" x14ac:dyDescent="0.25">
      <c r="A181" s="62" t="s">
        <v>373</v>
      </c>
      <c r="B181" s="63"/>
      <c r="C181" s="63"/>
      <c r="D181" s="64"/>
      <c r="E181" s="66"/>
      <c r="F181" s="103" t="str">
        <f>HYPERLINK("https://pbs.twimg.com/profile_images/1588214815931174918/LO8l9HqW_normal.jpg")</f>
        <v>https://pbs.twimg.com/profile_images/1588214815931174918/LO8l9HqW_normal.jpg</v>
      </c>
      <c r="G181" s="63"/>
      <c r="H181" s="67"/>
      <c r="I181" s="68"/>
      <c r="J181" s="68"/>
      <c r="K181" s="67" t="s">
        <v>19813</v>
      </c>
      <c r="L181" s="71"/>
      <c r="M181" s="72"/>
      <c r="N181" s="72"/>
      <c r="O181" s="73"/>
      <c r="P181" s="74"/>
      <c r="Q181" s="74"/>
      <c r="R181" s="87"/>
      <c r="S181" s="87"/>
      <c r="T181" s="87"/>
      <c r="U181" s="87"/>
      <c r="V181" s="48"/>
      <c r="W181" s="48"/>
      <c r="X181" s="47">
        <v>1.101E-3</v>
      </c>
      <c r="Y181" s="48"/>
      <c r="Z181" s="47"/>
      <c r="AA181" s="69">
        <v>181</v>
      </c>
      <c r="AB181" s="69"/>
      <c r="AC181" s="70"/>
      <c r="AD181" s="76" t="s">
        <v>16817</v>
      </c>
      <c r="AE181" s="81" t="s">
        <v>17598</v>
      </c>
      <c r="AF181" s="76">
        <v>13165</v>
      </c>
      <c r="AG181" s="76">
        <v>170</v>
      </c>
      <c r="AH181" s="76">
        <v>12084</v>
      </c>
      <c r="AI181" s="76">
        <v>51</v>
      </c>
      <c r="AJ181" s="76">
        <v>71</v>
      </c>
      <c r="AK181" s="76">
        <v>4259</v>
      </c>
      <c r="AL181" s="76" t="b">
        <v>0</v>
      </c>
      <c r="AM181" s="78">
        <v>40592.51798611111</v>
      </c>
      <c r="AN181" s="76" t="s">
        <v>17903</v>
      </c>
      <c r="AO181" s="76" t="s">
        <v>18312</v>
      </c>
      <c r="AP181" s="83" t="str">
        <f>HYPERLINK("https://t.co/hOD8JP0Mvq")</f>
        <v>https://t.co/hOD8JP0Mvq</v>
      </c>
      <c r="AQ181" s="83" t="str">
        <f>HYPERLINK("http://www.fenacon.org.br")</f>
        <v>http://www.fenacon.org.br</v>
      </c>
      <c r="AR181" s="76" t="s">
        <v>19097</v>
      </c>
      <c r="AS181" s="76"/>
      <c r="AT181" s="76"/>
      <c r="AU181" s="76"/>
      <c r="AV181" s="76"/>
      <c r="AW181" s="83" t="str">
        <f>HYPERLINK("https://t.co/hOD8JP0Mvq")</f>
        <v>https://t.co/hOD8JP0Mvq</v>
      </c>
      <c r="AX181" s="76" t="b">
        <v>0</v>
      </c>
      <c r="AY181" s="76"/>
      <c r="AZ181" s="76"/>
      <c r="BA181" s="76" t="b">
        <v>0</v>
      </c>
      <c r="BB181" s="76" t="b">
        <v>1</v>
      </c>
      <c r="BC181" s="76" t="b">
        <v>0</v>
      </c>
      <c r="BD181" s="76" t="b">
        <v>0</v>
      </c>
      <c r="BE181" s="76" t="b">
        <v>1</v>
      </c>
      <c r="BF181" s="76" t="b">
        <v>0</v>
      </c>
      <c r="BG181" s="76" t="b">
        <v>0</v>
      </c>
      <c r="BH181" s="83" t="str">
        <f>HYPERLINK("https://pbs.twimg.com/profile_banners/254001950/1682000070")</f>
        <v>https://pbs.twimg.com/profile_banners/254001950/1682000070</v>
      </c>
      <c r="BI181" s="76"/>
      <c r="BJ181" s="76" t="s">
        <v>19633</v>
      </c>
      <c r="BK181" s="76" t="b">
        <v>0</v>
      </c>
      <c r="BL181" s="76"/>
      <c r="BM181" s="76" t="s">
        <v>66</v>
      </c>
      <c r="BN181" s="76" t="s">
        <v>19635</v>
      </c>
      <c r="BO181" s="83" t="str">
        <f>HYPERLINK("https://twitter.com/fenaconfed")</f>
        <v>https://twitter.com/fenaconfed</v>
      </c>
      <c r="BP181" s="2"/>
    </row>
    <row r="182" spans="1:68" x14ac:dyDescent="0.25">
      <c r="A182" s="62" t="s">
        <v>374</v>
      </c>
      <c r="B182" s="63"/>
      <c r="C182" s="63"/>
      <c r="D182" s="64"/>
      <c r="E182" s="66"/>
      <c r="F182" s="103" t="str">
        <f>HYPERLINK("https://pbs.twimg.com/profile_images/1699149387606220800/rpvUB7XC_normal.jpg")</f>
        <v>https://pbs.twimg.com/profile_images/1699149387606220800/rpvUB7XC_normal.jpg</v>
      </c>
      <c r="G182" s="63"/>
      <c r="H182" s="67"/>
      <c r="I182" s="68"/>
      <c r="J182" s="68"/>
      <c r="K182" s="67" t="s">
        <v>19814</v>
      </c>
      <c r="L182" s="71"/>
      <c r="M182" s="72"/>
      <c r="N182" s="72"/>
      <c r="O182" s="73"/>
      <c r="P182" s="74"/>
      <c r="Q182" s="74"/>
      <c r="R182" s="87"/>
      <c r="S182" s="87"/>
      <c r="T182" s="87"/>
      <c r="U182" s="87"/>
      <c r="V182" s="48"/>
      <c r="W182" s="48"/>
      <c r="X182" s="47">
        <v>1.101E-3</v>
      </c>
      <c r="Y182" s="48"/>
      <c r="Z182" s="47"/>
      <c r="AA182" s="69">
        <v>182</v>
      </c>
      <c r="AB182" s="69"/>
      <c r="AC182" s="70"/>
      <c r="AD182" s="76" t="s">
        <v>16818</v>
      </c>
      <c r="AE182" s="81" t="s">
        <v>17599</v>
      </c>
      <c r="AF182" s="76">
        <v>78208</v>
      </c>
      <c r="AG182" s="76">
        <v>657</v>
      </c>
      <c r="AH182" s="76">
        <v>55069</v>
      </c>
      <c r="AI182" s="76">
        <v>866</v>
      </c>
      <c r="AJ182" s="76">
        <v>823</v>
      </c>
      <c r="AK182" s="76">
        <v>7064</v>
      </c>
      <c r="AL182" s="76" t="b">
        <v>0</v>
      </c>
      <c r="AM182" s="78">
        <v>40074.592523148145</v>
      </c>
      <c r="AN182" s="76" t="s">
        <v>10561</v>
      </c>
      <c r="AO182" s="76" t="s">
        <v>18313</v>
      </c>
      <c r="AP182" s="83" t="str">
        <f>HYPERLINK("https://t.co/28r129w1GH")</f>
        <v>https://t.co/28r129w1GH</v>
      </c>
      <c r="AQ182" s="83" t="str">
        <f>HYPERLINK("http://www.broadcast.com.br")</f>
        <v>http://www.broadcast.com.br</v>
      </c>
      <c r="AR182" s="76" t="s">
        <v>19098</v>
      </c>
      <c r="AS182" s="76"/>
      <c r="AT182" s="76"/>
      <c r="AU182" s="76"/>
      <c r="AV182" s="76"/>
      <c r="AW182" s="83" t="str">
        <f>HYPERLINK("https://t.co/28r129w1GH")</f>
        <v>https://t.co/28r129w1GH</v>
      </c>
      <c r="AX182" s="76" t="b">
        <v>1</v>
      </c>
      <c r="AY182" s="76"/>
      <c r="AZ182" s="76"/>
      <c r="BA182" s="76" t="b">
        <v>0</v>
      </c>
      <c r="BB182" s="76" t="b">
        <v>1</v>
      </c>
      <c r="BC182" s="76" t="b">
        <v>0</v>
      </c>
      <c r="BD182" s="76" t="b">
        <v>0</v>
      </c>
      <c r="BE182" s="76" t="b">
        <v>1</v>
      </c>
      <c r="BF182" s="76" t="b">
        <v>0</v>
      </c>
      <c r="BG182" s="76" t="b">
        <v>0</v>
      </c>
      <c r="BH182" s="83" t="str">
        <f>HYPERLINK("https://pbs.twimg.com/profile_banners/75289487/1693927107")</f>
        <v>https://pbs.twimg.com/profile_banners/75289487/1693927107</v>
      </c>
      <c r="BI182" s="76"/>
      <c r="BJ182" s="76" t="s">
        <v>19633</v>
      </c>
      <c r="BK182" s="76" t="b">
        <v>0</v>
      </c>
      <c r="BL182" s="76"/>
      <c r="BM182" s="76" t="s">
        <v>66</v>
      </c>
      <c r="BN182" s="76" t="s">
        <v>19635</v>
      </c>
      <c r="BO182" s="83" t="str">
        <f>HYPERLINK("https://twitter.com/agenciaestado")</f>
        <v>https://twitter.com/agenciaestado</v>
      </c>
      <c r="BP182" s="2"/>
    </row>
    <row r="183" spans="1:68" x14ac:dyDescent="0.25">
      <c r="A183" s="62" t="s">
        <v>1065</v>
      </c>
      <c r="B183" s="63"/>
      <c r="C183" s="63"/>
      <c r="D183" s="64"/>
      <c r="E183" s="66"/>
      <c r="F183" s="103" t="str">
        <f>HYPERLINK("https://pbs.twimg.com/profile_images/1696117294894596096/a0V0Iwod_normal.jpg")</f>
        <v>https://pbs.twimg.com/profile_images/1696117294894596096/a0V0Iwod_normal.jpg</v>
      </c>
      <c r="G183" s="63"/>
      <c r="H183" s="67"/>
      <c r="I183" s="68"/>
      <c r="J183" s="68"/>
      <c r="K183" s="67" t="s">
        <v>19815</v>
      </c>
      <c r="L183" s="71"/>
      <c r="M183" s="72"/>
      <c r="N183" s="72"/>
      <c r="O183" s="73"/>
      <c r="P183" s="74"/>
      <c r="Q183" s="74"/>
      <c r="R183" s="87"/>
      <c r="S183" s="87"/>
      <c r="T183" s="87"/>
      <c r="U183" s="87"/>
      <c r="V183" s="48"/>
      <c r="W183" s="48"/>
      <c r="X183" s="47">
        <v>1.101E-3</v>
      </c>
      <c r="Y183" s="48"/>
      <c r="Z183" s="47"/>
      <c r="AA183" s="69">
        <v>183</v>
      </c>
      <c r="AB183" s="69"/>
      <c r="AC183" s="70"/>
      <c r="AD183" s="76" t="s">
        <v>16819</v>
      </c>
      <c r="AE183" s="81" t="s">
        <v>15701</v>
      </c>
      <c r="AF183" s="76">
        <v>267788</v>
      </c>
      <c r="AG183" s="76">
        <v>32</v>
      </c>
      <c r="AH183" s="76">
        <v>326356</v>
      </c>
      <c r="AI183" s="76">
        <v>940</v>
      </c>
      <c r="AJ183" s="76">
        <v>3546</v>
      </c>
      <c r="AK183" s="76">
        <v>4247</v>
      </c>
      <c r="AL183" s="76" t="b">
        <v>0</v>
      </c>
      <c r="AM183" s="78">
        <v>40106.003333333334</v>
      </c>
      <c r="AN183" s="76" t="s">
        <v>17929</v>
      </c>
      <c r="AO183" s="76" t="s">
        <v>18314</v>
      </c>
      <c r="AP183" s="83" t="str">
        <f>HYPERLINK("https://t.co/yRvqzZwRp2")</f>
        <v>https://t.co/yRvqzZwRp2</v>
      </c>
      <c r="AQ183" s="83" t="str">
        <f>HYPERLINK("http://bb.com.br")</f>
        <v>http://bb.com.br</v>
      </c>
      <c r="AR183" s="76" t="s">
        <v>19099</v>
      </c>
      <c r="AS183" s="76"/>
      <c r="AT183" s="76"/>
      <c r="AU183" s="76"/>
      <c r="AV183" s="76"/>
      <c r="AW183" s="83" t="str">
        <f>HYPERLINK("https://t.co/yRvqzZwRp2")</f>
        <v>https://t.co/yRvqzZwRp2</v>
      </c>
      <c r="AX183" s="76" t="b">
        <v>0</v>
      </c>
      <c r="AY183" s="76"/>
      <c r="AZ183" s="76"/>
      <c r="BA183" s="76" t="b">
        <v>1</v>
      </c>
      <c r="BB183" s="76" t="b">
        <v>1</v>
      </c>
      <c r="BC183" s="76" t="b">
        <v>0</v>
      </c>
      <c r="BD183" s="76" t="b">
        <v>0</v>
      </c>
      <c r="BE183" s="76" t="b">
        <v>1</v>
      </c>
      <c r="BF183" s="76" t="b">
        <v>0</v>
      </c>
      <c r="BG183" s="76" t="b">
        <v>0</v>
      </c>
      <c r="BH183" s="83" t="str">
        <f>HYPERLINK("https://pbs.twimg.com/profile_banners/83723557/1693220851")</f>
        <v>https://pbs.twimg.com/profile_banners/83723557/1693220851</v>
      </c>
      <c r="BI183" s="76"/>
      <c r="BJ183" s="76" t="s">
        <v>19633</v>
      </c>
      <c r="BK183" s="76" t="b">
        <v>0</v>
      </c>
      <c r="BL183" s="76"/>
      <c r="BM183" s="76" t="s">
        <v>65</v>
      </c>
      <c r="BN183" s="76" t="s">
        <v>19635</v>
      </c>
      <c r="BO183" s="83" t="str">
        <f>HYPERLINK("https://twitter.com/bancodobrasil")</f>
        <v>https://twitter.com/bancodobrasil</v>
      </c>
      <c r="BP183" s="2"/>
    </row>
    <row r="184" spans="1:68" x14ac:dyDescent="0.25">
      <c r="A184" s="62" t="s">
        <v>375</v>
      </c>
      <c r="B184" s="63"/>
      <c r="C184" s="63"/>
      <c r="D184" s="64"/>
      <c r="E184" s="66"/>
      <c r="F184" s="103" t="str">
        <f>HYPERLINK("https://pbs.twimg.com/profile_images/1471531764535468033/Rk36W-Sp_normal.jpg")</f>
        <v>https://pbs.twimg.com/profile_images/1471531764535468033/Rk36W-Sp_normal.jpg</v>
      </c>
      <c r="G184" s="63"/>
      <c r="H184" s="67"/>
      <c r="I184" s="68"/>
      <c r="J184" s="68"/>
      <c r="K184" s="67" t="s">
        <v>19816</v>
      </c>
      <c r="L184" s="71"/>
      <c r="M184" s="72"/>
      <c r="N184" s="72"/>
      <c r="O184" s="73"/>
      <c r="P184" s="74"/>
      <c r="Q184" s="74"/>
      <c r="R184" s="87"/>
      <c r="S184" s="87"/>
      <c r="T184" s="87"/>
      <c r="U184" s="87"/>
      <c r="V184" s="48"/>
      <c r="W184" s="48"/>
      <c r="X184" s="47">
        <v>1.101E-3</v>
      </c>
      <c r="Y184" s="48"/>
      <c r="Z184" s="47"/>
      <c r="AA184" s="69">
        <v>184</v>
      </c>
      <c r="AB184" s="69"/>
      <c r="AC184" s="70"/>
      <c r="AD184" s="76" t="s">
        <v>16820</v>
      </c>
      <c r="AE184" s="81" t="s">
        <v>17600</v>
      </c>
      <c r="AF184" s="76">
        <v>78</v>
      </c>
      <c r="AG184" s="76">
        <v>249</v>
      </c>
      <c r="AH184" s="76">
        <v>695</v>
      </c>
      <c r="AI184" s="76">
        <v>0</v>
      </c>
      <c r="AJ184" s="76">
        <v>1025</v>
      </c>
      <c r="AK184" s="76">
        <v>463</v>
      </c>
      <c r="AL184" s="76" t="b">
        <v>0</v>
      </c>
      <c r="AM184" s="78">
        <v>40200.803240740737</v>
      </c>
      <c r="AN184" s="76" t="s">
        <v>17930</v>
      </c>
      <c r="AO184" s="76" t="s">
        <v>18315</v>
      </c>
      <c r="AP184" s="83" t="str">
        <f>HYPERLINK("https://t.co/5DAQ2iSrU3")</f>
        <v>https://t.co/5DAQ2iSrU3</v>
      </c>
      <c r="AQ184" s="83" t="str">
        <f>HYPERLINK("http://www.ucs.br")</f>
        <v>http://www.ucs.br</v>
      </c>
      <c r="AR184" s="76" t="s">
        <v>19100</v>
      </c>
      <c r="AS184" s="76"/>
      <c r="AT184" s="76"/>
      <c r="AU184" s="76"/>
      <c r="AV184" s="76"/>
      <c r="AW184" s="83" t="str">
        <f>HYPERLINK("https://t.co/5DAQ2iSrU3")</f>
        <v>https://t.co/5DAQ2iSrU3</v>
      </c>
      <c r="AX184" s="76" t="b">
        <v>0</v>
      </c>
      <c r="AY184" s="76"/>
      <c r="AZ184" s="76"/>
      <c r="BA184" s="76" t="b">
        <v>0</v>
      </c>
      <c r="BB184" s="76" t="b">
        <v>1</v>
      </c>
      <c r="BC184" s="76" t="b">
        <v>1</v>
      </c>
      <c r="BD184" s="76" t="b">
        <v>0</v>
      </c>
      <c r="BE184" s="76" t="b">
        <v>0</v>
      </c>
      <c r="BF184" s="76" t="b">
        <v>0</v>
      </c>
      <c r="BG184" s="76" t="b">
        <v>0</v>
      </c>
      <c r="BH184" s="83" t="str">
        <f>HYPERLINK("https://pbs.twimg.com/profile_banners/107496318/1586293603")</f>
        <v>https://pbs.twimg.com/profile_banners/107496318/1586293603</v>
      </c>
      <c r="BI184" s="76"/>
      <c r="BJ184" s="76" t="s">
        <v>19633</v>
      </c>
      <c r="BK184" s="76" t="b">
        <v>0</v>
      </c>
      <c r="BL184" s="76"/>
      <c r="BM184" s="76" t="s">
        <v>66</v>
      </c>
      <c r="BN184" s="76" t="s">
        <v>19635</v>
      </c>
      <c r="BO184" s="83" t="str">
        <f>HYPERLINK("https://twitter.com/ggianni")</f>
        <v>https://twitter.com/ggianni</v>
      </c>
      <c r="BP184" s="2"/>
    </row>
    <row r="185" spans="1:68" x14ac:dyDescent="0.25">
      <c r="A185" s="62" t="s">
        <v>376</v>
      </c>
      <c r="B185" s="63"/>
      <c r="C185" s="63"/>
      <c r="D185" s="64"/>
      <c r="E185" s="66"/>
      <c r="F185" s="103" t="str">
        <f>HYPERLINK("https://pbs.twimg.com/profile_images/1365833978050207745/naE6tUzw_normal.jpg")</f>
        <v>https://pbs.twimg.com/profile_images/1365833978050207745/naE6tUzw_normal.jpg</v>
      </c>
      <c r="G185" s="63"/>
      <c r="H185" s="67"/>
      <c r="I185" s="68"/>
      <c r="J185" s="68"/>
      <c r="K185" s="67" t="s">
        <v>19817</v>
      </c>
      <c r="L185" s="71"/>
      <c r="M185" s="72"/>
      <c r="N185" s="72"/>
      <c r="O185" s="73"/>
      <c r="P185" s="74"/>
      <c r="Q185" s="74"/>
      <c r="R185" s="87"/>
      <c r="S185" s="87"/>
      <c r="T185" s="87"/>
      <c r="U185" s="87"/>
      <c r="V185" s="48"/>
      <c r="W185" s="48"/>
      <c r="X185" s="47">
        <v>1.178E-3</v>
      </c>
      <c r="Y185" s="48"/>
      <c r="Z185" s="47"/>
      <c r="AA185" s="69">
        <v>185</v>
      </c>
      <c r="AB185" s="69"/>
      <c r="AC185" s="70"/>
      <c r="AD185" s="76" t="s">
        <v>16821</v>
      </c>
      <c r="AE185" s="81" t="s">
        <v>17601</v>
      </c>
      <c r="AF185" s="76">
        <v>3693</v>
      </c>
      <c r="AG185" s="76">
        <v>871</v>
      </c>
      <c r="AH185" s="76">
        <v>44951</v>
      </c>
      <c r="AI185" s="76">
        <v>25</v>
      </c>
      <c r="AJ185" s="76">
        <v>312</v>
      </c>
      <c r="AK185" s="76">
        <v>569</v>
      </c>
      <c r="AL185" s="76" t="b">
        <v>0</v>
      </c>
      <c r="AM185" s="78">
        <v>40288.871458333335</v>
      </c>
      <c r="AN185" s="76" t="s">
        <v>17931</v>
      </c>
      <c r="AO185" s="76" t="s">
        <v>18316</v>
      </c>
      <c r="AP185" s="83" t="str">
        <f>HYPERLINK("https://t.co/o4FW9wcugB")</f>
        <v>https://t.co/o4FW9wcugB</v>
      </c>
      <c r="AQ185" s="83" t="str">
        <f>HYPERLINK("https://www.varginhaonline.com.br")</f>
        <v>https://www.varginhaonline.com.br</v>
      </c>
      <c r="AR185" s="76" t="s">
        <v>19101</v>
      </c>
      <c r="AS185" s="76"/>
      <c r="AT185" s="76"/>
      <c r="AU185" s="76"/>
      <c r="AV185" s="76"/>
      <c r="AW185" s="83" t="str">
        <f>HYPERLINK("https://t.co/o4FW9wcugB")</f>
        <v>https://t.co/o4FW9wcugB</v>
      </c>
      <c r="AX185" s="76" t="b">
        <v>0</v>
      </c>
      <c r="AY185" s="76"/>
      <c r="AZ185" s="76"/>
      <c r="BA185" s="76" t="b">
        <v>0</v>
      </c>
      <c r="BB185" s="76" t="b">
        <v>1</v>
      </c>
      <c r="BC185" s="76" t="b">
        <v>0</v>
      </c>
      <c r="BD185" s="76" t="b">
        <v>0</v>
      </c>
      <c r="BE185" s="76" t="b">
        <v>1</v>
      </c>
      <c r="BF185" s="76" t="b">
        <v>0</v>
      </c>
      <c r="BG185" s="76" t="b">
        <v>0</v>
      </c>
      <c r="BH185" s="83" t="str">
        <f>HYPERLINK("https://pbs.twimg.com/profile_banners/135272073/1537234779")</f>
        <v>https://pbs.twimg.com/profile_banners/135272073/1537234779</v>
      </c>
      <c r="BI185" s="76"/>
      <c r="BJ185" s="76" t="s">
        <v>19633</v>
      </c>
      <c r="BK185" s="76" t="b">
        <v>0</v>
      </c>
      <c r="BL185" s="76"/>
      <c r="BM185" s="76" t="s">
        <v>66</v>
      </c>
      <c r="BN185" s="76" t="s">
        <v>19635</v>
      </c>
      <c r="BO185" s="83" t="str">
        <f>HYPERLINK("https://twitter.com/varginha_online")</f>
        <v>https://twitter.com/varginha_online</v>
      </c>
      <c r="BP185" s="2"/>
    </row>
    <row r="186" spans="1:68" x14ac:dyDescent="0.25">
      <c r="A186" s="62" t="s">
        <v>377</v>
      </c>
      <c r="B186" s="63"/>
      <c r="C186" s="63"/>
      <c r="D186" s="64"/>
      <c r="E186" s="66"/>
      <c r="F186" s="103" t="str">
        <f>HYPERLINK("https://pbs.twimg.com/profile_images/1647317230160363521/47RPk1TN_normal.jpg")</f>
        <v>https://pbs.twimg.com/profile_images/1647317230160363521/47RPk1TN_normal.jpg</v>
      </c>
      <c r="G186" s="63"/>
      <c r="H186" s="67"/>
      <c r="I186" s="68"/>
      <c r="J186" s="68"/>
      <c r="K186" s="67" t="s">
        <v>19818</v>
      </c>
      <c r="L186" s="71"/>
      <c r="M186" s="72"/>
      <c r="N186" s="72"/>
      <c r="O186" s="73"/>
      <c r="P186" s="74"/>
      <c r="Q186" s="74"/>
      <c r="R186" s="87"/>
      <c r="S186" s="87"/>
      <c r="T186" s="87"/>
      <c r="U186" s="87"/>
      <c r="V186" s="48"/>
      <c r="W186" s="48"/>
      <c r="X186" s="47">
        <v>1.024E-3</v>
      </c>
      <c r="Y186" s="48"/>
      <c r="Z186" s="47"/>
      <c r="AA186" s="69">
        <v>186</v>
      </c>
      <c r="AB186" s="69"/>
      <c r="AC186" s="70"/>
      <c r="AD186" s="76" t="s">
        <v>16822</v>
      </c>
      <c r="AE186" s="81" t="s">
        <v>16219</v>
      </c>
      <c r="AF186" s="76">
        <v>3</v>
      </c>
      <c r="AG186" s="76">
        <v>50</v>
      </c>
      <c r="AH186" s="76">
        <v>4</v>
      </c>
      <c r="AI186" s="76">
        <v>0</v>
      </c>
      <c r="AJ186" s="76">
        <v>26</v>
      </c>
      <c r="AK186" s="76">
        <v>0</v>
      </c>
      <c r="AL186" s="76" t="b">
        <v>0</v>
      </c>
      <c r="AM186" s="78">
        <v>43667.992488425924</v>
      </c>
      <c r="AN186" s="76" t="s">
        <v>17932</v>
      </c>
      <c r="AO186" s="76" t="s">
        <v>18317</v>
      </c>
      <c r="AP186" s="83" t="str">
        <f>HYPERLINK("https://t.co/Hog45Rm1FG")</f>
        <v>https://t.co/Hog45Rm1FG</v>
      </c>
      <c r="AQ186" s="83" t="str">
        <f>HYPERLINK("https://www.linkedin.com/in/l%C3%ADdiaaleixob87958a3")</f>
        <v>https://www.linkedin.com/in/l%C3%ADdiaaleixob87958a3</v>
      </c>
      <c r="AR186" s="76" t="s">
        <v>19102</v>
      </c>
      <c r="AS186" s="76"/>
      <c r="AT186" s="76"/>
      <c r="AU186" s="76"/>
      <c r="AV186" s="76"/>
      <c r="AW186" s="83" t="str">
        <f>HYPERLINK("https://t.co/Hog45Rm1FG")</f>
        <v>https://t.co/Hog45Rm1FG</v>
      </c>
      <c r="AX186" s="76" t="b">
        <v>0</v>
      </c>
      <c r="AY186" s="76"/>
      <c r="AZ186" s="76"/>
      <c r="BA186" s="76" t="b">
        <v>0</v>
      </c>
      <c r="BB186" s="76" t="b">
        <v>1</v>
      </c>
      <c r="BC186" s="76" t="b">
        <v>1</v>
      </c>
      <c r="BD186" s="76" t="b">
        <v>0</v>
      </c>
      <c r="BE186" s="76" t="b">
        <v>0</v>
      </c>
      <c r="BF186" s="76" t="b">
        <v>0</v>
      </c>
      <c r="BG186" s="76" t="b">
        <v>0</v>
      </c>
      <c r="BH186" s="83" t="str">
        <f>HYPERLINK("https://pbs.twimg.com/profile_banners/1153089569677545472/1681587215")</f>
        <v>https://pbs.twimg.com/profile_banners/1153089569677545472/1681587215</v>
      </c>
      <c r="BI186" s="76"/>
      <c r="BJ186" s="76" t="s">
        <v>19633</v>
      </c>
      <c r="BK186" s="76" t="b">
        <v>0</v>
      </c>
      <c r="BL186" s="76"/>
      <c r="BM186" s="76" t="s">
        <v>66</v>
      </c>
      <c r="BN186" s="76" t="s">
        <v>19635</v>
      </c>
      <c r="BO186" s="83" t="str">
        <f>HYPERLINK("https://twitter.com/lidialuciara")</f>
        <v>https://twitter.com/lidialuciara</v>
      </c>
      <c r="BP186" s="2"/>
    </row>
    <row r="187" spans="1:68" x14ac:dyDescent="0.25">
      <c r="A187" s="62" t="s">
        <v>378</v>
      </c>
      <c r="B187" s="63"/>
      <c r="C187" s="63"/>
      <c r="D187" s="64"/>
      <c r="E187" s="66"/>
      <c r="F187" s="103" t="str">
        <f>HYPERLINK("https://pbs.twimg.com/profile_images/1664376782512898058/w1VkrMfZ_normal.jpg")</f>
        <v>https://pbs.twimg.com/profile_images/1664376782512898058/w1VkrMfZ_normal.jpg</v>
      </c>
      <c r="G187" s="63"/>
      <c r="H187" s="67"/>
      <c r="I187" s="68"/>
      <c r="J187" s="68"/>
      <c r="K187" s="67" t="s">
        <v>19819</v>
      </c>
      <c r="L187" s="71"/>
      <c r="M187" s="72"/>
      <c r="N187" s="72"/>
      <c r="O187" s="73"/>
      <c r="P187" s="74"/>
      <c r="Q187" s="74"/>
      <c r="R187" s="87"/>
      <c r="S187" s="87"/>
      <c r="T187" s="87"/>
      <c r="U187" s="87"/>
      <c r="V187" s="48"/>
      <c r="W187" s="48"/>
      <c r="X187" s="47">
        <v>1.101E-3</v>
      </c>
      <c r="Y187" s="48"/>
      <c r="Z187" s="47"/>
      <c r="AA187" s="69">
        <v>187</v>
      </c>
      <c r="AB187" s="69"/>
      <c r="AC187" s="70"/>
      <c r="AD187" s="76" t="s">
        <v>16823</v>
      </c>
      <c r="AE187" s="81" t="s">
        <v>16220</v>
      </c>
      <c r="AF187" s="76">
        <v>1207</v>
      </c>
      <c r="AG187" s="76">
        <v>40</v>
      </c>
      <c r="AH187" s="76">
        <v>3342</v>
      </c>
      <c r="AI187" s="76">
        <v>5</v>
      </c>
      <c r="AJ187" s="76">
        <v>122</v>
      </c>
      <c r="AK187" s="76">
        <v>3054</v>
      </c>
      <c r="AL187" s="76" t="b">
        <v>0</v>
      </c>
      <c r="AM187" s="78">
        <v>44053.640092592592</v>
      </c>
      <c r="AN187" s="76" t="s">
        <v>17933</v>
      </c>
      <c r="AO187" s="76" t="s">
        <v>18318</v>
      </c>
      <c r="AP187" s="83" t="str">
        <f>HYPERLINK("https://t.co/R8ApnbortN")</f>
        <v>https://t.co/R8ApnbortN</v>
      </c>
      <c r="AQ187" s="83" t="str">
        <f>HYPERLINK("https://linktr.ee/prefeiturademesquitarj")</f>
        <v>https://linktr.ee/prefeiturademesquitarj</v>
      </c>
      <c r="AR187" s="76" t="s">
        <v>19103</v>
      </c>
      <c r="AS187" s="76"/>
      <c r="AT187" s="76"/>
      <c r="AU187" s="76"/>
      <c r="AV187" s="76">
        <v>1.52588096652222E+18</v>
      </c>
      <c r="AW187" s="83" t="str">
        <f>HYPERLINK("https://t.co/R8ApnbortN")</f>
        <v>https://t.co/R8ApnbortN</v>
      </c>
      <c r="AX187" s="76" t="b">
        <v>0</v>
      </c>
      <c r="AY187" s="76"/>
      <c r="AZ187" s="76"/>
      <c r="BA187" s="76" t="b">
        <v>0</v>
      </c>
      <c r="BB187" s="76" t="b">
        <v>1</v>
      </c>
      <c r="BC187" s="76" t="b">
        <v>1</v>
      </c>
      <c r="BD187" s="76" t="b">
        <v>0</v>
      </c>
      <c r="BE187" s="76" t="b">
        <v>1</v>
      </c>
      <c r="BF187" s="76" t="b">
        <v>0</v>
      </c>
      <c r="BG187" s="76" t="b">
        <v>0</v>
      </c>
      <c r="BH187" s="83" t="str">
        <f>HYPERLINK("https://pbs.twimg.com/profile_banners/1292843464175091714/1685653323")</f>
        <v>https://pbs.twimg.com/profile_banners/1292843464175091714/1685653323</v>
      </c>
      <c r="BI187" s="76"/>
      <c r="BJ187" s="76" t="s">
        <v>19633</v>
      </c>
      <c r="BK187" s="76" t="b">
        <v>0</v>
      </c>
      <c r="BL187" s="76"/>
      <c r="BM187" s="76" t="s">
        <v>66</v>
      </c>
      <c r="BN187" s="76" t="s">
        <v>19635</v>
      </c>
      <c r="BO187" s="83" t="str">
        <f>HYPERLINK("https://twitter.com/mesquitarj")</f>
        <v>https://twitter.com/mesquitarj</v>
      </c>
      <c r="BP187" s="2"/>
    </row>
    <row r="188" spans="1:68" x14ac:dyDescent="0.25">
      <c r="A188" s="62" t="s">
        <v>379</v>
      </c>
      <c r="B188" s="63"/>
      <c r="C188" s="63"/>
      <c r="D188" s="64"/>
      <c r="E188" s="66"/>
      <c r="F188" s="103" t="str">
        <f>HYPERLINK("https://pbs.twimg.com/profile_images/464224594920869888/lNekW1Va_normal.jpeg")</f>
        <v>https://pbs.twimg.com/profile_images/464224594920869888/lNekW1Va_normal.jpeg</v>
      </c>
      <c r="G188" s="63"/>
      <c r="H188" s="67"/>
      <c r="I188" s="68"/>
      <c r="J188" s="68"/>
      <c r="K188" s="67" t="s">
        <v>19820</v>
      </c>
      <c r="L188" s="71"/>
      <c r="M188" s="72"/>
      <c r="N188" s="72"/>
      <c r="O188" s="73"/>
      <c r="P188" s="74"/>
      <c r="Q188" s="74"/>
      <c r="R188" s="87"/>
      <c r="S188" s="87"/>
      <c r="T188" s="87"/>
      <c r="U188" s="87"/>
      <c r="V188" s="48"/>
      <c r="W188" s="48"/>
      <c r="X188" s="47">
        <v>1.101E-3</v>
      </c>
      <c r="Y188" s="48"/>
      <c r="Z188" s="47"/>
      <c r="AA188" s="69">
        <v>188</v>
      </c>
      <c r="AB188" s="69"/>
      <c r="AC188" s="70"/>
      <c r="AD188" s="76" t="s">
        <v>16824</v>
      </c>
      <c r="AE188" s="81" t="s">
        <v>17602</v>
      </c>
      <c r="AF188" s="76">
        <v>14</v>
      </c>
      <c r="AG188" s="76">
        <v>34</v>
      </c>
      <c r="AH188" s="76">
        <v>3075</v>
      </c>
      <c r="AI188" s="76">
        <v>0</v>
      </c>
      <c r="AJ188" s="76">
        <v>1</v>
      </c>
      <c r="AK188" s="76">
        <v>1563</v>
      </c>
      <c r="AL188" s="76" t="b">
        <v>0</v>
      </c>
      <c r="AM188" s="78">
        <v>41767.083483796298</v>
      </c>
      <c r="AN188" s="76" t="s">
        <v>17934</v>
      </c>
      <c r="AO188" s="76" t="s">
        <v>18319</v>
      </c>
      <c r="AP188" s="83" t="str">
        <f>HYPERLINK("http://t.co/wqN4beJ110")</f>
        <v>http://t.co/wqN4beJ110</v>
      </c>
      <c r="AQ188" s="83" t="str">
        <f>HYPERLINK("http://majeseg.com.br/")</f>
        <v>http://majeseg.com.br/</v>
      </c>
      <c r="AR188" s="76" t="s">
        <v>19104</v>
      </c>
      <c r="AS188" s="76"/>
      <c r="AT188" s="76"/>
      <c r="AU188" s="76"/>
      <c r="AV188" s="76"/>
      <c r="AW188" s="83" t="str">
        <f>HYPERLINK("http://t.co/wqN4beJ110")</f>
        <v>http://t.co/wqN4beJ110</v>
      </c>
      <c r="AX188" s="76" t="b">
        <v>0</v>
      </c>
      <c r="AY188" s="76"/>
      <c r="AZ188" s="76"/>
      <c r="BA188" s="76" t="b">
        <v>0</v>
      </c>
      <c r="BB188" s="76" t="b">
        <v>0</v>
      </c>
      <c r="BC188" s="76" t="b">
        <v>0</v>
      </c>
      <c r="BD188" s="76" t="b">
        <v>0</v>
      </c>
      <c r="BE188" s="76" t="b">
        <v>0</v>
      </c>
      <c r="BF188" s="76" t="b">
        <v>0</v>
      </c>
      <c r="BG188" s="76" t="b">
        <v>0</v>
      </c>
      <c r="BH188" s="83" t="str">
        <f>HYPERLINK("https://pbs.twimg.com/profile_banners/2483025594/1399515333")</f>
        <v>https://pbs.twimg.com/profile_banners/2483025594/1399515333</v>
      </c>
      <c r="BI188" s="76"/>
      <c r="BJ188" s="76" t="s">
        <v>19633</v>
      </c>
      <c r="BK188" s="76" t="b">
        <v>0</v>
      </c>
      <c r="BL188" s="76"/>
      <c r="BM188" s="76" t="s">
        <v>66</v>
      </c>
      <c r="BN188" s="76" t="s">
        <v>19635</v>
      </c>
      <c r="BO188" s="83" t="str">
        <f>HYPERLINK("https://twitter.com/majesegseguros")</f>
        <v>https://twitter.com/majesegseguros</v>
      </c>
      <c r="BP188" s="2"/>
    </row>
    <row r="189" spans="1:68" x14ac:dyDescent="0.25">
      <c r="A189" s="62" t="s">
        <v>380</v>
      </c>
      <c r="B189" s="63"/>
      <c r="C189" s="63"/>
      <c r="D189" s="64"/>
      <c r="E189" s="66"/>
      <c r="F189" s="103" t="str">
        <f>HYPERLINK("https://pbs.twimg.com/profile_images/1496451424997281796/pzgn7lxl_normal.jpg")</f>
        <v>https://pbs.twimg.com/profile_images/1496451424997281796/pzgn7lxl_normal.jpg</v>
      </c>
      <c r="G189" s="63"/>
      <c r="H189" s="67"/>
      <c r="I189" s="68"/>
      <c r="J189" s="68"/>
      <c r="K189" s="67" t="s">
        <v>19821</v>
      </c>
      <c r="L189" s="71"/>
      <c r="M189" s="72"/>
      <c r="N189" s="72"/>
      <c r="O189" s="73"/>
      <c r="P189" s="74"/>
      <c r="Q189" s="74"/>
      <c r="R189" s="87"/>
      <c r="S189" s="87"/>
      <c r="T189" s="87"/>
      <c r="U189" s="87"/>
      <c r="V189" s="48"/>
      <c r="W189" s="48"/>
      <c r="X189" s="47">
        <v>1.101E-3</v>
      </c>
      <c r="Y189" s="48"/>
      <c r="Z189" s="47"/>
      <c r="AA189" s="69">
        <v>189</v>
      </c>
      <c r="AB189" s="69"/>
      <c r="AC189" s="70"/>
      <c r="AD189" s="76" t="s">
        <v>16825</v>
      </c>
      <c r="AE189" s="81" t="s">
        <v>15702</v>
      </c>
      <c r="AF189" s="76">
        <v>197</v>
      </c>
      <c r="AG189" s="76">
        <v>492</v>
      </c>
      <c r="AH189" s="76">
        <v>2113</v>
      </c>
      <c r="AI189" s="76">
        <v>0</v>
      </c>
      <c r="AJ189" s="76">
        <v>12033</v>
      </c>
      <c r="AK189" s="76">
        <v>123</v>
      </c>
      <c r="AL189" s="76" t="b">
        <v>0</v>
      </c>
      <c r="AM189" s="78">
        <v>40536.012314814812</v>
      </c>
      <c r="AN189" s="76" t="s">
        <v>17935</v>
      </c>
      <c r="AO189" s="76" t="s">
        <v>18320</v>
      </c>
      <c r="AP189" s="83" t="str">
        <f>HYPERLINK("https://t.co/H2WqW0ytA8")</f>
        <v>https://t.co/H2WqW0ytA8</v>
      </c>
      <c r="AQ189" s="83" t="str">
        <f>HYPERLINK("http://www.fabiooliveirafinancas.com.br")</f>
        <v>http://www.fabiooliveirafinancas.com.br</v>
      </c>
      <c r="AR189" s="76" t="s">
        <v>19105</v>
      </c>
      <c r="AS189" s="76"/>
      <c r="AT189" s="76"/>
      <c r="AU189" s="76"/>
      <c r="AV189" s="76"/>
      <c r="AW189" s="83" t="str">
        <f>HYPERLINK("https://t.co/H2WqW0ytA8")</f>
        <v>https://t.co/H2WqW0ytA8</v>
      </c>
      <c r="AX189" s="76" t="b">
        <v>0</v>
      </c>
      <c r="AY189" s="76"/>
      <c r="AZ189" s="76"/>
      <c r="BA189" s="76" t="b">
        <v>0</v>
      </c>
      <c r="BB189" s="76" t="b">
        <v>1</v>
      </c>
      <c r="BC189" s="76" t="b">
        <v>0</v>
      </c>
      <c r="BD189" s="76" t="b">
        <v>0</v>
      </c>
      <c r="BE189" s="76" t="b">
        <v>1</v>
      </c>
      <c r="BF189" s="76" t="b">
        <v>0</v>
      </c>
      <c r="BG189" s="76" t="b">
        <v>0</v>
      </c>
      <c r="BH189" s="83" t="str">
        <f>HYPERLINK("https://pbs.twimg.com/profile_banners/230005777/1654125293")</f>
        <v>https://pbs.twimg.com/profile_banners/230005777/1654125293</v>
      </c>
      <c r="BI189" s="76"/>
      <c r="BJ189" s="76" t="s">
        <v>19633</v>
      </c>
      <c r="BK189" s="76" t="b">
        <v>0</v>
      </c>
      <c r="BL189" s="76"/>
      <c r="BM189" s="76" t="s">
        <v>66</v>
      </c>
      <c r="BN189" s="76" t="s">
        <v>19635</v>
      </c>
      <c r="BO189" s="83" t="str">
        <f>HYPERLINK("https://twitter.com/fabiooliveira18")</f>
        <v>https://twitter.com/fabiooliveira18</v>
      </c>
      <c r="BP189" s="2"/>
    </row>
    <row r="190" spans="1:68" x14ac:dyDescent="0.25">
      <c r="A190" s="62" t="s">
        <v>381</v>
      </c>
      <c r="B190" s="63"/>
      <c r="C190" s="63"/>
      <c r="D190" s="64"/>
      <c r="E190" s="66"/>
      <c r="F190" s="103" t="str">
        <f>HYPERLINK("https://pbs.twimg.com/profile_images/1610744954648760320/8EZ_JCLO_normal.jpg")</f>
        <v>https://pbs.twimg.com/profile_images/1610744954648760320/8EZ_JCLO_normal.jpg</v>
      </c>
      <c r="G190" s="63"/>
      <c r="H190" s="67"/>
      <c r="I190" s="68"/>
      <c r="J190" s="68"/>
      <c r="K190" s="67" t="s">
        <v>19822</v>
      </c>
      <c r="L190" s="71"/>
      <c r="M190" s="72"/>
      <c r="N190" s="72"/>
      <c r="O190" s="73"/>
      <c r="P190" s="74"/>
      <c r="Q190" s="74"/>
      <c r="R190" s="87"/>
      <c r="S190" s="87"/>
      <c r="T190" s="87"/>
      <c r="U190" s="87"/>
      <c r="V190" s="48"/>
      <c r="W190" s="48"/>
      <c r="X190" s="47">
        <v>1.08E-3</v>
      </c>
      <c r="Y190" s="48"/>
      <c r="Z190" s="47"/>
      <c r="AA190" s="69">
        <v>190</v>
      </c>
      <c r="AB190" s="69"/>
      <c r="AC190" s="70"/>
      <c r="AD190" s="76" t="s">
        <v>16826</v>
      </c>
      <c r="AE190" s="81" t="s">
        <v>16221</v>
      </c>
      <c r="AF190" s="76">
        <v>82</v>
      </c>
      <c r="AG190" s="76">
        <v>228</v>
      </c>
      <c r="AH190" s="76">
        <v>10977</v>
      </c>
      <c r="AI190" s="76">
        <v>1</v>
      </c>
      <c r="AJ190" s="76">
        <v>17383</v>
      </c>
      <c r="AK190" s="76">
        <v>2530</v>
      </c>
      <c r="AL190" s="76" t="b">
        <v>0</v>
      </c>
      <c r="AM190" s="78">
        <v>43703.596863425926</v>
      </c>
      <c r="AN190" s="76" t="s">
        <v>10570</v>
      </c>
      <c r="AO190" s="76" t="s">
        <v>18321</v>
      </c>
      <c r="AP190" s="76"/>
      <c r="AQ190" s="76"/>
      <c r="AR190" s="76"/>
      <c r="AS190" s="76"/>
      <c r="AT190" s="76"/>
      <c r="AU190" s="76"/>
      <c r="AV190" s="76">
        <v>1.6097390085775201E+18</v>
      </c>
      <c r="AW190" s="76"/>
      <c r="AX190" s="76" t="b">
        <v>0</v>
      </c>
      <c r="AY190" s="76"/>
      <c r="AZ190" s="76"/>
      <c r="BA190" s="76" t="b">
        <v>1</v>
      </c>
      <c r="BB190" s="76" t="b">
        <v>1</v>
      </c>
      <c r="BC190" s="76" t="b">
        <v>1</v>
      </c>
      <c r="BD190" s="76" t="b">
        <v>0</v>
      </c>
      <c r="BE190" s="76" t="b">
        <v>1</v>
      </c>
      <c r="BF190" s="76" t="b">
        <v>0</v>
      </c>
      <c r="BG190" s="76" t="b">
        <v>0</v>
      </c>
      <c r="BH190" s="83" t="str">
        <f>HYPERLINK("https://pbs.twimg.com/profile_banners/1165992015835881472/1566830798")</f>
        <v>https://pbs.twimg.com/profile_banners/1165992015835881472/1566830798</v>
      </c>
      <c r="BI190" s="76"/>
      <c r="BJ190" s="76" t="s">
        <v>19633</v>
      </c>
      <c r="BK190" s="76" t="b">
        <v>0</v>
      </c>
      <c r="BL190" s="76"/>
      <c r="BM190" s="76" t="s">
        <v>66</v>
      </c>
      <c r="BN190" s="76" t="s">
        <v>19635</v>
      </c>
      <c r="BO190" s="83" t="str">
        <f>HYPERLINK("https://twitter.com/dnavegacao")</f>
        <v>https://twitter.com/dnavegacao</v>
      </c>
      <c r="BP190" s="2"/>
    </row>
    <row r="191" spans="1:68" x14ac:dyDescent="0.25">
      <c r="A191" s="62" t="s">
        <v>1066</v>
      </c>
      <c r="B191" s="63"/>
      <c r="C191" s="63"/>
      <c r="D191" s="64"/>
      <c r="E191" s="66"/>
      <c r="F191" s="103" t="str">
        <f>HYPERLINK("https://pbs.twimg.com/profile_images/1587217097855213577/v4EbJ7bm_normal.jpg")</f>
        <v>https://pbs.twimg.com/profile_images/1587217097855213577/v4EbJ7bm_normal.jpg</v>
      </c>
      <c r="G191" s="63"/>
      <c r="H191" s="67"/>
      <c r="I191" s="68"/>
      <c r="J191" s="68"/>
      <c r="K191" s="67" t="s">
        <v>19823</v>
      </c>
      <c r="L191" s="71"/>
      <c r="M191" s="72"/>
      <c r="N191" s="72"/>
      <c r="O191" s="73"/>
      <c r="P191" s="74"/>
      <c r="Q191" s="74"/>
      <c r="R191" s="87"/>
      <c r="S191" s="87"/>
      <c r="T191" s="87"/>
      <c r="U191" s="87"/>
      <c r="V191" s="48"/>
      <c r="W191" s="48"/>
      <c r="X191" s="47">
        <v>1.1050000000000001E-3</v>
      </c>
      <c r="Y191" s="48"/>
      <c r="Z191" s="47"/>
      <c r="AA191" s="69">
        <v>191</v>
      </c>
      <c r="AB191" s="69"/>
      <c r="AC191" s="70"/>
      <c r="AD191" s="76" t="s">
        <v>16827</v>
      </c>
      <c r="AE191" s="81" t="s">
        <v>15764</v>
      </c>
      <c r="AF191" s="76">
        <v>2536959</v>
      </c>
      <c r="AG191" s="76">
        <v>605</v>
      </c>
      <c r="AH191" s="76">
        <v>10843</v>
      </c>
      <c r="AI191" s="76">
        <v>2214</v>
      </c>
      <c r="AJ191" s="76">
        <v>43868</v>
      </c>
      <c r="AK191" s="76">
        <v>2528</v>
      </c>
      <c r="AL191" s="76" t="b">
        <v>0</v>
      </c>
      <c r="AM191" s="78">
        <v>43462.492430555554</v>
      </c>
      <c r="AN191" s="76"/>
      <c r="AO191" s="76" t="s">
        <v>18322</v>
      </c>
      <c r="AP191" s="76"/>
      <c r="AQ191" s="76"/>
      <c r="AR191" s="76"/>
      <c r="AS191" s="76"/>
      <c r="AT191" s="76"/>
      <c r="AU191" s="76"/>
      <c r="AV191" s="76"/>
      <c r="AW191" s="76"/>
      <c r="AX191" s="76" t="b">
        <v>1</v>
      </c>
      <c r="AY191" s="76"/>
      <c r="AZ191" s="76"/>
      <c r="BA191" s="76" t="b">
        <v>0</v>
      </c>
      <c r="BB191" s="76" t="b">
        <v>1</v>
      </c>
      <c r="BC191" s="76" t="b">
        <v>1</v>
      </c>
      <c r="BD191" s="76" t="b">
        <v>0</v>
      </c>
      <c r="BE191" s="76" t="b">
        <v>1</v>
      </c>
      <c r="BF191" s="76" t="b">
        <v>0</v>
      </c>
      <c r="BG191" s="76" t="b">
        <v>0</v>
      </c>
      <c r="BH191" s="83" t="str">
        <f>HYPERLINK("https://pbs.twimg.com/profile_banners/1078618844007157761/1667257673")</f>
        <v>https://pbs.twimg.com/profile_banners/1078618844007157761/1667257673</v>
      </c>
      <c r="BI191" s="76"/>
      <c r="BJ191" s="76" t="s">
        <v>19633</v>
      </c>
      <c r="BK191" s="76" t="b">
        <v>0</v>
      </c>
      <c r="BL191" s="76"/>
      <c r="BM191" s="76" t="s">
        <v>65</v>
      </c>
      <c r="BN191" s="76" t="s">
        <v>19635</v>
      </c>
      <c r="BO191" s="83" t="str">
        <f>HYPERLINK("https://twitter.com/tarcisiogdf")</f>
        <v>https://twitter.com/tarcisiogdf</v>
      </c>
      <c r="BP191" s="2"/>
    </row>
    <row r="192" spans="1:68" x14ac:dyDescent="0.25">
      <c r="A192" s="62" t="s">
        <v>732</v>
      </c>
      <c r="B192" s="63"/>
      <c r="C192" s="63"/>
      <c r="D192" s="64"/>
      <c r="E192" s="66"/>
      <c r="F192" s="103" t="str">
        <f>HYPERLINK("https://pbs.twimg.com/profile_images/1623481438262763521/QSkDknh1_normal.jpg")</f>
        <v>https://pbs.twimg.com/profile_images/1623481438262763521/QSkDknh1_normal.jpg</v>
      </c>
      <c r="G192" s="63"/>
      <c r="H192" s="67"/>
      <c r="I192" s="68"/>
      <c r="J192" s="68"/>
      <c r="K192" s="67" t="s">
        <v>19824</v>
      </c>
      <c r="L192" s="71"/>
      <c r="M192" s="72"/>
      <c r="N192" s="72"/>
      <c r="O192" s="73"/>
      <c r="P192" s="74"/>
      <c r="Q192" s="74"/>
      <c r="R192" s="87"/>
      <c r="S192" s="87"/>
      <c r="T192" s="87"/>
      <c r="U192" s="87"/>
      <c r="V192" s="48"/>
      <c r="W192" s="48"/>
      <c r="X192" s="47">
        <v>1.2279999999999999E-3</v>
      </c>
      <c r="Y192" s="48"/>
      <c r="Z192" s="47"/>
      <c r="AA192" s="69">
        <v>192</v>
      </c>
      <c r="AB192" s="69"/>
      <c r="AC192" s="70"/>
      <c r="AD192" s="76" t="s">
        <v>16828</v>
      </c>
      <c r="AE192" s="81" t="s">
        <v>16422</v>
      </c>
      <c r="AF192" s="76">
        <v>59097</v>
      </c>
      <c r="AG192" s="76">
        <v>1720</v>
      </c>
      <c r="AH192" s="76">
        <v>35623</v>
      </c>
      <c r="AI192" s="76">
        <v>638</v>
      </c>
      <c r="AJ192" s="76">
        <v>17252</v>
      </c>
      <c r="AK192" s="76">
        <v>2294</v>
      </c>
      <c r="AL192" s="76" t="b">
        <v>0</v>
      </c>
      <c r="AM192" s="78">
        <v>43103.040462962963</v>
      </c>
      <c r="AN192" s="76" t="s">
        <v>10561</v>
      </c>
      <c r="AO192" s="76" t="s">
        <v>18323</v>
      </c>
      <c r="AP192" s="76"/>
      <c r="AQ192" s="76"/>
      <c r="AR192" s="76"/>
      <c r="AS192" s="76"/>
      <c r="AT192" s="76"/>
      <c r="AU192" s="76"/>
      <c r="AV192" s="76">
        <v>1.70054700312031E+18</v>
      </c>
      <c r="AW192" s="76"/>
      <c r="AX192" s="76" t="b">
        <v>1</v>
      </c>
      <c r="AY192" s="76"/>
      <c r="AZ192" s="76"/>
      <c r="BA192" s="76" t="b">
        <v>1</v>
      </c>
      <c r="BB192" s="76" t="b">
        <v>1</v>
      </c>
      <c r="BC192" s="76" t="b">
        <v>1</v>
      </c>
      <c r="BD192" s="76" t="b">
        <v>0</v>
      </c>
      <c r="BE192" s="76" t="b">
        <v>1</v>
      </c>
      <c r="BF192" s="76" t="b">
        <v>0</v>
      </c>
      <c r="BG192" s="76" t="b">
        <v>0</v>
      </c>
      <c r="BH192" s="83" t="str">
        <f>HYPERLINK("https://pbs.twimg.com/profile_banners/948357808600338432/1514942029")</f>
        <v>https://pbs.twimg.com/profile_banners/948357808600338432/1514942029</v>
      </c>
      <c r="BI192" s="76"/>
      <c r="BJ192" s="76" t="s">
        <v>19633</v>
      </c>
      <c r="BK192" s="76" t="b">
        <v>0</v>
      </c>
      <c r="BL192" s="76"/>
      <c r="BM192" s="76" t="s">
        <v>66</v>
      </c>
      <c r="BN192" s="76" t="s">
        <v>19635</v>
      </c>
      <c r="BO192" s="83" t="str">
        <f>HYPERLINK("https://twitter.com/economesteter")</f>
        <v>https://twitter.com/economesteter</v>
      </c>
      <c r="BP192" s="2"/>
    </row>
    <row r="193" spans="1:68" x14ac:dyDescent="0.25">
      <c r="A193" s="62" t="s">
        <v>382</v>
      </c>
      <c r="B193" s="63"/>
      <c r="C193" s="63"/>
      <c r="D193" s="64"/>
      <c r="E193" s="66"/>
      <c r="F193" s="103" t="str">
        <f>HYPERLINK("https://pbs.twimg.com/profile_images/1669719795082698754/FYNEQaxI_normal.jpg")</f>
        <v>https://pbs.twimg.com/profile_images/1669719795082698754/FYNEQaxI_normal.jpg</v>
      </c>
      <c r="G193" s="63"/>
      <c r="H193" s="67"/>
      <c r="I193" s="68"/>
      <c r="J193" s="68"/>
      <c r="K193" s="67" t="s">
        <v>19825</v>
      </c>
      <c r="L193" s="71"/>
      <c r="M193" s="72"/>
      <c r="N193" s="72"/>
      <c r="O193" s="73"/>
      <c r="P193" s="74"/>
      <c r="Q193" s="74"/>
      <c r="R193" s="87"/>
      <c r="S193" s="87"/>
      <c r="T193" s="87"/>
      <c r="U193" s="87"/>
      <c r="V193" s="48"/>
      <c r="W193" s="48"/>
      <c r="X193" s="47">
        <v>1.4350000000000001E-3</v>
      </c>
      <c r="Y193" s="48"/>
      <c r="Z193" s="47"/>
      <c r="AA193" s="69">
        <v>193</v>
      </c>
      <c r="AB193" s="69"/>
      <c r="AC193" s="70"/>
      <c r="AD193" s="76" t="s">
        <v>16829</v>
      </c>
      <c r="AE193" s="81" t="s">
        <v>16222</v>
      </c>
      <c r="AF193" s="76">
        <v>55</v>
      </c>
      <c r="AG193" s="76">
        <v>790</v>
      </c>
      <c r="AH193" s="76">
        <v>493</v>
      </c>
      <c r="AI193" s="76">
        <v>8</v>
      </c>
      <c r="AJ193" s="76">
        <v>312</v>
      </c>
      <c r="AK193" s="76">
        <v>168</v>
      </c>
      <c r="AL193" s="76" t="b">
        <v>0</v>
      </c>
      <c r="AM193" s="78">
        <v>44498.627939814818</v>
      </c>
      <c r="AN193" s="76" t="s">
        <v>10561</v>
      </c>
      <c r="AO193" s="76" t="s">
        <v>18324</v>
      </c>
      <c r="AP193" s="76"/>
      <c r="AQ193" s="76"/>
      <c r="AR193" s="76"/>
      <c r="AS193" s="76"/>
      <c r="AT193" s="76"/>
      <c r="AU193" s="76"/>
      <c r="AV193" s="76"/>
      <c r="AW193" s="76"/>
      <c r="AX193" s="76" t="b">
        <v>0</v>
      </c>
      <c r="AY193" s="76"/>
      <c r="AZ193" s="76"/>
      <c r="BA193" s="76" t="b">
        <v>0</v>
      </c>
      <c r="BB193" s="76" t="b">
        <v>1</v>
      </c>
      <c r="BC193" s="76" t="b">
        <v>1</v>
      </c>
      <c r="BD193" s="76" t="b">
        <v>0</v>
      </c>
      <c r="BE193" s="76" t="b">
        <v>1</v>
      </c>
      <c r="BF193" s="76" t="b">
        <v>0</v>
      </c>
      <c r="BG193" s="76" t="b">
        <v>0</v>
      </c>
      <c r="BH193" s="83" t="str">
        <f>HYPERLINK("https://pbs.twimg.com/profile_banners/1454101639338598403/1687966530")</f>
        <v>https://pbs.twimg.com/profile_banners/1454101639338598403/1687966530</v>
      </c>
      <c r="BI193" s="76"/>
      <c r="BJ193" s="76" t="s">
        <v>19633</v>
      </c>
      <c r="BK193" s="76" t="b">
        <v>0</v>
      </c>
      <c r="BL193" s="76"/>
      <c r="BM193" s="76" t="s">
        <v>66</v>
      </c>
      <c r="BN193" s="76" t="s">
        <v>19635</v>
      </c>
      <c r="BO193" s="83" t="str">
        <f>HYPERLINK("https://twitter.com/francisinvicto")</f>
        <v>https://twitter.com/francisinvicto</v>
      </c>
      <c r="BP193" s="2"/>
    </row>
    <row r="194" spans="1:68" x14ac:dyDescent="0.25">
      <c r="A194" s="62" t="s">
        <v>1067</v>
      </c>
      <c r="B194" s="63"/>
      <c r="C194" s="63"/>
      <c r="D194" s="64"/>
      <c r="E194" s="66"/>
      <c r="F194" s="103" t="str">
        <f>HYPERLINK("https://pbs.twimg.com/profile_images/1680299608784744448/5oR3tZi5_normal.jpg")</f>
        <v>https://pbs.twimg.com/profile_images/1680299608784744448/5oR3tZi5_normal.jpg</v>
      </c>
      <c r="G194" s="63"/>
      <c r="H194" s="67"/>
      <c r="I194" s="68"/>
      <c r="J194" s="68"/>
      <c r="K194" s="67" t="s">
        <v>19826</v>
      </c>
      <c r="L194" s="71"/>
      <c r="M194" s="72"/>
      <c r="N194" s="72"/>
      <c r="O194" s="73"/>
      <c r="P194" s="74"/>
      <c r="Q194" s="74"/>
      <c r="R194" s="87"/>
      <c r="S194" s="87"/>
      <c r="T194" s="87"/>
      <c r="U194" s="87"/>
      <c r="V194" s="48"/>
      <c r="W194" s="48"/>
      <c r="X194" s="47">
        <v>9.8999999999999999E-4</v>
      </c>
      <c r="Y194" s="48"/>
      <c r="Z194" s="47"/>
      <c r="AA194" s="69">
        <v>194</v>
      </c>
      <c r="AB194" s="69"/>
      <c r="AC194" s="70"/>
      <c r="AD194" s="76" t="s">
        <v>16830</v>
      </c>
      <c r="AE194" s="81" t="s">
        <v>17603</v>
      </c>
      <c r="AF194" s="76">
        <v>8619005</v>
      </c>
      <c r="AG194" s="76">
        <v>1725</v>
      </c>
      <c r="AH194" s="76">
        <v>8841</v>
      </c>
      <c r="AI194" s="76">
        <v>30163</v>
      </c>
      <c r="AJ194" s="76">
        <v>16435</v>
      </c>
      <c r="AK194" s="76">
        <v>924</v>
      </c>
      <c r="AL194" s="76" t="b">
        <v>0</v>
      </c>
      <c r="AM194" s="78">
        <v>42977.675150462965</v>
      </c>
      <c r="AN194" s="76"/>
      <c r="AO194" s="76" t="s">
        <v>18325</v>
      </c>
      <c r="AP194" s="83" t="str">
        <f>HYPERLINK("https://t.co/zlvCSBI7R2")</f>
        <v>https://t.co/zlvCSBI7R2</v>
      </c>
      <c r="AQ194" s="83" t="str">
        <f>HYPERLINK("http://www.binance.com")</f>
        <v>http://www.binance.com</v>
      </c>
      <c r="AR194" s="76" t="s">
        <v>6028</v>
      </c>
      <c r="AS194" s="76"/>
      <c r="AT194" s="76"/>
      <c r="AU194" s="76"/>
      <c r="AV194" s="76">
        <v>1.61001809612285E+18</v>
      </c>
      <c r="AW194" s="83" t="str">
        <f>HYPERLINK("https://t.co/zlvCSBI7R2")</f>
        <v>https://t.co/zlvCSBI7R2</v>
      </c>
      <c r="AX194" s="76" t="b">
        <v>1</v>
      </c>
      <c r="AY194" s="76"/>
      <c r="AZ194" s="76"/>
      <c r="BA194" s="76" t="b">
        <v>0</v>
      </c>
      <c r="BB194" s="76" t="b">
        <v>1</v>
      </c>
      <c r="BC194" s="76" t="b">
        <v>0</v>
      </c>
      <c r="BD194" s="76" t="b">
        <v>0</v>
      </c>
      <c r="BE194" s="76" t="b">
        <v>1</v>
      </c>
      <c r="BF194" s="76" t="b">
        <v>0</v>
      </c>
      <c r="BG194" s="76" t="b">
        <v>0</v>
      </c>
      <c r="BH194" s="83" t="str">
        <f>HYPERLINK("https://pbs.twimg.com/profile_banners/902926941413453824/1597864552")</f>
        <v>https://pbs.twimg.com/profile_banners/902926941413453824/1597864552</v>
      </c>
      <c r="BI194" s="76"/>
      <c r="BJ194" s="76" t="s">
        <v>19633</v>
      </c>
      <c r="BK194" s="76" t="b">
        <v>0</v>
      </c>
      <c r="BL194" s="76"/>
      <c r="BM194" s="76" t="s">
        <v>65</v>
      </c>
      <c r="BN194" s="76" t="s">
        <v>19635</v>
      </c>
      <c r="BO194" s="83" t="str">
        <f>HYPERLINK("https://twitter.com/cz_binance")</f>
        <v>https://twitter.com/cz_binance</v>
      </c>
      <c r="BP194" s="2"/>
    </row>
    <row r="195" spans="1:68" x14ac:dyDescent="0.25">
      <c r="A195" s="62" t="s">
        <v>1068</v>
      </c>
      <c r="B195" s="63"/>
      <c r="C195" s="63"/>
      <c r="D195" s="64"/>
      <c r="E195" s="66"/>
      <c r="F195" s="103" t="str">
        <f>HYPERLINK("https://pbs.twimg.com/profile_images/1675780528992141312/AIth_3GW_normal.jpg")</f>
        <v>https://pbs.twimg.com/profile_images/1675780528992141312/AIth_3GW_normal.jpg</v>
      </c>
      <c r="G195" s="63"/>
      <c r="H195" s="67"/>
      <c r="I195" s="68"/>
      <c r="J195" s="68"/>
      <c r="K195" s="67" t="s">
        <v>19827</v>
      </c>
      <c r="L195" s="71"/>
      <c r="M195" s="72"/>
      <c r="N195" s="72"/>
      <c r="O195" s="73"/>
      <c r="P195" s="74"/>
      <c r="Q195" s="74"/>
      <c r="R195" s="87"/>
      <c r="S195" s="87"/>
      <c r="T195" s="87"/>
      <c r="U195" s="87"/>
      <c r="V195" s="48"/>
      <c r="W195" s="48"/>
      <c r="X195" s="47">
        <v>9.8999999999999999E-4</v>
      </c>
      <c r="Y195" s="48"/>
      <c r="Z195" s="47"/>
      <c r="AA195" s="69">
        <v>195</v>
      </c>
      <c r="AB195" s="69"/>
      <c r="AC195" s="70"/>
      <c r="AD195" s="76" t="s">
        <v>16831</v>
      </c>
      <c r="AE195" s="81" t="s">
        <v>17604</v>
      </c>
      <c r="AF195" s="76">
        <v>1418829</v>
      </c>
      <c r="AG195" s="76">
        <v>4</v>
      </c>
      <c r="AH195" s="76">
        <v>7097</v>
      </c>
      <c r="AI195" s="76">
        <v>9073</v>
      </c>
      <c r="AJ195" s="76">
        <v>1943</v>
      </c>
      <c r="AK195" s="76">
        <v>1158</v>
      </c>
      <c r="AL195" s="76" t="b">
        <v>0</v>
      </c>
      <c r="AM195" s="78">
        <v>41470.46292824074</v>
      </c>
      <c r="AN195" s="76"/>
      <c r="AO195" s="76" t="s">
        <v>18326</v>
      </c>
      <c r="AP195" s="83" t="str">
        <f>HYPERLINK("https://t.co/34ZKs2wKlr")</f>
        <v>https://t.co/34ZKs2wKlr</v>
      </c>
      <c r="AQ195" s="83" t="str">
        <f>HYPERLINK("https://polkadot.network/")</f>
        <v>https://polkadot.network/</v>
      </c>
      <c r="AR195" s="76" t="s">
        <v>19106</v>
      </c>
      <c r="AS195" s="76"/>
      <c r="AT195" s="76"/>
      <c r="AU195" s="76"/>
      <c r="AV195" s="76"/>
      <c r="AW195" s="83" t="str">
        <f>HYPERLINK("https://t.co/34ZKs2wKlr")</f>
        <v>https://t.co/34ZKs2wKlr</v>
      </c>
      <c r="AX195" s="76" t="b">
        <v>1</v>
      </c>
      <c r="AY195" s="76"/>
      <c r="AZ195" s="76"/>
      <c r="BA195" s="76" t="b">
        <v>0</v>
      </c>
      <c r="BB195" s="76" t="b">
        <v>1</v>
      </c>
      <c r="BC195" s="76" t="b">
        <v>0</v>
      </c>
      <c r="BD195" s="76" t="b">
        <v>0</v>
      </c>
      <c r="BE195" s="76" t="b">
        <v>0</v>
      </c>
      <c r="BF195" s="76" t="b">
        <v>0</v>
      </c>
      <c r="BG195" s="76" t="b">
        <v>0</v>
      </c>
      <c r="BH195" s="83" t="str">
        <f>HYPERLINK("https://pbs.twimg.com/profile_banners/1595615893/1688502183")</f>
        <v>https://pbs.twimg.com/profile_banners/1595615893/1688502183</v>
      </c>
      <c r="BI195" s="76"/>
      <c r="BJ195" s="76" t="s">
        <v>19633</v>
      </c>
      <c r="BK195" s="76" t="b">
        <v>0</v>
      </c>
      <c r="BL195" s="76"/>
      <c r="BM195" s="76" t="s">
        <v>65</v>
      </c>
      <c r="BN195" s="76" t="s">
        <v>19635</v>
      </c>
      <c r="BO195" s="83" t="str">
        <f>HYPERLINK("https://twitter.com/polkadot")</f>
        <v>https://twitter.com/polkadot</v>
      </c>
      <c r="BP195" s="2"/>
    </row>
    <row r="196" spans="1:68" x14ac:dyDescent="0.25">
      <c r="A196" s="62" t="s">
        <v>1069</v>
      </c>
      <c r="B196" s="63"/>
      <c r="C196" s="63"/>
      <c r="D196" s="64"/>
      <c r="E196" s="66"/>
      <c r="F196" s="103" t="str">
        <f>HYPERLINK("https://pbs.twimg.com/profile_images/1618518716337254400/xhFkLBqa_normal.jpg")</f>
        <v>https://pbs.twimg.com/profile_images/1618518716337254400/xhFkLBqa_normal.jpg</v>
      </c>
      <c r="G196" s="63"/>
      <c r="H196" s="67"/>
      <c r="I196" s="68"/>
      <c r="J196" s="68"/>
      <c r="K196" s="67" t="s">
        <v>19828</v>
      </c>
      <c r="L196" s="71"/>
      <c r="M196" s="72"/>
      <c r="N196" s="72"/>
      <c r="O196" s="73"/>
      <c r="P196" s="74"/>
      <c r="Q196" s="74"/>
      <c r="R196" s="87"/>
      <c r="S196" s="87"/>
      <c r="T196" s="87"/>
      <c r="U196" s="87"/>
      <c r="V196" s="48"/>
      <c r="W196" s="48"/>
      <c r="X196" s="47">
        <v>9.8999999999999999E-4</v>
      </c>
      <c r="Y196" s="48"/>
      <c r="Z196" s="47"/>
      <c r="AA196" s="69">
        <v>196</v>
      </c>
      <c r="AB196" s="69"/>
      <c r="AC196" s="70"/>
      <c r="AD196" s="76" t="s">
        <v>16832</v>
      </c>
      <c r="AE196" s="81" t="s">
        <v>17605</v>
      </c>
      <c r="AF196" s="76">
        <v>179171</v>
      </c>
      <c r="AG196" s="76">
        <v>90</v>
      </c>
      <c r="AH196" s="76">
        <v>1760</v>
      </c>
      <c r="AI196" s="76">
        <v>281</v>
      </c>
      <c r="AJ196" s="76">
        <v>613</v>
      </c>
      <c r="AK196" s="76">
        <v>601</v>
      </c>
      <c r="AL196" s="76" t="b">
        <v>0</v>
      </c>
      <c r="AM196" s="78">
        <v>44197.536319444444</v>
      </c>
      <c r="AN196" s="76" t="s">
        <v>17936</v>
      </c>
      <c r="AO196" s="76" t="s">
        <v>18327</v>
      </c>
      <c r="AP196" s="83" t="str">
        <f>HYPERLINK("https://t.co/4I5LvzRirs")</f>
        <v>https://t.co/4I5LvzRirs</v>
      </c>
      <c r="AQ196" s="83" t="str">
        <f>HYPERLINK("https://p2p.polkabridge.org")</f>
        <v>https://p2p.polkabridge.org</v>
      </c>
      <c r="AR196" s="76" t="s">
        <v>19107</v>
      </c>
      <c r="AS196" s="76" t="s">
        <v>19556</v>
      </c>
      <c r="AT196" s="76" t="s">
        <v>19564</v>
      </c>
      <c r="AU196" s="76" t="s">
        <v>19589</v>
      </c>
      <c r="AV196" s="76">
        <v>1.6791603335236101E+18</v>
      </c>
      <c r="AW196" s="83" t="str">
        <f>HYPERLINK("https://t.co/4I5LvzRirs")</f>
        <v>https://t.co/4I5LvzRirs</v>
      </c>
      <c r="AX196" s="76" t="b">
        <v>1</v>
      </c>
      <c r="AY196" s="76"/>
      <c r="AZ196" s="76"/>
      <c r="BA196" s="76" t="b">
        <v>0</v>
      </c>
      <c r="BB196" s="76" t="b">
        <v>1</v>
      </c>
      <c r="BC196" s="76" t="b">
        <v>1</v>
      </c>
      <c r="BD196" s="76" t="b">
        <v>0</v>
      </c>
      <c r="BE196" s="76" t="b">
        <v>1</v>
      </c>
      <c r="BF196" s="76" t="b">
        <v>0</v>
      </c>
      <c r="BG196" s="76" t="b">
        <v>0</v>
      </c>
      <c r="BH196" s="83" t="str">
        <f>HYPERLINK("https://pbs.twimg.com/profile_banners/1344989728706158595/1674719919")</f>
        <v>https://pbs.twimg.com/profile_banners/1344989728706158595/1674719919</v>
      </c>
      <c r="BI196" s="76"/>
      <c r="BJ196" s="76" t="s">
        <v>19633</v>
      </c>
      <c r="BK196" s="76" t="b">
        <v>0</v>
      </c>
      <c r="BL196" s="76"/>
      <c r="BM196" s="76" t="s">
        <v>65</v>
      </c>
      <c r="BN196" s="76" t="s">
        <v>19635</v>
      </c>
      <c r="BO196" s="83" t="str">
        <f>HYPERLINK("https://twitter.com/realpolkabridge")</f>
        <v>https://twitter.com/realpolkabridge</v>
      </c>
      <c r="BP196" s="2"/>
    </row>
    <row r="197" spans="1:68" x14ac:dyDescent="0.25">
      <c r="A197" s="62" t="s">
        <v>383</v>
      </c>
      <c r="B197" s="63"/>
      <c r="C197" s="63"/>
      <c r="D197" s="64"/>
      <c r="E197" s="66"/>
      <c r="F197" s="103" t="str">
        <f>HYPERLINK("https://pbs.twimg.com/profile_images/1580842113381564416/zqt03LLk_normal.jpg")</f>
        <v>https://pbs.twimg.com/profile_images/1580842113381564416/zqt03LLk_normal.jpg</v>
      </c>
      <c r="G197" s="63"/>
      <c r="H197" s="67"/>
      <c r="I197" s="68"/>
      <c r="J197" s="68"/>
      <c r="K197" s="67" t="s">
        <v>19829</v>
      </c>
      <c r="L197" s="71"/>
      <c r="M197" s="72"/>
      <c r="N197" s="72"/>
      <c r="O197" s="73"/>
      <c r="P197" s="74"/>
      <c r="Q197" s="74"/>
      <c r="R197" s="87"/>
      <c r="S197" s="87"/>
      <c r="T197" s="87"/>
      <c r="U197" s="87"/>
      <c r="V197" s="48"/>
      <c r="W197" s="48"/>
      <c r="X197" s="47">
        <v>1.101E-3</v>
      </c>
      <c r="Y197" s="48"/>
      <c r="Z197" s="47"/>
      <c r="AA197" s="69">
        <v>197</v>
      </c>
      <c r="AB197" s="69"/>
      <c r="AC197" s="70"/>
      <c r="AD197" s="76" t="s">
        <v>16833</v>
      </c>
      <c r="AE197" s="81" t="s">
        <v>16223</v>
      </c>
      <c r="AF197" s="76">
        <v>147</v>
      </c>
      <c r="AG197" s="76">
        <v>124</v>
      </c>
      <c r="AH197" s="76">
        <v>295</v>
      </c>
      <c r="AI197" s="76">
        <v>7</v>
      </c>
      <c r="AJ197" s="76">
        <v>2086</v>
      </c>
      <c r="AK197" s="76">
        <v>73</v>
      </c>
      <c r="AL197" s="76" t="b">
        <v>0</v>
      </c>
      <c r="AM197" s="78">
        <v>44555.537199074075</v>
      </c>
      <c r="AN197" s="76" t="s">
        <v>10554</v>
      </c>
      <c r="AO197" s="76" t="s">
        <v>18328</v>
      </c>
      <c r="AP197" s="83" t="str">
        <f>HYPERLINK("https://t.co/Bs59IulZv7")</f>
        <v>https://t.co/Bs59IulZv7</v>
      </c>
      <c r="AQ197" s="83" t="str">
        <f>HYPERLINK("https://linktr.ee/descentraliza.club")</f>
        <v>https://linktr.ee/descentraliza.club</v>
      </c>
      <c r="AR197" s="76" t="s">
        <v>19108</v>
      </c>
      <c r="AS197" s="76"/>
      <c r="AT197" s="76"/>
      <c r="AU197" s="76"/>
      <c r="AV197" s="76">
        <v>1.4788617027457999E+18</v>
      </c>
      <c r="AW197" s="83" t="str">
        <f>HYPERLINK("https://t.co/Bs59IulZv7")</f>
        <v>https://t.co/Bs59IulZv7</v>
      </c>
      <c r="AX197" s="76" t="b">
        <v>0</v>
      </c>
      <c r="AY197" s="76"/>
      <c r="AZ197" s="76"/>
      <c r="BA197" s="76" t="b">
        <v>0</v>
      </c>
      <c r="BB197" s="76" t="b">
        <v>1</v>
      </c>
      <c r="BC197" s="76" t="b">
        <v>1</v>
      </c>
      <c r="BD197" s="76" t="b">
        <v>0</v>
      </c>
      <c r="BE197" s="76" t="b">
        <v>0</v>
      </c>
      <c r="BF197" s="76" t="b">
        <v>0</v>
      </c>
      <c r="BG197" s="76" t="b">
        <v>0</v>
      </c>
      <c r="BH197" s="83" t="str">
        <f>HYPERLINK("https://pbs.twimg.com/profile_banners/1474724943686479875/1640522703")</f>
        <v>https://pbs.twimg.com/profile_banners/1474724943686479875/1640522703</v>
      </c>
      <c r="BI197" s="76"/>
      <c r="BJ197" s="76" t="s">
        <v>19633</v>
      </c>
      <c r="BK197" s="76" t="b">
        <v>0</v>
      </c>
      <c r="BL197" s="76"/>
      <c r="BM197" s="76" t="s">
        <v>66</v>
      </c>
      <c r="BN197" s="76" t="s">
        <v>19635</v>
      </c>
      <c r="BO197" s="83" t="str">
        <f>HYPERLINK("https://twitter.com/descentralizapt")</f>
        <v>https://twitter.com/descentralizapt</v>
      </c>
      <c r="BP197" s="2"/>
    </row>
    <row r="198" spans="1:68" x14ac:dyDescent="0.25">
      <c r="A198" s="62" t="s">
        <v>384</v>
      </c>
      <c r="B198" s="63"/>
      <c r="C198" s="63"/>
      <c r="D198" s="64"/>
      <c r="E198" s="66"/>
      <c r="F198" s="103" t="str">
        <f>HYPERLINK("https://pbs.twimg.com/profile_images/1689797296597155840/vPpm0iCl_normal.png")</f>
        <v>https://pbs.twimg.com/profile_images/1689797296597155840/vPpm0iCl_normal.png</v>
      </c>
      <c r="G198" s="63"/>
      <c r="H198" s="67"/>
      <c r="I198" s="68"/>
      <c r="J198" s="68"/>
      <c r="K198" s="67" t="s">
        <v>19830</v>
      </c>
      <c r="L198" s="71"/>
      <c r="M198" s="72"/>
      <c r="N198" s="72"/>
      <c r="O198" s="73"/>
      <c r="P198" s="74"/>
      <c r="Q198" s="74"/>
      <c r="R198" s="87"/>
      <c r="S198" s="87"/>
      <c r="T198" s="87"/>
      <c r="U198" s="87"/>
      <c r="V198" s="48"/>
      <c r="W198" s="48"/>
      <c r="X198" s="47">
        <v>1.101E-3</v>
      </c>
      <c r="Y198" s="48"/>
      <c r="Z198" s="47"/>
      <c r="AA198" s="69">
        <v>198</v>
      </c>
      <c r="AB198" s="69"/>
      <c r="AC198" s="70"/>
      <c r="AD198" s="76" t="s">
        <v>16834</v>
      </c>
      <c r="AE198" s="81" t="s">
        <v>17606</v>
      </c>
      <c r="AF198" s="76">
        <v>101</v>
      </c>
      <c r="AG198" s="76">
        <v>509</v>
      </c>
      <c r="AH198" s="76">
        <v>381</v>
      </c>
      <c r="AI198" s="76">
        <v>0</v>
      </c>
      <c r="AJ198" s="76">
        <v>578</v>
      </c>
      <c r="AK198" s="76">
        <v>46</v>
      </c>
      <c r="AL198" s="76" t="b">
        <v>0</v>
      </c>
      <c r="AM198" s="78">
        <v>40572.975925925923</v>
      </c>
      <c r="AN198" s="76" t="s">
        <v>17937</v>
      </c>
      <c r="AO198" s="76" t="s">
        <v>18329</v>
      </c>
      <c r="AP198" s="83" t="str">
        <f>HYPERLINK("https://t.co/KOhfjLFUv6")</f>
        <v>https://t.co/KOhfjLFUv6</v>
      </c>
      <c r="AQ198" s="83" t="str">
        <f>HYPERLINK("https://duduhrosa13.my.canva.site/")</f>
        <v>https://duduhrosa13.my.canva.site/</v>
      </c>
      <c r="AR198" s="76" t="s">
        <v>19109</v>
      </c>
      <c r="AS198" s="76"/>
      <c r="AT198" s="76"/>
      <c r="AU198" s="76"/>
      <c r="AV198" s="76"/>
      <c r="AW198" s="83" t="str">
        <f>HYPERLINK("https://t.co/KOhfjLFUv6")</f>
        <v>https://t.co/KOhfjLFUv6</v>
      </c>
      <c r="AX198" s="76" t="b">
        <v>0</v>
      </c>
      <c r="AY198" s="76"/>
      <c r="AZ198" s="76"/>
      <c r="BA198" s="76" t="b">
        <v>1</v>
      </c>
      <c r="BB198" s="76" t="b">
        <v>0</v>
      </c>
      <c r="BC198" s="76" t="b">
        <v>0</v>
      </c>
      <c r="BD198" s="76" t="b">
        <v>0</v>
      </c>
      <c r="BE198" s="76" t="b">
        <v>0</v>
      </c>
      <c r="BF198" s="76" t="b">
        <v>0</v>
      </c>
      <c r="BG198" s="76" t="b">
        <v>0</v>
      </c>
      <c r="BH198" s="83" t="str">
        <f>HYPERLINK("https://pbs.twimg.com/profile_banners/244707852/1685298575")</f>
        <v>https://pbs.twimg.com/profile_banners/244707852/1685298575</v>
      </c>
      <c r="BI198" s="76"/>
      <c r="BJ198" s="76" t="s">
        <v>19633</v>
      </c>
      <c r="BK198" s="76" t="b">
        <v>0</v>
      </c>
      <c r="BL198" s="76"/>
      <c r="BM198" s="76" t="s">
        <v>66</v>
      </c>
      <c r="BN198" s="76" t="s">
        <v>19635</v>
      </c>
      <c r="BO198" s="83" t="str">
        <f>HYPERLINK("https://twitter.com/duduhrosa13")</f>
        <v>https://twitter.com/duduhrosa13</v>
      </c>
      <c r="BP198" s="2"/>
    </row>
    <row r="199" spans="1:68" x14ac:dyDescent="0.25">
      <c r="A199" s="62" t="s">
        <v>385</v>
      </c>
      <c r="B199" s="63"/>
      <c r="C199" s="63"/>
      <c r="D199" s="64"/>
      <c r="E199" s="66"/>
      <c r="F199" s="103" t="str">
        <f>HYPERLINK("https://pbs.twimg.com/profile_images/74881862/avatar80x80_normal.jpg")</f>
        <v>https://pbs.twimg.com/profile_images/74881862/avatar80x80_normal.jpg</v>
      </c>
      <c r="G199" s="63"/>
      <c r="H199" s="67"/>
      <c r="I199" s="68"/>
      <c r="J199" s="68"/>
      <c r="K199" s="67" t="s">
        <v>19831</v>
      </c>
      <c r="L199" s="71"/>
      <c r="M199" s="72"/>
      <c r="N199" s="72"/>
      <c r="O199" s="73"/>
      <c r="P199" s="74"/>
      <c r="Q199" s="74"/>
      <c r="R199" s="87"/>
      <c r="S199" s="87"/>
      <c r="T199" s="87"/>
      <c r="U199" s="87"/>
      <c r="V199" s="48"/>
      <c r="W199" s="48"/>
      <c r="X199" s="47">
        <v>1.0009999999999999E-3</v>
      </c>
      <c r="Y199" s="48"/>
      <c r="Z199" s="47"/>
      <c r="AA199" s="69">
        <v>199</v>
      </c>
      <c r="AB199" s="69"/>
      <c r="AC199" s="70"/>
      <c r="AD199" s="76" t="s">
        <v>16835</v>
      </c>
      <c r="AE199" s="81" t="s">
        <v>17607</v>
      </c>
      <c r="AF199" s="76">
        <v>275</v>
      </c>
      <c r="AG199" s="76">
        <v>2005</v>
      </c>
      <c r="AH199" s="76">
        <v>2048</v>
      </c>
      <c r="AI199" s="76">
        <v>7</v>
      </c>
      <c r="AJ199" s="76">
        <v>14093</v>
      </c>
      <c r="AK199" s="76">
        <v>30</v>
      </c>
      <c r="AL199" s="76" t="b">
        <v>0</v>
      </c>
      <c r="AM199" s="78">
        <v>39846.828206018516</v>
      </c>
      <c r="AN199" s="76" t="s">
        <v>17938</v>
      </c>
      <c r="AO199" s="76" t="s">
        <v>18330</v>
      </c>
      <c r="AP199" s="76"/>
      <c r="AQ199" s="76"/>
      <c r="AR199" s="76"/>
      <c r="AS199" s="76"/>
      <c r="AT199" s="76"/>
      <c r="AU199" s="76"/>
      <c r="AV199" s="76"/>
      <c r="AW199" s="76"/>
      <c r="AX199" s="76" t="b">
        <v>0</v>
      </c>
      <c r="AY199" s="76"/>
      <c r="AZ199" s="76"/>
      <c r="BA199" s="76" t="b">
        <v>0</v>
      </c>
      <c r="BB199" s="76" t="b">
        <v>1</v>
      </c>
      <c r="BC199" s="76" t="b">
        <v>0</v>
      </c>
      <c r="BD199" s="76" t="b">
        <v>0</v>
      </c>
      <c r="BE199" s="76" t="b">
        <v>1</v>
      </c>
      <c r="BF199" s="76" t="b">
        <v>0</v>
      </c>
      <c r="BG199" s="76" t="b">
        <v>0</v>
      </c>
      <c r="BH199" s="83" t="str">
        <f>HYPERLINK("https://pbs.twimg.com/profile_banners/19926360/1399506994")</f>
        <v>https://pbs.twimg.com/profile_banners/19926360/1399506994</v>
      </c>
      <c r="BI199" s="76"/>
      <c r="BJ199" s="76" t="s">
        <v>19633</v>
      </c>
      <c r="BK199" s="76" t="b">
        <v>0</v>
      </c>
      <c r="BL199" s="76"/>
      <c r="BM199" s="76" t="s">
        <v>66</v>
      </c>
      <c r="BN199" s="76" t="s">
        <v>19635</v>
      </c>
      <c r="BO199" s="83" t="str">
        <f>HYPERLINK("https://twitter.com/seakopt")</f>
        <v>https://twitter.com/seakopt</v>
      </c>
      <c r="BP199" s="2"/>
    </row>
    <row r="200" spans="1:68" x14ac:dyDescent="0.25">
      <c r="A200" s="62" t="s">
        <v>1003</v>
      </c>
      <c r="B200" s="63"/>
      <c r="C200" s="63"/>
      <c r="D200" s="64"/>
      <c r="E200" s="66"/>
      <c r="F200" s="103" t="str">
        <f>HYPERLINK("https://pbs.twimg.com/profile_images/1417120451755663368/-SfZzyXw_normal.png")</f>
        <v>https://pbs.twimg.com/profile_images/1417120451755663368/-SfZzyXw_normal.png</v>
      </c>
      <c r="G200" s="63"/>
      <c r="H200" s="67"/>
      <c r="I200" s="68"/>
      <c r="J200" s="68"/>
      <c r="K200" s="67" t="s">
        <v>19832</v>
      </c>
      <c r="L200" s="71"/>
      <c r="M200" s="72"/>
      <c r="N200" s="72"/>
      <c r="O200" s="73"/>
      <c r="P200" s="74"/>
      <c r="Q200" s="74"/>
      <c r="R200" s="87"/>
      <c r="S200" s="87"/>
      <c r="T200" s="87"/>
      <c r="U200" s="87"/>
      <c r="V200" s="48"/>
      <c r="W200" s="48"/>
      <c r="X200" s="47">
        <v>1.302E-3</v>
      </c>
      <c r="Y200" s="48"/>
      <c r="Z200" s="47"/>
      <c r="AA200" s="69">
        <v>200</v>
      </c>
      <c r="AB200" s="69"/>
      <c r="AC200" s="70"/>
      <c r="AD200" s="76" t="s">
        <v>16836</v>
      </c>
      <c r="AE200" s="81" t="s">
        <v>16574</v>
      </c>
      <c r="AF200" s="76">
        <v>108</v>
      </c>
      <c r="AG200" s="76">
        <v>33</v>
      </c>
      <c r="AH200" s="76">
        <v>148</v>
      </c>
      <c r="AI200" s="76">
        <v>4</v>
      </c>
      <c r="AJ200" s="76">
        <v>31</v>
      </c>
      <c r="AK200" s="76">
        <v>79</v>
      </c>
      <c r="AL200" s="76" t="b">
        <v>0</v>
      </c>
      <c r="AM200" s="78">
        <v>44396.577534722222</v>
      </c>
      <c r="AN200" s="76" t="s">
        <v>10554</v>
      </c>
      <c r="AO200" s="76" t="s">
        <v>18331</v>
      </c>
      <c r="AP200" s="83" t="str">
        <f>HYPERLINK("https://t.co/10xVkdyqFh")</f>
        <v>https://t.co/10xVkdyqFh</v>
      </c>
      <c r="AQ200" s="83" t="str">
        <f>HYPERLINK("http://www.investidorfrugal.com")</f>
        <v>http://www.investidorfrugal.com</v>
      </c>
      <c r="AR200" s="76" t="s">
        <v>6113</v>
      </c>
      <c r="AS200" s="76"/>
      <c r="AT200" s="76"/>
      <c r="AU200" s="76"/>
      <c r="AV200" s="76"/>
      <c r="AW200" s="83" t="str">
        <f>HYPERLINK("https://t.co/10xVkdyqFh")</f>
        <v>https://t.co/10xVkdyqFh</v>
      </c>
      <c r="AX200" s="76" t="b">
        <v>0</v>
      </c>
      <c r="AY200" s="76"/>
      <c r="AZ200" s="76"/>
      <c r="BA200" s="76" t="b">
        <v>0</v>
      </c>
      <c r="BB200" s="76" t="b">
        <v>1</v>
      </c>
      <c r="BC200" s="76" t="b">
        <v>1</v>
      </c>
      <c r="BD200" s="76" t="b">
        <v>0</v>
      </c>
      <c r="BE200" s="76" t="b">
        <v>0</v>
      </c>
      <c r="BF200" s="76" t="b">
        <v>0</v>
      </c>
      <c r="BG200" s="76" t="b">
        <v>0</v>
      </c>
      <c r="BH200" s="83" t="str">
        <f>HYPERLINK("https://pbs.twimg.com/profile_banners/1417118645533151233/1626702939")</f>
        <v>https://pbs.twimg.com/profile_banners/1417118645533151233/1626702939</v>
      </c>
      <c r="BI200" s="76"/>
      <c r="BJ200" s="76" t="s">
        <v>19633</v>
      </c>
      <c r="BK200" s="76" t="b">
        <v>0</v>
      </c>
      <c r="BL200" s="76"/>
      <c r="BM200" s="76" t="s">
        <v>66</v>
      </c>
      <c r="BN200" s="76" t="s">
        <v>19635</v>
      </c>
      <c r="BO200" s="83" t="str">
        <f>HYPERLINK("https://twitter.com/investfrugal")</f>
        <v>https://twitter.com/investfrugal</v>
      </c>
      <c r="BP200" s="2"/>
    </row>
    <row r="201" spans="1:68" x14ac:dyDescent="0.25">
      <c r="A201" s="62" t="s">
        <v>386</v>
      </c>
      <c r="B201" s="63"/>
      <c r="C201" s="63"/>
      <c r="D201" s="64"/>
      <c r="E201" s="66"/>
      <c r="F201" s="103" t="str">
        <f>HYPERLINK("https://pbs.twimg.com/profile_images/1672707825921916931/P-ybRb7w_normal.jpg")</f>
        <v>https://pbs.twimg.com/profile_images/1672707825921916931/P-ybRb7w_normal.jpg</v>
      </c>
      <c r="G201" s="63"/>
      <c r="H201" s="67"/>
      <c r="I201" s="68"/>
      <c r="J201" s="68"/>
      <c r="K201" s="67" t="s">
        <v>19833</v>
      </c>
      <c r="L201" s="71"/>
      <c r="M201" s="72"/>
      <c r="N201" s="72"/>
      <c r="O201" s="73"/>
      <c r="P201" s="74"/>
      <c r="Q201" s="74"/>
      <c r="R201" s="87"/>
      <c r="S201" s="87"/>
      <c r="T201" s="87"/>
      <c r="U201" s="87"/>
      <c r="V201" s="48"/>
      <c r="W201" s="48"/>
      <c r="X201" s="47">
        <v>1.101E-3</v>
      </c>
      <c r="Y201" s="48"/>
      <c r="Z201" s="47"/>
      <c r="AA201" s="69">
        <v>201</v>
      </c>
      <c r="AB201" s="69"/>
      <c r="AC201" s="70"/>
      <c r="AD201" s="76" t="s">
        <v>16837</v>
      </c>
      <c r="AE201" s="81" t="s">
        <v>16224</v>
      </c>
      <c r="AF201" s="76">
        <v>3</v>
      </c>
      <c r="AG201" s="76">
        <v>7</v>
      </c>
      <c r="AH201" s="76">
        <v>15</v>
      </c>
      <c r="AI201" s="76">
        <v>0</v>
      </c>
      <c r="AJ201" s="76">
        <v>0</v>
      </c>
      <c r="AK201" s="76">
        <v>11</v>
      </c>
      <c r="AL201" s="76" t="b">
        <v>0</v>
      </c>
      <c r="AM201" s="78">
        <v>45080.08761574074</v>
      </c>
      <c r="AN201" s="76" t="s">
        <v>17939</v>
      </c>
      <c r="AO201" s="76" t="s">
        <v>18332</v>
      </c>
      <c r="AP201" s="76"/>
      <c r="AQ201" s="76"/>
      <c r="AR201" s="76"/>
      <c r="AS201" s="76"/>
      <c r="AT201" s="76"/>
      <c r="AU201" s="76"/>
      <c r="AV201" s="76"/>
      <c r="AW201" s="76"/>
      <c r="AX201" s="76" t="b">
        <v>0</v>
      </c>
      <c r="AY201" s="76"/>
      <c r="AZ201" s="76"/>
      <c r="BA201" s="76" t="b">
        <v>0</v>
      </c>
      <c r="BB201" s="76" t="b">
        <v>1</v>
      </c>
      <c r="BC201" s="76" t="b">
        <v>1</v>
      </c>
      <c r="BD201" s="76" t="b">
        <v>0</v>
      </c>
      <c r="BE201" s="76" t="b">
        <v>0</v>
      </c>
      <c r="BF201" s="76" t="b">
        <v>0</v>
      </c>
      <c r="BG201" s="76" t="b">
        <v>0</v>
      </c>
      <c r="BH201" s="83" t="str">
        <f>HYPERLINK("https://pbs.twimg.com/profile_banners/1664815514529542145/1688336979")</f>
        <v>https://pbs.twimg.com/profile_banners/1664815514529542145/1688336979</v>
      </c>
      <c r="BI201" s="76"/>
      <c r="BJ201" s="76" t="s">
        <v>19633</v>
      </c>
      <c r="BK201" s="76" t="b">
        <v>0</v>
      </c>
      <c r="BL201" s="76"/>
      <c r="BM201" s="76" t="s">
        <v>66</v>
      </c>
      <c r="BN201" s="76" t="s">
        <v>19635</v>
      </c>
      <c r="BO201" s="83" t="str">
        <f>HYPERLINK("https://twitter.com/brunomelop3")</f>
        <v>https://twitter.com/brunomelop3</v>
      </c>
      <c r="BP201" s="2"/>
    </row>
    <row r="202" spans="1:68" x14ac:dyDescent="0.25">
      <c r="A202" s="62" t="s">
        <v>387</v>
      </c>
      <c r="B202" s="63"/>
      <c r="C202" s="63"/>
      <c r="D202" s="64"/>
      <c r="E202" s="66"/>
      <c r="F202" s="103" t="str">
        <f>HYPERLINK("https://pbs.twimg.com/profile_images/1637642959532302338/ilMjxonG_normal.jpg")</f>
        <v>https://pbs.twimg.com/profile_images/1637642959532302338/ilMjxonG_normal.jpg</v>
      </c>
      <c r="G202" s="63"/>
      <c r="H202" s="67"/>
      <c r="I202" s="68"/>
      <c r="J202" s="68"/>
      <c r="K202" s="67" t="s">
        <v>19834</v>
      </c>
      <c r="L202" s="71"/>
      <c r="M202" s="72"/>
      <c r="N202" s="72"/>
      <c r="O202" s="73"/>
      <c r="P202" s="74"/>
      <c r="Q202" s="74"/>
      <c r="R202" s="87"/>
      <c r="S202" s="87"/>
      <c r="T202" s="87"/>
      <c r="U202" s="87"/>
      <c r="V202" s="48"/>
      <c r="W202" s="48"/>
      <c r="X202" s="47">
        <v>1.101E-3</v>
      </c>
      <c r="Y202" s="48"/>
      <c r="Z202" s="47"/>
      <c r="AA202" s="69">
        <v>202</v>
      </c>
      <c r="AB202" s="69"/>
      <c r="AC202" s="70"/>
      <c r="AD202" s="76" t="s">
        <v>16838</v>
      </c>
      <c r="AE202" s="81" t="s">
        <v>17608</v>
      </c>
      <c r="AF202" s="76">
        <v>21</v>
      </c>
      <c r="AG202" s="76">
        <v>30</v>
      </c>
      <c r="AH202" s="76">
        <v>241</v>
      </c>
      <c r="AI202" s="76">
        <v>0</v>
      </c>
      <c r="AJ202" s="76">
        <v>0</v>
      </c>
      <c r="AK202" s="76">
        <v>0</v>
      </c>
      <c r="AL202" s="76" t="b">
        <v>0</v>
      </c>
      <c r="AM202" s="78">
        <v>40740.116215277776</v>
      </c>
      <c r="AN202" s="76" t="s">
        <v>17940</v>
      </c>
      <c r="AO202" s="76" t="s">
        <v>18333</v>
      </c>
      <c r="AP202" s="83" t="str">
        <f>HYPERLINK("http://branchout.com/finançaspessoais")</f>
        <v>http://branchout.com/finançaspessoais</v>
      </c>
      <c r="AQ202" s="76"/>
      <c r="AR202" s="76"/>
      <c r="AS202" s="76"/>
      <c r="AT202" s="76"/>
      <c r="AU202" s="76"/>
      <c r="AV202" s="76"/>
      <c r="AW202" s="83" t="str">
        <f>HYPERLINK("http://branchout.com/finançaspessoais")</f>
        <v>http://branchout.com/finançaspessoais</v>
      </c>
      <c r="AX202" s="76" t="b">
        <v>0</v>
      </c>
      <c r="AY202" s="76"/>
      <c r="AZ202" s="76"/>
      <c r="BA202" s="76" t="b">
        <v>0</v>
      </c>
      <c r="BB202" s="76" t="b">
        <v>1</v>
      </c>
      <c r="BC202" s="76" t="b">
        <v>0</v>
      </c>
      <c r="BD202" s="76" t="b">
        <v>0</v>
      </c>
      <c r="BE202" s="76" t="b">
        <v>0</v>
      </c>
      <c r="BF202" s="76" t="b">
        <v>0</v>
      </c>
      <c r="BG202" s="76" t="b">
        <v>0</v>
      </c>
      <c r="BH202" s="83" t="str">
        <f>HYPERLINK("https://pbs.twimg.com/profile_banners/336310786/1679279484")</f>
        <v>https://pbs.twimg.com/profile_banners/336310786/1679279484</v>
      </c>
      <c r="BI202" s="76"/>
      <c r="BJ202" s="76" t="s">
        <v>19633</v>
      </c>
      <c r="BK202" s="76" t="b">
        <v>0</v>
      </c>
      <c r="BL202" s="76"/>
      <c r="BM202" s="76" t="s">
        <v>66</v>
      </c>
      <c r="BN202" s="76" t="s">
        <v>19635</v>
      </c>
      <c r="BO202" s="83" t="str">
        <f>HYPERLINK("https://twitter.com/wrodriguesbr")</f>
        <v>https://twitter.com/wrodriguesbr</v>
      </c>
      <c r="BP202" s="2"/>
    </row>
    <row r="203" spans="1:68" x14ac:dyDescent="0.25">
      <c r="A203" s="62" t="s">
        <v>388</v>
      </c>
      <c r="B203" s="63"/>
      <c r="C203" s="63"/>
      <c r="D203" s="64"/>
      <c r="E203" s="66"/>
      <c r="F203" s="103" t="str">
        <f>HYPERLINK("https://pbs.twimg.com/profile_images/1444996286047039489/T5COvtNo_normal.jpg")</f>
        <v>https://pbs.twimg.com/profile_images/1444996286047039489/T5COvtNo_normal.jpg</v>
      </c>
      <c r="G203" s="63"/>
      <c r="H203" s="67"/>
      <c r="I203" s="68"/>
      <c r="J203" s="68"/>
      <c r="K203" s="67" t="s">
        <v>19835</v>
      </c>
      <c r="L203" s="71"/>
      <c r="M203" s="72"/>
      <c r="N203" s="72"/>
      <c r="O203" s="73"/>
      <c r="P203" s="74"/>
      <c r="Q203" s="74"/>
      <c r="R203" s="87"/>
      <c r="S203" s="87"/>
      <c r="T203" s="87"/>
      <c r="U203" s="87"/>
      <c r="V203" s="48"/>
      <c r="W203" s="48"/>
      <c r="X203" s="47">
        <v>1.101E-3</v>
      </c>
      <c r="Y203" s="48"/>
      <c r="Z203" s="47"/>
      <c r="AA203" s="69">
        <v>203</v>
      </c>
      <c r="AB203" s="69"/>
      <c r="AC203" s="70"/>
      <c r="AD203" s="76" t="s">
        <v>16839</v>
      </c>
      <c r="AE203" s="81" t="s">
        <v>16225</v>
      </c>
      <c r="AF203" s="76">
        <v>8</v>
      </c>
      <c r="AG203" s="76">
        <v>44</v>
      </c>
      <c r="AH203" s="76">
        <v>786</v>
      </c>
      <c r="AI203" s="76">
        <v>0</v>
      </c>
      <c r="AJ203" s="76">
        <v>154</v>
      </c>
      <c r="AK203" s="76">
        <v>685</v>
      </c>
      <c r="AL203" s="76" t="b">
        <v>0</v>
      </c>
      <c r="AM203" s="78">
        <v>44469.574942129628</v>
      </c>
      <c r="AN203" s="76" t="s">
        <v>17941</v>
      </c>
      <c r="AO203" s="76" t="s">
        <v>18334</v>
      </c>
      <c r="AP203" s="83" t="str">
        <f>HYPERLINK("https://t.co/ePWonOf38b")</f>
        <v>https://t.co/ePWonOf38b</v>
      </c>
      <c r="AQ203" s="83" t="str">
        <f>HYPERLINK("https://imperiosolar.com.br")</f>
        <v>https://imperiosolar.com.br</v>
      </c>
      <c r="AR203" s="76" t="s">
        <v>19110</v>
      </c>
      <c r="AS203" s="76"/>
      <c r="AT203" s="76"/>
      <c r="AU203" s="76"/>
      <c r="AV203" s="76"/>
      <c r="AW203" s="83" t="str">
        <f>HYPERLINK("https://t.co/ePWonOf38b")</f>
        <v>https://t.co/ePWonOf38b</v>
      </c>
      <c r="AX203" s="76" t="b">
        <v>0</v>
      </c>
      <c r="AY203" s="76"/>
      <c r="AZ203" s="76"/>
      <c r="BA203" s="76" t="b">
        <v>0</v>
      </c>
      <c r="BB203" s="76" t="b">
        <v>1</v>
      </c>
      <c r="BC203" s="76" t="b">
        <v>1</v>
      </c>
      <c r="BD203" s="76" t="b">
        <v>0</v>
      </c>
      <c r="BE203" s="76" t="b">
        <v>0</v>
      </c>
      <c r="BF203" s="76" t="b">
        <v>0</v>
      </c>
      <c r="BG203" s="76" t="b">
        <v>0</v>
      </c>
      <c r="BH203" s="83" t="str">
        <f>HYPERLINK("https://pbs.twimg.com/profile_banners/1443573182976311313/1633348867")</f>
        <v>https://pbs.twimg.com/profile_banners/1443573182976311313/1633348867</v>
      </c>
      <c r="BI203" s="76"/>
      <c r="BJ203" s="76" t="s">
        <v>19633</v>
      </c>
      <c r="BK203" s="76" t="b">
        <v>0</v>
      </c>
      <c r="BL203" s="76"/>
      <c r="BM203" s="76" t="s">
        <v>66</v>
      </c>
      <c r="BN203" s="76" t="s">
        <v>19635</v>
      </c>
      <c r="BO203" s="83" t="str">
        <f>HYPERLINK("https://twitter.com/imperiosolar")</f>
        <v>https://twitter.com/imperiosolar</v>
      </c>
      <c r="BP203" s="2"/>
    </row>
    <row r="204" spans="1:68" x14ac:dyDescent="0.25">
      <c r="A204" s="62" t="s">
        <v>389</v>
      </c>
      <c r="B204" s="63"/>
      <c r="C204" s="63"/>
      <c r="D204" s="64"/>
      <c r="E204" s="66"/>
      <c r="F204" s="103" t="str">
        <f>HYPERLINK("https://pbs.twimg.com/profile_images/1659635333988773889/s2NJOas0_normal.jpg")</f>
        <v>https://pbs.twimg.com/profile_images/1659635333988773889/s2NJOas0_normal.jpg</v>
      </c>
      <c r="G204" s="63"/>
      <c r="H204" s="67"/>
      <c r="I204" s="68"/>
      <c r="J204" s="68"/>
      <c r="K204" s="67" t="s">
        <v>19836</v>
      </c>
      <c r="L204" s="71"/>
      <c r="M204" s="72"/>
      <c r="N204" s="72"/>
      <c r="O204" s="73"/>
      <c r="P204" s="74"/>
      <c r="Q204" s="74"/>
      <c r="R204" s="87"/>
      <c r="S204" s="87"/>
      <c r="T204" s="87"/>
      <c r="U204" s="87"/>
      <c r="V204" s="48"/>
      <c r="W204" s="48"/>
      <c r="X204" s="47">
        <v>1.101E-3</v>
      </c>
      <c r="Y204" s="48"/>
      <c r="Z204" s="47"/>
      <c r="AA204" s="69">
        <v>204</v>
      </c>
      <c r="AB204" s="69"/>
      <c r="AC204" s="70"/>
      <c r="AD204" s="76" t="s">
        <v>16840</v>
      </c>
      <c r="AE204" s="81" t="s">
        <v>16226</v>
      </c>
      <c r="AF204" s="76">
        <v>9</v>
      </c>
      <c r="AG204" s="76">
        <v>2</v>
      </c>
      <c r="AH204" s="76">
        <v>44</v>
      </c>
      <c r="AI204" s="76">
        <v>0</v>
      </c>
      <c r="AJ204" s="76">
        <v>0</v>
      </c>
      <c r="AK204" s="76">
        <v>44</v>
      </c>
      <c r="AL204" s="76" t="b">
        <v>0</v>
      </c>
      <c r="AM204" s="78">
        <v>45065.790567129632</v>
      </c>
      <c r="AN204" s="76" t="s">
        <v>17942</v>
      </c>
      <c r="AO204" s="76" t="s">
        <v>18335</v>
      </c>
      <c r="AP204" s="83" t="str">
        <f>HYPERLINK("https://t.co/Jl7OUUlVzw")</f>
        <v>https://t.co/Jl7OUUlVzw</v>
      </c>
      <c r="AQ204" s="83" t="str">
        <f>HYPERLINK("https://www.lux.capital/")</f>
        <v>https://www.lux.capital/</v>
      </c>
      <c r="AR204" s="76" t="s">
        <v>19111</v>
      </c>
      <c r="AS204" s="76"/>
      <c r="AT204" s="76"/>
      <c r="AU204" s="76"/>
      <c r="AV204" s="76"/>
      <c r="AW204" s="83" t="str">
        <f>HYPERLINK("https://t.co/Jl7OUUlVzw")</f>
        <v>https://t.co/Jl7OUUlVzw</v>
      </c>
      <c r="AX204" s="76" t="b">
        <v>0</v>
      </c>
      <c r="AY204" s="76"/>
      <c r="AZ204" s="76"/>
      <c r="BA204" s="76" t="b">
        <v>0</v>
      </c>
      <c r="BB204" s="76" t="b">
        <v>1</v>
      </c>
      <c r="BC204" s="76" t="b">
        <v>1</v>
      </c>
      <c r="BD204" s="76" t="b">
        <v>0</v>
      </c>
      <c r="BE204" s="76" t="b">
        <v>0</v>
      </c>
      <c r="BF204" s="76" t="b">
        <v>0</v>
      </c>
      <c r="BG204" s="76" t="b">
        <v>0</v>
      </c>
      <c r="BH204" s="83" t="str">
        <f>HYPERLINK("https://pbs.twimg.com/profile_banners/1659634238411493377/1684523599")</f>
        <v>https://pbs.twimg.com/profile_banners/1659634238411493377/1684523599</v>
      </c>
      <c r="BI204" s="76"/>
      <c r="BJ204" s="76" t="s">
        <v>19633</v>
      </c>
      <c r="BK204" s="76" t="b">
        <v>0</v>
      </c>
      <c r="BL204" s="76"/>
      <c r="BM204" s="76" t="s">
        <v>66</v>
      </c>
      <c r="BN204" s="76" t="s">
        <v>19635</v>
      </c>
      <c r="BO204" s="83" t="str">
        <f>HYPERLINK("https://twitter.com/luxcapital_")</f>
        <v>https://twitter.com/luxcapital_</v>
      </c>
      <c r="BP204" s="2"/>
    </row>
    <row r="205" spans="1:68" x14ac:dyDescent="0.25">
      <c r="A205" s="62" t="s">
        <v>390</v>
      </c>
      <c r="B205" s="63"/>
      <c r="C205" s="63"/>
      <c r="D205" s="64"/>
      <c r="E205" s="66"/>
      <c r="F205" s="103" t="str">
        <f>HYPERLINK("https://pbs.twimg.com/profile_images/1669388719655092224/dJaEancA_normal.jpg")</f>
        <v>https://pbs.twimg.com/profile_images/1669388719655092224/dJaEancA_normal.jpg</v>
      </c>
      <c r="G205" s="63"/>
      <c r="H205" s="67"/>
      <c r="I205" s="68"/>
      <c r="J205" s="68"/>
      <c r="K205" s="67" t="s">
        <v>19837</v>
      </c>
      <c r="L205" s="71"/>
      <c r="M205" s="72"/>
      <c r="N205" s="72"/>
      <c r="O205" s="73"/>
      <c r="P205" s="74"/>
      <c r="Q205" s="74"/>
      <c r="R205" s="87"/>
      <c r="S205" s="87"/>
      <c r="T205" s="87"/>
      <c r="U205" s="87"/>
      <c r="V205" s="48"/>
      <c r="W205" s="48"/>
      <c r="X205" s="47">
        <v>1.101E-3</v>
      </c>
      <c r="Y205" s="48"/>
      <c r="Z205" s="47"/>
      <c r="AA205" s="69">
        <v>205</v>
      </c>
      <c r="AB205" s="69"/>
      <c r="AC205" s="70"/>
      <c r="AD205" s="76" t="s">
        <v>16841</v>
      </c>
      <c r="AE205" s="81" t="s">
        <v>16227</v>
      </c>
      <c r="AF205" s="76">
        <v>257</v>
      </c>
      <c r="AG205" s="76">
        <v>502</v>
      </c>
      <c r="AH205" s="76">
        <v>3127</v>
      </c>
      <c r="AI205" s="76">
        <v>16</v>
      </c>
      <c r="AJ205" s="76">
        <v>11911</v>
      </c>
      <c r="AK205" s="76">
        <v>457</v>
      </c>
      <c r="AL205" s="76" t="b">
        <v>0</v>
      </c>
      <c r="AM205" s="78">
        <v>44325.616828703707</v>
      </c>
      <c r="AN205" s="76" t="s">
        <v>17867</v>
      </c>
      <c r="AO205" s="76" t="s">
        <v>18336</v>
      </c>
      <c r="AP205" s="83" t="str">
        <f>HYPERLINK("https://t.co/HVr3UVM1WP")</f>
        <v>https://t.co/HVr3UVM1WP</v>
      </c>
      <c r="AQ205" s="83" t="str">
        <f>HYPERLINK("http://www.mongeinvestidor.com")</f>
        <v>http://www.mongeinvestidor.com</v>
      </c>
      <c r="AR205" s="76" t="s">
        <v>19112</v>
      </c>
      <c r="AS205" s="76"/>
      <c r="AT205" s="76"/>
      <c r="AU205" s="76"/>
      <c r="AV205" s="76">
        <v>1.66875785176493E+18</v>
      </c>
      <c r="AW205" s="83" t="str">
        <f>HYPERLINK("https://t.co/HVr3UVM1WP")</f>
        <v>https://t.co/HVr3UVM1WP</v>
      </c>
      <c r="AX205" s="76" t="b">
        <v>0</v>
      </c>
      <c r="AY205" s="76"/>
      <c r="AZ205" s="76"/>
      <c r="BA205" s="76" t="b">
        <v>1</v>
      </c>
      <c r="BB205" s="76" t="b">
        <v>1</v>
      </c>
      <c r="BC205" s="76" t="b">
        <v>1</v>
      </c>
      <c r="BD205" s="76" t="b">
        <v>0</v>
      </c>
      <c r="BE205" s="76" t="b">
        <v>1</v>
      </c>
      <c r="BF205" s="76" t="b">
        <v>0</v>
      </c>
      <c r="BG205" s="76" t="b">
        <v>0</v>
      </c>
      <c r="BH205" s="83" t="str">
        <f>HYPERLINK("https://pbs.twimg.com/profile_banners/1391403692654477322/1681138995")</f>
        <v>https://pbs.twimg.com/profile_banners/1391403692654477322/1681138995</v>
      </c>
      <c r="BI205" s="76"/>
      <c r="BJ205" s="76" t="s">
        <v>19633</v>
      </c>
      <c r="BK205" s="76" t="b">
        <v>0</v>
      </c>
      <c r="BL205" s="76"/>
      <c r="BM205" s="76" t="s">
        <v>66</v>
      </c>
      <c r="BN205" s="76" t="s">
        <v>19635</v>
      </c>
      <c r="BO205" s="83" t="str">
        <f>HYPERLINK("https://twitter.com/mongeinvestidor")</f>
        <v>https://twitter.com/mongeinvestidor</v>
      </c>
      <c r="BP205" s="2"/>
    </row>
    <row r="206" spans="1:68" x14ac:dyDescent="0.25">
      <c r="A206" s="62" t="s">
        <v>391</v>
      </c>
      <c r="B206" s="63"/>
      <c r="C206" s="63"/>
      <c r="D206" s="64"/>
      <c r="E206" s="66"/>
      <c r="F206" s="103" t="str">
        <f>HYPERLINK("https://pbs.twimg.com/profile_images/1415983472909373441/PhEm3cpi_normal.png")</f>
        <v>https://pbs.twimg.com/profile_images/1415983472909373441/PhEm3cpi_normal.png</v>
      </c>
      <c r="G206" s="63"/>
      <c r="H206" s="67"/>
      <c r="I206" s="68"/>
      <c r="J206" s="68"/>
      <c r="K206" s="67" t="s">
        <v>19838</v>
      </c>
      <c r="L206" s="71"/>
      <c r="M206" s="72"/>
      <c r="N206" s="72"/>
      <c r="O206" s="73"/>
      <c r="P206" s="74"/>
      <c r="Q206" s="74"/>
      <c r="R206" s="87"/>
      <c r="S206" s="87"/>
      <c r="T206" s="87"/>
      <c r="U206" s="87"/>
      <c r="V206" s="48"/>
      <c r="W206" s="48"/>
      <c r="X206" s="47">
        <v>1.101E-3</v>
      </c>
      <c r="Y206" s="48"/>
      <c r="Z206" s="47"/>
      <c r="AA206" s="69">
        <v>206</v>
      </c>
      <c r="AB206" s="69"/>
      <c r="AC206" s="70"/>
      <c r="AD206" s="76" t="s">
        <v>16842</v>
      </c>
      <c r="AE206" s="81" t="s">
        <v>16228</v>
      </c>
      <c r="AF206" s="76">
        <v>2</v>
      </c>
      <c r="AG206" s="76">
        <v>4</v>
      </c>
      <c r="AH206" s="76">
        <v>156</v>
      </c>
      <c r="AI206" s="76">
        <v>0</v>
      </c>
      <c r="AJ206" s="76">
        <v>1</v>
      </c>
      <c r="AK206" s="76">
        <v>147</v>
      </c>
      <c r="AL206" s="76" t="b">
        <v>0</v>
      </c>
      <c r="AM206" s="78">
        <v>44393.441145833334</v>
      </c>
      <c r="AN206" s="76"/>
      <c r="AO206" s="76" t="s">
        <v>18337</v>
      </c>
      <c r="AP206" s="76"/>
      <c r="AQ206" s="76"/>
      <c r="AR206" s="76"/>
      <c r="AS206" s="76"/>
      <c r="AT206" s="76"/>
      <c r="AU206" s="76"/>
      <c r="AV206" s="76"/>
      <c r="AW206" s="76"/>
      <c r="AX206" s="76" t="b">
        <v>0</v>
      </c>
      <c r="AY206" s="76"/>
      <c r="AZ206" s="76"/>
      <c r="BA206" s="76" t="b">
        <v>0</v>
      </c>
      <c r="BB206" s="76" t="b">
        <v>1</v>
      </c>
      <c r="BC206" s="76" t="b">
        <v>1</v>
      </c>
      <c r="BD206" s="76" t="b">
        <v>0</v>
      </c>
      <c r="BE206" s="76" t="b">
        <v>0</v>
      </c>
      <c r="BF206" s="76" t="b">
        <v>0</v>
      </c>
      <c r="BG206" s="76" t="b">
        <v>0</v>
      </c>
      <c r="BH206" s="76"/>
      <c r="BI206" s="76"/>
      <c r="BJ206" s="76" t="s">
        <v>19633</v>
      </c>
      <c r="BK206" s="76" t="b">
        <v>0</v>
      </c>
      <c r="BL206" s="76"/>
      <c r="BM206" s="76" t="s">
        <v>66</v>
      </c>
      <c r="BN206" s="76" t="s">
        <v>19635</v>
      </c>
      <c r="BO206" s="83" t="str">
        <f>HYPERLINK("https://twitter.com/blogconvidado")</f>
        <v>https://twitter.com/blogconvidado</v>
      </c>
      <c r="BP206" s="2"/>
    </row>
    <row r="207" spans="1:68" x14ac:dyDescent="0.25">
      <c r="A207" s="62" t="s">
        <v>392</v>
      </c>
      <c r="B207" s="63"/>
      <c r="C207" s="63"/>
      <c r="D207" s="64"/>
      <c r="E207" s="66"/>
      <c r="F207" s="103" t="str">
        <f>HYPERLINK("https://pbs.twimg.com/profile_images/1664838542126620672/bdhsehp6_normal.jpg")</f>
        <v>https://pbs.twimg.com/profile_images/1664838542126620672/bdhsehp6_normal.jpg</v>
      </c>
      <c r="G207" s="63"/>
      <c r="H207" s="67"/>
      <c r="I207" s="68"/>
      <c r="J207" s="68"/>
      <c r="K207" s="67" t="s">
        <v>19839</v>
      </c>
      <c r="L207" s="71"/>
      <c r="M207" s="72"/>
      <c r="N207" s="72"/>
      <c r="O207" s="73"/>
      <c r="P207" s="74"/>
      <c r="Q207" s="74"/>
      <c r="R207" s="87"/>
      <c r="S207" s="87"/>
      <c r="T207" s="87"/>
      <c r="U207" s="87"/>
      <c r="V207" s="48"/>
      <c r="W207" s="48"/>
      <c r="X207" s="47">
        <v>1.101E-3</v>
      </c>
      <c r="Y207" s="48"/>
      <c r="Z207" s="47"/>
      <c r="AA207" s="69">
        <v>207</v>
      </c>
      <c r="AB207" s="69"/>
      <c r="AC207" s="70"/>
      <c r="AD207" s="76" t="s">
        <v>16843</v>
      </c>
      <c r="AE207" s="81" t="s">
        <v>17609</v>
      </c>
      <c r="AF207" s="76">
        <v>520</v>
      </c>
      <c r="AG207" s="76">
        <v>332</v>
      </c>
      <c r="AH207" s="76">
        <v>7492</v>
      </c>
      <c r="AI207" s="76">
        <v>29</v>
      </c>
      <c r="AJ207" s="76">
        <v>1590</v>
      </c>
      <c r="AK207" s="76">
        <v>408</v>
      </c>
      <c r="AL207" s="76" t="b">
        <v>0</v>
      </c>
      <c r="AM207" s="78">
        <v>40179.014467592591</v>
      </c>
      <c r="AN207" s="76" t="s">
        <v>10568</v>
      </c>
      <c r="AO207" s="83" t="str">
        <f>HYPERLINK("https://t.co/7DHiue6vo1")</f>
        <v>https://t.co/7DHiue6vo1</v>
      </c>
      <c r="AP207" s="76"/>
      <c r="AQ207" s="76"/>
      <c r="AR207" s="76"/>
      <c r="AS207" s="83" t="str">
        <f>HYPERLINK("https://t.co/7DHiue6vo1")</f>
        <v>https://t.co/7DHiue6vo1</v>
      </c>
      <c r="AT207" s="83" t="str">
        <f>HYPERLINK("http://linktr.ee/luizmarjr")</f>
        <v>http://linktr.ee/luizmarjr</v>
      </c>
      <c r="AU207" s="76" t="s">
        <v>19590</v>
      </c>
      <c r="AV207" s="76">
        <v>1.50392181783201E+18</v>
      </c>
      <c r="AW207" s="76"/>
      <c r="AX207" s="76" t="b">
        <v>0</v>
      </c>
      <c r="AY207" s="76"/>
      <c r="AZ207" s="76"/>
      <c r="BA207" s="76" t="b">
        <v>0</v>
      </c>
      <c r="BB207" s="76" t="b">
        <v>1</v>
      </c>
      <c r="BC207" s="76" t="b">
        <v>0</v>
      </c>
      <c r="BD207" s="76" t="b">
        <v>0</v>
      </c>
      <c r="BE207" s="76" t="b">
        <v>1</v>
      </c>
      <c r="BF207" s="76" t="b">
        <v>0</v>
      </c>
      <c r="BG207" s="76" t="b">
        <v>0</v>
      </c>
      <c r="BH207" s="83" t="str">
        <f>HYPERLINK("https://pbs.twimg.com/profile_banners/100868755/1624848200")</f>
        <v>https://pbs.twimg.com/profile_banners/100868755/1624848200</v>
      </c>
      <c r="BI207" s="76"/>
      <c r="BJ207" s="76" t="s">
        <v>19633</v>
      </c>
      <c r="BK207" s="76" t="b">
        <v>0</v>
      </c>
      <c r="BL207" s="76"/>
      <c r="BM207" s="76" t="s">
        <v>66</v>
      </c>
      <c r="BN207" s="76" t="s">
        <v>19635</v>
      </c>
      <c r="BO207" s="83" t="str">
        <f>HYPERLINK("https://twitter.com/luizmarjr")</f>
        <v>https://twitter.com/luizmarjr</v>
      </c>
      <c r="BP207" s="2"/>
    </row>
    <row r="208" spans="1:68" x14ac:dyDescent="0.25">
      <c r="A208" s="62" t="s">
        <v>393</v>
      </c>
      <c r="B208" s="63"/>
      <c r="C208" s="63"/>
      <c r="D208" s="64"/>
      <c r="E208" s="66"/>
      <c r="F208" s="103" t="str">
        <f>HYPERLINK("https://pbs.twimg.com/profile_images/1459941127386243076/-bXwwmjg_normal.jpg")</f>
        <v>https://pbs.twimg.com/profile_images/1459941127386243076/-bXwwmjg_normal.jpg</v>
      </c>
      <c r="G208" s="63"/>
      <c r="H208" s="67"/>
      <c r="I208" s="68"/>
      <c r="J208" s="68"/>
      <c r="K208" s="67" t="s">
        <v>19840</v>
      </c>
      <c r="L208" s="71"/>
      <c r="M208" s="72"/>
      <c r="N208" s="72"/>
      <c r="O208" s="73"/>
      <c r="P208" s="74"/>
      <c r="Q208" s="74"/>
      <c r="R208" s="87"/>
      <c r="S208" s="87"/>
      <c r="T208" s="87"/>
      <c r="U208" s="87"/>
      <c r="V208" s="48"/>
      <c r="W208" s="48"/>
      <c r="X208" s="47">
        <v>1.101E-3</v>
      </c>
      <c r="Y208" s="48"/>
      <c r="Z208" s="47"/>
      <c r="AA208" s="69">
        <v>208</v>
      </c>
      <c r="AB208" s="69"/>
      <c r="AC208" s="70"/>
      <c r="AD208" s="76" t="s">
        <v>16844</v>
      </c>
      <c r="AE208" s="81" t="s">
        <v>16229</v>
      </c>
      <c r="AF208" s="76">
        <v>10</v>
      </c>
      <c r="AG208" s="76">
        <v>60</v>
      </c>
      <c r="AH208" s="76">
        <v>387</v>
      </c>
      <c r="AI208" s="76">
        <v>0</v>
      </c>
      <c r="AJ208" s="76">
        <v>42</v>
      </c>
      <c r="AK208" s="76">
        <v>112</v>
      </c>
      <c r="AL208" s="76" t="b">
        <v>0</v>
      </c>
      <c r="AM208" s="78">
        <v>44120.965902777774</v>
      </c>
      <c r="AN208" s="76"/>
      <c r="AO208" s="76" t="s">
        <v>18338</v>
      </c>
      <c r="AP208" s="83" t="str">
        <f>HYPERLINK("https://t.co/I6Cq0oDiuM")</f>
        <v>https://t.co/I6Cq0oDiuM</v>
      </c>
      <c r="AQ208" s="83" t="str">
        <f>HYPERLINK("http://www.angelamaracarvalho.com.br")</f>
        <v>http://www.angelamaracarvalho.com.br</v>
      </c>
      <c r="AR208" s="76" t="s">
        <v>19113</v>
      </c>
      <c r="AS208" s="76"/>
      <c r="AT208" s="76"/>
      <c r="AU208" s="76"/>
      <c r="AV208" s="76"/>
      <c r="AW208" s="83" t="str">
        <f>HYPERLINK("https://t.co/I6Cq0oDiuM")</f>
        <v>https://t.co/I6Cq0oDiuM</v>
      </c>
      <c r="AX208" s="76" t="b">
        <v>0</v>
      </c>
      <c r="AY208" s="76"/>
      <c r="AZ208" s="76"/>
      <c r="BA208" s="76" t="b">
        <v>0</v>
      </c>
      <c r="BB208" s="76" t="b">
        <v>1</v>
      </c>
      <c r="BC208" s="76" t="b">
        <v>1</v>
      </c>
      <c r="BD208" s="76" t="b">
        <v>0</v>
      </c>
      <c r="BE208" s="76" t="b">
        <v>0</v>
      </c>
      <c r="BF208" s="76" t="b">
        <v>0</v>
      </c>
      <c r="BG208" s="76" t="b">
        <v>0</v>
      </c>
      <c r="BH208" s="83" t="str">
        <f>HYPERLINK("https://pbs.twimg.com/profile_banners/1317241596841283585/1636912064")</f>
        <v>https://pbs.twimg.com/profile_banners/1317241596841283585/1636912064</v>
      </c>
      <c r="BI208" s="76"/>
      <c r="BJ208" s="76" t="s">
        <v>19633</v>
      </c>
      <c r="BK208" s="76" t="b">
        <v>0</v>
      </c>
      <c r="BL208" s="76"/>
      <c r="BM208" s="76" t="s">
        <v>66</v>
      </c>
      <c r="BN208" s="76" t="s">
        <v>19635</v>
      </c>
      <c r="BO208" s="83" t="str">
        <f>HYPERLINK("https://twitter.com/ngelaca69067770")</f>
        <v>https://twitter.com/ngelaca69067770</v>
      </c>
      <c r="BP208" s="2"/>
    </row>
    <row r="209" spans="1:68" x14ac:dyDescent="0.25">
      <c r="A209" s="62" t="s">
        <v>394</v>
      </c>
      <c r="B209" s="63"/>
      <c r="C209" s="63"/>
      <c r="D209" s="64"/>
      <c r="E209" s="66"/>
      <c r="F209" s="103" t="str">
        <f>HYPERLINK("https://pbs.twimg.com/profile_images/947777919274967040/3jGKHXuR_normal.jpg")</f>
        <v>https://pbs.twimg.com/profile_images/947777919274967040/3jGKHXuR_normal.jpg</v>
      </c>
      <c r="G209" s="63"/>
      <c r="H209" s="67"/>
      <c r="I209" s="68"/>
      <c r="J209" s="68"/>
      <c r="K209" s="67" t="s">
        <v>19841</v>
      </c>
      <c r="L209" s="71"/>
      <c r="M209" s="72"/>
      <c r="N209" s="72"/>
      <c r="O209" s="73"/>
      <c r="P209" s="74"/>
      <c r="Q209" s="74"/>
      <c r="R209" s="87"/>
      <c r="S209" s="87"/>
      <c r="T209" s="87"/>
      <c r="U209" s="87"/>
      <c r="V209" s="48"/>
      <c r="W209" s="48"/>
      <c r="X209" s="47">
        <v>9.9799999999999997E-4</v>
      </c>
      <c r="Y209" s="48"/>
      <c r="Z209" s="47"/>
      <c r="AA209" s="69">
        <v>209</v>
      </c>
      <c r="AB209" s="69"/>
      <c r="AC209" s="70"/>
      <c r="AD209" s="76" t="s">
        <v>16845</v>
      </c>
      <c r="AE209" s="81" t="s">
        <v>17610</v>
      </c>
      <c r="AF209" s="76">
        <v>404</v>
      </c>
      <c r="AG209" s="76">
        <v>891</v>
      </c>
      <c r="AH209" s="76">
        <v>16474</v>
      </c>
      <c r="AI209" s="76">
        <v>10</v>
      </c>
      <c r="AJ209" s="76">
        <v>10444</v>
      </c>
      <c r="AK209" s="76">
        <v>213</v>
      </c>
      <c r="AL209" s="76" t="b">
        <v>0</v>
      </c>
      <c r="AM209" s="78">
        <v>39938.575787037036</v>
      </c>
      <c r="AN209" s="76" t="s">
        <v>17943</v>
      </c>
      <c r="AO209" s="76" t="s">
        <v>18339</v>
      </c>
      <c r="AP209" s="83" t="str">
        <f>HYPERLINK("https://t.co/pEKZ0DtoY9")</f>
        <v>https://t.co/pEKZ0DtoY9</v>
      </c>
      <c r="AQ209" s="83" t="str">
        <f>HYPERLINK("https://poesiadosperegrinos.wordpress.com/")</f>
        <v>https://poesiadosperegrinos.wordpress.com/</v>
      </c>
      <c r="AR209" s="76" t="s">
        <v>19114</v>
      </c>
      <c r="AS209" s="76"/>
      <c r="AT209" s="76"/>
      <c r="AU209" s="76"/>
      <c r="AV209" s="76">
        <v>7.7516564894306304E+17</v>
      </c>
      <c r="AW209" s="83" t="str">
        <f>HYPERLINK("https://t.co/pEKZ0DtoY9")</f>
        <v>https://t.co/pEKZ0DtoY9</v>
      </c>
      <c r="AX209" s="76" t="b">
        <v>0</v>
      </c>
      <c r="AY209" s="76"/>
      <c r="AZ209" s="76"/>
      <c r="BA209" s="76" t="b">
        <v>1</v>
      </c>
      <c r="BB209" s="76" t="b">
        <v>0</v>
      </c>
      <c r="BC209" s="76" t="b">
        <v>0</v>
      </c>
      <c r="BD209" s="76" t="b">
        <v>0</v>
      </c>
      <c r="BE209" s="76" t="b">
        <v>1</v>
      </c>
      <c r="BF209" s="76" t="b">
        <v>0</v>
      </c>
      <c r="BG209" s="76" t="b">
        <v>0</v>
      </c>
      <c r="BH209" s="76"/>
      <c r="BI209" s="76"/>
      <c r="BJ209" s="76" t="s">
        <v>19633</v>
      </c>
      <c r="BK209" s="76" t="b">
        <v>0</v>
      </c>
      <c r="BL209" s="76"/>
      <c r="BM209" s="76" t="s">
        <v>66</v>
      </c>
      <c r="BN209" s="76" t="s">
        <v>19635</v>
      </c>
      <c r="BO209" s="83" t="str">
        <f>HYPERLINK("https://twitter.com/thiagorogel")</f>
        <v>https://twitter.com/thiagorogel</v>
      </c>
      <c r="BP209" s="2"/>
    </row>
    <row r="210" spans="1:68" x14ac:dyDescent="0.25">
      <c r="A210" s="62" t="s">
        <v>395</v>
      </c>
      <c r="B210" s="63"/>
      <c r="C210" s="63"/>
      <c r="D210" s="64"/>
      <c r="E210" s="66"/>
      <c r="F210" s="103" t="str">
        <f>HYPERLINK("https://pbs.twimg.com/profile_images/1279531656429346823/cmkQVk2v_normal.jpg")</f>
        <v>https://pbs.twimg.com/profile_images/1279531656429346823/cmkQVk2v_normal.jpg</v>
      </c>
      <c r="G210" s="63"/>
      <c r="H210" s="67"/>
      <c r="I210" s="68"/>
      <c r="J210" s="68"/>
      <c r="K210" s="67" t="s">
        <v>19842</v>
      </c>
      <c r="L210" s="71"/>
      <c r="M210" s="72"/>
      <c r="N210" s="72"/>
      <c r="O210" s="73"/>
      <c r="P210" s="74"/>
      <c r="Q210" s="74"/>
      <c r="R210" s="87"/>
      <c r="S210" s="87"/>
      <c r="T210" s="87"/>
      <c r="U210" s="87"/>
      <c r="V210" s="48"/>
      <c r="W210" s="48"/>
      <c r="X210" s="47">
        <v>1.101E-3</v>
      </c>
      <c r="Y210" s="48"/>
      <c r="Z210" s="47"/>
      <c r="AA210" s="69">
        <v>210</v>
      </c>
      <c r="AB210" s="69"/>
      <c r="AC210" s="70"/>
      <c r="AD210" s="76" t="s">
        <v>16846</v>
      </c>
      <c r="AE210" s="81" t="s">
        <v>17611</v>
      </c>
      <c r="AF210" s="76">
        <v>359</v>
      </c>
      <c r="AG210" s="76">
        <v>144</v>
      </c>
      <c r="AH210" s="76">
        <v>14579</v>
      </c>
      <c r="AI210" s="76">
        <v>3</v>
      </c>
      <c r="AJ210" s="76">
        <v>4</v>
      </c>
      <c r="AK210" s="76">
        <v>79</v>
      </c>
      <c r="AL210" s="76" t="b">
        <v>0</v>
      </c>
      <c r="AM210" s="78">
        <v>42388.733240740738</v>
      </c>
      <c r="AN210" s="76" t="s">
        <v>10561</v>
      </c>
      <c r="AO210" s="76" t="s">
        <v>18340</v>
      </c>
      <c r="AP210" s="83" t="str">
        <f>HYPERLINK("https://t.co/NbLpRxmpn3")</f>
        <v>https://t.co/NbLpRxmpn3</v>
      </c>
      <c r="AQ210" s="83" t="str">
        <f>HYPERLINK("https://www.mundorh.com.br")</f>
        <v>https://www.mundorh.com.br</v>
      </c>
      <c r="AR210" s="76" t="s">
        <v>19115</v>
      </c>
      <c r="AS210" s="76"/>
      <c r="AT210" s="76"/>
      <c r="AU210" s="76"/>
      <c r="AV210" s="76"/>
      <c r="AW210" s="83" t="str">
        <f>HYPERLINK("https://t.co/NbLpRxmpn3")</f>
        <v>https://t.co/NbLpRxmpn3</v>
      </c>
      <c r="AX210" s="76" t="b">
        <v>0</v>
      </c>
      <c r="AY210" s="76"/>
      <c r="AZ210" s="76"/>
      <c r="BA210" s="76" t="b">
        <v>0</v>
      </c>
      <c r="BB210" s="76" t="b">
        <v>1</v>
      </c>
      <c r="BC210" s="76" t="b">
        <v>1</v>
      </c>
      <c r="BD210" s="76" t="b">
        <v>0</v>
      </c>
      <c r="BE210" s="76" t="b">
        <v>0</v>
      </c>
      <c r="BF210" s="76" t="b">
        <v>0</v>
      </c>
      <c r="BG210" s="76" t="b">
        <v>0</v>
      </c>
      <c r="BH210" s="83" t="str">
        <f>HYPERLINK("https://pbs.twimg.com/profile_banners/4827046511/1593832702")</f>
        <v>https://pbs.twimg.com/profile_banners/4827046511/1593832702</v>
      </c>
      <c r="BI210" s="76"/>
      <c r="BJ210" s="76" t="s">
        <v>19633</v>
      </c>
      <c r="BK210" s="76" t="b">
        <v>0</v>
      </c>
      <c r="BL210" s="76"/>
      <c r="BM210" s="76" t="s">
        <v>66</v>
      </c>
      <c r="BN210" s="76" t="s">
        <v>19635</v>
      </c>
      <c r="BO210" s="83" t="str">
        <f>HYPERLINK("https://twitter.com/mundorhonline")</f>
        <v>https://twitter.com/mundorhonline</v>
      </c>
      <c r="BP210" s="2"/>
    </row>
    <row r="211" spans="1:68" x14ac:dyDescent="0.25">
      <c r="A211" s="62" t="s">
        <v>396</v>
      </c>
      <c r="B211" s="63"/>
      <c r="C211" s="63"/>
      <c r="D211" s="64"/>
      <c r="E211" s="66"/>
      <c r="F211" s="103" t="str">
        <f>HYPERLINK("https://pbs.twimg.com/profile_images/1664217644629651462/clrtwy8n_normal.jpg")</f>
        <v>https://pbs.twimg.com/profile_images/1664217644629651462/clrtwy8n_normal.jpg</v>
      </c>
      <c r="G211" s="63"/>
      <c r="H211" s="67"/>
      <c r="I211" s="68"/>
      <c r="J211" s="68"/>
      <c r="K211" s="67" t="s">
        <v>19843</v>
      </c>
      <c r="L211" s="71"/>
      <c r="M211" s="72"/>
      <c r="N211" s="72"/>
      <c r="O211" s="73"/>
      <c r="P211" s="74"/>
      <c r="Q211" s="74"/>
      <c r="R211" s="87"/>
      <c r="S211" s="87"/>
      <c r="T211" s="87"/>
      <c r="U211" s="87"/>
      <c r="V211" s="48"/>
      <c r="W211" s="48"/>
      <c r="X211" s="47">
        <v>1.101E-3</v>
      </c>
      <c r="Y211" s="48"/>
      <c r="Z211" s="47"/>
      <c r="AA211" s="69">
        <v>211</v>
      </c>
      <c r="AB211" s="69"/>
      <c r="AC211" s="70"/>
      <c r="AD211" s="76" t="s">
        <v>16847</v>
      </c>
      <c r="AE211" s="81" t="s">
        <v>16230</v>
      </c>
      <c r="AF211" s="76">
        <v>18</v>
      </c>
      <c r="AG211" s="76">
        <v>100</v>
      </c>
      <c r="AH211" s="76">
        <v>98</v>
      </c>
      <c r="AI211" s="76">
        <v>1</v>
      </c>
      <c r="AJ211" s="76">
        <v>298</v>
      </c>
      <c r="AK211" s="76">
        <v>28</v>
      </c>
      <c r="AL211" s="76" t="b">
        <v>0</v>
      </c>
      <c r="AM211" s="78">
        <v>44157.52679398148</v>
      </c>
      <c r="AN211" s="76" t="s">
        <v>10622</v>
      </c>
      <c r="AO211" s="76" t="s">
        <v>18341</v>
      </c>
      <c r="AP211" s="76"/>
      <c r="AQ211" s="76"/>
      <c r="AR211" s="76"/>
      <c r="AS211" s="76" t="s">
        <v>19557</v>
      </c>
      <c r="AT211" s="76" t="s">
        <v>19565</v>
      </c>
      <c r="AU211" s="76" t="s">
        <v>19591</v>
      </c>
      <c r="AV211" s="76"/>
      <c r="AW211" s="76"/>
      <c r="AX211" s="76" t="b">
        <v>0</v>
      </c>
      <c r="AY211" s="76"/>
      <c r="AZ211" s="76"/>
      <c r="BA211" s="76" t="b">
        <v>0</v>
      </c>
      <c r="BB211" s="76" t="b">
        <v>1</v>
      </c>
      <c r="BC211" s="76" t="b">
        <v>1</v>
      </c>
      <c r="BD211" s="76" t="b">
        <v>0</v>
      </c>
      <c r="BE211" s="76" t="b">
        <v>0</v>
      </c>
      <c r="BF211" s="76" t="b">
        <v>0</v>
      </c>
      <c r="BG211" s="76" t="b">
        <v>0</v>
      </c>
      <c r="BH211" s="83" t="str">
        <f>HYPERLINK("https://pbs.twimg.com/profile_banners/1330490781673644032/1675011049")</f>
        <v>https://pbs.twimg.com/profile_banners/1330490781673644032/1675011049</v>
      </c>
      <c r="BI211" s="76"/>
      <c r="BJ211" s="76" t="s">
        <v>19633</v>
      </c>
      <c r="BK211" s="76" t="b">
        <v>0</v>
      </c>
      <c r="BL211" s="76"/>
      <c r="BM211" s="76" t="s">
        <v>66</v>
      </c>
      <c r="BN211" s="76" t="s">
        <v>19635</v>
      </c>
      <c r="BO211" s="83" t="str">
        <f>HYPERLINK("https://twitter.com/vsuzzio")</f>
        <v>https://twitter.com/vsuzzio</v>
      </c>
      <c r="BP211" s="2"/>
    </row>
    <row r="212" spans="1:68" x14ac:dyDescent="0.25">
      <c r="A212" s="62" t="s">
        <v>397</v>
      </c>
      <c r="B212" s="63"/>
      <c r="C212" s="63"/>
      <c r="D212" s="64"/>
      <c r="E212" s="66"/>
      <c r="F212" s="103" t="str">
        <f>HYPERLINK("https://pbs.twimg.com/profile_images/1522270529243295746/TXJmk6A8_normal.jpg")</f>
        <v>https://pbs.twimg.com/profile_images/1522270529243295746/TXJmk6A8_normal.jpg</v>
      </c>
      <c r="G212" s="63"/>
      <c r="H212" s="67"/>
      <c r="I212" s="68"/>
      <c r="J212" s="68"/>
      <c r="K212" s="67" t="s">
        <v>19844</v>
      </c>
      <c r="L212" s="71"/>
      <c r="M212" s="72"/>
      <c r="N212" s="72"/>
      <c r="O212" s="73"/>
      <c r="P212" s="74"/>
      <c r="Q212" s="74"/>
      <c r="R212" s="87"/>
      <c r="S212" s="87"/>
      <c r="T212" s="87"/>
      <c r="U212" s="87"/>
      <c r="V212" s="48"/>
      <c r="W212" s="48"/>
      <c r="X212" s="47">
        <v>1.101E-3</v>
      </c>
      <c r="Y212" s="48"/>
      <c r="Z212" s="47"/>
      <c r="AA212" s="69">
        <v>212</v>
      </c>
      <c r="AB212" s="69"/>
      <c r="AC212" s="70"/>
      <c r="AD212" s="76" t="s">
        <v>16848</v>
      </c>
      <c r="AE212" s="81" t="s">
        <v>15703</v>
      </c>
      <c r="AF212" s="76">
        <v>129</v>
      </c>
      <c r="AG212" s="76">
        <v>24</v>
      </c>
      <c r="AH212" s="76">
        <v>610</v>
      </c>
      <c r="AI212" s="76">
        <v>0</v>
      </c>
      <c r="AJ212" s="76">
        <v>186</v>
      </c>
      <c r="AK212" s="76">
        <v>75</v>
      </c>
      <c r="AL212" s="76" t="b">
        <v>0</v>
      </c>
      <c r="AM212" s="78">
        <v>44643.617546296293</v>
      </c>
      <c r="AN212" s="76" t="s">
        <v>10552</v>
      </c>
      <c r="AO212" s="76" t="s">
        <v>18342</v>
      </c>
      <c r="AP212" s="83" t="str">
        <f>HYPERLINK("https://t.co/Gk5KjT2Hm9")</f>
        <v>https://t.co/Gk5KjT2Hm9</v>
      </c>
      <c r="AQ212" s="83" t="str">
        <f>HYPERLINK("https://123passei.com.br")</f>
        <v>https://123passei.com.br</v>
      </c>
      <c r="AR212" s="76" t="s">
        <v>19116</v>
      </c>
      <c r="AS212" s="76"/>
      <c r="AT212" s="76"/>
      <c r="AU212" s="76"/>
      <c r="AV212" s="76"/>
      <c r="AW212" s="83" t="str">
        <f>HYPERLINK("https://t.co/Gk5KjT2Hm9")</f>
        <v>https://t.co/Gk5KjT2Hm9</v>
      </c>
      <c r="AX212" s="76" t="b">
        <v>0</v>
      </c>
      <c r="AY212" s="76"/>
      <c r="AZ212" s="76"/>
      <c r="BA212" s="76" t="b">
        <v>0</v>
      </c>
      <c r="BB212" s="76" t="b">
        <v>1</v>
      </c>
      <c r="BC212" s="76" t="b">
        <v>1</v>
      </c>
      <c r="BD212" s="76" t="b">
        <v>0</v>
      </c>
      <c r="BE212" s="76" t="b">
        <v>0</v>
      </c>
      <c r="BF212" s="76" t="b">
        <v>0</v>
      </c>
      <c r="BG212" s="76" t="b">
        <v>0</v>
      </c>
      <c r="BH212" s="83" t="str">
        <f>HYPERLINK("https://pbs.twimg.com/profile_banners/1506639991929196548/1666930069")</f>
        <v>https://pbs.twimg.com/profile_banners/1506639991929196548/1666930069</v>
      </c>
      <c r="BI212" s="76"/>
      <c r="BJ212" s="76" t="s">
        <v>19633</v>
      </c>
      <c r="BK212" s="76" t="b">
        <v>0</v>
      </c>
      <c r="BL212" s="76"/>
      <c r="BM212" s="76" t="s">
        <v>66</v>
      </c>
      <c r="BN212" s="76" t="s">
        <v>19635</v>
      </c>
      <c r="BO212" s="83" t="str">
        <f>HYPERLINK("https://twitter.com/123passei")</f>
        <v>https://twitter.com/123passei</v>
      </c>
      <c r="BP212" s="2"/>
    </row>
    <row r="213" spans="1:68" x14ac:dyDescent="0.25">
      <c r="A213" s="62" t="s">
        <v>398</v>
      </c>
      <c r="B213" s="63"/>
      <c r="C213" s="63"/>
      <c r="D213" s="64"/>
      <c r="E213" s="66"/>
      <c r="F213" s="103" t="str">
        <f>HYPERLINK("https://pbs.twimg.com/profile_images/1562020566579773441/GIpDu5O0_normal.jpg")</f>
        <v>https://pbs.twimg.com/profile_images/1562020566579773441/GIpDu5O0_normal.jpg</v>
      </c>
      <c r="G213" s="63"/>
      <c r="H213" s="67"/>
      <c r="I213" s="68"/>
      <c r="J213" s="68"/>
      <c r="K213" s="67" t="s">
        <v>19845</v>
      </c>
      <c r="L213" s="71"/>
      <c r="M213" s="72"/>
      <c r="N213" s="72"/>
      <c r="O213" s="73"/>
      <c r="P213" s="74"/>
      <c r="Q213" s="74"/>
      <c r="R213" s="87"/>
      <c r="S213" s="87"/>
      <c r="T213" s="87"/>
      <c r="U213" s="87"/>
      <c r="V213" s="48"/>
      <c r="W213" s="48"/>
      <c r="X213" s="47">
        <v>1.101E-3</v>
      </c>
      <c r="Y213" s="48"/>
      <c r="Z213" s="47"/>
      <c r="AA213" s="69">
        <v>213</v>
      </c>
      <c r="AB213" s="69"/>
      <c r="AC213" s="70"/>
      <c r="AD213" s="76" t="s">
        <v>16849</v>
      </c>
      <c r="AE213" s="81" t="s">
        <v>16231</v>
      </c>
      <c r="AF213" s="76">
        <v>95649</v>
      </c>
      <c r="AG213" s="76">
        <v>10</v>
      </c>
      <c r="AH213" s="76">
        <v>23751</v>
      </c>
      <c r="AI213" s="76">
        <v>1091</v>
      </c>
      <c r="AJ213" s="76">
        <v>1891</v>
      </c>
      <c r="AK213" s="76">
        <v>3533</v>
      </c>
      <c r="AL213" s="76" t="b">
        <v>0</v>
      </c>
      <c r="AM213" s="78">
        <v>42604.695960648147</v>
      </c>
      <c r="AN213" s="76" t="s">
        <v>10561</v>
      </c>
      <c r="AO213" s="76" t="s">
        <v>18343</v>
      </c>
      <c r="AP213" s="83" t="str">
        <f>HYPERLINK("https://t.co/SvaxjbKYsb")</f>
        <v>https://t.co/SvaxjbKYsb</v>
      </c>
      <c r="AQ213" s="83" t="str">
        <f>HYPERLINK("https://tc.com.br/")</f>
        <v>https://tc.com.br/</v>
      </c>
      <c r="AR213" s="76" t="s">
        <v>19117</v>
      </c>
      <c r="AS213" s="76"/>
      <c r="AT213" s="76"/>
      <c r="AU213" s="76"/>
      <c r="AV213" s="76">
        <v>1.56202903822243E+18</v>
      </c>
      <c r="AW213" s="83" t="str">
        <f>HYPERLINK("https://t.co/SvaxjbKYsb")</f>
        <v>https://t.co/SvaxjbKYsb</v>
      </c>
      <c r="AX213" s="76" t="b">
        <v>1</v>
      </c>
      <c r="AY213" s="76"/>
      <c r="AZ213" s="76"/>
      <c r="BA213" s="76" t="b">
        <v>1</v>
      </c>
      <c r="BB213" s="76" t="b">
        <v>1</v>
      </c>
      <c r="BC213" s="76" t="b">
        <v>0</v>
      </c>
      <c r="BD213" s="76" t="b">
        <v>0</v>
      </c>
      <c r="BE213" s="76" t="b">
        <v>1</v>
      </c>
      <c r="BF213" s="76" t="b">
        <v>0</v>
      </c>
      <c r="BG213" s="76" t="b">
        <v>0</v>
      </c>
      <c r="BH213" s="83" t="str">
        <f>HYPERLINK("https://pbs.twimg.com/profile_banners/767763810409181188/1661270253")</f>
        <v>https://pbs.twimg.com/profile_banners/767763810409181188/1661270253</v>
      </c>
      <c r="BI213" s="76"/>
      <c r="BJ213" s="76" t="s">
        <v>19633</v>
      </c>
      <c r="BK213" s="76" t="b">
        <v>0</v>
      </c>
      <c r="BL213" s="76"/>
      <c r="BM213" s="76" t="s">
        <v>66</v>
      </c>
      <c r="BN213" s="76" t="s">
        <v>19635</v>
      </c>
      <c r="BO213" s="83" t="str">
        <f>HYPERLINK("https://twitter.com/tcinvestimentos")</f>
        <v>https://twitter.com/tcinvestimentos</v>
      </c>
      <c r="BP213" s="2"/>
    </row>
    <row r="214" spans="1:68" x14ac:dyDescent="0.25">
      <c r="A214" s="62" t="s">
        <v>399</v>
      </c>
      <c r="B214" s="63"/>
      <c r="C214" s="63"/>
      <c r="D214" s="64"/>
      <c r="E214" s="66"/>
      <c r="F214" s="103" t="str">
        <f>HYPERLINK("https://pbs.twimg.com/profile_images/1430663404952379396/bkwSeEv-_normal.jpg")</f>
        <v>https://pbs.twimg.com/profile_images/1430663404952379396/bkwSeEv-_normal.jpg</v>
      </c>
      <c r="G214" s="63"/>
      <c r="H214" s="67"/>
      <c r="I214" s="68"/>
      <c r="J214" s="68"/>
      <c r="K214" s="67" t="s">
        <v>19846</v>
      </c>
      <c r="L214" s="71"/>
      <c r="M214" s="72"/>
      <c r="N214" s="72"/>
      <c r="O214" s="73"/>
      <c r="P214" s="74"/>
      <c r="Q214" s="74"/>
      <c r="R214" s="87"/>
      <c r="S214" s="87"/>
      <c r="T214" s="87"/>
      <c r="U214" s="87"/>
      <c r="V214" s="48"/>
      <c r="W214" s="48"/>
      <c r="X214" s="47">
        <v>9.6500000000000004E-4</v>
      </c>
      <c r="Y214" s="48"/>
      <c r="Z214" s="47"/>
      <c r="AA214" s="69">
        <v>214</v>
      </c>
      <c r="AB214" s="69"/>
      <c r="AC214" s="70"/>
      <c r="AD214" s="76" t="s">
        <v>16850</v>
      </c>
      <c r="AE214" s="81" t="s">
        <v>16232</v>
      </c>
      <c r="AF214" s="76">
        <v>37</v>
      </c>
      <c r="AG214" s="76">
        <v>250</v>
      </c>
      <c r="AH214" s="76">
        <v>250</v>
      </c>
      <c r="AI214" s="76">
        <v>0</v>
      </c>
      <c r="AJ214" s="76">
        <v>653</v>
      </c>
      <c r="AK214" s="76">
        <v>31</v>
      </c>
      <c r="AL214" s="76" t="b">
        <v>0</v>
      </c>
      <c r="AM214" s="78">
        <v>44433.95034722222</v>
      </c>
      <c r="AN214" s="76"/>
      <c r="AO214" s="76" t="s">
        <v>18344</v>
      </c>
      <c r="AP214" s="76"/>
      <c r="AQ214" s="76"/>
      <c r="AR214" s="76"/>
      <c r="AS214" s="76"/>
      <c r="AT214" s="76"/>
      <c r="AU214" s="76"/>
      <c r="AV214" s="76"/>
      <c r="AW214" s="76"/>
      <c r="AX214" s="76" t="b">
        <v>0</v>
      </c>
      <c r="AY214" s="76"/>
      <c r="AZ214" s="76"/>
      <c r="BA214" s="76" t="b">
        <v>0</v>
      </c>
      <c r="BB214" s="76" t="b">
        <v>1</v>
      </c>
      <c r="BC214" s="76" t="b">
        <v>1</v>
      </c>
      <c r="BD214" s="76" t="b">
        <v>0</v>
      </c>
      <c r="BE214" s="76" t="b">
        <v>1</v>
      </c>
      <c r="BF214" s="76" t="b">
        <v>0</v>
      </c>
      <c r="BG214" s="76" t="b">
        <v>0</v>
      </c>
      <c r="BH214" s="76"/>
      <c r="BI214" s="76"/>
      <c r="BJ214" s="76" t="s">
        <v>19633</v>
      </c>
      <c r="BK214" s="76" t="b">
        <v>0</v>
      </c>
      <c r="BL214" s="76"/>
      <c r="BM214" s="76" t="s">
        <v>66</v>
      </c>
      <c r="BN214" s="76" t="s">
        <v>19635</v>
      </c>
      <c r="BO214" s="83" t="str">
        <f>HYPERLINK("https://twitter.com/mariaap28183165")</f>
        <v>https://twitter.com/mariaap28183165</v>
      </c>
      <c r="BP214" s="2"/>
    </row>
    <row r="215" spans="1:68" x14ac:dyDescent="0.25">
      <c r="A215" s="62" t="s">
        <v>400</v>
      </c>
      <c r="B215" s="63"/>
      <c r="C215" s="63"/>
      <c r="D215" s="64"/>
      <c r="E215" s="66"/>
      <c r="F215" s="103" t="str">
        <f>HYPERLINK("https://pbs.twimg.com/profile_images/1658107959157686536/E8oq122b_normal.jpg")</f>
        <v>https://pbs.twimg.com/profile_images/1658107959157686536/E8oq122b_normal.jpg</v>
      </c>
      <c r="G215" s="63"/>
      <c r="H215" s="67"/>
      <c r="I215" s="68"/>
      <c r="J215" s="68"/>
      <c r="K215" s="67" t="s">
        <v>19847</v>
      </c>
      <c r="L215" s="71"/>
      <c r="M215" s="72"/>
      <c r="N215" s="72"/>
      <c r="O215" s="73"/>
      <c r="P215" s="74"/>
      <c r="Q215" s="74"/>
      <c r="R215" s="87"/>
      <c r="S215" s="87"/>
      <c r="T215" s="87"/>
      <c r="U215" s="87"/>
      <c r="V215" s="48"/>
      <c r="W215" s="48"/>
      <c r="X215" s="47">
        <v>1.101E-3</v>
      </c>
      <c r="Y215" s="48"/>
      <c r="Z215" s="47"/>
      <c r="AA215" s="69">
        <v>215</v>
      </c>
      <c r="AB215" s="69"/>
      <c r="AC215" s="70"/>
      <c r="AD215" s="76" t="s">
        <v>16851</v>
      </c>
      <c r="AE215" s="81" t="s">
        <v>16233</v>
      </c>
      <c r="AF215" s="76">
        <v>1</v>
      </c>
      <c r="AG215" s="76">
        <v>2</v>
      </c>
      <c r="AH215" s="76">
        <v>15</v>
      </c>
      <c r="AI215" s="76">
        <v>0</v>
      </c>
      <c r="AJ215" s="76">
        <v>3</v>
      </c>
      <c r="AK215" s="76">
        <v>14</v>
      </c>
      <c r="AL215" s="76" t="b">
        <v>0</v>
      </c>
      <c r="AM215" s="78">
        <v>44571.076388888891</v>
      </c>
      <c r="AN215" s="76" t="s">
        <v>10561</v>
      </c>
      <c r="AO215" s="76" t="s">
        <v>18345</v>
      </c>
      <c r="AP215" s="83" t="str">
        <f>HYPERLINK("https://t.co/sxeHnO6soD")</f>
        <v>https://t.co/sxeHnO6soD</v>
      </c>
      <c r="AQ215" s="83" t="str">
        <f>HYPERLINK("http://www.suacoxinha.com.br")</f>
        <v>http://www.suacoxinha.com.br</v>
      </c>
      <c r="AR215" s="76" t="s">
        <v>19118</v>
      </c>
      <c r="AS215" s="76"/>
      <c r="AT215" s="76"/>
      <c r="AU215" s="76"/>
      <c r="AV215" s="76"/>
      <c r="AW215" s="83" t="str">
        <f>HYPERLINK("https://t.co/sxeHnO6soD")</f>
        <v>https://t.co/sxeHnO6soD</v>
      </c>
      <c r="AX215" s="76" t="b">
        <v>0</v>
      </c>
      <c r="AY215" s="76"/>
      <c r="AZ215" s="76"/>
      <c r="BA215" s="76" t="b">
        <v>0</v>
      </c>
      <c r="BB215" s="76" t="b">
        <v>1</v>
      </c>
      <c r="BC215" s="76" t="b">
        <v>1</v>
      </c>
      <c r="BD215" s="76" t="b">
        <v>0</v>
      </c>
      <c r="BE215" s="76" t="b">
        <v>0</v>
      </c>
      <c r="BF215" s="76" t="b">
        <v>0</v>
      </c>
      <c r="BG215" s="76" t="b">
        <v>0</v>
      </c>
      <c r="BH215" s="76"/>
      <c r="BI215" s="76"/>
      <c r="BJ215" s="76" t="s">
        <v>19633</v>
      </c>
      <c r="BK215" s="76" t="b">
        <v>0</v>
      </c>
      <c r="BL215" s="76"/>
      <c r="BM215" s="76" t="s">
        <v>66</v>
      </c>
      <c r="BN215" s="76" t="s">
        <v>19635</v>
      </c>
      <c r="BO215" s="83" t="str">
        <f>HYPERLINK("https://twitter.com/gabriel98091764")</f>
        <v>https://twitter.com/gabriel98091764</v>
      </c>
      <c r="BP215" s="2"/>
    </row>
    <row r="216" spans="1:68" x14ac:dyDescent="0.25">
      <c r="A216" s="62" t="s">
        <v>401</v>
      </c>
      <c r="B216" s="63"/>
      <c r="C216" s="63"/>
      <c r="D216" s="64"/>
      <c r="E216" s="66"/>
      <c r="F216" s="103" t="str">
        <f>HYPERLINK("https://pbs.twimg.com/profile_images/1625634582425923586/fx51uJTK_normal.jpg")</f>
        <v>https://pbs.twimg.com/profile_images/1625634582425923586/fx51uJTK_normal.jpg</v>
      </c>
      <c r="G216" s="63"/>
      <c r="H216" s="67"/>
      <c r="I216" s="68"/>
      <c r="J216" s="68"/>
      <c r="K216" s="67" t="s">
        <v>19848</v>
      </c>
      <c r="L216" s="71"/>
      <c r="M216" s="72"/>
      <c r="N216" s="72"/>
      <c r="O216" s="73"/>
      <c r="P216" s="74"/>
      <c r="Q216" s="74"/>
      <c r="R216" s="87"/>
      <c r="S216" s="87"/>
      <c r="T216" s="87"/>
      <c r="U216" s="87"/>
      <c r="V216" s="48"/>
      <c r="W216" s="48"/>
      <c r="X216" s="47">
        <v>1.101E-3</v>
      </c>
      <c r="Y216" s="48"/>
      <c r="Z216" s="47"/>
      <c r="AA216" s="69">
        <v>216</v>
      </c>
      <c r="AB216" s="69"/>
      <c r="AC216" s="70"/>
      <c r="AD216" s="76" t="s">
        <v>401</v>
      </c>
      <c r="AE216" s="81" t="s">
        <v>16234</v>
      </c>
      <c r="AF216" s="76">
        <v>0</v>
      </c>
      <c r="AG216" s="76">
        <v>62</v>
      </c>
      <c r="AH216" s="76">
        <v>19</v>
      </c>
      <c r="AI216" s="76">
        <v>0</v>
      </c>
      <c r="AJ216" s="76">
        <v>0</v>
      </c>
      <c r="AK216" s="76">
        <v>1</v>
      </c>
      <c r="AL216" s="76" t="b">
        <v>0</v>
      </c>
      <c r="AM216" s="78">
        <v>44971.965416666666</v>
      </c>
      <c r="AN216" s="76"/>
      <c r="AO216" s="76" t="s">
        <v>18346</v>
      </c>
      <c r="AP216" s="76"/>
      <c r="AQ216" s="76"/>
      <c r="AR216" s="76"/>
      <c r="AS216" s="76"/>
      <c r="AT216" s="76"/>
      <c r="AU216" s="76"/>
      <c r="AV216" s="76"/>
      <c r="AW216" s="76"/>
      <c r="AX216" s="76" t="b">
        <v>0</v>
      </c>
      <c r="AY216" s="76"/>
      <c r="AZ216" s="76"/>
      <c r="BA216" s="76" t="b">
        <v>0</v>
      </c>
      <c r="BB216" s="76" t="b">
        <v>1</v>
      </c>
      <c r="BC216" s="76" t="b">
        <v>1</v>
      </c>
      <c r="BD216" s="76" t="b">
        <v>0</v>
      </c>
      <c r="BE216" s="76" t="b">
        <v>0</v>
      </c>
      <c r="BF216" s="76" t="b">
        <v>0</v>
      </c>
      <c r="BG216" s="76" t="b">
        <v>0</v>
      </c>
      <c r="BH216" s="83" t="str">
        <f>HYPERLINK("https://pbs.twimg.com/profile_banners/1625633422667309056/1676417838")</f>
        <v>https://pbs.twimg.com/profile_banners/1625633422667309056/1676417838</v>
      </c>
      <c r="BI216" s="76"/>
      <c r="BJ216" s="76" t="s">
        <v>19633</v>
      </c>
      <c r="BK216" s="76" t="b">
        <v>0</v>
      </c>
      <c r="BL216" s="76"/>
      <c r="BM216" s="76" t="s">
        <v>66</v>
      </c>
      <c r="BN216" s="76" t="s">
        <v>19635</v>
      </c>
      <c r="BO216" s="83" t="str">
        <f>HYPERLINK("https://twitter.com/infodiaemfoco")</f>
        <v>https://twitter.com/infodiaemfoco</v>
      </c>
      <c r="BP216" s="2"/>
    </row>
    <row r="217" spans="1:68" x14ac:dyDescent="0.25">
      <c r="A217" s="62" t="s">
        <v>402</v>
      </c>
      <c r="B217" s="63"/>
      <c r="C217" s="63"/>
      <c r="D217" s="64"/>
      <c r="E217" s="66"/>
      <c r="F217" s="103" t="str">
        <f>HYPERLINK("https://pbs.twimg.com/profile_images/1533910178705309697/fHTULmmM_normal.jpg")</f>
        <v>https://pbs.twimg.com/profile_images/1533910178705309697/fHTULmmM_normal.jpg</v>
      </c>
      <c r="G217" s="63"/>
      <c r="H217" s="67"/>
      <c r="I217" s="68"/>
      <c r="J217" s="68"/>
      <c r="K217" s="67" t="s">
        <v>19849</v>
      </c>
      <c r="L217" s="71"/>
      <c r="M217" s="72"/>
      <c r="N217" s="72"/>
      <c r="O217" s="73"/>
      <c r="P217" s="74"/>
      <c r="Q217" s="74"/>
      <c r="R217" s="87"/>
      <c r="S217" s="87"/>
      <c r="T217" s="87"/>
      <c r="U217" s="87"/>
      <c r="V217" s="48"/>
      <c r="W217" s="48"/>
      <c r="X217" s="47">
        <v>1.101E-3</v>
      </c>
      <c r="Y217" s="48"/>
      <c r="Z217" s="47"/>
      <c r="AA217" s="69">
        <v>217</v>
      </c>
      <c r="AB217" s="69"/>
      <c r="AC217" s="70"/>
      <c r="AD217" s="76" t="s">
        <v>16852</v>
      </c>
      <c r="AE217" s="81" t="s">
        <v>16235</v>
      </c>
      <c r="AF217" s="76">
        <v>1113</v>
      </c>
      <c r="AG217" s="76">
        <v>27</v>
      </c>
      <c r="AH217" s="76">
        <v>855</v>
      </c>
      <c r="AI217" s="76">
        <v>5</v>
      </c>
      <c r="AJ217" s="76">
        <v>84</v>
      </c>
      <c r="AK217" s="76">
        <v>798</v>
      </c>
      <c r="AL217" s="76" t="b">
        <v>0</v>
      </c>
      <c r="AM217" s="78">
        <v>44250.851793981485</v>
      </c>
      <c r="AN217" s="76" t="s">
        <v>10622</v>
      </c>
      <c r="AO217" s="76" t="s">
        <v>18347</v>
      </c>
      <c r="AP217" s="83" t="str">
        <f>HYPERLINK("https://t.co/045bM7jw1a")</f>
        <v>https://t.co/045bM7jw1a</v>
      </c>
      <c r="AQ217" s="83" t="str">
        <f>HYPERLINK("https://www.youtube.com/c/kritikepodcast")</f>
        <v>https://www.youtube.com/c/kritikepodcast</v>
      </c>
      <c r="AR217" s="76" t="s">
        <v>19119</v>
      </c>
      <c r="AS217" s="76"/>
      <c r="AT217" s="76"/>
      <c r="AU217" s="76"/>
      <c r="AV217" s="76"/>
      <c r="AW217" s="83" t="str">
        <f>HYPERLINK("https://t.co/045bM7jw1a")</f>
        <v>https://t.co/045bM7jw1a</v>
      </c>
      <c r="AX217" s="76" t="b">
        <v>0</v>
      </c>
      <c r="AY217" s="76"/>
      <c r="AZ217" s="76"/>
      <c r="BA217" s="76" t="b">
        <v>0</v>
      </c>
      <c r="BB217" s="76" t="b">
        <v>1</v>
      </c>
      <c r="BC217" s="76" t="b">
        <v>1</v>
      </c>
      <c r="BD217" s="76" t="b">
        <v>0</v>
      </c>
      <c r="BE217" s="76" t="b">
        <v>0</v>
      </c>
      <c r="BF217" s="76" t="b">
        <v>0</v>
      </c>
      <c r="BG217" s="76" t="b">
        <v>0</v>
      </c>
      <c r="BH217" s="83" t="str">
        <f>HYPERLINK("https://pbs.twimg.com/profile_banners/1364310669693181957/1654547661")</f>
        <v>https://pbs.twimg.com/profile_banners/1364310669693181957/1654547661</v>
      </c>
      <c r="BI217" s="76"/>
      <c r="BJ217" s="76" t="s">
        <v>19633</v>
      </c>
      <c r="BK217" s="76" t="b">
        <v>0</v>
      </c>
      <c r="BL217" s="76"/>
      <c r="BM217" s="76" t="s">
        <v>66</v>
      </c>
      <c r="BN217" s="76" t="s">
        <v>19635</v>
      </c>
      <c r="BO217" s="83" t="str">
        <f>HYPERLINK("https://twitter.com/kritikepodcast")</f>
        <v>https://twitter.com/kritikepodcast</v>
      </c>
      <c r="BP217" s="2"/>
    </row>
    <row r="218" spans="1:68" x14ac:dyDescent="0.25">
      <c r="A218" s="62" t="s">
        <v>403</v>
      </c>
      <c r="B218" s="63"/>
      <c r="C218" s="63"/>
      <c r="D218" s="64"/>
      <c r="E218" s="66"/>
      <c r="F218" s="103" t="str">
        <f>HYPERLINK("https://pbs.twimg.com/profile_images/1685438743207890944/4Wy7W34O_normal.jpg")</f>
        <v>https://pbs.twimg.com/profile_images/1685438743207890944/4Wy7W34O_normal.jpg</v>
      </c>
      <c r="G218" s="63"/>
      <c r="H218" s="67"/>
      <c r="I218" s="68"/>
      <c r="J218" s="68"/>
      <c r="K218" s="67" t="s">
        <v>19850</v>
      </c>
      <c r="L218" s="71"/>
      <c r="M218" s="72"/>
      <c r="N218" s="72"/>
      <c r="O218" s="73"/>
      <c r="P218" s="74"/>
      <c r="Q218" s="74"/>
      <c r="R218" s="87"/>
      <c r="S218" s="87"/>
      <c r="T218" s="87"/>
      <c r="U218" s="87"/>
      <c r="V218" s="48"/>
      <c r="W218" s="48"/>
      <c r="X218" s="47">
        <v>1.101E-3</v>
      </c>
      <c r="Y218" s="48"/>
      <c r="Z218" s="47"/>
      <c r="AA218" s="69">
        <v>218</v>
      </c>
      <c r="AB218" s="69"/>
      <c r="AC218" s="70"/>
      <c r="AD218" s="76" t="s">
        <v>16853</v>
      </c>
      <c r="AE218" s="81" t="s">
        <v>16236</v>
      </c>
      <c r="AF218" s="76">
        <v>2</v>
      </c>
      <c r="AG218" s="76">
        <v>12</v>
      </c>
      <c r="AH218" s="76">
        <v>19</v>
      </c>
      <c r="AI218" s="76">
        <v>0</v>
      </c>
      <c r="AJ218" s="76">
        <v>36</v>
      </c>
      <c r="AK218" s="76">
        <v>13</v>
      </c>
      <c r="AL218" s="76" t="b">
        <v>0</v>
      </c>
      <c r="AM218" s="78">
        <v>44571.551249999997</v>
      </c>
      <c r="AN218" s="76" t="s">
        <v>17944</v>
      </c>
      <c r="AO218" s="76" t="s">
        <v>18348</v>
      </c>
      <c r="AP218" s="83" t="str">
        <f>HYPERLINK("https://t.co/dsaFK6xqiF")</f>
        <v>https://t.co/dsaFK6xqiF</v>
      </c>
      <c r="AQ218" s="83" t="str">
        <f>HYPERLINK("https://www.youtube.com/@squeezey8576")</f>
        <v>https://www.youtube.com/@squeezey8576</v>
      </c>
      <c r="AR218" s="76" t="s">
        <v>19120</v>
      </c>
      <c r="AS218" s="76"/>
      <c r="AT218" s="76"/>
      <c r="AU218" s="76"/>
      <c r="AV218" s="76">
        <v>1.69042737297197E+18</v>
      </c>
      <c r="AW218" s="83" t="str">
        <f>HYPERLINK("https://t.co/dsaFK6xqiF")</f>
        <v>https://t.co/dsaFK6xqiF</v>
      </c>
      <c r="AX218" s="76" t="b">
        <v>0</v>
      </c>
      <c r="AY218" s="76"/>
      <c r="AZ218" s="76"/>
      <c r="BA218" s="76" t="b">
        <v>0</v>
      </c>
      <c r="BB218" s="76" t="b">
        <v>1</v>
      </c>
      <c r="BC218" s="76" t="b">
        <v>1</v>
      </c>
      <c r="BD218" s="76" t="b">
        <v>0</v>
      </c>
      <c r="BE218" s="76" t="b">
        <v>0</v>
      </c>
      <c r="BF218" s="76" t="b">
        <v>0</v>
      </c>
      <c r="BG218" s="76" t="b">
        <v>0</v>
      </c>
      <c r="BH218" s="76"/>
      <c r="BI218" s="76"/>
      <c r="BJ218" s="76" t="s">
        <v>19633</v>
      </c>
      <c r="BK218" s="76" t="b">
        <v>0</v>
      </c>
      <c r="BL218" s="76"/>
      <c r="BM218" s="76" t="s">
        <v>66</v>
      </c>
      <c r="BN218" s="76" t="s">
        <v>19635</v>
      </c>
      <c r="BO218" s="83" t="str">
        <f>HYPERLINK("https://twitter.com/osvaldocapaca")</f>
        <v>https://twitter.com/osvaldocapaca</v>
      </c>
      <c r="BP218" s="2"/>
    </row>
    <row r="219" spans="1:68" x14ac:dyDescent="0.25">
      <c r="A219" s="62" t="s">
        <v>404</v>
      </c>
      <c r="B219" s="63"/>
      <c r="C219" s="63"/>
      <c r="D219" s="64"/>
      <c r="E219" s="66"/>
      <c r="F219" s="103" t="str">
        <f>HYPERLINK("https://pbs.twimg.com/profile_images/1528856096865239041/vo3MY4Sr_normal.jpg")</f>
        <v>https://pbs.twimg.com/profile_images/1528856096865239041/vo3MY4Sr_normal.jpg</v>
      </c>
      <c r="G219" s="63"/>
      <c r="H219" s="67"/>
      <c r="I219" s="68"/>
      <c r="J219" s="68"/>
      <c r="K219" s="67" t="s">
        <v>19851</v>
      </c>
      <c r="L219" s="71"/>
      <c r="M219" s="72"/>
      <c r="N219" s="72"/>
      <c r="O219" s="73"/>
      <c r="P219" s="74"/>
      <c r="Q219" s="74"/>
      <c r="R219" s="87"/>
      <c r="S219" s="87"/>
      <c r="T219" s="87"/>
      <c r="U219" s="87"/>
      <c r="V219" s="48"/>
      <c r="W219" s="48"/>
      <c r="X219" s="47">
        <v>1.178E-3</v>
      </c>
      <c r="Y219" s="48"/>
      <c r="Z219" s="47"/>
      <c r="AA219" s="69">
        <v>219</v>
      </c>
      <c r="AB219" s="69"/>
      <c r="AC219" s="70"/>
      <c r="AD219" s="76" t="s">
        <v>16854</v>
      </c>
      <c r="AE219" s="81" t="s">
        <v>16237</v>
      </c>
      <c r="AF219" s="76">
        <v>21</v>
      </c>
      <c r="AG219" s="76">
        <v>75</v>
      </c>
      <c r="AH219" s="76">
        <v>127</v>
      </c>
      <c r="AI219" s="76">
        <v>0</v>
      </c>
      <c r="AJ219" s="76">
        <v>43</v>
      </c>
      <c r="AK219" s="76">
        <v>60</v>
      </c>
      <c r="AL219" s="76" t="b">
        <v>0</v>
      </c>
      <c r="AM219" s="78">
        <v>44635.896828703706</v>
      </c>
      <c r="AN219" s="76"/>
      <c r="AO219" s="76" t="s">
        <v>18349</v>
      </c>
      <c r="AP219" s="83" t="str">
        <f>HYPERLINK("https://t.co/vrxxDTp8Sd")</f>
        <v>https://t.co/vrxxDTp8Sd</v>
      </c>
      <c r="AQ219" s="83" t="str">
        <f>HYPERLINK("https://linktr.ee/cryptoherobr")</f>
        <v>https://linktr.ee/cryptoherobr</v>
      </c>
      <c r="AR219" s="76" t="s">
        <v>19121</v>
      </c>
      <c r="AS219" s="76"/>
      <c r="AT219" s="76"/>
      <c r="AU219" s="76"/>
      <c r="AV219" s="76"/>
      <c r="AW219" s="83" t="str">
        <f>HYPERLINK("https://t.co/vrxxDTp8Sd")</f>
        <v>https://t.co/vrxxDTp8Sd</v>
      </c>
      <c r="AX219" s="76" t="b">
        <v>0</v>
      </c>
      <c r="AY219" s="76"/>
      <c r="AZ219" s="76"/>
      <c r="BA219" s="76" t="b">
        <v>0</v>
      </c>
      <c r="BB219" s="76" t="b">
        <v>1</v>
      </c>
      <c r="BC219" s="76" t="b">
        <v>1</v>
      </c>
      <c r="BD219" s="76" t="b">
        <v>0</v>
      </c>
      <c r="BE219" s="76" t="b">
        <v>0</v>
      </c>
      <c r="BF219" s="76" t="b">
        <v>0</v>
      </c>
      <c r="BG219" s="76" t="b">
        <v>0</v>
      </c>
      <c r="BH219" s="83" t="str">
        <f>HYPERLINK("https://pbs.twimg.com/profile_banners/1503846264722624512/1653342705")</f>
        <v>https://pbs.twimg.com/profile_banners/1503846264722624512/1653342705</v>
      </c>
      <c r="BI219" s="76"/>
      <c r="BJ219" s="76" t="s">
        <v>19633</v>
      </c>
      <c r="BK219" s="76" t="b">
        <v>0</v>
      </c>
      <c r="BL219" s="76"/>
      <c r="BM219" s="76" t="s">
        <v>66</v>
      </c>
      <c r="BN219" s="76" t="s">
        <v>19635</v>
      </c>
      <c r="BO219" s="83" t="str">
        <f>HYPERLINK("https://twitter.com/cryptoherobr")</f>
        <v>https://twitter.com/cryptoherobr</v>
      </c>
      <c r="BP219" s="2"/>
    </row>
    <row r="220" spans="1:68" x14ac:dyDescent="0.25">
      <c r="A220" s="62" t="s">
        <v>1070</v>
      </c>
      <c r="B220" s="63"/>
      <c r="C220" s="63"/>
      <c r="D220" s="64"/>
      <c r="E220" s="66"/>
      <c r="F220" s="103" t="str">
        <f>HYPERLINK("https://pbs.twimg.com/profile_images/1500155315920281601/ybhlhG2H_normal.jpg")</f>
        <v>https://pbs.twimg.com/profile_images/1500155315920281601/ybhlhG2H_normal.jpg</v>
      </c>
      <c r="G220" s="63"/>
      <c r="H220" s="67"/>
      <c r="I220" s="68"/>
      <c r="J220" s="68"/>
      <c r="K220" s="67" t="s">
        <v>19852</v>
      </c>
      <c r="L220" s="71"/>
      <c r="M220" s="72"/>
      <c r="N220" s="72"/>
      <c r="O220" s="73"/>
      <c r="P220" s="74"/>
      <c r="Q220" s="74"/>
      <c r="R220" s="87"/>
      <c r="S220" s="87"/>
      <c r="T220" s="87"/>
      <c r="U220" s="87"/>
      <c r="V220" s="48"/>
      <c r="W220" s="48"/>
      <c r="X220" s="47">
        <v>1.024E-3</v>
      </c>
      <c r="Y220" s="48"/>
      <c r="Z220" s="47"/>
      <c r="AA220" s="69">
        <v>220</v>
      </c>
      <c r="AB220" s="69"/>
      <c r="AC220" s="70"/>
      <c r="AD220" s="76" t="s">
        <v>16855</v>
      </c>
      <c r="AE220" s="81" t="s">
        <v>17612</v>
      </c>
      <c r="AF220" s="76">
        <v>595</v>
      </c>
      <c r="AG220" s="76">
        <v>395</v>
      </c>
      <c r="AH220" s="76">
        <v>1088</v>
      </c>
      <c r="AI220" s="76">
        <v>4</v>
      </c>
      <c r="AJ220" s="76">
        <v>694</v>
      </c>
      <c r="AK220" s="76">
        <v>149</v>
      </c>
      <c r="AL220" s="76" t="b">
        <v>0</v>
      </c>
      <c r="AM220" s="78">
        <v>44412.787835648145</v>
      </c>
      <c r="AN220" s="76" t="s">
        <v>10552</v>
      </c>
      <c r="AO220" s="76" t="s">
        <v>18350</v>
      </c>
      <c r="AP220" s="83" t="str">
        <f>HYPERLINK("https://t.co/Nx8i3Bmxqv")</f>
        <v>https://t.co/Nx8i3Bmxqv</v>
      </c>
      <c r="AQ220" s="83" t="str">
        <f>HYPERLINK("http://beacons.ai/garotacrypto")</f>
        <v>http://beacons.ai/garotacrypto</v>
      </c>
      <c r="AR220" s="76" t="s">
        <v>19122</v>
      </c>
      <c r="AS220" s="76"/>
      <c r="AT220" s="76"/>
      <c r="AU220" s="76"/>
      <c r="AV220" s="76"/>
      <c r="AW220" s="83" t="str">
        <f>HYPERLINK("https://t.co/Nx8i3Bmxqv")</f>
        <v>https://t.co/Nx8i3Bmxqv</v>
      </c>
      <c r="AX220" s="76" t="b">
        <v>0</v>
      </c>
      <c r="AY220" s="76"/>
      <c r="AZ220" s="76"/>
      <c r="BA220" s="76" t="b">
        <v>0</v>
      </c>
      <c r="BB220" s="76" t="b">
        <v>1</v>
      </c>
      <c r="BC220" s="76" t="b">
        <v>1</v>
      </c>
      <c r="BD220" s="76" t="b">
        <v>0</v>
      </c>
      <c r="BE220" s="76" t="b">
        <v>0</v>
      </c>
      <c r="BF220" s="76" t="b">
        <v>0</v>
      </c>
      <c r="BG220" s="76" t="b">
        <v>0</v>
      </c>
      <c r="BH220" s="83" t="str">
        <f>HYPERLINK("https://pbs.twimg.com/profile_banners/1422994338825613314/1645937475")</f>
        <v>https://pbs.twimg.com/profile_banners/1422994338825613314/1645937475</v>
      </c>
      <c r="BI220" s="76"/>
      <c r="BJ220" s="76" t="s">
        <v>19633</v>
      </c>
      <c r="BK220" s="76" t="b">
        <v>0</v>
      </c>
      <c r="BL220" s="76"/>
      <c r="BM220" s="76" t="s">
        <v>65</v>
      </c>
      <c r="BN220" s="76" t="s">
        <v>19635</v>
      </c>
      <c r="BO220" s="83" t="str">
        <f>HYPERLINK("https://twitter.com/garotacrypto")</f>
        <v>https://twitter.com/garotacrypto</v>
      </c>
      <c r="BP220" s="2"/>
    </row>
    <row r="221" spans="1:68" x14ac:dyDescent="0.25">
      <c r="A221" s="62" t="s">
        <v>405</v>
      </c>
      <c r="B221" s="63"/>
      <c r="C221" s="63"/>
      <c r="D221" s="64"/>
      <c r="E221" s="66"/>
      <c r="F221" s="103" t="str">
        <f>HYPERLINK("https://pbs.twimg.com/profile_images/1571227176816578560/LMHON5o2_normal.jpg")</f>
        <v>https://pbs.twimg.com/profile_images/1571227176816578560/LMHON5o2_normal.jpg</v>
      </c>
      <c r="G221" s="63"/>
      <c r="H221" s="67"/>
      <c r="I221" s="68"/>
      <c r="J221" s="68"/>
      <c r="K221" s="67" t="s">
        <v>19853</v>
      </c>
      <c r="L221" s="71"/>
      <c r="M221" s="72"/>
      <c r="N221" s="72"/>
      <c r="O221" s="73"/>
      <c r="P221" s="74"/>
      <c r="Q221" s="74"/>
      <c r="R221" s="87"/>
      <c r="S221" s="87"/>
      <c r="T221" s="87"/>
      <c r="U221" s="87"/>
      <c r="V221" s="48"/>
      <c r="W221" s="48"/>
      <c r="X221" s="47">
        <v>1.101E-3</v>
      </c>
      <c r="Y221" s="48"/>
      <c r="Z221" s="47"/>
      <c r="AA221" s="69">
        <v>221</v>
      </c>
      <c r="AB221" s="69"/>
      <c r="AC221" s="70"/>
      <c r="AD221" s="76" t="s">
        <v>16856</v>
      </c>
      <c r="AE221" s="81" t="s">
        <v>17613</v>
      </c>
      <c r="AF221" s="76">
        <v>2051</v>
      </c>
      <c r="AG221" s="76">
        <v>2409</v>
      </c>
      <c r="AH221" s="76">
        <v>87318</v>
      </c>
      <c r="AI221" s="76">
        <v>17</v>
      </c>
      <c r="AJ221" s="76">
        <v>9669</v>
      </c>
      <c r="AK221" s="76">
        <v>6888</v>
      </c>
      <c r="AL221" s="76" t="b">
        <v>0</v>
      </c>
      <c r="AM221" s="78">
        <v>40067.860856481479</v>
      </c>
      <c r="AN221" s="76" t="s">
        <v>10632</v>
      </c>
      <c r="AO221" s="76" t="s">
        <v>18351</v>
      </c>
      <c r="AP221" s="83" t="str">
        <f>HYPERLINK("https://t.co/H9ZwHiI0q3")</f>
        <v>https://t.co/H9ZwHiI0q3</v>
      </c>
      <c r="AQ221" s="83" t="str">
        <f>HYPERLINK("http://juninhojornalista.com/links/")</f>
        <v>http://juninhojornalista.com/links/</v>
      </c>
      <c r="AR221" s="76" t="s">
        <v>19123</v>
      </c>
      <c r="AS221" s="76"/>
      <c r="AT221" s="76"/>
      <c r="AU221" s="76"/>
      <c r="AV221" s="76">
        <v>1.6137610088870999E+18</v>
      </c>
      <c r="AW221" s="83" t="str">
        <f>HYPERLINK("https://t.co/H9ZwHiI0q3")</f>
        <v>https://t.co/H9ZwHiI0q3</v>
      </c>
      <c r="AX221" s="76" t="b">
        <v>0</v>
      </c>
      <c r="AY221" s="76"/>
      <c r="AZ221" s="76"/>
      <c r="BA221" s="76" t="b">
        <v>0</v>
      </c>
      <c r="BB221" s="76" t="b">
        <v>0</v>
      </c>
      <c r="BC221" s="76" t="b">
        <v>0</v>
      </c>
      <c r="BD221" s="76" t="b">
        <v>0</v>
      </c>
      <c r="BE221" s="76" t="b">
        <v>1</v>
      </c>
      <c r="BF221" s="76" t="b">
        <v>0</v>
      </c>
      <c r="BG221" s="76" t="b">
        <v>0</v>
      </c>
      <c r="BH221" s="83" t="str">
        <f>HYPERLINK("https://pbs.twimg.com/profile_banners/73478318/1605626450")</f>
        <v>https://pbs.twimg.com/profile_banners/73478318/1605626450</v>
      </c>
      <c r="BI221" s="76"/>
      <c r="BJ221" s="76" t="s">
        <v>19633</v>
      </c>
      <c r="BK221" s="76" t="b">
        <v>0</v>
      </c>
      <c r="BL221" s="76"/>
      <c r="BM221" s="76" t="s">
        <v>66</v>
      </c>
      <c r="BN221" s="76" t="s">
        <v>19635</v>
      </c>
      <c r="BO221" s="83" t="str">
        <f>HYPERLINK("https://twitter.com/jjnoar")</f>
        <v>https://twitter.com/jjnoar</v>
      </c>
      <c r="BP221" s="2"/>
    </row>
    <row r="222" spans="1:68" x14ac:dyDescent="0.25">
      <c r="A222" s="62" t="s">
        <v>406</v>
      </c>
      <c r="B222" s="63"/>
      <c r="C222" s="63"/>
      <c r="D222" s="64"/>
      <c r="E222" s="66"/>
      <c r="F222" s="103" t="str">
        <f>HYPERLINK("https://pbs.twimg.com/profile_images/1111618098786906112/Lrja9uD4_normal.png")</f>
        <v>https://pbs.twimg.com/profile_images/1111618098786906112/Lrja9uD4_normal.png</v>
      </c>
      <c r="G222" s="63"/>
      <c r="H222" s="67"/>
      <c r="I222" s="68"/>
      <c r="J222" s="68"/>
      <c r="K222" s="67" t="s">
        <v>19854</v>
      </c>
      <c r="L222" s="71"/>
      <c r="M222" s="72"/>
      <c r="N222" s="72"/>
      <c r="O222" s="73"/>
      <c r="P222" s="74"/>
      <c r="Q222" s="74"/>
      <c r="R222" s="87"/>
      <c r="S222" s="87"/>
      <c r="T222" s="87"/>
      <c r="U222" s="87"/>
      <c r="V222" s="48"/>
      <c r="W222" s="48"/>
      <c r="X222" s="47">
        <v>1.101E-3</v>
      </c>
      <c r="Y222" s="48"/>
      <c r="Z222" s="47"/>
      <c r="AA222" s="69">
        <v>222</v>
      </c>
      <c r="AB222" s="69"/>
      <c r="AC222" s="70"/>
      <c r="AD222" s="76" t="s">
        <v>16857</v>
      </c>
      <c r="AE222" s="81" t="s">
        <v>16238</v>
      </c>
      <c r="AF222" s="76">
        <v>11</v>
      </c>
      <c r="AG222" s="76">
        <v>51</v>
      </c>
      <c r="AH222" s="76">
        <v>289</v>
      </c>
      <c r="AI222" s="76">
        <v>0</v>
      </c>
      <c r="AJ222" s="76">
        <v>28</v>
      </c>
      <c r="AK222" s="76">
        <v>5</v>
      </c>
      <c r="AL222" s="76" t="b">
        <v>0</v>
      </c>
      <c r="AM222" s="78">
        <v>43553.551747685182</v>
      </c>
      <c r="AN222" s="76" t="s">
        <v>17945</v>
      </c>
      <c r="AO222" s="76" t="s">
        <v>18352</v>
      </c>
      <c r="AP222" s="76"/>
      <c r="AQ222" s="76"/>
      <c r="AR222" s="76"/>
      <c r="AS222" s="76"/>
      <c r="AT222" s="76"/>
      <c r="AU222" s="76"/>
      <c r="AV222" s="76">
        <v>1.30585464983726E+18</v>
      </c>
      <c r="AW222" s="76"/>
      <c r="AX222" s="76" t="b">
        <v>0</v>
      </c>
      <c r="AY222" s="76"/>
      <c r="AZ222" s="76"/>
      <c r="BA222" s="76" t="b">
        <v>0</v>
      </c>
      <c r="BB222" s="76" t="b">
        <v>1</v>
      </c>
      <c r="BC222" s="76" t="b">
        <v>1</v>
      </c>
      <c r="BD222" s="76" t="b">
        <v>0</v>
      </c>
      <c r="BE222" s="76" t="b">
        <v>0</v>
      </c>
      <c r="BF222" s="76" t="b">
        <v>0</v>
      </c>
      <c r="BG222" s="76" t="b">
        <v>0</v>
      </c>
      <c r="BH222" s="76"/>
      <c r="BI222" s="76"/>
      <c r="BJ222" s="76" t="s">
        <v>19633</v>
      </c>
      <c r="BK222" s="76" t="b">
        <v>0</v>
      </c>
      <c r="BL222" s="76"/>
      <c r="BM222" s="76" t="s">
        <v>66</v>
      </c>
      <c r="BN222" s="76" t="s">
        <v>19635</v>
      </c>
      <c r="BO222" s="83" t="str">
        <f>HYPERLINK("https://twitter.com/faria_alcantara")</f>
        <v>https://twitter.com/faria_alcantara</v>
      </c>
      <c r="BP222" s="2"/>
    </row>
    <row r="223" spans="1:68" x14ac:dyDescent="0.25">
      <c r="A223" s="62" t="s">
        <v>407</v>
      </c>
      <c r="B223" s="63"/>
      <c r="C223" s="63"/>
      <c r="D223" s="64"/>
      <c r="E223" s="66"/>
      <c r="F223" s="103" t="str">
        <f>HYPERLINK("https://pbs.twimg.com/profile_images/1686834655801024512/sVEKXAB3_normal.jpg")</f>
        <v>https://pbs.twimg.com/profile_images/1686834655801024512/sVEKXAB3_normal.jpg</v>
      </c>
      <c r="G223" s="63"/>
      <c r="H223" s="67"/>
      <c r="I223" s="68"/>
      <c r="J223" s="68"/>
      <c r="K223" s="67" t="s">
        <v>19855</v>
      </c>
      <c r="L223" s="71"/>
      <c r="M223" s="72"/>
      <c r="N223" s="72"/>
      <c r="O223" s="73"/>
      <c r="P223" s="74"/>
      <c r="Q223" s="74"/>
      <c r="R223" s="87"/>
      <c r="S223" s="87"/>
      <c r="T223" s="87"/>
      <c r="U223" s="87"/>
      <c r="V223" s="48"/>
      <c r="W223" s="48"/>
      <c r="X223" s="47">
        <v>1.101E-3</v>
      </c>
      <c r="Y223" s="48"/>
      <c r="Z223" s="47"/>
      <c r="AA223" s="69">
        <v>223</v>
      </c>
      <c r="AB223" s="69"/>
      <c r="AC223" s="70"/>
      <c r="AD223" s="76" t="s">
        <v>16858</v>
      </c>
      <c r="AE223" s="81" t="s">
        <v>17614</v>
      </c>
      <c r="AF223" s="76">
        <v>1384</v>
      </c>
      <c r="AG223" s="76">
        <v>699</v>
      </c>
      <c r="AH223" s="76">
        <v>82845</v>
      </c>
      <c r="AI223" s="76">
        <v>6</v>
      </c>
      <c r="AJ223" s="76">
        <v>197</v>
      </c>
      <c r="AK223" s="76">
        <v>153</v>
      </c>
      <c r="AL223" s="76" t="b">
        <v>0</v>
      </c>
      <c r="AM223" s="78">
        <v>41030.754837962966</v>
      </c>
      <c r="AN223" s="76" t="s">
        <v>17946</v>
      </c>
      <c r="AO223" s="76" t="s">
        <v>18353</v>
      </c>
      <c r="AP223" s="83" t="str">
        <f>HYPERLINK("https://t.co/lrtTeHT5T6")</f>
        <v>https://t.co/lrtTeHT5T6</v>
      </c>
      <c r="AQ223" s="83" t="str">
        <f>HYPERLINK("https://blogdojuares.com.br")</f>
        <v>https://blogdojuares.com.br</v>
      </c>
      <c r="AR223" s="76" t="s">
        <v>19124</v>
      </c>
      <c r="AS223" s="76"/>
      <c r="AT223" s="76"/>
      <c r="AU223" s="76"/>
      <c r="AV223" s="76">
        <v>1.68177971797057E+18</v>
      </c>
      <c r="AW223" s="83" t="str">
        <f>HYPERLINK("https://t.co/lrtTeHT5T6")</f>
        <v>https://t.co/lrtTeHT5T6</v>
      </c>
      <c r="AX223" s="76" t="b">
        <v>0</v>
      </c>
      <c r="AY223" s="76"/>
      <c r="AZ223" s="76"/>
      <c r="BA223" s="76" t="b">
        <v>0</v>
      </c>
      <c r="BB223" s="76" t="b">
        <v>1</v>
      </c>
      <c r="BC223" s="76" t="b">
        <v>0</v>
      </c>
      <c r="BD223" s="76" t="b">
        <v>0</v>
      </c>
      <c r="BE223" s="76" t="b">
        <v>0</v>
      </c>
      <c r="BF223" s="76" t="b">
        <v>0</v>
      </c>
      <c r="BG223" s="76" t="b">
        <v>0</v>
      </c>
      <c r="BH223" s="83" t="str">
        <f>HYPERLINK("https://pbs.twimg.com/profile_banners/568494327/1634061488")</f>
        <v>https://pbs.twimg.com/profile_banners/568494327/1634061488</v>
      </c>
      <c r="BI223" s="76"/>
      <c r="BJ223" s="76" t="s">
        <v>19633</v>
      </c>
      <c r="BK223" s="76" t="b">
        <v>0</v>
      </c>
      <c r="BL223" s="76"/>
      <c r="BM223" s="76" t="s">
        <v>66</v>
      </c>
      <c r="BN223" s="76" t="s">
        <v>19635</v>
      </c>
      <c r="BO223" s="83" t="str">
        <f>HYPERLINK("https://twitter.com/blogdojuares")</f>
        <v>https://twitter.com/blogdojuares</v>
      </c>
      <c r="BP223" s="2"/>
    </row>
    <row r="224" spans="1:68" x14ac:dyDescent="0.25">
      <c r="A224" s="62" t="s">
        <v>408</v>
      </c>
      <c r="B224" s="63"/>
      <c r="C224" s="63"/>
      <c r="D224" s="64"/>
      <c r="E224" s="66"/>
      <c r="F224" s="103" t="str">
        <f>HYPERLINK("https://pbs.twimg.com/profile_images/1540320802092056576/11jfLaS9_normal.jpg")</f>
        <v>https://pbs.twimg.com/profile_images/1540320802092056576/11jfLaS9_normal.jpg</v>
      </c>
      <c r="G224" s="63"/>
      <c r="H224" s="67"/>
      <c r="I224" s="68"/>
      <c r="J224" s="68"/>
      <c r="K224" s="67" t="s">
        <v>19856</v>
      </c>
      <c r="L224" s="71"/>
      <c r="M224" s="72"/>
      <c r="N224" s="72"/>
      <c r="O224" s="73"/>
      <c r="P224" s="74"/>
      <c r="Q224" s="74"/>
      <c r="R224" s="87"/>
      <c r="S224" s="87"/>
      <c r="T224" s="87"/>
      <c r="U224" s="87"/>
      <c r="V224" s="48"/>
      <c r="W224" s="48"/>
      <c r="X224" s="47">
        <v>1.101E-3</v>
      </c>
      <c r="Y224" s="48"/>
      <c r="Z224" s="47"/>
      <c r="AA224" s="69">
        <v>224</v>
      </c>
      <c r="AB224" s="69"/>
      <c r="AC224" s="70"/>
      <c r="AD224" s="76" t="s">
        <v>16859</v>
      </c>
      <c r="AE224" s="81" t="s">
        <v>16239</v>
      </c>
      <c r="AF224" s="76">
        <v>4</v>
      </c>
      <c r="AG224" s="76">
        <v>2</v>
      </c>
      <c r="AH224" s="76">
        <v>13</v>
      </c>
      <c r="AI224" s="76">
        <v>0</v>
      </c>
      <c r="AJ224" s="76">
        <v>4</v>
      </c>
      <c r="AK224" s="76">
        <v>6</v>
      </c>
      <c r="AL224" s="76" t="b">
        <v>0</v>
      </c>
      <c r="AM224" s="78">
        <v>44733.808749999997</v>
      </c>
      <c r="AN224" s="76"/>
      <c r="AO224" s="76" t="s">
        <v>18354</v>
      </c>
      <c r="AP224" s="83" t="str">
        <f>HYPERLINK("https://t.co/D1oYH1PTX9")</f>
        <v>https://t.co/D1oYH1PTX9</v>
      </c>
      <c r="AQ224" s="83" t="str">
        <f>HYPERLINK("http://avidamaisrica.com")</f>
        <v>http://avidamaisrica.com</v>
      </c>
      <c r="AR224" s="76" t="s">
        <v>6033</v>
      </c>
      <c r="AS224" s="76"/>
      <c r="AT224" s="76"/>
      <c r="AU224" s="76"/>
      <c r="AV224" s="76"/>
      <c r="AW224" s="83" t="str">
        <f>HYPERLINK("https://t.co/D1oYH1PTX9")</f>
        <v>https://t.co/D1oYH1PTX9</v>
      </c>
      <c r="AX224" s="76" t="b">
        <v>0</v>
      </c>
      <c r="AY224" s="76"/>
      <c r="AZ224" s="76"/>
      <c r="BA224" s="76" t="b">
        <v>0</v>
      </c>
      <c r="BB224" s="76" t="b">
        <v>1</v>
      </c>
      <c r="BC224" s="76" t="b">
        <v>1</v>
      </c>
      <c r="BD224" s="76" t="b">
        <v>0</v>
      </c>
      <c r="BE224" s="76" t="b">
        <v>0</v>
      </c>
      <c r="BF224" s="76" t="b">
        <v>0</v>
      </c>
      <c r="BG224" s="76" t="b">
        <v>0</v>
      </c>
      <c r="BH224" s="76"/>
      <c r="BI224" s="76"/>
      <c r="BJ224" s="76" t="s">
        <v>19633</v>
      </c>
      <c r="BK224" s="76" t="b">
        <v>0</v>
      </c>
      <c r="BL224" s="76"/>
      <c r="BM224" s="76" t="s">
        <v>66</v>
      </c>
      <c r="BN224" s="76" t="s">
        <v>19635</v>
      </c>
      <c r="BO224" s="83" t="str">
        <f>HYPERLINK("https://twitter.com/avidamaisrica")</f>
        <v>https://twitter.com/avidamaisrica</v>
      </c>
      <c r="BP224" s="2"/>
    </row>
    <row r="225" spans="1:68" x14ac:dyDescent="0.25">
      <c r="A225" s="62" t="s">
        <v>409</v>
      </c>
      <c r="B225" s="63"/>
      <c r="C225" s="63"/>
      <c r="D225" s="64"/>
      <c r="E225" s="66"/>
      <c r="F225" s="103" t="str">
        <f>HYPERLINK("https://pbs.twimg.com/profile_images/1509644692656431105/MWyCysV8_normal.jpg")</f>
        <v>https://pbs.twimg.com/profile_images/1509644692656431105/MWyCysV8_normal.jpg</v>
      </c>
      <c r="G225" s="63"/>
      <c r="H225" s="67"/>
      <c r="I225" s="68"/>
      <c r="J225" s="68"/>
      <c r="K225" s="67" t="s">
        <v>19857</v>
      </c>
      <c r="L225" s="71"/>
      <c r="M225" s="72"/>
      <c r="N225" s="72"/>
      <c r="O225" s="73"/>
      <c r="P225" s="74"/>
      <c r="Q225" s="74"/>
      <c r="R225" s="87"/>
      <c r="S225" s="87"/>
      <c r="T225" s="87"/>
      <c r="U225" s="87"/>
      <c r="V225" s="48"/>
      <c r="W225" s="48"/>
      <c r="X225" s="47">
        <v>1.101E-3</v>
      </c>
      <c r="Y225" s="48"/>
      <c r="Z225" s="47"/>
      <c r="AA225" s="69">
        <v>225</v>
      </c>
      <c r="AB225" s="69"/>
      <c r="AC225" s="70"/>
      <c r="AD225" s="76" t="s">
        <v>16860</v>
      </c>
      <c r="AE225" s="81" t="s">
        <v>17615</v>
      </c>
      <c r="AF225" s="76">
        <v>92</v>
      </c>
      <c r="AG225" s="76">
        <v>182</v>
      </c>
      <c r="AH225" s="76">
        <v>1827</v>
      </c>
      <c r="AI225" s="76">
        <v>23</v>
      </c>
      <c r="AJ225" s="76">
        <v>710</v>
      </c>
      <c r="AK225" s="76">
        <v>111</v>
      </c>
      <c r="AL225" s="76" t="b">
        <v>0</v>
      </c>
      <c r="AM225" s="78">
        <v>41716.724537037036</v>
      </c>
      <c r="AN225" s="76" t="s">
        <v>17947</v>
      </c>
      <c r="AO225" s="76" t="s">
        <v>18355</v>
      </c>
      <c r="AP225" s="83" t="str">
        <f>HYPERLINK("https://t.co/LPBfOcO2JV")</f>
        <v>https://t.co/LPBfOcO2JV</v>
      </c>
      <c r="AQ225" s="83" t="str">
        <f>HYPERLINK("https://linktr.ee/joaoricardosil")</f>
        <v>https://linktr.ee/joaoricardosil</v>
      </c>
      <c r="AR225" s="76" t="s">
        <v>19125</v>
      </c>
      <c r="AS225" s="76"/>
      <c r="AT225" s="76"/>
      <c r="AU225" s="76"/>
      <c r="AV225" s="76"/>
      <c r="AW225" s="83" t="str">
        <f>HYPERLINK("https://t.co/LPBfOcO2JV")</f>
        <v>https://t.co/LPBfOcO2JV</v>
      </c>
      <c r="AX225" s="76" t="b">
        <v>0</v>
      </c>
      <c r="AY225" s="76"/>
      <c r="AZ225" s="76"/>
      <c r="BA225" s="76" t="b">
        <v>1</v>
      </c>
      <c r="BB225" s="76" t="b">
        <v>1</v>
      </c>
      <c r="BC225" s="76" t="b">
        <v>0</v>
      </c>
      <c r="BD225" s="76" t="b">
        <v>0</v>
      </c>
      <c r="BE225" s="76" t="b">
        <v>0</v>
      </c>
      <c r="BF225" s="76" t="b">
        <v>0</v>
      </c>
      <c r="BG225" s="76" t="b">
        <v>0</v>
      </c>
      <c r="BH225" s="83" t="str">
        <f>HYPERLINK("https://pbs.twimg.com/profile_banners/2396564851/1673956296")</f>
        <v>https://pbs.twimg.com/profile_banners/2396564851/1673956296</v>
      </c>
      <c r="BI225" s="76"/>
      <c r="BJ225" s="76" t="s">
        <v>19633</v>
      </c>
      <c r="BK225" s="76" t="b">
        <v>0</v>
      </c>
      <c r="BL225" s="76"/>
      <c r="BM225" s="76" t="s">
        <v>66</v>
      </c>
      <c r="BN225" s="76" t="s">
        <v>19635</v>
      </c>
      <c r="BO225" s="83" t="str">
        <f>HYPERLINK("https://twitter.com/joaoricardosil")</f>
        <v>https://twitter.com/joaoricardosil</v>
      </c>
      <c r="BP225" s="2"/>
    </row>
    <row r="226" spans="1:68" x14ac:dyDescent="0.25">
      <c r="A226" s="62" t="s">
        <v>410</v>
      </c>
      <c r="B226" s="63"/>
      <c r="C226" s="63"/>
      <c r="D226" s="64"/>
      <c r="E226" s="66"/>
      <c r="F226" s="103" t="str">
        <f>HYPERLINK("https://pbs.twimg.com/profile_images/1641808016273035267/OwHmiN9Y_normal.jpg")</f>
        <v>https://pbs.twimg.com/profile_images/1641808016273035267/OwHmiN9Y_normal.jpg</v>
      </c>
      <c r="G226" s="63"/>
      <c r="H226" s="67"/>
      <c r="I226" s="68"/>
      <c r="J226" s="68"/>
      <c r="K226" s="67" t="s">
        <v>19858</v>
      </c>
      <c r="L226" s="71"/>
      <c r="M226" s="72"/>
      <c r="N226" s="72"/>
      <c r="O226" s="73"/>
      <c r="P226" s="74"/>
      <c r="Q226" s="74"/>
      <c r="R226" s="87"/>
      <c r="S226" s="87"/>
      <c r="T226" s="87"/>
      <c r="U226" s="87"/>
      <c r="V226" s="48"/>
      <c r="W226" s="48"/>
      <c r="X226" s="47">
        <v>1.101E-3</v>
      </c>
      <c r="Y226" s="48"/>
      <c r="Z226" s="47"/>
      <c r="AA226" s="69">
        <v>226</v>
      </c>
      <c r="AB226" s="69"/>
      <c r="AC226" s="70"/>
      <c r="AD226" s="76" t="s">
        <v>16861</v>
      </c>
      <c r="AE226" s="81" t="s">
        <v>17616</v>
      </c>
      <c r="AF226" s="76">
        <v>75</v>
      </c>
      <c r="AG226" s="76">
        <v>78</v>
      </c>
      <c r="AH226" s="76">
        <v>1191</v>
      </c>
      <c r="AI226" s="76">
        <v>1</v>
      </c>
      <c r="AJ226" s="76">
        <v>45</v>
      </c>
      <c r="AK226" s="76">
        <v>400</v>
      </c>
      <c r="AL226" s="76" t="b">
        <v>0</v>
      </c>
      <c r="AM226" s="78">
        <v>42131.674942129626</v>
      </c>
      <c r="AN226" s="76"/>
      <c r="AO226" s="76"/>
      <c r="AP226" s="76"/>
      <c r="AQ226" s="76"/>
      <c r="AR226" s="76"/>
      <c r="AS226" s="76"/>
      <c r="AT226" s="76"/>
      <c r="AU226" s="76"/>
      <c r="AV226" s="76">
        <v>1.5785372725000499E+18</v>
      </c>
      <c r="AW226" s="76"/>
      <c r="AX226" s="76" t="b">
        <v>0</v>
      </c>
      <c r="AY226" s="76"/>
      <c r="AZ226" s="76"/>
      <c r="BA226" s="76" t="b">
        <v>0</v>
      </c>
      <c r="BB226" s="76" t="b">
        <v>1</v>
      </c>
      <c r="BC226" s="76" t="b">
        <v>1</v>
      </c>
      <c r="BD226" s="76" t="b">
        <v>0</v>
      </c>
      <c r="BE226" s="76" t="b">
        <v>0</v>
      </c>
      <c r="BF226" s="76" t="b">
        <v>0</v>
      </c>
      <c r="BG226" s="76" t="b">
        <v>0</v>
      </c>
      <c r="BH226" s="76"/>
      <c r="BI226" s="76"/>
      <c r="BJ226" s="76" t="s">
        <v>19633</v>
      </c>
      <c r="BK226" s="76" t="b">
        <v>0</v>
      </c>
      <c r="BL226" s="76"/>
      <c r="BM226" s="76" t="s">
        <v>66</v>
      </c>
      <c r="BN226" s="76" t="s">
        <v>19635</v>
      </c>
      <c r="BO226" s="83" t="str">
        <f>HYPERLINK("https://twitter.com/mondinthalles")</f>
        <v>https://twitter.com/mondinthalles</v>
      </c>
      <c r="BP226" s="2"/>
    </row>
    <row r="227" spans="1:68" x14ac:dyDescent="0.25">
      <c r="A227" s="62" t="s">
        <v>411</v>
      </c>
      <c r="B227" s="63"/>
      <c r="C227" s="63"/>
      <c r="D227" s="64"/>
      <c r="E227" s="66"/>
      <c r="F227" s="103" t="str">
        <f>HYPERLINK("https://pbs.twimg.com/profile_images/1506313757764554755/ugBzPPvW_normal.jpg")</f>
        <v>https://pbs.twimg.com/profile_images/1506313757764554755/ugBzPPvW_normal.jpg</v>
      </c>
      <c r="G227" s="63"/>
      <c r="H227" s="67"/>
      <c r="I227" s="68"/>
      <c r="J227" s="68"/>
      <c r="K227" s="67" t="s">
        <v>19859</v>
      </c>
      <c r="L227" s="71"/>
      <c r="M227" s="72"/>
      <c r="N227" s="72"/>
      <c r="O227" s="73"/>
      <c r="P227" s="74"/>
      <c r="Q227" s="74"/>
      <c r="R227" s="87"/>
      <c r="S227" s="87"/>
      <c r="T227" s="87"/>
      <c r="U227" s="87"/>
      <c r="V227" s="48"/>
      <c r="W227" s="48"/>
      <c r="X227" s="47">
        <v>1.101E-3</v>
      </c>
      <c r="Y227" s="48"/>
      <c r="Z227" s="47"/>
      <c r="AA227" s="69">
        <v>227</v>
      </c>
      <c r="AB227" s="69"/>
      <c r="AC227" s="70"/>
      <c r="AD227" s="76" t="s">
        <v>16862</v>
      </c>
      <c r="AE227" s="81" t="s">
        <v>17617</v>
      </c>
      <c r="AF227" s="76">
        <v>56472</v>
      </c>
      <c r="AG227" s="76">
        <v>77</v>
      </c>
      <c r="AH227" s="76">
        <v>125163</v>
      </c>
      <c r="AI227" s="76">
        <v>496</v>
      </c>
      <c r="AJ227" s="76">
        <v>11</v>
      </c>
      <c r="AK227" s="76">
        <v>70693</v>
      </c>
      <c r="AL227" s="76" t="b">
        <v>0</v>
      </c>
      <c r="AM227" s="78">
        <v>40638.579432870371</v>
      </c>
      <c r="AN227" s="76" t="s">
        <v>17948</v>
      </c>
      <c r="AO227" s="76" t="s">
        <v>18356</v>
      </c>
      <c r="AP227" s="83" t="str">
        <f>HYPERLINK("https://t.co/Tlk26z2QmD")</f>
        <v>https://t.co/Tlk26z2QmD</v>
      </c>
      <c r="AQ227" s="83" t="str">
        <f>HYPERLINK("http://www.dinheirovivo.pt")</f>
        <v>http://www.dinheirovivo.pt</v>
      </c>
      <c r="AR227" s="76" t="s">
        <v>6035</v>
      </c>
      <c r="AS227" s="76"/>
      <c r="AT227" s="76"/>
      <c r="AU227" s="76"/>
      <c r="AV227" s="76"/>
      <c r="AW227" s="83" t="str">
        <f>HYPERLINK("https://t.co/Tlk26z2QmD")</f>
        <v>https://t.co/Tlk26z2QmD</v>
      </c>
      <c r="AX227" s="76" t="b">
        <v>1</v>
      </c>
      <c r="AY227" s="76"/>
      <c r="AZ227" s="76"/>
      <c r="BA227" s="76" t="b">
        <v>0</v>
      </c>
      <c r="BB227" s="76" t="b">
        <v>1</v>
      </c>
      <c r="BC227" s="76" t="b">
        <v>0</v>
      </c>
      <c r="BD227" s="76" t="b">
        <v>0</v>
      </c>
      <c r="BE227" s="76" t="b">
        <v>0</v>
      </c>
      <c r="BF227" s="76" t="b">
        <v>0</v>
      </c>
      <c r="BG227" s="76" t="b">
        <v>0</v>
      </c>
      <c r="BH227" s="83" t="str">
        <f>HYPERLINK("https://pbs.twimg.com/profile_banners/277495114/1671107454")</f>
        <v>https://pbs.twimg.com/profile_banners/277495114/1671107454</v>
      </c>
      <c r="BI227" s="76"/>
      <c r="BJ227" s="76" t="s">
        <v>19633</v>
      </c>
      <c r="BK227" s="76" t="b">
        <v>0</v>
      </c>
      <c r="BL227" s="76"/>
      <c r="BM227" s="76" t="s">
        <v>66</v>
      </c>
      <c r="BN227" s="76" t="s">
        <v>19635</v>
      </c>
      <c r="BO227" s="83" t="str">
        <f>HYPERLINK("https://twitter.com/dinheiro_vivo")</f>
        <v>https://twitter.com/dinheiro_vivo</v>
      </c>
      <c r="BP227" s="2"/>
    </row>
    <row r="228" spans="1:68" x14ac:dyDescent="0.25">
      <c r="A228" s="62" t="s">
        <v>412</v>
      </c>
      <c r="B228" s="63"/>
      <c r="C228" s="63"/>
      <c r="D228" s="64"/>
      <c r="E228" s="66"/>
      <c r="F228" s="103" t="str">
        <f>HYPERLINK("https://pbs.twimg.com/profile_images/1369748302854504453/ShpJasNI_normal.jpg")</f>
        <v>https://pbs.twimg.com/profile_images/1369748302854504453/ShpJasNI_normal.jpg</v>
      </c>
      <c r="G228" s="63"/>
      <c r="H228" s="67"/>
      <c r="I228" s="68"/>
      <c r="J228" s="68"/>
      <c r="K228" s="67" t="s">
        <v>19860</v>
      </c>
      <c r="L228" s="71"/>
      <c r="M228" s="72"/>
      <c r="N228" s="72"/>
      <c r="O228" s="73"/>
      <c r="P228" s="74"/>
      <c r="Q228" s="74"/>
      <c r="R228" s="87"/>
      <c r="S228" s="87"/>
      <c r="T228" s="87"/>
      <c r="U228" s="87"/>
      <c r="V228" s="48"/>
      <c r="W228" s="48"/>
      <c r="X228" s="47">
        <v>1.101E-3</v>
      </c>
      <c r="Y228" s="48"/>
      <c r="Z228" s="47"/>
      <c r="AA228" s="69">
        <v>228</v>
      </c>
      <c r="AB228" s="69"/>
      <c r="AC228" s="70"/>
      <c r="AD228" s="76" t="s">
        <v>16863</v>
      </c>
      <c r="AE228" s="81" t="s">
        <v>15704</v>
      </c>
      <c r="AF228" s="76">
        <v>459</v>
      </c>
      <c r="AG228" s="76">
        <v>16</v>
      </c>
      <c r="AH228" s="76">
        <v>1416</v>
      </c>
      <c r="AI228" s="76">
        <v>7</v>
      </c>
      <c r="AJ228" s="76">
        <v>68</v>
      </c>
      <c r="AK228" s="76">
        <v>717</v>
      </c>
      <c r="AL228" s="76" t="b">
        <v>0</v>
      </c>
      <c r="AM228" s="78">
        <v>43332.60193287037</v>
      </c>
      <c r="AN228" s="76"/>
      <c r="AO228" s="76" t="s">
        <v>18357</v>
      </c>
      <c r="AP228" s="83" t="str">
        <f>HYPERLINK("https://t.co/zUigTqdEgn")</f>
        <v>https://t.co/zUigTqdEgn</v>
      </c>
      <c r="AQ228" s="83" t="str">
        <f>HYPERLINK("https://linktr.ee/sonartradeoficial")</f>
        <v>https://linktr.ee/sonartradeoficial</v>
      </c>
      <c r="AR228" s="76" t="s">
        <v>19126</v>
      </c>
      <c r="AS228" s="76"/>
      <c r="AT228" s="76"/>
      <c r="AU228" s="76"/>
      <c r="AV228" s="76"/>
      <c r="AW228" s="83" t="str">
        <f>HYPERLINK("https://t.co/zUigTqdEgn")</f>
        <v>https://t.co/zUigTqdEgn</v>
      </c>
      <c r="AX228" s="76" t="b">
        <v>1</v>
      </c>
      <c r="AY228" s="76"/>
      <c r="AZ228" s="76"/>
      <c r="BA228" s="76" t="b">
        <v>0</v>
      </c>
      <c r="BB228" s="76" t="b">
        <v>1</v>
      </c>
      <c r="BC228" s="76" t="b">
        <v>0</v>
      </c>
      <c r="BD228" s="76" t="b">
        <v>0</v>
      </c>
      <c r="BE228" s="76" t="b">
        <v>0</v>
      </c>
      <c r="BF228" s="76" t="b">
        <v>0</v>
      </c>
      <c r="BG228" s="76" t="b">
        <v>0</v>
      </c>
      <c r="BH228" s="83" t="str">
        <f>HYPERLINK("https://pbs.twimg.com/profile_banners/1031548103416049675/1615488663")</f>
        <v>https://pbs.twimg.com/profile_banners/1031548103416049675/1615488663</v>
      </c>
      <c r="BI228" s="76"/>
      <c r="BJ228" s="76" t="s">
        <v>19633</v>
      </c>
      <c r="BK228" s="76" t="b">
        <v>0</v>
      </c>
      <c r="BL228" s="76"/>
      <c r="BM228" s="76" t="s">
        <v>66</v>
      </c>
      <c r="BN228" s="76" t="s">
        <v>19635</v>
      </c>
      <c r="BO228" s="83" t="str">
        <f>HYPERLINK("https://twitter.com/sonartrade")</f>
        <v>https://twitter.com/sonartrade</v>
      </c>
      <c r="BP228" s="2"/>
    </row>
    <row r="229" spans="1:68" x14ac:dyDescent="0.25">
      <c r="A229" s="62" t="s">
        <v>413</v>
      </c>
      <c r="B229" s="63"/>
      <c r="C229" s="63"/>
      <c r="D229" s="64"/>
      <c r="E229" s="66"/>
      <c r="F229" s="103" t="str">
        <f>HYPERLINK("https://pbs.twimg.com/profile_images/1583951286155845638/_PVjXzWM_normal.jpg")</f>
        <v>https://pbs.twimg.com/profile_images/1583951286155845638/_PVjXzWM_normal.jpg</v>
      </c>
      <c r="G229" s="63"/>
      <c r="H229" s="67"/>
      <c r="I229" s="68"/>
      <c r="J229" s="68"/>
      <c r="K229" s="67" t="s">
        <v>19861</v>
      </c>
      <c r="L229" s="71"/>
      <c r="M229" s="72"/>
      <c r="N229" s="72"/>
      <c r="O229" s="73"/>
      <c r="P229" s="74"/>
      <c r="Q229" s="74"/>
      <c r="R229" s="87"/>
      <c r="S229" s="87"/>
      <c r="T229" s="87"/>
      <c r="U229" s="87"/>
      <c r="V229" s="48"/>
      <c r="W229" s="48"/>
      <c r="X229" s="47">
        <v>1.101E-3</v>
      </c>
      <c r="Y229" s="48"/>
      <c r="Z229" s="47"/>
      <c r="AA229" s="69">
        <v>229</v>
      </c>
      <c r="AB229" s="69"/>
      <c r="AC229" s="70"/>
      <c r="AD229" s="76" t="s">
        <v>16864</v>
      </c>
      <c r="AE229" s="81" t="s">
        <v>17618</v>
      </c>
      <c r="AF229" s="76">
        <v>3439</v>
      </c>
      <c r="AG229" s="76">
        <v>613</v>
      </c>
      <c r="AH229" s="76">
        <v>3628</v>
      </c>
      <c r="AI229" s="76">
        <v>114</v>
      </c>
      <c r="AJ229" s="76">
        <v>728</v>
      </c>
      <c r="AK229" s="76">
        <v>407</v>
      </c>
      <c r="AL229" s="76" t="b">
        <v>0</v>
      </c>
      <c r="AM229" s="78">
        <v>40036.390428240738</v>
      </c>
      <c r="AN229" s="76" t="s">
        <v>17949</v>
      </c>
      <c r="AO229" s="76" t="s">
        <v>18358</v>
      </c>
      <c r="AP229" s="83" t="str">
        <f>HYPERLINK("https://t.co/S7KV1aemuG")</f>
        <v>https://t.co/S7KV1aemuG</v>
      </c>
      <c r="AQ229" s="83" t="str">
        <f>HYPERLINK("http://www.betoveiga.com")</f>
        <v>http://www.betoveiga.com</v>
      </c>
      <c r="AR229" s="76" t="s">
        <v>19127</v>
      </c>
      <c r="AS229" s="76"/>
      <c r="AT229" s="76"/>
      <c r="AU229" s="76"/>
      <c r="AV229" s="76"/>
      <c r="AW229" s="83" t="str">
        <f>HYPERLINK("https://t.co/S7KV1aemuG")</f>
        <v>https://t.co/S7KV1aemuG</v>
      </c>
      <c r="AX229" s="76" t="b">
        <v>0</v>
      </c>
      <c r="AY229" s="76"/>
      <c r="AZ229" s="76"/>
      <c r="BA229" s="76" t="b">
        <v>0</v>
      </c>
      <c r="BB229" s="76" t="b">
        <v>1</v>
      </c>
      <c r="BC229" s="76" t="b">
        <v>0</v>
      </c>
      <c r="BD229" s="76" t="b">
        <v>0</v>
      </c>
      <c r="BE229" s="76" t="b">
        <v>1</v>
      </c>
      <c r="BF229" s="76" t="b">
        <v>0</v>
      </c>
      <c r="BG229" s="76" t="b">
        <v>0</v>
      </c>
      <c r="BH229" s="83" t="str">
        <f>HYPERLINK("https://pbs.twimg.com/profile_banners/64670566/1562937128")</f>
        <v>https://pbs.twimg.com/profile_banners/64670566/1562937128</v>
      </c>
      <c r="BI229" s="76"/>
      <c r="BJ229" s="76" t="s">
        <v>19633</v>
      </c>
      <c r="BK229" s="76" t="b">
        <v>0</v>
      </c>
      <c r="BL229" s="76"/>
      <c r="BM229" s="76" t="s">
        <v>66</v>
      </c>
      <c r="BN229" s="76" t="s">
        <v>19635</v>
      </c>
      <c r="BO229" s="83" t="str">
        <f>HYPERLINK("https://twitter.com/blogdobetoveiga")</f>
        <v>https://twitter.com/blogdobetoveiga</v>
      </c>
      <c r="BP229" s="2"/>
    </row>
    <row r="230" spans="1:68" x14ac:dyDescent="0.25">
      <c r="A230" s="62" t="s">
        <v>414</v>
      </c>
      <c r="B230" s="63"/>
      <c r="C230" s="63"/>
      <c r="D230" s="64"/>
      <c r="E230" s="66"/>
      <c r="F230" s="103" t="str">
        <f>HYPERLINK("https://pbs.twimg.com/profile_images/1436137087/empresa_normal.jpg")</f>
        <v>https://pbs.twimg.com/profile_images/1436137087/empresa_normal.jpg</v>
      </c>
      <c r="G230" s="63"/>
      <c r="H230" s="67"/>
      <c r="I230" s="68"/>
      <c r="J230" s="68"/>
      <c r="K230" s="67" t="s">
        <v>19862</v>
      </c>
      <c r="L230" s="71"/>
      <c r="M230" s="72"/>
      <c r="N230" s="72"/>
      <c r="O230" s="73"/>
      <c r="P230" s="74"/>
      <c r="Q230" s="74"/>
      <c r="R230" s="87"/>
      <c r="S230" s="87"/>
      <c r="T230" s="87"/>
      <c r="U230" s="87"/>
      <c r="V230" s="48"/>
      <c r="W230" s="48"/>
      <c r="X230" s="47">
        <v>9.7999999999999997E-4</v>
      </c>
      <c r="Y230" s="48"/>
      <c r="Z230" s="47"/>
      <c r="AA230" s="69">
        <v>230</v>
      </c>
      <c r="AB230" s="69"/>
      <c r="AC230" s="70"/>
      <c r="AD230" s="76" t="s">
        <v>16865</v>
      </c>
      <c r="AE230" s="81" t="s">
        <v>17619</v>
      </c>
      <c r="AF230" s="76">
        <v>152</v>
      </c>
      <c r="AG230" s="76">
        <v>197</v>
      </c>
      <c r="AH230" s="76">
        <v>7913</v>
      </c>
      <c r="AI230" s="76">
        <v>10</v>
      </c>
      <c r="AJ230" s="76">
        <v>2942</v>
      </c>
      <c r="AK230" s="76">
        <v>125</v>
      </c>
      <c r="AL230" s="76" t="b">
        <v>0</v>
      </c>
      <c r="AM230" s="78">
        <v>40735.091886574075</v>
      </c>
      <c r="AN230" s="76" t="s">
        <v>17950</v>
      </c>
      <c r="AO230" s="76" t="s">
        <v>18359</v>
      </c>
      <c r="AP230" s="83" t="str">
        <f>HYPERLINK("https://t.co/xvf8BpRIFt")</f>
        <v>https://t.co/xvf8BpRIFt</v>
      </c>
      <c r="AQ230" s="83" t="str">
        <f>HYPERLINK("https://linktr.ee/centralcursoss")</f>
        <v>https://linktr.ee/centralcursoss</v>
      </c>
      <c r="AR230" s="76" t="s">
        <v>19128</v>
      </c>
      <c r="AS230" s="76"/>
      <c r="AT230" s="76"/>
      <c r="AU230" s="76"/>
      <c r="AV230" s="76">
        <v>1.6342175661503099E+18</v>
      </c>
      <c r="AW230" s="83" t="str">
        <f>HYPERLINK("https://t.co/xvf8BpRIFt")</f>
        <v>https://t.co/xvf8BpRIFt</v>
      </c>
      <c r="AX230" s="76" t="b">
        <v>0</v>
      </c>
      <c r="AY230" s="76"/>
      <c r="AZ230" s="76"/>
      <c r="BA230" s="76" t="b">
        <v>0</v>
      </c>
      <c r="BB230" s="76" t="b">
        <v>1</v>
      </c>
      <c r="BC230" s="76" t="b">
        <v>1</v>
      </c>
      <c r="BD230" s="76" t="b">
        <v>0</v>
      </c>
      <c r="BE230" s="76" t="b">
        <v>0</v>
      </c>
      <c r="BF230" s="76" t="b">
        <v>0</v>
      </c>
      <c r="BG230" s="76" t="b">
        <v>0</v>
      </c>
      <c r="BH230" s="83" t="str">
        <f>HYPERLINK("https://pbs.twimg.com/profile_banners/333147653/1643738044")</f>
        <v>https://pbs.twimg.com/profile_banners/333147653/1643738044</v>
      </c>
      <c r="BI230" s="76"/>
      <c r="BJ230" s="76" t="s">
        <v>19633</v>
      </c>
      <c r="BK230" s="76" t="b">
        <v>0</v>
      </c>
      <c r="BL230" s="76"/>
      <c r="BM230" s="76" t="s">
        <v>66</v>
      </c>
      <c r="BN230" s="76" t="s">
        <v>19635</v>
      </c>
      <c r="BO230" s="83" t="str">
        <f>HYPERLINK("https://twitter.com/centralcursoss")</f>
        <v>https://twitter.com/centralcursoss</v>
      </c>
      <c r="BP230" s="2"/>
    </row>
    <row r="231" spans="1:68" x14ac:dyDescent="0.25">
      <c r="A231" s="62" t="s">
        <v>415</v>
      </c>
      <c r="B231" s="63"/>
      <c r="C231" s="63"/>
      <c r="D231" s="64"/>
      <c r="E231" s="66"/>
      <c r="F231" s="103" t="str">
        <f>HYPERLINK("https://pbs.twimg.com/profile_images/1680970917977939969/-cbAdNlU_normal.jpg")</f>
        <v>https://pbs.twimg.com/profile_images/1680970917977939969/-cbAdNlU_normal.jpg</v>
      </c>
      <c r="G231" s="63"/>
      <c r="H231" s="67"/>
      <c r="I231" s="68"/>
      <c r="J231" s="68"/>
      <c r="K231" s="67" t="s">
        <v>19863</v>
      </c>
      <c r="L231" s="71"/>
      <c r="M231" s="72"/>
      <c r="N231" s="72"/>
      <c r="O231" s="73"/>
      <c r="P231" s="74"/>
      <c r="Q231" s="74"/>
      <c r="R231" s="87"/>
      <c r="S231" s="87"/>
      <c r="T231" s="87"/>
      <c r="U231" s="87"/>
      <c r="V231" s="48"/>
      <c r="W231" s="48"/>
      <c r="X231" s="47">
        <v>1.101E-3</v>
      </c>
      <c r="Y231" s="48"/>
      <c r="Z231" s="47"/>
      <c r="AA231" s="69">
        <v>231</v>
      </c>
      <c r="AB231" s="69"/>
      <c r="AC231" s="70"/>
      <c r="AD231" s="76" t="s">
        <v>16866</v>
      </c>
      <c r="AE231" s="81" t="s">
        <v>15705</v>
      </c>
      <c r="AF231" s="76">
        <v>8</v>
      </c>
      <c r="AG231" s="76">
        <v>119</v>
      </c>
      <c r="AH231" s="76">
        <v>62</v>
      </c>
      <c r="AI231" s="76">
        <v>1</v>
      </c>
      <c r="AJ231" s="76">
        <v>7</v>
      </c>
      <c r="AK231" s="76">
        <v>10</v>
      </c>
      <c r="AL231" s="76" t="b">
        <v>0</v>
      </c>
      <c r="AM231" s="78">
        <v>45078.986145833333</v>
      </c>
      <c r="AN231" s="76" t="s">
        <v>10552</v>
      </c>
      <c r="AO231" s="76" t="s">
        <v>18360</v>
      </c>
      <c r="AP231" s="83" t="str">
        <f>HYPERLINK("https://t.co/lN3qNnv0XZ")</f>
        <v>https://t.co/lN3qNnv0XZ</v>
      </c>
      <c r="AQ231" s="83" t="str">
        <f>HYPERLINK("https://linktr.ee/econovisao")</f>
        <v>https://linktr.ee/econovisao</v>
      </c>
      <c r="AR231" s="76" t="s">
        <v>19129</v>
      </c>
      <c r="AS231" s="76"/>
      <c r="AT231" s="76"/>
      <c r="AU231" s="76"/>
      <c r="AV231" s="76"/>
      <c r="AW231" s="83" t="str">
        <f>HYPERLINK("https://t.co/lN3qNnv0XZ")</f>
        <v>https://t.co/lN3qNnv0XZ</v>
      </c>
      <c r="AX231" s="76" t="b">
        <v>0</v>
      </c>
      <c r="AY231" s="76"/>
      <c r="AZ231" s="76"/>
      <c r="BA231" s="76" t="b">
        <v>0</v>
      </c>
      <c r="BB231" s="76" t="b">
        <v>1</v>
      </c>
      <c r="BC231" s="76" t="b">
        <v>1</v>
      </c>
      <c r="BD231" s="76" t="b">
        <v>0</v>
      </c>
      <c r="BE231" s="76" t="b">
        <v>0</v>
      </c>
      <c r="BF231" s="76" t="b">
        <v>0</v>
      </c>
      <c r="BG231" s="76" t="b">
        <v>0</v>
      </c>
      <c r="BH231" s="83" t="str">
        <f>HYPERLINK("https://pbs.twimg.com/profile_banners/1664416457046802432/1689609672")</f>
        <v>https://pbs.twimg.com/profile_banners/1664416457046802432/1689609672</v>
      </c>
      <c r="BI231" s="76"/>
      <c r="BJ231" s="76" t="s">
        <v>19633</v>
      </c>
      <c r="BK231" s="76" t="b">
        <v>0</v>
      </c>
      <c r="BL231" s="76"/>
      <c r="BM231" s="76" t="s">
        <v>66</v>
      </c>
      <c r="BN231" s="76" t="s">
        <v>19635</v>
      </c>
      <c r="BO231" s="83" t="str">
        <f>HYPERLINK("https://twitter.com/econovisao")</f>
        <v>https://twitter.com/econovisao</v>
      </c>
      <c r="BP231" s="2"/>
    </row>
    <row r="232" spans="1:68" x14ac:dyDescent="0.25">
      <c r="A232" s="62" t="s">
        <v>416</v>
      </c>
      <c r="B232" s="63"/>
      <c r="C232" s="63"/>
      <c r="D232" s="64"/>
      <c r="E232" s="66"/>
      <c r="F232" s="103" t="str">
        <f>HYPERLINK("https://pbs.twimg.com/profile_images/1635926557977100289/xd69FX_J_normal.jpg")</f>
        <v>https://pbs.twimg.com/profile_images/1635926557977100289/xd69FX_J_normal.jpg</v>
      </c>
      <c r="G232" s="63"/>
      <c r="H232" s="67"/>
      <c r="I232" s="68"/>
      <c r="J232" s="68"/>
      <c r="K232" s="67" t="s">
        <v>19864</v>
      </c>
      <c r="L232" s="71"/>
      <c r="M232" s="72"/>
      <c r="N232" s="72"/>
      <c r="O232" s="73"/>
      <c r="P232" s="74"/>
      <c r="Q232" s="74"/>
      <c r="R232" s="87"/>
      <c r="S232" s="87"/>
      <c r="T232" s="87"/>
      <c r="U232" s="87"/>
      <c r="V232" s="48"/>
      <c r="W232" s="48"/>
      <c r="X232" s="47">
        <v>1.101E-3</v>
      </c>
      <c r="Y232" s="48"/>
      <c r="Z232" s="47"/>
      <c r="AA232" s="69">
        <v>232</v>
      </c>
      <c r="AB232" s="69"/>
      <c r="AC232" s="70"/>
      <c r="AD232" s="76" t="s">
        <v>16867</v>
      </c>
      <c r="AE232" s="81" t="s">
        <v>15706</v>
      </c>
      <c r="AF232" s="76">
        <v>130</v>
      </c>
      <c r="AG232" s="76">
        <v>23</v>
      </c>
      <c r="AH232" s="76">
        <v>901</v>
      </c>
      <c r="AI232" s="76">
        <v>1</v>
      </c>
      <c r="AJ232" s="76">
        <v>65</v>
      </c>
      <c r="AK232" s="76">
        <v>436</v>
      </c>
      <c r="AL232" s="76" t="b">
        <v>0</v>
      </c>
      <c r="AM232" s="78">
        <v>42933.850810185184</v>
      </c>
      <c r="AN232" s="76" t="s">
        <v>17951</v>
      </c>
      <c r="AO232" s="76" t="s">
        <v>18361</v>
      </c>
      <c r="AP232" s="83" t="str">
        <f>HYPERLINK("https://t.co/w0swFZ0aWj")</f>
        <v>https://t.co/w0swFZ0aWj</v>
      </c>
      <c r="AQ232" s="83" t="str">
        <f>HYPERLINK("https://bit.ly/CanalMQL5TraderVlog")</f>
        <v>https://bit.ly/CanalMQL5TraderVlog</v>
      </c>
      <c r="AR232" s="76" t="s">
        <v>19130</v>
      </c>
      <c r="AS232" s="76"/>
      <c r="AT232" s="76"/>
      <c r="AU232" s="76"/>
      <c r="AV232" s="76">
        <v>1.6569119628975501E+18</v>
      </c>
      <c r="AW232" s="83" t="str">
        <f>HYPERLINK("https://t.co/w0swFZ0aWj")</f>
        <v>https://t.co/w0swFZ0aWj</v>
      </c>
      <c r="AX232" s="76" t="b">
        <v>0</v>
      </c>
      <c r="AY232" s="76"/>
      <c r="AZ232" s="76"/>
      <c r="BA232" s="76" t="b">
        <v>0</v>
      </c>
      <c r="BB232" s="76" t="b">
        <v>0</v>
      </c>
      <c r="BC232" s="76" t="b">
        <v>0</v>
      </c>
      <c r="BD232" s="76" t="b">
        <v>0</v>
      </c>
      <c r="BE232" s="76" t="b">
        <v>1</v>
      </c>
      <c r="BF232" s="76" t="b">
        <v>0</v>
      </c>
      <c r="BG232" s="76" t="b">
        <v>0</v>
      </c>
      <c r="BH232" s="83" t="str">
        <f>HYPERLINK("https://pbs.twimg.com/profile_banners/887045533331845120/1687608134")</f>
        <v>https://pbs.twimg.com/profile_banners/887045533331845120/1687608134</v>
      </c>
      <c r="BI232" s="76"/>
      <c r="BJ232" s="76" t="s">
        <v>19633</v>
      </c>
      <c r="BK232" s="76" t="b">
        <v>0</v>
      </c>
      <c r="BL232" s="76"/>
      <c r="BM232" s="76" t="s">
        <v>66</v>
      </c>
      <c r="BN232" s="76" t="s">
        <v>19635</v>
      </c>
      <c r="BO232" s="83" t="str">
        <f>HYPERLINK("https://twitter.com/tradervlog")</f>
        <v>https://twitter.com/tradervlog</v>
      </c>
      <c r="BP232" s="2"/>
    </row>
    <row r="233" spans="1:68" x14ac:dyDescent="0.25">
      <c r="A233" s="62" t="s">
        <v>417</v>
      </c>
      <c r="B233" s="63"/>
      <c r="C233" s="63"/>
      <c r="D233" s="64"/>
      <c r="E233" s="66"/>
      <c r="F233" s="103" t="str">
        <f>HYPERLINK("https://pbs.twimg.com/profile_images/1334478705473806336/qv9IuE5d_normal.jpg")</f>
        <v>https://pbs.twimg.com/profile_images/1334478705473806336/qv9IuE5d_normal.jpg</v>
      </c>
      <c r="G233" s="63"/>
      <c r="H233" s="67"/>
      <c r="I233" s="68"/>
      <c r="J233" s="68"/>
      <c r="K233" s="67" t="s">
        <v>19865</v>
      </c>
      <c r="L233" s="71"/>
      <c r="M233" s="72"/>
      <c r="N233" s="72"/>
      <c r="O233" s="73"/>
      <c r="P233" s="74"/>
      <c r="Q233" s="74"/>
      <c r="R233" s="87"/>
      <c r="S233" s="87"/>
      <c r="T233" s="87"/>
      <c r="U233" s="87"/>
      <c r="V233" s="48"/>
      <c r="W233" s="48"/>
      <c r="X233" s="47">
        <v>1.101E-3</v>
      </c>
      <c r="Y233" s="48"/>
      <c r="Z233" s="47"/>
      <c r="AA233" s="69">
        <v>233</v>
      </c>
      <c r="AB233" s="69"/>
      <c r="AC233" s="70"/>
      <c r="AD233" s="76" t="s">
        <v>16868</v>
      </c>
      <c r="AE233" s="81" t="s">
        <v>17620</v>
      </c>
      <c r="AF233" s="76">
        <v>8</v>
      </c>
      <c r="AG233" s="76">
        <v>10</v>
      </c>
      <c r="AH233" s="76">
        <v>150</v>
      </c>
      <c r="AI233" s="76">
        <v>0</v>
      </c>
      <c r="AJ233" s="76">
        <v>13</v>
      </c>
      <c r="AK233" s="76">
        <v>107</v>
      </c>
      <c r="AL233" s="76" t="b">
        <v>0</v>
      </c>
      <c r="AM233" s="78">
        <v>40606.907384259262</v>
      </c>
      <c r="AN233" s="76" t="s">
        <v>17952</v>
      </c>
      <c r="AO233" s="76" t="s">
        <v>18362</v>
      </c>
      <c r="AP233" s="83" t="str">
        <f>HYPERLINK("https://t.co/KoQT7pAMcL")</f>
        <v>https://t.co/KoQT7pAMcL</v>
      </c>
      <c r="AQ233" s="83" t="str">
        <f>HYPERLINK("http://www.claudiohabibe.com")</f>
        <v>http://www.claudiohabibe.com</v>
      </c>
      <c r="AR233" s="76" t="s">
        <v>19131</v>
      </c>
      <c r="AS233" s="76"/>
      <c r="AT233" s="76"/>
      <c r="AU233" s="76"/>
      <c r="AV233" s="76"/>
      <c r="AW233" s="83" t="str">
        <f>HYPERLINK("https://t.co/KoQT7pAMcL")</f>
        <v>https://t.co/KoQT7pAMcL</v>
      </c>
      <c r="AX233" s="76" t="b">
        <v>0</v>
      </c>
      <c r="AY233" s="76"/>
      <c r="AZ233" s="76"/>
      <c r="BA233" s="76" t="b">
        <v>0</v>
      </c>
      <c r="BB233" s="76" t="b">
        <v>1</v>
      </c>
      <c r="BC233" s="76" t="b">
        <v>0</v>
      </c>
      <c r="BD233" s="76" t="b">
        <v>0</v>
      </c>
      <c r="BE233" s="76" t="b">
        <v>0</v>
      </c>
      <c r="BF233" s="76" t="b">
        <v>0</v>
      </c>
      <c r="BG233" s="76" t="b">
        <v>0</v>
      </c>
      <c r="BH233" s="83" t="str">
        <f>HYPERLINK("https://pbs.twimg.com/profile_banners/260916432/1666609183")</f>
        <v>https://pbs.twimg.com/profile_banners/260916432/1666609183</v>
      </c>
      <c r="BI233" s="76"/>
      <c r="BJ233" s="76" t="s">
        <v>19633</v>
      </c>
      <c r="BK233" s="76" t="b">
        <v>0</v>
      </c>
      <c r="BL233" s="76"/>
      <c r="BM233" s="76" t="s">
        <v>66</v>
      </c>
      <c r="BN233" s="76" t="s">
        <v>19635</v>
      </c>
      <c r="BO233" s="83" t="str">
        <f>HYPERLINK("https://twitter.com/claudiohabibe")</f>
        <v>https://twitter.com/claudiohabibe</v>
      </c>
      <c r="BP233" s="2"/>
    </row>
    <row r="234" spans="1:68" x14ac:dyDescent="0.25">
      <c r="A234" s="62" t="s">
        <v>418</v>
      </c>
      <c r="B234" s="63"/>
      <c r="C234" s="63"/>
      <c r="D234" s="64"/>
      <c r="E234" s="66"/>
      <c r="F234" s="103" t="str">
        <f>HYPERLINK("https://pbs.twimg.com/profile_images/1517378958848892928/G9NWVtm__normal.jpg")</f>
        <v>https://pbs.twimg.com/profile_images/1517378958848892928/G9NWVtm__normal.jpg</v>
      </c>
      <c r="G234" s="63"/>
      <c r="H234" s="67"/>
      <c r="I234" s="68"/>
      <c r="J234" s="68"/>
      <c r="K234" s="67" t="s">
        <v>19866</v>
      </c>
      <c r="L234" s="71"/>
      <c r="M234" s="72"/>
      <c r="N234" s="72"/>
      <c r="O234" s="73"/>
      <c r="P234" s="74"/>
      <c r="Q234" s="74"/>
      <c r="R234" s="87"/>
      <c r="S234" s="87"/>
      <c r="T234" s="87"/>
      <c r="U234" s="87"/>
      <c r="V234" s="48"/>
      <c r="W234" s="48"/>
      <c r="X234" s="47">
        <v>1.101E-3</v>
      </c>
      <c r="Y234" s="48"/>
      <c r="Z234" s="47"/>
      <c r="AA234" s="69">
        <v>234</v>
      </c>
      <c r="AB234" s="69"/>
      <c r="AC234" s="70"/>
      <c r="AD234" s="76" t="s">
        <v>16869</v>
      </c>
      <c r="AE234" s="81" t="s">
        <v>15707</v>
      </c>
      <c r="AF234" s="76">
        <v>1</v>
      </c>
      <c r="AG234" s="76">
        <v>1</v>
      </c>
      <c r="AH234" s="76">
        <v>16</v>
      </c>
      <c r="AI234" s="76">
        <v>0</v>
      </c>
      <c r="AJ234" s="76">
        <v>2</v>
      </c>
      <c r="AK234" s="76">
        <v>16</v>
      </c>
      <c r="AL234" s="76" t="b">
        <v>0</v>
      </c>
      <c r="AM234" s="78">
        <v>44673.231469907405</v>
      </c>
      <c r="AN234" s="76"/>
      <c r="AO234" s="76" t="s">
        <v>18363</v>
      </c>
      <c r="AP234" s="83" t="str">
        <f>HYPERLINK("https://t.co/Z2etKVRXJb")</f>
        <v>https://t.co/Z2etKVRXJb</v>
      </c>
      <c r="AQ234" s="83" t="str">
        <f>HYPERLINK("http://www.jrvc.com.br")</f>
        <v>http://www.jrvc.com.br</v>
      </c>
      <c r="AR234" s="76" t="s">
        <v>19132</v>
      </c>
      <c r="AS234" s="76"/>
      <c r="AT234" s="76"/>
      <c r="AU234" s="76"/>
      <c r="AV234" s="76"/>
      <c r="AW234" s="83" t="str">
        <f>HYPERLINK("https://t.co/Z2etKVRXJb")</f>
        <v>https://t.co/Z2etKVRXJb</v>
      </c>
      <c r="AX234" s="76" t="b">
        <v>0</v>
      </c>
      <c r="AY234" s="76"/>
      <c r="AZ234" s="76"/>
      <c r="BA234" s="76" t="b">
        <v>0</v>
      </c>
      <c r="BB234" s="76" t="b">
        <v>1</v>
      </c>
      <c r="BC234" s="76" t="b">
        <v>1</v>
      </c>
      <c r="BD234" s="76" t="b">
        <v>0</v>
      </c>
      <c r="BE234" s="76" t="b">
        <v>0</v>
      </c>
      <c r="BF234" s="76" t="b">
        <v>0</v>
      </c>
      <c r="BG234" s="76" t="b">
        <v>0</v>
      </c>
      <c r="BH234" s="83" t="str">
        <f>HYPERLINK("https://pbs.twimg.com/profile_banners/1517375931983269889/1650606041")</f>
        <v>https://pbs.twimg.com/profile_banners/1517375931983269889/1650606041</v>
      </c>
      <c r="BI234" s="76"/>
      <c r="BJ234" s="76" t="s">
        <v>19633</v>
      </c>
      <c r="BK234" s="76" t="b">
        <v>0</v>
      </c>
      <c r="BL234" s="76"/>
      <c r="BM234" s="76" t="s">
        <v>66</v>
      </c>
      <c r="BN234" s="76" t="s">
        <v>19635</v>
      </c>
      <c r="BO234" s="83" t="str">
        <f>HYPERLINK("https://twitter.com/businessjrvc")</f>
        <v>https://twitter.com/businessjrvc</v>
      </c>
      <c r="BP234" s="2"/>
    </row>
    <row r="235" spans="1:68" x14ac:dyDescent="0.25">
      <c r="A235" s="62" t="s">
        <v>419</v>
      </c>
      <c r="B235" s="63"/>
      <c r="C235" s="63"/>
      <c r="D235" s="64"/>
      <c r="E235" s="66"/>
      <c r="F235" s="103" t="str">
        <f>HYPERLINK("https://pbs.twimg.com/profile_images/1604221345264451585/TTeYcDYx_normal.jpg")</f>
        <v>https://pbs.twimg.com/profile_images/1604221345264451585/TTeYcDYx_normal.jpg</v>
      </c>
      <c r="G235" s="63"/>
      <c r="H235" s="67"/>
      <c r="I235" s="68"/>
      <c r="J235" s="68"/>
      <c r="K235" s="67" t="s">
        <v>19867</v>
      </c>
      <c r="L235" s="71"/>
      <c r="M235" s="72"/>
      <c r="N235" s="72"/>
      <c r="O235" s="73"/>
      <c r="P235" s="74"/>
      <c r="Q235" s="74"/>
      <c r="R235" s="87"/>
      <c r="S235" s="87"/>
      <c r="T235" s="87"/>
      <c r="U235" s="87"/>
      <c r="V235" s="48"/>
      <c r="W235" s="48"/>
      <c r="X235" s="47">
        <v>1.101E-3</v>
      </c>
      <c r="Y235" s="48"/>
      <c r="Z235" s="47"/>
      <c r="AA235" s="69">
        <v>235</v>
      </c>
      <c r="AB235" s="69"/>
      <c r="AC235" s="70"/>
      <c r="AD235" s="76" t="s">
        <v>16870</v>
      </c>
      <c r="AE235" s="81" t="s">
        <v>16240</v>
      </c>
      <c r="AF235" s="76">
        <v>84</v>
      </c>
      <c r="AG235" s="76">
        <v>712</v>
      </c>
      <c r="AH235" s="76">
        <v>709</v>
      </c>
      <c r="AI235" s="76">
        <v>8</v>
      </c>
      <c r="AJ235" s="76">
        <v>414</v>
      </c>
      <c r="AK235" s="76">
        <v>580</v>
      </c>
      <c r="AL235" s="76" t="b">
        <v>0</v>
      </c>
      <c r="AM235" s="78">
        <v>44118.422800925924</v>
      </c>
      <c r="AN235" s="76" t="s">
        <v>17953</v>
      </c>
      <c r="AO235" s="76" t="s">
        <v>18364</v>
      </c>
      <c r="AP235" s="83" t="str">
        <f>HYPERLINK("https://t.co/NtPx68uXPB")</f>
        <v>https://t.co/NtPx68uXPB</v>
      </c>
      <c r="AQ235" s="83" t="str">
        <f>HYPERLINK("https://minutoinvestimento.com.br/")</f>
        <v>https://minutoinvestimento.com.br/</v>
      </c>
      <c r="AR235" s="76" t="s">
        <v>19133</v>
      </c>
      <c r="AS235" s="83" t="str">
        <f>HYPERLINK("https://t.co/OUt0O53juz")</f>
        <v>https://t.co/OUt0O53juz</v>
      </c>
      <c r="AT235" s="83" t="str">
        <f>HYPERLINK("http://minutoinvestimento.com.br/")</f>
        <v>http://minutoinvestimento.com.br/</v>
      </c>
      <c r="AU235" s="76" t="s">
        <v>19133</v>
      </c>
      <c r="AV235" s="76"/>
      <c r="AW235" s="83" t="str">
        <f>HYPERLINK("https://t.co/NtPx68uXPB")</f>
        <v>https://t.co/NtPx68uXPB</v>
      </c>
      <c r="AX235" s="76" t="b">
        <v>0</v>
      </c>
      <c r="AY235" s="76"/>
      <c r="AZ235" s="76"/>
      <c r="BA235" s="76" t="b">
        <v>1</v>
      </c>
      <c r="BB235" s="76" t="b">
        <v>1</v>
      </c>
      <c r="BC235" s="76" t="b">
        <v>1</v>
      </c>
      <c r="BD235" s="76" t="b">
        <v>0</v>
      </c>
      <c r="BE235" s="76" t="b">
        <v>0</v>
      </c>
      <c r="BF235" s="76" t="b">
        <v>0</v>
      </c>
      <c r="BG235" s="76" t="b">
        <v>0</v>
      </c>
      <c r="BH235" s="83" t="str">
        <f>HYPERLINK("https://pbs.twimg.com/profile_banners/1316319975469199361/1646515935")</f>
        <v>https://pbs.twimg.com/profile_banners/1316319975469199361/1646515935</v>
      </c>
      <c r="BI235" s="76"/>
      <c r="BJ235" s="76" t="s">
        <v>19633</v>
      </c>
      <c r="BK235" s="76" t="b">
        <v>0</v>
      </c>
      <c r="BL235" s="76"/>
      <c r="BM235" s="76" t="s">
        <v>66</v>
      </c>
      <c r="BN235" s="76" t="s">
        <v>19635</v>
      </c>
      <c r="BO235" s="83" t="str">
        <f>HYPERLINK("https://twitter.com/velosotrade")</f>
        <v>https://twitter.com/velosotrade</v>
      </c>
      <c r="BP235" s="2"/>
    </row>
    <row r="236" spans="1:68" x14ac:dyDescent="0.25">
      <c r="A236" s="62" t="s">
        <v>1071</v>
      </c>
      <c r="B236" s="63"/>
      <c r="C236" s="63"/>
      <c r="D236" s="64"/>
      <c r="E236" s="66"/>
      <c r="F236" s="103" t="str">
        <f>HYPERLINK("https://pbs.twimg.com/profile_images/1190581195077292032/WLsLsQ7u_normal.jpg")</f>
        <v>https://pbs.twimg.com/profile_images/1190581195077292032/WLsLsQ7u_normal.jpg</v>
      </c>
      <c r="G236" s="63"/>
      <c r="H236" s="67"/>
      <c r="I236" s="68"/>
      <c r="J236" s="68"/>
      <c r="K236" s="67" t="s">
        <v>19868</v>
      </c>
      <c r="L236" s="71"/>
      <c r="M236" s="72"/>
      <c r="N236" s="72"/>
      <c r="O236" s="73"/>
      <c r="P236" s="74"/>
      <c r="Q236" s="74"/>
      <c r="R236" s="87"/>
      <c r="S236" s="87"/>
      <c r="T236" s="87"/>
      <c r="U236" s="87"/>
      <c r="V236" s="48"/>
      <c r="W236" s="48"/>
      <c r="X236" s="47">
        <v>9.6500000000000004E-4</v>
      </c>
      <c r="Y236" s="48"/>
      <c r="Z236" s="47"/>
      <c r="AA236" s="69">
        <v>236</v>
      </c>
      <c r="AB236" s="69"/>
      <c r="AC236" s="70"/>
      <c r="AD236" s="76" t="s">
        <v>16871</v>
      </c>
      <c r="AE236" s="81" t="s">
        <v>17621</v>
      </c>
      <c r="AF236" s="76">
        <v>70121</v>
      </c>
      <c r="AG236" s="76">
        <v>556</v>
      </c>
      <c r="AH236" s="76">
        <v>7587</v>
      </c>
      <c r="AI236" s="76">
        <v>997</v>
      </c>
      <c r="AJ236" s="76">
        <v>7773</v>
      </c>
      <c r="AK236" s="76">
        <v>197</v>
      </c>
      <c r="AL236" s="76" t="b">
        <v>0</v>
      </c>
      <c r="AM236" s="78">
        <v>39943.923854166664</v>
      </c>
      <c r="AN236" s="76" t="s">
        <v>10552</v>
      </c>
      <c r="AO236" s="76" t="s">
        <v>18365</v>
      </c>
      <c r="AP236" s="83" t="str">
        <f>HYPERLINK("https://t.co/VvSx4Ra69h")</f>
        <v>https://t.co/VvSx4Ra69h</v>
      </c>
      <c r="AQ236" s="83" t="str">
        <f>HYPERLINK("https://news.lucianaseabra.com.br")</f>
        <v>https://news.lucianaseabra.com.br</v>
      </c>
      <c r="AR236" s="76" t="s">
        <v>19134</v>
      </c>
      <c r="AS236" s="76"/>
      <c r="AT236" s="76"/>
      <c r="AU236" s="76"/>
      <c r="AV236" s="76">
        <v>1.67605916019299E+18</v>
      </c>
      <c r="AW236" s="83" t="str">
        <f>HYPERLINK("https://t.co/VvSx4Ra69h")</f>
        <v>https://t.co/VvSx4Ra69h</v>
      </c>
      <c r="AX236" s="76" t="b">
        <v>0</v>
      </c>
      <c r="AY236" s="76"/>
      <c r="AZ236" s="76"/>
      <c r="BA236" s="76" t="b">
        <v>0</v>
      </c>
      <c r="BB236" s="76" t="b">
        <v>1</v>
      </c>
      <c r="BC236" s="76" t="b">
        <v>0</v>
      </c>
      <c r="BD236" s="76" t="b">
        <v>0</v>
      </c>
      <c r="BE236" s="76" t="b">
        <v>1</v>
      </c>
      <c r="BF236" s="76" t="b">
        <v>0</v>
      </c>
      <c r="BG236" s="76" t="b">
        <v>0</v>
      </c>
      <c r="BH236" s="83" t="str">
        <f>HYPERLINK("https://pbs.twimg.com/profile_banners/39122076/1573311107")</f>
        <v>https://pbs.twimg.com/profile_banners/39122076/1573311107</v>
      </c>
      <c r="BI236" s="76"/>
      <c r="BJ236" s="76" t="s">
        <v>19633</v>
      </c>
      <c r="BK236" s="76" t="b">
        <v>0</v>
      </c>
      <c r="BL236" s="76"/>
      <c r="BM236" s="76" t="s">
        <v>65</v>
      </c>
      <c r="BN236" s="76" t="s">
        <v>19635</v>
      </c>
      <c r="BO236" s="83" t="str">
        <f>HYPERLINK("https://twitter.com/luciana__seabra")</f>
        <v>https://twitter.com/luciana__seabra</v>
      </c>
      <c r="BP236" s="2"/>
    </row>
    <row r="237" spans="1:68" x14ac:dyDescent="0.25">
      <c r="A237" s="62" t="s">
        <v>1072</v>
      </c>
      <c r="B237" s="63"/>
      <c r="C237" s="63"/>
      <c r="D237" s="64"/>
      <c r="E237" s="66"/>
      <c r="F237" s="103" t="str">
        <f>HYPERLINK("https://pbs.twimg.com/profile_images/1688558612585615360/B0prhRdd_normal.jpg")</f>
        <v>https://pbs.twimg.com/profile_images/1688558612585615360/B0prhRdd_normal.jpg</v>
      </c>
      <c r="G237" s="63"/>
      <c r="H237" s="67"/>
      <c r="I237" s="68"/>
      <c r="J237" s="68"/>
      <c r="K237" s="67" t="s">
        <v>19869</v>
      </c>
      <c r="L237" s="71"/>
      <c r="M237" s="72"/>
      <c r="N237" s="72"/>
      <c r="O237" s="73"/>
      <c r="P237" s="74"/>
      <c r="Q237" s="74"/>
      <c r="R237" s="87"/>
      <c r="S237" s="87"/>
      <c r="T237" s="87"/>
      <c r="U237" s="87"/>
      <c r="V237" s="48"/>
      <c r="W237" s="48"/>
      <c r="X237" s="47">
        <v>9.6500000000000004E-4</v>
      </c>
      <c r="Y237" s="48"/>
      <c r="Z237" s="47"/>
      <c r="AA237" s="69">
        <v>237</v>
      </c>
      <c r="AB237" s="69"/>
      <c r="AC237" s="70"/>
      <c r="AD237" s="76" t="s">
        <v>16872</v>
      </c>
      <c r="AE237" s="81" t="s">
        <v>17622</v>
      </c>
      <c r="AF237" s="76">
        <v>49490</v>
      </c>
      <c r="AG237" s="76">
        <v>26</v>
      </c>
      <c r="AH237" s="76">
        <v>2243</v>
      </c>
      <c r="AI237" s="76">
        <v>162</v>
      </c>
      <c r="AJ237" s="76">
        <v>1033</v>
      </c>
      <c r="AK237" s="76">
        <v>1115</v>
      </c>
      <c r="AL237" s="76" t="b">
        <v>0</v>
      </c>
      <c r="AM237" s="78">
        <v>43164.641562500001</v>
      </c>
      <c r="AN237" s="76"/>
      <c r="AO237" s="76" t="s">
        <v>18366</v>
      </c>
      <c r="AP237" s="83" t="str">
        <f>HYPERLINK("https://t.co/CvpQH8yQ7J")</f>
        <v>https://t.co/CvpQH8yQ7J</v>
      </c>
      <c r="AQ237" s="83" t="str">
        <f>HYPERLINK("https://bit.ly/programa-afiliados-mepoupe")</f>
        <v>https://bit.ly/programa-afiliados-mepoupe</v>
      </c>
      <c r="AR237" s="76" t="s">
        <v>19135</v>
      </c>
      <c r="AS237" s="76"/>
      <c r="AT237" s="76"/>
      <c r="AU237" s="76"/>
      <c r="AV237" s="76">
        <v>1.69940003521603E+18</v>
      </c>
      <c r="AW237" s="83" t="str">
        <f>HYPERLINK("https://t.co/CvpQH8yQ7J")</f>
        <v>https://t.co/CvpQH8yQ7J</v>
      </c>
      <c r="AX237" s="76" t="b">
        <v>0</v>
      </c>
      <c r="AY237" s="76"/>
      <c r="AZ237" s="76"/>
      <c r="BA237" s="76" t="b">
        <v>0</v>
      </c>
      <c r="BB237" s="76" t="b">
        <v>1</v>
      </c>
      <c r="BC237" s="76" t="b">
        <v>1</v>
      </c>
      <c r="BD237" s="76" t="b">
        <v>0</v>
      </c>
      <c r="BE237" s="76" t="b">
        <v>1</v>
      </c>
      <c r="BF237" s="76" t="b">
        <v>0</v>
      </c>
      <c r="BG237" s="76" t="b">
        <v>0</v>
      </c>
      <c r="BH237" s="83" t="str">
        <f>HYPERLINK("https://pbs.twimg.com/profile_banners/970681300788088832/1680104173")</f>
        <v>https://pbs.twimg.com/profile_banners/970681300788088832/1680104173</v>
      </c>
      <c r="BI237" s="76"/>
      <c r="BJ237" s="76" t="s">
        <v>19633</v>
      </c>
      <c r="BK237" s="76" t="b">
        <v>0</v>
      </c>
      <c r="BL237" s="76"/>
      <c r="BM237" s="76" t="s">
        <v>65</v>
      </c>
      <c r="BN237" s="76" t="s">
        <v>19635</v>
      </c>
      <c r="BO237" s="83" t="str">
        <f>HYPERLINK("https://twitter.com/mepoupenaweb")</f>
        <v>https://twitter.com/mepoupenaweb</v>
      </c>
      <c r="BP237" s="2"/>
    </row>
    <row r="238" spans="1:68" x14ac:dyDescent="0.25">
      <c r="A238" s="62" t="s">
        <v>1073</v>
      </c>
      <c r="B238" s="63"/>
      <c r="C238" s="63"/>
      <c r="D238" s="64"/>
      <c r="E238" s="66"/>
      <c r="F238" s="103" t="str">
        <f>HYPERLINK("https://pbs.twimg.com/profile_images/1444071150691262466/J-1txJFs_normal.jpg")</f>
        <v>https://pbs.twimg.com/profile_images/1444071150691262466/J-1txJFs_normal.jpg</v>
      </c>
      <c r="G238" s="63"/>
      <c r="H238" s="67"/>
      <c r="I238" s="68"/>
      <c r="J238" s="68"/>
      <c r="K238" s="67" t="s">
        <v>19870</v>
      </c>
      <c r="L238" s="71"/>
      <c r="M238" s="72"/>
      <c r="N238" s="72"/>
      <c r="O238" s="73"/>
      <c r="P238" s="74"/>
      <c r="Q238" s="74"/>
      <c r="R238" s="87"/>
      <c r="S238" s="87"/>
      <c r="T238" s="87"/>
      <c r="U238" s="87"/>
      <c r="V238" s="48"/>
      <c r="W238" s="48"/>
      <c r="X238" s="47">
        <v>9.6500000000000004E-4</v>
      </c>
      <c r="Y238" s="48"/>
      <c r="Z238" s="47"/>
      <c r="AA238" s="69">
        <v>238</v>
      </c>
      <c r="AB238" s="69"/>
      <c r="AC238" s="70"/>
      <c r="AD238" s="76" t="s">
        <v>16873</v>
      </c>
      <c r="AE238" s="81" t="s">
        <v>17623</v>
      </c>
      <c r="AF238" s="76">
        <v>858</v>
      </c>
      <c r="AG238" s="76">
        <v>44</v>
      </c>
      <c r="AH238" s="76">
        <v>1155</v>
      </c>
      <c r="AI238" s="76">
        <v>10</v>
      </c>
      <c r="AJ238" s="76">
        <v>125</v>
      </c>
      <c r="AK238" s="76">
        <v>194</v>
      </c>
      <c r="AL238" s="76" t="b">
        <v>0</v>
      </c>
      <c r="AM238" s="78">
        <v>43507.693113425928</v>
      </c>
      <c r="AN238" s="76" t="s">
        <v>10561</v>
      </c>
      <c r="AO238" s="76" t="s">
        <v>18367</v>
      </c>
      <c r="AP238" s="83" t="str">
        <f>HYPERLINK("https://t.co/zAIWnDpaay")</f>
        <v>https://t.co/zAIWnDpaay</v>
      </c>
      <c r="AQ238" s="83" t="str">
        <f>HYPERLINK("https://1bilhao.com.br")</f>
        <v>https://1bilhao.com.br</v>
      </c>
      <c r="AR238" s="76" t="s">
        <v>19136</v>
      </c>
      <c r="AS238" s="76"/>
      <c r="AT238" s="76"/>
      <c r="AU238" s="76"/>
      <c r="AV238" s="76">
        <v>1.21287036907969E+18</v>
      </c>
      <c r="AW238" s="83" t="str">
        <f>HYPERLINK("https://t.co/zAIWnDpaay")</f>
        <v>https://t.co/zAIWnDpaay</v>
      </c>
      <c r="AX238" s="76" t="b">
        <v>0</v>
      </c>
      <c r="AY238" s="76"/>
      <c r="AZ238" s="76"/>
      <c r="BA238" s="76" t="b">
        <v>0</v>
      </c>
      <c r="BB238" s="76" t="b">
        <v>1</v>
      </c>
      <c r="BC238" s="76" t="b">
        <v>1</v>
      </c>
      <c r="BD238" s="76" t="b">
        <v>0</v>
      </c>
      <c r="BE238" s="76" t="b">
        <v>1</v>
      </c>
      <c r="BF238" s="76" t="b">
        <v>0</v>
      </c>
      <c r="BG238" s="76" t="b">
        <v>0</v>
      </c>
      <c r="BH238" s="83" t="str">
        <f>HYPERLINK("https://pbs.twimg.com/profile_banners/1094999019825360897/1628608636")</f>
        <v>https://pbs.twimg.com/profile_banners/1094999019825360897/1628608636</v>
      </c>
      <c r="BI238" s="76"/>
      <c r="BJ238" s="76" t="s">
        <v>19633</v>
      </c>
      <c r="BK238" s="76" t="b">
        <v>0</v>
      </c>
      <c r="BL238" s="76"/>
      <c r="BM238" s="76" t="s">
        <v>65</v>
      </c>
      <c r="BN238" s="76" t="s">
        <v>19635</v>
      </c>
      <c r="BO238" s="83" t="str">
        <f>HYPERLINK("https://twitter.com/1bilhao_")</f>
        <v>https://twitter.com/1bilhao_</v>
      </c>
      <c r="BP238" s="2"/>
    </row>
    <row r="239" spans="1:68" x14ac:dyDescent="0.25">
      <c r="A239" s="62" t="s">
        <v>421</v>
      </c>
      <c r="B239" s="63"/>
      <c r="C239" s="63"/>
      <c r="D239" s="64"/>
      <c r="E239" s="66"/>
      <c r="F239" s="103" t="str">
        <f>HYPERLINK("https://pbs.twimg.com/profile_images/1587409174933159939/LnUqyuPS_normal.jpg")</f>
        <v>https://pbs.twimg.com/profile_images/1587409174933159939/LnUqyuPS_normal.jpg</v>
      </c>
      <c r="G239" s="63"/>
      <c r="H239" s="67"/>
      <c r="I239" s="68"/>
      <c r="J239" s="68"/>
      <c r="K239" s="67" t="s">
        <v>19871</v>
      </c>
      <c r="L239" s="71"/>
      <c r="M239" s="72"/>
      <c r="N239" s="72"/>
      <c r="O239" s="73"/>
      <c r="P239" s="74"/>
      <c r="Q239" s="74"/>
      <c r="R239" s="87"/>
      <c r="S239" s="87"/>
      <c r="T239" s="87"/>
      <c r="U239" s="87"/>
      <c r="V239" s="48"/>
      <c r="W239" s="48"/>
      <c r="X239" s="47">
        <v>1.101E-3</v>
      </c>
      <c r="Y239" s="48"/>
      <c r="Z239" s="47"/>
      <c r="AA239" s="69">
        <v>239</v>
      </c>
      <c r="AB239" s="69"/>
      <c r="AC239" s="70"/>
      <c r="AD239" s="76" t="s">
        <v>16874</v>
      </c>
      <c r="AE239" s="81" t="s">
        <v>17624</v>
      </c>
      <c r="AF239" s="76">
        <v>19250</v>
      </c>
      <c r="AG239" s="76">
        <v>503</v>
      </c>
      <c r="AH239" s="76">
        <v>48345</v>
      </c>
      <c r="AI239" s="76">
        <v>174</v>
      </c>
      <c r="AJ239" s="76">
        <v>257</v>
      </c>
      <c r="AK239" s="76">
        <v>1009</v>
      </c>
      <c r="AL239" s="76" t="b">
        <v>0</v>
      </c>
      <c r="AM239" s="78">
        <v>39910.497372685182</v>
      </c>
      <c r="AN239" s="76" t="s">
        <v>10552</v>
      </c>
      <c r="AO239" s="76" t="s">
        <v>18368</v>
      </c>
      <c r="AP239" s="83" t="str">
        <f>HYPERLINK("https://t.co/fgr8IZgYSd")</f>
        <v>https://t.co/fgr8IZgYSd</v>
      </c>
      <c r="AQ239" s="83" t="str">
        <f>HYPERLINK("http://www.paisefilhos.uol.com.br")</f>
        <v>http://www.paisefilhos.uol.com.br</v>
      </c>
      <c r="AR239" s="76" t="s">
        <v>19137</v>
      </c>
      <c r="AS239" s="76"/>
      <c r="AT239" s="76"/>
      <c r="AU239" s="76"/>
      <c r="AV239" s="76"/>
      <c r="AW239" s="83" t="str">
        <f>HYPERLINK("https://t.co/fgr8IZgYSd")</f>
        <v>https://t.co/fgr8IZgYSd</v>
      </c>
      <c r="AX239" s="76" t="b">
        <v>0</v>
      </c>
      <c r="AY239" s="76"/>
      <c r="AZ239" s="76"/>
      <c r="BA239" s="76" t="b">
        <v>0</v>
      </c>
      <c r="BB239" s="76" t="b">
        <v>1</v>
      </c>
      <c r="BC239" s="76" t="b">
        <v>0</v>
      </c>
      <c r="BD239" s="76" t="b">
        <v>0</v>
      </c>
      <c r="BE239" s="76" t="b">
        <v>1</v>
      </c>
      <c r="BF239" s="76" t="b">
        <v>0</v>
      </c>
      <c r="BG239" s="76" t="b">
        <v>0</v>
      </c>
      <c r="BH239" s="83" t="str">
        <f>HYPERLINK("https://pbs.twimg.com/profile_banners/29432429/1669062256")</f>
        <v>https://pbs.twimg.com/profile_banners/29432429/1669062256</v>
      </c>
      <c r="BI239" s="76"/>
      <c r="BJ239" s="76" t="s">
        <v>19633</v>
      </c>
      <c r="BK239" s="76" t="b">
        <v>0</v>
      </c>
      <c r="BL239" s="76"/>
      <c r="BM239" s="76" t="s">
        <v>66</v>
      </c>
      <c r="BN239" s="76" t="s">
        <v>19635</v>
      </c>
      <c r="BO239" s="83" t="str">
        <f>HYPERLINK("https://twitter.com/paisefilhos")</f>
        <v>https://twitter.com/paisefilhos</v>
      </c>
      <c r="BP239" s="2"/>
    </row>
    <row r="240" spans="1:68" x14ac:dyDescent="0.25">
      <c r="A240" s="62" t="s">
        <v>422</v>
      </c>
      <c r="B240" s="63"/>
      <c r="C240" s="63"/>
      <c r="D240" s="64"/>
      <c r="E240" s="66"/>
      <c r="F240" s="103" t="str">
        <f>HYPERLINK("https://pbs.twimg.com/profile_images/1544666818484346882/2azzxp_J_normal.jpg")</f>
        <v>https://pbs.twimg.com/profile_images/1544666818484346882/2azzxp_J_normal.jpg</v>
      </c>
      <c r="G240" s="63"/>
      <c r="H240" s="67"/>
      <c r="I240" s="68"/>
      <c r="J240" s="68"/>
      <c r="K240" s="67" t="s">
        <v>19872</v>
      </c>
      <c r="L240" s="71"/>
      <c r="M240" s="72"/>
      <c r="N240" s="72"/>
      <c r="O240" s="73"/>
      <c r="P240" s="74"/>
      <c r="Q240" s="74"/>
      <c r="R240" s="87"/>
      <c r="S240" s="87"/>
      <c r="T240" s="87"/>
      <c r="U240" s="87"/>
      <c r="V240" s="48"/>
      <c r="W240" s="48"/>
      <c r="X240" s="47">
        <v>1.101E-3</v>
      </c>
      <c r="Y240" s="48"/>
      <c r="Z240" s="47"/>
      <c r="AA240" s="69">
        <v>240</v>
      </c>
      <c r="AB240" s="69"/>
      <c r="AC240" s="70"/>
      <c r="AD240" s="76" t="s">
        <v>16875</v>
      </c>
      <c r="AE240" s="81" t="s">
        <v>16241</v>
      </c>
      <c r="AF240" s="76">
        <v>675</v>
      </c>
      <c r="AG240" s="76">
        <v>413</v>
      </c>
      <c r="AH240" s="76">
        <v>1784</v>
      </c>
      <c r="AI240" s="76">
        <v>3</v>
      </c>
      <c r="AJ240" s="76">
        <v>83</v>
      </c>
      <c r="AK240" s="76">
        <v>1592</v>
      </c>
      <c r="AL240" s="76" t="b">
        <v>0</v>
      </c>
      <c r="AM240" s="78">
        <v>43278.51458333333</v>
      </c>
      <c r="AN240" s="76"/>
      <c r="AO240" s="76" t="s">
        <v>18369</v>
      </c>
      <c r="AP240" s="83" t="str">
        <f>HYPERLINK("https://t.co/KZeMU7igtv")</f>
        <v>https://t.co/KZeMU7igtv</v>
      </c>
      <c r="AQ240" s="83" t="str">
        <f>HYPERLINK("https://editoraviseu.com/")</f>
        <v>https://editoraviseu.com/</v>
      </c>
      <c r="AR240" s="76" t="s">
        <v>19138</v>
      </c>
      <c r="AS240" s="76"/>
      <c r="AT240" s="76"/>
      <c r="AU240" s="76"/>
      <c r="AV240" s="76"/>
      <c r="AW240" s="83" t="str">
        <f>HYPERLINK("https://t.co/KZeMU7igtv")</f>
        <v>https://t.co/KZeMU7igtv</v>
      </c>
      <c r="AX240" s="76" t="b">
        <v>0</v>
      </c>
      <c r="AY240" s="76"/>
      <c r="AZ240" s="76"/>
      <c r="BA240" s="76" t="b">
        <v>0</v>
      </c>
      <c r="BB240" s="76" t="b">
        <v>1</v>
      </c>
      <c r="BC240" s="76" t="b">
        <v>0</v>
      </c>
      <c r="BD240" s="76" t="b">
        <v>0</v>
      </c>
      <c r="BE240" s="76" t="b">
        <v>0</v>
      </c>
      <c r="BF240" s="76" t="b">
        <v>0</v>
      </c>
      <c r="BG240" s="76" t="b">
        <v>0</v>
      </c>
      <c r="BH240" s="83" t="str">
        <f>HYPERLINK("https://pbs.twimg.com/profile_banners/1011947503510487042/1658256712")</f>
        <v>https://pbs.twimg.com/profile_banners/1011947503510487042/1658256712</v>
      </c>
      <c r="BI240" s="76"/>
      <c r="BJ240" s="76" t="s">
        <v>19633</v>
      </c>
      <c r="BK240" s="76" t="b">
        <v>0</v>
      </c>
      <c r="BL240" s="76"/>
      <c r="BM240" s="76" t="s">
        <v>66</v>
      </c>
      <c r="BN240" s="76" t="s">
        <v>19635</v>
      </c>
      <c r="BO240" s="83" t="str">
        <f>HYPERLINK("https://twitter.com/editoraviseu")</f>
        <v>https://twitter.com/editoraviseu</v>
      </c>
      <c r="BP240" s="2"/>
    </row>
    <row r="241" spans="1:68" x14ac:dyDescent="0.25">
      <c r="A241" s="62" t="s">
        <v>423</v>
      </c>
      <c r="B241" s="63"/>
      <c r="C241" s="63"/>
      <c r="D241" s="64"/>
      <c r="E241" s="66"/>
      <c r="F241" s="103" t="str">
        <f>HYPERLINK("https://pbs.twimg.com/profile_images/1598423978082705410/jU-vUeHf_normal.jpg")</f>
        <v>https://pbs.twimg.com/profile_images/1598423978082705410/jU-vUeHf_normal.jpg</v>
      </c>
      <c r="G241" s="63"/>
      <c r="H241" s="67"/>
      <c r="I241" s="68"/>
      <c r="J241" s="68"/>
      <c r="K241" s="67" t="s">
        <v>19873</v>
      </c>
      <c r="L241" s="71"/>
      <c r="M241" s="72"/>
      <c r="N241" s="72"/>
      <c r="O241" s="73"/>
      <c r="P241" s="74"/>
      <c r="Q241" s="74"/>
      <c r="R241" s="87"/>
      <c r="S241" s="87"/>
      <c r="T241" s="87"/>
      <c r="U241" s="87"/>
      <c r="V241" s="48"/>
      <c r="W241" s="48"/>
      <c r="X241" s="47">
        <v>1.101E-3</v>
      </c>
      <c r="Y241" s="48"/>
      <c r="Z241" s="47"/>
      <c r="AA241" s="69">
        <v>241</v>
      </c>
      <c r="AB241" s="69"/>
      <c r="AC241" s="70"/>
      <c r="AD241" s="76" t="s">
        <v>16876</v>
      </c>
      <c r="AE241" s="81" t="s">
        <v>15708</v>
      </c>
      <c r="AF241" s="76">
        <v>203</v>
      </c>
      <c r="AG241" s="76">
        <v>921</v>
      </c>
      <c r="AH241" s="76">
        <v>4565</v>
      </c>
      <c r="AI241" s="76">
        <v>0</v>
      </c>
      <c r="AJ241" s="76">
        <v>10932</v>
      </c>
      <c r="AK241" s="76">
        <v>488</v>
      </c>
      <c r="AL241" s="76" t="b">
        <v>0</v>
      </c>
      <c r="AM241" s="78">
        <v>43441.077384259261</v>
      </c>
      <c r="AN241" s="76"/>
      <c r="AO241" s="76" t="s">
        <v>18370</v>
      </c>
      <c r="AP241" s="76"/>
      <c r="AQ241" s="76"/>
      <c r="AR241" s="76"/>
      <c r="AS241" s="76"/>
      <c r="AT241" s="76"/>
      <c r="AU241" s="76"/>
      <c r="AV241" s="76">
        <v>1.36359864083775E+18</v>
      </c>
      <c r="AW241" s="76"/>
      <c r="AX241" s="76" t="b">
        <v>0</v>
      </c>
      <c r="AY241" s="76"/>
      <c r="AZ241" s="76"/>
      <c r="BA241" s="76" t="b">
        <v>0</v>
      </c>
      <c r="BB241" s="76" t="b">
        <v>1</v>
      </c>
      <c r="BC241" s="76" t="b">
        <v>0</v>
      </c>
      <c r="BD241" s="76" t="b">
        <v>0</v>
      </c>
      <c r="BE241" s="76" t="b">
        <v>1</v>
      </c>
      <c r="BF241" s="76" t="b">
        <v>0</v>
      </c>
      <c r="BG241" s="76" t="b">
        <v>0</v>
      </c>
      <c r="BH241" s="83" t="str">
        <f>HYPERLINK("https://pbs.twimg.com/profile_banners/1070858287447449601/1619274581")</f>
        <v>https://pbs.twimg.com/profile_banners/1070858287447449601/1619274581</v>
      </c>
      <c r="BI241" s="76"/>
      <c r="BJ241" s="76" t="s">
        <v>19633</v>
      </c>
      <c r="BK241" s="76" t="b">
        <v>0</v>
      </c>
      <c r="BL241" s="76"/>
      <c r="BM241" s="76" t="s">
        <v>66</v>
      </c>
      <c r="BN241" s="76" t="s">
        <v>19635</v>
      </c>
      <c r="BO241" s="83" t="str">
        <f>HYPERLINK("https://twitter.com/danielg_s6")</f>
        <v>https://twitter.com/danielg_s6</v>
      </c>
      <c r="BP241" s="2"/>
    </row>
    <row r="242" spans="1:68" x14ac:dyDescent="0.25">
      <c r="A242" s="62" t="s">
        <v>424</v>
      </c>
      <c r="B242" s="63"/>
      <c r="C242" s="63"/>
      <c r="D242" s="64"/>
      <c r="E242" s="66"/>
      <c r="F242" s="103" t="str">
        <f>HYPERLINK("https://pbs.twimg.com/profile_images/1477626229377413123/XEniFi77_normal.jpg")</f>
        <v>https://pbs.twimg.com/profile_images/1477626229377413123/XEniFi77_normal.jpg</v>
      </c>
      <c r="G242" s="63"/>
      <c r="H242" s="67"/>
      <c r="I242" s="68"/>
      <c r="J242" s="68"/>
      <c r="K242" s="67" t="s">
        <v>19874</v>
      </c>
      <c r="L242" s="71"/>
      <c r="M242" s="72"/>
      <c r="N242" s="72"/>
      <c r="O242" s="73"/>
      <c r="P242" s="74"/>
      <c r="Q242" s="74"/>
      <c r="R242" s="87"/>
      <c r="S242" s="87"/>
      <c r="T242" s="87"/>
      <c r="U242" s="87"/>
      <c r="V242" s="48"/>
      <c r="W242" s="48"/>
      <c r="X242" s="47">
        <v>1.101E-3</v>
      </c>
      <c r="Y242" s="48"/>
      <c r="Z242" s="47"/>
      <c r="AA242" s="69">
        <v>242</v>
      </c>
      <c r="AB242" s="69"/>
      <c r="AC242" s="70"/>
      <c r="AD242" s="76" t="s">
        <v>16877</v>
      </c>
      <c r="AE242" s="81" t="s">
        <v>17625</v>
      </c>
      <c r="AF242" s="76">
        <v>3964</v>
      </c>
      <c r="AG242" s="76">
        <v>816</v>
      </c>
      <c r="AH242" s="76">
        <v>22818</v>
      </c>
      <c r="AI242" s="76">
        <v>45</v>
      </c>
      <c r="AJ242" s="76">
        <v>354</v>
      </c>
      <c r="AK242" s="76">
        <v>5865</v>
      </c>
      <c r="AL242" s="76" t="b">
        <v>0</v>
      </c>
      <c r="AM242" s="78">
        <v>40039.520381944443</v>
      </c>
      <c r="AN242" s="76" t="s">
        <v>17954</v>
      </c>
      <c r="AO242" s="76" t="s">
        <v>18371</v>
      </c>
      <c r="AP242" s="83" t="str">
        <f>HYPERLINK("https://t.co/KS0tXjFVtf")</f>
        <v>https://t.co/KS0tXjFVtf</v>
      </c>
      <c r="AQ242" s="83" t="str">
        <f>HYPERLINK("http://www.amma.com.br")</f>
        <v>http://www.amma.com.br</v>
      </c>
      <c r="AR242" s="76" t="s">
        <v>19139</v>
      </c>
      <c r="AS242" s="76"/>
      <c r="AT242" s="76"/>
      <c r="AU242" s="76"/>
      <c r="AV242" s="76"/>
      <c r="AW242" s="83" t="str">
        <f>HYPERLINK("https://t.co/KS0tXjFVtf")</f>
        <v>https://t.co/KS0tXjFVtf</v>
      </c>
      <c r="AX242" s="76" t="b">
        <v>0</v>
      </c>
      <c r="AY242" s="76"/>
      <c r="AZ242" s="76"/>
      <c r="BA242" s="76" t="b">
        <v>0</v>
      </c>
      <c r="BB242" s="76" t="b">
        <v>1</v>
      </c>
      <c r="BC242" s="76" t="b">
        <v>1</v>
      </c>
      <c r="BD242" s="76" t="b">
        <v>0</v>
      </c>
      <c r="BE242" s="76" t="b">
        <v>0</v>
      </c>
      <c r="BF242" s="76" t="b">
        <v>0</v>
      </c>
      <c r="BG242" s="76" t="b">
        <v>0</v>
      </c>
      <c r="BH242" s="83" t="str">
        <f>HYPERLINK("https://pbs.twimg.com/profile_banners/65623374/1622125341")</f>
        <v>https://pbs.twimg.com/profile_banners/65623374/1622125341</v>
      </c>
      <c r="BI242" s="76"/>
      <c r="BJ242" s="76" t="s">
        <v>19633</v>
      </c>
      <c r="BK242" s="76" t="b">
        <v>0</v>
      </c>
      <c r="BL242" s="76"/>
      <c r="BM242" s="76" t="s">
        <v>66</v>
      </c>
      <c r="BN242" s="76" t="s">
        <v>19635</v>
      </c>
      <c r="BO242" s="83" t="str">
        <f>HYPERLINK("https://twitter.com/ammamagistrados")</f>
        <v>https://twitter.com/ammamagistrados</v>
      </c>
      <c r="BP242" s="2"/>
    </row>
    <row r="243" spans="1:68" x14ac:dyDescent="0.25">
      <c r="A243" s="62" t="s">
        <v>425</v>
      </c>
      <c r="B243" s="63"/>
      <c r="C243" s="63"/>
      <c r="D243" s="64"/>
      <c r="E243" s="66"/>
      <c r="F243" s="103" t="str">
        <f>HYPERLINK("https://pbs.twimg.com/profile_images/1490726030239219715/NsSY2E9c_normal.jpg")</f>
        <v>https://pbs.twimg.com/profile_images/1490726030239219715/NsSY2E9c_normal.jpg</v>
      </c>
      <c r="G243" s="63"/>
      <c r="H243" s="67"/>
      <c r="I243" s="68"/>
      <c r="J243" s="68"/>
      <c r="K243" s="67" t="s">
        <v>19875</v>
      </c>
      <c r="L243" s="71"/>
      <c r="M243" s="72"/>
      <c r="N243" s="72"/>
      <c r="O243" s="73"/>
      <c r="P243" s="74"/>
      <c r="Q243" s="74"/>
      <c r="R243" s="87"/>
      <c r="S243" s="87"/>
      <c r="T243" s="87"/>
      <c r="U243" s="87"/>
      <c r="V243" s="48"/>
      <c r="W243" s="48"/>
      <c r="X243" s="47">
        <v>1.101E-3</v>
      </c>
      <c r="Y243" s="48"/>
      <c r="Z243" s="47"/>
      <c r="AA243" s="69">
        <v>243</v>
      </c>
      <c r="AB243" s="69"/>
      <c r="AC243" s="70"/>
      <c r="AD243" s="76" t="s">
        <v>16878</v>
      </c>
      <c r="AE243" s="81" t="s">
        <v>17626</v>
      </c>
      <c r="AF243" s="76">
        <v>435449</v>
      </c>
      <c r="AG243" s="76">
        <v>217</v>
      </c>
      <c r="AH243" s="76">
        <v>147719</v>
      </c>
      <c r="AI243" s="76">
        <v>2292</v>
      </c>
      <c r="AJ243" s="76">
        <v>1131</v>
      </c>
      <c r="AK243" s="76">
        <v>10015</v>
      </c>
      <c r="AL243" s="76" t="b">
        <v>0</v>
      </c>
      <c r="AM243" s="78">
        <v>41149.036550925928</v>
      </c>
      <c r="AN243" s="76"/>
      <c r="AO243" s="76" t="s">
        <v>18372</v>
      </c>
      <c r="AP243" s="83" t="str">
        <f>HYPERLINK("https://t.co/jP5TXoTaSm")</f>
        <v>https://t.co/jP5TXoTaSm</v>
      </c>
      <c r="AQ243" s="83" t="str">
        <f>HYPERLINK("http://www.cbn.com.br")</f>
        <v>http://www.cbn.com.br</v>
      </c>
      <c r="AR243" s="76" t="s">
        <v>19140</v>
      </c>
      <c r="AS243" s="76"/>
      <c r="AT243" s="76"/>
      <c r="AU243" s="76"/>
      <c r="AV243" s="76"/>
      <c r="AW243" s="83" t="str">
        <f>HYPERLINK("https://t.co/jP5TXoTaSm")</f>
        <v>https://t.co/jP5TXoTaSm</v>
      </c>
      <c r="AX243" s="76" t="b">
        <v>0</v>
      </c>
      <c r="AY243" s="76"/>
      <c r="AZ243" s="76"/>
      <c r="BA243" s="76" t="b">
        <v>0</v>
      </c>
      <c r="BB243" s="76" t="b">
        <v>1</v>
      </c>
      <c r="BC243" s="76" t="b">
        <v>0</v>
      </c>
      <c r="BD243" s="76" t="b">
        <v>0</v>
      </c>
      <c r="BE243" s="76" t="b">
        <v>1</v>
      </c>
      <c r="BF243" s="76" t="b">
        <v>0</v>
      </c>
      <c r="BG243" s="76" t="b">
        <v>0</v>
      </c>
      <c r="BH243" s="83" t="str">
        <f>HYPERLINK("https://pbs.twimg.com/profile_banners/785833176/1644251758")</f>
        <v>https://pbs.twimg.com/profile_banners/785833176/1644251758</v>
      </c>
      <c r="BI243" s="76"/>
      <c r="BJ243" s="76" t="s">
        <v>19633</v>
      </c>
      <c r="BK243" s="76" t="b">
        <v>0</v>
      </c>
      <c r="BL243" s="76"/>
      <c r="BM243" s="76" t="s">
        <v>66</v>
      </c>
      <c r="BN243" s="76" t="s">
        <v>19635</v>
      </c>
      <c r="BO243" s="83" t="str">
        <f>HYPERLINK("https://twitter.com/cbnoficial")</f>
        <v>https://twitter.com/cbnoficial</v>
      </c>
      <c r="BP243" s="2"/>
    </row>
    <row r="244" spans="1:68" x14ac:dyDescent="0.25">
      <c r="A244" s="62" t="s">
        <v>426</v>
      </c>
      <c r="B244" s="63"/>
      <c r="C244" s="63"/>
      <c r="D244" s="64"/>
      <c r="E244" s="66"/>
      <c r="F244" s="103" t="str">
        <f>HYPERLINK("https://pbs.twimg.com/profile_images/2504791491/xy0dyksmhtrbeae5mb51_normal.jpeg")</f>
        <v>https://pbs.twimg.com/profile_images/2504791491/xy0dyksmhtrbeae5mb51_normal.jpeg</v>
      </c>
      <c r="G244" s="63"/>
      <c r="H244" s="67"/>
      <c r="I244" s="68"/>
      <c r="J244" s="68"/>
      <c r="K244" s="67" t="s">
        <v>19876</v>
      </c>
      <c r="L244" s="71"/>
      <c r="M244" s="72"/>
      <c r="N244" s="72"/>
      <c r="O244" s="73"/>
      <c r="P244" s="74"/>
      <c r="Q244" s="74"/>
      <c r="R244" s="87"/>
      <c r="S244" s="87"/>
      <c r="T244" s="87"/>
      <c r="U244" s="87"/>
      <c r="V244" s="48"/>
      <c r="W244" s="48"/>
      <c r="X244" s="47">
        <v>1.0009999999999999E-3</v>
      </c>
      <c r="Y244" s="48"/>
      <c r="Z244" s="47"/>
      <c r="AA244" s="69">
        <v>244</v>
      </c>
      <c r="AB244" s="69"/>
      <c r="AC244" s="70"/>
      <c r="AD244" s="76" t="s">
        <v>16879</v>
      </c>
      <c r="AE244" s="81" t="s">
        <v>17627</v>
      </c>
      <c r="AF244" s="76">
        <v>212</v>
      </c>
      <c r="AG244" s="76">
        <v>685</v>
      </c>
      <c r="AH244" s="76">
        <v>9994</v>
      </c>
      <c r="AI244" s="76">
        <v>2</v>
      </c>
      <c r="AJ244" s="76">
        <v>5506</v>
      </c>
      <c r="AK244" s="76">
        <v>2016</v>
      </c>
      <c r="AL244" s="76" t="b">
        <v>0</v>
      </c>
      <c r="AM244" s="78">
        <v>40219.84070601852</v>
      </c>
      <c r="AN244" s="76" t="s">
        <v>10552</v>
      </c>
      <c r="AO244" s="76" t="s">
        <v>18373</v>
      </c>
      <c r="AP244" s="76"/>
      <c r="AQ244" s="76"/>
      <c r="AR244" s="76"/>
      <c r="AS244" s="76"/>
      <c r="AT244" s="76"/>
      <c r="AU244" s="76"/>
      <c r="AV244" s="76"/>
      <c r="AW244" s="76"/>
      <c r="AX244" s="76" t="b">
        <v>0</v>
      </c>
      <c r="AY244" s="76"/>
      <c r="AZ244" s="76"/>
      <c r="BA244" s="76" t="b">
        <v>0</v>
      </c>
      <c r="BB244" s="76" t="b">
        <v>1</v>
      </c>
      <c r="BC244" s="76" t="b">
        <v>1</v>
      </c>
      <c r="BD244" s="76" t="b">
        <v>0</v>
      </c>
      <c r="BE244" s="76" t="b">
        <v>1</v>
      </c>
      <c r="BF244" s="76" t="b">
        <v>0</v>
      </c>
      <c r="BG244" s="76" t="b">
        <v>0</v>
      </c>
      <c r="BH244" s="76"/>
      <c r="BI244" s="76"/>
      <c r="BJ244" s="76" t="s">
        <v>19633</v>
      </c>
      <c r="BK244" s="76" t="b">
        <v>0</v>
      </c>
      <c r="BL244" s="76"/>
      <c r="BM244" s="76" t="s">
        <v>66</v>
      </c>
      <c r="BN244" s="76" t="s">
        <v>19635</v>
      </c>
      <c r="BO244" s="83" t="str">
        <f>HYPERLINK("https://twitter.com/paulocbastos")</f>
        <v>https://twitter.com/paulocbastos</v>
      </c>
      <c r="BP244" s="2"/>
    </row>
    <row r="245" spans="1:68" x14ac:dyDescent="0.25">
      <c r="A245" s="62" t="s">
        <v>451</v>
      </c>
      <c r="B245" s="63"/>
      <c r="C245" s="63"/>
      <c r="D245" s="64"/>
      <c r="E245" s="66"/>
      <c r="F245" s="103" t="str">
        <f>HYPERLINK("https://pbs.twimg.com/profile_images/1327606670453854211/QxCVNmHW_normal.jpg")</f>
        <v>https://pbs.twimg.com/profile_images/1327606670453854211/QxCVNmHW_normal.jpg</v>
      </c>
      <c r="G245" s="63"/>
      <c r="H245" s="67"/>
      <c r="I245" s="68"/>
      <c r="J245" s="68"/>
      <c r="K245" s="67" t="s">
        <v>19877</v>
      </c>
      <c r="L245" s="71"/>
      <c r="M245" s="72"/>
      <c r="N245" s="72"/>
      <c r="O245" s="73"/>
      <c r="P245" s="74"/>
      <c r="Q245" s="74"/>
      <c r="R245" s="87"/>
      <c r="S245" s="87"/>
      <c r="T245" s="87"/>
      <c r="U245" s="87"/>
      <c r="V245" s="48"/>
      <c r="W245" s="48"/>
      <c r="X245" s="47">
        <v>1.302E-3</v>
      </c>
      <c r="Y245" s="48"/>
      <c r="Z245" s="47"/>
      <c r="AA245" s="69">
        <v>245</v>
      </c>
      <c r="AB245" s="69"/>
      <c r="AC245" s="70"/>
      <c r="AD245" s="76" t="s">
        <v>16880</v>
      </c>
      <c r="AE245" s="81" t="s">
        <v>15709</v>
      </c>
      <c r="AF245" s="76">
        <v>1511945</v>
      </c>
      <c r="AG245" s="76">
        <v>3321</v>
      </c>
      <c r="AH245" s="76">
        <v>36682</v>
      </c>
      <c r="AI245" s="76">
        <v>2127</v>
      </c>
      <c r="AJ245" s="76">
        <v>13091</v>
      </c>
      <c r="AK245" s="76">
        <v>11526</v>
      </c>
      <c r="AL245" s="76" t="b">
        <v>0</v>
      </c>
      <c r="AM245" s="78">
        <v>40358.541250000002</v>
      </c>
      <c r="AN245" s="76" t="s">
        <v>10622</v>
      </c>
      <c r="AO245" s="76" t="s">
        <v>18374</v>
      </c>
      <c r="AP245" s="83" t="str">
        <f>HYPERLINK("https://t.co/vtmLbaLKTi")</f>
        <v>https://t.co/vtmLbaLKTi</v>
      </c>
      <c r="AQ245" s="83" t="str">
        <f>HYPERLINK("https://linkme.bio/ibest-ricardo-amorim")</f>
        <v>https://linkme.bio/ibest-ricardo-amorim</v>
      </c>
      <c r="AR245" s="76" t="s">
        <v>19141</v>
      </c>
      <c r="AS245" s="76"/>
      <c r="AT245" s="76"/>
      <c r="AU245" s="76"/>
      <c r="AV245" s="76">
        <v>1.6896123717135501E+18</v>
      </c>
      <c r="AW245" s="83" t="str">
        <f>HYPERLINK("https://t.co/vtmLbaLKTi")</f>
        <v>https://t.co/vtmLbaLKTi</v>
      </c>
      <c r="AX245" s="76" t="b">
        <v>1</v>
      </c>
      <c r="AY245" s="76"/>
      <c r="AZ245" s="76"/>
      <c r="BA245" s="76" t="b">
        <v>0</v>
      </c>
      <c r="BB245" s="76" t="b">
        <v>1</v>
      </c>
      <c r="BC245" s="76" t="b">
        <v>0</v>
      </c>
      <c r="BD245" s="76" t="b">
        <v>0</v>
      </c>
      <c r="BE245" s="76" t="b">
        <v>1</v>
      </c>
      <c r="BF245" s="76" t="b">
        <v>0</v>
      </c>
      <c r="BG245" s="76" t="b">
        <v>0</v>
      </c>
      <c r="BH245" s="83" t="str">
        <f>HYPERLINK("https://pbs.twimg.com/profile_banners/160910872/1671805771")</f>
        <v>https://pbs.twimg.com/profile_banners/160910872/1671805771</v>
      </c>
      <c r="BI245" s="76"/>
      <c r="BJ245" s="76" t="s">
        <v>19633</v>
      </c>
      <c r="BK245" s="76" t="b">
        <v>0</v>
      </c>
      <c r="BL245" s="76"/>
      <c r="BM245" s="76" t="s">
        <v>66</v>
      </c>
      <c r="BN245" s="76" t="s">
        <v>19635</v>
      </c>
      <c r="BO245" s="83" t="str">
        <f>HYPERLINK("https://twitter.com/ricamconsult")</f>
        <v>https://twitter.com/ricamconsult</v>
      </c>
      <c r="BP245" s="2"/>
    </row>
    <row r="246" spans="1:68" x14ac:dyDescent="0.25">
      <c r="A246" s="62" t="s">
        <v>427</v>
      </c>
      <c r="B246" s="63"/>
      <c r="C246" s="63"/>
      <c r="D246" s="64"/>
      <c r="E246" s="66"/>
      <c r="F246" s="103" t="str">
        <f>HYPERLINK("https://pbs.twimg.com/profile_images/1687478376850755584/D2Wy7zZ-_normal.jpg")</f>
        <v>https://pbs.twimg.com/profile_images/1687478376850755584/D2Wy7zZ-_normal.jpg</v>
      </c>
      <c r="G246" s="63"/>
      <c r="H246" s="67"/>
      <c r="I246" s="68"/>
      <c r="J246" s="68"/>
      <c r="K246" s="67" t="s">
        <v>19878</v>
      </c>
      <c r="L246" s="71"/>
      <c r="M246" s="72"/>
      <c r="N246" s="72"/>
      <c r="O246" s="73"/>
      <c r="P246" s="74"/>
      <c r="Q246" s="74"/>
      <c r="R246" s="87"/>
      <c r="S246" s="87"/>
      <c r="T246" s="87"/>
      <c r="U246" s="87"/>
      <c r="V246" s="48"/>
      <c r="W246" s="48"/>
      <c r="X246" s="47">
        <v>1.101E-3</v>
      </c>
      <c r="Y246" s="48"/>
      <c r="Z246" s="47"/>
      <c r="AA246" s="69">
        <v>246</v>
      </c>
      <c r="AB246" s="69"/>
      <c r="AC246" s="70"/>
      <c r="AD246" s="76" t="s">
        <v>16881</v>
      </c>
      <c r="AE246" s="81" t="s">
        <v>17628</v>
      </c>
      <c r="AF246" s="76">
        <v>33756</v>
      </c>
      <c r="AG246" s="76">
        <v>170</v>
      </c>
      <c r="AH246" s="76">
        <v>9158</v>
      </c>
      <c r="AI246" s="76">
        <v>486</v>
      </c>
      <c r="AJ246" s="76">
        <v>119</v>
      </c>
      <c r="AK246" s="76">
        <v>266</v>
      </c>
      <c r="AL246" s="76" t="b">
        <v>0</v>
      </c>
      <c r="AM246" s="78">
        <v>39927.68822916667</v>
      </c>
      <c r="AN246" s="76" t="s">
        <v>10552</v>
      </c>
      <c r="AO246" s="76" t="s">
        <v>18375</v>
      </c>
      <c r="AP246" s="83" t="str">
        <f>HYPERLINK("https://t.co/E0UygweVDV")</f>
        <v>https://t.co/E0UygweVDV</v>
      </c>
      <c r="AQ246" s="83" t="str">
        <f>HYPERLINK("https://vocerh.abril.com.br/")</f>
        <v>https://vocerh.abril.com.br/</v>
      </c>
      <c r="AR246" s="76" t="s">
        <v>19142</v>
      </c>
      <c r="AS246" s="83" t="str">
        <f>HYPERLINK("https://t.co/gMEO8oY65z")</f>
        <v>https://t.co/gMEO8oY65z</v>
      </c>
      <c r="AT246" s="83" t="str">
        <f>HYPERLINK("http://abr.ai/3WowHIe")</f>
        <v>http://abr.ai/3WowHIe</v>
      </c>
      <c r="AU246" s="76" t="s">
        <v>19592</v>
      </c>
      <c r="AV246" s="76">
        <v>1.6874763387167401E+18</v>
      </c>
      <c r="AW246" s="83" t="str">
        <f>HYPERLINK("https://t.co/E0UygweVDV")</f>
        <v>https://t.co/E0UygweVDV</v>
      </c>
      <c r="AX246" s="76" t="b">
        <v>0</v>
      </c>
      <c r="AY246" s="76"/>
      <c r="AZ246" s="76"/>
      <c r="BA246" s="76" t="b">
        <v>0</v>
      </c>
      <c r="BB246" s="76" t="b">
        <v>1</v>
      </c>
      <c r="BC246" s="76" t="b">
        <v>0</v>
      </c>
      <c r="BD246" s="76" t="b">
        <v>0</v>
      </c>
      <c r="BE246" s="76" t="b">
        <v>0</v>
      </c>
      <c r="BF246" s="76" t="b">
        <v>0</v>
      </c>
      <c r="BG246" s="76" t="b">
        <v>0</v>
      </c>
      <c r="BH246" s="83" t="str">
        <f>HYPERLINK("https://pbs.twimg.com/profile_banners/34969398/1691161173")</f>
        <v>https://pbs.twimg.com/profile_banners/34969398/1691161173</v>
      </c>
      <c r="BI246" s="76"/>
      <c r="BJ246" s="76" t="s">
        <v>19633</v>
      </c>
      <c r="BK246" s="76" t="b">
        <v>0</v>
      </c>
      <c r="BL246" s="76"/>
      <c r="BM246" s="76" t="s">
        <v>66</v>
      </c>
      <c r="BN246" s="76" t="s">
        <v>19635</v>
      </c>
      <c r="BO246" s="83" t="str">
        <f>HYPERLINK("https://twitter.com/revistavocerh")</f>
        <v>https://twitter.com/revistavocerh</v>
      </c>
      <c r="BP246" s="2"/>
    </row>
    <row r="247" spans="1:68" x14ac:dyDescent="0.25">
      <c r="A247" s="62" t="s">
        <v>428</v>
      </c>
      <c r="B247" s="63"/>
      <c r="C247" s="63"/>
      <c r="D247" s="64"/>
      <c r="E247" s="66"/>
      <c r="F247" s="103" t="str">
        <f>HYPERLINK("https://pbs.twimg.com/profile_images/1458949338219094021/PizcxHA__normal.jpg")</f>
        <v>https://pbs.twimg.com/profile_images/1458949338219094021/PizcxHA__normal.jpg</v>
      </c>
      <c r="G247" s="63"/>
      <c r="H247" s="67"/>
      <c r="I247" s="68"/>
      <c r="J247" s="68"/>
      <c r="K247" s="67" t="s">
        <v>19879</v>
      </c>
      <c r="L247" s="71"/>
      <c r="M247" s="72"/>
      <c r="N247" s="72"/>
      <c r="O247" s="73"/>
      <c r="P247" s="74"/>
      <c r="Q247" s="74"/>
      <c r="R247" s="87"/>
      <c r="S247" s="87"/>
      <c r="T247" s="87"/>
      <c r="U247" s="87"/>
      <c r="V247" s="48"/>
      <c r="W247" s="48"/>
      <c r="X247" s="47">
        <v>9.6500000000000004E-4</v>
      </c>
      <c r="Y247" s="48"/>
      <c r="Z247" s="47"/>
      <c r="AA247" s="69">
        <v>247</v>
      </c>
      <c r="AB247" s="69"/>
      <c r="AC247" s="70"/>
      <c r="AD247" s="76" t="s">
        <v>16882</v>
      </c>
      <c r="AE247" s="81" t="s">
        <v>17629</v>
      </c>
      <c r="AF247" s="76">
        <v>7570</v>
      </c>
      <c r="AG247" s="76">
        <v>8260</v>
      </c>
      <c r="AH247" s="76">
        <v>26794</v>
      </c>
      <c r="AI247" s="76">
        <v>11</v>
      </c>
      <c r="AJ247" s="76">
        <v>17861</v>
      </c>
      <c r="AK247" s="76">
        <v>3947</v>
      </c>
      <c r="AL247" s="76" t="b">
        <v>0</v>
      </c>
      <c r="AM247" s="78">
        <v>40503.714097222219</v>
      </c>
      <c r="AN247" s="76" t="s">
        <v>17955</v>
      </c>
      <c r="AO247" s="76" t="s">
        <v>18376</v>
      </c>
      <c r="AP247" s="83" t="str">
        <f>HYPERLINK("https://t.co/v8thhNjQjD")</f>
        <v>https://t.co/v8thhNjQjD</v>
      </c>
      <c r="AQ247" s="83" t="str">
        <f>HYPERLINK("http://hotm.art/4RyhSMi5")</f>
        <v>http://hotm.art/4RyhSMi5</v>
      </c>
      <c r="AR247" s="76" t="s">
        <v>19143</v>
      </c>
      <c r="AS247" s="76"/>
      <c r="AT247" s="76"/>
      <c r="AU247" s="76"/>
      <c r="AV247" s="76"/>
      <c r="AW247" s="83" t="str">
        <f>HYPERLINK("https://t.co/v8thhNjQjD")</f>
        <v>https://t.co/v8thhNjQjD</v>
      </c>
      <c r="AX247" s="76" t="b">
        <v>0</v>
      </c>
      <c r="AY247" s="76"/>
      <c r="AZ247" s="76"/>
      <c r="BA247" s="76" t="b">
        <v>0</v>
      </c>
      <c r="BB247" s="76" t="b">
        <v>0</v>
      </c>
      <c r="BC247" s="76" t="b">
        <v>1</v>
      </c>
      <c r="BD247" s="76" t="b">
        <v>0</v>
      </c>
      <c r="BE247" s="76" t="b">
        <v>1</v>
      </c>
      <c r="BF247" s="76" t="b">
        <v>0</v>
      </c>
      <c r="BG247" s="76" t="b">
        <v>0</v>
      </c>
      <c r="BH247" s="83" t="str">
        <f>HYPERLINK("https://pbs.twimg.com/profile_banners/218182072/1589096817")</f>
        <v>https://pbs.twimg.com/profile_banners/218182072/1589096817</v>
      </c>
      <c r="BI247" s="76"/>
      <c r="BJ247" s="76" t="s">
        <v>19633</v>
      </c>
      <c r="BK247" s="76" t="b">
        <v>0</v>
      </c>
      <c r="BL247" s="76"/>
      <c r="BM247" s="76" t="s">
        <v>66</v>
      </c>
      <c r="BN247" s="76" t="s">
        <v>19635</v>
      </c>
      <c r="BO247" s="83" t="str">
        <f>HYPERLINK("https://twitter.com/portomario")</f>
        <v>https://twitter.com/portomario</v>
      </c>
      <c r="BP247" s="2"/>
    </row>
    <row r="248" spans="1:68" x14ac:dyDescent="0.25">
      <c r="A248" s="62" t="s">
        <v>429</v>
      </c>
      <c r="B248" s="63"/>
      <c r="C248" s="63"/>
      <c r="D248" s="64"/>
      <c r="E248" s="66"/>
      <c r="F248" s="103" t="str">
        <f>HYPERLINK("https://pbs.twimg.com/profile_images/1700282693701746688/zdt6eJjZ_normal.jpg")</f>
        <v>https://pbs.twimg.com/profile_images/1700282693701746688/zdt6eJjZ_normal.jpg</v>
      </c>
      <c r="G248" s="63"/>
      <c r="H248" s="67"/>
      <c r="I248" s="68"/>
      <c r="J248" s="68"/>
      <c r="K248" s="67" t="s">
        <v>19880</v>
      </c>
      <c r="L248" s="71"/>
      <c r="M248" s="72"/>
      <c r="N248" s="72"/>
      <c r="O248" s="73"/>
      <c r="P248" s="74"/>
      <c r="Q248" s="74"/>
      <c r="R248" s="87"/>
      <c r="S248" s="87"/>
      <c r="T248" s="87"/>
      <c r="U248" s="87"/>
      <c r="V248" s="48"/>
      <c r="W248" s="48"/>
      <c r="X248" s="47">
        <v>9.6500000000000004E-4</v>
      </c>
      <c r="Y248" s="48"/>
      <c r="Z248" s="47"/>
      <c r="AA248" s="69">
        <v>248</v>
      </c>
      <c r="AB248" s="69"/>
      <c r="AC248" s="70"/>
      <c r="AD248" s="76" t="s">
        <v>16883</v>
      </c>
      <c r="AE248" s="81" t="s">
        <v>17630</v>
      </c>
      <c r="AF248" s="76">
        <v>3798</v>
      </c>
      <c r="AG248" s="76">
        <v>641</v>
      </c>
      <c r="AH248" s="76">
        <v>103986</v>
      </c>
      <c r="AI248" s="76">
        <v>2</v>
      </c>
      <c r="AJ248" s="76">
        <v>711</v>
      </c>
      <c r="AK248" s="76">
        <v>89941</v>
      </c>
      <c r="AL248" s="76" t="b">
        <v>0</v>
      </c>
      <c r="AM248" s="78">
        <v>41043.839722222219</v>
      </c>
      <c r="AN248" s="76" t="s">
        <v>17956</v>
      </c>
      <c r="AO248" s="76"/>
      <c r="AP248" s="76"/>
      <c r="AQ248" s="76"/>
      <c r="AR248" s="76"/>
      <c r="AS248" s="76"/>
      <c r="AT248" s="76"/>
      <c r="AU248" s="76"/>
      <c r="AV248" s="76"/>
      <c r="AW248" s="76"/>
      <c r="AX248" s="76" t="b">
        <v>0</v>
      </c>
      <c r="AY248" s="76"/>
      <c r="AZ248" s="76"/>
      <c r="BA248" s="76" t="b">
        <v>0</v>
      </c>
      <c r="BB248" s="76" t="b">
        <v>1</v>
      </c>
      <c r="BC248" s="76" t="b">
        <v>1</v>
      </c>
      <c r="BD248" s="76" t="b">
        <v>0</v>
      </c>
      <c r="BE248" s="76" t="b">
        <v>1</v>
      </c>
      <c r="BF248" s="76" t="b">
        <v>0</v>
      </c>
      <c r="BG248" s="76" t="b">
        <v>0</v>
      </c>
      <c r="BH248" s="83" t="str">
        <f>HYPERLINK("https://pbs.twimg.com/profile_banners/580199593/1409653423")</f>
        <v>https://pbs.twimg.com/profile_banners/580199593/1409653423</v>
      </c>
      <c r="BI248" s="76"/>
      <c r="BJ248" s="76" t="s">
        <v>19633</v>
      </c>
      <c r="BK248" s="76" t="b">
        <v>0</v>
      </c>
      <c r="BL248" s="76"/>
      <c r="BM248" s="76" t="s">
        <v>66</v>
      </c>
      <c r="BN248" s="76" t="s">
        <v>19635</v>
      </c>
      <c r="BO248" s="83" t="str">
        <f>HYPERLINK("https://twitter.com/marcosacyprest1")</f>
        <v>https://twitter.com/marcosacyprest1</v>
      </c>
      <c r="BP248" s="2"/>
    </row>
    <row r="249" spans="1:68" x14ac:dyDescent="0.25">
      <c r="A249" s="62" t="s">
        <v>430</v>
      </c>
      <c r="B249" s="63"/>
      <c r="C249" s="63"/>
      <c r="D249" s="64"/>
      <c r="E249" s="66"/>
      <c r="F249" s="103" t="str">
        <f>HYPERLINK("https://pbs.twimg.com/profile_images/1676660914022502405/3QEshaAX_normal.jpg")</f>
        <v>https://pbs.twimg.com/profile_images/1676660914022502405/3QEshaAX_normal.jpg</v>
      </c>
      <c r="G249" s="63"/>
      <c r="H249" s="67"/>
      <c r="I249" s="68"/>
      <c r="J249" s="68"/>
      <c r="K249" s="67" t="s">
        <v>19881</v>
      </c>
      <c r="L249" s="71"/>
      <c r="M249" s="72"/>
      <c r="N249" s="72"/>
      <c r="O249" s="73"/>
      <c r="P249" s="74"/>
      <c r="Q249" s="74"/>
      <c r="R249" s="87"/>
      <c r="S249" s="87"/>
      <c r="T249" s="87"/>
      <c r="U249" s="87"/>
      <c r="V249" s="48"/>
      <c r="W249" s="48"/>
      <c r="X249" s="47">
        <v>1.101E-3</v>
      </c>
      <c r="Y249" s="48"/>
      <c r="Z249" s="47"/>
      <c r="AA249" s="69">
        <v>249</v>
      </c>
      <c r="AB249" s="69"/>
      <c r="AC249" s="70"/>
      <c r="AD249" s="76" t="s">
        <v>16884</v>
      </c>
      <c r="AE249" s="81" t="s">
        <v>16242</v>
      </c>
      <c r="AF249" s="76">
        <v>9</v>
      </c>
      <c r="AG249" s="76">
        <v>79</v>
      </c>
      <c r="AH249" s="76">
        <v>221</v>
      </c>
      <c r="AI249" s="76">
        <v>1</v>
      </c>
      <c r="AJ249" s="76">
        <v>271</v>
      </c>
      <c r="AK249" s="76">
        <v>197</v>
      </c>
      <c r="AL249" s="76" t="b">
        <v>0</v>
      </c>
      <c r="AM249" s="78">
        <v>45112.534305555557</v>
      </c>
      <c r="AN249" s="76"/>
      <c r="AO249" s="76" t="s">
        <v>18377</v>
      </c>
      <c r="AP249" s="83" t="str">
        <f>HYPERLINK("https://t.co/ZAy6H1BW5a")</f>
        <v>https://t.co/ZAy6H1BW5a</v>
      </c>
      <c r="AQ249" s="83" t="str">
        <f>HYPERLINK("https://www.comlucro.com.br")</f>
        <v>https://www.comlucro.com.br</v>
      </c>
      <c r="AR249" s="76" t="s">
        <v>19144</v>
      </c>
      <c r="AS249" s="76"/>
      <c r="AT249" s="76"/>
      <c r="AU249" s="76"/>
      <c r="AV249" s="76"/>
      <c r="AW249" s="83" t="str">
        <f>HYPERLINK("https://t.co/ZAy6H1BW5a")</f>
        <v>https://t.co/ZAy6H1BW5a</v>
      </c>
      <c r="AX249" s="76" t="b">
        <v>0</v>
      </c>
      <c r="AY249" s="76"/>
      <c r="AZ249" s="76"/>
      <c r="BA249" s="76" t="b">
        <v>0</v>
      </c>
      <c r="BB249" s="76" t="b">
        <v>1</v>
      </c>
      <c r="BC249" s="76" t="b">
        <v>1</v>
      </c>
      <c r="BD249" s="76" t="b">
        <v>0</v>
      </c>
      <c r="BE249" s="76" t="b">
        <v>0</v>
      </c>
      <c r="BF249" s="76" t="b">
        <v>0</v>
      </c>
      <c r="BG249" s="76" t="b">
        <v>0</v>
      </c>
      <c r="BH249" s="83" t="str">
        <f>HYPERLINK("https://pbs.twimg.com/profile_banners/1676573946269794307/1688582088")</f>
        <v>https://pbs.twimg.com/profile_banners/1676573946269794307/1688582088</v>
      </c>
      <c r="BI249" s="76"/>
      <c r="BJ249" s="76" t="s">
        <v>19633</v>
      </c>
      <c r="BK249" s="76" t="b">
        <v>0</v>
      </c>
      <c r="BL249" s="76"/>
      <c r="BM249" s="76" t="s">
        <v>66</v>
      </c>
      <c r="BN249" s="76" t="s">
        <v>19635</v>
      </c>
      <c r="BO249" s="83" t="str">
        <f>HYPERLINK("https://twitter.com/canalcomlucro")</f>
        <v>https://twitter.com/canalcomlucro</v>
      </c>
      <c r="BP249" s="2"/>
    </row>
    <row r="250" spans="1:68" x14ac:dyDescent="0.25">
      <c r="A250" s="62" t="s">
        <v>431</v>
      </c>
      <c r="B250" s="63"/>
      <c r="C250" s="63"/>
      <c r="D250" s="64"/>
      <c r="E250" s="66"/>
      <c r="F250" s="103" t="str">
        <f>HYPERLINK("https://pbs.twimg.com/profile_images/1621734737218871297/otoFfeYu_normal.jpg")</f>
        <v>https://pbs.twimg.com/profile_images/1621734737218871297/otoFfeYu_normal.jpg</v>
      </c>
      <c r="G250" s="63"/>
      <c r="H250" s="67"/>
      <c r="I250" s="68"/>
      <c r="J250" s="68"/>
      <c r="K250" s="67" t="s">
        <v>19882</v>
      </c>
      <c r="L250" s="71"/>
      <c r="M250" s="72"/>
      <c r="N250" s="72"/>
      <c r="O250" s="73"/>
      <c r="P250" s="74"/>
      <c r="Q250" s="74"/>
      <c r="R250" s="87"/>
      <c r="S250" s="87"/>
      <c r="T250" s="87"/>
      <c r="U250" s="87"/>
      <c r="V250" s="48"/>
      <c r="W250" s="48"/>
      <c r="X250" s="47">
        <v>1.101E-3</v>
      </c>
      <c r="Y250" s="48"/>
      <c r="Z250" s="47"/>
      <c r="AA250" s="69">
        <v>250</v>
      </c>
      <c r="AB250" s="69"/>
      <c r="AC250" s="70"/>
      <c r="AD250" s="76" t="s">
        <v>16885</v>
      </c>
      <c r="AE250" s="81" t="s">
        <v>17631</v>
      </c>
      <c r="AF250" s="76">
        <v>7332</v>
      </c>
      <c r="AG250" s="76">
        <v>7620</v>
      </c>
      <c r="AH250" s="76">
        <v>55877</v>
      </c>
      <c r="AI250" s="76">
        <v>5</v>
      </c>
      <c r="AJ250" s="76">
        <v>42968</v>
      </c>
      <c r="AK250" s="76">
        <v>23895</v>
      </c>
      <c r="AL250" s="76" t="b">
        <v>0</v>
      </c>
      <c r="AM250" s="78">
        <v>40119.641053240739</v>
      </c>
      <c r="AN250" s="76" t="s">
        <v>17957</v>
      </c>
      <c r="AO250" s="76" t="s">
        <v>18378</v>
      </c>
      <c r="AP250" s="76"/>
      <c r="AQ250" s="76"/>
      <c r="AR250" s="76"/>
      <c r="AS250" s="76"/>
      <c r="AT250" s="76"/>
      <c r="AU250" s="76"/>
      <c r="AV250" s="76">
        <v>1.68934405519117E+18</v>
      </c>
      <c r="AW250" s="76"/>
      <c r="AX250" s="76" t="b">
        <v>0</v>
      </c>
      <c r="AY250" s="76"/>
      <c r="AZ250" s="76"/>
      <c r="BA250" s="76" t="b">
        <v>0</v>
      </c>
      <c r="BB250" s="76" t="b">
        <v>1</v>
      </c>
      <c r="BC250" s="76" t="b">
        <v>0</v>
      </c>
      <c r="BD250" s="76" t="b">
        <v>0</v>
      </c>
      <c r="BE250" s="76" t="b">
        <v>0</v>
      </c>
      <c r="BF250" s="76" t="b">
        <v>0</v>
      </c>
      <c r="BG250" s="76" t="b">
        <v>0</v>
      </c>
      <c r="BH250" s="83" t="str">
        <f>HYPERLINK("https://pbs.twimg.com/profile_banners/86962550/1675486771")</f>
        <v>https://pbs.twimg.com/profile_banners/86962550/1675486771</v>
      </c>
      <c r="BI250" s="76"/>
      <c r="BJ250" s="76" t="s">
        <v>19633</v>
      </c>
      <c r="BK250" s="76" t="b">
        <v>0</v>
      </c>
      <c r="BL250" s="76"/>
      <c r="BM250" s="76" t="s">
        <v>66</v>
      </c>
      <c r="BN250" s="76" t="s">
        <v>19635</v>
      </c>
      <c r="BO250" s="83" t="str">
        <f>HYPERLINK("https://twitter.com/arrcanjjo")</f>
        <v>https://twitter.com/arrcanjjo</v>
      </c>
      <c r="BP250" s="2"/>
    </row>
    <row r="251" spans="1:68" x14ac:dyDescent="0.25">
      <c r="A251" s="62" t="s">
        <v>432</v>
      </c>
      <c r="B251" s="63"/>
      <c r="C251" s="63"/>
      <c r="D251" s="64"/>
      <c r="E251" s="66"/>
      <c r="F251" s="103" t="str">
        <f>HYPERLINK("https://pbs.twimg.com/profile_images/1698515864734097408/rNNOfD3r_normal.jpg")</f>
        <v>https://pbs.twimg.com/profile_images/1698515864734097408/rNNOfD3r_normal.jpg</v>
      </c>
      <c r="G251" s="63"/>
      <c r="H251" s="67"/>
      <c r="I251" s="68"/>
      <c r="J251" s="68"/>
      <c r="K251" s="67" t="s">
        <v>19883</v>
      </c>
      <c r="L251" s="71"/>
      <c r="M251" s="72"/>
      <c r="N251" s="72"/>
      <c r="O251" s="73"/>
      <c r="P251" s="74"/>
      <c r="Q251" s="74"/>
      <c r="R251" s="87"/>
      <c r="S251" s="87"/>
      <c r="T251" s="87"/>
      <c r="U251" s="87"/>
      <c r="V251" s="48"/>
      <c r="W251" s="48"/>
      <c r="X251" s="47">
        <v>1.101E-3</v>
      </c>
      <c r="Y251" s="48"/>
      <c r="Z251" s="47"/>
      <c r="AA251" s="69">
        <v>251</v>
      </c>
      <c r="AB251" s="69"/>
      <c r="AC251" s="70"/>
      <c r="AD251" s="76" t="s">
        <v>16886</v>
      </c>
      <c r="AE251" s="81" t="s">
        <v>17632</v>
      </c>
      <c r="AF251" s="76">
        <v>5154</v>
      </c>
      <c r="AG251" s="76">
        <v>455</v>
      </c>
      <c r="AH251" s="76">
        <v>21696</v>
      </c>
      <c r="AI251" s="76">
        <v>4</v>
      </c>
      <c r="AJ251" s="76">
        <v>180507</v>
      </c>
      <c r="AK251" s="76">
        <v>624</v>
      </c>
      <c r="AL251" s="76" t="b">
        <v>0</v>
      </c>
      <c r="AM251" s="78">
        <v>42008.014513888891</v>
      </c>
      <c r="AN251" s="76" t="s">
        <v>17958</v>
      </c>
      <c r="AO251" s="76" t="s">
        <v>18379</v>
      </c>
      <c r="AP251" s="76"/>
      <c r="AQ251" s="76"/>
      <c r="AR251" s="76"/>
      <c r="AS251" s="76"/>
      <c r="AT251" s="76"/>
      <c r="AU251" s="76"/>
      <c r="AV251" s="76"/>
      <c r="AW251" s="76"/>
      <c r="AX251" s="76" t="b">
        <v>1</v>
      </c>
      <c r="AY251" s="76"/>
      <c r="AZ251" s="76"/>
      <c r="BA251" s="76" t="b">
        <v>0</v>
      </c>
      <c r="BB251" s="76" t="b">
        <v>1</v>
      </c>
      <c r="BC251" s="76" t="b">
        <v>1</v>
      </c>
      <c r="BD251" s="76" t="b">
        <v>0</v>
      </c>
      <c r="BE251" s="76" t="b">
        <v>0</v>
      </c>
      <c r="BF251" s="76" t="b">
        <v>0</v>
      </c>
      <c r="BG251" s="76" t="b">
        <v>0</v>
      </c>
      <c r="BH251" s="83" t="str">
        <f>HYPERLINK("https://pbs.twimg.com/profile_banners/2959370493/1518218511")</f>
        <v>https://pbs.twimg.com/profile_banners/2959370493/1518218511</v>
      </c>
      <c r="BI251" s="76"/>
      <c r="BJ251" s="76" t="s">
        <v>19633</v>
      </c>
      <c r="BK251" s="76" t="b">
        <v>0</v>
      </c>
      <c r="BL251" s="76"/>
      <c r="BM251" s="76" t="s">
        <v>66</v>
      </c>
      <c r="BN251" s="76" t="s">
        <v>19635</v>
      </c>
      <c r="BO251" s="83" t="str">
        <f>HYPERLINK("https://twitter.com/nilsonmarques22")</f>
        <v>https://twitter.com/nilsonmarques22</v>
      </c>
      <c r="BP251" s="2"/>
    </row>
    <row r="252" spans="1:68" x14ac:dyDescent="0.25">
      <c r="A252" s="62" t="s">
        <v>433</v>
      </c>
      <c r="B252" s="63"/>
      <c r="C252" s="63"/>
      <c r="D252" s="64"/>
      <c r="E252" s="66"/>
      <c r="F252" s="103" t="str">
        <f>HYPERLINK("https://pbs.twimg.com/profile_images/1672628649730637824/ArGHZiVX_normal.jpg")</f>
        <v>https://pbs.twimg.com/profile_images/1672628649730637824/ArGHZiVX_normal.jpg</v>
      </c>
      <c r="G252" s="63"/>
      <c r="H252" s="67"/>
      <c r="I252" s="68"/>
      <c r="J252" s="68"/>
      <c r="K252" s="67" t="s">
        <v>19884</v>
      </c>
      <c r="L252" s="71"/>
      <c r="M252" s="72"/>
      <c r="N252" s="72"/>
      <c r="O252" s="73"/>
      <c r="P252" s="74"/>
      <c r="Q252" s="74"/>
      <c r="R252" s="87"/>
      <c r="S252" s="87"/>
      <c r="T252" s="87"/>
      <c r="U252" s="87"/>
      <c r="V252" s="48"/>
      <c r="W252" s="48"/>
      <c r="X252" s="47">
        <v>1.101E-3</v>
      </c>
      <c r="Y252" s="48"/>
      <c r="Z252" s="47"/>
      <c r="AA252" s="69">
        <v>252</v>
      </c>
      <c r="AB252" s="69"/>
      <c r="AC252" s="70"/>
      <c r="AD252" s="76" t="s">
        <v>16887</v>
      </c>
      <c r="AE252" s="81" t="s">
        <v>16243</v>
      </c>
      <c r="AF252" s="76">
        <v>0</v>
      </c>
      <c r="AG252" s="76">
        <v>1</v>
      </c>
      <c r="AH252" s="76">
        <v>5</v>
      </c>
      <c r="AI252" s="76">
        <v>0</v>
      </c>
      <c r="AJ252" s="76">
        <v>1</v>
      </c>
      <c r="AK252" s="76">
        <v>3</v>
      </c>
      <c r="AL252" s="76" t="b">
        <v>0</v>
      </c>
      <c r="AM252" s="78">
        <v>44897.987118055556</v>
      </c>
      <c r="AN252" s="76"/>
      <c r="AO252" s="76" t="s">
        <v>18380</v>
      </c>
      <c r="AP252" s="76"/>
      <c r="AQ252" s="76"/>
      <c r="AR252" s="76"/>
      <c r="AS252" s="76"/>
      <c r="AT252" s="76"/>
      <c r="AU252" s="76"/>
      <c r="AV252" s="76"/>
      <c r="AW252" s="76"/>
      <c r="AX252" s="76" t="b">
        <v>0</v>
      </c>
      <c r="AY252" s="76"/>
      <c r="AZ252" s="76"/>
      <c r="BA252" s="76" t="b">
        <v>0</v>
      </c>
      <c r="BB252" s="76" t="b">
        <v>1</v>
      </c>
      <c r="BC252" s="76" t="b">
        <v>1</v>
      </c>
      <c r="BD252" s="76" t="b">
        <v>0</v>
      </c>
      <c r="BE252" s="76" t="b">
        <v>0</v>
      </c>
      <c r="BF252" s="76" t="b">
        <v>0</v>
      </c>
      <c r="BG252" s="76" t="b">
        <v>0</v>
      </c>
      <c r="BH252" s="83" t="str">
        <f>HYPERLINK("https://pbs.twimg.com/profile_banners/1598824611285794818/1687620719")</f>
        <v>https://pbs.twimg.com/profile_banners/1598824611285794818/1687620719</v>
      </c>
      <c r="BI252" s="76"/>
      <c r="BJ252" s="76" t="s">
        <v>19633</v>
      </c>
      <c r="BK252" s="76" t="b">
        <v>0</v>
      </c>
      <c r="BL252" s="76"/>
      <c r="BM252" s="76" t="s">
        <v>66</v>
      </c>
      <c r="BN252" s="76" t="s">
        <v>19635</v>
      </c>
      <c r="BO252" s="83" t="str">
        <f>HYPERLINK("https://twitter.com/psuvazamentos")</f>
        <v>https://twitter.com/psuvazamentos</v>
      </c>
      <c r="BP252" s="2"/>
    </row>
    <row r="253" spans="1:68" x14ac:dyDescent="0.25">
      <c r="A253" s="62" t="s">
        <v>434</v>
      </c>
      <c r="B253" s="63"/>
      <c r="C253" s="63"/>
      <c r="D253" s="64"/>
      <c r="E253" s="66"/>
      <c r="F253" s="103" t="str">
        <f>HYPERLINK("https://pbs.twimg.com/profile_images/1341542850522189824/HDriN8Xs_normal.jpg")</f>
        <v>https://pbs.twimg.com/profile_images/1341542850522189824/HDriN8Xs_normal.jpg</v>
      </c>
      <c r="G253" s="63"/>
      <c r="H253" s="67"/>
      <c r="I253" s="68"/>
      <c r="J253" s="68"/>
      <c r="K253" s="67" t="s">
        <v>19885</v>
      </c>
      <c r="L253" s="71"/>
      <c r="M253" s="72"/>
      <c r="N253" s="72"/>
      <c r="O253" s="73"/>
      <c r="P253" s="74"/>
      <c r="Q253" s="74"/>
      <c r="R253" s="87"/>
      <c r="S253" s="87"/>
      <c r="T253" s="87"/>
      <c r="U253" s="87"/>
      <c r="V253" s="48"/>
      <c r="W253" s="48"/>
      <c r="X253" s="47">
        <v>1.101E-3</v>
      </c>
      <c r="Y253" s="48"/>
      <c r="Z253" s="47"/>
      <c r="AA253" s="69">
        <v>253</v>
      </c>
      <c r="AB253" s="69"/>
      <c r="AC253" s="70"/>
      <c r="AD253" s="76" t="s">
        <v>16888</v>
      </c>
      <c r="AE253" s="81" t="s">
        <v>17633</v>
      </c>
      <c r="AF253" s="76">
        <v>1912</v>
      </c>
      <c r="AG253" s="76">
        <v>4245</v>
      </c>
      <c r="AH253" s="76">
        <v>86247</v>
      </c>
      <c r="AI253" s="76">
        <v>6</v>
      </c>
      <c r="AJ253" s="76">
        <v>264506</v>
      </c>
      <c r="AK253" s="76">
        <v>5377</v>
      </c>
      <c r="AL253" s="76" t="b">
        <v>0</v>
      </c>
      <c r="AM253" s="78">
        <v>40155.560636574075</v>
      </c>
      <c r="AN253" s="76"/>
      <c r="AO253" s="76" t="s">
        <v>18381</v>
      </c>
      <c r="AP253" s="83" t="str">
        <f>HYPERLINK("https://t.co/ePR6S0uQ4k")</f>
        <v>https://t.co/ePR6S0uQ4k</v>
      </c>
      <c r="AQ253" s="83" t="str">
        <f>HYPERLINK("https://www.digasimamonarquia.com.br/monarquia")</f>
        <v>https://www.digasimamonarquia.com.br/monarquia</v>
      </c>
      <c r="AR253" s="76" t="s">
        <v>19145</v>
      </c>
      <c r="AS253" s="76"/>
      <c r="AT253" s="76"/>
      <c r="AU253" s="76"/>
      <c r="AV253" s="76">
        <v>8.4710533857481101E+17</v>
      </c>
      <c r="AW253" s="83" t="str">
        <f>HYPERLINK("https://t.co/ePR6S0uQ4k")</f>
        <v>https://t.co/ePR6S0uQ4k</v>
      </c>
      <c r="AX253" s="76" t="b">
        <v>0</v>
      </c>
      <c r="AY253" s="76"/>
      <c r="AZ253" s="76"/>
      <c r="BA253" s="76" t="b">
        <v>1</v>
      </c>
      <c r="BB253" s="76" t="b">
        <v>1</v>
      </c>
      <c r="BC253" s="76" t="b">
        <v>1</v>
      </c>
      <c r="BD253" s="76" t="b">
        <v>0</v>
      </c>
      <c r="BE253" s="76" t="b">
        <v>1</v>
      </c>
      <c r="BF253" s="76" t="b">
        <v>0</v>
      </c>
      <c r="BG253" s="76" t="b">
        <v>0</v>
      </c>
      <c r="BH253" s="83" t="str">
        <f>HYPERLINK("https://pbs.twimg.com/profile_banners/95419833/1530737092")</f>
        <v>https://pbs.twimg.com/profile_banners/95419833/1530737092</v>
      </c>
      <c r="BI253" s="76"/>
      <c r="BJ253" s="76" t="s">
        <v>19633</v>
      </c>
      <c r="BK253" s="76" t="b">
        <v>0</v>
      </c>
      <c r="BL253" s="76"/>
      <c r="BM253" s="76" t="s">
        <v>66</v>
      </c>
      <c r="BN253" s="76" t="s">
        <v>19635</v>
      </c>
      <c r="BO253" s="83" t="str">
        <f>HYPERLINK("https://twitter.com/gutgot")</f>
        <v>https://twitter.com/gutgot</v>
      </c>
      <c r="BP253" s="2"/>
    </row>
    <row r="254" spans="1:68" x14ac:dyDescent="0.25">
      <c r="A254" s="62" t="s">
        <v>435</v>
      </c>
      <c r="B254" s="63"/>
      <c r="C254" s="63"/>
      <c r="D254" s="64"/>
      <c r="E254" s="66"/>
      <c r="F254" s="103" t="str">
        <f>HYPERLINK("https://pbs.twimg.com/profile_images/1535877581215608832/iBSoQoXV_normal.jpg")</f>
        <v>https://pbs.twimg.com/profile_images/1535877581215608832/iBSoQoXV_normal.jpg</v>
      </c>
      <c r="G254" s="63"/>
      <c r="H254" s="67"/>
      <c r="I254" s="68"/>
      <c r="J254" s="68"/>
      <c r="K254" s="67" t="s">
        <v>19886</v>
      </c>
      <c r="L254" s="71"/>
      <c r="M254" s="72"/>
      <c r="N254" s="72"/>
      <c r="O254" s="73"/>
      <c r="P254" s="74"/>
      <c r="Q254" s="74"/>
      <c r="R254" s="87"/>
      <c r="S254" s="87"/>
      <c r="T254" s="87"/>
      <c r="U254" s="87"/>
      <c r="V254" s="48"/>
      <c r="W254" s="48"/>
      <c r="X254" s="47">
        <v>1.101E-3</v>
      </c>
      <c r="Y254" s="48"/>
      <c r="Z254" s="47"/>
      <c r="AA254" s="69">
        <v>254</v>
      </c>
      <c r="AB254" s="69"/>
      <c r="AC254" s="70"/>
      <c r="AD254" s="76" t="s">
        <v>16889</v>
      </c>
      <c r="AE254" s="81" t="s">
        <v>17634</v>
      </c>
      <c r="AF254" s="76">
        <v>63</v>
      </c>
      <c r="AG254" s="76">
        <v>92</v>
      </c>
      <c r="AH254" s="76">
        <v>758</v>
      </c>
      <c r="AI254" s="76">
        <v>0</v>
      </c>
      <c r="AJ254" s="76">
        <v>133</v>
      </c>
      <c r="AK254" s="76">
        <v>425</v>
      </c>
      <c r="AL254" s="76" t="b">
        <v>0</v>
      </c>
      <c r="AM254" s="78">
        <v>39941.734942129631</v>
      </c>
      <c r="AN254" s="76" t="s">
        <v>10561</v>
      </c>
      <c r="AO254" s="76" t="s">
        <v>18382</v>
      </c>
      <c r="AP254" s="83" t="str">
        <f>HYPERLINK("https://t.co/aNGyTTEfMp")</f>
        <v>https://t.co/aNGyTTEfMp</v>
      </c>
      <c r="AQ254" s="83" t="str">
        <f>HYPERLINK("http://www.lerbookstore.com.br")</f>
        <v>http://www.lerbookstore.com.br</v>
      </c>
      <c r="AR254" s="76" t="s">
        <v>19146</v>
      </c>
      <c r="AS254" s="76"/>
      <c r="AT254" s="76"/>
      <c r="AU254" s="76"/>
      <c r="AV254" s="76"/>
      <c r="AW254" s="83" t="str">
        <f>HYPERLINK("https://t.co/aNGyTTEfMp")</f>
        <v>https://t.co/aNGyTTEfMp</v>
      </c>
      <c r="AX254" s="76" t="b">
        <v>0</v>
      </c>
      <c r="AY254" s="76"/>
      <c r="AZ254" s="76"/>
      <c r="BA254" s="76" t="b">
        <v>1</v>
      </c>
      <c r="BB254" s="76" t="b">
        <v>1</v>
      </c>
      <c r="BC254" s="76" t="b">
        <v>1</v>
      </c>
      <c r="BD254" s="76" t="b">
        <v>0</v>
      </c>
      <c r="BE254" s="76" t="b">
        <v>0</v>
      </c>
      <c r="BF254" s="76" t="b">
        <v>0</v>
      </c>
      <c r="BG254" s="76" t="b">
        <v>0</v>
      </c>
      <c r="BH254" s="83" t="str">
        <f>HYPERLINK("https://pbs.twimg.com/profile_banners/38707582/1588699829")</f>
        <v>https://pbs.twimg.com/profile_banners/38707582/1588699829</v>
      </c>
      <c r="BI254" s="76"/>
      <c r="BJ254" s="76" t="s">
        <v>19633</v>
      </c>
      <c r="BK254" s="76" t="b">
        <v>0</v>
      </c>
      <c r="BL254" s="76"/>
      <c r="BM254" s="76" t="s">
        <v>66</v>
      </c>
      <c r="BN254" s="76" t="s">
        <v>19635</v>
      </c>
      <c r="BO254" s="83" t="str">
        <f>HYPERLINK("https://twitter.com/eduardomrfilho")</f>
        <v>https://twitter.com/eduardomrfilho</v>
      </c>
      <c r="BP254" s="2"/>
    </row>
    <row r="255" spans="1:68" x14ac:dyDescent="0.25">
      <c r="A255" s="62" t="s">
        <v>436</v>
      </c>
      <c r="B255" s="63"/>
      <c r="C255" s="63"/>
      <c r="D255" s="64"/>
      <c r="E255" s="66"/>
      <c r="F255" s="103" t="str">
        <f>HYPERLINK("https://pbs.twimg.com/profile_images/1613935197732364289/GaEpArku_normal.jpg")</f>
        <v>https://pbs.twimg.com/profile_images/1613935197732364289/GaEpArku_normal.jpg</v>
      </c>
      <c r="G255" s="63"/>
      <c r="H255" s="67"/>
      <c r="I255" s="68"/>
      <c r="J255" s="68"/>
      <c r="K255" s="67" t="s">
        <v>19887</v>
      </c>
      <c r="L255" s="71"/>
      <c r="M255" s="72"/>
      <c r="N255" s="72"/>
      <c r="O255" s="73"/>
      <c r="P255" s="74"/>
      <c r="Q255" s="74"/>
      <c r="R255" s="87"/>
      <c r="S255" s="87"/>
      <c r="T255" s="87"/>
      <c r="U255" s="87"/>
      <c r="V255" s="48"/>
      <c r="W255" s="48"/>
      <c r="X255" s="47">
        <v>1.101E-3</v>
      </c>
      <c r="Y255" s="48"/>
      <c r="Z255" s="47"/>
      <c r="AA255" s="69">
        <v>255</v>
      </c>
      <c r="AB255" s="69"/>
      <c r="AC255" s="70"/>
      <c r="AD255" s="76" t="s">
        <v>16890</v>
      </c>
      <c r="AE255" s="81" t="s">
        <v>16244</v>
      </c>
      <c r="AF255" s="76">
        <v>14</v>
      </c>
      <c r="AG255" s="76">
        <v>192</v>
      </c>
      <c r="AH255" s="76">
        <v>53</v>
      </c>
      <c r="AI255" s="76">
        <v>0</v>
      </c>
      <c r="AJ255" s="76">
        <v>22</v>
      </c>
      <c r="AK255" s="76">
        <v>18</v>
      </c>
      <c r="AL255" s="76" t="b">
        <v>0</v>
      </c>
      <c r="AM255" s="78">
        <v>44939.682974537034</v>
      </c>
      <c r="AN255" s="76"/>
      <c r="AO255" s="76" t="s">
        <v>18383</v>
      </c>
      <c r="AP255" s="76"/>
      <c r="AQ255" s="76"/>
      <c r="AR255" s="76"/>
      <c r="AS255" s="83" t="str">
        <f>HYPERLINK("https://t.co/GxWhwLyFPQ")</f>
        <v>https://t.co/GxWhwLyFPQ</v>
      </c>
      <c r="AT255" s="83" t="str">
        <f>HYPERLINK("http://go.hotmart.com/L78388156D")</f>
        <v>http://go.hotmart.com/L78388156D</v>
      </c>
      <c r="AU255" s="76" t="s">
        <v>19593</v>
      </c>
      <c r="AV255" s="76"/>
      <c r="AW255" s="76"/>
      <c r="AX255" s="76" t="b">
        <v>0</v>
      </c>
      <c r="AY255" s="76"/>
      <c r="AZ255" s="76"/>
      <c r="BA255" s="76" t="b">
        <v>0</v>
      </c>
      <c r="BB255" s="76" t="b">
        <v>1</v>
      </c>
      <c r="BC255" s="76" t="b">
        <v>1</v>
      </c>
      <c r="BD255" s="76" t="b">
        <v>0</v>
      </c>
      <c r="BE255" s="76" t="b">
        <v>0</v>
      </c>
      <c r="BF255" s="76" t="b">
        <v>0</v>
      </c>
      <c r="BG255" s="76" t="b">
        <v>0</v>
      </c>
      <c r="BH255" s="83" t="str">
        <f>HYPERLINK("https://pbs.twimg.com/profile_banners/1613934719632117763/1673630007")</f>
        <v>https://pbs.twimg.com/profile_banners/1613934719632117763/1673630007</v>
      </c>
      <c r="BI255" s="76"/>
      <c r="BJ255" s="76" t="s">
        <v>19633</v>
      </c>
      <c r="BK255" s="76" t="b">
        <v>0</v>
      </c>
      <c r="BL255" s="76"/>
      <c r="BM255" s="76" t="s">
        <v>66</v>
      </c>
      <c r="BN255" s="76" t="s">
        <v>19635</v>
      </c>
      <c r="BO255" s="83" t="str">
        <f>HYPERLINK("https://twitter.com/mktdigital2023")</f>
        <v>https://twitter.com/mktdigital2023</v>
      </c>
      <c r="BP255" s="2"/>
    </row>
    <row r="256" spans="1:68" x14ac:dyDescent="0.25">
      <c r="A256" s="62" t="s">
        <v>437</v>
      </c>
      <c r="B256" s="63"/>
      <c r="C256" s="63"/>
      <c r="D256" s="64"/>
      <c r="E256" s="66"/>
      <c r="F256" s="103" t="str">
        <f>HYPERLINK("https://pbs.twimg.com/profile_images/1300873349225209858/mzX4tGGi_normal.jpg")</f>
        <v>https://pbs.twimg.com/profile_images/1300873349225209858/mzX4tGGi_normal.jpg</v>
      </c>
      <c r="G256" s="63"/>
      <c r="H256" s="67"/>
      <c r="I256" s="68"/>
      <c r="J256" s="68"/>
      <c r="K256" s="67" t="s">
        <v>19888</v>
      </c>
      <c r="L256" s="71"/>
      <c r="M256" s="72"/>
      <c r="N256" s="72"/>
      <c r="O256" s="73"/>
      <c r="P256" s="74"/>
      <c r="Q256" s="74"/>
      <c r="R256" s="87"/>
      <c r="S256" s="87"/>
      <c r="T256" s="87"/>
      <c r="U256" s="87"/>
      <c r="V256" s="48"/>
      <c r="W256" s="48"/>
      <c r="X256" s="47">
        <v>1.101E-3</v>
      </c>
      <c r="Y256" s="48"/>
      <c r="Z256" s="47"/>
      <c r="AA256" s="69">
        <v>256</v>
      </c>
      <c r="AB256" s="69"/>
      <c r="AC256" s="70"/>
      <c r="AD256" s="76" t="s">
        <v>16891</v>
      </c>
      <c r="AE256" s="81" t="s">
        <v>17635</v>
      </c>
      <c r="AF256" s="76">
        <v>19</v>
      </c>
      <c r="AG256" s="76">
        <v>54</v>
      </c>
      <c r="AH256" s="76">
        <v>1360</v>
      </c>
      <c r="AI256" s="76">
        <v>0</v>
      </c>
      <c r="AJ256" s="76">
        <v>3</v>
      </c>
      <c r="AK256" s="76">
        <v>9</v>
      </c>
      <c r="AL256" s="76" t="b">
        <v>0</v>
      </c>
      <c r="AM256" s="78">
        <v>41869.528067129628</v>
      </c>
      <c r="AN256" s="76" t="s">
        <v>10631</v>
      </c>
      <c r="AO256" s="76" t="s">
        <v>18384</v>
      </c>
      <c r="AP256" s="83" t="str">
        <f>HYPERLINK("https://t.co/BnnjzE2iK1")</f>
        <v>https://t.co/BnnjzE2iK1</v>
      </c>
      <c r="AQ256" s="83" t="str">
        <f>HYPERLINK("http://www.criteriainvest.com.br")</f>
        <v>http://www.criteriainvest.com.br</v>
      </c>
      <c r="AR256" s="76" t="s">
        <v>19147</v>
      </c>
      <c r="AS256" s="76"/>
      <c r="AT256" s="76"/>
      <c r="AU256" s="76"/>
      <c r="AV256" s="76">
        <v>1.27000012375875E+18</v>
      </c>
      <c r="AW256" s="83" t="str">
        <f>HYPERLINK("https://t.co/BnnjzE2iK1")</f>
        <v>https://t.co/BnnjzE2iK1</v>
      </c>
      <c r="AX256" s="76" t="b">
        <v>0</v>
      </c>
      <c r="AY256" s="76"/>
      <c r="AZ256" s="76"/>
      <c r="BA256" s="76" t="b">
        <v>0</v>
      </c>
      <c r="BB256" s="76" t="b">
        <v>1</v>
      </c>
      <c r="BC256" s="76" t="b">
        <v>1</v>
      </c>
      <c r="BD256" s="76" t="b">
        <v>0</v>
      </c>
      <c r="BE256" s="76" t="b">
        <v>0</v>
      </c>
      <c r="BF256" s="76" t="b">
        <v>0</v>
      </c>
      <c r="BG256" s="76" t="b">
        <v>0</v>
      </c>
      <c r="BH256" s="83" t="str">
        <f>HYPERLINK("https://pbs.twimg.com/profile_banners/2746280079/1598987349")</f>
        <v>https://pbs.twimg.com/profile_banners/2746280079/1598987349</v>
      </c>
      <c r="BI256" s="76"/>
      <c r="BJ256" s="76" t="s">
        <v>19633</v>
      </c>
      <c r="BK256" s="76" t="b">
        <v>0</v>
      </c>
      <c r="BL256" s="76"/>
      <c r="BM256" s="76" t="s">
        <v>66</v>
      </c>
      <c r="BN256" s="76" t="s">
        <v>19635</v>
      </c>
      <c r="BO256" s="83" t="str">
        <f>HYPERLINK("https://twitter.com/gilsonanselmo")</f>
        <v>https://twitter.com/gilsonanselmo</v>
      </c>
      <c r="BP256" s="2"/>
    </row>
    <row r="257" spans="1:68" x14ac:dyDescent="0.25">
      <c r="A257" s="62" t="s">
        <v>438</v>
      </c>
      <c r="B257" s="63"/>
      <c r="C257" s="63"/>
      <c r="D257" s="64"/>
      <c r="E257" s="66"/>
      <c r="F257" s="103" t="str">
        <f>HYPERLINK("https://pbs.twimg.com/profile_images/1630048707226763265/beny6FI2_normal.jpg")</f>
        <v>https://pbs.twimg.com/profile_images/1630048707226763265/beny6FI2_normal.jpg</v>
      </c>
      <c r="G257" s="63"/>
      <c r="H257" s="67"/>
      <c r="I257" s="68"/>
      <c r="J257" s="68"/>
      <c r="K257" s="67" t="s">
        <v>19889</v>
      </c>
      <c r="L257" s="71"/>
      <c r="M257" s="72"/>
      <c r="N257" s="72"/>
      <c r="O257" s="73"/>
      <c r="P257" s="74"/>
      <c r="Q257" s="74"/>
      <c r="R257" s="87"/>
      <c r="S257" s="87"/>
      <c r="T257" s="87"/>
      <c r="U257" s="87"/>
      <c r="V257" s="48"/>
      <c r="W257" s="48"/>
      <c r="X257" s="47">
        <v>1.101E-3</v>
      </c>
      <c r="Y257" s="48"/>
      <c r="Z257" s="47"/>
      <c r="AA257" s="69">
        <v>257</v>
      </c>
      <c r="AB257" s="69"/>
      <c r="AC257" s="70"/>
      <c r="AD257" s="76" t="s">
        <v>16892</v>
      </c>
      <c r="AE257" s="81" t="s">
        <v>17636</v>
      </c>
      <c r="AF257" s="76">
        <v>119</v>
      </c>
      <c r="AG257" s="76">
        <v>786</v>
      </c>
      <c r="AH257" s="76">
        <v>243</v>
      </c>
      <c r="AI257" s="76">
        <v>4</v>
      </c>
      <c r="AJ257" s="76">
        <v>5316</v>
      </c>
      <c r="AK257" s="76">
        <v>8</v>
      </c>
      <c r="AL257" s="76" t="b">
        <v>0</v>
      </c>
      <c r="AM257" s="78">
        <v>40018.650937500002</v>
      </c>
      <c r="AN257" s="76" t="s">
        <v>10622</v>
      </c>
      <c r="AO257" s="76"/>
      <c r="AP257" s="76"/>
      <c r="AQ257" s="76"/>
      <c r="AR257" s="76"/>
      <c r="AS257" s="76"/>
      <c r="AT257" s="76"/>
      <c r="AU257" s="76"/>
      <c r="AV257" s="76"/>
      <c r="AW257" s="76"/>
      <c r="AX257" s="76" t="b">
        <v>0</v>
      </c>
      <c r="AY257" s="76"/>
      <c r="AZ257" s="76"/>
      <c r="BA257" s="76" t="b">
        <v>0</v>
      </c>
      <c r="BB257" s="76" t="b">
        <v>1</v>
      </c>
      <c r="BC257" s="76" t="b">
        <v>1</v>
      </c>
      <c r="BD257" s="76" t="b">
        <v>0</v>
      </c>
      <c r="BE257" s="76" t="b">
        <v>1</v>
      </c>
      <c r="BF257" s="76" t="b">
        <v>0</v>
      </c>
      <c r="BG257" s="76" t="b">
        <v>0</v>
      </c>
      <c r="BH257" s="76"/>
      <c r="BI257" s="76"/>
      <c r="BJ257" s="76" t="s">
        <v>19633</v>
      </c>
      <c r="BK257" s="76" t="b">
        <v>0</v>
      </c>
      <c r="BL257" s="76"/>
      <c r="BM257" s="76" t="s">
        <v>66</v>
      </c>
      <c r="BN257" s="76" t="s">
        <v>19635</v>
      </c>
      <c r="BO257" s="83" t="str">
        <f>HYPERLINK("https://twitter.com/sousadavi")</f>
        <v>https://twitter.com/sousadavi</v>
      </c>
      <c r="BP257" s="2"/>
    </row>
    <row r="258" spans="1:68" x14ac:dyDescent="0.25">
      <c r="A258" s="62" t="s">
        <v>439</v>
      </c>
      <c r="B258" s="63"/>
      <c r="C258" s="63"/>
      <c r="D258" s="64"/>
      <c r="E258" s="66"/>
      <c r="F258" s="103" t="str">
        <f>HYPERLINK("https://pbs.twimg.com/profile_images/1373994226221002757/htrtJXUJ_normal.jpg")</f>
        <v>https://pbs.twimg.com/profile_images/1373994226221002757/htrtJXUJ_normal.jpg</v>
      </c>
      <c r="G258" s="63"/>
      <c r="H258" s="67"/>
      <c r="I258" s="68"/>
      <c r="J258" s="68"/>
      <c r="K258" s="67" t="s">
        <v>19890</v>
      </c>
      <c r="L258" s="71"/>
      <c r="M258" s="72"/>
      <c r="N258" s="72"/>
      <c r="O258" s="73"/>
      <c r="P258" s="74"/>
      <c r="Q258" s="74"/>
      <c r="R258" s="87"/>
      <c r="S258" s="87"/>
      <c r="T258" s="87"/>
      <c r="U258" s="87"/>
      <c r="V258" s="48"/>
      <c r="W258" s="48"/>
      <c r="X258" s="47">
        <v>1.101E-3</v>
      </c>
      <c r="Y258" s="48"/>
      <c r="Z258" s="47"/>
      <c r="AA258" s="69">
        <v>258</v>
      </c>
      <c r="AB258" s="69"/>
      <c r="AC258" s="70"/>
      <c r="AD258" s="76" t="s">
        <v>16893</v>
      </c>
      <c r="AE258" s="81" t="s">
        <v>15710</v>
      </c>
      <c r="AF258" s="76">
        <v>1002</v>
      </c>
      <c r="AG258" s="76">
        <v>39</v>
      </c>
      <c r="AH258" s="76">
        <v>2627</v>
      </c>
      <c r="AI258" s="76">
        <v>0</v>
      </c>
      <c r="AJ258" s="76">
        <v>33</v>
      </c>
      <c r="AK258" s="76">
        <v>1372</v>
      </c>
      <c r="AL258" s="76" t="b">
        <v>0</v>
      </c>
      <c r="AM258" s="78">
        <v>44022.66547453704</v>
      </c>
      <c r="AN258" s="76" t="s">
        <v>17903</v>
      </c>
      <c r="AO258" s="76" t="s">
        <v>18385</v>
      </c>
      <c r="AP258" s="83" t="str">
        <f>HYPERLINK("https://t.co/8PKHBbRwl1")</f>
        <v>https://t.co/8PKHBbRwl1</v>
      </c>
      <c r="AQ258" s="83" t="str">
        <f>HYPERLINK("http://www.indigo.org.br")</f>
        <v>http://www.indigo.org.br</v>
      </c>
      <c r="AR258" s="76" t="s">
        <v>19148</v>
      </c>
      <c r="AS258" s="76"/>
      <c r="AT258" s="76"/>
      <c r="AU258" s="76"/>
      <c r="AV258" s="76"/>
      <c r="AW258" s="83" t="str">
        <f>HYPERLINK("https://t.co/8PKHBbRwl1")</f>
        <v>https://t.co/8PKHBbRwl1</v>
      </c>
      <c r="AX258" s="76" t="b">
        <v>0</v>
      </c>
      <c r="AY258" s="76"/>
      <c r="AZ258" s="76"/>
      <c r="BA258" s="76" t="b">
        <v>0</v>
      </c>
      <c r="BB258" s="76" t="b">
        <v>1</v>
      </c>
      <c r="BC258" s="76" t="b">
        <v>1</v>
      </c>
      <c r="BD258" s="76" t="b">
        <v>0</v>
      </c>
      <c r="BE258" s="76" t="b">
        <v>0</v>
      </c>
      <c r="BF258" s="76" t="b">
        <v>0</v>
      </c>
      <c r="BG258" s="76" t="b">
        <v>0</v>
      </c>
      <c r="BH258" s="83" t="str">
        <f>HYPERLINK("https://pbs.twimg.com/profile_banners/1281618694330896384/1673526994")</f>
        <v>https://pbs.twimg.com/profile_banners/1281618694330896384/1673526994</v>
      </c>
      <c r="BI258" s="76"/>
      <c r="BJ258" s="76" t="s">
        <v>19633</v>
      </c>
      <c r="BK258" s="76" t="b">
        <v>0</v>
      </c>
      <c r="BL258" s="76"/>
      <c r="BM258" s="76" t="s">
        <v>66</v>
      </c>
      <c r="BN258" s="76" t="s">
        <v>19635</v>
      </c>
      <c r="BO258" s="83" t="str">
        <f>HYPERLINK("https://twitter.com/indigoinstituto")</f>
        <v>https://twitter.com/indigoinstituto</v>
      </c>
      <c r="BP258" s="2"/>
    </row>
    <row r="259" spans="1:68" x14ac:dyDescent="0.25">
      <c r="A259" s="62" t="s">
        <v>440</v>
      </c>
      <c r="B259" s="63"/>
      <c r="C259" s="63"/>
      <c r="D259" s="64"/>
      <c r="E259" s="66"/>
      <c r="F259" s="103" t="str">
        <f>HYPERLINK("https://pbs.twimg.com/profile_images/1610055675681411072/me6AgDRd_normal.jpg")</f>
        <v>https://pbs.twimg.com/profile_images/1610055675681411072/me6AgDRd_normal.jpg</v>
      </c>
      <c r="G259" s="63"/>
      <c r="H259" s="67"/>
      <c r="I259" s="68"/>
      <c r="J259" s="68"/>
      <c r="K259" s="67" t="s">
        <v>19891</v>
      </c>
      <c r="L259" s="71"/>
      <c r="M259" s="72"/>
      <c r="N259" s="72"/>
      <c r="O259" s="73"/>
      <c r="P259" s="74"/>
      <c r="Q259" s="74"/>
      <c r="R259" s="87"/>
      <c r="S259" s="87"/>
      <c r="T259" s="87"/>
      <c r="U259" s="87"/>
      <c r="V259" s="48"/>
      <c r="W259" s="48"/>
      <c r="X259" s="47">
        <v>1.101E-3</v>
      </c>
      <c r="Y259" s="48"/>
      <c r="Z259" s="47"/>
      <c r="AA259" s="69">
        <v>259</v>
      </c>
      <c r="AB259" s="69"/>
      <c r="AC259" s="70"/>
      <c r="AD259" s="76" t="s">
        <v>16894</v>
      </c>
      <c r="AE259" s="81" t="s">
        <v>16245</v>
      </c>
      <c r="AF259" s="76">
        <v>5</v>
      </c>
      <c r="AG259" s="76">
        <v>16</v>
      </c>
      <c r="AH259" s="76">
        <v>89</v>
      </c>
      <c r="AI259" s="76">
        <v>0</v>
      </c>
      <c r="AJ259" s="76">
        <v>6</v>
      </c>
      <c r="AK259" s="76">
        <v>4</v>
      </c>
      <c r="AL259" s="76" t="b">
        <v>0</v>
      </c>
      <c r="AM259" s="78">
        <v>44811.831585648149</v>
      </c>
      <c r="AN259" s="76"/>
      <c r="AO259" s="76" t="s">
        <v>18386</v>
      </c>
      <c r="AP259" s="83" t="str">
        <f>HYPERLINK("https://t.co/dekfRPl6yj")</f>
        <v>https://t.co/dekfRPl6yj</v>
      </c>
      <c r="AQ259" s="83" t="str">
        <f>HYPERLINK("https://instagram.com/igorhonorioo?igshid=MjYwOTI2ZmM=")</f>
        <v>https://instagram.com/igorhonorioo?igshid=MjYwOTI2ZmM=</v>
      </c>
      <c r="AR259" s="76" t="s">
        <v>19149</v>
      </c>
      <c r="AS259" s="76"/>
      <c r="AT259" s="76"/>
      <c r="AU259" s="76"/>
      <c r="AV259" s="76"/>
      <c r="AW259" s="83" t="str">
        <f>HYPERLINK("https://t.co/dekfRPl6yj")</f>
        <v>https://t.co/dekfRPl6yj</v>
      </c>
      <c r="AX259" s="76" t="b">
        <v>0</v>
      </c>
      <c r="AY259" s="76"/>
      <c r="AZ259" s="76"/>
      <c r="BA259" s="76" t="b">
        <v>0</v>
      </c>
      <c r="BB259" s="76" t="b">
        <v>1</v>
      </c>
      <c r="BC259" s="76" t="b">
        <v>1</v>
      </c>
      <c r="BD259" s="76" t="b">
        <v>0</v>
      </c>
      <c r="BE259" s="76" t="b">
        <v>0</v>
      </c>
      <c r="BF259" s="76" t="b">
        <v>0</v>
      </c>
      <c r="BG259" s="76" t="b">
        <v>0</v>
      </c>
      <c r="BH259" s="83" t="str">
        <f>HYPERLINK("https://pbs.twimg.com/profile_banners/1567602905305186305/1672703671")</f>
        <v>https://pbs.twimg.com/profile_banners/1567602905305186305/1672703671</v>
      </c>
      <c r="BI259" s="76"/>
      <c r="BJ259" s="76" t="s">
        <v>19633</v>
      </c>
      <c r="BK259" s="76" t="b">
        <v>0</v>
      </c>
      <c r="BL259" s="76"/>
      <c r="BM259" s="76" t="s">
        <v>66</v>
      </c>
      <c r="BN259" s="76" t="s">
        <v>19635</v>
      </c>
      <c r="BO259" s="83" t="str">
        <f>HYPERLINK("https://twitter.com/igorhonorioo")</f>
        <v>https://twitter.com/igorhonorioo</v>
      </c>
      <c r="BP259" s="2"/>
    </row>
    <row r="260" spans="1:68" x14ac:dyDescent="0.25">
      <c r="A260" s="62" t="s">
        <v>442</v>
      </c>
      <c r="B260" s="63"/>
      <c r="C260" s="63"/>
      <c r="D260" s="64"/>
      <c r="E260" s="66"/>
      <c r="F260" s="103" t="str">
        <f>HYPERLINK("https://pbs.twimg.com/profile_images/1625549433755648039/fu_7vF-U_normal.png")</f>
        <v>https://pbs.twimg.com/profile_images/1625549433755648039/fu_7vF-U_normal.png</v>
      </c>
      <c r="G260" s="63"/>
      <c r="H260" s="67"/>
      <c r="I260" s="68"/>
      <c r="J260" s="68"/>
      <c r="K260" s="67" t="s">
        <v>19892</v>
      </c>
      <c r="L260" s="71"/>
      <c r="M260" s="72"/>
      <c r="N260" s="72"/>
      <c r="O260" s="73"/>
      <c r="P260" s="74"/>
      <c r="Q260" s="74"/>
      <c r="R260" s="87"/>
      <c r="S260" s="87"/>
      <c r="T260" s="87"/>
      <c r="U260" s="87"/>
      <c r="V260" s="48"/>
      <c r="W260" s="48"/>
      <c r="X260" s="47">
        <v>1.101E-3</v>
      </c>
      <c r="Y260" s="48"/>
      <c r="Z260" s="47"/>
      <c r="AA260" s="69">
        <v>260</v>
      </c>
      <c r="AB260" s="69"/>
      <c r="AC260" s="70"/>
      <c r="AD260" s="76" t="s">
        <v>16895</v>
      </c>
      <c r="AE260" s="81" t="s">
        <v>16246</v>
      </c>
      <c r="AF260" s="76">
        <v>45</v>
      </c>
      <c r="AG260" s="76">
        <v>225</v>
      </c>
      <c r="AH260" s="76">
        <v>477</v>
      </c>
      <c r="AI260" s="76">
        <v>0</v>
      </c>
      <c r="AJ260" s="76">
        <v>190</v>
      </c>
      <c r="AK260" s="76">
        <v>477</v>
      </c>
      <c r="AL260" s="76" t="b">
        <v>0</v>
      </c>
      <c r="AM260" s="78">
        <v>44349.571238425924</v>
      </c>
      <c r="AN260" s="76" t="s">
        <v>17882</v>
      </c>
      <c r="AO260" s="76" t="s">
        <v>18387</v>
      </c>
      <c r="AP260" s="83" t="str">
        <f>HYPERLINK("https://t.co/ZLgnOHSoks")</f>
        <v>https://t.co/ZLgnOHSoks</v>
      </c>
      <c r="AQ260" s="83" t="str">
        <f>HYPERLINK("https://e-loan.pt/poupe-ja/")</f>
        <v>https://e-loan.pt/poupe-ja/</v>
      </c>
      <c r="AR260" s="76" t="s">
        <v>19150</v>
      </c>
      <c r="AS260" s="76"/>
      <c r="AT260" s="76"/>
      <c r="AU260" s="76"/>
      <c r="AV260" s="76"/>
      <c r="AW260" s="83" t="str">
        <f>HYPERLINK("https://t.co/ZLgnOHSoks")</f>
        <v>https://t.co/ZLgnOHSoks</v>
      </c>
      <c r="AX260" s="76" t="b">
        <v>0</v>
      </c>
      <c r="AY260" s="76"/>
      <c r="AZ260" s="76"/>
      <c r="BA260" s="76" t="b">
        <v>0</v>
      </c>
      <c r="BB260" s="76" t="b">
        <v>1</v>
      </c>
      <c r="BC260" s="76" t="b">
        <v>1</v>
      </c>
      <c r="BD260" s="76" t="b">
        <v>0</v>
      </c>
      <c r="BE260" s="76" t="b">
        <v>0</v>
      </c>
      <c r="BF260" s="76" t="b">
        <v>0</v>
      </c>
      <c r="BG260" s="76" t="b">
        <v>0</v>
      </c>
      <c r="BH260" s="83" t="str">
        <f>HYPERLINK("https://pbs.twimg.com/profile_banners/1400085362307969028/1693234047")</f>
        <v>https://pbs.twimg.com/profile_banners/1400085362307969028/1693234047</v>
      </c>
      <c r="BI260" s="76"/>
      <c r="BJ260" s="76" t="s">
        <v>19633</v>
      </c>
      <c r="BK260" s="76" t="b">
        <v>0</v>
      </c>
      <c r="BL260" s="76"/>
      <c r="BM260" s="76" t="s">
        <v>66</v>
      </c>
      <c r="BN260" s="76" t="s">
        <v>19635</v>
      </c>
      <c r="BO260" s="83" t="str">
        <f>HYPERLINK("https://twitter.com/eloanportugal")</f>
        <v>https://twitter.com/eloanportugal</v>
      </c>
      <c r="BP260" s="2"/>
    </row>
    <row r="261" spans="1:68" x14ac:dyDescent="0.25">
      <c r="A261" s="62" t="s">
        <v>443</v>
      </c>
      <c r="B261" s="63"/>
      <c r="C261" s="63"/>
      <c r="D261" s="64"/>
      <c r="E261" s="66"/>
      <c r="F261" s="103" t="str">
        <f>HYPERLINK("https://pbs.twimg.com/profile_images/1696979146860122112/H2W5WjOD_normal.jpg")</f>
        <v>https://pbs.twimg.com/profile_images/1696979146860122112/H2W5WjOD_normal.jpg</v>
      </c>
      <c r="G261" s="63"/>
      <c r="H261" s="67"/>
      <c r="I261" s="68"/>
      <c r="J261" s="68"/>
      <c r="K261" s="67" t="s">
        <v>19893</v>
      </c>
      <c r="L261" s="71"/>
      <c r="M261" s="72"/>
      <c r="N261" s="72"/>
      <c r="O261" s="73"/>
      <c r="P261" s="74"/>
      <c r="Q261" s="74"/>
      <c r="R261" s="87"/>
      <c r="S261" s="87"/>
      <c r="T261" s="87"/>
      <c r="U261" s="87"/>
      <c r="V261" s="48"/>
      <c r="W261" s="48"/>
      <c r="X261" s="47">
        <v>1.101E-3</v>
      </c>
      <c r="Y261" s="48"/>
      <c r="Z261" s="47"/>
      <c r="AA261" s="69">
        <v>261</v>
      </c>
      <c r="AB261" s="69"/>
      <c r="AC261" s="70"/>
      <c r="AD261" s="76" t="s">
        <v>16896</v>
      </c>
      <c r="AE261" s="81" t="s">
        <v>16247</v>
      </c>
      <c r="AF261" s="76">
        <v>5</v>
      </c>
      <c r="AG261" s="76">
        <v>55</v>
      </c>
      <c r="AH261" s="76">
        <v>17</v>
      </c>
      <c r="AI261" s="76">
        <v>0</v>
      </c>
      <c r="AJ261" s="76">
        <v>12</v>
      </c>
      <c r="AK261" s="76">
        <v>9</v>
      </c>
      <c r="AL261" s="76" t="b">
        <v>0</v>
      </c>
      <c r="AM261" s="78">
        <v>45168.832118055558</v>
      </c>
      <c r="AN261" s="76" t="s">
        <v>10631</v>
      </c>
      <c r="AO261" s="76" t="s">
        <v>18388</v>
      </c>
      <c r="AP261" s="76"/>
      <c r="AQ261" s="76"/>
      <c r="AR261" s="76"/>
      <c r="AS261" s="76"/>
      <c r="AT261" s="76"/>
      <c r="AU261" s="76"/>
      <c r="AV261" s="76">
        <v>1.6974330870413E+18</v>
      </c>
      <c r="AW261" s="76"/>
      <c r="AX261" s="76" t="b">
        <v>0</v>
      </c>
      <c r="AY261" s="76"/>
      <c r="AZ261" s="76"/>
      <c r="BA261" s="76" t="b">
        <v>0</v>
      </c>
      <c r="BB261" s="76" t="b">
        <v>1</v>
      </c>
      <c r="BC261" s="76" t="b">
        <v>1</v>
      </c>
      <c r="BD261" s="76" t="b">
        <v>0</v>
      </c>
      <c r="BE261" s="76" t="b">
        <v>0</v>
      </c>
      <c r="BF261" s="76" t="b">
        <v>0</v>
      </c>
      <c r="BG261" s="76" t="b">
        <v>0</v>
      </c>
      <c r="BH261" s="83" t="str">
        <f>HYPERLINK("https://pbs.twimg.com/profile_banners/1696975414185316352/1693435322")</f>
        <v>https://pbs.twimg.com/profile_banners/1696975414185316352/1693435322</v>
      </c>
      <c r="BI261" s="76"/>
      <c r="BJ261" s="76" t="s">
        <v>19633</v>
      </c>
      <c r="BK261" s="76" t="b">
        <v>0</v>
      </c>
      <c r="BL261" s="76"/>
      <c r="BM261" s="76" t="s">
        <v>66</v>
      </c>
      <c r="BN261" s="76" t="s">
        <v>19635</v>
      </c>
      <c r="BO261" s="83" t="str">
        <f>HYPERLINK("https://twitter.com/grupoayonel")</f>
        <v>https://twitter.com/grupoayonel</v>
      </c>
      <c r="BP261" s="2"/>
    </row>
    <row r="262" spans="1:68" x14ac:dyDescent="0.25">
      <c r="A262" s="62" t="s">
        <v>444</v>
      </c>
      <c r="B262" s="63"/>
      <c r="C262" s="63"/>
      <c r="D262" s="64"/>
      <c r="E262" s="66"/>
      <c r="F262" s="103" t="str">
        <f>HYPERLINK("https://pbs.twimg.com/profile_images/423096899550609409/qrtxlhk3_normal.jpeg")</f>
        <v>https://pbs.twimg.com/profile_images/423096899550609409/qrtxlhk3_normal.jpeg</v>
      </c>
      <c r="G262" s="63"/>
      <c r="H262" s="67"/>
      <c r="I262" s="68"/>
      <c r="J262" s="68"/>
      <c r="K262" s="67" t="s">
        <v>19894</v>
      </c>
      <c r="L262" s="71"/>
      <c r="M262" s="72"/>
      <c r="N262" s="72"/>
      <c r="O262" s="73"/>
      <c r="P262" s="74"/>
      <c r="Q262" s="74"/>
      <c r="R262" s="87"/>
      <c r="S262" s="87"/>
      <c r="T262" s="87"/>
      <c r="U262" s="87"/>
      <c r="V262" s="48"/>
      <c r="W262" s="48"/>
      <c r="X262" s="47">
        <v>1.101E-3</v>
      </c>
      <c r="Y262" s="48"/>
      <c r="Z262" s="47"/>
      <c r="AA262" s="69">
        <v>262</v>
      </c>
      <c r="AB262" s="69"/>
      <c r="AC262" s="70"/>
      <c r="AD262" s="76" t="s">
        <v>16897</v>
      </c>
      <c r="AE262" s="81" t="s">
        <v>17637</v>
      </c>
      <c r="AF262" s="76">
        <v>319</v>
      </c>
      <c r="AG262" s="76">
        <v>198</v>
      </c>
      <c r="AH262" s="76">
        <v>1115</v>
      </c>
      <c r="AI262" s="76">
        <v>0</v>
      </c>
      <c r="AJ262" s="76">
        <v>3</v>
      </c>
      <c r="AK262" s="76">
        <v>111</v>
      </c>
      <c r="AL262" s="76" t="b">
        <v>0</v>
      </c>
      <c r="AM262" s="78">
        <v>40184.831377314818</v>
      </c>
      <c r="AN262" s="76" t="s">
        <v>17959</v>
      </c>
      <c r="AO262" s="76" t="s">
        <v>18389</v>
      </c>
      <c r="AP262" s="83" t="str">
        <f>HYPERLINK("http://t.co/8ib57hKCvA")</f>
        <v>http://t.co/8ib57hKCvA</v>
      </c>
      <c r="AQ262" s="83" t="str">
        <f>HYPERLINK("http://marceloalonsorio.blogspot.com/")</f>
        <v>http://marceloalonsorio.blogspot.com/</v>
      </c>
      <c r="AR262" s="76" t="s">
        <v>19151</v>
      </c>
      <c r="AS262" s="76"/>
      <c r="AT262" s="76"/>
      <c r="AU262" s="76"/>
      <c r="AV262" s="76"/>
      <c r="AW262" s="83" t="str">
        <f>HYPERLINK("http://t.co/8ib57hKCvA")</f>
        <v>http://t.co/8ib57hKCvA</v>
      </c>
      <c r="AX262" s="76" t="b">
        <v>0</v>
      </c>
      <c r="AY262" s="76"/>
      <c r="AZ262" s="76"/>
      <c r="BA262" s="76" t="b">
        <v>0</v>
      </c>
      <c r="BB262" s="76" t="b">
        <v>1</v>
      </c>
      <c r="BC262" s="76" t="b">
        <v>0</v>
      </c>
      <c r="BD262" s="76" t="b">
        <v>0</v>
      </c>
      <c r="BE262" s="76" t="b">
        <v>1</v>
      </c>
      <c r="BF262" s="76" t="b">
        <v>0</v>
      </c>
      <c r="BG262" s="76" t="b">
        <v>0</v>
      </c>
      <c r="BH262" s="83" t="str">
        <f>HYPERLINK("https://pbs.twimg.com/profile_banners/102463274/1389709140")</f>
        <v>https://pbs.twimg.com/profile_banners/102463274/1389709140</v>
      </c>
      <c r="BI262" s="76"/>
      <c r="BJ262" s="76" t="s">
        <v>19633</v>
      </c>
      <c r="BK262" s="76" t="b">
        <v>0</v>
      </c>
      <c r="BL262" s="76"/>
      <c r="BM262" s="76" t="s">
        <v>66</v>
      </c>
      <c r="BN262" s="76" t="s">
        <v>19635</v>
      </c>
      <c r="BO262" s="83" t="str">
        <f>HYPERLINK("https://twitter.com/mallonsoigcombr")</f>
        <v>https://twitter.com/mallonsoigcombr</v>
      </c>
      <c r="BP262" s="2"/>
    </row>
    <row r="263" spans="1:68" x14ac:dyDescent="0.25">
      <c r="A263" s="62" t="s">
        <v>445</v>
      </c>
      <c r="B263" s="63"/>
      <c r="C263" s="63"/>
      <c r="D263" s="64"/>
      <c r="E263" s="66"/>
      <c r="F263" s="103" t="str">
        <f>HYPERLINK("https://pbs.twimg.com/profile_images/1661523788368846848/u6MtQpN0_normal.jpg")</f>
        <v>https://pbs.twimg.com/profile_images/1661523788368846848/u6MtQpN0_normal.jpg</v>
      </c>
      <c r="G263" s="63"/>
      <c r="H263" s="67"/>
      <c r="I263" s="68"/>
      <c r="J263" s="68"/>
      <c r="K263" s="67" t="s">
        <v>19895</v>
      </c>
      <c r="L263" s="71"/>
      <c r="M263" s="72"/>
      <c r="N263" s="72"/>
      <c r="O263" s="73"/>
      <c r="P263" s="74"/>
      <c r="Q263" s="74"/>
      <c r="R263" s="87"/>
      <c r="S263" s="87"/>
      <c r="T263" s="87"/>
      <c r="U263" s="87"/>
      <c r="V263" s="48"/>
      <c r="W263" s="48"/>
      <c r="X263" s="47">
        <v>1.101E-3</v>
      </c>
      <c r="Y263" s="48"/>
      <c r="Z263" s="47"/>
      <c r="AA263" s="69">
        <v>263</v>
      </c>
      <c r="AB263" s="69"/>
      <c r="AC263" s="70"/>
      <c r="AD263" s="76" t="s">
        <v>16898</v>
      </c>
      <c r="AE263" s="81" t="s">
        <v>16248</v>
      </c>
      <c r="AF263" s="76">
        <v>418</v>
      </c>
      <c r="AG263" s="76">
        <v>89</v>
      </c>
      <c r="AH263" s="76">
        <v>2371</v>
      </c>
      <c r="AI263" s="76">
        <v>0</v>
      </c>
      <c r="AJ263" s="76">
        <v>3429</v>
      </c>
      <c r="AK263" s="76">
        <v>583</v>
      </c>
      <c r="AL263" s="76" t="b">
        <v>0</v>
      </c>
      <c r="AM263" s="78">
        <v>44328.77416666667</v>
      </c>
      <c r="AN263" s="76" t="s">
        <v>17960</v>
      </c>
      <c r="AO263" s="76" t="s">
        <v>18390</v>
      </c>
      <c r="AP263" s="76"/>
      <c r="AQ263" s="76"/>
      <c r="AR263" s="76"/>
      <c r="AS263" s="76"/>
      <c r="AT263" s="76"/>
      <c r="AU263" s="76"/>
      <c r="AV263" s="76"/>
      <c r="AW263" s="76"/>
      <c r="AX263" s="76" t="b">
        <v>0</v>
      </c>
      <c r="AY263" s="76"/>
      <c r="AZ263" s="76"/>
      <c r="BA263" s="76" t="b">
        <v>0</v>
      </c>
      <c r="BB263" s="76" t="b">
        <v>1</v>
      </c>
      <c r="BC263" s="76" t="b">
        <v>1</v>
      </c>
      <c r="BD263" s="76" t="b">
        <v>0</v>
      </c>
      <c r="BE263" s="76" t="b">
        <v>0</v>
      </c>
      <c r="BF263" s="76" t="b">
        <v>0</v>
      </c>
      <c r="BG263" s="76" t="b">
        <v>0</v>
      </c>
      <c r="BH263" s="83" t="str">
        <f>HYPERLINK("https://pbs.twimg.com/profile_banners/1392548729949990913/1678977036")</f>
        <v>https://pbs.twimg.com/profile_banners/1392548729949990913/1678977036</v>
      </c>
      <c r="BI263" s="76"/>
      <c r="BJ263" s="76" t="s">
        <v>19633</v>
      </c>
      <c r="BK263" s="76" t="b">
        <v>0</v>
      </c>
      <c r="BL263" s="76"/>
      <c r="BM263" s="76" t="s">
        <v>66</v>
      </c>
      <c r="BN263" s="76" t="s">
        <v>19635</v>
      </c>
      <c r="BO263" s="83" t="str">
        <f>HYPERLINK("https://twitter.com/settitiago")</f>
        <v>https://twitter.com/settitiago</v>
      </c>
      <c r="BP263" s="2"/>
    </row>
    <row r="264" spans="1:68" x14ac:dyDescent="0.25">
      <c r="A264" s="62" t="s">
        <v>446</v>
      </c>
      <c r="B264" s="63"/>
      <c r="C264" s="63"/>
      <c r="D264" s="64"/>
      <c r="E264" s="66"/>
      <c r="F264" s="103" t="str">
        <f>HYPERLINK("https://pbs.twimg.com/profile_images/1671561305168175139/pLvT-Z21_normal.jpg")</f>
        <v>https://pbs.twimg.com/profile_images/1671561305168175139/pLvT-Z21_normal.jpg</v>
      </c>
      <c r="G264" s="63"/>
      <c r="H264" s="67"/>
      <c r="I264" s="68"/>
      <c r="J264" s="68"/>
      <c r="K264" s="67" t="s">
        <v>19896</v>
      </c>
      <c r="L264" s="71"/>
      <c r="M264" s="72"/>
      <c r="N264" s="72"/>
      <c r="O264" s="73"/>
      <c r="P264" s="74"/>
      <c r="Q264" s="74"/>
      <c r="R264" s="87"/>
      <c r="S264" s="87"/>
      <c r="T264" s="87"/>
      <c r="U264" s="87"/>
      <c r="V264" s="48"/>
      <c r="W264" s="48"/>
      <c r="X264" s="47">
        <v>1.101E-3</v>
      </c>
      <c r="Y264" s="48"/>
      <c r="Z264" s="47"/>
      <c r="AA264" s="69">
        <v>264</v>
      </c>
      <c r="AB264" s="69"/>
      <c r="AC264" s="70"/>
      <c r="AD264" s="76" t="s">
        <v>16899</v>
      </c>
      <c r="AE264" s="81" t="s">
        <v>16249</v>
      </c>
      <c r="AF264" s="76">
        <v>9</v>
      </c>
      <c r="AG264" s="76">
        <v>30</v>
      </c>
      <c r="AH264" s="76">
        <v>13</v>
      </c>
      <c r="AI264" s="76">
        <v>0</v>
      </c>
      <c r="AJ264" s="76">
        <v>45</v>
      </c>
      <c r="AK264" s="76">
        <v>0</v>
      </c>
      <c r="AL264" s="76" t="b">
        <v>0</v>
      </c>
      <c r="AM264" s="78">
        <v>45098.70144675926</v>
      </c>
      <c r="AN264" s="76" t="s">
        <v>17961</v>
      </c>
      <c r="AO264" s="76" t="s">
        <v>18391</v>
      </c>
      <c r="AP264" s="83" t="str">
        <f>HYPERLINK("https://t.co/2cjSQgtiRM")</f>
        <v>https://t.co/2cjSQgtiRM</v>
      </c>
      <c r="AQ264" s="83" t="str">
        <f>HYPERLINK("https://www.instagram.com/guilhermeademicon/")</f>
        <v>https://www.instagram.com/guilhermeademicon/</v>
      </c>
      <c r="AR264" s="76" t="s">
        <v>19152</v>
      </c>
      <c r="AS264" s="76"/>
      <c r="AT264" s="76"/>
      <c r="AU264" s="76"/>
      <c r="AV264" s="76"/>
      <c r="AW264" s="83" t="str">
        <f>HYPERLINK("https://t.co/2cjSQgtiRM")</f>
        <v>https://t.co/2cjSQgtiRM</v>
      </c>
      <c r="AX264" s="76" t="b">
        <v>0</v>
      </c>
      <c r="AY264" s="76"/>
      <c r="AZ264" s="76"/>
      <c r="BA264" s="76" t="b">
        <v>0</v>
      </c>
      <c r="BB264" s="76" t="b">
        <v>1</v>
      </c>
      <c r="BC264" s="76" t="b">
        <v>1</v>
      </c>
      <c r="BD264" s="76" t="b">
        <v>0</v>
      </c>
      <c r="BE264" s="76" t="b">
        <v>0</v>
      </c>
      <c r="BF264" s="76" t="b">
        <v>0</v>
      </c>
      <c r="BG264" s="76" t="b">
        <v>0</v>
      </c>
      <c r="BH264" s="83" t="str">
        <f>HYPERLINK("https://pbs.twimg.com/profile_banners/1671561098426712095/1687367150")</f>
        <v>https://pbs.twimg.com/profile_banners/1671561098426712095/1687367150</v>
      </c>
      <c r="BI264" s="76"/>
      <c r="BJ264" s="76" t="s">
        <v>19633</v>
      </c>
      <c r="BK264" s="76" t="b">
        <v>0</v>
      </c>
      <c r="BL264" s="76"/>
      <c r="BM264" s="76" t="s">
        <v>66</v>
      </c>
      <c r="BN264" s="76" t="s">
        <v>19635</v>
      </c>
      <c r="BO264" s="83" t="str">
        <f>HYPERLINK("https://twitter.com/guiademicon")</f>
        <v>https://twitter.com/guiademicon</v>
      </c>
      <c r="BP264" s="2"/>
    </row>
    <row r="265" spans="1:68" x14ac:dyDescent="0.25">
      <c r="A265" s="62" t="s">
        <v>447</v>
      </c>
      <c r="B265" s="63"/>
      <c r="C265" s="63"/>
      <c r="D265" s="64"/>
      <c r="E265" s="66"/>
      <c r="F265" s="103" t="str">
        <f>HYPERLINK("https://pbs.twimg.com/profile_images/1385410935230275587/G3GRgiL5_normal.jpg")</f>
        <v>https://pbs.twimg.com/profile_images/1385410935230275587/G3GRgiL5_normal.jpg</v>
      </c>
      <c r="G265" s="63"/>
      <c r="H265" s="67"/>
      <c r="I265" s="68"/>
      <c r="J265" s="68"/>
      <c r="K265" s="67" t="s">
        <v>19897</v>
      </c>
      <c r="L265" s="71"/>
      <c r="M265" s="72"/>
      <c r="N265" s="72"/>
      <c r="O265" s="73"/>
      <c r="P265" s="74"/>
      <c r="Q265" s="74"/>
      <c r="R265" s="87"/>
      <c r="S265" s="87"/>
      <c r="T265" s="87"/>
      <c r="U265" s="87"/>
      <c r="V265" s="48"/>
      <c r="W265" s="48"/>
      <c r="X265" s="47">
        <v>1.101E-3</v>
      </c>
      <c r="Y265" s="48"/>
      <c r="Z265" s="47"/>
      <c r="AA265" s="69">
        <v>265</v>
      </c>
      <c r="AB265" s="69"/>
      <c r="AC265" s="70"/>
      <c r="AD265" s="76" t="s">
        <v>16900</v>
      </c>
      <c r="AE265" s="81" t="s">
        <v>16250</v>
      </c>
      <c r="AF265" s="76">
        <v>2210</v>
      </c>
      <c r="AG265" s="76">
        <v>345</v>
      </c>
      <c r="AH265" s="76">
        <v>2918</v>
      </c>
      <c r="AI265" s="76">
        <v>0</v>
      </c>
      <c r="AJ265" s="76">
        <v>1082</v>
      </c>
      <c r="AK265" s="76">
        <v>522</v>
      </c>
      <c r="AL265" s="76" t="b">
        <v>0</v>
      </c>
      <c r="AM265" s="78">
        <v>44309.077037037037</v>
      </c>
      <c r="AN265" s="76" t="s">
        <v>17962</v>
      </c>
      <c r="AO265" s="76" t="s">
        <v>18392</v>
      </c>
      <c r="AP265" s="83" t="str">
        <f>HYPERLINK("https://t.co/ksZHlmmn83")</f>
        <v>https://t.co/ksZHlmmn83</v>
      </c>
      <c r="AQ265" s="83" t="str">
        <f>HYPERLINK("https://www.facebook.com/profile.php?id=100064406573682")</f>
        <v>https://www.facebook.com/profile.php?id=100064406573682</v>
      </c>
      <c r="AR265" s="76" t="s">
        <v>19153</v>
      </c>
      <c r="AS265" s="76"/>
      <c r="AT265" s="76"/>
      <c r="AU265" s="76"/>
      <c r="AV265" s="76">
        <v>1.70178240318061E+18</v>
      </c>
      <c r="AW265" s="83" t="str">
        <f>HYPERLINK("https://t.co/ksZHlmmn83")</f>
        <v>https://t.co/ksZHlmmn83</v>
      </c>
      <c r="AX265" s="76" t="b">
        <v>0</v>
      </c>
      <c r="AY265" s="76"/>
      <c r="AZ265" s="76"/>
      <c r="BA265" s="76" t="b">
        <v>1</v>
      </c>
      <c r="BB265" s="76" t="b">
        <v>1</v>
      </c>
      <c r="BC265" s="76" t="b">
        <v>1</v>
      </c>
      <c r="BD265" s="76" t="b">
        <v>0</v>
      </c>
      <c r="BE265" s="76" t="b">
        <v>0</v>
      </c>
      <c r="BF265" s="76" t="b">
        <v>0</v>
      </c>
      <c r="BG265" s="76" t="b">
        <v>0</v>
      </c>
      <c r="BH265" s="83" t="str">
        <f>HYPERLINK("https://pbs.twimg.com/profile_banners/1385410726844669952/1619153207")</f>
        <v>https://pbs.twimg.com/profile_banners/1385410726844669952/1619153207</v>
      </c>
      <c r="BI265" s="76"/>
      <c r="BJ265" s="76" t="s">
        <v>19633</v>
      </c>
      <c r="BK265" s="76" t="b">
        <v>0</v>
      </c>
      <c r="BL265" s="76"/>
      <c r="BM265" s="76" t="s">
        <v>66</v>
      </c>
      <c r="BN265" s="76" t="s">
        <v>19635</v>
      </c>
      <c r="BO265" s="83" t="str">
        <f>HYPERLINK("https://twitter.com/admgestpublica")</f>
        <v>https://twitter.com/admgestpublica</v>
      </c>
      <c r="BP265" s="2"/>
    </row>
    <row r="266" spans="1:68" x14ac:dyDescent="0.25">
      <c r="A266" s="62" t="s">
        <v>448</v>
      </c>
      <c r="B266" s="63"/>
      <c r="C266" s="63"/>
      <c r="D266" s="64"/>
      <c r="E266" s="66"/>
      <c r="F266" s="103" t="str">
        <f>HYPERLINK("https://pbs.twimg.com/profile_images/1676635080142323724/YGJbSA-O_normal.jpg")</f>
        <v>https://pbs.twimg.com/profile_images/1676635080142323724/YGJbSA-O_normal.jpg</v>
      </c>
      <c r="G266" s="63"/>
      <c r="H266" s="67"/>
      <c r="I266" s="68"/>
      <c r="J266" s="68"/>
      <c r="K266" s="67" t="s">
        <v>19898</v>
      </c>
      <c r="L266" s="71"/>
      <c r="M266" s="72"/>
      <c r="N266" s="72"/>
      <c r="O266" s="73"/>
      <c r="P266" s="74"/>
      <c r="Q266" s="74"/>
      <c r="R266" s="87"/>
      <c r="S266" s="87"/>
      <c r="T266" s="87"/>
      <c r="U266" s="87"/>
      <c r="V266" s="48"/>
      <c r="W266" s="48"/>
      <c r="X266" s="47">
        <v>1.101E-3</v>
      </c>
      <c r="Y266" s="48"/>
      <c r="Z266" s="47"/>
      <c r="AA266" s="69">
        <v>266</v>
      </c>
      <c r="AB266" s="69"/>
      <c r="AC266" s="70"/>
      <c r="AD266" s="76" t="s">
        <v>16901</v>
      </c>
      <c r="AE266" s="81" t="s">
        <v>16251</v>
      </c>
      <c r="AF266" s="76">
        <v>404</v>
      </c>
      <c r="AG266" s="76">
        <v>4005</v>
      </c>
      <c r="AH266" s="76">
        <v>32</v>
      </c>
      <c r="AI266" s="76">
        <v>0</v>
      </c>
      <c r="AJ266" s="76">
        <v>439</v>
      </c>
      <c r="AK266" s="76">
        <v>5</v>
      </c>
      <c r="AL266" s="76" t="b">
        <v>0</v>
      </c>
      <c r="AM266" s="78">
        <v>45108.077407407407</v>
      </c>
      <c r="AN266" s="76"/>
      <c r="AO266" s="76" t="s">
        <v>18393</v>
      </c>
      <c r="AP266" s="83" t="str">
        <f>HYPERLINK("https://t.co/34Vw42BLtQ")</f>
        <v>https://t.co/34Vw42BLtQ</v>
      </c>
      <c r="AQ266" s="83" t="str">
        <f>HYPERLINK("http://paraopovo.com.br")</f>
        <v>http://paraopovo.com.br</v>
      </c>
      <c r="AR266" s="76" t="s">
        <v>19154</v>
      </c>
      <c r="AS266" s="76"/>
      <c r="AT266" s="76"/>
      <c r="AU266" s="76"/>
      <c r="AV266" s="76">
        <v>1.67663743131395E+18</v>
      </c>
      <c r="AW266" s="83" t="str">
        <f>HYPERLINK("https://t.co/34Vw42BLtQ")</f>
        <v>https://t.co/34Vw42BLtQ</v>
      </c>
      <c r="AX266" s="76" t="b">
        <v>0</v>
      </c>
      <c r="AY266" s="76"/>
      <c r="AZ266" s="76"/>
      <c r="BA266" s="76" t="b">
        <v>0</v>
      </c>
      <c r="BB266" s="76" t="b">
        <v>1</v>
      </c>
      <c r="BC266" s="76" t="b">
        <v>1</v>
      </c>
      <c r="BD266" s="76" t="b">
        <v>0</v>
      </c>
      <c r="BE266" s="76" t="b">
        <v>0</v>
      </c>
      <c r="BF266" s="76" t="b">
        <v>0</v>
      </c>
      <c r="BG266" s="76" t="b">
        <v>0</v>
      </c>
      <c r="BH266" s="83" t="str">
        <f>HYPERLINK("https://pbs.twimg.com/profile_banners/1674958794067935232/1688575929")</f>
        <v>https://pbs.twimg.com/profile_banners/1674958794067935232/1688575929</v>
      </c>
      <c r="BI266" s="76"/>
      <c r="BJ266" s="76" t="s">
        <v>19633</v>
      </c>
      <c r="BK266" s="76" t="b">
        <v>0</v>
      </c>
      <c r="BL266" s="76"/>
      <c r="BM266" s="76" t="s">
        <v>66</v>
      </c>
      <c r="BN266" s="76" t="s">
        <v>19635</v>
      </c>
      <c r="BO266" s="83" t="str">
        <f>HYPERLINK("https://twitter.com/blogparaopovo")</f>
        <v>https://twitter.com/blogparaopovo</v>
      </c>
      <c r="BP266" s="2"/>
    </row>
    <row r="267" spans="1:68" x14ac:dyDescent="0.25">
      <c r="A267" s="62" t="s">
        <v>449</v>
      </c>
      <c r="B267" s="63"/>
      <c r="C267" s="63"/>
      <c r="D267" s="64"/>
      <c r="E267" s="66"/>
      <c r="F267" s="103" t="str">
        <f>HYPERLINK("https://pbs.twimg.com/profile_images/1616247606157496320/l4pwSVaL_normal.jpg")</f>
        <v>https://pbs.twimg.com/profile_images/1616247606157496320/l4pwSVaL_normal.jpg</v>
      </c>
      <c r="G267" s="63"/>
      <c r="H267" s="67"/>
      <c r="I267" s="68"/>
      <c r="J267" s="68"/>
      <c r="K267" s="67" t="s">
        <v>19899</v>
      </c>
      <c r="L267" s="71"/>
      <c r="M267" s="72"/>
      <c r="N267" s="72"/>
      <c r="O267" s="73"/>
      <c r="P267" s="74"/>
      <c r="Q267" s="74"/>
      <c r="R267" s="87"/>
      <c r="S267" s="87"/>
      <c r="T267" s="87"/>
      <c r="U267" s="87"/>
      <c r="V267" s="48"/>
      <c r="W267" s="48"/>
      <c r="X267" s="47">
        <v>1.101E-3</v>
      </c>
      <c r="Y267" s="48"/>
      <c r="Z267" s="47"/>
      <c r="AA267" s="69">
        <v>267</v>
      </c>
      <c r="AB267" s="69"/>
      <c r="AC267" s="70"/>
      <c r="AD267" s="76" t="s">
        <v>16902</v>
      </c>
      <c r="AE267" s="81" t="s">
        <v>15711</v>
      </c>
      <c r="AF267" s="76">
        <v>2</v>
      </c>
      <c r="AG267" s="76">
        <v>0</v>
      </c>
      <c r="AH267" s="76">
        <v>97</v>
      </c>
      <c r="AI267" s="76">
        <v>0</v>
      </c>
      <c r="AJ267" s="76">
        <v>17</v>
      </c>
      <c r="AK267" s="76">
        <v>97</v>
      </c>
      <c r="AL267" s="76" t="b">
        <v>0</v>
      </c>
      <c r="AM267" s="78">
        <v>44946.064918981479</v>
      </c>
      <c r="AN267" s="76"/>
      <c r="AO267" s="76" t="s">
        <v>18394</v>
      </c>
      <c r="AP267" s="83" t="str">
        <f>HYPERLINK("https://t.co/yuUvpcgy3Y")</f>
        <v>https://t.co/yuUvpcgy3Y</v>
      </c>
      <c r="AQ267" s="83" t="str">
        <f>HYPERLINK("https://www.instagram.com/minteredu")</f>
        <v>https://www.instagram.com/minteredu</v>
      </c>
      <c r="AR267" s="76" t="s">
        <v>19155</v>
      </c>
      <c r="AS267" s="83" t="str">
        <f>HYPERLINK("https://t.co/pkS0sEMfzD")</f>
        <v>https://t.co/pkS0sEMfzD</v>
      </c>
      <c r="AT267" s="83" t="str">
        <f>HYPERLINK("https://www.minter.com.br")</f>
        <v>https://www.minter.com.br</v>
      </c>
      <c r="AU267" s="76" t="s">
        <v>19594</v>
      </c>
      <c r="AV267" s="76"/>
      <c r="AW267" s="83" t="str">
        <f>HYPERLINK("https://t.co/yuUvpcgy3Y")</f>
        <v>https://t.co/yuUvpcgy3Y</v>
      </c>
      <c r="AX267" s="76" t="b">
        <v>0</v>
      </c>
      <c r="AY267" s="76"/>
      <c r="AZ267" s="76"/>
      <c r="BA267" s="76" t="b">
        <v>0</v>
      </c>
      <c r="BB267" s="76" t="b">
        <v>1</v>
      </c>
      <c r="BC267" s="76" t="b">
        <v>1</v>
      </c>
      <c r="BD267" s="76" t="b">
        <v>0</v>
      </c>
      <c r="BE267" s="76" t="b">
        <v>0</v>
      </c>
      <c r="BF267" s="76" t="b">
        <v>0</v>
      </c>
      <c r="BG267" s="76" t="b">
        <v>0</v>
      </c>
      <c r="BH267" s="83" t="str">
        <f>HYPERLINK("https://pbs.twimg.com/profile_banners/1616247480068313088/1674178731")</f>
        <v>https://pbs.twimg.com/profile_banners/1616247480068313088/1674178731</v>
      </c>
      <c r="BI267" s="76"/>
      <c r="BJ267" s="76" t="s">
        <v>19633</v>
      </c>
      <c r="BK267" s="76" t="b">
        <v>0</v>
      </c>
      <c r="BL267" s="76"/>
      <c r="BM267" s="76" t="s">
        <v>66</v>
      </c>
      <c r="BN267" s="76" t="s">
        <v>19635</v>
      </c>
      <c r="BO267" s="83" t="str">
        <f>HYPERLINK("https://twitter.com/minteredu")</f>
        <v>https://twitter.com/minteredu</v>
      </c>
      <c r="BP267" s="2"/>
    </row>
    <row r="268" spans="1:68" x14ac:dyDescent="0.25">
      <c r="A268" s="62" t="s">
        <v>450</v>
      </c>
      <c r="B268" s="63"/>
      <c r="C268" s="63"/>
      <c r="D268" s="64"/>
      <c r="E268" s="66"/>
      <c r="F268" s="103" t="str">
        <f>HYPERLINK("https://pbs.twimg.com/profile_images/1645221347969101826/WziLHhfO_normal.jpg")</f>
        <v>https://pbs.twimg.com/profile_images/1645221347969101826/WziLHhfO_normal.jpg</v>
      </c>
      <c r="G268" s="63"/>
      <c r="H268" s="67"/>
      <c r="I268" s="68"/>
      <c r="J268" s="68"/>
      <c r="K268" s="67" t="s">
        <v>19900</v>
      </c>
      <c r="L268" s="71"/>
      <c r="M268" s="72"/>
      <c r="N268" s="72"/>
      <c r="O268" s="73"/>
      <c r="P268" s="74"/>
      <c r="Q268" s="74"/>
      <c r="R268" s="87"/>
      <c r="S268" s="87"/>
      <c r="T268" s="87"/>
      <c r="U268" s="87"/>
      <c r="V268" s="48"/>
      <c r="W268" s="48"/>
      <c r="X268" s="47">
        <v>1.101E-3</v>
      </c>
      <c r="Y268" s="48"/>
      <c r="Z268" s="47"/>
      <c r="AA268" s="69">
        <v>268</v>
      </c>
      <c r="AB268" s="69"/>
      <c r="AC268" s="70"/>
      <c r="AD268" s="76" t="s">
        <v>16903</v>
      </c>
      <c r="AE268" s="81" t="s">
        <v>16252</v>
      </c>
      <c r="AF268" s="76">
        <v>4</v>
      </c>
      <c r="AG268" s="76">
        <v>0</v>
      </c>
      <c r="AH268" s="76">
        <v>267</v>
      </c>
      <c r="AI268" s="76">
        <v>0</v>
      </c>
      <c r="AJ268" s="76">
        <v>30</v>
      </c>
      <c r="AK268" s="76">
        <v>181</v>
      </c>
      <c r="AL268" s="76" t="b">
        <v>0</v>
      </c>
      <c r="AM268" s="78">
        <v>44329.89806712963</v>
      </c>
      <c r="AN268" s="76" t="s">
        <v>10552</v>
      </c>
      <c r="AO268" s="76" t="s">
        <v>18395</v>
      </c>
      <c r="AP268" s="83" t="str">
        <f>HYPERLINK("https://t.co/Yr66JcE3Gu")</f>
        <v>https://t.co/Yr66JcE3Gu</v>
      </c>
      <c r="AQ268" s="83" t="str">
        <f>HYPERLINK("https://www.credbommfinanceira.com.br")</f>
        <v>https://www.credbommfinanceira.com.br</v>
      </c>
      <c r="AR268" s="76" t="s">
        <v>19156</v>
      </c>
      <c r="AS268" s="76"/>
      <c r="AT268" s="76"/>
      <c r="AU268" s="76"/>
      <c r="AV268" s="76">
        <v>1.6871834986358001E+18</v>
      </c>
      <c r="AW268" s="83" t="str">
        <f>HYPERLINK("https://t.co/Yr66JcE3Gu")</f>
        <v>https://t.co/Yr66JcE3Gu</v>
      </c>
      <c r="AX268" s="76" t="b">
        <v>0</v>
      </c>
      <c r="AY268" s="76"/>
      <c r="AZ268" s="76"/>
      <c r="BA268" s="76" t="b">
        <v>0</v>
      </c>
      <c r="BB268" s="76" t="b">
        <v>1</v>
      </c>
      <c r="BC268" s="76" t="b">
        <v>1</v>
      </c>
      <c r="BD268" s="76" t="b">
        <v>0</v>
      </c>
      <c r="BE268" s="76" t="b">
        <v>0</v>
      </c>
      <c r="BF268" s="76" t="b">
        <v>0</v>
      </c>
      <c r="BG268" s="76" t="b">
        <v>0</v>
      </c>
      <c r="BH268" s="83" t="str">
        <f>HYPERLINK("https://pbs.twimg.com/profile_banners/1392955982045753352/1682726355")</f>
        <v>https://pbs.twimg.com/profile_banners/1392955982045753352/1682726355</v>
      </c>
      <c r="BI268" s="76"/>
      <c r="BJ268" s="76" t="s">
        <v>19633</v>
      </c>
      <c r="BK268" s="76" t="b">
        <v>0</v>
      </c>
      <c r="BL268" s="76"/>
      <c r="BM268" s="76" t="s">
        <v>66</v>
      </c>
      <c r="BN268" s="76" t="s">
        <v>19635</v>
      </c>
      <c r="BO268" s="83" t="str">
        <f>HYPERLINK("https://twitter.com/emprestimopravc")</f>
        <v>https://twitter.com/emprestimopravc</v>
      </c>
      <c r="BP268" s="2"/>
    </row>
    <row r="269" spans="1:68" x14ac:dyDescent="0.25">
      <c r="A269" s="62" t="s">
        <v>1074</v>
      </c>
      <c r="B269" s="63"/>
      <c r="C269" s="63"/>
      <c r="D269" s="64"/>
      <c r="E269" s="66"/>
      <c r="F269" s="103" t="str">
        <f>HYPERLINK("https://pbs.twimg.com/profile_images/1481458942/2-766494-2275-t_normal.jpg")</f>
        <v>https://pbs.twimg.com/profile_images/1481458942/2-766494-2275-t_normal.jpg</v>
      </c>
      <c r="G269" s="63"/>
      <c r="H269" s="67"/>
      <c r="I269" s="68"/>
      <c r="J269" s="68"/>
      <c r="K269" s="67" t="s">
        <v>19901</v>
      </c>
      <c r="L269" s="71"/>
      <c r="M269" s="72"/>
      <c r="N269" s="72"/>
      <c r="O269" s="73"/>
      <c r="P269" s="74"/>
      <c r="Q269" s="74"/>
      <c r="R269" s="87"/>
      <c r="S269" s="87"/>
      <c r="T269" s="87"/>
      <c r="U269" s="87"/>
      <c r="V269" s="48"/>
      <c r="W269" s="48"/>
      <c r="X269" s="47">
        <v>1.0009999999999999E-3</v>
      </c>
      <c r="Y269" s="48"/>
      <c r="Z269" s="47"/>
      <c r="AA269" s="69">
        <v>269</v>
      </c>
      <c r="AB269" s="69"/>
      <c r="AC269" s="70"/>
      <c r="AD269" s="76" t="s">
        <v>16904</v>
      </c>
      <c r="AE269" s="81" t="s">
        <v>17638</v>
      </c>
      <c r="AF269" s="76">
        <v>1</v>
      </c>
      <c r="AG269" s="76">
        <v>10</v>
      </c>
      <c r="AH269" s="76">
        <v>1</v>
      </c>
      <c r="AI269" s="76">
        <v>0</v>
      </c>
      <c r="AJ269" s="76">
        <v>0</v>
      </c>
      <c r="AK269" s="76">
        <v>0</v>
      </c>
      <c r="AL269" s="76" t="b">
        <v>0</v>
      </c>
      <c r="AM269" s="78">
        <v>40761.751620370371</v>
      </c>
      <c r="AN269" s="76"/>
      <c r="AO269" s="76"/>
      <c r="AP269" s="76"/>
      <c r="AQ269" s="76"/>
      <c r="AR269" s="76"/>
      <c r="AS269" s="76"/>
      <c r="AT269" s="76"/>
      <c r="AU269" s="76"/>
      <c r="AV269" s="76"/>
      <c r="AW269" s="76"/>
      <c r="AX269" s="76" t="b">
        <v>0</v>
      </c>
      <c r="AY269" s="76"/>
      <c r="AZ269" s="76"/>
      <c r="BA269" s="76" t="b">
        <v>0</v>
      </c>
      <c r="BB269" s="76" t="b">
        <v>1</v>
      </c>
      <c r="BC269" s="76" t="b">
        <v>0</v>
      </c>
      <c r="BD269" s="76" t="b">
        <v>0</v>
      </c>
      <c r="BE269" s="76" t="b">
        <v>0</v>
      </c>
      <c r="BF269" s="76" t="b">
        <v>0</v>
      </c>
      <c r="BG269" s="76" t="b">
        <v>0</v>
      </c>
      <c r="BH269" s="76"/>
      <c r="BI269" s="76"/>
      <c r="BJ269" s="76" t="s">
        <v>19633</v>
      </c>
      <c r="BK269" s="76" t="b">
        <v>0</v>
      </c>
      <c r="BL269" s="76"/>
      <c r="BM269" s="76" t="s">
        <v>65</v>
      </c>
      <c r="BN269" s="76" t="s">
        <v>19635</v>
      </c>
      <c r="BO269" s="83" t="str">
        <f>HYPERLINK("https://twitter.com/fernandatorreso")</f>
        <v>https://twitter.com/fernandatorreso</v>
      </c>
      <c r="BP269" s="2"/>
    </row>
    <row r="270" spans="1:68" x14ac:dyDescent="0.25">
      <c r="A270" s="62" t="s">
        <v>452</v>
      </c>
      <c r="B270" s="63"/>
      <c r="C270" s="63"/>
      <c r="D270" s="64"/>
      <c r="E270" s="66"/>
      <c r="F270" s="103" t="str">
        <f>HYPERLINK("https://pbs.twimg.com/profile_images/1556723619639746567/mqx4afLb_normal.jpg")</f>
        <v>https://pbs.twimg.com/profile_images/1556723619639746567/mqx4afLb_normal.jpg</v>
      </c>
      <c r="G270" s="63"/>
      <c r="H270" s="67"/>
      <c r="I270" s="68"/>
      <c r="J270" s="68"/>
      <c r="K270" s="67" t="s">
        <v>19902</v>
      </c>
      <c r="L270" s="71"/>
      <c r="M270" s="72"/>
      <c r="N270" s="72"/>
      <c r="O270" s="73"/>
      <c r="P270" s="74"/>
      <c r="Q270" s="74"/>
      <c r="R270" s="87"/>
      <c r="S270" s="87"/>
      <c r="T270" s="87"/>
      <c r="U270" s="87"/>
      <c r="V270" s="48"/>
      <c r="W270" s="48"/>
      <c r="X270" s="47">
        <v>1.101E-3</v>
      </c>
      <c r="Y270" s="48"/>
      <c r="Z270" s="47"/>
      <c r="AA270" s="69">
        <v>270</v>
      </c>
      <c r="AB270" s="69"/>
      <c r="AC270" s="70"/>
      <c r="AD270" s="76" t="s">
        <v>16905</v>
      </c>
      <c r="AE270" s="81" t="s">
        <v>15712</v>
      </c>
      <c r="AF270" s="76">
        <v>957</v>
      </c>
      <c r="AG270" s="76">
        <v>205</v>
      </c>
      <c r="AH270" s="76">
        <v>4673</v>
      </c>
      <c r="AI270" s="76">
        <v>2</v>
      </c>
      <c r="AJ270" s="76">
        <v>34809</v>
      </c>
      <c r="AK270" s="76">
        <v>125</v>
      </c>
      <c r="AL270" s="76" t="b">
        <v>0</v>
      </c>
      <c r="AM270" s="78">
        <v>39999.57603009259</v>
      </c>
      <c r="AN270" s="76" t="s">
        <v>17963</v>
      </c>
      <c r="AO270" s="76" t="s">
        <v>18396</v>
      </c>
      <c r="AP270" s="83" t="str">
        <f>HYPERLINK("https://t.co/HFwYRbtuWX")</f>
        <v>https://t.co/HFwYRbtuWX</v>
      </c>
      <c r="AQ270" s="83" t="str">
        <f>HYPERLINK("http://linktr.ee/pedrofagundes")</f>
        <v>http://linktr.ee/pedrofagundes</v>
      </c>
      <c r="AR270" s="76" t="s">
        <v>19157</v>
      </c>
      <c r="AS270" s="83" t="str">
        <f>HYPERLINK("https://t.co/PpxLZNA1pX")</f>
        <v>https://t.co/PpxLZNA1pX</v>
      </c>
      <c r="AT270" s="83" t="str">
        <f>HYPERLINK("http://instagram.com/pedrofagundes")</f>
        <v>http://instagram.com/pedrofagundes</v>
      </c>
      <c r="AU270" s="76" t="s">
        <v>19595</v>
      </c>
      <c r="AV270" s="76"/>
      <c r="AW270" s="83" t="str">
        <f>HYPERLINK("https://t.co/HFwYRbtuWX")</f>
        <v>https://t.co/HFwYRbtuWX</v>
      </c>
      <c r="AX270" s="76" t="b">
        <v>0</v>
      </c>
      <c r="AY270" s="76"/>
      <c r="AZ270" s="76"/>
      <c r="BA270" s="76" t="b">
        <v>0</v>
      </c>
      <c r="BB270" s="76" t="b">
        <v>1</v>
      </c>
      <c r="BC270" s="76" t="b">
        <v>0</v>
      </c>
      <c r="BD270" s="76" t="b">
        <v>0</v>
      </c>
      <c r="BE270" s="76" t="b">
        <v>1</v>
      </c>
      <c r="BF270" s="76" t="b">
        <v>0</v>
      </c>
      <c r="BG270" s="76" t="b">
        <v>0</v>
      </c>
      <c r="BH270" s="83" t="str">
        <f>HYPERLINK("https://pbs.twimg.com/profile_banners/53912925/1399921437")</f>
        <v>https://pbs.twimg.com/profile_banners/53912925/1399921437</v>
      </c>
      <c r="BI270" s="76"/>
      <c r="BJ270" s="76" t="s">
        <v>19633</v>
      </c>
      <c r="BK270" s="76" t="b">
        <v>0</v>
      </c>
      <c r="BL270" s="76"/>
      <c r="BM270" s="76" t="s">
        <v>66</v>
      </c>
      <c r="BN270" s="76" t="s">
        <v>19635</v>
      </c>
      <c r="BO270" s="83" t="str">
        <f>HYPERLINK("https://twitter.com/pedrofagundes")</f>
        <v>https://twitter.com/pedrofagundes</v>
      </c>
      <c r="BP270" s="2"/>
    </row>
    <row r="271" spans="1:68" x14ac:dyDescent="0.25">
      <c r="A271" s="62" t="s">
        <v>453</v>
      </c>
      <c r="B271" s="63"/>
      <c r="C271" s="63"/>
      <c r="D271" s="64"/>
      <c r="E271" s="66"/>
      <c r="F271" s="103" t="str">
        <f>HYPERLINK("https://pbs.twimg.com/profile_images/1668643537892564992/k8CrI-Ic_normal.jpg")</f>
        <v>https://pbs.twimg.com/profile_images/1668643537892564992/k8CrI-Ic_normal.jpg</v>
      </c>
      <c r="G271" s="63"/>
      <c r="H271" s="67"/>
      <c r="I271" s="68"/>
      <c r="J271" s="68"/>
      <c r="K271" s="67" t="s">
        <v>19903</v>
      </c>
      <c r="L271" s="71"/>
      <c r="M271" s="72"/>
      <c r="N271" s="72"/>
      <c r="O271" s="73"/>
      <c r="P271" s="74"/>
      <c r="Q271" s="74"/>
      <c r="R271" s="87"/>
      <c r="S271" s="87"/>
      <c r="T271" s="87"/>
      <c r="U271" s="87"/>
      <c r="V271" s="48"/>
      <c r="W271" s="48"/>
      <c r="X271" s="47">
        <v>1.101E-3</v>
      </c>
      <c r="Y271" s="48"/>
      <c r="Z271" s="47"/>
      <c r="AA271" s="69">
        <v>271</v>
      </c>
      <c r="AB271" s="69"/>
      <c r="AC271" s="70"/>
      <c r="AD271" s="76" t="s">
        <v>16906</v>
      </c>
      <c r="AE271" s="81" t="s">
        <v>17639</v>
      </c>
      <c r="AF271" s="76">
        <v>12596</v>
      </c>
      <c r="AG271" s="76">
        <v>235</v>
      </c>
      <c r="AH271" s="76">
        <v>11233</v>
      </c>
      <c r="AI271" s="76">
        <v>57</v>
      </c>
      <c r="AJ271" s="76">
        <v>747</v>
      </c>
      <c r="AK271" s="76">
        <v>2964</v>
      </c>
      <c r="AL271" s="76" t="b">
        <v>0</v>
      </c>
      <c r="AM271" s="78">
        <v>39948.852581018517</v>
      </c>
      <c r="AN271" s="76" t="s">
        <v>10552</v>
      </c>
      <c r="AO271" s="76" t="s">
        <v>18397</v>
      </c>
      <c r="AP271" s="83" t="str">
        <f>HYPERLINK("https://t.co/75gtKxBixi")</f>
        <v>https://t.co/75gtKxBixi</v>
      </c>
      <c r="AQ271" s="83" t="str">
        <f>HYPERLINK("http://ens.edu.br")</f>
        <v>http://ens.edu.br</v>
      </c>
      <c r="AR271" s="76" t="s">
        <v>19158</v>
      </c>
      <c r="AS271" s="76"/>
      <c r="AT271" s="76"/>
      <c r="AU271" s="76"/>
      <c r="AV271" s="76">
        <v>1.6033688771566999E+18</v>
      </c>
      <c r="AW271" s="83" t="str">
        <f>HYPERLINK("https://t.co/75gtKxBixi")</f>
        <v>https://t.co/75gtKxBixi</v>
      </c>
      <c r="AX271" s="76" t="b">
        <v>0</v>
      </c>
      <c r="AY271" s="76"/>
      <c r="AZ271" s="76"/>
      <c r="BA271" s="76" t="b">
        <v>1</v>
      </c>
      <c r="BB271" s="76" t="b">
        <v>1</v>
      </c>
      <c r="BC271" s="76" t="b">
        <v>0</v>
      </c>
      <c r="BD271" s="76" t="b">
        <v>0</v>
      </c>
      <c r="BE271" s="76" t="b">
        <v>0</v>
      </c>
      <c r="BF271" s="76" t="b">
        <v>0</v>
      </c>
      <c r="BG271" s="76" t="b">
        <v>0</v>
      </c>
      <c r="BH271" s="83" t="str">
        <f>HYPERLINK("https://pbs.twimg.com/profile_banners/40325288/1674073311")</f>
        <v>https://pbs.twimg.com/profile_banners/40325288/1674073311</v>
      </c>
      <c r="BI271" s="76"/>
      <c r="BJ271" s="76" t="s">
        <v>19633</v>
      </c>
      <c r="BK271" s="76" t="b">
        <v>0</v>
      </c>
      <c r="BL271" s="76"/>
      <c r="BM271" s="76" t="s">
        <v>66</v>
      </c>
      <c r="BN271" s="76" t="s">
        <v>19635</v>
      </c>
      <c r="BO271" s="83" t="str">
        <f>HYPERLINK("https://twitter.com/oficial_ens")</f>
        <v>https://twitter.com/oficial_ens</v>
      </c>
      <c r="BP271" s="2"/>
    </row>
    <row r="272" spans="1:68" x14ac:dyDescent="0.25">
      <c r="A272" s="62" t="s">
        <v>454</v>
      </c>
      <c r="B272" s="63"/>
      <c r="C272" s="63"/>
      <c r="D272" s="64"/>
      <c r="E272" s="66"/>
      <c r="F272" s="103" t="str">
        <f>HYPERLINK("https://pbs.twimg.com/profile_images/1572721519293304832/4h2XKvkF_normal.jpg")</f>
        <v>https://pbs.twimg.com/profile_images/1572721519293304832/4h2XKvkF_normal.jpg</v>
      </c>
      <c r="G272" s="63"/>
      <c r="H272" s="67"/>
      <c r="I272" s="68"/>
      <c r="J272" s="68"/>
      <c r="K272" s="67" t="s">
        <v>19904</v>
      </c>
      <c r="L272" s="71"/>
      <c r="M272" s="72"/>
      <c r="N272" s="72"/>
      <c r="O272" s="73"/>
      <c r="P272" s="74"/>
      <c r="Q272" s="74"/>
      <c r="R272" s="87"/>
      <c r="S272" s="87"/>
      <c r="T272" s="87"/>
      <c r="U272" s="87"/>
      <c r="V272" s="48"/>
      <c r="W272" s="48"/>
      <c r="X272" s="47">
        <v>1.101E-3</v>
      </c>
      <c r="Y272" s="48"/>
      <c r="Z272" s="47"/>
      <c r="AA272" s="69">
        <v>272</v>
      </c>
      <c r="AB272" s="69"/>
      <c r="AC272" s="70"/>
      <c r="AD272" s="76" t="s">
        <v>16907</v>
      </c>
      <c r="AE272" s="81" t="s">
        <v>16253</v>
      </c>
      <c r="AF272" s="76">
        <v>2</v>
      </c>
      <c r="AG272" s="76">
        <v>18</v>
      </c>
      <c r="AH272" s="76">
        <v>11</v>
      </c>
      <c r="AI272" s="76">
        <v>0</v>
      </c>
      <c r="AJ272" s="76">
        <v>108</v>
      </c>
      <c r="AK272" s="76">
        <v>5</v>
      </c>
      <c r="AL272" s="76" t="b">
        <v>0</v>
      </c>
      <c r="AM272" s="78">
        <v>44358.236203703702</v>
      </c>
      <c r="AN272" s="76"/>
      <c r="AO272" s="76" t="s">
        <v>18398</v>
      </c>
      <c r="AP272" s="76"/>
      <c r="AQ272" s="76"/>
      <c r="AR272" s="76"/>
      <c r="AS272" s="76"/>
      <c r="AT272" s="76"/>
      <c r="AU272" s="76"/>
      <c r="AV272" s="76"/>
      <c r="AW272" s="76"/>
      <c r="AX272" s="76" t="b">
        <v>0</v>
      </c>
      <c r="AY272" s="76"/>
      <c r="AZ272" s="76"/>
      <c r="BA272" s="76" t="b">
        <v>0</v>
      </c>
      <c r="BB272" s="76" t="b">
        <v>1</v>
      </c>
      <c r="BC272" s="76" t="b">
        <v>1</v>
      </c>
      <c r="BD272" s="76" t="b">
        <v>0</v>
      </c>
      <c r="BE272" s="76" t="b">
        <v>0</v>
      </c>
      <c r="BF272" s="76" t="b">
        <v>0</v>
      </c>
      <c r="BG272" s="76" t="b">
        <v>0</v>
      </c>
      <c r="BH272" s="83" t="str">
        <f>HYPERLINK("https://pbs.twimg.com/profile_banners/1403225449593966597/1668993221")</f>
        <v>https://pbs.twimg.com/profile_banners/1403225449593966597/1668993221</v>
      </c>
      <c r="BI272" s="76"/>
      <c r="BJ272" s="76" t="s">
        <v>19633</v>
      </c>
      <c r="BK272" s="76" t="b">
        <v>0</v>
      </c>
      <c r="BL272" s="76"/>
      <c r="BM272" s="76" t="s">
        <v>66</v>
      </c>
      <c r="BN272" s="76" t="s">
        <v>19635</v>
      </c>
      <c r="BO272" s="83" t="str">
        <f>HYPERLINK("https://twitter.com/andreamenezesi")</f>
        <v>https://twitter.com/andreamenezesi</v>
      </c>
      <c r="BP272" s="2"/>
    </row>
    <row r="273" spans="1:68" x14ac:dyDescent="0.25">
      <c r="A273" s="62" t="s">
        <v>455</v>
      </c>
      <c r="B273" s="63"/>
      <c r="C273" s="63"/>
      <c r="D273" s="64"/>
      <c r="E273" s="66"/>
      <c r="F273" s="103" t="str">
        <f>HYPERLINK("https://pbs.twimg.com/profile_images/1481657546486296576/InO0jboq_normal.jpg")</f>
        <v>https://pbs.twimg.com/profile_images/1481657546486296576/InO0jboq_normal.jpg</v>
      </c>
      <c r="G273" s="63"/>
      <c r="H273" s="67"/>
      <c r="I273" s="68"/>
      <c r="J273" s="68"/>
      <c r="K273" s="67" t="s">
        <v>19905</v>
      </c>
      <c r="L273" s="71"/>
      <c r="M273" s="72"/>
      <c r="N273" s="72"/>
      <c r="O273" s="73"/>
      <c r="P273" s="74"/>
      <c r="Q273" s="74"/>
      <c r="R273" s="87"/>
      <c r="S273" s="87"/>
      <c r="T273" s="87"/>
      <c r="U273" s="87"/>
      <c r="V273" s="48"/>
      <c r="W273" s="48"/>
      <c r="X273" s="47">
        <v>1.101E-3</v>
      </c>
      <c r="Y273" s="48"/>
      <c r="Z273" s="47"/>
      <c r="AA273" s="69">
        <v>273</v>
      </c>
      <c r="AB273" s="69"/>
      <c r="AC273" s="70"/>
      <c r="AD273" s="76" t="s">
        <v>16908</v>
      </c>
      <c r="AE273" s="81" t="s">
        <v>16254</v>
      </c>
      <c r="AF273" s="76">
        <v>725</v>
      </c>
      <c r="AG273" s="76">
        <v>89</v>
      </c>
      <c r="AH273" s="76">
        <v>1589</v>
      </c>
      <c r="AI273" s="76">
        <v>1</v>
      </c>
      <c r="AJ273" s="76">
        <v>106</v>
      </c>
      <c r="AK273" s="76">
        <v>971</v>
      </c>
      <c r="AL273" s="76" t="b">
        <v>0</v>
      </c>
      <c r="AM273" s="78">
        <v>42744.732719907406</v>
      </c>
      <c r="AN273" s="76"/>
      <c r="AO273" s="76" t="s">
        <v>18399</v>
      </c>
      <c r="AP273" s="83" t="str">
        <f>HYPERLINK("https://t.co/9trjGnlAYc")</f>
        <v>https://t.co/9trjGnlAYc</v>
      </c>
      <c r="AQ273" s="83" t="str">
        <f>HYPERLINK("https://www.unicred.com.br/home")</f>
        <v>https://www.unicred.com.br/home</v>
      </c>
      <c r="AR273" s="76" t="s">
        <v>19159</v>
      </c>
      <c r="AS273" s="76"/>
      <c r="AT273" s="76"/>
      <c r="AU273" s="76"/>
      <c r="AV273" s="76"/>
      <c r="AW273" s="83" t="str">
        <f>HYPERLINK("https://t.co/9trjGnlAYc")</f>
        <v>https://t.co/9trjGnlAYc</v>
      </c>
      <c r="AX273" s="76" t="b">
        <v>0</v>
      </c>
      <c r="AY273" s="76"/>
      <c r="AZ273" s="76"/>
      <c r="BA273" s="76" t="b">
        <v>0</v>
      </c>
      <c r="BB273" s="76" t="b">
        <v>1</v>
      </c>
      <c r="BC273" s="76" t="b">
        <v>0</v>
      </c>
      <c r="BD273" s="76" t="b">
        <v>0</v>
      </c>
      <c r="BE273" s="76" t="b">
        <v>1</v>
      </c>
      <c r="BF273" s="76" t="b">
        <v>0</v>
      </c>
      <c r="BG273" s="76" t="b">
        <v>0</v>
      </c>
      <c r="BH273" s="83" t="str">
        <f>HYPERLINK("https://pbs.twimg.com/profile_banners/818511431654133760/1694521271")</f>
        <v>https://pbs.twimg.com/profile_banners/818511431654133760/1694521271</v>
      </c>
      <c r="BI273" s="76"/>
      <c r="BJ273" s="76" t="s">
        <v>19633</v>
      </c>
      <c r="BK273" s="76" t="b">
        <v>0</v>
      </c>
      <c r="BL273" s="76"/>
      <c r="BM273" s="76" t="s">
        <v>66</v>
      </c>
      <c r="BN273" s="76" t="s">
        <v>19635</v>
      </c>
      <c r="BO273" s="83" t="str">
        <f>HYPERLINK("https://twitter.com/unicredbrasil")</f>
        <v>https://twitter.com/unicredbrasil</v>
      </c>
      <c r="BP273" s="2"/>
    </row>
    <row r="274" spans="1:68" x14ac:dyDescent="0.25">
      <c r="A274" s="62" t="s">
        <v>456</v>
      </c>
      <c r="B274" s="63"/>
      <c r="C274" s="63"/>
      <c r="D274" s="64"/>
      <c r="E274" s="66"/>
      <c r="F274" s="103" t="str">
        <f>HYPERLINK("https://pbs.twimg.com/profile_images/1674302288146358278/jH_VX49h_normal.png")</f>
        <v>https://pbs.twimg.com/profile_images/1674302288146358278/jH_VX49h_normal.png</v>
      </c>
      <c r="G274" s="63"/>
      <c r="H274" s="67"/>
      <c r="I274" s="68"/>
      <c r="J274" s="68"/>
      <c r="K274" s="67" t="s">
        <v>19906</v>
      </c>
      <c r="L274" s="71"/>
      <c r="M274" s="72"/>
      <c r="N274" s="72"/>
      <c r="O274" s="73"/>
      <c r="P274" s="74"/>
      <c r="Q274" s="74"/>
      <c r="R274" s="87"/>
      <c r="S274" s="87"/>
      <c r="T274" s="87"/>
      <c r="U274" s="87"/>
      <c r="V274" s="48"/>
      <c r="W274" s="48"/>
      <c r="X274" s="47">
        <v>1.101E-3</v>
      </c>
      <c r="Y274" s="48"/>
      <c r="Z274" s="47"/>
      <c r="AA274" s="69">
        <v>274</v>
      </c>
      <c r="AB274" s="69"/>
      <c r="AC274" s="70"/>
      <c r="AD274" s="76" t="s">
        <v>16909</v>
      </c>
      <c r="AE274" s="81" t="s">
        <v>16255</v>
      </c>
      <c r="AF274" s="76">
        <v>207</v>
      </c>
      <c r="AG274" s="76">
        <v>443</v>
      </c>
      <c r="AH274" s="76">
        <v>2119</v>
      </c>
      <c r="AI274" s="76">
        <v>3</v>
      </c>
      <c r="AJ274" s="76">
        <v>145</v>
      </c>
      <c r="AK274" s="76">
        <v>1054</v>
      </c>
      <c r="AL274" s="76" t="b">
        <v>0</v>
      </c>
      <c r="AM274" s="78">
        <v>44019.313958333332</v>
      </c>
      <c r="AN274" s="76" t="s">
        <v>17964</v>
      </c>
      <c r="AO274" s="76" t="s">
        <v>18400</v>
      </c>
      <c r="AP274" s="83" t="str">
        <f>HYPERLINK("https://t.co/KKqmOwrH2H")</f>
        <v>https://t.co/KKqmOwrH2H</v>
      </c>
      <c r="AQ274" s="83" t="str">
        <f>HYPERLINK("https://www.opengrowth.com")</f>
        <v>https://www.opengrowth.com</v>
      </c>
      <c r="AR274" s="76" t="s">
        <v>19160</v>
      </c>
      <c r="AS274" s="76"/>
      <c r="AT274" s="76"/>
      <c r="AU274" s="76"/>
      <c r="AV274" s="76">
        <v>1.6812494058513001E+18</v>
      </c>
      <c r="AW274" s="83" t="str">
        <f>HYPERLINK("https://t.co/KKqmOwrH2H")</f>
        <v>https://t.co/KKqmOwrH2H</v>
      </c>
      <c r="AX274" s="76" t="b">
        <v>0</v>
      </c>
      <c r="AY274" s="76"/>
      <c r="AZ274" s="76"/>
      <c r="BA274" s="76" t="b">
        <v>0</v>
      </c>
      <c r="BB274" s="76" t="b">
        <v>1</v>
      </c>
      <c r="BC274" s="76" t="b">
        <v>1</v>
      </c>
      <c r="BD274" s="76" t="b">
        <v>0</v>
      </c>
      <c r="BE274" s="76" t="b">
        <v>1</v>
      </c>
      <c r="BF274" s="76" t="b">
        <v>0</v>
      </c>
      <c r="BG274" s="76" t="b">
        <v>0</v>
      </c>
      <c r="BH274" s="83" t="str">
        <f>HYPERLINK("https://pbs.twimg.com/profile_banners/1280404049204920320/1687778706")</f>
        <v>https://pbs.twimg.com/profile_banners/1280404049204920320/1687778706</v>
      </c>
      <c r="BI274" s="76"/>
      <c r="BJ274" s="76" t="s">
        <v>19633</v>
      </c>
      <c r="BK274" s="76" t="b">
        <v>0</v>
      </c>
      <c r="BL274" s="76"/>
      <c r="BM274" s="76" t="s">
        <v>66</v>
      </c>
      <c r="BN274" s="76" t="s">
        <v>19635</v>
      </c>
      <c r="BO274" s="83" t="str">
        <f>HYPERLINK("https://twitter.com/opengrowth_")</f>
        <v>https://twitter.com/opengrowth_</v>
      </c>
      <c r="BP274" s="2"/>
    </row>
    <row r="275" spans="1:68" x14ac:dyDescent="0.25">
      <c r="A275" s="62" t="s">
        <v>457</v>
      </c>
      <c r="B275" s="63"/>
      <c r="C275" s="63"/>
      <c r="D275" s="64"/>
      <c r="E275" s="66"/>
      <c r="F275" s="103" t="str">
        <f>HYPERLINK("https://pbs.twimg.com/profile_images/1516858466647826432/f8F_m8MS_normal.jpg")</f>
        <v>https://pbs.twimg.com/profile_images/1516858466647826432/f8F_m8MS_normal.jpg</v>
      </c>
      <c r="G275" s="63"/>
      <c r="H275" s="67"/>
      <c r="I275" s="68"/>
      <c r="J275" s="68"/>
      <c r="K275" s="67" t="s">
        <v>19907</v>
      </c>
      <c r="L275" s="71"/>
      <c r="M275" s="72"/>
      <c r="N275" s="72"/>
      <c r="O275" s="73"/>
      <c r="P275" s="74"/>
      <c r="Q275" s="74"/>
      <c r="R275" s="87"/>
      <c r="S275" s="87"/>
      <c r="T275" s="87"/>
      <c r="U275" s="87"/>
      <c r="V275" s="48"/>
      <c r="W275" s="48"/>
      <c r="X275" s="47">
        <v>1.101E-3</v>
      </c>
      <c r="Y275" s="48"/>
      <c r="Z275" s="47"/>
      <c r="AA275" s="69">
        <v>275</v>
      </c>
      <c r="AB275" s="69"/>
      <c r="AC275" s="70"/>
      <c r="AD275" s="76" t="s">
        <v>16910</v>
      </c>
      <c r="AE275" s="81" t="s">
        <v>16256</v>
      </c>
      <c r="AF275" s="76">
        <v>1</v>
      </c>
      <c r="AG275" s="76">
        <v>20</v>
      </c>
      <c r="AH275" s="76">
        <v>14</v>
      </c>
      <c r="AI275" s="76">
        <v>1</v>
      </c>
      <c r="AJ275" s="76">
        <v>8</v>
      </c>
      <c r="AK275" s="76">
        <v>4</v>
      </c>
      <c r="AL275" s="76" t="b">
        <v>0</v>
      </c>
      <c r="AM275" s="78">
        <v>44671.787777777776</v>
      </c>
      <c r="AN275" s="76"/>
      <c r="AO275" s="76" t="s">
        <v>18401</v>
      </c>
      <c r="AP275" s="76"/>
      <c r="AQ275" s="76"/>
      <c r="AR275" s="76"/>
      <c r="AS275" s="76"/>
      <c r="AT275" s="76"/>
      <c r="AU275" s="76"/>
      <c r="AV275" s="76"/>
      <c r="AW275" s="76"/>
      <c r="AX275" s="76" t="b">
        <v>0</v>
      </c>
      <c r="AY275" s="76"/>
      <c r="AZ275" s="76"/>
      <c r="BA275" s="76" t="b">
        <v>0</v>
      </c>
      <c r="BB275" s="76" t="b">
        <v>1</v>
      </c>
      <c r="BC275" s="76" t="b">
        <v>1</v>
      </c>
      <c r="BD275" s="76" t="b">
        <v>0</v>
      </c>
      <c r="BE275" s="76" t="b">
        <v>1</v>
      </c>
      <c r="BF275" s="76" t="b">
        <v>0</v>
      </c>
      <c r="BG275" s="76" t="b">
        <v>0</v>
      </c>
      <c r="BH275" s="76"/>
      <c r="BI275" s="76"/>
      <c r="BJ275" s="76" t="s">
        <v>19633</v>
      </c>
      <c r="BK275" s="76" t="b">
        <v>0</v>
      </c>
      <c r="BL275" s="76"/>
      <c r="BM275" s="76" t="s">
        <v>66</v>
      </c>
      <c r="BN275" s="76" t="s">
        <v>19635</v>
      </c>
      <c r="BO275" s="83" t="str">
        <f>HYPERLINK("https://twitter.com/flavioluis_fing")</f>
        <v>https://twitter.com/flavioluis_fing</v>
      </c>
      <c r="BP275" s="2"/>
    </row>
    <row r="276" spans="1:68" x14ac:dyDescent="0.25">
      <c r="A276" s="62" t="s">
        <v>458</v>
      </c>
      <c r="B276" s="63"/>
      <c r="C276" s="63"/>
      <c r="D276" s="64"/>
      <c r="E276" s="66"/>
      <c r="F276" s="103" t="str">
        <f>HYPERLINK("https://pbs.twimg.com/profile_images/1440676027282325521/B2JlKaKz_normal.jpg")</f>
        <v>https://pbs.twimg.com/profile_images/1440676027282325521/B2JlKaKz_normal.jpg</v>
      </c>
      <c r="G276" s="63"/>
      <c r="H276" s="67"/>
      <c r="I276" s="68"/>
      <c r="J276" s="68"/>
      <c r="K276" s="67" t="s">
        <v>19908</v>
      </c>
      <c r="L276" s="71"/>
      <c r="M276" s="72"/>
      <c r="N276" s="72"/>
      <c r="O276" s="73"/>
      <c r="P276" s="74"/>
      <c r="Q276" s="74"/>
      <c r="R276" s="87"/>
      <c r="S276" s="87"/>
      <c r="T276" s="87"/>
      <c r="U276" s="87"/>
      <c r="V276" s="48"/>
      <c r="W276" s="48"/>
      <c r="X276" s="47">
        <v>1.101E-3</v>
      </c>
      <c r="Y276" s="48"/>
      <c r="Z276" s="47"/>
      <c r="AA276" s="69">
        <v>276</v>
      </c>
      <c r="AB276" s="69"/>
      <c r="AC276" s="70"/>
      <c r="AD276" s="76" t="s">
        <v>16911</v>
      </c>
      <c r="AE276" s="81" t="s">
        <v>16257</v>
      </c>
      <c r="AF276" s="76">
        <v>1</v>
      </c>
      <c r="AG276" s="76">
        <v>1</v>
      </c>
      <c r="AH276" s="76">
        <v>171</v>
      </c>
      <c r="AI276" s="76">
        <v>0</v>
      </c>
      <c r="AJ276" s="76">
        <v>0</v>
      </c>
      <c r="AK276" s="76">
        <v>118</v>
      </c>
      <c r="AL276" s="76" t="b">
        <v>0</v>
      </c>
      <c r="AM276" s="78">
        <v>44461.562303240738</v>
      </c>
      <c r="AN276" s="76"/>
      <c r="AO276" s="76" t="s">
        <v>18402</v>
      </c>
      <c r="AP276" s="83" t="str">
        <f>HYPERLINK("https://t.co/UiqmzG6ekv")</f>
        <v>https://t.co/UiqmzG6ekv</v>
      </c>
      <c r="AQ276" s="83" t="str">
        <f>HYPERLINK("http://www.irflash.com.br")</f>
        <v>http://www.irflash.com.br</v>
      </c>
      <c r="AR276" s="76" t="s">
        <v>19161</v>
      </c>
      <c r="AS276" s="76"/>
      <c r="AT276" s="76"/>
      <c r="AU276" s="76"/>
      <c r="AV276" s="76">
        <v>1.4406853966444101E+18</v>
      </c>
      <c r="AW276" s="83" t="str">
        <f>HYPERLINK("https://t.co/UiqmzG6ekv")</f>
        <v>https://t.co/UiqmzG6ekv</v>
      </c>
      <c r="AX276" s="76" t="b">
        <v>0</v>
      </c>
      <c r="AY276" s="76"/>
      <c r="AZ276" s="76"/>
      <c r="BA276" s="76" t="b">
        <v>0</v>
      </c>
      <c r="BB276" s="76" t="b">
        <v>1</v>
      </c>
      <c r="BC276" s="76" t="b">
        <v>1</v>
      </c>
      <c r="BD276" s="76" t="b">
        <v>0</v>
      </c>
      <c r="BE276" s="76" t="b">
        <v>0</v>
      </c>
      <c r="BF276" s="76" t="b">
        <v>0</v>
      </c>
      <c r="BG276" s="76" t="b">
        <v>0</v>
      </c>
      <c r="BH276" s="83" t="str">
        <f>HYPERLINK("https://pbs.twimg.com/profile_banners/1440669220769992714/1662067008")</f>
        <v>https://pbs.twimg.com/profile_banners/1440669220769992714/1662067008</v>
      </c>
      <c r="BI276" s="76"/>
      <c r="BJ276" s="76" t="s">
        <v>19633</v>
      </c>
      <c r="BK276" s="76" t="b">
        <v>0</v>
      </c>
      <c r="BL276" s="76"/>
      <c r="BM276" s="76" t="s">
        <v>66</v>
      </c>
      <c r="BN276" s="76" t="s">
        <v>19635</v>
      </c>
      <c r="BO276" s="83" t="str">
        <f>HYPERLINK("https://twitter.com/appirflash")</f>
        <v>https://twitter.com/appirflash</v>
      </c>
      <c r="BP276" s="2"/>
    </row>
    <row r="277" spans="1:68" x14ac:dyDescent="0.25">
      <c r="A277" s="62" t="s">
        <v>459</v>
      </c>
      <c r="B277" s="63"/>
      <c r="C277" s="63"/>
      <c r="D277" s="64"/>
      <c r="E277" s="66"/>
      <c r="F277" s="103" t="str">
        <f>HYPERLINK("https://pbs.twimg.com/profile_images/1686339808979795968/X4qgjWHf_normal.jpg")</f>
        <v>https://pbs.twimg.com/profile_images/1686339808979795968/X4qgjWHf_normal.jpg</v>
      </c>
      <c r="G277" s="63"/>
      <c r="H277" s="67"/>
      <c r="I277" s="68"/>
      <c r="J277" s="68"/>
      <c r="K277" s="67" t="s">
        <v>19909</v>
      </c>
      <c r="L277" s="71"/>
      <c r="M277" s="72"/>
      <c r="N277" s="72"/>
      <c r="O277" s="73"/>
      <c r="P277" s="74"/>
      <c r="Q277" s="74"/>
      <c r="R277" s="87"/>
      <c r="S277" s="87"/>
      <c r="T277" s="87"/>
      <c r="U277" s="87"/>
      <c r="V277" s="48"/>
      <c r="W277" s="48"/>
      <c r="X277" s="47">
        <v>1.101E-3</v>
      </c>
      <c r="Y277" s="48"/>
      <c r="Z277" s="47"/>
      <c r="AA277" s="69">
        <v>277</v>
      </c>
      <c r="AB277" s="69"/>
      <c r="AC277" s="70"/>
      <c r="AD277" s="76" t="s">
        <v>16912</v>
      </c>
      <c r="AE277" s="81" t="s">
        <v>15713</v>
      </c>
      <c r="AF277" s="76">
        <v>0</v>
      </c>
      <c r="AG277" s="76">
        <v>4</v>
      </c>
      <c r="AH277" s="76">
        <v>5</v>
      </c>
      <c r="AI277" s="76">
        <v>0</v>
      </c>
      <c r="AJ277" s="76">
        <v>1</v>
      </c>
      <c r="AK277" s="76">
        <v>2</v>
      </c>
      <c r="AL277" s="76" t="b">
        <v>0</v>
      </c>
      <c r="AM277" s="78">
        <v>45139.482812499999</v>
      </c>
      <c r="AN277" s="76"/>
      <c r="AO277" s="76"/>
      <c r="AP277" s="76"/>
      <c r="AQ277" s="76"/>
      <c r="AR277" s="76"/>
      <c r="AS277" s="76"/>
      <c r="AT277" s="76"/>
      <c r="AU277" s="76"/>
      <c r="AV277" s="76"/>
      <c r="AW277" s="76"/>
      <c r="AX277" s="76" t="b">
        <v>0</v>
      </c>
      <c r="AY277" s="76"/>
      <c r="AZ277" s="76"/>
      <c r="BA277" s="76" t="b">
        <v>0</v>
      </c>
      <c r="BB277" s="76" t="b">
        <v>1</v>
      </c>
      <c r="BC277" s="76" t="b">
        <v>1</v>
      </c>
      <c r="BD277" s="76" t="b">
        <v>0</v>
      </c>
      <c r="BE277" s="76" t="b">
        <v>0</v>
      </c>
      <c r="BF277" s="76" t="b">
        <v>0</v>
      </c>
      <c r="BG277" s="76" t="b">
        <v>0</v>
      </c>
      <c r="BH277" s="76"/>
      <c r="BI277" s="76"/>
      <c r="BJ277" s="76" t="s">
        <v>19633</v>
      </c>
      <c r="BK277" s="76" t="b">
        <v>0</v>
      </c>
      <c r="BL277" s="76"/>
      <c r="BM277" s="76" t="s">
        <v>66</v>
      </c>
      <c r="BN277" s="76" t="s">
        <v>19635</v>
      </c>
      <c r="BO277" s="83" t="str">
        <f>HYPERLINK("https://twitter.com/bynessantos")</f>
        <v>https://twitter.com/bynessantos</v>
      </c>
      <c r="BP277" s="2"/>
    </row>
    <row r="278" spans="1:68" x14ac:dyDescent="0.25">
      <c r="A278" s="62" t="s">
        <v>460</v>
      </c>
      <c r="B278" s="63"/>
      <c r="C278" s="63"/>
      <c r="D278" s="64"/>
      <c r="E278" s="66"/>
      <c r="F278" s="103" t="str">
        <f>HYPERLINK("https://pbs.twimg.com/profile_images/1658958464373096451/fmvKPxjt_normal.jpg")</f>
        <v>https://pbs.twimg.com/profile_images/1658958464373096451/fmvKPxjt_normal.jpg</v>
      </c>
      <c r="G278" s="63"/>
      <c r="H278" s="67"/>
      <c r="I278" s="68"/>
      <c r="J278" s="68"/>
      <c r="K278" s="67" t="s">
        <v>19910</v>
      </c>
      <c r="L278" s="71"/>
      <c r="M278" s="72"/>
      <c r="N278" s="72"/>
      <c r="O278" s="73"/>
      <c r="P278" s="74"/>
      <c r="Q278" s="74"/>
      <c r="R278" s="87"/>
      <c r="S278" s="87"/>
      <c r="T278" s="87"/>
      <c r="U278" s="87"/>
      <c r="V278" s="48"/>
      <c r="W278" s="48"/>
      <c r="X278" s="47">
        <v>1.101E-3</v>
      </c>
      <c r="Y278" s="48"/>
      <c r="Z278" s="47"/>
      <c r="AA278" s="69">
        <v>278</v>
      </c>
      <c r="AB278" s="69"/>
      <c r="AC278" s="70"/>
      <c r="AD278" s="76" t="s">
        <v>16913</v>
      </c>
      <c r="AE278" s="81" t="s">
        <v>16258</v>
      </c>
      <c r="AF278" s="76">
        <v>12</v>
      </c>
      <c r="AG278" s="76">
        <v>107</v>
      </c>
      <c r="AH278" s="76">
        <v>594</v>
      </c>
      <c r="AI278" s="76">
        <v>0</v>
      </c>
      <c r="AJ278" s="76">
        <v>40</v>
      </c>
      <c r="AK278" s="76">
        <v>15</v>
      </c>
      <c r="AL278" s="76" t="b">
        <v>0</v>
      </c>
      <c r="AM278" s="78">
        <v>45063.924699074072</v>
      </c>
      <c r="AN278" s="76" t="s">
        <v>10631</v>
      </c>
      <c r="AO278" s="76" t="s">
        <v>18403</v>
      </c>
      <c r="AP278" s="83" t="str">
        <f>HYPERLINK("https://t.co/JEt88DAwZA")</f>
        <v>https://t.co/JEt88DAwZA</v>
      </c>
      <c r="AQ278" s="83" t="str">
        <f>HYPERLINK("http://mon.net.br/2q8fjf")</f>
        <v>http://mon.net.br/2q8fjf</v>
      </c>
      <c r="AR278" s="76" t="s">
        <v>19162</v>
      </c>
      <c r="AS278" s="76"/>
      <c r="AT278" s="76"/>
      <c r="AU278" s="76"/>
      <c r="AV278" s="76"/>
      <c r="AW278" s="83" t="str">
        <f>HYPERLINK("https://t.co/JEt88DAwZA")</f>
        <v>https://t.co/JEt88DAwZA</v>
      </c>
      <c r="AX278" s="76" t="b">
        <v>0</v>
      </c>
      <c r="AY278" s="76"/>
      <c r="AZ278" s="76"/>
      <c r="BA278" s="76" t="b">
        <v>0</v>
      </c>
      <c r="BB278" s="76" t="b">
        <v>1</v>
      </c>
      <c r="BC278" s="76" t="b">
        <v>1</v>
      </c>
      <c r="BD278" s="76" t="b">
        <v>0</v>
      </c>
      <c r="BE278" s="76" t="b">
        <v>0</v>
      </c>
      <c r="BF278" s="76" t="b">
        <v>0</v>
      </c>
      <c r="BG278" s="76" t="b">
        <v>0</v>
      </c>
      <c r="BH278" s="76"/>
      <c r="BI278" s="76"/>
      <c r="BJ278" s="76" t="s">
        <v>19633</v>
      </c>
      <c r="BK278" s="76" t="b">
        <v>0</v>
      </c>
      <c r="BL278" s="76"/>
      <c r="BM278" s="76" t="s">
        <v>66</v>
      </c>
      <c r="BN278" s="76" t="s">
        <v>19635</v>
      </c>
      <c r="BO278" s="83" t="str">
        <f>HYPERLINK("https://twitter.com/fernandaportov")</f>
        <v>https://twitter.com/fernandaportov</v>
      </c>
      <c r="BP278" s="2"/>
    </row>
    <row r="279" spans="1:68" x14ac:dyDescent="0.25">
      <c r="A279" s="62" t="s">
        <v>461</v>
      </c>
      <c r="B279" s="63"/>
      <c r="C279" s="63"/>
      <c r="D279" s="64"/>
      <c r="E279" s="66"/>
      <c r="F279" s="103" t="str">
        <f>HYPERLINK("https://pbs.twimg.com/profile_images/1653021720289132547/7j83iU0d_normal.jpg")</f>
        <v>https://pbs.twimg.com/profile_images/1653021720289132547/7j83iU0d_normal.jpg</v>
      </c>
      <c r="G279" s="63"/>
      <c r="H279" s="67"/>
      <c r="I279" s="68"/>
      <c r="J279" s="68"/>
      <c r="K279" s="67" t="s">
        <v>19911</v>
      </c>
      <c r="L279" s="71"/>
      <c r="M279" s="72"/>
      <c r="N279" s="72"/>
      <c r="O279" s="73"/>
      <c r="P279" s="74"/>
      <c r="Q279" s="74"/>
      <c r="R279" s="87"/>
      <c r="S279" s="87"/>
      <c r="T279" s="87"/>
      <c r="U279" s="87"/>
      <c r="V279" s="48"/>
      <c r="W279" s="48"/>
      <c r="X279" s="47">
        <v>1.101E-3</v>
      </c>
      <c r="Y279" s="48"/>
      <c r="Z279" s="47"/>
      <c r="AA279" s="69">
        <v>279</v>
      </c>
      <c r="AB279" s="69"/>
      <c r="AC279" s="70"/>
      <c r="AD279" s="76" t="s">
        <v>16914</v>
      </c>
      <c r="AE279" s="81" t="s">
        <v>16259</v>
      </c>
      <c r="AF279" s="76">
        <v>5</v>
      </c>
      <c r="AG279" s="76">
        <v>16</v>
      </c>
      <c r="AH279" s="76">
        <v>314</v>
      </c>
      <c r="AI279" s="76">
        <v>0</v>
      </c>
      <c r="AJ279" s="76">
        <v>423</v>
      </c>
      <c r="AK279" s="76">
        <v>9</v>
      </c>
      <c r="AL279" s="76" t="b">
        <v>0</v>
      </c>
      <c r="AM279" s="78">
        <v>45020.447638888887</v>
      </c>
      <c r="AN279" s="76" t="s">
        <v>17965</v>
      </c>
      <c r="AO279" s="76" t="s">
        <v>18404</v>
      </c>
      <c r="AP279" s="76"/>
      <c r="AQ279" s="76"/>
      <c r="AR279" s="76"/>
      <c r="AS279" s="76"/>
      <c r="AT279" s="76"/>
      <c r="AU279" s="76"/>
      <c r="AV279" s="76"/>
      <c r="AW279" s="76"/>
      <c r="AX279" s="76" t="b">
        <v>0</v>
      </c>
      <c r="AY279" s="76"/>
      <c r="AZ279" s="76"/>
      <c r="BA279" s="76" t="b">
        <v>0</v>
      </c>
      <c r="BB279" s="76" t="b">
        <v>1</v>
      </c>
      <c r="BC279" s="76" t="b">
        <v>1</v>
      </c>
      <c r="BD279" s="76" t="b">
        <v>0</v>
      </c>
      <c r="BE279" s="76" t="b">
        <v>0</v>
      </c>
      <c r="BF279" s="76" t="b">
        <v>0</v>
      </c>
      <c r="BG279" s="76" t="b">
        <v>0</v>
      </c>
      <c r="BH279" s="83" t="str">
        <f>HYPERLINK("https://pbs.twimg.com/profile_banners/1643202801357430784/1680606075")</f>
        <v>https://pbs.twimg.com/profile_banners/1643202801357430784/1680606075</v>
      </c>
      <c r="BI279" s="76"/>
      <c r="BJ279" s="76" t="s">
        <v>19633</v>
      </c>
      <c r="BK279" s="76" t="b">
        <v>0</v>
      </c>
      <c r="BL279" s="76"/>
      <c r="BM279" s="76" t="s">
        <v>66</v>
      </c>
      <c r="BN279" s="76" t="s">
        <v>19635</v>
      </c>
      <c r="BO279" s="83" t="str">
        <f>HYPERLINK("https://twitter.com/bidubike")</f>
        <v>https://twitter.com/bidubike</v>
      </c>
      <c r="BP279" s="2"/>
    </row>
    <row r="280" spans="1:68" x14ac:dyDescent="0.25">
      <c r="A280" s="62" t="s">
        <v>462</v>
      </c>
      <c r="B280" s="63"/>
      <c r="C280" s="63"/>
      <c r="D280" s="64"/>
      <c r="E280" s="66"/>
      <c r="F280" s="103" t="str">
        <f>HYPERLINK("https://pbs.twimg.com/profile_images/1603570520410185731/SdEVxpE9_normal.jpg")</f>
        <v>https://pbs.twimg.com/profile_images/1603570520410185731/SdEVxpE9_normal.jpg</v>
      </c>
      <c r="G280" s="63"/>
      <c r="H280" s="67"/>
      <c r="I280" s="68"/>
      <c r="J280" s="68"/>
      <c r="K280" s="67" t="s">
        <v>19912</v>
      </c>
      <c r="L280" s="71"/>
      <c r="M280" s="72"/>
      <c r="N280" s="72"/>
      <c r="O280" s="73"/>
      <c r="P280" s="74"/>
      <c r="Q280" s="74"/>
      <c r="R280" s="87"/>
      <c r="S280" s="87"/>
      <c r="T280" s="87"/>
      <c r="U280" s="87"/>
      <c r="V280" s="48"/>
      <c r="W280" s="48"/>
      <c r="X280" s="47">
        <v>1.101E-3</v>
      </c>
      <c r="Y280" s="48"/>
      <c r="Z280" s="47"/>
      <c r="AA280" s="69">
        <v>280</v>
      </c>
      <c r="AB280" s="69"/>
      <c r="AC280" s="70"/>
      <c r="AD280" s="76" t="s">
        <v>16915</v>
      </c>
      <c r="AE280" s="81" t="s">
        <v>17640</v>
      </c>
      <c r="AF280" s="76">
        <v>911094</v>
      </c>
      <c r="AG280" s="76">
        <v>115</v>
      </c>
      <c r="AH280" s="76">
        <v>274056</v>
      </c>
      <c r="AI280" s="76">
        <v>2448</v>
      </c>
      <c r="AJ280" s="76">
        <v>780</v>
      </c>
      <c r="AK280" s="76">
        <v>16617</v>
      </c>
      <c r="AL280" s="76" t="b">
        <v>0</v>
      </c>
      <c r="AM280" s="78">
        <v>39779.467719907407</v>
      </c>
      <c r="AN280" s="76"/>
      <c r="AO280" s="76" t="s">
        <v>18405</v>
      </c>
      <c r="AP280" s="76"/>
      <c r="AQ280" s="76"/>
      <c r="AR280" s="76"/>
      <c r="AS280" s="76"/>
      <c r="AT280" s="76"/>
      <c r="AU280" s="76"/>
      <c r="AV280" s="76"/>
      <c r="AW280" s="76"/>
      <c r="AX280" s="76" t="b">
        <v>1</v>
      </c>
      <c r="AY280" s="76"/>
      <c r="AZ280" s="76"/>
      <c r="BA280" s="76" t="b">
        <v>0</v>
      </c>
      <c r="BB280" s="76" t="b">
        <v>1</v>
      </c>
      <c r="BC280" s="76" t="b">
        <v>0</v>
      </c>
      <c r="BD280" s="76" t="b">
        <v>0</v>
      </c>
      <c r="BE280" s="76" t="b">
        <v>1</v>
      </c>
      <c r="BF280" s="76" t="b">
        <v>0</v>
      </c>
      <c r="BG280" s="76" t="b">
        <v>0</v>
      </c>
      <c r="BH280" s="83" t="str">
        <f>HYPERLINK("https://pbs.twimg.com/profile_banners/17675497/1675194524")</f>
        <v>https://pbs.twimg.com/profile_banners/17675497/1675194524</v>
      </c>
      <c r="BI280" s="76"/>
      <c r="BJ280" s="76" t="s">
        <v>19633</v>
      </c>
      <c r="BK280" s="76" t="b">
        <v>0</v>
      </c>
      <c r="BL280" s="76"/>
      <c r="BM280" s="76" t="s">
        <v>66</v>
      </c>
      <c r="BN280" s="76" t="s">
        <v>19635</v>
      </c>
      <c r="BO280" s="83" t="str">
        <f>HYPERLINK("https://twitter.com/jornalodia")</f>
        <v>https://twitter.com/jornalodia</v>
      </c>
      <c r="BP280" s="2"/>
    </row>
    <row r="281" spans="1:68" x14ac:dyDescent="0.25">
      <c r="A281" s="62" t="s">
        <v>463</v>
      </c>
      <c r="B281" s="63"/>
      <c r="C281" s="63"/>
      <c r="D281" s="64"/>
      <c r="E281" s="66"/>
      <c r="F281" s="103" t="str">
        <f>HYPERLINK("https://pbs.twimg.com/profile_images/1618357365631229952/XowZbCmN_normal.jpg")</f>
        <v>https://pbs.twimg.com/profile_images/1618357365631229952/XowZbCmN_normal.jpg</v>
      </c>
      <c r="G281" s="63"/>
      <c r="H281" s="67"/>
      <c r="I281" s="68"/>
      <c r="J281" s="68"/>
      <c r="K281" s="67" t="s">
        <v>19913</v>
      </c>
      <c r="L281" s="71"/>
      <c r="M281" s="72"/>
      <c r="N281" s="72"/>
      <c r="O281" s="73"/>
      <c r="P281" s="74"/>
      <c r="Q281" s="74"/>
      <c r="R281" s="87"/>
      <c r="S281" s="87"/>
      <c r="T281" s="87"/>
      <c r="U281" s="87"/>
      <c r="V281" s="48"/>
      <c r="W281" s="48"/>
      <c r="X281" s="47">
        <v>1.101E-3</v>
      </c>
      <c r="Y281" s="48"/>
      <c r="Z281" s="47"/>
      <c r="AA281" s="69">
        <v>281</v>
      </c>
      <c r="AB281" s="69"/>
      <c r="AC281" s="70"/>
      <c r="AD281" s="76" t="s">
        <v>16916</v>
      </c>
      <c r="AE281" s="81" t="s">
        <v>16260</v>
      </c>
      <c r="AF281" s="76">
        <v>2</v>
      </c>
      <c r="AG281" s="76">
        <v>13</v>
      </c>
      <c r="AH281" s="76">
        <v>35</v>
      </c>
      <c r="AI281" s="76">
        <v>0</v>
      </c>
      <c r="AJ281" s="76">
        <v>10</v>
      </c>
      <c r="AK281" s="76">
        <v>21</v>
      </c>
      <c r="AL281" s="76" t="b">
        <v>0</v>
      </c>
      <c r="AM281" s="78">
        <v>44951.880636574075</v>
      </c>
      <c r="AN281" s="76"/>
      <c r="AO281" s="76"/>
      <c r="AP281" s="83" t="str">
        <f>HYPERLINK("https://t.co/phNtSCVLe7")</f>
        <v>https://t.co/phNtSCVLe7</v>
      </c>
      <c r="AQ281" s="83" t="str">
        <f>HYPERLINK("https://modelodevida.com/")</f>
        <v>https://modelodevida.com/</v>
      </c>
      <c r="AR281" s="76" t="s">
        <v>6044</v>
      </c>
      <c r="AS281" s="76"/>
      <c r="AT281" s="76"/>
      <c r="AU281" s="76"/>
      <c r="AV281" s="76"/>
      <c r="AW281" s="83" t="str">
        <f>HYPERLINK("https://t.co/phNtSCVLe7")</f>
        <v>https://t.co/phNtSCVLe7</v>
      </c>
      <c r="AX281" s="76" t="b">
        <v>0</v>
      </c>
      <c r="AY281" s="76"/>
      <c r="AZ281" s="76"/>
      <c r="BA281" s="76" t="b">
        <v>0</v>
      </c>
      <c r="BB281" s="76" t="b">
        <v>1</v>
      </c>
      <c r="BC281" s="76" t="b">
        <v>1</v>
      </c>
      <c r="BD281" s="76" t="b">
        <v>0</v>
      </c>
      <c r="BE281" s="76" t="b">
        <v>0</v>
      </c>
      <c r="BF281" s="76" t="b">
        <v>0</v>
      </c>
      <c r="BG281" s="76" t="b">
        <v>0</v>
      </c>
      <c r="BH281" s="83" t="str">
        <f>HYPERLINK("https://pbs.twimg.com/profile_banners/1618354840773459968/1675362581")</f>
        <v>https://pbs.twimg.com/profile_banners/1618354840773459968/1675362581</v>
      </c>
      <c r="BI281" s="76"/>
      <c r="BJ281" s="76" t="s">
        <v>19633</v>
      </c>
      <c r="BK281" s="76" t="b">
        <v>0</v>
      </c>
      <c r="BL281" s="76"/>
      <c r="BM281" s="76" t="s">
        <v>66</v>
      </c>
      <c r="BN281" s="76" t="s">
        <v>19635</v>
      </c>
      <c r="BO281" s="83" t="str">
        <f>HYPERLINK("https://twitter.com/modelodevida_")</f>
        <v>https://twitter.com/modelodevida_</v>
      </c>
      <c r="BP281" s="2"/>
    </row>
    <row r="282" spans="1:68" x14ac:dyDescent="0.25">
      <c r="A282" s="62" t="s">
        <v>464</v>
      </c>
      <c r="B282" s="63"/>
      <c r="C282" s="63"/>
      <c r="D282" s="64"/>
      <c r="E282" s="66"/>
      <c r="F282" s="103" t="str">
        <f>HYPERLINK("https://pbs.twimg.com/profile_images/1554827924070547460/ea0lnqPb_normal.jpg")</f>
        <v>https://pbs.twimg.com/profile_images/1554827924070547460/ea0lnqPb_normal.jpg</v>
      </c>
      <c r="G282" s="63"/>
      <c r="H282" s="67"/>
      <c r="I282" s="68"/>
      <c r="J282" s="68"/>
      <c r="K282" s="67" t="s">
        <v>19914</v>
      </c>
      <c r="L282" s="71"/>
      <c r="M282" s="72"/>
      <c r="N282" s="72"/>
      <c r="O282" s="73"/>
      <c r="P282" s="74"/>
      <c r="Q282" s="74"/>
      <c r="R282" s="87"/>
      <c r="S282" s="87"/>
      <c r="T282" s="87"/>
      <c r="U282" s="87"/>
      <c r="V282" s="48"/>
      <c r="W282" s="48"/>
      <c r="X282" s="47">
        <v>1.101E-3</v>
      </c>
      <c r="Y282" s="48"/>
      <c r="Z282" s="47"/>
      <c r="AA282" s="69">
        <v>282</v>
      </c>
      <c r="AB282" s="69"/>
      <c r="AC282" s="70"/>
      <c r="AD282" s="76" t="s">
        <v>16917</v>
      </c>
      <c r="AE282" s="81" t="s">
        <v>16261</v>
      </c>
      <c r="AF282" s="76">
        <v>2</v>
      </c>
      <c r="AG282" s="76">
        <v>3</v>
      </c>
      <c r="AH282" s="76">
        <v>23</v>
      </c>
      <c r="AI282" s="76">
        <v>0</v>
      </c>
      <c r="AJ282" s="76">
        <v>0</v>
      </c>
      <c r="AK282" s="76">
        <v>23</v>
      </c>
      <c r="AL282" s="76" t="b">
        <v>0</v>
      </c>
      <c r="AM282" s="78">
        <v>44776.578831018516</v>
      </c>
      <c r="AN282" s="76" t="s">
        <v>17864</v>
      </c>
      <c r="AO282" s="76" t="s">
        <v>18406</v>
      </c>
      <c r="AP282" s="83" t="str">
        <f>HYPERLINK("https://t.co/gmrRJcA67m")</f>
        <v>https://t.co/gmrRJcA67m</v>
      </c>
      <c r="AQ282" s="83" t="str">
        <f>HYPERLINK("http://sabidinis.com")</f>
        <v>http://sabidinis.com</v>
      </c>
      <c r="AR282" s="76" t="s">
        <v>19163</v>
      </c>
      <c r="AS282" s="76"/>
      <c r="AT282" s="76"/>
      <c r="AU282" s="76"/>
      <c r="AV282" s="76"/>
      <c r="AW282" s="83" t="str">
        <f>HYPERLINK("https://t.co/gmrRJcA67m")</f>
        <v>https://t.co/gmrRJcA67m</v>
      </c>
      <c r="AX282" s="76" t="b">
        <v>0</v>
      </c>
      <c r="AY282" s="76"/>
      <c r="AZ282" s="76"/>
      <c r="BA282" s="76" t="b">
        <v>0</v>
      </c>
      <c r="BB282" s="76" t="b">
        <v>1</v>
      </c>
      <c r="BC282" s="76" t="b">
        <v>1</v>
      </c>
      <c r="BD282" s="76" t="b">
        <v>0</v>
      </c>
      <c r="BE282" s="76" t="b">
        <v>0</v>
      </c>
      <c r="BF282" s="76" t="b">
        <v>0</v>
      </c>
      <c r="BG282" s="76" t="b">
        <v>0</v>
      </c>
      <c r="BH282" s="76"/>
      <c r="BI282" s="76"/>
      <c r="BJ282" s="76" t="s">
        <v>19633</v>
      </c>
      <c r="BK282" s="76" t="b">
        <v>0</v>
      </c>
      <c r="BL282" s="76"/>
      <c r="BM282" s="76" t="s">
        <v>66</v>
      </c>
      <c r="BN282" s="76" t="s">
        <v>19635</v>
      </c>
      <c r="BO282" s="83" t="str">
        <f>HYPERLINK("https://twitter.com/sabidinis")</f>
        <v>https://twitter.com/sabidinis</v>
      </c>
      <c r="BP282" s="2"/>
    </row>
    <row r="283" spans="1:68" x14ac:dyDescent="0.25">
      <c r="A283" s="62" t="s">
        <v>465</v>
      </c>
      <c r="B283" s="63"/>
      <c r="C283" s="63"/>
      <c r="D283" s="64"/>
      <c r="E283" s="66"/>
      <c r="F283" s="103" t="str">
        <f>HYPERLINK("https://pbs.twimg.com/profile_images/1459337857164877827/kfxGtn6Y_normal.jpg")</f>
        <v>https://pbs.twimg.com/profile_images/1459337857164877827/kfxGtn6Y_normal.jpg</v>
      </c>
      <c r="G283" s="63"/>
      <c r="H283" s="67"/>
      <c r="I283" s="68"/>
      <c r="J283" s="68"/>
      <c r="K283" s="67" t="s">
        <v>19915</v>
      </c>
      <c r="L283" s="71"/>
      <c r="M283" s="72"/>
      <c r="N283" s="72"/>
      <c r="O283" s="73"/>
      <c r="P283" s="74"/>
      <c r="Q283" s="74"/>
      <c r="R283" s="87"/>
      <c r="S283" s="87"/>
      <c r="T283" s="87"/>
      <c r="U283" s="87"/>
      <c r="V283" s="48"/>
      <c r="W283" s="48"/>
      <c r="X283" s="47">
        <v>1.101E-3</v>
      </c>
      <c r="Y283" s="48"/>
      <c r="Z283" s="47"/>
      <c r="AA283" s="69">
        <v>283</v>
      </c>
      <c r="AB283" s="69"/>
      <c r="AC283" s="70"/>
      <c r="AD283" s="76" t="s">
        <v>16918</v>
      </c>
      <c r="AE283" s="81" t="s">
        <v>15714</v>
      </c>
      <c r="AF283" s="76">
        <v>8184</v>
      </c>
      <c r="AG283" s="76">
        <v>73</v>
      </c>
      <c r="AH283" s="76">
        <v>5292</v>
      </c>
      <c r="AI283" s="76">
        <v>127</v>
      </c>
      <c r="AJ283" s="76">
        <v>202</v>
      </c>
      <c r="AK283" s="76">
        <v>978</v>
      </c>
      <c r="AL283" s="76" t="b">
        <v>0</v>
      </c>
      <c r="AM283" s="78">
        <v>40287.511192129627</v>
      </c>
      <c r="AN283" s="76" t="s">
        <v>10552</v>
      </c>
      <c r="AO283" s="76" t="s">
        <v>18407</v>
      </c>
      <c r="AP283" s="83" t="str">
        <f>HYPERLINK("https://t.co/dhKwJLY2Uj")</f>
        <v>https://t.co/dhKwJLY2Uj</v>
      </c>
      <c r="AQ283" s="83" t="str">
        <f>HYPERLINK("http://meubolsoemdia.com.br")</f>
        <v>http://meubolsoemdia.com.br</v>
      </c>
      <c r="AR283" s="76" t="s">
        <v>19164</v>
      </c>
      <c r="AS283" s="76"/>
      <c r="AT283" s="76"/>
      <c r="AU283" s="76"/>
      <c r="AV283" s="76"/>
      <c r="AW283" s="83" t="str">
        <f>HYPERLINK("https://t.co/dhKwJLY2Uj")</f>
        <v>https://t.co/dhKwJLY2Uj</v>
      </c>
      <c r="AX283" s="76" t="b">
        <v>0</v>
      </c>
      <c r="AY283" s="76"/>
      <c r="AZ283" s="76"/>
      <c r="BA283" s="76" t="b">
        <v>1</v>
      </c>
      <c r="BB283" s="76" t="b">
        <v>1</v>
      </c>
      <c r="BC283" s="76" t="b">
        <v>0</v>
      </c>
      <c r="BD283" s="76" t="b">
        <v>0</v>
      </c>
      <c r="BE283" s="76" t="b">
        <v>0</v>
      </c>
      <c r="BF283" s="76" t="b">
        <v>0</v>
      </c>
      <c r="BG283" s="76" t="b">
        <v>0</v>
      </c>
      <c r="BH283" s="83" t="str">
        <f>HYPERLINK("https://pbs.twimg.com/profile_banners/134777384/1649697024")</f>
        <v>https://pbs.twimg.com/profile_banners/134777384/1649697024</v>
      </c>
      <c r="BI283" s="76"/>
      <c r="BJ283" s="76" t="s">
        <v>19633</v>
      </c>
      <c r="BK283" s="76" t="b">
        <v>0</v>
      </c>
      <c r="BL283" s="76"/>
      <c r="BM283" s="76" t="s">
        <v>66</v>
      </c>
      <c r="BN283" s="76" t="s">
        <v>19635</v>
      </c>
      <c r="BO283" s="83" t="str">
        <f>HYPERLINK("https://twitter.com/meubolsoemdia")</f>
        <v>https://twitter.com/meubolsoemdia</v>
      </c>
      <c r="BP283" s="2"/>
    </row>
    <row r="284" spans="1:68" x14ac:dyDescent="0.25">
      <c r="A284" s="62" t="s">
        <v>466</v>
      </c>
      <c r="B284" s="63"/>
      <c r="C284" s="63"/>
      <c r="D284" s="64"/>
      <c r="E284" s="66"/>
      <c r="F284" s="103" t="str">
        <f>HYPERLINK("https://pbs.twimg.com/profile_images/1584142921179201536/uM4qS45U_normal.jpg")</f>
        <v>https://pbs.twimg.com/profile_images/1584142921179201536/uM4qS45U_normal.jpg</v>
      </c>
      <c r="G284" s="63"/>
      <c r="H284" s="67"/>
      <c r="I284" s="68"/>
      <c r="J284" s="68"/>
      <c r="K284" s="67" t="s">
        <v>19916</v>
      </c>
      <c r="L284" s="71"/>
      <c r="M284" s="72"/>
      <c r="N284" s="72"/>
      <c r="O284" s="73"/>
      <c r="P284" s="74"/>
      <c r="Q284" s="74"/>
      <c r="R284" s="87"/>
      <c r="S284" s="87"/>
      <c r="T284" s="87"/>
      <c r="U284" s="87"/>
      <c r="V284" s="48"/>
      <c r="W284" s="48"/>
      <c r="X284" s="47">
        <v>1.101E-3</v>
      </c>
      <c r="Y284" s="48"/>
      <c r="Z284" s="47"/>
      <c r="AA284" s="69">
        <v>284</v>
      </c>
      <c r="AB284" s="69"/>
      <c r="AC284" s="70"/>
      <c r="AD284" s="76" t="s">
        <v>16919</v>
      </c>
      <c r="AE284" s="81" t="s">
        <v>17641</v>
      </c>
      <c r="AF284" s="76">
        <v>103</v>
      </c>
      <c r="AG284" s="76">
        <v>513</v>
      </c>
      <c r="AH284" s="76">
        <v>1180</v>
      </c>
      <c r="AI284" s="76">
        <v>6</v>
      </c>
      <c r="AJ284" s="76">
        <v>961</v>
      </c>
      <c r="AK284" s="76">
        <v>309</v>
      </c>
      <c r="AL284" s="76" t="b">
        <v>0</v>
      </c>
      <c r="AM284" s="78">
        <v>39994.428240740737</v>
      </c>
      <c r="AN284" s="76" t="s">
        <v>17966</v>
      </c>
      <c r="AO284" s="76" t="s">
        <v>18408</v>
      </c>
      <c r="AP284" s="76"/>
      <c r="AQ284" s="76"/>
      <c r="AR284" s="76"/>
      <c r="AS284" s="76"/>
      <c r="AT284" s="76"/>
      <c r="AU284" s="76"/>
      <c r="AV284" s="76"/>
      <c r="AW284" s="76"/>
      <c r="AX284" s="76" t="b">
        <v>1</v>
      </c>
      <c r="AY284" s="76"/>
      <c r="AZ284" s="76"/>
      <c r="BA284" s="76" t="b">
        <v>0</v>
      </c>
      <c r="BB284" s="76" t="b">
        <v>0</v>
      </c>
      <c r="BC284" s="76" t="b">
        <v>0</v>
      </c>
      <c r="BD284" s="76" t="b">
        <v>0</v>
      </c>
      <c r="BE284" s="76" t="b">
        <v>0</v>
      </c>
      <c r="BF284" s="76" t="b">
        <v>0</v>
      </c>
      <c r="BG284" s="76" t="b">
        <v>0</v>
      </c>
      <c r="BH284" s="83" t="str">
        <f>HYPERLINK("https://pbs.twimg.com/profile_banners/52359184/1680442151")</f>
        <v>https://pbs.twimg.com/profile_banners/52359184/1680442151</v>
      </c>
      <c r="BI284" s="76"/>
      <c r="BJ284" s="76" t="s">
        <v>19633</v>
      </c>
      <c r="BK284" s="76" t="b">
        <v>0</v>
      </c>
      <c r="BL284" s="76"/>
      <c r="BM284" s="76" t="s">
        <v>66</v>
      </c>
      <c r="BN284" s="76" t="s">
        <v>19635</v>
      </c>
      <c r="BO284" s="83" t="str">
        <f>HYPERLINK("https://twitter.com/cryptonita_ta")</f>
        <v>https://twitter.com/cryptonita_ta</v>
      </c>
      <c r="BP284" s="2"/>
    </row>
    <row r="285" spans="1:68" x14ac:dyDescent="0.25">
      <c r="A285" s="62" t="s">
        <v>467</v>
      </c>
      <c r="B285" s="63"/>
      <c r="C285" s="63"/>
      <c r="D285" s="64"/>
      <c r="E285" s="66"/>
      <c r="F285" s="103" t="str">
        <f>HYPERLINK("https://pbs.twimg.com/profile_images/1263476236581507073/GQusJtvX_normal.jpg")</f>
        <v>https://pbs.twimg.com/profile_images/1263476236581507073/GQusJtvX_normal.jpg</v>
      </c>
      <c r="G285" s="63"/>
      <c r="H285" s="67"/>
      <c r="I285" s="68"/>
      <c r="J285" s="68"/>
      <c r="K285" s="67" t="s">
        <v>19917</v>
      </c>
      <c r="L285" s="71"/>
      <c r="M285" s="72"/>
      <c r="N285" s="72"/>
      <c r="O285" s="73"/>
      <c r="P285" s="74"/>
      <c r="Q285" s="74"/>
      <c r="R285" s="87"/>
      <c r="S285" s="87"/>
      <c r="T285" s="87"/>
      <c r="U285" s="87"/>
      <c r="V285" s="48"/>
      <c r="W285" s="48"/>
      <c r="X285" s="47">
        <v>9.6500000000000004E-4</v>
      </c>
      <c r="Y285" s="48"/>
      <c r="Z285" s="47"/>
      <c r="AA285" s="69">
        <v>285</v>
      </c>
      <c r="AB285" s="69"/>
      <c r="AC285" s="70"/>
      <c r="AD285" s="76" t="s">
        <v>16920</v>
      </c>
      <c r="AE285" s="81" t="s">
        <v>17642</v>
      </c>
      <c r="AF285" s="76">
        <v>205</v>
      </c>
      <c r="AG285" s="76">
        <v>93</v>
      </c>
      <c r="AH285" s="76">
        <v>2112</v>
      </c>
      <c r="AI285" s="76">
        <v>1</v>
      </c>
      <c r="AJ285" s="76">
        <v>123</v>
      </c>
      <c r="AK285" s="76">
        <v>1154</v>
      </c>
      <c r="AL285" s="76" t="b">
        <v>0</v>
      </c>
      <c r="AM285" s="78">
        <v>42070.587025462963</v>
      </c>
      <c r="AN285" s="76" t="s">
        <v>10570</v>
      </c>
      <c r="AO285" s="76" t="s">
        <v>18409</v>
      </c>
      <c r="AP285" s="83" t="str">
        <f>HYPERLINK("https://t.co/zYZDkRKiW0")</f>
        <v>https://t.co/zYZDkRKiW0</v>
      </c>
      <c r="AQ285" s="83" t="str">
        <f>HYPERLINK("https://flyvagner.com.br")</f>
        <v>https://flyvagner.com.br</v>
      </c>
      <c r="AR285" s="76" t="s">
        <v>19165</v>
      </c>
      <c r="AS285" s="76"/>
      <c r="AT285" s="76"/>
      <c r="AU285" s="76"/>
      <c r="AV285" s="76">
        <v>1.60090005641182E+18</v>
      </c>
      <c r="AW285" s="83" t="str">
        <f>HYPERLINK("https://t.co/zYZDkRKiW0")</f>
        <v>https://t.co/zYZDkRKiW0</v>
      </c>
      <c r="AX285" s="76" t="b">
        <v>0</v>
      </c>
      <c r="AY285" s="76"/>
      <c r="AZ285" s="76"/>
      <c r="BA285" s="76" t="b">
        <v>1</v>
      </c>
      <c r="BB285" s="76" t="b">
        <v>1</v>
      </c>
      <c r="BC285" s="76" t="b">
        <v>0</v>
      </c>
      <c r="BD285" s="76" t="b">
        <v>0</v>
      </c>
      <c r="BE285" s="76" t="b">
        <v>0</v>
      </c>
      <c r="BF285" s="76" t="b">
        <v>0</v>
      </c>
      <c r="BG285" s="76" t="b">
        <v>0</v>
      </c>
      <c r="BH285" s="83" t="str">
        <f>HYPERLINK("https://pbs.twimg.com/profile_banners/3077289071/1613414461")</f>
        <v>https://pbs.twimg.com/profile_banners/3077289071/1613414461</v>
      </c>
      <c r="BI285" s="76"/>
      <c r="BJ285" s="76" t="s">
        <v>19633</v>
      </c>
      <c r="BK285" s="76" t="b">
        <v>0</v>
      </c>
      <c r="BL285" s="76"/>
      <c r="BM285" s="76" t="s">
        <v>66</v>
      </c>
      <c r="BN285" s="76" t="s">
        <v>19635</v>
      </c>
      <c r="BO285" s="83" t="str">
        <f>HYPERLINK("https://twitter.com/flyvagner")</f>
        <v>https://twitter.com/flyvagner</v>
      </c>
      <c r="BP285" s="2"/>
    </row>
    <row r="286" spans="1:68" x14ac:dyDescent="0.25">
      <c r="A286" s="62" t="s">
        <v>468</v>
      </c>
      <c r="B286" s="63"/>
      <c r="C286" s="63"/>
      <c r="D286" s="64"/>
      <c r="E286" s="66"/>
      <c r="F286" s="103" t="str">
        <f>HYPERLINK("https://pbs.twimg.com/profile_images/1619219334534172672/TGKfK3S-_normal.jpg")</f>
        <v>https://pbs.twimg.com/profile_images/1619219334534172672/TGKfK3S-_normal.jpg</v>
      </c>
      <c r="G286" s="63"/>
      <c r="H286" s="67"/>
      <c r="I286" s="68"/>
      <c r="J286" s="68"/>
      <c r="K286" s="67" t="s">
        <v>19918</v>
      </c>
      <c r="L286" s="71"/>
      <c r="M286" s="72"/>
      <c r="N286" s="72"/>
      <c r="O286" s="73"/>
      <c r="P286" s="74"/>
      <c r="Q286" s="74"/>
      <c r="R286" s="87"/>
      <c r="S286" s="87"/>
      <c r="T286" s="87"/>
      <c r="U286" s="87"/>
      <c r="V286" s="48"/>
      <c r="W286" s="48"/>
      <c r="X286" s="47">
        <v>1.4350000000000001E-3</v>
      </c>
      <c r="Y286" s="48"/>
      <c r="Z286" s="47"/>
      <c r="AA286" s="69">
        <v>286</v>
      </c>
      <c r="AB286" s="69"/>
      <c r="AC286" s="70"/>
      <c r="AD286" s="76" t="s">
        <v>16921</v>
      </c>
      <c r="AE286" s="81" t="s">
        <v>15715</v>
      </c>
      <c r="AF286" s="76">
        <v>6480</v>
      </c>
      <c r="AG286" s="76">
        <v>172</v>
      </c>
      <c r="AH286" s="76">
        <v>2751</v>
      </c>
      <c r="AI286" s="76">
        <v>30</v>
      </c>
      <c r="AJ286" s="76">
        <v>2633</v>
      </c>
      <c r="AK286" s="76">
        <v>935</v>
      </c>
      <c r="AL286" s="76" t="b">
        <v>0</v>
      </c>
      <c r="AM286" s="78">
        <v>43393.592870370368</v>
      </c>
      <c r="AN286" s="76" t="s">
        <v>10552</v>
      </c>
      <c r="AO286" s="76" t="s">
        <v>18410</v>
      </c>
      <c r="AP286" s="83" t="str">
        <f>HYPERLINK("https://t.co/jhIAI6g1ye")</f>
        <v>https://t.co/jhIAI6g1ye</v>
      </c>
      <c r="AQ286" s="83" t="str">
        <f>HYPERLINK("http://allmylinks.com/tapadamaoinvisivel")</f>
        <v>http://allmylinks.com/tapadamaoinvisivel</v>
      </c>
      <c r="AR286" s="76" t="s">
        <v>19166</v>
      </c>
      <c r="AS286" s="76"/>
      <c r="AT286" s="76"/>
      <c r="AU286" s="76"/>
      <c r="AV286" s="76">
        <v>1.6796001869122801E+18</v>
      </c>
      <c r="AW286" s="83" t="str">
        <f>HYPERLINK("https://t.co/jhIAI6g1ye")</f>
        <v>https://t.co/jhIAI6g1ye</v>
      </c>
      <c r="AX286" s="76" t="b">
        <v>1</v>
      </c>
      <c r="AY286" s="76"/>
      <c r="AZ286" s="76"/>
      <c r="BA286" s="76" t="b">
        <v>1</v>
      </c>
      <c r="BB286" s="76" t="b">
        <v>1</v>
      </c>
      <c r="BC286" s="76" t="b">
        <v>0</v>
      </c>
      <c r="BD286" s="76" t="b">
        <v>0</v>
      </c>
      <c r="BE286" s="76" t="b">
        <v>1</v>
      </c>
      <c r="BF286" s="76" t="b">
        <v>0</v>
      </c>
      <c r="BG286" s="76" t="b">
        <v>0</v>
      </c>
      <c r="BH286" s="83" t="str">
        <f>HYPERLINK("https://pbs.twimg.com/profile_banners/1053650476129021952/1674886948")</f>
        <v>https://pbs.twimg.com/profile_banners/1053650476129021952/1674886948</v>
      </c>
      <c r="BI286" s="76"/>
      <c r="BJ286" s="76" t="s">
        <v>19633</v>
      </c>
      <c r="BK286" s="76" t="b">
        <v>0</v>
      </c>
      <c r="BL286" s="76"/>
      <c r="BM286" s="76" t="s">
        <v>66</v>
      </c>
      <c r="BN286" s="76" t="s">
        <v>19635</v>
      </c>
      <c r="BO286" s="83" t="str">
        <f>HYPERLINK("https://twitter.com/tdmaoinvisivel")</f>
        <v>https://twitter.com/tdmaoinvisivel</v>
      </c>
      <c r="BP286" s="2"/>
    </row>
    <row r="287" spans="1:68" x14ac:dyDescent="0.25">
      <c r="A287" s="62" t="s">
        <v>1075</v>
      </c>
      <c r="B287" s="63"/>
      <c r="C287" s="63"/>
      <c r="D287" s="64"/>
      <c r="E287" s="66"/>
      <c r="F287" s="103" t="str">
        <f>HYPERLINK("https://pbs.twimg.com/profile_images/1681702977587892224/qAfYM-oD_normal.jpg")</f>
        <v>https://pbs.twimg.com/profile_images/1681702977587892224/qAfYM-oD_normal.jpg</v>
      </c>
      <c r="G287" s="63"/>
      <c r="H287" s="67"/>
      <c r="I287" s="68"/>
      <c r="J287" s="68"/>
      <c r="K287" s="67" t="s">
        <v>19919</v>
      </c>
      <c r="L287" s="71"/>
      <c r="M287" s="72"/>
      <c r="N287" s="72"/>
      <c r="O287" s="73"/>
      <c r="P287" s="74"/>
      <c r="Q287" s="74"/>
      <c r="R287" s="87"/>
      <c r="S287" s="87"/>
      <c r="T287" s="87"/>
      <c r="U287" s="87"/>
      <c r="V287" s="48"/>
      <c r="W287" s="48"/>
      <c r="X287" s="47">
        <v>9.8999999999999999E-4</v>
      </c>
      <c r="Y287" s="48"/>
      <c r="Z287" s="47"/>
      <c r="AA287" s="69">
        <v>287</v>
      </c>
      <c r="AB287" s="69"/>
      <c r="AC287" s="70"/>
      <c r="AD287" s="76" t="s">
        <v>16922</v>
      </c>
      <c r="AE287" s="81" t="s">
        <v>17643</v>
      </c>
      <c r="AF287" s="76">
        <v>224120</v>
      </c>
      <c r="AG287" s="76">
        <v>3393</v>
      </c>
      <c r="AH287" s="76">
        <v>45566</v>
      </c>
      <c r="AI287" s="76">
        <v>2359</v>
      </c>
      <c r="AJ287" s="76">
        <v>17844</v>
      </c>
      <c r="AK287" s="76">
        <v>6647</v>
      </c>
      <c r="AL287" s="76" t="b">
        <v>0</v>
      </c>
      <c r="AM287" s="78">
        <v>41720.083379629628</v>
      </c>
      <c r="AN287" s="76" t="s">
        <v>17967</v>
      </c>
      <c r="AO287" s="76" t="s">
        <v>18411</v>
      </c>
      <c r="AP287" s="83" t="str">
        <f>HYPERLINK("https://t.co/UZVyA5zZNa")</f>
        <v>https://t.co/UZVyA5zZNa</v>
      </c>
      <c r="AQ287" s="83" t="str">
        <f>HYPERLINK("https://suno.me/3P1EsSi")</f>
        <v>https://suno.me/3P1EsSi</v>
      </c>
      <c r="AR287" s="76" t="s">
        <v>19167</v>
      </c>
      <c r="AS287" s="76"/>
      <c r="AT287" s="76"/>
      <c r="AU287" s="76"/>
      <c r="AV287" s="76">
        <v>1.7012625286243999E+18</v>
      </c>
      <c r="AW287" s="83" t="str">
        <f>HYPERLINK("https://t.co/UZVyA5zZNa")</f>
        <v>https://t.co/UZVyA5zZNa</v>
      </c>
      <c r="AX287" s="76" t="b">
        <v>1</v>
      </c>
      <c r="AY287" s="76"/>
      <c r="AZ287" s="76"/>
      <c r="BA287" s="76" t="b">
        <v>1</v>
      </c>
      <c r="BB287" s="76" t="b">
        <v>0</v>
      </c>
      <c r="BC287" s="76" t="b">
        <v>1</v>
      </c>
      <c r="BD287" s="76" t="b">
        <v>0</v>
      </c>
      <c r="BE287" s="76" t="b">
        <v>1</v>
      </c>
      <c r="BF287" s="76" t="b">
        <v>0</v>
      </c>
      <c r="BG287" s="76" t="b">
        <v>0</v>
      </c>
      <c r="BH287" s="83" t="str">
        <f>HYPERLINK("https://pbs.twimg.com/profile_banners/2428055045/1694261980")</f>
        <v>https://pbs.twimg.com/profile_banners/2428055045/1694261980</v>
      </c>
      <c r="BI287" s="76"/>
      <c r="BJ287" s="76" t="s">
        <v>19633</v>
      </c>
      <c r="BK287" s="76" t="b">
        <v>0</v>
      </c>
      <c r="BL287" s="76"/>
      <c r="BM287" s="76" t="s">
        <v>65</v>
      </c>
      <c r="BN287" s="76" t="s">
        <v>19635</v>
      </c>
      <c r="BO287" s="83" t="str">
        <f>HYPERLINK("https://twitter.com/tiagogreis")</f>
        <v>https://twitter.com/tiagogreis</v>
      </c>
      <c r="BP287" s="2"/>
    </row>
    <row r="288" spans="1:68" x14ac:dyDescent="0.25">
      <c r="A288" s="62" t="s">
        <v>1076</v>
      </c>
      <c r="B288" s="63"/>
      <c r="C288" s="63"/>
      <c r="D288" s="64"/>
      <c r="E288" s="66"/>
      <c r="F288" s="103" t="str">
        <f>HYPERLINK("https://pbs.twimg.com/profile_images/1582467096331501568/TA06rLOk_normal.jpg")</f>
        <v>https://pbs.twimg.com/profile_images/1582467096331501568/TA06rLOk_normal.jpg</v>
      </c>
      <c r="G288" s="63"/>
      <c r="H288" s="67"/>
      <c r="I288" s="68"/>
      <c r="J288" s="68"/>
      <c r="K288" s="67" t="s">
        <v>19920</v>
      </c>
      <c r="L288" s="71"/>
      <c r="M288" s="72"/>
      <c r="N288" s="72"/>
      <c r="O288" s="73"/>
      <c r="P288" s="74"/>
      <c r="Q288" s="74"/>
      <c r="R288" s="87"/>
      <c r="S288" s="87"/>
      <c r="T288" s="87"/>
      <c r="U288" s="87"/>
      <c r="V288" s="48"/>
      <c r="W288" s="48"/>
      <c r="X288" s="47">
        <v>9.8999999999999999E-4</v>
      </c>
      <c r="Y288" s="48"/>
      <c r="Z288" s="47"/>
      <c r="AA288" s="69">
        <v>288</v>
      </c>
      <c r="AB288" s="69"/>
      <c r="AC288" s="70"/>
      <c r="AD288" s="76" t="s">
        <v>16923</v>
      </c>
      <c r="AE288" s="81" t="s">
        <v>17644</v>
      </c>
      <c r="AF288" s="76">
        <v>198675</v>
      </c>
      <c r="AG288" s="76">
        <v>2053</v>
      </c>
      <c r="AH288" s="76">
        <v>8154</v>
      </c>
      <c r="AI288" s="76">
        <v>3644</v>
      </c>
      <c r="AJ288" s="76">
        <v>9649</v>
      </c>
      <c r="AK288" s="76">
        <v>2154</v>
      </c>
      <c r="AL288" s="76" t="b">
        <v>0</v>
      </c>
      <c r="AM288" s="78">
        <v>41813.607847222222</v>
      </c>
      <c r="AN288" s="76" t="s">
        <v>17968</v>
      </c>
      <c r="AO288" s="76" t="s">
        <v>18412</v>
      </c>
      <c r="AP288" s="83" t="str">
        <f>HYPERLINK("https://t.co/6THUqX0Kky")</f>
        <v>https://t.co/6THUqX0Kky</v>
      </c>
      <c r="AQ288" s="83" t="str">
        <f>HYPERLINK("http://crescat.net/disclosures")</f>
        <v>http://crescat.net/disclosures</v>
      </c>
      <c r="AR288" s="76" t="s">
        <v>19168</v>
      </c>
      <c r="AS288" s="83" t="str">
        <f>HYPERLINK("https://t.co/YApL3RgjR8")</f>
        <v>https://t.co/YApL3RgjR8</v>
      </c>
      <c r="AT288" s="83" t="str">
        <f>HYPERLINK("http://instagram.com/tavicostamacro")</f>
        <v>http://instagram.com/tavicostamacro</v>
      </c>
      <c r="AU288" s="76" t="s">
        <v>19596</v>
      </c>
      <c r="AV288" s="76">
        <v>1.6632609599333499E+18</v>
      </c>
      <c r="AW288" s="83" t="str">
        <f>HYPERLINK("https://t.co/6THUqX0Kky")</f>
        <v>https://t.co/6THUqX0Kky</v>
      </c>
      <c r="AX288" s="76" t="b">
        <v>1</v>
      </c>
      <c r="AY288" s="76"/>
      <c r="AZ288" s="76"/>
      <c r="BA288" s="76" t="b">
        <v>1</v>
      </c>
      <c r="BB288" s="76" t="b">
        <v>1</v>
      </c>
      <c r="BC288" s="76" t="b">
        <v>0</v>
      </c>
      <c r="BD288" s="76" t="b">
        <v>0</v>
      </c>
      <c r="BE288" s="76" t="b">
        <v>1</v>
      </c>
      <c r="BF288" s="76" t="b">
        <v>0</v>
      </c>
      <c r="BG288" s="76" t="b">
        <v>0</v>
      </c>
      <c r="BH288" s="83" t="str">
        <f>HYPERLINK("https://pbs.twimg.com/profile_banners/2584103654/1540587349")</f>
        <v>https://pbs.twimg.com/profile_banners/2584103654/1540587349</v>
      </c>
      <c r="BI288" s="76"/>
      <c r="BJ288" s="76" t="s">
        <v>19633</v>
      </c>
      <c r="BK288" s="76" t="b">
        <v>0</v>
      </c>
      <c r="BL288" s="76"/>
      <c r="BM288" s="76" t="s">
        <v>65</v>
      </c>
      <c r="BN288" s="76" t="s">
        <v>19635</v>
      </c>
      <c r="BO288" s="83" t="str">
        <f>HYPERLINK("https://twitter.com/tavicosta")</f>
        <v>https://twitter.com/tavicosta</v>
      </c>
      <c r="BP288" s="2"/>
    </row>
    <row r="289" spans="1:68" x14ac:dyDescent="0.25">
      <c r="A289" s="62" t="s">
        <v>1077</v>
      </c>
      <c r="B289" s="63"/>
      <c r="C289" s="63"/>
      <c r="D289" s="64"/>
      <c r="E289" s="66"/>
      <c r="F289" s="103" t="str">
        <f>HYPERLINK("https://pbs.twimg.com/profile_images/576479558276292608/C1C01eWA_normal.png")</f>
        <v>https://pbs.twimg.com/profile_images/576479558276292608/C1C01eWA_normal.png</v>
      </c>
      <c r="G289" s="63"/>
      <c r="H289" s="67"/>
      <c r="I289" s="68"/>
      <c r="J289" s="68"/>
      <c r="K289" s="67" t="s">
        <v>19921</v>
      </c>
      <c r="L289" s="71"/>
      <c r="M289" s="72"/>
      <c r="N289" s="72"/>
      <c r="O289" s="73"/>
      <c r="P289" s="74"/>
      <c r="Q289" s="74"/>
      <c r="R289" s="87"/>
      <c r="S289" s="87"/>
      <c r="T289" s="87"/>
      <c r="U289" s="87"/>
      <c r="V289" s="48"/>
      <c r="W289" s="48"/>
      <c r="X289" s="47">
        <v>9.8999999999999999E-4</v>
      </c>
      <c r="Y289" s="48"/>
      <c r="Z289" s="47"/>
      <c r="AA289" s="69">
        <v>289</v>
      </c>
      <c r="AB289" s="69"/>
      <c r="AC289" s="70"/>
      <c r="AD289" s="76" t="s">
        <v>16924</v>
      </c>
      <c r="AE289" s="81" t="s">
        <v>17645</v>
      </c>
      <c r="AF289" s="76">
        <v>17172</v>
      </c>
      <c r="AG289" s="76">
        <v>497</v>
      </c>
      <c r="AH289" s="76">
        <v>5450</v>
      </c>
      <c r="AI289" s="76">
        <v>314</v>
      </c>
      <c r="AJ289" s="76">
        <v>3130</v>
      </c>
      <c r="AK289" s="76">
        <v>2021</v>
      </c>
      <c r="AL289" s="76" t="b">
        <v>0</v>
      </c>
      <c r="AM289" s="78">
        <v>42069.023020833331</v>
      </c>
      <c r="AN289" s="76" t="s">
        <v>17968</v>
      </c>
      <c r="AO289" s="76" t="s">
        <v>18413</v>
      </c>
      <c r="AP289" s="83" t="str">
        <f>HYPERLINK("https://t.co/OHkaUGpoog")</f>
        <v>https://t.co/OHkaUGpoog</v>
      </c>
      <c r="AQ289" s="83" t="str">
        <f>HYPERLINK("http://www.crescat.net")</f>
        <v>http://www.crescat.net</v>
      </c>
      <c r="AR289" s="76" t="s">
        <v>19169</v>
      </c>
      <c r="AS289" s="83" t="str">
        <f>HYPERLINK("https://t.co/kw7etanXt4")</f>
        <v>https://t.co/kw7etanXt4</v>
      </c>
      <c r="AT289" s="83" t="str">
        <f>HYPERLINK("http://crescat.net/disclosures")</f>
        <v>http://crescat.net/disclosures</v>
      </c>
      <c r="AU289" s="76" t="s">
        <v>19168</v>
      </c>
      <c r="AV289" s="76">
        <v>1.68605695840562E+18</v>
      </c>
      <c r="AW289" s="83" t="str">
        <f>HYPERLINK("https://t.co/OHkaUGpoog")</f>
        <v>https://t.co/OHkaUGpoog</v>
      </c>
      <c r="AX289" s="76" t="b">
        <v>1</v>
      </c>
      <c r="AY289" s="76"/>
      <c r="AZ289" s="76"/>
      <c r="BA289" s="76" t="b">
        <v>1</v>
      </c>
      <c r="BB289" s="76" t="b">
        <v>1</v>
      </c>
      <c r="BC289" s="76" t="b">
        <v>0</v>
      </c>
      <c r="BD289" s="76" t="b">
        <v>0</v>
      </c>
      <c r="BE289" s="76" t="b">
        <v>1</v>
      </c>
      <c r="BF289" s="76" t="b">
        <v>0</v>
      </c>
      <c r="BG289" s="76" t="b">
        <v>0</v>
      </c>
      <c r="BH289" s="83" t="str">
        <f>HYPERLINK("https://pbs.twimg.com/profile_banners/3063743186/1614624546")</f>
        <v>https://pbs.twimg.com/profile_banners/3063743186/1614624546</v>
      </c>
      <c r="BI289" s="76"/>
      <c r="BJ289" s="76" t="s">
        <v>19633</v>
      </c>
      <c r="BK289" s="76" t="b">
        <v>0</v>
      </c>
      <c r="BL289" s="76"/>
      <c r="BM289" s="76" t="s">
        <v>65</v>
      </c>
      <c r="BN289" s="76" t="s">
        <v>19635</v>
      </c>
      <c r="BO289" s="83" t="str">
        <f>HYPERLINK("https://twitter.com/crescat_capital")</f>
        <v>https://twitter.com/crescat_capital</v>
      </c>
      <c r="BP289" s="2"/>
    </row>
    <row r="290" spans="1:68" x14ac:dyDescent="0.25">
      <c r="A290" s="62" t="s">
        <v>469</v>
      </c>
      <c r="B290" s="63"/>
      <c r="C290" s="63"/>
      <c r="D290" s="64"/>
      <c r="E290" s="66"/>
      <c r="F290" s="103" t="str">
        <f>HYPERLINK("https://pbs.twimg.com/profile_images/1627801468081258497/RWr4RAif_normal.png")</f>
        <v>https://pbs.twimg.com/profile_images/1627801468081258497/RWr4RAif_normal.png</v>
      </c>
      <c r="G290" s="63"/>
      <c r="H290" s="67"/>
      <c r="I290" s="68"/>
      <c r="J290" s="68"/>
      <c r="K290" s="67" t="s">
        <v>19922</v>
      </c>
      <c r="L290" s="71"/>
      <c r="M290" s="72"/>
      <c r="N290" s="72"/>
      <c r="O290" s="73"/>
      <c r="P290" s="74"/>
      <c r="Q290" s="74"/>
      <c r="R290" s="87"/>
      <c r="S290" s="87"/>
      <c r="T290" s="87"/>
      <c r="U290" s="87"/>
      <c r="V290" s="48"/>
      <c r="W290" s="48"/>
      <c r="X290" s="47">
        <v>1.101E-3</v>
      </c>
      <c r="Y290" s="48"/>
      <c r="Z290" s="47"/>
      <c r="AA290" s="69">
        <v>290</v>
      </c>
      <c r="AB290" s="69"/>
      <c r="AC290" s="70"/>
      <c r="AD290" s="76" t="s">
        <v>16925</v>
      </c>
      <c r="AE290" s="81" t="s">
        <v>16262</v>
      </c>
      <c r="AF290" s="76">
        <v>2</v>
      </c>
      <c r="AG290" s="76">
        <v>19</v>
      </c>
      <c r="AH290" s="76">
        <v>91</v>
      </c>
      <c r="AI290" s="76">
        <v>0</v>
      </c>
      <c r="AJ290" s="76">
        <v>0</v>
      </c>
      <c r="AK290" s="76">
        <v>24</v>
      </c>
      <c r="AL290" s="76" t="b">
        <v>0</v>
      </c>
      <c r="AM290" s="78">
        <v>44977.947766203702</v>
      </c>
      <c r="AN290" s="76" t="s">
        <v>10552</v>
      </c>
      <c r="AO290" s="76" t="s">
        <v>18414</v>
      </c>
      <c r="AP290" s="83" t="str">
        <f>HYPERLINK("https://t.co/heLEFIX215")</f>
        <v>https://t.co/heLEFIX215</v>
      </c>
      <c r="AQ290" s="83" t="str">
        <f>HYPERLINK("https://jornaldigital360.com.br/")</f>
        <v>https://jornaldigital360.com.br/</v>
      </c>
      <c r="AR290" s="76" t="s">
        <v>19170</v>
      </c>
      <c r="AS290" s="76"/>
      <c r="AT290" s="76"/>
      <c r="AU290" s="76"/>
      <c r="AV290" s="76"/>
      <c r="AW290" s="83" t="str">
        <f>HYPERLINK("https://t.co/heLEFIX215")</f>
        <v>https://t.co/heLEFIX215</v>
      </c>
      <c r="AX290" s="76" t="b">
        <v>0</v>
      </c>
      <c r="AY290" s="76"/>
      <c r="AZ290" s="76"/>
      <c r="BA290" s="76" t="b">
        <v>0</v>
      </c>
      <c r="BB290" s="76" t="b">
        <v>1</v>
      </c>
      <c r="BC290" s="76" t="b">
        <v>1</v>
      </c>
      <c r="BD290" s="76" t="b">
        <v>0</v>
      </c>
      <c r="BE290" s="76" t="b">
        <v>0</v>
      </c>
      <c r="BF290" s="76" t="b">
        <v>0</v>
      </c>
      <c r="BG290" s="76" t="b">
        <v>0</v>
      </c>
      <c r="BH290" s="83" t="str">
        <f>HYPERLINK("https://pbs.twimg.com/profile_banners/1627801313814749192/1677200612")</f>
        <v>https://pbs.twimg.com/profile_banners/1627801313814749192/1677200612</v>
      </c>
      <c r="BI290" s="76"/>
      <c r="BJ290" s="76" t="s">
        <v>19633</v>
      </c>
      <c r="BK290" s="76" t="b">
        <v>0</v>
      </c>
      <c r="BL290" s="76"/>
      <c r="BM290" s="76" t="s">
        <v>66</v>
      </c>
      <c r="BN290" s="76" t="s">
        <v>19635</v>
      </c>
      <c r="BO290" s="83" t="str">
        <f>HYPERLINK("https://twitter.com/newsdigital360")</f>
        <v>https://twitter.com/newsdigital360</v>
      </c>
      <c r="BP290" s="2"/>
    </row>
    <row r="291" spans="1:68" x14ac:dyDescent="0.25">
      <c r="A291" s="62" t="s">
        <v>470</v>
      </c>
      <c r="B291" s="63"/>
      <c r="C291" s="63"/>
      <c r="D291" s="64"/>
      <c r="E291" s="66"/>
      <c r="F291" s="103" t="str">
        <f>HYPERLINK("https://pbs.twimg.com/profile_images/1688214920825868288/4w6oKlod_normal.jpg")</f>
        <v>https://pbs.twimg.com/profile_images/1688214920825868288/4w6oKlod_normal.jpg</v>
      </c>
      <c r="G291" s="63"/>
      <c r="H291" s="67"/>
      <c r="I291" s="68"/>
      <c r="J291" s="68"/>
      <c r="K291" s="67" t="s">
        <v>19923</v>
      </c>
      <c r="L291" s="71"/>
      <c r="M291" s="72"/>
      <c r="N291" s="72"/>
      <c r="O291" s="73"/>
      <c r="P291" s="74"/>
      <c r="Q291" s="74"/>
      <c r="R291" s="87"/>
      <c r="S291" s="87"/>
      <c r="T291" s="87"/>
      <c r="U291" s="87"/>
      <c r="V291" s="48"/>
      <c r="W291" s="48"/>
      <c r="X291" s="47">
        <v>1.101E-3</v>
      </c>
      <c r="Y291" s="48"/>
      <c r="Z291" s="47"/>
      <c r="AA291" s="69">
        <v>291</v>
      </c>
      <c r="AB291" s="69"/>
      <c r="AC291" s="70"/>
      <c r="AD291" s="76" t="s">
        <v>16926</v>
      </c>
      <c r="AE291" s="81" t="s">
        <v>15716</v>
      </c>
      <c r="AF291" s="76">
        <v>0</v>
      </c>
      <c r="AG291" s="76">
        <v>35</v>
      </c>
      <c r="AH291" s="76">
        <v>15</v>
      </c>
      <c r="AI291" s="76">
        <v>0</v>
      </c>
      <c r="AJ291" s="76">
        <v>11</v>
      </c>
      <c r="AK291" s="76">
        <v>0</v>
      </c>
      <c r="AL291" s="76" t="b">
        <v>0</v>
      </c>
      <c r="AM291" s="78">
        <v>44960.963425925926</v>
      </c>
      <c r="AN291" s="76"/>
      <c r="AO291" s="76" t="s">
        <v>18415</v>
      </c>
      <c r="AP291" s="76"/>
      <c r="AQ291" s="76"/>
      <c r="AR291" s="76"/>
      <c r="AS291" s="76"/>
      <c r="AT291" s="76"/>
      <c r="AU291" s="76"/>
      <c r="AV291" s="76"/>
      <c r="AW291" s="76"/>
      <c r="AX291" s="76" t="b">
        <v>0</v>
      </c>
      <c r="AY291" s="76"/>
      <c r="AZ291" s="76"/>
      <c r="BA291" s="76" t="b">
        <v>0</v>
      </c>
      <c r="BB291" s="76" t="b">
        <v>1</v>
      </c>
      <c r="BC291" s="76" t="b">
        <v>1</v>
      </c>
      <c r="BD291" s="76" t="b">
        <v>0</v>
      </c>
      <c r="BE291" s="76" t="b">
        <v>0</v>
      </c>
      <c r="BF291" s="76" t="b">
        <v>0</v>
      </c>
      <c r="BG291" s="76" t="b">
        <v>0</v>
      </c>
      <c r="BH291" s="83" t="str">
        <f>HYPERLINK("https://pbs.twimg.com/profile_banners/1621646457135681536/1691336788")</f>
        <v>https://pbs.twimg.com/profile_banners/1621646457135681536/1691336788</v>
      </c>
      <c r="BI291" s="76"/>
      <c r="BJ291" s="76" t="s">
        <v>19633</v>
      </c>
      <c r="BK291" s="76" t="b">
        <v>0</v>
      </c>
      <c r="BL291" s="76"/>
      <c r="BM291" s="76" t="s">
        <v>66</v>
      </c>
      <c r="BN291" s="76" t="s">
        <v>19635</v>
      </c>
      <c r="BO291" s="83" t="str">
        <f>HYPERLINK("https://twitter.com/simonramosbr")</f>
        <v>https://twitter.com/simonramosbr</v>
      </c>
      <c r="BP291" s="2"/>
    </row>
    <row r="292" spans="1:68" x14ac:dyDescent="0.25">
      <c r="A292" s="62" t="s">
        <v>471</v>
      </c>
      <c r="B292" s="63"/>
      <c r="C292" s="63"/>
      <c r="D292" s="64"/>
      <c r="E292" s="66"/>
      <c r="F292" s="103" t="str">
        <f>HYPERLINK("https://pbs.twimg.com/profile_images/1595485486629502987/5CCQJDRf_normal.jpg")</f>
        <v>https://pbs.twimg.com/profile_images/1595485486629502987/5CCQJDRf_normal.jpg</v>
      </c>
      <c r="G292" s="63"/>
      <c r="H292" s="67"/>
      <c r="I292" s="68"/>
      <c r="J292" s="68"/>
      <c r="K292" s="67" t="s">
        <v>19924</v>
      </c>
      <c r="L292" s="71"/>
      <c r="M292" s="72"/>
      <c r="N292" s="72"/>
      <c r="O292" s="73"/>
      <c r="P292" s="74"/>
      <c r="Q292" s="74"/>
      <c r="R292" s="87"/>
      <c r="S292" s="87"/>
      <c r="T292" s="87"/>
      <c r="U292" s="87"/>
      <c r="V292" s="48"/>
      <c r="W292" s="48"/>
      <c r="X292" s="47">
        <v>1.101E-3</v>
      </c>
      <c r="Y292" s="48"/>
      <c r="Z292" s="47"/>
      <c r="AA292" s="69">
        <v>292</v>
      </c>
      <c r="AB292" s="69"/>
      <c r="AC292" s="70"/>
      <c r="AD292" s="76" t="s">
        <v>16927</v>
      </c>
      <c r="AE292" s="81" t="s">
        <v>17646</v>
      </c>
      <c r="AF292" s="76">
        <v>67</v>
      </c>
      <c r="AG292" s="76">
        <v>167</v>
      </c>
      <c r="AH292" s="76">
        <v>6514</v>
      </c>
      <c r="AI292" s="76">
        <v>2</v>
      </c>
      <c r="AJ292" s="76">
        <v>4945</v>
      </c>
      <c r="AK292" s="76">
        <v>1002</v>
      </c>
      <c r="AL292" s="76" t="b">
        <v>0</v>
      </c>
      <c r="AM292" s="78">
        <v>41370.91747685185</v>
      </c>
      <c r="AN292" s="76" t="s">
        <v>17969</v>
      </c>
      <c r="AO292" s="76" t="s">
        <v>18416</v>
      </c>
      <c r="AP292" s="76"/>
      <c r="AQ292" s="76"/>
      <c r="AR292" s="76"/>
      <c r="AS292" s="76"/>
      <c r="AT292" s="76"/>
      <c r="AU292" s="76"/>
      <c r="AV292" s="76"/>
      <c r="AW292" s="76"/>
      <c r="AX292" s="76" t="b">
        <v>0</v>
      </c>
      <c r="AY292" s="76"/>
      <c r="AZ292" s="76"/>
      <c r="BA292" s="76" t="b">
        <v>0</v>
      </c>
      <c r="BB292" s="76" t="b">
        <v>1</v>
      </c>
      <c r="BC292" s="76" t="b">
        <v>0</v>
      </c>
      <c r="BD292" s="76" t="b">
        <v>0</v>
      </c>
      <c r="BE292" s="76" t="b">
        <v>1</v>
      </c>
      <c r="BF292" s="76" t="b">
        <v>0</v>
      </c>
      <c r="BG292" s="76" t="b">
        <v>0</v>
      </c>
      <c r="BH292" s="83" t="str">
        <f>HYPERLINK("https://pbs.twimg.com/profile_banners/1332582158/1669228369")</f>
        <v>https://pbs.twimg.com/profile_banners/1332582158/1669228369</v>
      </c>
      <c r="BI292" s="76"/>
      <c r="BJ292" s="76" t="s">
        <v>19633</v>
      </c>
      <c r="BK292" s="76" t="b">
        <v>0</v>
      </c>
      <c r="BL292" s="76"/>
      <c r="BM292" s="76" t="s">
        <v>66</v>
      </c>
      <c r="BN292" s="76" t="s">
        <v>19635</v>
      </c>
      <c r="BO292" s="83" t="str">
        <f>HYPERLINK("https://twitter.com/mpaulaorganizer")</f>
        <v>https://twitter.com/mpaulaorganizer</v>
      </c>
      <c r="BP292" s="2"/>
    </row>
    <row r="293" spans="1:68" x14ac:dyDescent="0.25">
      <c r="A293" s="62" t="s">
        <v>472</v>
      </c>
      <c r="B293" s="63"/>
      <c r="C293" s="63"/>
      <c r="D293" s="64"/>
      <c r="E293" s="66"/>
      <c r="F293" s="103" t="str">
        <f>HYPERLINK("https://pbs.twimg.com/profile_images/1600909727545933824/NX4vDp0M_normal.jpg")</f>
        <v>https://pbs.twimg.com/profile_images/1600909727545933824/NX4vDp0M_normal.jpg</v>
      </c>
      <c r="G293" s="63"/>
      <c r="H293" s="67"/>
      <c r="I293" s="68"/>
      <c r="J293" s="68"/>
      <c r="K293" s="67" t="s">
        <v>19925</v>
      </c>
      <c r="L293" s="71"/>
      <c r="M293" s="72"/>
      <c r="N293" s="72"/>
      <c r="O293" s="73"/>
      <c r="P293" s="74"/>
      <c r="Q293" s="74"/>
      <c r="R293" s="87"/>
      <c r="S293" s="87"/>
      <c r="T293" s="87"/>
      <c r="U293" s="87"/>
      <c r="V293" s="48"/>
      <c r="W293" s="48"/>
      <c r="X293" s="47">
        <v>1.101E-3</v>
      </c>
      <c r="Y293" s="48"/>
      <c r="Z293" s="47"/>
      <c r="AA293" s="69">
        <v>293</v>
      </c>
      <c r="AB293" s="69"/>
      <c r="AC293" s="70"/>
      <c r="AD293" s="76" t="s">
        <v>16928</v>
      </c>
      <c r="AE293" s="81" t="s">
        <v>16263</v>
      </c>
      <c r="AF293" s="76">
        <v>25</v>
      </c>
      <c r="AG293" s="76">
        <v>190</v>
      </c>
      <c r="AH293" s="76">
        <v>2610</v>
      </c>
      <c r="AI293" s="76">
        <v>0</v>
      </c>
      <c r="AJ293" s="76">
        <v>16</v>
      </c>
      <c r="AK293" s="76">
        <v>2433</v>
      </c>
      <c r="AL293" s="76" t="b">
        <v>0</v>
      </c>
      <c r="AM293" s="78">
        <v>44903.737835648149</v>
      </c>
      <c r="AN293" s="76" t="s">
        <v>17970</v>
      </c>
      <c r="AO293" s="76" t="s">
        <v>18417</v>
      </c>
      <c r="AP293" s="83" t="str">
        <f>HYPERLINK("https://t.co/kCnmjmzmuf")</f>
        <v>https://t.co/kCnmjmzmuf</v>
      </c>
      <c r="AQ293" s="83" t="str">
        <f>HYPERLINK("https://blogpdanoticia.blogspot.com")</f>
        <v>https://blogpdanoticia.blogspot.com</v>
      </c>
      <c r="AR293" s="76" t="s">
        <v>19171</v>
      </c>
      <c r="AS293" s="76"/>
      <c r="AT293" s="76"/>
      <c r="AU293" s="76"/>
      <c r="AV293" s="76"/>
      <c r="AW293" s="83" t="str">
        <f>HYPERLINK("https://t.co/kCnmjmzmuf")</f>
        <v>https://t.co/kCnmjmzmuf</v>
      </c>
      <c r="AX293" s="76" t="b">
        <v>0</v>
      </c>
      <c r="AY293" s="76"/>
      <c r="AZ293" s="76"/>
      <c r="BA293" s="76" t="b">
        <v>0</v>
      </c>
      <c r="BB293" s="76" t="b">
        <v>1</v>
      </c>
      <c r="BC293" s="76" t="b">
        <v>1</v>
      </c>
      <c r="BD293" s="76" t="b">
        <v>0</v>
      </c>
      <c r="BE293" s="76" t="b">
        <v>0</v>
      </c>
      <c r="BF293" s="76" t="b">
        <v>0</v>
      </c>
      <c r="BG293" s="76" t="b">
        <v>0</v>
      </c>
      <c r="BH293" s="83" t="str">
        <f>HYPERLINK("https://pbs.twimg.com/profile_banners/1600908543795888128/1670521485")</f>
        <v>https://pbs.twimg.com/profile_banners/1600908543795888128/1670521485</v>
      </c>
      <c r="BI293" s="76"/>
      <c r="BJ293" s="76" t="s">
        <v>19633</v>
      </c>
      <c r="BK293" s="76" t="b">
        <v>0</v>
      </c>
      <c r="BL293" s="76"/>
      <c r="BM293" s="76" t="s">
        <v>66</v>
      </c>
      <c r="BN293" s="76" t="s">
        <v>19635</v>
      </c>
      <c r="BO293" s="83" t="str">
        <f>HYPERLINK("https://twitter.com/blogpdnoticia")</f>
        <v>https://twitter.com/blogpdnoticia</v>
      </c>
      <c r="BP293" s="2"/>
    </row>
    <row r="294" spans="1:68" x14ac:dyDescent="0.25">
      <c r="A294" s="62" t="s">
        <v>473</v>
      </c>
      <c r="B294" s="63"/>
      <c r="C294" s="63"/>
      <c r="D294" s="64"/>
      <c r="E294" s="66"/>
      <c r="F294" s="103" t="str">
        <f>HYPERLINK("https://pbs.twimg.com/profile_images/1598054999019425793/XCN6mizA_normal.jpg")</f>
        <v>https://pbs.twimg.com/profile_images/1598054999019425793/XCN6mizA_normal.jpg</v>
      </c>
      <c r="G294" s="63"/>
      <c r="H294" s="67"/>
      <c r="I294" s="68"/>
      <c r="J294" s="68"/>
      <c r="K294" s="67" t="s">
        <v>19926</v>
      </c>
      <c r="L294" s="71"/>
      <c r="M294" s="72"/>
      <c r="N294" s="72"/>
      <c r="O294" s="73"/>
      <c r="P294" s="74"/>
      <c r="Q294" s="74"/>
      <c r="R294" s="87"/>
      <c r="S294" s="87"/>
      <c r="T294" s="87"/>
      <c r="U294" s="87"/>
      <c r="V294" s="48"/>
      <c r="W294" s="48"/>
      <c r="X294" s="47">
        <v>1.101E-3</v>
      </c>
      <c r="Y294" s="48"/>
      <c r="Z294" s="47"/>
      <c r="AA294" s="69">
        <v>294</v>
      </c>
      <c r="AB294" s="69"/>
      <c r="AC294" s="70"/>
      <c r="AD294" s="76" t="s">
        <v>16929</v>
      </c>
      <c r="AE294" s="81" t="s">
        <v>17647</v>
      </c>
      <c r="AF294" s="76">
        <v>229</v>
      </c>
      <c r="AG294" s="76">
        <v>49</v>
      </c>
      <c r="AH294" s="76">
        <v>4861</v>
      </c>
      <c r="AI294" s="76">
        <v>0</v>
      </c>
      <c r="AJ294" s="76">
        <v>9</v>
      </c>
      <c r="AK294" s="76">
        <v>2921</v>
      </c>
      <c r="AL294" s="76" t="b">
        <v>0</v>
      </c>
      <c r="AM294" s="78">
        <v>40127.487245370372</v>
      </c>
      <c r="AN294" s="76" t="s">
        <v>17971</v>
      </c>
      <c r="AO294" s="76" t="s">
        <v>18418</v>
      </c>
      <c r="AP294" s="83" t="str">
        <f>HYPERLINK("https://t.co/MM2HBekWbb")</f>
        <v>https://t.co/MM2HBekWbb</v>
      </c>
      <c r="AQ294" s="83" t="str">
        <f>HYPERLINK("http://www.vitoriaregia.net")</f>
        <v>http://www.vitoriaregia.net</v>
      </c>
      <c r="AR294" s="76" t="s">
        <v>19172</v>
      </c>
      <c r="AS294" s="76"/>
      <c r="AT294" s="76"/>
      <c r="AU294" s="76"/>
      <c r="AV294" s="76"/>
      <c r="AW294" s="83" t="str">
        <f>HYPERLINK("https://t.co/MM2HBekWbb")</f>
        <v>https://t.co/MM2HBekWbb</v>
      </c>
      <c r="AX294" s="76" t="b">
        <v>0</v>
      </c>
      <c r="AY294" s="76"/>
      <c r="AZ294" s="76"/>
      <c r="BA294" s="76" t="b">
        <v>0</v>
      </c>
      <c r="BB294" s="76" t="b">
        <v>1</v>
      </c>
      <c r="BC294" s="76" t="b">
        <v>0</v>
      </c>
      <c r="BD294" s="76" t="b">
        <v>0</v>
      </c>
      <c r="BE294" s="76" t="b">
        <v>0</v>
      </c>
      <c r="BF294" s="76" t="b">
        <v>0</v>
      </c>
      <c r="BG294" s="76" t="b">
        <v>0</v>
      </c>
      <c r="BH294" s="83" t="str">
        <f>HYPERLINK("https://pbs.twimg.com/profile_banners/88908961/1663023119")</f>
        <v>https://pbs.twimg.com/profile_banners/88908961/1663023119</v>
      </c>
      <c r="BI294" s="76"/>
      <c r="BJ294" s="76" t="s">
        <v>19633</v>
      </c>
      <c r="BK294" s="76" t="b">
        <v>0</v>
      </c>
      <c r="BL294" s="76"/>
      <c r="BM294" s="76" t="s">
        <v>66</v>
      </c>
      <c r="BN294" s="76" t="s">
        <v>19635</v>
      </c>
      <c r="BO294" s="83" t="str">
        <f>HYPERLINK("https://twitter.com/twivitoriaregia")</f>
        <v>https://twitter.com/twivitoriaregia</v>
      </c>
      <c r="BP294" s="2"/>
    </row>
    <row r="295" spans="1:68" x14ac:dyDescent="0.25">
      <c r="A295" s="62" t="s">
        <v>474</v>
      </c>
      <c r="B295" s="63"/>
      <c r="C295" s="63"/>
      <c r="D295" s="64"/>
      <c r="E295" s="66"/>
      <c r="F295" s="103" t="str">
        <f>HYPERLINK("https://pbs.twimg.com/profile_images/1631826325387214849/5E1Z2Ozj_normal.jpg")</f>
        <v>https://pbs.twimg.com/profile_images/1631826325387214849/5E1Z2Ozj_normal.jpg</v>
      </c>
      <c r="G295" s="63"/>
      <c r="H295" s="67"/>
      <c r="I295" s="68"/>
      <c r="J295" s="68"/>
      <c r="K295" s="67" t="s">
        <v>19927</v>
      </c>
      <c r="L295" s="71"/>
      <c r="M295" s="72"/>
      <c r="N295" s="72"/>
      <c r="O295" s="73"/>
      <c r="P295" s="74"/>
      <c r="Q295" s="74"/>
      <c r="R295" s="87"/>
      <c r="S295" s="87"/>
      <c r="T295" s="87"/>
      <c r="U295" s="87"/>
      <c r="V295" s="48"/>
      <c r="W295" s="48"/>
      <c r="X295" s="47">
        <v>1.101E-3</v>
      </c>
      <c r="Y295" s="48"/>
      <c r="Z295" s="47"/>
      <c r="AA295" s="69">
        <v>295</v>
      </c>
      <c r="AB295" s="69"/>
      <c r="AC295" s="70"/>
      <c r="AD295" s="76" t="s">
        <v>16930</v>
      </c>
      <c r="AE295" s="81" t="s">
        <v>15717</v>
      </c>
      <c r="AF295" s="76">
        <v>4</v>
      </c>
      <c r="AG295" s="76">
        <v>1</v>
      </c>
      <c r="AH295" s="76">
        <v>27</v>
      </c>
      <c r="AI295" s="76">
        <v>0</v>
      </c>
      <c r="AJ295" s="76">
        <v>66</v>
      </c>
      <c r="AK295" s="76">
        <v>0</v>
      </c>
      <c r="AL295" s="76" t="b">
        <v>0</v>
      </c>
      <c r="AM295" s="78">
        <v>42395.164907407408</v>
      </c>
      <c r="AN295" s="76" t="s">
        <v>10561</v>
      </c>
      <c r="AO295" s="76" t="s">
        <v>18419</v>
      </c>
      <c r="AP295" s="83" t="str">
        <f>HYPERLINK("https://t.co/Zh4H8Dn4XA")</f>
        <v>https://t.co/Zh4H8Dn4XA</v>
      </c>
      <c r="AQ295" s="83" t="str">
        <f>HYPERLINK("https://t.me/holdermindset")</f>
        <v>https://t.me/holdermindset</v>
      </c>
      <c r="AR295" s="76" t="s">
        <v>19173</v>
      </c>
      <c r="AS295" s="76"/>
      <c r="AT295" s="76"/>
      <c r="AU295" s="76"/>
      <c r="AV295" s="76">
        <v>1.63067366053185E+18</v>
      </c>
      <c r="AW295" s="83" t="str">
        <f>HYPERLINK("https://t.co/Zh4H8Dn4XA")</f>
        <v>https://t.co/Zh4H8Dn4XA</v>
      </c>
      <c r="AX295" s="76" t="b">
        <v>0</v>
      </c>
      <c r="AY295" s="76"/>
      <c r="AZ295" s="76"/>
      <c r="BA295" s="76" t="b">
        <v>0</v>
      </c>
      <c r="BB295" s="76" t="b">
        <v>1</v>
      </c>
      <c r="BC295" s="76" t="b">
        <v>1</v>
      </c>
      <c r="BD295" s="76" t="b">
        <v>0</v>
      </c>
      <c r="BE295" s="76" t="b">
        <v>0</v>
      </c>
      <c r="BF295" s="76" t="b">
        <v>0</v>
      </c>
      <c r="BG295" s="76" t="b">
        <v>0</v>
      </c>
      <c r="BH295" s="83" t="str">
        <f>HYPERLINK("https://pbs.twimg.com/profile_banners/4848184300/1676500331")</f>
        <v>https://pbs.twimg.com/profile_banners/4848184300/1676500331</v>
      </c>
      <c r="BI295" s="76"/>
      <c r="BJ295" s="76" t="s">
        <v>19633</v>
      </c>
      <c r="BK295" s="76" t="b">
        <v>0</v>
      </c>
      <c r="BL295" s="76"/>
      <c r="BM295" s="76" t="s">
        <v>66</v>
      </c>
      <c r="BN295" s="76" t="s">
        <v>19635</v>
      </c>
      <c r="BO295" s="83" t="str">
        <f>HYPERLINK("https://twitter.com/theholderinvest")</f>
        <v>https://twitter.com/theholderinvest</v>
      </c>
      <c r="BP295" s="2"/>
    </row>
    <row r="296" spans="1:68" x14ac:dyDescent="0.25">
      <c r="A296" s="62" t="s">
        <v>475</v>
      </c>
      <c r="B296" s="63"/>
      <c r="C296" s="63"/>
      <c r="D296" s="64"/>
      <c r="E296" s="66"/>
      <c r="F296" s="103" t="str">
        <f>HYPERLINK("https://pbs.twimg.com/profile_images/1614341017527779328/My8o5g31_normal.jpg")</f>
        <v>https://pbs.twimg.com/profile_images/1614341017527779328/My8o5g31_normal.jpg</v>
      </c>
      <c r="G296" s="63"/>
      <c r="H296" s="67"/>
      <c r="I296" s="68"/>
      <c r="J296" s="68"/>
      <c r="K296" s="67" t="s">
        <v>19928</v>
      </c>
      <c r="L296" s="71"/>
      <c r="M296" s="72"/>
      <c r="N296" s="72"/>
      <c r="O296" s="73"/>
      <c r="P296" s="74"/>
      <c r="Q296" s="74"/>
      <c r="R296" s="87"/>
      <c r="S296" s="87"/>
      <c r="T296" s="87"/>
      <c r="U296" s="87"/>
      <c r="V296" s="48"/>
      <c r="W296" s="48"/>
      <c r="X296" s="47">
        <v>1.101E-3</v>
      </c>
      <c r="Y296" s="48"/>
      <c r="Z296" s="47"/>
      <c r="AA296" s="69">
        <v>296</v>
      </c>
      <c r="AB296" s="69"/>
      <c r="AC296" s="70"/>
      <c r="AD296" s="76" t="s">
        <v>16931</v>
      </c>
      <c r="AE296" s="81" t="s">
        <v>15718</v>
      </c>
      <c r="AF296" s="76">
        <v>140</v>
      </c>
      <c r="AG296" s="76">
        <v>145</v>
      </c>
      <c r="AH296" s="76">
        <v>589</v>
      </c>
      <c r="AI296" s="76">
        <v>2</v>
      </c>
      <c r="AJ296" s="76">
        <v>670</v>
      </c>
      <c r="AK296" s="76">
        <v>19</v>
      </c>
      <c r="AL296" s="76" t="b">
        <v>0</v>
      </c>
      <c r="AM296" s="78">
        <v>43429.981296296297</v>
      </c>
      <c r="AN296" s="76" t="s">
        <v>17972</v>
      </c>
      <c r="AO296" s="76" t="s">
        <v>18420</v>
      </c>
      <c r="AP296" s="76"/>
      <c r="AQ296" s="76"/>
      <c r="AR296" s="76"/>
      <c r="AS296" s="76"/>
      <c r="AT296" s="76"/>
      <c r="AU296" s="76"/>
      <c r="AV296" s="76">
        <v>1.6143422130135601E+18</v>
      </c>
      <c r="AW296" s="76"/>
      <c r="AX296" s="76" t="b">
        <v>0</v>
      </c>
      <c r="AY296" s="76"/>
      <c r="AZ296" s="76"/>
      <c r="BA296" s="76" t="b">
        <v>0</v>
      </c>
      <c r="BB296" s="76" t="b">
        <v>0</v>
      </c>
      <c r="BC296" s="76" t="b">
        <v>1</v>
      </c>
      <c r="BD296" s="76" t="b">
        <v>0</v>
      </c>
      <c r="BE296" s="76" t="b">
        <v>1</v>
      </c>
      <c r="BF296" s="76" t="b">
        <v>0</v>
      </c>
      <c r="BG296" s="76" t="b">
        <v>0</v>
      </c>
      <c r="BH296" s="83" t="str">
        <f>HYPERLINK("https://pbs.twimg.com/profile_banners/1066837200480935938/1677715093")</f>
        <v>https://pbs.twimg.com/profile_banners/1066837200480935938/1677715093</v>
      </c>
      <c r="BI296" s="76"/>
      <c r="BJ296" s="76" t="s">
        <v>19633</v>
      </c>
      <c r="BK296" s="76" t="b">
        <v>0</v>
      </c>
      <c r="BL296" s="76"/>
      <c r="BM296" s="76" t="s">
        <v>66</v>
      </c>
      <c r="BN296" s="76" t="s">
        <v>19635</v>
      </c>
      <c r="BO296" s="83" t="str">
        <f>HYPERLINK("https://twitter.com/gutemberggjaa")</f>
        <v>https://twitter.com/gutemberggjaa</v>
      </c>
      <c r="BP296" s="2"/>
    </row>
    <row r="297" spans="1:68" x14ac:dyDescent="0.25">
      <c r="A297" s="62" t="s">
        <v>476</v>
      </c>
      <c r="B297" s="63"/>
      <c r="C297" s="63"/>
      <c r="D297" s="64"/>
      <c r="E297" s="66"/>
      <c r="F297" s="103" t="str">
        <f>HYPERLINK("https://pbs.twimg.com/profile_images/1695727163054415872/VKrYq2vj_normal.jpg")</f>
        <v>https://pbs.twimg.com/profile_images/1695727163054415872/VKrYq2vj_normal.jpg</v>
      </c>
      <c r="G297" s="63"/>
      <c r="H297" s="67"/>
      <c r="I297" s="68"/>
      <c r="J297" s="68"/>
      <c r="K297" s="67" t="s">
        <v>19929</v>
      </c>
      <c r="L297" s="71"/>
      <c r="M297" s="72"/>
      <c r="N297" s="72"/>
      <c r="O297" s="73"/>
      <c r="P297" s="74"/>
      <c r="Q297" s="74"/>
      <c r="R297" s="87"/>
      <c r="S297" s="87"/>
      <c r="T297" s="87"/>
      <c r="U297" s="87"/>
      <c r="V297" s="48"/>
      <c r="W297" s="48"/>
      <c r="X297" s="47">
        <v>9.6599999999999995E-4</v>
      </c>
      <c r="Y297" s="48"/>
      <c r="Z297" s="47"/>
      <c r="AA297" s="69">
        <v>297</v>
      </c>
      <c r="AB297" s="69"/>
      <c r="AC297" s="70"/>
      <c r="AD297" s="76" t="s">
        <v>16932</v>
      </c>
      <c r="AE297" s="81" t="s">
        <v>16264</v>
      </c>
      <c r="AF297" s="76">
        <v>15</v>
      </c>
      <c r="AG297" s="76">
        <v>266</v>
      </c>
      <c r="AH297" s="76">
        <v>399</v>
      </c>
      <c r="AI297" s="76">
        <v>0</v>
      </c>
      <c r="AJ297" s="76">
        <v>2671</v>
      </c>
      <c r="AK297" s="76">
        <v>49</v>
      </c>
      <c r="AL297" s="76" t="b">
        <v>0</v>
      </c>
      <c r="AM297" s="78">
        <v>44737.02138888889</v>
      </c>
      <c r="AN297" s="76"/>
      <c r="AO297" s="76" t="s">
        <v>18421</v>
      </c>
      <c r="AP297" s="76"/>
      <c r="AQ297" s="76"/>
      <c r="AR297" s="76"/>
      <c r="AS297" s="76"/>
      <c r="AT297" s="76"/>
      <c r="AU297" s="76"/>
      <c r="AV297" s="76">
        <v>1.59044087426963E+18</v>
      </c>
      <c r="AW297" s="76"/>
      <c r="AX297" s="76" t="b">
        <v>0</v>
      </c>
      <c r="AY297" s="76"/>
      <c r="AZ297" s="76"/>
      <c r="BA297" s="76" t="b">
        <v>0</v>
      </c>
      <c r="BB297" s="76" t="b">
        <v>0</v>
      </c>
      <c r="BC297" s="76" t="b">
        <v>1</v>
      </c>
      <c r="BD297" s="76" t="b">
        <v>0</v>
      </c>
      <c r="BE297" s="76" t="b">
        <v>0</v>
      </c>
      <c r="BF297" s="76" t="b">
        <v>0</v>
      </c>
      <c r="BG297" s="76" t="b">
        <v>1</v>
      </c>
      <c r="BH297" s="83" t="str">
        <f>HYPERLINK("https://pbs.twimg.com/profile_banners/1540492561525129217/1658616194")</f>
        <v>https://pbs.twimg.com/profile_banners/1540492561525129217/1658616194</v>
      </c>
      <c r="BI297" s="76"/>
      <c r="BJ297" s="76" t="s">
        <v>19633</v>
      </c>
      <c r="BK297" s="76" t="b">
        <v>0</v>
      </c>
      <c r="BL297" s="76"/>
      <c r="BM297" s="76" t="s">
        <v>66</v>
      </c>
      <c r="BN297" s="76" t="s">
        <v>19635</v>
      </c>
      <c r="BO297" s="83" t="str">
        <f>HYPERLINK("https://twitter.com/andredesofia")</f>
        <v>https://twitter.com/andredesofia</v>
      </c>
      <c r="BP297" s="2"/>
    </row>
    <row r="298" spans="1:68" x14ac:dyDescent="0.25">
      <c r="A298" s="62" t="s">
        <v>477</v>
      </c>
      <c r="B298" s="63"/>
      <c r="C298" s="63"/>
      <c r="D298" s="64"/>
      <c r="E298" s="66"/>
      <c r="F298" s="103" t="str">
        <f>HYPERLINK("https://pbs.twimg.com/profile_images/1693297786379182080/lKpDQcyo_normal.jpg")</f>
        <v>https://pbs.twimg.com/profile_images/1693297786379182080/lKpDQcyo_normal.jpg</v>
      </c>
      <c r="G298" s="63"/>
      <c r="H298" s="67"/>
      <c r="I298" s="68"/>
      <c r="J298" s="68"/>
      <c r="K298" s="67" t="s">
        <v>19930</v>
      </c>
      <c r="L298" s="71"/>
      <c r="M298" s="72"/>
      <c r="N298" s="72"/>
      <c r="O298" s="73"/>
      <c r="P298" s="74"/>
      <c r="Q298" s="74"/>
      <c r="R298" s="87"/>
      <c r="S298" s="87"/>
      <c r="T298" s="87"/>
      <c r="U298" s="87"/>
      <c r="V298" s="48"/>
      <c r="W298" s="48"/>
      <c r="X298" s="47">
        <v>1.101E-3</v>
      </c>
      <c r="Y298" s="48"/>
      <c r="Z298" s="47"/>
      <c r="AA298" s="69">
        <v>298</v>
      </c>
      <c r="AB298" s="69"/>
      <c r="AC298" s="70"/>
      <c r="AD298" s="76" t="s">
        <v>16933</v>
      </c>
      <c r="AE298" s="81" t="s">
        <v>16265</v>
      </c>
      <c r="AF298" s="76">
        <v>13</v>
      </c>
      <c r="AG298" s="76">
        <v>72</v>
      </c>
      <c r="AH298" s="76">
        <v>157</v>
      </c>
      <c r="AI298" s="76">
        <v>0</v>
      </c>
      <c r="AJ298" s="76">
        <v>198</v>
      </c>
      <c r="AK298" s="76">
        <v>11</v>
      </c>
      <c r="AL298" s="76" t="b">
        <v>0</v>
      </c>
      <c r="AM298" s="78">
        <v>45105.9919212963</v>
      </c>
      <c r="AN298" s="76" t="s">
        <v>10570</v>
      </c>
      <c r="AO298" s="76" t="s">
        <v>18422</v>
      </c>
      <c r="AP298" s="83" t="str">
        <f>HYPERLINK("https://t.co/ZLfYwBWmTC")</f>
        <v>https://t.co/ZLfYwBWmTC</v>
      </c>
      <c r="AQ298" s="83" t="str">
        <f>HYPERLINK("https://youtube.com/@originalsanttos")</f>
        <v>https://youtube.com/@originalsanttos</v>
      </c>
      <c r="AR298" s="76" t="s">
        <v>19174</v>
      </c>
      <c r="AS298" s="76"/>
      <c r="AT298" s="76"/>
      <c r="AU298" s="76"/>
      <c r="AV298" s="76">
        <v>1.68618303377314E+18</v>
      </c>
      <c r="AW298" s="83" t="str">
        <f>HYPERLINK("https://t.co/ZLfYwBWmTC")</f>
        <v>https://t.co/ZLfYwBWmTC</v>
      </c>
      <c r="AX298" s="76" t="b">
        <v>0</v>
      </c>
      <c r="AY298" s="76"/>
      <c r="AZ298" s="76"/>
      <c r="BA298" s="76" t="b">
        <v>0</v>
      </c>
      <c r="BB298" s="76" t="b">
        <v>1</v>
      </c>
      <c r="BC298" s="76" t="b">
        <v>1</v>
      </c>
      <c r="BD298" s="76" t="b">
        <v>0</v>
      </c>
      <c r="BE298" s="76" t="b">
        <v>0</v>
      </c>
      <c r="BF298" s="76" t="b">
        <v>0</v>
      </c>
      <c r="BG298" s="76" t="b">
        <v>0</v>
      </c>
      <c r="BH298" s="83" t="str">
        <f>HYPERLINK("https://pbs.twimg.com/profile_banners/1674202966616682505/1687998505")</f>
        <v>https://pbs.twimg.com/profile_banners/1674202966616682505/1687998505</v>
      </c>
      <c r="BI298" s="76"/>
      <c r="BJ298" s="76" t="s">
        <v>19633</v>
      </c>
      <c r="BK298" s="76" t="b">
        <v>0</v>
      </c>
      <c r="BL298" s="76"/>
      <c r="BM298" s="76" t="s">
        <v>66</v>
      </c>
      <c r="BN298" s="76" t="s">
        <v>19635</v>
      </c>
      <c r="BO298" s="83" t="str">
        <f>HYPERLINK("https://twitter.com/originalsantt")</f>
        <v>https://twitter.com/originalsantt</v>
      </c>
      <c r="BP298" s="2"/>
    </row>
    <row r="299" spans="1:68" x14ac:dyDescent="0.25">
      <c r="A299" s="62" t="s">
        <v>478</v>
      </c>
      <c r="B299" s="63"/>
      <c r="C299" s="63"/>
      <c r="D299" s="64"/>
      <c r="E299" s="66"/>
      <c r="F299" s="103" t="str">
        <f>HYPERLINK("https://pbs.twimg.com/profile_images/1641559324974563330/WhHAId3b_normal.png")</f>
        <v>https://pbs.twimg.com/profile_images/1641559324974563330/WhHAId3b_normal.png</v>
      </c>
      <c r="G299" s="63"/>
      <c r="H299" s="67"/>
      <c r="I299" s="68"/>
      <c r="J299" s="68"/>
      <c r="K299" s="67" t="s">
        <v>19931</v>
      </c>
      <c r="L299" s="71"/>
      <c r="M299" s="72"/>
      <c r="N299" s="72"/>
      <c r="O299" s="73"/>
      <c r="P299" s="74"/>
      <c r="Q299" s="74"/>
      <c r="R299" s="87"/>
      <c r="S299" s="87"/>
      <c r="T299" s="87"/>
      <c r="U299" s="87"/>
      <c r="V299" s="48"/>
      <c r="W299" s="48"/>
      <c r="X299" s="47">
        <v>1.101E-3</v>
      </c>
      <c r="Y299" s="48"/>
      <c r="Z299" s="47"/>
      <c r="AA299" s="69">
        <v>299</v>
      </c>
      <c r="AB299" s="69"/>
      <c r="AC299" s="70"/>
      <c r="AD299" s="76" t="s">
        <v>16934</v>
      </c>
      <c r="AE299" s="81" t="s">
        <v>16266</v>
      </c>
      <c r="AF299" s="76">
        <v>15</v>
      </c>
      <c r="AG299" s="76">
        <v>13</v>
      </c>
      <c r="AH299" s="76">
        <v>40</v>
      </c>
      <c r="AI299" s="76">
        <v>0</v>
      </c>
      <c r="AJ299" s="76">
        <v>15</v>
      </c>
      <c r="AK299" s="76">
        <v>25</v>
      </c>
      <c r="AL299" s="76" t="b">
        <v>0</v>
      </c>
      <c r="AM299" s="78">
        <v>45015.912222222221</v>
      </c>
      <c r="AN299" s="76"/>
      <c r="AO299" s="76" t="s">
        <v>18423</v>
      </c>
      <c r="AP299" s="83" t="str">
        <f>HYPERLINK("https://t.co/zHI8KWtT4v")</f>
        <v>https://t.co/zHI8KWtT4v</v>
      </c>
      <c r="AQ299" s="83" t="str">
        <f>HYPERLINK("https://linkr.bio/deriv")</f>
        <v>https://linkr.bio/deriv</v>
      </c>
      <c r="AR299" s="76" t="s">
        <v>19175</v>
      </c>
      <c r="AS299" s="76"/>
      <c r="AT299" s="76"/>
      <c r="AU299" s="76"/>
      <c r="AV299" s="76"/>
      <c r="AW299" s="83" t="str">
        <f>HYPERLINK("https://t.co/zHI8KWtT4v")</f>
        <v>https://t.co/zHI8KWtT4v</v>
      </c>
      <c r="AX299" s="76" t="b">
        <v>0</v>
      </c>
      <c r="AY299" s="76"/>
      <c r="AZ299" s="76"/>
      <c r="BA299" s="76" t="b">
        <v>0</v>
      </c>
      <c r="BB299" s="76" t="b">
        <v>1</v>
      </c>
      <c r="BC299" s="76" t="b">
        <v>1</v>
      </c>
      <c r="BD299" s="76" t="b">
        <v>0</v>
      </c>
      <c r="BE299" s="76" t="b">
        <v>0</v>
      </c>
      <c r="BF299" s="76" t="b">
        <v>0</v>
      </c>
      <c r="BG299" s="76" t="b">
        <v>0</v>
      </c>
      <c r="BH299" s="76"/>
      <c r="BI299" s="76"/>
      <c r="BJ299" s="76" t="s">
        <v>19633</v>
      </c>
      <c r="BK299" s="76" t="b">
        <v>0</v>
      </c>
      <c r="BL299" s="76"/>
      <c r="BM299" s="76" t="s">
        <v>66</v>
      </c>
      <c r="BN299" s="76" t="s">
        <v>19635</v>
      </c>
      <c r="BO299" s="83" t="str">
        <f>HYPERLINK("https://twitter.com/edsonderiv")</f>
        <v>https://twitter.com/edsonderiv</v>
      </c>
      <c r="BP299" s="2"/>
    </row>
    <row r="300" spans="1:68" x14ac:dyDescent="0.25">
      <c r="A300" s="62" t="s">
        <v>479</v>
      </c>
      <c r="B300" s="63"/>
      <c r="C300" s="63"/>
      <c r="D300" s="64"/>
      <c r="E300" s="66"/>
      <c r="F300" s="103" t="str">
        <f>HYPERLINK("https://pbs.twimg.com/profile_images/1686192583431573504/BBk5qgFf_normal.jpg")</f>
        <v>https://pbs.twimg.com/profile_images/1686192583431573504/BBk5qgFf_normal.jpg</v>
      </c>
      <c r="G300" s="63"/>
      <c r="H300" s="67"/>
      <c r="I300" s="68"/>
      <c r="J300" s="68"/>
      <c r="K300" s="67" t="s">
        <v>19932</v>
      </c>
      <c r="L300" s="71"/>
      <c r="M300" s="72"/>
      <c r="N300" s="72"/>
      <c r="O300" s="73"/>
      <c r="P300" s="74"/>
      <c r="Q300" s="74"/>
      <c r="R300" s="87"/>
      <c r="S300" s="87"/>
      <c r="T300" s="87"/>
      <c r="U300" s="87"/>
      <c r="V300" s="48"/>
      <c r="W300" s="48"/>
      <c r="X300" s="47">
        <v>1.101E-3</v>
      </c>
      <c r="Y300" s="48"/>
      <c r="Z300" s="47"/>
      <c r="AA300" s="69">
        <v>300</v>
      </c>
      <c r="AB300" s="69"/>
      <c r="AC300" s="70"/>
      <c r="AD300" s="76" t="s">
        <v>16935</v>
      </c>
      <c r="AE300" s="81" t="s">
        <v>16267</v>
      </c>
      <c r="AF300" s="76">
        <v>1</v>
      </c>
      <c r="AG300" s="76">
        <v>8</v>
      </c>
      <c r="AH300" s="76">
        <v>16</v>
      </c>
      <c r="AI300" s="76">
        <v>0</v>
      </c>
      <c r="AJ300" s="76">
        <v>7</v>
      </c>
      <c r="AK300" s="76">
        <v>15</v>
      </c>
      <c r="AL300" s="76" t="b">
        <v>0</v>
      </c>
      <c r="AM300" s="78">
        <v>45133.977650462963</v>
      </c>
      <c r="AN300" s="76"/>
      <c r="AO300" s="76" t="s">
        <v>18424</v>
      </c>
      <c r="AP300" s="83" t="str">
        <f>HYPERLINK("https://t.co/xzR9a3YvLi")</f>
        <v>https://t.co/xzR9a3YvLi</v>
      </c>
      <c r="AQ300" s="83" t="str">
        <f>HYPERLINK("http://linktr.ee/jornadacapital")</f>
        <v>http://linktr.ee/jornadacapital</v>
      </c>
      <c r="AR300" s="76" t="s">
        <v>19176</v>
      </c>
      <c r="AS300" s="76"/>
      <c r="AT300" s="76"/>
      <c r="AU300" s="76"/>
      <c r="AV300" s="76"/>
      <c r="AW300" s="83" t="str">
        <f>HYPERLINK("https://t.co/xzR9a3YvLi")</f>
        <v>https://t.co/xzR9a3YvLi</v>
      </c>
      <c r="AX300" s="76" t="b">
        <v>0</v>
      </c>
      <c r="AY300" s="76"/>
      <c r="AZ300" s="76"/>
      <c r="BA300" s="76" t="b">
        <v>0</v>
      </c>
      <c r="BB300" s="76" t="b">
        <v>1</v>
      </c>
      <c r="BC300" s="76" t="b">
        <v>1</v>
      </c>
      <c r="BD300" s="76" t="b">
        <v>0</v>
      </c>
      <c r="BE300" s="76" t="b">
        <v>0</v>
      </c>
      <c r="BF300" s="76" t="b">
        <v>0</v>
      </c>
      <c r="BG300" s="76" t="b">
        <v>0</v>
      </c>
      <c r="BH300" s="76"/>
      <c r="BI300" s="76"/>
      <c r="BJ300" s="76" t="s">
        <v>19633</v>
      </c>
      <c r="BK300" s="76" t="b">
        <v>0</v>
      </c>
      <c r="BL300" s="76"/>
      <c r="BM300" s="76" t="s">
        <v>66</v>
      </c>
      <c r="BN300" s="76" t="s">
        <v>19635</v>
      </c>
      <c r="BO300" s="83" t="str">
        <f>HYPERLINK("https://twitter.com/jornadacapital")</f>
        <v>https://twitter.com/jornadacapital</v>
      </c>
      <c r="BP300" s="2"/>
    </row>
    <row r="301" spans="1:68" x14ac:dyDescent="0.25">
      <c r="A301" s="62" t="s">
        <v>480</v>
      </c>
      <c r="B301" s="63"/>
      <c r="C301" s="63"/>
      <c r="D301" s="64"/>
      <c r="E301" s="66"/>
      <c r="F301" s="103" t="str">
        <f>HYPERLINK("https://pbs.twimg.com/profile_images/1567810440901558276/qcb3sIym_normal.jpg")</f>
        <v>https://pbs.twimg.com/profile_images/1567810440901558276/qcb3sIym_normal.jpg</v>
      </c>
      <c r="G301" s="63"/>
      <c r="H301" s="67"/>
      <c r="I301" s="68"/>
      <c r="J301" s="68"/>
      <c r="K301" s="67" t="s">
        <v>19933</v>
      </c>
      <c r="L301" s="71"/>
      <c r="M301" s="72"/>
      <c r="N301" s="72"/>
      <c r="O301" s="73"/>
      <c r="P301" s="74"/>
      <c r="Q301" s="74"/>
      <c r="R301" s="87"/>
      <c r="S301" s="87"/>
      <c r="T301" s="87"/>
      <c r="U301" s="87"/>
      <c r="V301" s="48"/>
      <c r="W301" s="48"/>
      <c r="X301" s="47">
        <v>1.101E-3</v>
      </c>
      <c r="Y301" s="48"/>
      <c r="Z301" s="47"/>
      <c r="AA301" s="69">
        <v>301</v>
      </c>
      <c r="AB301" s="69"/>
      <c r="AC301" s="70"/>
      <c r="AD301" s="76" t="s">
        <v>16936</v>
      </c>
      <c r="AE301" s="81" t="s">
        <v>16268</v>
      </c>
      <c r="AF301" s="76">
        <v>146</v>
      </c>
      <c r="AG301" s="76">
        <v>44</v>
      </c>
      <c r="AH301" s="76">
        <v>1879</v>
      </c>
      <c r="AI301" s="76">
        <v>0</v>
      </c>
      <c r="AJ301" s="76">
        <v>3316</v>
      </c>
      <c r="AK301" s="76">
        <v>711</v>
      </c>
      <c r="AL301" s="76" t="b">
        <v>0</v>
      </c>
      <c r="AM301" s="78">
        <v>43918.456030092595</v>
      </c>
      <c r="AN301" s="76" t="s">
        <v>10552</v>
      </c>
      <c r="AO301" s="76" t="s">
        <v>18425</v>
      </c>
      <c r="AP301" s="83" t="str">
        <f>HYPERLINK("https://t.co/DKTNCrmNSM")</f>
        <v>https://t.co/DKTNCrmNSM</v>
      </c>
      <c r="AQ301" s="83" t="str">
        <f>HYPERLINK("https://gopage.bio/tocadoslivros")</f>
        <v>https://gopage.bio/tocadoslivros</v>
      </c>
      <c r="AR301" s="76" t="s">
        <v>19177</v>
      </c>
      <c r="AS301" s="76"/>
      <c r="AT301" s="76"/>
      <c r="AU301" s="76"/>
      <c r="AV301" s="76">
        <v>1.6892411883253499E+18</v>
      </c>
      <c r="AW301" s="83" t="str">
        <f>HYPERLINK("https://t.co/DKTNCrmNSM")</f>
        <v>https://t.co/DKTNCrmNSM</v>
      </c>
      <c r="AX301" s="76" t="b">
        <v>0</v>
      </c>
      <c r="AY301" s="76"/>
      <c r="AZ301" s="76"/>
      <c r="BA301" s="76" t="b">
        <v>0</v>
      </c>
      <c r="BB301" s="76" t="b">
        <v>1</v>
      </c>
      <c r="BC301" s="76" t="b">
        <v>1</v>
      </c>
      <c r="BD301" s="76" t="b">
        <v>0</v>
      </c>
      <c r="BE301" s="76" t="b">
        <v>0</v>
      </c>
      <c r="BF301" s="76" t="b">
        <v>0</v>
      </c>
      <c r="BG301" s="76" t="b">
        <v>0</v>
      </c>
      <c r="BH301" s="83" t="str">
        <f>HYPERLINK("https://pbs.twimg.com/profile_banners/1243854478832533505/1662630114")</f>
        <v>https://pbs.twimg.com/profile_banners/1243854478832533505/1662630114</v>
      </c>
      <c r="BI301" s="76"/>
      <c r="BJ301" s="76" t="s">
        <v>19633</v>
      </c>
      <c r="BK301" s="76" t="b">
        <v>0</v>
      </c>
      <c r="BL301" s="76"/>
      <c r="BM301" s="76" t="s">
        <v>66</v>
      </c>
      <c r="BN301" s="76" t="s">
        <v>19635</v>
      </c>
      <c r="BO301" s="83" t="str">
        <f>HYPERLINK("https://twitter.com/tocadoslivrosbr")</f>
        <v>https://twitter.com/tocadoslivrosbr</v>
      </c>
      <c r="BP301" s="2"/>
    </row>
    <row r="302" spans="1:68" x14ac:dyDescent="0.25">
      <c r="A302" s="62" t="s">
        <v>481</v>
      </c>
      <c r="B302" s="63"/>
      <c r="C302" s="63"/>
      <c r="D302" s="64"/>
      <c r="E302" s="66"/>
      <c r="F302" s="103" t="str">
        <f>HYPERLINK("https://pbs.twimg.com/profile_images/1617688761084649474/TwS8T1Do_normal.jpg")</f>
        <v>https://pbs.twimg.com/profile_images/1617688761084649474/TwS8T1Do_normal.jpg</v>
      </c>
      <c r="G302" s="63"/>
      <c r="H302" s="67"/>
      <c r="I302" s="68"/>
      <c r="J302" s="68"/>
      <c r="K302" s="67" t="s">
        <v>19934</v>
      </c>
      <c r="L302" s="71"/>
      <c r="M302" s="72"/>
      <c r="N302" s="72"/>
      <c r="O302" s="73"/>
      <c r="P302" s="74"/>
      <c r="Q302" s="74"/>
      <c r="R302" s="87"/>
      <c r="S302" s="87"/>
      <c r="T302" s="87"/>
      <c r="U302" s="87"/>
      <c r="V302" s="48"/>
      <c r="W302" s="48"/>
      <c r="X302" s="47">
        <v>1.101E-3</v>
      </c>
      <c r="Y302" s="48"/>
      <c r="Z302" s="47"/>
      <c r="AA302" s="69">
        <v>302</v>
      </c>
      <c r="AB302" s="69"/>
      <c r="AC302" s="70"/>
      <c r="AD302" s="76" t="s">
        <v>16937</v>
      </c>
      <c r="AE302" s="81" t="s">
        <v>16269</v>
      </c>
      <c r="AF302" s="76">
        <v>3</v>
      </c>
      <c r="AG302" s="76">
        <v>25</v>
      </c>
      <c r="AH302" s="76">
        <v>28</v>
      </c>
      <c r="AI302" s="76">
        <v>0</v>
      </c>
      <c r="AJ302" s="76">
        <v>0</v>
      </c>
      <c r="AK302" s="76">
        <v>18</v>
      </c>
      <c r="AL302" s="76" t="b">
        <v>0</v>
      </c>
      <c r="AM302" s="78">
        <v>44950.024155092593</v>
      </c>
      <c r="AN302" s="76" t="s">
        <v>17973</v>
      </c>
      <c r="AO302" s="76" t="s">
        <v>18426</v>
      </c>
      <c r="AP302" s="83" t="str">
        <f>HYPERLINK("https://t.co/GLmU9F67CZ")</f>
        <v>https://t.co/GLmU9F67CZ</v>
      </c>
      <c r="AQ302" s="83" t="str">
        <f>HYPERLINK("https://maisativos.com.br/loja/")</f>
        <v>https://maisativos.com.br/loja/</v>
      </c>
      <c r="AR302" s="76" t="s">
        <v>19178</v>
      </c>
      <c r="AS302" s="76"/>
      <c r="AT302" s="76"/>
      <c r="AU302" s="76"/>
      <c r="AV302" s="76"/>
      <c r="AW302" s="83" t="str">
        <f>HYPERLINK("https://t.co/GLmU9F67CZ")</f>
        <v>https://t.co/GLmU9F67CZ</v>
      </c>
      <c r="AX302" s="76" t="b">
        <v>0</v>
      </c>
      <c r="AY302" s="76"/>
      <c r="AZ302" s="76"/>
      <c r="BA302" s="76" t="b">
        <v>0</v>
      </c>
      <c r="BB302" s="76" t="b">
        <v>1</v>
      </c>
      <c r="BC302" s="76" t="b">
        <v>1</v>
      </c>
      <c r="BD302" s="76" t="b">
        <v>0</v>
      </c>
      <c r="BE302" s="76" t="b">
        <v>0</v>
      </c>
      <c r="BF302" s="76" t="b">
        <v>0</v>
      </c>
      <c r="BG302" s="76" t="b">
        <v>0</v>
      </c>
      <c r="BH302" s="83" t="str">
        <f>HYPERLINK("https://pbs.twimg.com/profile_banners/1617679743427526656/1674522158")</f>
        <v>https://pbs.twimg.com/profile_banners/1617679743427526656/1674522158</v>
      </c>
      <c r="BI302" s="76"/>
      <c r="BJ302" s="76" t="s">
        <v>19633</v>
      </c>
      <c r="BK302" s="76" t="b">
        <v>0</v>
      </c>
      <c r="BL302" s="76"/>
      <c r="BM302" s="76" t="s">
        <v>66</v>
      </c>
      <c r="BN302" s="76" t="s">
        <v>19635</v>
      </c>
      <c r="BO302" s="83" t="str">
        <f>HYPERLINK("https://twitter.com/editmaisamigos")</f>
        <v>https://twitter.com/editmaisamigos</v>
      </c>
      <c r="BP302" s="2"/>
    </row>
    <row r="303" spans="1:68" x14ac:dyDescent="0.25">
      <c r="A303" s="62" t="s">
        <v>482</v>
      </c>
      <c r="B303" s="63"/>
      <c r="C303" s="63"/>
      <c r="D303" s="64"/>
      <c r="E303" s="66"/>
      <c r="F303" s="103" t="str">
        <f>HYPERLINK("https://pbs.twimg.com/profile_images/1611006034818236418/Rh-VKoKG_normal.jpg")</f>
        <v>https://pbs.twimg.com/profile_images/1611006034818236418/Rh-VKoKG_normal.jpg</v>
      </c>
      <c r="G303" s="63"/>
      <c r="H303" s="67"/>
      <c r="I303" s="68"/>
      <c r="J303" s="68"/>
      <c r="K303" s="67" t="s">
        <v>19935</v>
      </c>
      <c r="L303" s="71"/>
      <c r="M303" s="72"/>
      <c r="N303" s="72"/>
      <c r="O303" s="73"/>
      <c r="P303" s="74"/>
      <c r="Q303" s="74"/>
      <c r="R303" s="87"/>
      <c r="S303" s="87"/>
      <c r="T303" s="87"/>
      <c r="U303" s="87"/>
      <c r="V303" s="48"/>
      <c r="W303" s="48"/>
      <c r="X303" s="47">
        <v>1.101E-3</v>
      </c>
      <c r="Y303" s="48"/>
      <c r="Z303" s="47"/>
      <c r="AA303" s="69">
        <v>303</v>
      </c>
      <c r="AB303" s="69"/>
      <c r="AC303" s="70"/>
      <c r="AD303" s="76" t="s">
        <v>16938</v>
      </c>
      <c r="AE303" s="81" t="s">
        <v>16270</v>
      </c>
      <c r="AF303" s="76">
        <v>34</v>
      </c>
      <c r="AG303" s="76">
        <v>134</v>
      </c>
      <c r="AH303" s="76">
        <v>185</v>
      </c>
      <c r="AI303" s="76">
        <v>0</v>
      </c>
      <c r="AJ303" s="76">
        <v>32</v>
      </c>
      <c r="AK303" s="76">
        <v>16</v>
      </c>
      <c r="AL303" s="76" t="b">
        <v>0</v>
      </c>
      <c r="AM303" s="78">
        <v>42709.124942129631</v>
      </c>
      <c r="AN303" s="76"/>
      <c r="AO303" s="76"/>
      <c r="AP303" s="76"/>
      <c r="AQ303" s="76"/>
      <c r="AR303" s="76"/>
      <c r="AS303" s="76"/>
      <c r="AT303" s="76"/>
      <c r="AU303" s="76"/>
      <c r="AV303" s="76"/>
      <c r="AW303" s="76"/>
      <c r="AX303" s="76" t="b">
        <v>0</v>
      </c>
      <c r="AY303" s="76"/>
      <c r="AZ303" s="76"/>
      <c r="BA303" s="76" t="b">
        <v>0</v>
      </c>
      <c r="BB303" s="76" t="b">
        <v>1</v>
      </c>
      <c r="BC303" s="76" t="b">
        <v>1</v>
      </c>
      <c r="BD303" s="76" t="b">
        <v>0</v>
      </c>
      <c r="BE303" s="76" t="b">
        <v>0</v>
      </c>
      <c r="BF303" s="76" t="b">
        <v>0</v>
      </c>
      <c r="BG303" s="76" t="b">
        <v>0</v>
      </c>
      <c r="BH303" s="83" t="str">
        <f>HYPERLINK("https://pbs.twimg.com/profile_banners/805607607373271040/1667426558")</f>
        <v>https://pbs.twimg.com/profile_banners/805607607373271040/1667426558</v>
      </c>
      <c r="BI303" s="76"/>
      <c r="BJ303" s="76" t="s">
        <v>19633</v>
      </c>
      <c r="BK303" s="76" t="b">
        <v>0</v>
      </c>
      <c r="BL303" s="76"/>
      <c r="BM303" s="76" t="s">
        <v>66</v>
      </c>
      <c r="BN303" s="76" t="s">
        <v>19635</v>
      </c>
      <c r="BO303" s="83" t="str">
        <f>HYPERLINK("https://twitter.com/devairrocha")</f>
        <v>https://twitter.com/devairrocha</v>
      </c>
      <c r="BP303" s="2"/>
    </row>
    <row r="304" spans="1:68" x14ac:dyDescent="0.25">
      <c r="A304" s="62" t="s">
        <v>483</v>
      </c>
      <c r="B304" s="63"/>
      <c r="C304" s="63"/>
      <c r="D304" s="64"/>
      <c r="E304" s="66"/>
      <c r="F304" s="103" t="str">
        <f>HYPERLINK("https://pbs.twimg.com/profile_images/1668408393650827269/Z2WPiBHj_normal.jpg")</f>
        <v>https://pbs.twimg.com/profile_images/1668408393650827269/Z2WPiBHj_normal.jpg</v>
      </c>
      <c r="G304" s="63"/>
      <c r="H304" s="67"/>
      <c r="I304" s="68"/>
      <c r="J304" s="68"/>
      <c r="K304" s="67" t="s">
        <v>19936</v>
      </c>
      <c r="L304" s="71"/>
      <c r="M304" s="72"/>
      <c r="N304" s="72"/>
      <c r="O304" s="73"/>
      <c r="P304" s="74"/>
      <c r="Q304" s="74"/>
      <c r="R304" s="87"/>
      <c r="S304" s="87"/>
      <c r="T304" s="87"/>
      <c r="U304" s="87"/>
      <c r="V304" s="48"/>
      <c r="W304" s="48"/>
      <c r="X304" s="47">
        <v>1.101E-3</v>
      </c>
      <c r="Y304" s="48"/>
      <c r="Z304" s="47"/>
      <c r="AA304" s="69">
        <v>304</v>
      </c>
      <c r="AB304" s="69"/>
      <c r="AC304" s="70"/>
      <c r="AD304" s="76" t="s">
        <v>16939</v>
      </c>
      <c r="AE304" s="81" t="s">
        <v>16271</v>
      </c>
      <c r="AF304" s="76">
        <v>0</v>
      </c>
      <c r="AG304" s="76">
        <v>2</v>
      </c>
      <c r="AH304" s="76">
        <v>58</v>
      </c>
      <c r="AI304" s="76">
        <v>0</v>
      </c>
      <c r="AJ304" s="76">
        <v>0</v>
      </c>
      <c r="AK304" s="76">
        <v>49</v>
      </c>
      <c r="AL304" s="76" t="b">
        <v>0</v>
      </c>
      <c r="AM304" s="78">
        <v>44622.534537037034</v>
      </c>
      <c r="AN304" s="76"/>
      <c r="AO304" s="76" t="s">
        <v>18427</v>
      </c>
      <c r="AP304" s="76"/>
      <c r="AQ304" s="76"/>
      <c r="AR304" s="76"/>
      <c r="AS304" s="76"/>
      <c r="AT304" s="76"/>
      <c r="AU304" s="76"/>
      <c r="AV304" s="76"/>
      <c r="AW304" s="76"/>
      <c r="AX304" s="76" t="b">
        <v>0</v>
      </c>
      <c r="AY304" s="76"/>
      <c r="AZ304" s="76"/>
      <c r="BA304" s="76" t="b">
        <v>0</v>
      </c>
      <c r="BB304" s="76" t="b">
        <v>1</v>
      </c>
      <c r="BC304" s="76" t="b">
        <v>1</v>
      </c>
      <c r="BD304" s="76" t="b">
        <v>0</v>
      </c>
      <c r="BE304" s="76" t="b">
        <v>0</v>
      </c>
      <c r="BF304" s="76" t="b">
        <v>0</v>
      </c>
      <c r="BG304" s="76" t="b">
        <v>0</v>
      </c>
      <c r="BH304" s="76"/>
      <c r="BI304" s="76"/>
      <c r="BJ304" s="76" t="s">
        <v>19633</v>
      </c>
      <c r="BK304" s="76" t="b">
        <v>0</v>
      </c>
      <c r="BL304" s="76"/>
      <c r="BM304" s="76" t="s">
        <v>66</v>
      </c>
      <c r="BN304" s="76" t="s">
        <v>19635</v>
      </c>
      <c r="BO304" s="83" t="str">
        <f>HYPERLINK("https://twitter.com/ttorres_oficial")</f>
        <v>https://twitter.com/ttorres_oficial</v>
      </c>
      <c r="BP304" s="2"/>
    </row>
    <row r="305" spans="1:68" x14ac:dyDescent="0.25">
      <c r="A305" s="62" t="s">
        <v>484</v>
      </c>
      <c r="B305" s="63"/>
      <c r="C305" s="63"/>
      <c r="D305" s="64"/>
      <c r="E305" s="66"/>
      <c r="F305" s="103" t="str">
        <f>HYPERLINK("https://pbs.twimg.com/profile_images/1698562168063483904/satrc1PI_normal.jpg")</f>
        <v>https://pbs.twimg.com/profile_images/1698562168063483904/satrc1PI_normal.jpg</v>
      </c>
      <c r="G305" s="63"/>
      <c r="H305" s="67"/>
      <c r="I305" s="68"/>
      <c r="J305" s="68"/>
      <c r="K305" s="67" t="s">
        <v>19937</v>
      </c>
      <c r="L305" s="71"/>
      <c r="M305" s="72"/>
      <c r="N305" s="72"/>
      <c r="O305" s="73"/>
      <c r="P305" s="74"/>
      <c r="Q305" s="74"/>
      <c r="R305" s="87"/>
      <c r="S305" s="87"/>
      <c r="T305" s="87"/>
      <c r="U305" s="87"/>
      <c r="V305" s="48"/>
      <c r="W305" s="48"/>
      <c r="X305" s="47">
        <v>1.101E-3</v>
      </c>
      <c r="Y305" s="48"/>
      <c r="Z305" s="47"/>
      <c r="AA305" s="69">
        <v>305</v>
      </c>
      <c r="AB305" s="69"/>
      <c r="AC305" s="70"/>
      <c r="AD305" s="76" t="s">
        <v>16940</v>
      </c>
      <c r="AE305" s="81" t="s">
        <v>16272</v>
      </c>
      <c r="AF305" s="76">
        <v>141</v>
      </c>
      <c r="AG305" s="76">
        <v>171</v>
      </c>
      <c r="AH305" s="76">
        <v>5918</v>
      </c>
      <c r="AI305" s="76">
        <v>0</v>
      </c>
      <c r="AJ305" s="76">
        <v>6370</v>
      </c>
      <c r="AK305" s="76">
        <v>246</v>
      </c>
      <c r="AL305" s="76" t="b">
        <v>0</v>
      </c>
      <c r="AM305" s="78">
        <v>44507.887858796297</v>
      </c>
      <c r="AN305" s="76" t="s">
        <v>10561</v>
      </c>
      <c r="AO305" s="76" t="s">
        <v>18428</v>
      </c>
      <c r="AP305" s="83" t="str">
        <f>HYPERLINK("https://t.co/FtIZoG7k6b")</f>
        <v>https://t.co/FtIZoG7k6b</v>
      </c>
      <c r="AQ305" s="83" t="str">
        <f>HYPERLINK("http://muttercorp.com.br")</f>
        <v>http://muttercorp.com.br</v>
      </c>
      <c r="AR305" s="76" t="s">
        <v>19179</v>
      </c>
      <c r="AS305" s="76"/>
      <c r="AT305" s="76"/>
      <c r="AU305" s="76"/>
      <c r="AV305" s="76"/>
      <c r="AW305" s="83" t="str">
        <f>HYPERLINK("https://t.co/FtIZoG7k6b")</f>
        <v>https://t.co/FtIZoG7k6b</v>
      </c>
      <c r="AX305" s="76" t="b">
        <v>0</v>
      </c>
      <c r="AY305" s="76"/>
      <c r="AZ305" s="76"/>
      <c r="BA305" s="76" t="b">
        <v>0</v>
      </c>
      <c r="BB305" s="76" t="b">
        <v>1</v>
      </c>
      <c r="BC305" s="76" t="b">
        <v>1</v>
      </c>
      <c r="BD305" s="76" t="b">
        <v>0</v>
      </c>
      <c r="BE305" s="76" t="b">
        <v>1</v>
      </c>
      <c r="BF305" s="76" t="b">
        <v>0</v>
      </c>
      <c r="BG305" s="76" t="b">
        <v>0</v>
      </c>
      <c r="BH305" s="83" t="str">
        <f>HYPERLINK("https://pbs.twimg.com/profile_banners/1457457239170732033/1693803753")</f>
        <v>https://pbs.twimg.com/profile_banners/1457457239170732033/1693803753</v>
      </c>
      <c r="BI305" s="76"/>
      <c r="BJ305" s="76" t="s">
        <v>19633</v>
      </c>
      <c r="BK305" s="76" t="b">
        <v>0</v>
      </c>
      <c r="BL305" s="76"/>
      <c r="BM305" s="76" t="s">
        <v>66</v>
      </c>
      <c r="BN305" s="76" t="s">
        <v>19635</v>
      </c>
      <c r="BO305" s="83" t="str">
        <f>HYPERLINK("https://twitter.com/maikonweber1")</f>
        <v>https://twitter.com/maikonweber1</v>
      </c>
      <c r="BP305" s="2"/>
    </row>
    <row r="306" spans="1:68" x14ac:dyDescent="0.25">
      <c r="A306" s="62" t="s">
        <v>485</v>
      </c>
      <c r="B306" s="63"/>
      <c r="C306" s="63"/>
      <c r="D306" s="64"/>
      <c r="E306" s="66"/>
      <c r="F306" s="103" t="str">
        <f>HYPERLINK("https://pbs.twimg.com/profile_images/1638199719963885568/6Gg0lHX3_normal.jpg")</f>
        <v>https://pbs.twimg.com/profile_images/1638199719963885568/6Gg0lHX3_normal.jpg</v>
      </c>
      <c r="G306" s="63"/>
      <c r="H306" s="67"/>
      <c r="I306" s="68"/>
      <c r="J306" s="68"/>
      <c r="K306" s="67" t="s">
        <v>19938</v>
      </c>
      <c r="L306" s="71"/>
      <c r="M306" s="72"/>
      <c r="N306" s="72"/>
      <c r="O306" s="73"/>
      <c r="P306" s="74"/>
      <c r="Q306" s="74"/>
      <c r="R306" s="87"/>
      <c r="S306" s="87"/>
      <c r="T306" s="87"/>
      <c r="U306" s="87"/>
      <c r="V306" s="48"/>
      <c r="W306" s="48"/>
      <c r="X306" s="47">
        <v>1.101E-3</v>
      </c>
      <c r="Y306" s="48"/>
      <c r="Z306" s="47"/>
      <c r="AA306" s="69">
        <v>306</v>
      </c>
      <c r="AB306" s="69"/>
      <c r="AC306" s="70"/>
      <c r="AD306" s="76" t="s">
        <v>16941</v>
      </c>
      <c r="AE306" s="81" t="s">
        <v>16273</v>
      </c>
      <c r="AF306" s="76">
        <v>12</v>
      </c>
      <c r="AG306" s="76">
        <v>3</v>
      </c>
      <c r="AH306" s="76">
        <v>47</v>
      </c>
      <c r="AI306" s="76">
        <v>0</v>
      </c>
      <c r="AJ306" s="76">
        <v>0</v>
      </c>
      <c r="AK306" s="76">
        <v>4</v>
      </c>
      <c r="AL306" s="76" t="b">
        <v>0</v>
      </c>
      <c r="AM306" s="78">
        <v>45006.639166666668</v>
      </c>
      <c r="AN306" s="76"/>
      <c r="AO306" s="76" t="s">
        <v>18429</v>
      </c>
      <c r="AP306" s="76"/>
      <c r="AQ306" s="76"/>
      <c r="AR306" s="76"/>
      <c r="AS306" s="76"/>
      <c r="AT306" s="76"/>
      <c r="AU306" s="76"/>
      <c r="AV306" s="76">
        <v>1.64553614923729E+18</v>
      </c>
      <c r="AW306" s="76"/>
      <c r="AX306" s="76" t="b">
        <v>0</v>
      </c>
      <c r="AY306" s="76"/>
      <c r="AZ306" s="76"/>
      <c r="BA306" s="76" t="b">
        <v>0</v>
      </c>
      <c r="BB306" s="76" t="b">
        <v>1</v>
      </c>
      <c r="BC306" s="76" t="b">
        <v>1</v>
      </c>
      <c r="BD306" s="76" t="b">
        <v>0</v>
      </c>
      <c r="BE306" s="76" t="b">
        <v>0</v>
      </c>
      <c r="BF306" s="76" t="b">
        <v>0</v>
      </c>
      <c r="BG306" s="76" t="b">
        <v>0</v>
      </c>
      <c r="BH306" s="83" t="str">
        <f>HYPERLINK("https://pbs.twimg.com/profile_banners/1638198090669670402/1680054943")</f>
        <v>https://pbs.twimg.com/profile_banners/1638198090669670402/1680054943</v>
      </c>
      <c r="BI306" s="76"/>
      <c r="BJ306" s="76" t="s">
        <v>19633</v>
      </c>
      <c r="BK306" s="76" t="b">
        <v>0</v>
      </c>
      <c r="BL306" s="76"/>
      <c r="BM306" s="76" t="s">
        <v>66</v>
      </c>
      <c r="BN306" s="76" t="s">
        <v>19635</v>
      </c>
      <c r="BO306" s="83" t="str">
        <f>HYPERLINK("https://twitter.com/admucdb2k23")</f>
        <v>https://twitter.com/admucdb2k23</v>
      </c>
      <c r="BP306" s="2"/>
    </row>
    <row r="307" spans="1:68" x14ac:dyDescent="0.25">
      <c r="A307" s="62" t="s">
        <v>486</v>
      </c>
      <c r="B307" s="63"/>
      <c r="C307" s="63"/>
      <c r="D307" s="64"/>
      <c r="E307" s="66"/>
      <c r="F307" s="103" t="str">
        <f>HYPERLINK("https://pbs.twimg.com/profile_images/1677000136701124608/bkma_mNv_normal.jpg")</f>
        <v>https://pbs.twimg.com/profile_images/1677000136701124608/bkma_mNv_normal.jpg</v>
      </c>
      <c r="G307" s="63"/>
      <c r="H307" s="67"/>
      <c r="I307" s="68"/>
      <c r="J307" s="68"/>
      <c r="K307" s="67" t="s">
        <v>19939</v>
      </c>
      <c r="L307" s="71"/>
      <c r="M307" s="72"/>
      <c r="N307" s="72"/>
      <c r="O307" s="73"/>
      <c r="P307" s="74"/>
      <c r="Q307" s="74"/>
      <c r="R307" s="87"/>
      <c r="S307" s="87"/>
      <c r="T307" s="87"/>
      <c r="U307" s="87"/>
      <c r="V307" s="48"/>
      <c r="W307" s="48"/>
      <c r="X307" s="47">
        <v>1.101E-3</v>
      </c>
      <c r="Y307" s="48"/>
      <c r="Z307" s="47"/>
      <c r="AA307" s="69">
        <v>307</v>
      </c>
      <c r="AB307" s="69"/>
      <c r="AC307" s="70"/>
      <c r="AD307" s="76" t="s">
        <v>16942</v>
      </c>
      <c r="AE307" s="81" t="s">
        <v>15719</v>
      </c>
      <c r="AF307" s="76">
        <v>653</v>
      </c>
      <c r="AG307" s="76">
        <v>337</v>
      </c>
      <c r="AH307" s="76">
        <v>17651</v>
      </c>
      <c r="AI307" s="76">
        <v>9</v>
      </c>
      <c r="AJ307" s="76">
        <v>51285</v>
      </c>
      <c r="AK307" s="76">
        <v>308</v>
      </c>
      <c r="AL307" s="76" t="b">
        <v>0</v>
      </c>
      <c r="AM307" s="78">
        <v>43577.851944444446</v>
      </c>
      <c r="AN307" s="76" t="s">
        <v>17974</v>
      </c>
      <c r="AO307" s="83" t="str">
        <f>HYPERLINK("https://t.co/xIxV1zsRqu")</f>
        <v>https://t.co/xIxV1zsRqu</v>
      </c>
      <c r="AP307" s="76"/>
      <c r="AQ307" s="76"/>
      <c r="AR307" s="76"/>
      <c r="AS307" s="83" t="str">
        <f>HYPERLINK("https://t.co/xIxV1zsRqu")</f>
        <v>https://t.co/xIxV1zsRqu</v>
      </c>
      <c r="AT307" s="83" t="str">
        <f>HYPERLINK("http://dindinsemfim.blogspot.com")</f>
        <v>http://dindinsemfim.blogspot.com</v>
      </c>
      <c r="AU307" s="76" t="s">
        <v>19597</v>
      </c>
      <c r="AV307" s="76">
        <v>1.69656579577661E+18</v>
      </c>
      <c r="AW307" s="76"/>
      <c r="AX307" s="76" t="b">
        <v>1</v>
      </c>
      <c r="AY307" s="76"/>
      <c r="AZ307" s="76"/>
      <c r="BA307" s="76" t="b">
        <v>0</v>
      </c>
      <c r="BB307" s="76" t="b">
        <v>1</v>
      </c>
      <c r="BC307" s="76" t="b">
        <v>1</v>
      </c>
      <c r="BD307" s="76" t="b">
        <v>0</v>
      </c>
      <c r="BE307" s="76" t="b">
        <v>0</v>
      </c>
      <c r="BF307" s="76" t="b">
        <v>0</v>
      </c>
      <c r="BG307" s="76" t="b">
        <v>0</v>
      </c>
      <c r="BH307" s="83" t="str">
        <f>HYPERLINK("https://pbs.twimg.com/profile_banners/1120423731199975425/1567974890")</f>
        <v>https://pbs.twimg.com/profile_banners/1120423731199975425/1567974890</v>
      </c>
      <c r="BI307" s="76"/>
      <c r="BJ307" s="76" t="s">
        <v>19633</v>
      </c>
      <c r="BK307" s="76" t="b">
        <v>0</v>
      </c>
      <c r="BL307" s="76"/>
      <c r="BM307" s="76" t="s">
        <v>66</v>
      </c>
      <c r="BN307" s="76" t="s">
        <v>19635</v>
      </c>
      <c r="BO307" s="83" t="str">
        <f>HYPERLINK("https://twitter.com/realpauloborba")</f>
        <v>https://twitter.com/realpauloborba</v>
      </c>
      <c r="BP307" s="2"/>
    </row>
    <row r="308" spans="1:68" x14ac:dyDescent="0.25">
      <c r="A308" s="62" t="s">
        <v>487</v>
      </c>
      <c r="B308" s="63"/>
      <c r="C308" s="63"/>
      <c r="D308" s="64"/>
      <c r="E308" s="66"/>
      <c r="F308" s="103" t="str">
        <f>HYPERLINK("https://pbs.twimg.com/profile_images/1373362231493201924/BoaCJBCD_normal.jpg")</f>
        <v>https://pbs.twimg.com/profile_images/1373362231493201924/BoaCJBCD_normal.jpg</v>
      </c>
      <c r="G308" s="63"/>
      <c r="H308" s="67"/>
      <c r="I308" s="68"/>
      <c r="J308" s="68"/>
      <c r="K308" s="67" t="s">
        <v>19940</v>
      </c>
      <c r="L308" s="71"/>
      <c r="M308" s="72"/>
      <c r="N308" s="72"/>
      <c r="O308" s="73"/>
      <c r="P308" s="74"/>
      <c r="Q308" s="74"/>
      <c r="R308" s="87"/>
      <c r="S308" s="87"/>
      <c r="T308" s="87"/>
      <c r="U308" s="87"/>
      <c r="V308" s="48"/>
      <c r="W308" s="48"/>
      <c r="X308" s="47">
        <v>1.101E-3</v>
      </c>
      <c r="Y308" s="48"/>
      <c r="Z308" s="47"/>
      <c r="AA308" s="69">
        <v>308</v>
      </c>
      <c r="AB308" s="69"/>
      <c r="AC308" s="70"/>
      <c r="AD308" s="76" t="s">
        <v>16943</v>
      </c>
      <c r="AE308" s="81" t="s">
        <v>16274</v>
      </c>
      <c r="AF308" s="76">
        <v>10</v>
      </c>
      <c r="AG308" s="76">
        <v>0</v>
      </c>
      <c r="AH308" s="76">
        <v>737</v>
      </c>
      <c r="AI308" s="76">
        <v>0</v>
      </c>
      <c r="AJ308" s="76">
        <v>0</v>
      </c>
      <c r="AK308" s="76">
        <v>363</v>
      </c>
      <c r="AL308" s="76" t="b">
        <v>0</v>
      </c>
      <c r="AM308" s="78">
        <v>44248.538715277777</v>
      </c>
      <c r="AN308" s="76" t="s">
        <v>10622</v>
      </c>
      <c r="AO308" s="76" t="s">
        <v>18430</v>
      </c>
      <c r="AP308" s="83" t="str">
        <f>HYPERLINK("https://t.co/eoyxIjRi74")</f>
        <v>https://t.co/eoyxIjRi74</v>
      </c>
      <c r="AQ308" s="83" t="str">
        <f>HYPERLINK("https://alexandregarrettrh.com.br/")</f>
        <v>https://alexandregarrettrh.com.br/</v>
      </c>
      <c r="AR308" s="76" t="s">
        <v>19180</v>
      </c>
      <c r="AS308" s="76"/>
      <c r="AT308" s="76"/>
      <c r="AU308" s="76"/>
      <c r="AV308" s="76"/>
      <c r="AW308" s="83" t="str">
        <f>HYPERLINK("https://t.co/eoyxIjRi74")</f>
        <v>https://t.co/eoyxIjRi74</v>
      </c>
      <c r="AX308" s="76" t="b">
        <v>0</v>
      </c>
      <c r="AY308" s="76"/>
      <c r="AZ308" s="76"/>
      <c r="BA308" s="76" t="b">
        <v>0</v>
      </c>
      <c r="BB308" s="76" t="b">
        <v>1</v>
      </c>
      <c r="BC308" s="76" t="b">
        <v>1</v>
      </c>
      <c r="BD308" s="76" t="b">
        <v>0</v>
      </c>
      <c r="BE308" s="76" t="b">
        <v>0</v>
      </c>
      <c r="BF308" s="76" t="b">
        <v>0</v>
      </c>
      <c r="BG308" s="76" t="b">
        <v>0</v>
      </c>
      <c r="BH308" s="83" t="str">
        <f>HYPERLINK("https://pbs.twimg.com/profile_banners/1363472321906962432/1613913597")</f>
        <v>https://pbs.twimg.com/profile_banners/1363472321906962432/1613913597</v>
      </c>
      <c r="BI308" s="76"/>
      <c r="BJ308" s="76" t="s">
        <v>19633</v>
      </c>
      <c r="BK308" s="76" t="b">
        <v>0</v>
      </c>
      <c r="BL308" s="76"/>
      <c r="BM308" s="76" t="s">
        <v>66</v>
      </c>
      <c r="BN308" s="76" t="s">
        <v>19635</v>
      </c>
      <c r="BO308" s="83" t="str">
        <f>HYPERLINK("https://twitter.com/rh_garrett")</f>
        <v>https://twitter.com/rh_garrett</v>
      </c>
      <c r="BP308" s="2"/>
    </row>
    <row r="309" spans="1:68" x14ac:dyDescent="0.25">
      <c r="A309" s="62" t="s">
        <v>488</v>
      </c>
      <c r="B309" s="63"/>
      <c r="C309" s="63"/>
      <c r="D309" s="64"/>
      <c r="E309" s="66"/>
      <c r="F309" s="103" t="str">
        <f>HYPERLINK("https://pbs.twimg.com/profile_images/799749303497584640/-yU1tKyG_normal.jpg")</f>
        <v>https://pbs.twimg.com/profile_images/799749303497584640/-yU1tKyG_normal.jpg</v>
      </c>
      <c r="G309" s="63"/>
      <c r="H309" s="67"/>
      <c r="I309" s="68"/>
      <c r="J309" s="68"/>
      <c r="K309" s="67" t="s">
        <v>19941</v>
      </c>
      <c r="L309" s="71"/>
      <c r="M309" s="72"/>
      <c r="N309" s="72"/>
      <c r="O309" s="73"/>
      <c r="P309" s="74"/>
      <c r="Q309" s="74"/>
      <c r="R309" s="87"/>
      <c r="S309" s="87"/>
      <c r="T309" s="87"/>
      <c r="U309" s="87"/>
      <c r="V309" s="48"/>
      <c r="W309" s="48"/>
      <c r="X309" s="47">
        <v>1.101E-3</v>
      </c>
      <c r="Y309" s="48"/>
      <c r="Z309" s="47"/>
      <c r="AA309" s="69">
        <v>309</v>
      </c>
      <c r="AB309" s="69"/>
      <c r="AC309" s="70"/>
      <c r="AD309" s="76" t="s">
        <v>16944</v>
      </c>
      <c r="AE309" s="81" t="s">
        <v>17648</v>
      </c>
      <c r="AF309" s="76">
        <v>877</v>
      </c>
      <c r="AG309" s="76">
        <v>192</v>
      </c>
      <c r="AH309" s="76">
        <v>7952</v>
      </c>
      <c r="AI309" s="76">
        <v>9</v>
      </c>
      <c r="AJ309" s="76">
        <v>88</v>
      </c>
      <c r="AK309" s="76">
        <v>4090</v>
      </c>
      <c r="AL309" s="76" t="b">
        <v>0</v>
      </c>
      <c r="AM309" s="78">
        <v>39927.903414351851</v>
      </c>
      <c r="AN309" s="76" t="s">
        <v>17975</v>
      </c>
      <c r="AO309" s="76" t="s">
        <v>18431</v>
      </c>
      <c r="AP309" s="83" t="str">
        <f>HYPERLINK("https://t.co/upgSizsH9z")</f>
        <v>https://t.co/upgSizsH9z</v>
      </c>
      <c r="AQ309" s="83" t="str">
        <f>HYPERLINK("http://www.portalviva.com.br")</f>
        <v>http://www.portalviva.com.br</v>
      </c>
      <c r="AR309" s="76" t="s">
        <v>19181</v>
      </c>
      <c r="AS309" s="83" t="str">
        <f>HYPERLINK("https://t.co/bjI5DKFhfk")</f>
        <v>https://t.co/bjI5DKFhfk</v>
      </c>
      <c r="AT309" s="83" t="str">
        <f>HYPERLINK("http://portalviva.com.br")</f>
        <v>http://portalviva.com.br</v>
      </c>
      <c r="AU309" s="76" t="s">
        <v>19181</v>
      </c>
      <c r="AV309" s="76"/>
      <c r="AW309" s="83" t="str">
        <f>HYPERLINK("https://t.co/upgSizsH9z")</f>
        <v>https://t.co/upgSizsH9z</v>
      </c>
      <c r="AX309" s="76" t="b">
        <v>0</v>
      </c>
      <c r="AY309" s="76"/>
      <c r="AZ309" s="76"/>
      <c r="BA309" s="76" t="b">
        <v>0</v>
      </c>
      <c r="BB309" s="76" t="b">
        <v>1</v>
      </c>
      <c r="BC309" s="76" t="b">
        <v>0</v>
      </c>
      <c r="BD309" s="76" t="b">
        <v>0</v>
      </c>
      <c r="BE309" s="76" t="b">
        <v>1</v>
      </c>
      <c r="BF309" s="76" t="b">
        <v>0</v>
      </c>
      <c r="BG309" s="76" t="b">
        <v>0</v>
      </c>
      <c r="BH309" s="83" t="str">
        <f>HYPERLINK("https://pbs.twimg.com/profile_banners/35049549/1479509924")</f>
        <v>https://pbs.twimg.com/profile_banners/35049549/1479509924</v>
      </c>
      <c r="BI309" s="76"/>
      <c r="BJ309" s="76" t="s">
        <v>19633</v>
      </c>
      <c r="BK309" s="76" t="b">
        <v>0</v>
      </c>
      <c r="BL309" s="76"/>
      <c r="BM309" s="76" t="s">
        <v>66</v>
      </c>
      <c r="BN309" s="76" t="s">
        <v>19635</v>
      </c>
      <c r="BO309" s="83" t="str">
        <f>HYPERLINK("https://twitter.com/portal_viva")</f>
        <v>https://twitter.com/portal_viva</v>
      </c>
      <c r="BP309" s="2"/>
    </row>
    <row r="310" spans="1:68" x14ac:dyDescent="0.25">
      <c r="A310" s="62" t="s">
        <v>489</v>
      </c>
      <c r="B310" s="63"/>
      <c r="C310" s="63"/>
      <c r="D310" s="64"/>
      <c r="E310" s="66"/>
      <c r="F310" s="103" t="str">
        <f>HYPERLINK("https://pbs.twimg.com/profile_images/1659220633710895105/Zzk-6x-l_normal.jpg")</f>
        <v>https://pbs.twimg.com/profile_images/1659220633710895105/Zzk-6x-l_normal.jpg</v>
      </c>
      <c r="G310" s="63"/>
      <c r="H310" s="67"/>
      <c r="I310" s="68"/>
      <c r="J310" s="68"/>
      <c r="K310" s="67" t="s">
        <v>19942</v>
      </c>
      <c r="L310" s="71"/>
      <c r="M310" s="72"/>
      <c r="N310" s="72"/>
      <c r="O310" s="73"/>
      <c r="P310" s="74"/>
      <c r="Q310" s="74"/>
      <c r="R310" s="87"/>
      <c r="S310" s="87"/>
      <c r="T310" s="87"/>
      <c r="U310" s="87"/>
      <c r="V310" s="48"/>
      <c r="W310" s="48"/>
      <c r="X310" s="47">
        <v>1.101E-3</v>
      </c>
      <c r="Y310" s="48"/>
      <c r="Z310" s="47"/>
      <c r="AA310" s="69">
        <v>310</v>
      </c>
      <c r="AB310" s="69"/>
      <c r="AC310" s="70"/>
      <c r="AD310" s="76" t="s">
        <v>16945</v>
      </c>
      <c r="AE310" s="81" t="s">
        <v>16275</v>
      </c>
      <c r="AF310" s="76">
        <v>5</v>
      </c>
      <c r="AG310" s="76">
        <v>16</v>
      </c>
      <c r="AH310" s="76">
        <v>11</v>
      </c>
      <c r="AI310" s="76">
        <v>0</v>
      </c>
      <c r="AJ310" s="76">
        <v>0</v>
      </c>
      <c r="AK310" s="76">
        <v>8</v>
      </c>
      <c r="AL310" s="76" t="b">
        <v>0</v>
      </c>
      <c r="AM310" s="78">
        <v>45064.647997685184</v>
      </c>
      <c r="AN310" s="76"/>
      <c r="AO310" s="76" t="s">
        <v>18432</v>
      </c>
      <c r="AP310" s="83" t="str">
        <f>HYPERLINK("https://t.co/1qJOGqc8gO")</f>
        <v>https://t.co/1qJOGqc8gO</v>
      </c>
      <c r="AQ310" s="83" t="str">
        <f>HYPERLINK("https://urbanitae.com")</f>
        <v>https://urbanitae.com</v>
      </c>
      <c r="AR310" s="76" t="s">
        <v>6047</v>
      </c>
      <c r="AS310" s="76"/>
      <c r="AT310" s="76"/>
      <c r="AU310" s="76"/>
      <c r="AV310" s="76"/>
      <c r="AW310" s="83" t="str">
        <f>HYPERLINK("https://t.co/1qJOGqc8gO")</f>
        <v>https://t.co/1qJOGqc8gO</v>
      </c>
      <c r="AX310" s="76" t="b">
        <v>0</v>
      </c>
      <c r="AY310" s="76"/>
      <c r="AZ310" s="76"/>
      <c r="BA310" s="76" t="b">
        <v>0</v>
      </c>
      <c r="BB310" s="76" t="b">
        <v>1</v>
      </c>
      <c r="BC310" s="76" t="b">
        <v>1</v>
      </c>
      <c r="BD310" s="76" t="b">
        <v>0</v>
      </c>
      <c r="BE310" s="76" t="b">
        <v>0</v>
      </c>
      <c r="BF310" s="76" t="b">
        <v>0</v>
      </c>
      <c r="BG310" s="76" t="b">
        <v>0</v>
      </c>
      <c r="BH310" s="83" t="str">
        <f>HYPERLINK("https://pbs.twimg.com/profile_banners/1659220462239358976/1684425732")</f>
        <v>https://pbs.twimg.com/profile_banners/1659220462239358976/1684425732</v>
      </c>
      <c r="BI310" s="76"/>
      <c r="BJ310" s="76" t="s">
        <v>19633</v>
      </c>
      <c r="BK310" s="76" t="b">
        <v>0</v>
      </c>
      <c r="BL310" s="76"/>
      <c r="BM310" s="76" t="s">
        <v>66</v>
      </c>
      <c r="BN310" s="76" t="s">
        <v>19635</v>
      </c>
      <c r="BO310" s="83" t="str">
        <f>HYPERLINK("https://twitter.com/urbanitae_pt")</f>
        <v>https://twitter.com/urbanitae_pt</v>
      </c>
      <c r="BP310" s="2"/>
    </row>
    <row r="311" spans="1:68" x14ac:dyDescent="0.25">
      <c r="A311" s="62" t="s">
        <v>490</v>
      </c>
      <c r="B311" s="63"/>
      <c r="C311" s="63"/>
      <c r="D311" s="64"/>
      <c r="E311" s="66"/>
      <c r="F311" s="103" t="str">
        <f>HYPERLINK("https://pbs.twimg.com/profile_images/1199450693163200512/VQe99Nj4_normal.jpg")</f>
        <v>https://pbs.twimg.com/profile_images/1199450693163200512/VQe99Nj4_normal.jpg</v>
      </c>
      <c r="G311" s="63"/>
      <c r="H311" s="67"/>
      <c r="I311" s="68"/>
      <c r="J311" s="68"/>
      <c r="K311" s="67" t="s">
        <v>19943</v>
      </c>
      <c r="L311" s="71"/>
      <c r="M311" s="72"/>
      <c r="N311" s="72"/>
      <c r="O311" s="73"/>
      <c r="P311" s="74"/>
      <c r="Q311" s="74"/>
      <c r="R311" s="87"/>
      <c r="S311" s="87"/>
      <c r="T311" s="87"/>
      <c r="U311" s="87"/>
      <c r="V311" s="48"/>
      <c r="W311" s="48"/>
      <c r="X311" s="47">
        <v>1.101E-3</v>
      </c>
      <c r="Y311" s="48"/>
      <c r="Z311" s="47"/>
      <c r="AA311" s="69">
        <v>311</v>
      </c>
      <c r="AB311" s="69"/>
      <c r="AC311" s="70"/>
      <c r="AD311" s="76" t="s">
        <v>16946</v>
      </c>
      <c r="AE311" s="81" t="s">
        <v>16276</v>
      </c>
      <c r="AF311" s="76">
        <v>63</v>
      </c>
      <c r="AG311" s="76">
        <v>273</v>
      </c>
      <c r="AH311" s="76">
        <v>43</v>
      </c>
      <c r="AI311" s="76">
        <v>0</v>
      </c>
      <c r="AJ311" s="76">
        <v>106</v>
      </c>
      <c r="AK311" s="76">
        <v>2</v>
      </c>
      <c r="AL311" s="76" t="b">
        <v>0</v>
      </c>
      <c r="AM311" s="78">
        <v>43795.924571759257</v>
      </c>
      <c r="AN311" s="76" t="s">
        <v>10552</v>
      </c>
      <c r="AO311" s="76" t="s">
        <v>18433</v>
      </c>
      <c r="AP311" s="76"/>
      <c r="AQ311" s="76"/>
      <c r="AR311" s="76"/>
      <c r="AS311" s="76"/>
      <c r="AT311" s="76"/>
      <c r="AU311" s="76"/>
      <c r="AV311" s="76">
        <v>1.19946184825027E+18</v>
      </c>
      <c r="AW311" s="76"/>
      <c r="AX311" s="76" t="b">
        <v>0</v>
      </c>
      <c r="AY311" s="76"/>
      <c r="AZ311" s="76"/>
      <c r="BA311" s="76" t="b">
        <v>0</v>
      </c>
      <c r="BB311" s="76" t="b">
        <v>1</v>
      </c>
      <c r="BC311" s="76" t="b">
        <v>1</v>
      </c>
      <c r="BD311" s="76" t="b">
        <v>0</v>
      </c>
      <c r="BE311" s="76" t="b">
        <v>1</v>
      </c>
      <c r="BF311" s="76" t="b">
        <v>0</v>
      </c>
      <c r="BG311" s="76" t="b">
        <v>0</v>
      </c>
      <c r="BH311" s="83" t="str">
        <f>HYPERLINK("https://pbs.twimg.com/profile_banners/1199450508580261888/1574806860")</f>
        <v>https://pbs.twimg.com/profile_banners/1199450508580261888/1574806860</v>
      </c>
      <c r="BI311" s="76"/>
      <c r="BJ311" s="76" t="s">
        <v>19633</v>
      </c>
      <c r="BK311" s="76" t="b">
        <v>0</v>
      </c>
      <c r="BL311" s="76"/>
      <c r="BM311" s="76" t="s">
        <v>66</v>
      </c>
      <c r="BN311" s="76" t="s">
        <v>19635</v>
      </c>
      <c r="BO311" s="83" t="str">
        <f>HYPERLINK("https://twitter.com/contabeisvida")</f>
        <v>https://twitter.com/contabeisvida</v>
      </c>
      <c r="BP311" s="2"/>
    </row>
    <row r="312" spans="1:68" x14ac:dyDescent="0.25">
      <c r="A312" s="62" t="s">
        <v>491</v>
      </c>
      <c r="B312" s="63"/>
      <c r="C312" s="63"/>
      <c r="D312" s="64"/>
      <c r="E312" s="66"/>
      <c r="F312" s="103" t="str">
        <f>HYPERLINK("https://pbs.twimg.com/profile_images/1453699349570072582/sywIckxz_normal.jpg")</f>
        <v>https://pbs.twimg.com/profile_images/1453699349570072582/sywIckxz_normal.jpg</v>
      </c>
      <c r="G312" s="63"/>
      <c r="H312" s="67"/>
      <c r="I312" s="68"/>
      <c r="J312" s="68"/>
      <c r="K312" s="67" t="s">
        <v>19944</v>
      </c>
      <c r="L312" s="71"/>
      <c r="M312" s="72"/>
      <c r="N312" s="72"/>
      <c r="O312" s="73"/>
      <c r="P312" s="74"/>
      <c r="Q312" s="74"/>
      <c r="R312" s="87"/>
      <c r="S312" s="87"/>
      <c r="T312" s="87"/>
      <c r="U312" s="87"/>
      <c r="V312" s="48"/>
      <c r="W312" s="48"/>
      <c r="X312" s="47">
        <v>1.101E-3</v>
      </c>
      <c r="Y312" s="48"/>
      <c r="Z312" s="47"/>
      <c r="AA312" s="69">
        <v>312</v>
      </c>
      <c r="AB312" s="69"/>
      <c r="AC312" s="70"/>
      <c r="AD312" s="76" t="s">
        <v>16947</v>
      </c>
      <c r="AE312" s="81" t="s">
        <v>16277</v>
      </c>
      <c r="AF312" s="76">
        <v>8</v>
      </c>
      <c r="AG312" s="76">
        <v>23</v>
      </c>
      <c r="AH312" s="76">
        <v>156</v>
      </c>
      <c r="AI312" s="76">
        <v>0</v>
      </c>
      <c r="AJ312" s="76">
        <v>154</v>
      </c>
      <c r="AK312" s="76">
        <v>134</v>
      </c>
      <c r="AL312" s="76" t="b">
        <v>0</v>
      </c>
      <c r="AM312" s="78">
        <v>44424.825243055559</v>
      </c>
      <c r="AN312" s="76"/>
      <c r="AO312" s="76"/>
      <c r="AP312" s="76"/>
      <c r="AQ312" s="76"/>
      <c r="AR312" s="76"/>
      <c r="AS312" s="76"/>
      <c r="AT312" s="76"/>
      <c r="AU312" s="76"/>
      <c r="AV312" s="76"/>
      <c r="AW312" s="76"/>
      <c r="AX312" s="76" t="b">
        <v>0</v>
      </c>
      <c r="AY312" s="76"/>
      <c r="AZ312" s="76"/>
      <c r="BA312" s="76" t="b">
        <v>0</v>
      </c>
      <c r="BB312" s="76" t="b">
        <v>1</v>
      </c>
      <c r="BC312" s="76" t="b">
        <v>1</v>
      </c>
      <c r="BD312" s="76" t="b">
        <v>0</v>
      </c>
      <c r="BE312" s="76" t="b">
        <v>0</v>
      </c>
      <c r="BF312" s="76" t="b">
        <v>0</v>
      </c>
      <c r="BG312" s="76" t="b">
        <v>0</v>
      </c>
      <c r="BH312" s="83" t="str">
        <f>HYPERLINK("https://pbs.twimg.com/profile_banners/1427356353274814468/1635424374")</f>
        <v>https://pbs.twimg.com/profile_banners/1427356353274814468/1635424374</v>
      </c>
      <c r="BI312" s="76"/>
      <c r="BJ312" s="76" t="s">
        <v>19633</v>
      </c>
      <c r="BK312" s="76" t="b">
        <v>0</v>
      </c>
      <c r="BL312" s="76"/>
      <c r="BM312" s="76" t="s">
        <v>66</v>
      </c>
      <c r="BN312" s="76" t="s">
        <v>19635</v>
      </c>
      <c r="BO312" s="83" t="str">
        <f>HYPERLINK("https://twitter.com/ebitdaf")</f>
        <v>https://twitter.com/ebitdaf</v>
      </c>
      <c r="BP312" s="2"/>
    </row>
    <row r="313" spans="1:68" x14ac:dyDescent="0.25">
      <c r="A313" s="62" t="s">
        <v>492</v>
      </c>
      <c r="B313" s="63"/>
      <c r="C313" s="63"/>
      <c r="D313" s="64"/>
      <c r="E313" s="66"/>
      <c r="F313" s="103" t="str">
        <f>HYPERLINK("https://pbs.twimg.com/profile_images/1680946665899917314/2O5AnB1u_normal.jpg")</f>
        <v>https://pbs.twimg.com/profile_images/1680946665899917314/2O5AnB1u_normal.jpg</v>
      </c>
      <c r="G313" s="63"/>
      <c r="H313" s="67"/>
      <c r="I313" s="68"/>
      <c r="J313" s="68"/>
      <c r="K313" s="67" t="s">
        <v>19945</v>
      </c>
      <c r="L313" s="71"/>
      <c r="M313" s="72"/>
      <c r="N313" s="72"/>
      <c r="O313" s="73"/>
      <c r="P313" s="74"/>
      <c r="Q313" s="74"/>
      <c r="R313" s="87"/>
      <c r="S313" s="87"/>
      <c r="T313" s="87"/>
      <c r="U313" s="87"/>
      <c r="V313" s="48"/>
      <c r="W313" s="48"/>
      <c r="X313" s="47">
        <v>1.101E-3</v>
      </c>
      <c r="Y313" s="48"/>
      <c r="Z313" s="47"/>
      <c r="AA313" s="69">
        <v>313</v>
      </c>
      <c r="AB313" s="69"/>
      <c r="AC313" s="70"/>
      <c r="AD313" s="76" t="s">
        <v>16948</v>
      </c>
      <c r="AE313" s="81" t="s">
        <v>16278</v>
      </c>
      <c r="AF313" s="76">
        <v>18</v>
      </c>
      <c r="AG313" s="76">
        <v>149</v>
      </c>
      <c r="AH313" s="76">
        <v>896</v>
      </c>
      <c r="AI313" s="76">
        <v>1</v>
      </c>
      <c r="AJ313" s="76">
        <v>121</v>
      </c>
      <c r="AK313" s="76">
        <v>131</v>
      </c>
      <c r="AL313" s="76" t="b">
        <v>0</v>
      </c>
      <c r="AM313" s="78">
        <v>44529.545405092591</v>
      </c>
      <c r="AN313" s="76"/>
      <c r="AO313" s="76" t="s">
        <v>18434</v>
      </c>
      <c r="AP313" s="83" t="str">
        <f>HYPERLINK("https://t.co/W0onUdZC2b")</f>
        <v>https://t.co/W0onUdZC2b</v>
      </c>
      <c r="AQ313" s="83" t="str">
        <f>HYPERLINK("https://instagram.com/marcone.united?igshid=MzNlNGNkZWQ4Mg==")</f>
        <v>https://instagram.com/marcone.united?igshid=MzNlNGNkZWQ4Mg==</v>
      </c>
      <c r="AR313" s="76" t="s">
        <v>19182</v>
      </c>
      <c r="AS313" s="76"/>
      <c r="AT313" s="76"/>
      <c r="AU313" s="76"/>
      <c r="AV313" s="76">
        <v>1.6617292983304E+18</v>
      </c>
      <c r="AW313" s="83" t="str">
        <f>HYPERLINK("https://t.co/W0onUdZC2b")</f>
        <v>https://t.co/W0onUdZC2b</v>
      </c>
      <c r="AX313" s="76" t="b">
        <v>0</v>
      </c>
      <c r="AY313" s="76"/>
      <c r="AZ313" s="76"/>
      <c r="BA313" s="76" t="b">
        <v>0</v>
      </c>
      <c r="BB313" s="76" t="b">
        <v>1</v>
      </c>
      <c r="BC313" s="76" t="b">
        <v>1</v>
      </c>
      <c r="BD313" s="76" t="b">
        <v>0</v>
      </c>
      <c r="BE313" s="76" t="b">
        <v>1</v>
      </c>
      <c r="BF313" s="76" t="b">
        <v>0</v>
      </c>
      <c r="BG313" s="76" t="b">
        <v>0</v>
      </c>
      <c r="BH313" s="83" t="str">
        <f>HYPERLINK("https://pbs.twimg.com/profile_banners/1465305727329882113/1665171544")</f>
        <v>https://pbs.twimg.com/profile_banners/1465305727329882113/1665171544</v>
      </c>
      <c r="BI313" s="76"/>
      <c r="BJ313" s="76" t="s">
        <v>19633</v>
      </c>
      <c r="BK313" s="76" t="b">
        <v>0</v>
      </c>
      <c r="BL313" s="76"/>
      <c r="BM313" s="76" t="s">
        <v>66</v>
      </c>
      <c r="BN313" s="76" t="s">
        <v>19635</v>
      </c>
      <c r="BO313" s="83" t="str">
        <f>HYPERLINK("https://twitter.com/mvcosta22")</f>
        <v>https://twitter.com/mvcosta22</v>
      </c>
      <c r="BP313" s="2"/>
    </row>
    <row r="314" spans="1:68" x14ac:dyDescent="0.25">
      <c r="A314" s="62" t="s">
        <v>493</v>
      </c>
      <c r="B314" s="63"/>
      <c r="C314" s="63"/>
      <c r="D314" s="64"/>
      <c r="E314" s="66"/>
      <c r="F314" s="103" t="str">
        <f>HYPERLINK("https://pbs.twimg.com/profile_images/1503446019744444417/MaZgR9Uf_normal.png")</f>
        <v>https://pbs.twimg.com/profile_images/1503446019744444417/MaZgR9Uf_normal.png</v>
      </c>
      <c r="G314" s="63"/>
      <c r="H314" s="67"/>
      <c r="I314" s="68"/>
      <c r="J314" s="68"/>
      <c r="K314" s="67" t="s">
        <v>19946</v>
      </c>
      <c r="L314" s="71"/>
      <c r="M314" s="72"/>
      <c r="N314" s="72"/>
      <c r="O314" s="73"/>
      <c r="P314" s="74"/>
      <c r="Q314" s="74"/>
      <c r="R314" s="87"/>
      <c r="S314" s="87"/>
      <c r="T314" s="87"/>
      <c r="U314" s="87"/>
      <c r="V314" s="48"/>
      <c r="W314" s="48"/>
      <c r="X314" s="47">
        <v>1.101E-3</v>
      </c>
      <c r="Y314" s="48"/>
      <c r="Z314" s="47"/>
      <c r="AA314" s="69">
        <v>314</v>
      </c>
      <c r="AB314" s="69"/>
      <c r="AC314" s="70"/>
      <c r="AD314" s="76" t="s">
        <v>16949</v>
      </c>
      <c r="AE314" s="81" t="s">
        <v>16279</v>
      </c>
      <c r="AF314" s="76">
        <v>4</v>
      </c>
      <c r="AG314" s="76">
        <v>11</v>
      </c>
      <c r="AH314" s="76">
        <v>114</v>
      </c>
      <c r="AI314" s="76">
        <v>0</v>
      </c>
      <c r="AJ314" s="76">
        <v>3</v>
      </c>
      <c r="AK314" s="76">
        <v>15</v>
      </c>
      <c r="AL314" s="76" t="b">
        <v>0</v>
      </c>
      <c r="AM314" s="78">
        <v>44634.789895833332</v>
      </c>
      <c r="AN314" s="76" t="s">
        <v>10622</v>
      </c>
      <c r="AO314" s="76" t="s">
        <v>18435</v>
      </c>
      <c r="AP314" s="83" t="str">
        <f>HYPERLINK("https://t.co/WNkuiYnJ2q")</f>
        <v>https://t.co/WNkuiYnJ2q</v>
      </c>
      <c r="AQ314" s="83" t="str">
        <f>HYPERLINK("http://www.finscool.com.br")</f>
        <v>http://www.finscool.com.br</v>
      </c>
      <c r="AR314" s="76" t="s">
        <v>19183</v>
      </c>
      <c r="AS314" s="76"/>
      <c r="AT314" s="76"/>
      <c r="AU314" s="76"/>
      <c r="AV314" s="76"/>
      <c r="AW314" s="83" t="str">
        <f>HYPERLINK("https://t.co/WNkuiYnJ2q")</f>
        <v>https://t.co/WNkuiYnJ2q</v>
      </c>
      <c r="AX314" s="76" t="b">
        <v>0</v>
      </c>
      <c r="AY314" s="76"/>
      <c r="AZ314" s="76"/>
      <c r="BA314" s="76" t="b">
        <v>0</v>
      </c>
      <c r="BB314" s="76" t="b">
        <v>1</v>
      </c>
      <c r="BC314" s="76" t="b">
        <v>1</v>
      </c>
      <c r="BD314" s="76" t="b">
        <v>0</v>
      </c>
      <c r="BE314" s="76" t="b">
        <v>0</v>
      </c>
      <c r="BF314" s="76" t="b">
        <v>0</v>
      </c>
      <c r="BG314" s="76" t="b">
        <v>0</v>
      </c>
      <c r="BH314" s="83" t="str">
        <f>HYPERLINK("https://pbs.twimg.com/profile_banners/1503445019499323392/1647284440")</f>
        <v>https://pbs.twimg.com/profile_banners/1503445019499323392/1647284440</v>
      </c>
      <c r="BI314" s="76"/>
      <c r="BJ314" s="76" t="s">
        <v>19633</v>
      </c>
      <c r="BK314" s="76" t="b">
        <v>0</v>
      </c>
      <c r="BL314" s="76"/>
      <c r="BM314" s="76" t="s">
        <v>66</v>
      </c>
      <c r="BN314" s="76" t="s">
        <v>19635</v>
      </c>
      <c r="BO314" s="83" t="str">
        <f>HYPERLINK("https://twitter.com/finscool_br")</f>
        <v>https://twitter.com/finscool_br</v>
      </c>
      <c r="BP314" s="2"/>
    </row>
    <row r="315" spans="1:68" x14ac:dyDescent="0.25">
      <c r="A315" s="62" t="s">
        <v>494</v>
      </c>
      <c r="B315" s="63"/>
      <c r="C315" s="63"/>
      <c r="D315" s="64"/>
      <c r="E315" s="66"/>
      <c r="F315" s="103" t="str">
        <f>HYPERLINK("https://pbs.twimg.com/profile_images/758387876333756418/tz3Ii4iQ_normal.jpg")</f>
        <v>https://pbs.twimg.com/profile_images/758387876333756418/tz3Ii4iQ_normal.jpg</v>
      </c>
      <c r="G315" s="63"/>
      <c r="H315" s="67"/>
      <c r="I315" s="68"/>
      <c r="J315" s="68"/>
      <c r="K315" s="67" t="s">
        <v>19947</v>
      </c>
      <c r="L315" s="71"/>
      <c r="M315" s="72"/>
      <c r="N315" s="72"/>
      <c r="O315" s="73"/>
      <c r="P315" s="74"/>
      <c r="Q315" s="74"/>
      <c r="R315" s="87"/>
      <c r="S315" s="87"/>
      <c r="T315" s="87"/>
      <c r="U315" s="87"/>
      <c r="V315" s="48"/>
      <c r="W315" s="48"/>
      <c r="X315" s="47">
        <v>1.101E-3</v>
      </c>
      <c r="Y315" s="48"/>
      <c r="Z315" s="47"/>
      <c r="AA315" s="69">
        <v>315</v>
      </c>
      <c r="AB315" s="69"/>
      <c r="AC315" s="70"/>
      <c r="AD315" s="76" t="s">
        <v>16950</v>
      </c>
      <c r="AE315" s="81" t="s">
        <v>15720</v>
      </c>
      <c r="AF315" s="76">
        <v>2484</v>
      </c>
      <c r="AG315" s="76">
        <v>949</v>
      </c>
      <c r="AH315" s="76">
        <v>2878</v>
      </c>
      <c r="AI315" s="76">
        <v>75</v>
      </c>
      <c r="AJ315" s="76">
        <v>2331</v>
      </c>
      <c r="AK315" s="76">
        <v>1122</v>
      </c>
      <c r="AL315" s="76" t="b">
        <v>0</v>
      </c>
      <c r="AM315" s="78">
        <v>40084.576377314814</v>
      </c>
      <c r="AN315" s="76" t="s">
        <v>10552</v>
      </c>
      <c r="AO315" s="76" t="s">
        <v>18436</v>
      </c>
      <c r="AP315" s="83" t="str">
        <f>HYPERLINK("https://t.co/h40zt3Oa03")</f>
        <v>https://t.co/h40zt3Oa03</v>
      </c>
      <c r="AQ315" s="83" t="str">
        <f>HYPERLINK("https://linktr.ee/abratesbrasil")</f>
        <v>https://linktr.ee/abratesbrasil</v>
      </c>
      <c r="AR315" s="76" t="s">
        <v>19184</v>
      </c>
      <c r="AS315" s="76"/>
      <c r="AT315" s="76"/>
      <c r="AU315" s="76"/>
      <c r="AV315" s="76">
        <v>1.7016622592551099E+18</v>
      </c>
      <c r="AW315" s="83" t="str">
        <f>HYPERLINK("https://t.co/h40zt3Oa03")</f>
        <v>https://t.co/h40zt3Oa03</v>
      </c>
      <c r="AX315" s="76" t="b">
        <v>0</v>
      </c>
      <c r="AY315" s="76"/>
      <c r="AZ315" s="76"/>
      <c r="BA315" s="76" t="b">
        <v>1</v>
      </c>
      <c r="BB315" s="76" t="b">
        <v>1</v>
      </c>
      <c r="BC315" s="76" t="b">
        <v>0</v>
      </c>
      <c r="BD315" s="76" t="b">
        <v>0</v>
      </c>
      <c r="BE315" s="76" t="b">
        <v>1</v>
      </c>
      <c r="BF315" s="76" t="b">
        <v>0</v>
      </c>
      <c r="BG315" s="76" t="b">
        <v>0</v>
      </c>
      <c r="BH315" s="83" t="str">
        <f>HYPERLINK("https://pbs.twimg.com/profile_banners/78018497/1658405927")</f>
        <v>https://pbs.twimg.com/profile_banners/78018497/1658405927</v>
      </c>
      <c r="BI315" s="76"/>
      <c r="BJ315" s="76" t="s">
        <v>19633</v>
      </c>
      <c r="BK315" s="76" t="b">
        <v>0</v>
      </c>
      <c r="BL315" s="76"/>
      <c r="BM315" s="76" t="s">
        <v>66</v>
      </c>
      <c r="BN315" s="76" t="s">
        <v>19635</v>
      </c>
      <c r="BO315" s="83" t="str">
        <f>HYPERLINK("https://twitter.com/_abrates")</f>
        <v>https://twitter.com/_abrates</v>
      </c>
      <c r="BP315" s="2"/>
    </row>
    <row r="316" spans="1:68" x14ac:dyDescent="0.25">
      <c r="A316" s="62" t="s">
        <v>495</v>
      </c>
      <c r="B316" s="63"/>
      <c r="C316" s="63"/>
      <c r="D316" s="64"/>
      <c r="E316" s="66"/>
      <c r="F316" s="103" t="str">
        <f>HYPERLINK("https://pbs.twimg.com/profile_images/1672080776022704129/tXCTDbKj_normal.jpg")</f>
        <v>https://pbs.twimg.com/profile_images/1672080776022704129/tXCTDbKj_normal.jpg</v>
      </c>
      <c r="G316" s="63"/>
      <c r="H316" s="67"/>
      <c r="I316" s="68"/>
      <c r="J316" s="68"/>
      <c r="K316" s="67" t="s">
        <v>19948</v>
      </c>
      <c r="L316" s="71"/>
      <c r="M316" s="72"/>
      <c r="N316" s="72"/>
      <c r="O316" s="73"/>
      <c r="P316" s="74"/>
      <c r="Q316" s="74"/>
      <c r="R316" s="87"/>
      <c r="S316" s="87"/>
      <c r="T316" s="87"/>
      <c r="U316" s="87"/>
      <c r="V316" s="48"/>
      <c r="W316" s="48"/>
      <c r="X316" s="47">
        <v>1.0009999999999999E-3</v>
      </c>
      <c r="Y316" s="48"/>
      <c r="Z316" s="47"/>
      <c r="AA316" s="69">
        <v>316</v>
      </c>
      <c r="AB316" s="69"/>
      <c r="AC316" s="70"/>
      <c r="AD316" s="76" t="s">
        <v>16951</v>
      </c>
      <c r="AE316" s="81" t="s">
        <v>16280</v>
      </c>
      <c r="AF316" s="76">
        <v>9</v>
      </c>
      <c r="AG316" s="76">
        <v>221</v>
      </c>
      <c r="AH316" s="76">
        <v>128</v>
      </c>
      <c r="AI316" s="76">
        <v>3</v>
      </c>
      <c r="AJ316" s="76">
        <v>796</v>
      </c>
      <c r="AK316" s="76">
        <v>1</v>
      </c>
      <c r="AL316" s="76" t="b">
        <v>0</v>
      </c>
      <c r="AM316" s="78">
        <v>45100.135381944441</v>
      </c>
      <c r="AN316" s="76"/>
      <c r="AO316" s="76" t="s">
        <v>18437</v>
      </c>
      <c r="AP316" s="76"/>
      <c r="AQ316" s="76"/>
      <c r="AR316" s="76"/>
      <c r="AS316" s="76"/>
      <c r="AT316" s="76"/>
      <c r="AU316" s="76"/>
      <c r="AV316" s="76"/>
      <c r="AW316" s="76"/>
      <c r="AX316" s="76" t="b">
        <v>0</v>
      </c>
      <c r="AY316" s="76"/>
      <c r="AZ316" s="76"/>
      <c r="BA316" s="76" t="b">
        <v>0</v>
      </c>
      <c r="BB316" s="76" t="b">
        <v>1</v>
      </c>
      <c r="BC316" s="76" t="b">
        <v>1</v>
      </c>
      <c r="BD316" s="76" t="b">
        <v>0</v>
      </c>
      <c r="BE316" s="76" t="b">
        <v>0</v>
      </c>
      <c r="BF316" s="76" t="b">
        <v>0</v>
      </c>
      <c r="BG316" s="76" t="b">
        <v>0</v>
      </c>
      <c r="BH316" s="83" t="str">
        <f>HYPERLINK("https://pbs.twimg.com/profile_banners/1672080659714539521/1688550633")</f>
        <v>https://pbs.twimg.com/profile_banners/1672080659714539521/1688550633</v>
      </c>
      <c r="BI316" s="76"/>
      <c r="BJ316" s="76" t="s">
        <v>19633</v>
      </c>
      <c r="BK316" s="76" t="b">
        <v>0</v>
      </c>
      <c r="BL316" s="76"/>
      <c r="BM316" s="76" t="s">
        <v>66</v>
      </c>
      <c r="BN316" s="76" t="s">
        <v>19635</v>
      </c>
      <c r="BO316" s="83" t="str">
        <f>HYPERLINK("https://twitter.com/abnerluciano")</f>
        <v>https://twitter.com/abnerluciano</v>
      </c>
      <c r="BP316" s="2"/>
    </row>
    <row r="317" spans="1:68" x14ac:dyDescent="0.25">
      <c r="A317" s="62" t="s">
        <v>1027</v>
      </c>
      <c r="B317" s="63"/>
      <c r="C317" s="63"/>
      <c r="D317" s="64"/>
      <c r="E317" s="66"/>
      <c r="F317" s="103" t="str">
        <f>HYPERLINK("https://pbs.twimg.com/profile_images/1559883556846977024/bXHnQFY0_normal.jpg")</f>
        <v>https://pbs.twimg.com/profile_images/1559883556846977024/bXHnQFY0_normal.jpg</v>
      </c>
      <c r="G317" s="63"/>
      <c r="H317" s="67"/>
      <c r="I317" s="68"/>
      <c r="J317" s="68"/>
      <c r="K317" s="67" t="s">
        <v>19949</v>
      </c>
      <c r="L317" s="71"/>
      <c r="M317" s="72"/>
      <c r="N317" s="72"/>
      <c r="O317" s="73"/>
      <c r="P317" s="74"/>
      <c r="Q317" s="74"/>
      <c r="R317" s="87"/>
      <c r="S317" s="87"/>
      <c r="T317" s="87"/>
      <c r="U317" s="87"/>
      <c r="V317" s="48"/>
      <c r="W317" s="48"/>
      <c r="X317" s="47">
        <v>1.302E-3</v>
      </c>
      <c r="Y317" s="48"/>
      <c r="Z317" s="47"/>
      <c r="AA317" s="69">
        <v>317</v>
      </c>
      <c r="AB317" s="69"/>
      <c r="AC317" s="70"/>
      <c r="AD317" s="76" t="s">
        <v>16952</v>
      </c>
      <c r="AE317" s="81" t="s">
        <v>17649</v>
      </c>
      <c r="AF317" s="76">
        <v>141888</v>
      </c>
      <c r="AG317" s="76">
        <v>439</v>
      </c>
      <c r="AH317" s="76">
        <v>176487</v>
      </c>
      <c r="AI317" s="76">
        <v>1243</v>
      </c>
      <c r="AJ317" s="76">
        <v>1785</v>
      </c>
      <c r="AK317" s="76">
        <v>560</v>
      </c>
      <c r="AL317" s="76" t="b">
        <v>0</v>
      </c>
      <c r="AM317" s="78">
        <v>39990.739652777775</v>
      </c>
      <c r="AN317" s="76" t="s">
        <v>10561</v>
      </c>
      <c r="AO317" s="76" t="s">
        <v>18438</v>
      </c>
      <c r="AP317" s="83" t="str">
        <f>HYPERLINK("https://t.co/QCKDGJ5y1G")</f>
        <v>https://t.co/QCKDGJ5y1G</v>
      </c>
      <c r="AQ317" s="83" t="str">
        <f>HYPERLINK("https://www.moneytimes.com.br")</f>
        <v>https://www.moneytimes.com.br</v>
      </c>
      <c r="AR317" s="76" t="s">
        <v>19185</v>
      </c>
      <c r="AS317" s="76"/>
      <c r="AT317" s="76"/>
      <c r="AU317" s="76"/>
      <c r="AV317" s="76"/>
      <c r="AW317" s="83" t="str">
        <f>HYPERLINK("https://t.co/QCKDGJ5y1G")</f>
        <v>https://t.co/QCKDGJ5y1G</v>
      </c>
      <c r="AX317" s="76" t="b">
        <v>0</v>
      </c>
      <c r="AY317" s="76"/>
      <c r="AZ317" s="76"/>
      <c r="BA317" s="76" t="b">
        <v>0</v>
      </c>
      <c r="BB317" s="76" t="b">
        <v>1</v>
      </c>
      <c r="BC317" s="76" t="b">
        <v>1</v>
      </c>
      <c r="BD317" s="76" t="b">
        <v>0</v>
      </c>
      <c r="BE317" s="76" t="b">
        <v>1</v>
      </c>
      <c r="BF317" s="76" t="b">
        <v>0</v>
      </c>
      <c r="BG317" s="76" t="b">
        <v>0</v>
      </c>
      <c r="BH317" s="83" t="str">
        <f>HYPERLINK("https://pbs.twimg.com/profile_banners/51150679/1657567475")</f>
        <v>https://pbs.twimg.com/profile_banners/51150679/1657567475</v>
      </c>
      <c r="BI317" s="76"/>
      <c r="BJ317" s="76" t="s">
        <v>19633</v>
      </c>
      <c r="BK317" s="76" t="b">
        <v>0</v>
      </c>
      <c r="BL317" s="76"/>
      <c r="BM317" s="76" t="s">
        <v>66</v>
      </c>
      <c r="BN317" s="76" t="s">
        <v>19635</v>
      </c>
      <c r="BO317" s="83" t="str">
        <f>HYPERLINK("https://twitter.com/leiamoneytimes")</f>
        <v>https://twitter.com/leiamoneytimes</v>
      </c>
      <c r="BP317" s="2"/>
    </row>
    <row r="318" spans="1:68" x14ac:dyDescent="0.25">
      <c r="A318" s="62" t="s">
        <v>496</v>
      </c>
      <c r="B318" s="63"/>
      <c r="C318" s="63"/>
      <c r="D318" s="64"/>
      <c r="E318" s="66"/>
      <c r="F318" s="103" t="str">
        <f>HYPERLINK("https://pbs.twimg.com/profile_images/1642523994317373442/nvqycXA5_normal.jpg")</f>
        <v>https://pbs.twimg.com/profile_images/1642523994317373442/nvqycXA5_normal.jpg</v>
      </c>
      <c r="G318" s="63"/>
      <c r="H318" s="67"/>
      <c r="I318" s="68"/>
      <c r="J318" s="68"/>
      <c r="K318" s="67" t="s">
        <v>19950</v>
      </c>
      <c r="L318" s="71"/>
      <c r="M318" s="72"/>
      <c r="N318" s="72"/>
      <c r="O318" s="73"/>
      <c r="P318" s="74"/>
      <c r="Q318" s="74"/>
      <c r="R318" s="87"/>
      <c r="S318" s="87"/>
      <c r="T318" s="87"/>
      <c r="U318" s="87"/>
      <c r="V318" s="48"/>
      <c r="W318" s="48"/>
      <c r="X318" s="47">
        <v>1.101E-3</v>
      </c>
      <c r="Y318" s="48"/>
      <c r="Z318" s="47"/>
      <c r="AA318" s="69">
        <v>318</v>
      </c>
      <c r="AB318" s="69"/>
      <c r="AC318" s="70"/>
      <c r="AD318" s="76" t="s">
        <v>16953</v>
      </c>
      <c r="AE318" s="81" t="s">
        <v>17650</v>
      </c>
      <c r="AF318" s="76">
        <v>111</v>
      </c>
      <c r="AG318" s="76">
        <v>16</v>
      </c>
      <c r="AH318" s="76">
        <v>3797</v>
      </c>
      <c r="AI318" s="76">
        <v>0</v>
      </c>
      <c r="AJ318" s="76">
        <v>71</v>
      </c>
      <c r="AK318" s="76">
        <v>74</v>
      </c>
      <c r="AL318" s="76" t="b">
        <v>0</v>
      </c>
      <c r="AM318" s="78">
        <v>40743.106863425928</v>
      </c>
      <c r="AN318" s="76" t="s">
        <v>17976</v>
      </c>
      <c r="AO318" s="76" t="s">
        <v>18439</v>
      </c>
      <c r="AP318" s="83" t="str">
        <f>HYPERLINK("https://t.co/UZfvUVednQ")</f>
        <v>https://t.co/UZfvUVednQ</v>
      </c>
      <c r="AQ318" s="83" t="str">
        <f>HYPERLINK("https://www.instagram.com/dawisonbarbosa/")</f>
        <v>https://www.instagram.com/dawisonbarbosa/</v>
      </c>
      <c r="AR318" s="76" t="s">
        <v>19186</v>
      </c>
      <c r="AS318" s="76"/>
      <c r="AT318" s="76"/>
      <c r="AU318" s="76"/>
      <c r="AV318" s="76">
        <v>1.5337615492606799E+18</v>
      </c>
      <c r="AW318" s="83" t="str">
        <f>HYPERLINK("https://t.co/UZfvUVednQ")</f>
        <v>https://t.co/UZfvUVednQ</v>
      </c>
      <c r="AX318" s="76" t="b">
        <v>0</v>
      </c>
      <c r="AY318" s="76"/>
      <c r="AZ318" s="76"/>
      <c r="BA318" s="76" t="b">
        <v>0</v>
      </c>
      <c r="BB318" s="76" t="b">
        <v>1</v>
      </c>
      <c r="BC318" s="76" t="b">
        <v>0</v>
      </c>
      <c r="BD318" s="76" t="b">
        <v>0</v>
      </c>
      <c r="BE318" s="76" t="b">
        <v>0</v>
      </c>
      <c r="BF318" s="76" t="b">
        <v>0</v>
      </c>
      <c r="BG318" s="76" t="b">
        <v>0</v>
      </c>
      <c r="BH318" s="83" t="str">
        <f>HYPERLINK("https://pbs.twimg.com/profile_banners/338097482/1689709711")</f>
        <v>https://pbs.twimg.com/profile_banners/338097482/1689709711</v>
      </c>
      <c r="BI318" s="76"/>
      <c r="BJ318" s="76" t="s">
        <v>19633</v>
      </c>
      <c r="BK318" s="76" t="b">
        <v>0</v>
      </c>
      <c r="BL318" s="76"/>
      <c r="BM318" s="76" t="s">
        <v>66</v>
      </c>
      <c r="BN318" s="76" t="s">
        <v>19635</v>
      </c>
      <c r="BO318" s="83" t="str">
        <f>HYPERLINK("https://twitter.com/dawisonbarbosa")</f>
        <v>https://twitter.com/dawisonbarbosa</v>
      </c>
      <c r="BP318" s="2"/>
    </row>
    <row r="319" spans="1:68" x14ac:dyDescent="0.25">
      <c r="A319" s="62" t="s">
        <v>497</v>
      </c>
      <c r="B319" s="63"/>
      <c r="C319" s="63"/>
      <c r="D319" s="64"/>
      <c r="E319" s="66"/>
      <c r="F319" s="103" t="str">
        <f>HYPERLINK("https://pbs.twimg.com/profile_images/1566961209919823872/iTDxooap_normal.jpg")</f>
        <v>https://pbs.twimg.com/profile_images/1566961209919823872/iTDxooap_normal.jpg</v>
      </c>
      <c r="G319" s="63"/>
      <c r="H319" s="67"/>
      <c r="I319" s="68"/>
      <c r="J319" s="68"/>
      <c r="K319" s="67" t="s">
        <v>19951</v>
      </c>
      <c r="L319" s="71"/>
      <c r="M319" s="72"/>
      <c r="N319" s="72"/>
      <c r="O319" s="73"/>
      <c r="P319" s="74"/>
      <c r="Q319" s="74"/>
      <c r="R319" s="87"/>
      <c r="S319" s="87"/>
      <c r="T319" s="87"/>
      <c r="U319" s="87"/>
      <c r="V319" s="48"/>
      <c r="W319" s="48"/>
      <c r="X319" s="47">
        <v>1.168E-3</v>
      </c>
      <c r="Y319" s="48"/>
      <c r="Z319" s="47"/>
      <c r="AA319" s="69">
        <v>319</v>
      </c>
      <c r="AB319" s="69"/>
      <c r="AC319" s="70"/>
      <c r="AD319" s="76" t="s">
        <v>16954</v>
      </c>
      <c r="AE319" s="81" t="s">
        <v>17651</v>
      </c>
      <c r="AF319" s="76">
        <v>273</v>
      </c>
      <c r="AG319" s="76">
        <v>486</v>
      </c>
      <c r="AH319" s="76">
        <v>7449</v>
      </c>
      <c r="AI319" s="76">
        <v>7</v>
      </c>
      <c r="AJ319" s="76">
        <v>421</v>
      </c>
      <c r="AK319" s="76">
        <v>420</v>
      </c>
      <c r="AL319" s="76" t="b">
        <v>0</v>
      </c>
      <c r="AM319" s="78">
        <v>40135.506226851852</v>
      </c>
      <c r="AN319" s="76" t="s">
        <v>17977</v>
      </c>
      <c r="AO319" s="76" t="s">
        <v>18440</v>
      </c>
      <c r="AP319" s="83" t="str">
        <f>HYPERLINK("https://t.co/oZsYbko74J")</f>
        <v>https://t.co/oZsYbko74J</v>
      </c>
      <c r="AQ319" s="83" t="str">
        <f>HYPERLINK("http://fb.com/ricardoschramm")</f>
        <v>http://fb.com/ricardoschramm</v>
      </c>
      <c r="AR319" s="76" t="s">
        <v>19187</v>
      </c>
      <c r="AS319" s="76"/>
      <c r="AT319" s="76"/>
      <c r="AU319" s="76"/>
      <c r="AV319" s="76"/>
      <c r="AW319" s="83" t="str">
        <f>HYPERLINK("https://t.co/oZsYbko74J")</f>
        <v>https://t.co/oZsYbko74J</v>
      </c>
      <c r="AX319" s="76" t="b">
        <v>0</v>
      </c>
      <c r="AY319" s="76"/>
      <c r="AZ319" s="76"/>
      <c r="BA319" s="76" t="b">
        <v>0</v>
      </c>
      <c r="BB319" s="76" t="b">
        <v>1</v>
      </c>
      <c r="BC319" s="76" t="b">
        <v>0</v>
      </c>
      <c r="BD319" s="76" t="b">
        <v>0</v>
      </c>
      <c r="BE319" s="76" t="b">
        <v>1</v>
      </c>
      <c r="BF319" s="76" t="b">
        <v>0</v>
      </c>
      <c r="BG319" s="76" t="b">
        <v>0</v>
      </c>
      <c r="BH319" s="83" t="str">
        <f>HYPERLINK("https://pbs.twimg.com/profile_banners/90856101/1476539467")</f>
        <v>https://pbs.twimg.com/profile_banners/90856101/1476539467</v>
      </c>
      <c r="BI319" s="76"/>
      <c r="BJ319" s="76" t="s">
        <v>19633</v>
      </c>
      <c r="BK319" s="76" t="b">
        <v>0</v>
      </c>
      <c r="BL319" s="76"/>
      <c r="BM319" s="76" t="s">
        <v>66</v>
      </c>
      <c r="BN319" s="76" t="s">
        <v>19635</v>
      </c>
      <c r="BO319" s="83" t="str">
        <f>HYPERLINK("https://twitter.com/ricardoschramm")</f>
        <v>https://twitter.com/ricardoschramm</v>
      </c>
      <c r="BP319" s="2"/>
    </row>
    <row r="320" spans="1:68" x14ac:dyDescent="0.25">
      <c r="A320" s="62" t="s">
        <v>1078</v>
      </c>
      <c r="B320" s="63"/>
      <c r="C320" s="63"/>
      <c r="D320" s="64"/>
      <c r="E320" s="66"/>
      <c r="F320" s="103" t="str">
        <f>HYPERLINK("https://pbs.twimg.com/profile_images/789039322452389888/2ZTf-_22_normal.jpg")</f>
        <v>https://pbs.twimg.com/profile_images/789039322452389888/2ZTf-_22_normal.jpg</v>
      </c>
      <c r="G320" s="63"/>
      <c r="H320" s="67"/>
      <c r="I320" s="68"/>
      <c r="J320" s="68"/>
      <c r="K320" s="67" t="s">
        <v>19952</v>
      </c>
      <c r="L320" s="71"/>
      <c r="M320" s="72"/>
      <c r="N320" s="72"/>
      <c r="O320" s="73"/>
      <c r="P320" s="74"/>
      <c r="Q320" s="74"/>
      <c r="R320" s="87"/>
      <c r="S320" s="87"/>
      <c r="T320" s="87"/>
      <c r="U320" s="87"/>
      <c r="V320" s="48"/>
      <c r="W320" s="48"/>
      <c r="X320" s="47">
        <v>1.024E-3</v>
      </c>
      <c r="Y320" s="48"/>
      <c r="Z320" s="47"/>
      <c r="AA320" s="69">
        <v>320</v>
      </c>
      <c r="AB320" s="69"/>
      <c r="AC320" s="70"/>
      <c r="AD320" s="76" t="s">
        <v>16955</v>
      </c>
      <c r="AE320" s="81" t="s">
        <v>17652</v>
      </c>
      <c r="AF320" s="76">
        <v>1197888</v>
      </c>
      <c r="AG320" s="76">
        <v>305</v>
      </c>
      <c r="AH320" s="76">
        <v>6622</v>
      </c>
      <c r="AI320" s="76">
        <v>457</v>
      </c>
      <c r="AJ320" s="76">
        <v>56394</v>
      </c>
      <c r="AK320" s="76">
        <v>1310</v>
      </c>
      <c r="AL320" s="76" t="b">
        <v>0</v>
      </c>
      <c r="AM320" s="78">
        <v>40812.049814814818</v>
      </c>
      <c r="AN320" s="76" t="s">
        <v>17978</v>
      </c>
      <c r="AO320" s="76" t="s">
        <v>18441</v>
      </c>
      <c r="AP320" s="83" t="str">
        <f>HYPERLINK("https://t.co/NxVbPFaaVb")</f>
        <v>https://t.co/NxVbPFaaVb</v>
      </c>
      <c r="AQ320" s="83" t="str">
        <f>HYPERLINK("http://www.g1.com.br/sptv")</f>
        <v>http://www.g1.com.br/sptv</v>
      </c>
      <c r="AR320" s="76" t="s">
        <v>19188</v>
      </c>
      <c r="AS320" s="76"/>
      <c r="AT320" s="76"/>
      <c r="AU320" s="76"/>
      <c r="AV320" s="76"/>
      <c r="AW320" s="83" t="str">
        <f>HYPERLINK("https://t.co/NxVbPFaaVb")</f>
        <v>https://t.co/NxVbPFaaVb</v>
      </c>
      <c r="AX320" s="76" t="b">
        <v>1</v>
      </c>
      <c r="AY320" s="76"/>
      <c r="AZ320" s="76"/>
      <c r="BA320" s="76" t="b">
        <v>0</v>
      </c>
      <c r="BB320" s="76" t="b">
        <v>1</v>
      </c>
      <c r="BC320" s="76" t="b">
        <v>0</v>
      </c>
      <c r="BD320" s="76" t="b">
        <v>0</v>
      </c>
      <c r="BE320" s="76" t="b">
        <v>1</v>
      </c>
      <c r="BF320" s="76" t="b">
        <v>0</v>
      </c>
      <c r="BG320" s="76" t="b">
        <v>0</v>
      </c>
      <c r="BH320" s="83" t="str">
        <f>HYPERLINK("https://pbs.twimg.com/profile_banners/380069148/1480360264")</f>
        <v>https://pbs.twimg.com/profile_banners/380069148/1480360264</v>
      </c>
      <c r="BI320" s="76"/>
      <c r="BJ320" s="76" t="s">
        <v>19633</v>
      </c>
      <c r="BK320" s="76" t="b">
        <v>0</v>
      </c>
      <c r="BL320" s="76"/>
      <c r="BM320" s="76" t="s">
        <v>65</v>
      </c>
      <c r="BN320" s="76" t="s">
        <v>19635</v>
      </c>
      <c r="BO320" s="83" t="str">
        <f>HYPERLINK("https://twitter.com/cesartralli")</f>
        <v>https://twitter.com/cesartralli</v>
      </c>
      <c r="BP320" s="2"/>
    </row>
    <row r="321" spans="1:68" x14ac:dyDescent="0.25">
      <c r="A321" s="62" t="s">
        <v>1079</v>
      </c>
      <c r="B321" s="63"/>
      <c r="C321" s="63"/>
      <c r="D321" s="64"/>
      <c r="E321" s="66"/>
      <c r="F321" s="103" t="str">
        <f>HYPERLINK("https://pbs.twimg.com/profile_images/1559102712435933185/mYnEVnNs_normal.jpg")</f>
        <v>https://pbs.twimg.com/profile_images/1559102712435933185/mYnEVnNs_normal.jpg</v>
      </c>
      <c r="G321" s="63"/>
      <c r="H321" s="67"/>
      <c r="I321" s="68"/>
      <c r="J321" s="68"/>
      <c r="K321" s="67" t="s">
        <v>19953</v>
      </c>
      <c r="L321" s="71"/>
      <c r="M321" s="72"/>
      <c r="N321" s="72"/>
      <c r="O321" s="73"/>
      <c r="P321" s="74"/>
      <c r="Q321" s="74"/>
      <c r="R321" s="87"/>
      <c r="S321" s="87"/>
      <c r="T321" s="87"/>
      <c r="U321" s="87"/>
      <c r="V321" s="48"/>
      <c r="W321" s="48"/>
      <c r="X321" s="47">
        <v>1.0449999999999999E-3</v>
      </c>
      <c r="Y321" s="48"/>
      <c r="Z321" s="47"/>
      <c r="AA321" s="69">
        <v>321</v>
      </c>
      <c r="AB321" s="69"/>
      <c r="AC321" s="70"/>
      <c r="AD321" s="76" t="s">
        <v>16956</v>
      </c>
      <c r="AE321" s="81" t="s">
        <v>15721</v>
      </c>
      <c r="AF321" s="76">
        <v>5726427</v>
      </c>
      <c r="AG321" s="76">
        <v>104</v>
      </c>
      <c r="AH321" s="76">
        <v>189513</v>
      </c>
      <c r="AI321" s="76">
        <v>8469</v>
      </c>
      <c r="AJ321" s="76">
        <v>462</v>
      </c>
      <c r="AK321" s="76">
        <v>70504</v>
      </c>
      <c r="AL321" s="76" t="b">
        <v>0</v>
      </c>
      <c r="AM321" s="78">
        <v>40308.813634259262</v>
      </c>
      <c r="AN321" s="76" t="s">
        <v>10552</v>
      </c>
      <c r="AO321" s="76" t="s">
        <v>18442</v>
      </c>
      <c r="AP321" s="83" t="str">
        <f>HYPERLINK("https://t.co/NZMBwbRM0D")</f>
        <v>https://t.co/NZMBwbRM0D</v>
      </c>
      <c r="AQ321" s="83" t="str">
        <f>HYPERLINK("http://g1.com.br/globonews")</f>
        <v>http://g1.com.br/globonews</v>
      </c>
      <c r="AR321" s="76" t="s">
        <v>19189</v>
      </c>
      <c r="AS321" s="76"/>
      <c r="AT321" s="76"/>
      <c r="AU321" s="76"/>
      <c r="AV321" s="76">
        <v>1.70203939830754E+18</v>
      </c>
      <c r="AW321" s="83" t="str">
        <f>HYPERLINK("https://t.co/NZMBwbRM0D")</f>
        <v>https://t.co/NZMBwbRM0D</v>
      </c>
      <c r="AX321" s="76" t="b">
        <v>1</v>
      </c>
      <c r="AY321" s="76"/>
      <c r="AZ321" s="76"/>
      <c r="BA321" s="76" t="b">
        <v>0</v>
      </c>
      <c r="BB321" s="76" t="b">
        <v>0</v>
      </c>
      <c r="BC321" s="76" t="b">
        <v>0</v>
      </c>
      <c r="BD321" s="76" t="b">
        <v>0</v>
      </c>
      <c r="BE321" s="76" t="b">
        <v>1</v>
      </c>
      <c r="BF321" s="76" t="b">
        <v>0</v>
      </c>
      <c r="BG321" s="76" t="b">
        <v>0</v>
      </c>
      <c r="BH321" s="83" t="str">
        <f>HYPERLINK("https://pbs.twimg.com/profile_banners/142393421/1660554029")</f>
        <v>https://pbs.twimg.com/profile_banners/142393421/1660554029</v>
      </c>
      <c r="BI321" s="76"/>
      <c r="BJ321" s="76" t="s">
        <v>19633</v>
      </c>
      <c r="BK321" s="76" t="b">
        <v>0</v>
      </c>
      <c r="BL321" s="76"/>
      <c r="BM321" s="76" t="s">
        <v>65</v>
      </c>
      <c r="BN321" s="76" t="s">
        <v>19635</v>
      </c>
      <c r="BO321" s="83" t="str">
        <f>HYPERLINK("https://twitter.com/globonews")</f>
        <v>https://twitter.com/globonews</v>
      </c>
      <c r="BP321" s="2"/>
    </row>
    <row r="322" spans="1:68" x14ac:dyDescent="0.25">
      <c r="A322" s="62" t="s">
        <v>498</v>
      </c>
      <c r="B322" s="63"/>
      <c r="C322" s="63"/>
      <c r="D322" s="64"/>
      <c r="E322" s="66"/>
      <c r="F322" s="103" t="str">
        <f>HYPERLINK("https://pbs.twimg.com/profile_images/1648329005240647680/Rtl8htS6_normal.jpg")</f>
        <v>https://pbs.twimg.com/profile_images/1648329005240647680/Rtl8htS6_normal.jpg</v>
      </c>
      <c r="G322" s="63"/>
      <c r="H322" s="67"/>
      <c r="I322" s="68"/>
      <c r="J322" s="68"/>
      <c r="K322" s="67" t="s">
        <v>19954</v>
      </c>
      <c r="L322" s="71"/>
      <c r="M322" s="72"/>
      <c r="N322" s="72"/>
      <c r="O322" s="73"/>
      <c r="P322" s="74"/>
      <c r="Q322" s="74"/>
      <c r="R322" s="87"/>
      <c r="S322" s="87"/>
      <c r="T322" s="87"/>
      <c r="U322" s="87"/>
      <c r="V322" s="48"/>
      <c r="W322" s="48"/>
      <c r="X322" s="47">
        <v>1.101E-3</v>
      </c>
      <c r="Y322" s="48"/>
      <c r="Z322" s="47"/>
      <c r="AA322" s="69">
        <v>322</v>
      </c>
      <c r="AB322" s="69"/>
      <c r="AC322" s="70"/>
      <c r="AD322" s="76" t="s">
        <v>16957</v>
      </c>
      <c r="AE322" s="81" t="s">
        <v>16281</v>
      </c>
      <c r="AF322" s="76">
        <v>3</v>
      </c>
      <c r="AG322" s="76">
        <v>12</v>
      </c>
      <c r="AH322" s="76">
        <v>64</v>
      </c>
      <c r="AI322" s="76">
        <v>0</v>
      </c>
      <c r="AJ322" s="76">
        <v>1</v>
      </c>
      <c r="AK322" s="76">
        <v>63</v>
      </c>
      <c r="AL322" s="76" t="b">
        <v>0</v>
      </c>
      <c r="AM322" s="78">
        <v>44868.797986111109</v>
      </c>
      <c r="AN322" s="76"/>
      <c r="AO322" s="76"/>
      <c r="AP322" s="76"/>
      <c r="AQ322" s="76"/>
      <c r="AR322" s="76"/>
      <c r="AS322" s="76"/>
      <c r="AT322" s="76"/>
      <c r="AU322" s="76"/>
      <c r="AV322" s="76"/>
      <c r="AW322" s="76"/>
      <c r="AX322" s="76" t="b">
        <v>0</v>
      </c>
      <c r="AY322" s="76"/>
      <c r="AZ322" s="76"/>
      <c r="BA322" s="76" t="b">
        <v>0</v>
      </c>
      <c r="BB322" s="76" t="b">
        <v>1</v>
      </c>
      <c r="BC322" s="76" t="b">
        <v>1</v>
      </c>
      <c r="BD322" s="76" t="b">
        <v>0</v>
      </c>
      <c r="BE322" s="76" t="b">
        <v>0</v>
      </c>
      <c r="BF322" s="76" t="b">
        <v>0</v>
      </c>
      <c r="BG322" s="76" t="b">
        <v>0</v>
      </c>
      <c r="BH322" s="83" t="str">
        <f>HYPERLINK("https://pbs.twimg.com/profile_banners/1588246819326377984/1681827235")</f>
        <v>https://pbs.twimg.com/profile_banners/1588246819326377984/1681827235</v>
      </c>
      <c r="BI322" s="76"/>
      <c r="BJ322" s="76" t="s">
        <v>19633</v>
      </c>
      <c r="BK322" s="76" t="b">
        <v>0</v>
      </c>
      <c r="BL322" s="76"/>
      <c r="BM322" s="76" t="s">
        <v>66</v>
      </c>
      <c r="BN322" s="76" t="s">
        <v>19635</v>
      </c>
      <c r="BO322" s="83" t="str">
        <f>HYPERLINK("https://twitter.com/ellosuneng")</f>
        <v>https://twitter.com/ellosuneng</v>
      </c>
      <c r="BP322" s="2"/>
    </row>
    <row r="323" spans="1:68" x14ac:dyDescent="0.25">
      <c r="A323" s="62" t="s">
        <v>499</v>
      </c>
      <c r="B323" s="63"/>
      <c r="C323" s="63"/>
      <c r="D323" s="64"/>
      <c r="E323" s="66"/>
      <c r="F323" s="103" t="str">
        <f>HYPERLINK("https://pbs.twimg.com/profile_images/1479504305015205892/z9LtNU8X_normal.jpg")</f>
        <v>https://pbs.twimg.com/profile_images/1479504305015205892/z9LtNU8X_normal.jpg</v>
      </c>
      <c r="G323" s="63"/>
      <c r="H323" s="67"/>
      <c r="I323" s="68"/>
      <c r="J323" s="68"/>
      <c r="K323" s="67" t="s">
        <v>19955</v>
      </c>
      <c r="L323" s="71"/>
      <c r="M323" s="72"/>
      <c r="N323" s="72"/>
      <c r="O323" s="73"/>
      <c r="P323" s="74"/>
      <c r="Q323" s="74"/>
      <c r="R323" s="87"/>
      <c r="S323" s="87"/>
      <c r="T323" s="87"/>
      <c r="U323" s="87"/>
      <c r="V323" s="48"/>
      <c r="W323" s="48"/>
      <c r="X323" s="47">
        <v>1.101E-3</v>
      </c>
      <c r="Y323" s="48"/>
      <c r="Z323" s="47"/>
      <c r="AA323" s="69">
        <v>323</v>
      </c>
      <c r="AB323" s="69"/>
      <c r="AC323" s="70"/>
      <c r="AD323" s="76" t="s">
        <v>16958</v>
      </c>
      <c r="AE323" s="81" t="s">
        <v>16282</v>
      </c>
      <c r="AF323" s="76">
        <v>53</v>
      </c>
      <c r="AG323" s="76">
        <v>1</v>
      </c>
      <c r="AH323" s="76">
        <v>7391</v>
      </c>
      <c r="AI323" s="76">
        <v>0</v>
      </c>
      <c r="AJ323" s="76">
        <v>12</v>
      </c>
      <c r="AK323" s="76">
        <v>6</v>
      </c>
      <c r="AL323" s="76" t="b">
        <v>0</v>
      </c>
      <c r="AM323" s="78">
        <v>44397.742939814816</v>
      </c>
      <c r="AN323" s="76"/>
      <c r="AO323" s="76" t="s">
        <v>18443</v>
      </c>
      <c r="AP323" s="83" t="str">
        <f>HYPERLINK("https://t.co/Dy9Dgauu4I")</f>
        <v>https://t.co/Dy9Dgauu4I</v>
      </c>
      <c r="AQ323" s="83" t="str">
        <f>HYPERLINK("https://reviewprodutos.com")</f>
        <v>https://reviewprodutos.com</v>
      </c>
      <c r="AR323" s="76" t="s">
        <v>19190</v>
      </c>
      <c r="AS323" s="83" t="str">
        <f>HYPERLINK("https://t.co/tmENzg9uQA")</f>
        <v>https://t.co/tmENzg9uQA</v>
      </c>
      <c r="AT323" s="83" t="str">
        <f>HYPERLINK("http://reviewprodutos.com")</f>
        <v>http://reviewprodutos.com</v>
      </c>
      <c r="AU323" s="76" t="s">
        <v>19190</v>
      </c>
      <c r="AV323" s="76"/>
      <c r="AW323" s="83" t="str">
        <f>HYPERLINK("https://t.co/Dy9Dgauu4I")</f>
        <v>https://t.co/Dy9Dgauu4I</v>
      </c>
      <c r="AX323" s="76" t="b">
        <v>0</v>
      </c>
      <c r="AY323" s="76"/>
      <c r="AZ323" s="76"/>
      <c r="BA323" s="76" t="b">
        <v>0</v>
      </c>
      <c r="BB323" s="76" t="b">
        <v>1</v>
      </c>
      <c r="BC323" s="76" t="b">
        <v>1</v>
      </c>
      <c r="BD323" s="76" t="b">
        <v>0</v>
      </c>
      <c r="BE323" s="76" t="b">
        <v>0</v>
      </c>
      <c r="BF323" s="76" t="b">
        <v>0</v>
      </c>
      <c r="BG323" s="76" t="b">
        <v>0</v>
      </c>
      <c r="BH323" s="83" t="str">
        <f>HYPERLINK("https://pbs.twimg.com/profile_banners/1417542239841103875/1641576291")</f>
        <v>https://pbs.twimg.com/profile_banners/1417542239841103875/1641576291</v>
      </c>
      <c r="BI323" s="76"/>
      <c r="BJ323" s="76" t="s">
        <v>19633</v>
      </c>
      <c r="BK323" s="76" t="b">
        <v>0</v>
      </c>
      <c r="BL323" s="76"/>
      <c r="BM323" s="76" t="s">
        <v>66</v>
      </c>
      <c r="BN323" s="76" t="s">
        <v>19635</v>
      </c>
      <c r="BO323" s="83" t="str">
        <f>HYPERLINK("https://twitter.com/bytresloucado")</f>
        <v>https://twitter.com/bytresloucado</v>
      </c>
      <c r="BP323" s="2"/>
    </row>
    <row r="324" spans="1:68" x14ac:dyDescent="0.25">
      <c r="A324" s="62" t="s">
        <v>500</v>
      </c>
      <c r="B324" s="63"/>
      <c r="C324" s="63"/>
      <c r="D324" s="64"/>
      <c r="E324" s="66"/>
      <c r="F324" s="103" t="str">
        <f>HYPERLINK("https://pbs.twimg.com/profile_images/1642491258043072514/Clxoy6WQ_normal.jpg")</f>
        <v>https://pbs.twimg.com/profile_images/1642491258043072514/Clxoy6WQ_normal.jpg</v>
      </c>
      <c r="G324" s="63"/>
      <c r="H324" s="67"/>
      <c r="I324" s="68"/>
      <c r="J324" s="68"/>
      <c r="K324" s="67" t="s">
        <v>19956</v>
      </c>
      <c r="L324" s="71"/>
      <c r="M324" s="72"/>
      <c r="N324" s="72"/>
      <c r="O324" s="73"/>
      <c r="P324" s="74"/>
      <c r="Q324" s="74"/>
      <c r="R324" s="87"/>
      <c r="S324" s="87"/>
      <c r="T324" s="87"/>
      <c r="U324" s="87"/>
      <c r="V324" s="48"/>
      <c r="W324" s="48"/>
      <c r="X324" s="47">
        <v>1.101E-3</v>
      </c>
      <c r="Y324" s="48"/>
      <c r="Z324" s="47"/>
      <c r="AA324" s="69">
        <v>324</v>
      </c>
      <c r="AB324" s="69"/>
      <c r="AC324" s="70"/>
      <c r="AD324" s="76" t="s">
        <v>16959</v>
      </c>
      <c r="AE324" s="81" t="s">
        <v>16283</v>
      </c>
      <c r="AF324" s="76">
        <v>5</v>
      </c>
      <c r="AG324" s="76">
        <v>55</v>
      </c>
      <c r="AH324" s="76">
        <v>103</v>
      </c>
      <c r="AI324" s="76">
        <v>1</v>
      </c>
      <c r="AJ324" s="76">
        <v>5</v>
      </c>
      <c r="AK324" s="76">
        <v>25</v>
      </c>
      <c r="AL324" s="76" t="b">
        <v>0</v>
      </c>
      <c r="AM324" s="78">
        <v>44422.664467592593</v>
      </c>
      <c r="AN324" s="76" t="s">
        <v>10561</v>
      </c>
      <c r="AO324" s="76" t="s">
        <v>18444</v>
      </c>
      <c r="AP324" s="83" t="str">
        <f>HYPERLINK("https://t.co/tE7iU1wYSo")</f>
        <v>https://t.co/tE7iU1wYSo</v>
      </c>
      <c r="AQ324" s="83" t="str">
        <f>HYPERLINK("https://youtu.be/VUYPKy7pw2I")</f>
        <v>https://youtu.be/VUYPKy7pw2I</v>
      </c>
      <c r="AR324" s="76" t="s">
        <v>19191</v>
      </c>
      <c r="AS324" s="76"/>
      <c r="AT324" s="76"/>
      <c r="AU324" s="76"/>
      <c r="AV324" s="76"/>
      <c r="AW324" s="83" t="str">
        <f>HYPERLINK("https://t.co/tE7iU1wYSo")</f>
        <v>https://t.co/tE7iU1wYSo</v>
      </c>
      <c r="AX324" s="76" t="b">
        <v>0</v>
      </c>
      <c r="AY324" s="76"/>
      <c r="AZ324" s="76"/>
      <c r="BA324" s="76" t="b">
        <v>0</v>
      </c>
      <c r="BB324" s="76" t="b">
        <v>1</v>
      </c>
      <c r="BC324" s="76" t="b">
        <v>1</v>
      </c>
      <c r="BD324" s="76" t="b">
        <v>0</v>
      </c>
      <c r="BE324" s="76" t="b">
        <v>0</v>
      </c>
      <c r="BF324" s="76" t="b">
        <v>0</v>
      </c>
      <c r="BG324" s="76" t="b">
        <v>0</v>
      </c>
      <c r="BH324" s="83" t="str">
        <f>HYPERLINK("https://pbs.twimg.com/profile_banners/1426573407450238978/1642181123")</f>
        <v>https://pbs.twimg.com/profile_banners/1426573407450238978/1642181123</v>
      </c>
      <c r="BI324" s="76"/>
      <c r="BJ324" s="76" t="s">
        <v>19633</v>
      </c>
      <c r="BK324" s="76" t="b">
        <v>0</v>
      </c>
      <c r="BL324" s="76"/>
      <c r="BM324" s="76" t="s">
        <v>66</v>
      </c>
      <c r="BN324" s="76" t="s">
        <v>19635</v>
      </c>
      <c r="BO324" s="83" t="str">
        <f>HYPERLINK("https://twitter.com/mano_investidor")</f>
        <v>https://twitter.com/mano_investidor</v>
      </c>
      <c r="BP324" s="2"/>
    </row>
    <row r="325" spans="1:68" x14ac:dyDescent="0.25">
      <c r="A325" s="62" t="s">
        <v>501</v>
      </c>
      <c r="B325" s="63"/>
      <c r="C325" s="63"/>
      <c r="D325" s="64"/>
      <c r="E325" s="66"/>
      <c r="F325" s="103" t="str">
        <f>HYPERLINK("https://pbs.twimg.com/profile_images/1284180514270781440/4s3kZejH_normal.jpg")</f>
        <v>https://pbs.twimg.com/profile_images/1284180514270781440/4s3kZejH_normal.jpg</v>
      </c>
      <c r="G325" s="63"/>
      <c r="H325" s="67"/>
      <c r="I325" s="68"/>
      <c r="J325" s="68"/>
      <c r="K325" s="67" t="s">
        <v>19957</v>
      </c>
      <c r="L325" s="71"/>
      <c r="M325" s="72"/>
      <c r="N325" s="72"/>
      <c r="O325" s="73"/>
      <c r="P325" s="74"/>
      <c r="Q325" s="74"/>
      <c r="R325" s="87"/>
      <c r="S325" s="87"/>
      <c r="T325" s="87"/>
      <c r="U325" s="87"/>
      <c r="V325" s="48"/>
      <c r="W325" s="48"/>
      <c r="X325" s="47">
        <v>1.101E-3</v>
      </c>
      <c r="Y325" s="48"/>
      <c r="Z325" s="47"/>
      <c r="AA325" s="69">
        <v>325</v>
      </c>
      <c r="AB325" s="69"/>
      <c r="AC325" s="70"/>
      <c r="AD325" s="76" t="s">
        <v>16960</v>
      </c>
      <c r="AE325" s="81" t="s">
        <v>16284</v>
      </c>
      <c r="AF325" s="76">
        <v>61</v>
      </c>
      <c r="AG325" s="76">
        <v>178</v>
      </c>
      <c r="AH325" s="76">
        <v>198</v>
      </c>
      <c r="AI325" s="76">
        <v>1</v>
      </c>
      <c r="AJ325" s="76">
        <v>80</v>
      </c>
      <c r="AK325" s="76">
        <v>66</v>
      </c>
      <c r="AL325" s="76" t="b">
        <v>0</v>
      </c>
      <c r="AM325" s="78">
        <v>44029.734189814815</v>
      </c>
      <c r="AN325" s="76" t="s">
        <v>10554</v>
      </c>
      <c r="AO325" s="76" t="s">
        <v>18445</v>
      </c>
      <c r="AP325" s="83" t="str">
        <f>HYPERLINK("https://t.co/zPBNWzgkVL")</f>
        <v>https://t.co/zPBNWzgkVL</v>
      </c>
      <c r="AQ325" s="83" t="str">
        <f>HYPERLINK("http://www.academiabolsa.pt")</f>
        <v>http://www.academiabolsa.pt</v>
      </c>
      <c r="AR325" s="76" t="s">
        <v>6049</v>
      </c>
      <c r="AS325" s="76"/>
      <c r="AT325" s="76"/>
      <c r="AU325" s="76"/>
      <c r="AV325" s="76"/>
      <c r="AW325" s="83" t="str">
        <f>HYPERLINK("https://t.co/zPBNWzgkVL")</f>
        <v>https://t.co/zPBNWzgkVL</v>
      </c>
      <c r="AX325" s="76" t="b">
        <v>0</v>
      </c>
      <c r="AY325" s="76"/>
      <c r="AZ325" s="76"/>
      <c r="BA325" s="76" t="b">
        <v>0</v>
      </c>
      <c r="BB325" s="76" t="b">
        <v>1</v>
      </c>
      <c r="BC325" s="76" t="b">
        <v>1</v>
      </c>
      <c r="BD325" s="76" t="b">
        <v>0</v>
      </c>
      <c r="BE325" s="76" t="b">
        <v>0</v>
      </c>
      <c r="BF325" s="76" t="b">
        <v>0</v>
      </c>
      <c r="BG325" s="76" t="b">
        <v>0</v>
      </c>
      <c r="BH325" s="83" t="str">
        <f>HYPERLINK("https://pbs.twimg.com/profile_banners/1284180304215900160/1665933414")</f>
        <v>https://pbs.twimg.com/profile_banners/1284180304215900160/1665933414</v>
      </c>
      <c r="BI325" s="76"/>
      <c r="BJ325" s="76" t="s">
        <v>19633</v>
      </c>
      <c r="BK325" s="76" t="b">
        <v>0</v>
      </c>
      <c r="BL325" s="76"/>
      <c r="BM325" s="76" t="s">
        <v>66</v>
      </c>
      <c r="BN325" s="76" t="s">
        <v>19635</v>
      </c>
      <c r="BO325" s="83" t="str">
        <f>HYPERLINK("https://twitter.com/academiadebolsa")</f>
        <v>https://twitter.com/academiadebolsa</v>
      </c>
      <c r="BP325" s="2"/>
    </row>
    <row r="326" spans="1:68" x14ac:dyDescent="0.25">
      <c r="A326" s="62" t="s">
        <v>502</v>
      </c>
      <c r="B326" s="63"/>
      <c r="C326" s="63"/>
      <c r="D326" s="64"/>
      <c r="E326" s="66"/>
      <c r="F326" s="103" t="str">
        <f>HYPERLINK("https://pbs.twimg.com/profile_images/1620876828524089352/eUOKMokw_normal.jpg")</f>
        <v>https://pbs.twimg.com/profile_images/1620876828524089352/eUOKMokw_normal.jpg</v>
      </c>
      <c r="G326" s="63"/>
      <c r="H326" s="67"/>
      <c r="I326" s="68"/>
      <c r="J326" s="68"/>
      <c r="K326" s="67" t="s">
        <v>19958</v>
      </c>
      <c r="L326" s="71"/>
      <c r="M326" s="72"/>
      <c r="N326" s="72"/>
      <c r="O326" s="73"/>
      <c r="P326" s="74"/>
      <c r="Q326" s="74"/>
      <c r="R326" s="87"/>
      <c r="S326" s="87"/>
      <c r="T326" s="87"/>
      <c r="U326" s="87"/>
      <c r="V326" s="48"/>
      <c r="W326" s="48"/>
      <c r="X326" s="47">
        <v>1.101E-3</v>
      </c>
      <c r="Y326" s="48"/>
      <c r="Z326" s="47"/>
      <c r="AA326" s="69">
        <v>326</v>
      </c>
      <c r="AB326" s="69"/>
      <c r="AC326" s="70"/>
      <c r="AD326" s="76" t="s">
        <v>16961</v>
      </c>
      <c r="AE326" s="81" t="s">
        <v>15722</v>
      </c>
      <c r="AF326" s="76">
        <v>19</v>
      </c>
      <c r="AG326" s="76">
        <v>193</v>
      </c>
      <c r="AH326" s="76">
        <v>119</v>
      </c>
      <c r="AI326" s="76">
        <v>2</v>
      </c>
      <c r="AJ326" s="76">
        <v>17</v>
      </c>
      <c r="AK326" s="76">
        <v>0</v>
      </c>
      <c r="AL326" s="76" t="b">
        <v>0</v>
      </c>
      <c r="AM326" s="78">
        <v>44958.83699074074</v>
      </c>
      <c r="AN326" s="76" t="s">
        <v>10552</v>
      </c>
      <c r="AO326" s="76" t="s">
        <v>18446</v>
      </c>
      <c r="AP326" s="76"/>
      <c r="AQ326" s="76"/>
      <c r="AR326" s="76"/>
      <c r="AS326" s="76"/>
      <c r="AT326" s="76"/>
      <c r="AU326" s="76"/>
      <c r="AV326" s="76">
        <v>1.6385424976923799E+18</v>
      </c>
      <c r="AW326" s="76"/>
      <c r="AX326" s="76" t="b">
        <v>0</v>
      </c>
      <c r="AY326" s="76"/>
      <c r="AZ326" s="76"/>
      <c r="BA326" s="76" t="b">
        <v>0</v>
      </c>
      <c r="BB326" s="76" t="b">
        <v>1</v>
      </c>
      <c r="BC326" s="76" t="b">
        <v>1</v>
      </c>
      <c r="BD326" s="76" t="b">
        <v>0</v>
      </c>
      <c r="BE326" s="76" t="b">
        <v>0</v>
      </c>
      <c r="BF326" s="76" t="b">
        <v>0</v>
      </c>
      <c r="BG326" s="76" t="b">
        <v>0</v>
      </c>
      <c r="BH326" s="83" t="str">
        <f>HYPERLINK("https://pbs.twimg.com/profile_banners/1620875889817882625/1679560107")</f>
        <v>https://pbs.twimg.com/profile_banners/1620875889817882625/1679560107</v>
      </c>
      <c r="BI326" s="76"/>
      <c r="BJ326" s="76" t="s">
        <v>19633</v>
      </c>
      <c r="BK326" s="76" t="b">
        <v>0</v>
      </c>
      <c r="BL326" s="76"/>
      <c r="BM326" s="76" t="s">
        <v>66</v>
      </c>
      <c r="BN326" s="76" t="s">
        <v>19635</v>
      </c>
      <c r="BO326" s="83" t="str">
        <f>HYPERLINK("https://twitter.com/grm88765974grm")</f>
        <v>https://twitter.com/grm88765974grm</v>
      </c>
      <c r="BP326" s="2"/>
    </row>
    <row r="327" spans="1:68" x14ac:dyDescent="0.25">
      <c r="A327" s="62" t="s">
        <v>503</v>
      </c>
      <c r="B327" s="63"/>
      <c r="C327" s="63"/>
      <c r="D327" s="64"/>
      <c r="E327" s="66"/>
      <c r="F327" s="103" t="str">
        <f>HYPERLINK("https://pbs.twimg.com/profile_images/1665693373083136000/Maice1zS_normal.jpg")</f>
        <v>https://pbs.twimg.com/profile_images/1665693373083136000/Maice1zS_normal.jpg</v>
      </c>
      <c r="G327" s="63"/>
      <c r="H327" s="67"/>
      <c r="I327" s="68"/>
      <c r="J327" s="68"/>
      <c r="K327" s="67" t="s">
        <v>19959</v>
      </c>
      <c r="L327" s="71"/>
      <c r="M327" s="72"/>
      <c r="N327" s="72"/>
      <c r="O327" s="73"/>
      <c r="P327" s="74"/>
      <c r="Q327" s="74"/>
      <c r="R327" s="87"/>
      <c r="S327" s="87"/>
      <c r="T327" s="87"/>
      <c r="U327" s="87"/>
      <c r="V327" s="48"/>
      <c r="W327" s="48"/>
      <c r="X327" s="47">
        <v>1.101E-3</v>
      </c>
      <c r="Y327" s="48"/>
      <c r="Z327" s="47"/>
      <c r="AA327" s="69">
        <v>327</v>
      </c>
      <c r="AB327" s="69"/>
      <c r="AC327" s="70"/>
      <c r="AD327" s="76" t="s">
        <v>16962</v>
      </c>
      <c r="AE327" s="81" t="s">
        <v>16285</v>
      </c>
      <c r="AF327" s="76">
        <v>0</v>
      </c>
      <c r="AG327" s="76">
        <v>7</v>
      </c>
      <c r="AH327" s="76">
        <v>180</v>
      </c>
      <c r="AI327" s="76">
        <v>0</v>
      </c>
      <c r="AJ327" s="76">
        <v>95</v>
      </c>
      <c r="AK327" s="76">
        <v>180</v>
      </c>
      <c r="AL327" s="76" t="b">
        <v>0</v>
      </c>
      <c r="AM327" s="78">
        <v>45082.509189814817</v>
      </c>
      <c r="AN327" s="76"/>
      <c r="AO327" s="76" t="s">
        <v>18447</v>
      </c>
      <c r="AP327" s="83" t="str">
        <f>HYPERLINK("https://t.co/Z4psmpX9MD")</f>
        <v>https://t.co/Z4psmpX9MD</v>
      </c>
      <c r="AQ327" s="83" t="str">
        <f>HYPERLINK("https://technewsbr.substack.com/")</f>
        <v>https://technewsbr.substack.com/</v>
      </c>
      <c r="AR327" s="76" t="s">
        <v>19192</v>
      </c>
      <c r="AS327" s="83" t="str">
        <f>HYPERLINK("https://t.co/S4QVV5zDKU")</f>
        <v>https://t.co/S4QVV5zDKU</v>
      </c>
      <c r="AT327" s="83" t="str">
        <f>HYPERLINK("https://iris.to/technewsbr")</f>
        <v>https://iris.to/technewsbr</v>
      </c>
      <c r="AU327" s="76" t="s">
        <v>19598</v>
      </c>
      <c r="AV327" s="76"/>
      <c r="AW327" s="83" t="str">
        <f>HYPERLINK("https://t.co/Z4psmpX9MD")</f>
        <v>https://t.co/Z4psmpX9MD</v>
      </c>
      <c r="AX327" s="76" t="b">
        <v>0</v>
      </c>
      <c r="AY327" s="76"/>
      <c r="AZ327" s="76"/>
      <c r="BA327" s="76" t="b">
        <v>0</v>
      </c>
      <c r="BB327" s="76" t="b">
        <v>1</v>
      </c>
      <c r="BC327" s="76" t="b">
        <v>1</v>
      </c>
      <c r="BD327" s="76" t="b">
        <v>0</v>
      </c>
      <c r="BE327" s="76" t="b">
        <v>0</v>
      </c>
      <c r="BF327" s="76" t="b">
        <v>0</v>
      </c>
      <c r="BG327" s="76" t="b">
        <v>0</v>
      </c>
      <c r="BH327" s="83" t="str">
        <f>HYPERLINK("https://pbs.twimg.com/profile_banners/1665693211594051586/1685967442")</f>
        <v>https://pbs.twimg.com/profile_banners/1665693211594051586/1685967442</v>
      </c>
      <c r="BI327" s="76"/>
      <c r="BJ327" s="76" t="s">
        <v>19633</v>
      </c>
      <c r="BK327" s="76" t="b">
        <v>0</v>
      </c>
      <c r="BL327" s="76"/>
      <c r="BM327" s="76" t="s">
        <v>66</v>
      </c>
      <c r="BN327" s="76" t="s">
        <v>19635</v>
      </c>
      <c r="BO327" s="83" t="str">
        <f>HYPERLINK("https://twitter.com/technewsbr90131")</f>
        <v>https://twitter.com/technewsbr90131</v>
      </c>
      <c r="BP327" s="2"/>
    </row>
    <row r="328" spans="1:68" x14ac:dyDescent="0.25">
      <c r="A328" s="62" t="s">
        <v>504</v>
      </c>
      <c r="B328" s="63"/>
      <c r="C328" s="63"/>
      <c r="D328" s="64"/>
      <c r="E328" s="66"/>
      <c r="F328" s="103" t="str">
        <f>HYPERLINK("https://pbs.twimg.com/profile_images/1661501989413330946/UpBZTUVC_normal.jpg")</f>
        <v>https://pbs.twimg.com/profile_images/1661501989413330946/UpBZTUVC_normal.jpg</v>
      </c>
      <c r="G328" s="63"/>
      <c r="H328" s="67"/>
      <c r="I328" s="68"/>
      <c r="J328" s="68"/>
      <c r="K328" s="67" t="s">
        <v>19960</v>
      </c>
      <c r="L328" s="71"/>
      <c r="M328" s="72"/>
      <c r="N328" s="72"/>
      <c r="O328" s="73"/>
      <c r="P328" s="74"/>
      <c r="Q328" s="74"/>
      <c r="R328" s="87"/>
      <c r="S328" s="87"/>
      <c r="T328" s="87"/>
      <c r="U328" s="87"/>
      <c r="V328" s="48"/>
      <c r="W328" s="48"/>
      <c r="X328" s="47">
        <v>9.6599999999999995E-4</v>
      </c>
      <c r="Y328" s="48"/>
      <c r="Z328" s="47"/>
      <c r="AA328" s="69">
        <v>328</v>
      </c>
      <c r="AB328" s="69"/>
      <c r="AC328" s="70"/>
      <c r="AD328" s="76" t="s">
        <v>16963</v>
      </c>
      <c r="AE328" s="81" t="s">
        <v>16286</v>
      </c>
      <c r="AF328" s="76">
        <v>7</v>
      </c>
      <c r="AG328" s="76">
        <v>53</v>
      </c>
      <c r="AH328" s="76">
        <v>228</v>
      </c>
      <c r="AI328" s="76">
        <v>0</v>
      </c>
      <c r="AJ328" s="76">
        <v>1655</v>
      </c>
      <c r="AK328" s="76">
        <v>0</v>
      </c>
      <c r="AL328" s="76" t="b">
        <v>0</v>
      </c>
      <c r="AM328" s="78">
        <v>45033.459780092591</v>
      </c>
      <c r="AN328" s="76"/>
      <c r="AO328" s="76"/>
      <c r="AP328" s="76"/>
      <c r="AQ328" s="76"/>
      <c r="AR328" s="76"/>
      <c r="AS328" s="76"/>
      <c r="AT328" s="76"/>
      <c r="AU328" s="76"/>
      <c r="AV328" s="76"/>
      <c r="AW328" s="76"/>
      <c r="AX328" s="76" t="b">
        <v>0</v>
      </c>
      <c r="AY328" s="76"/>
      <c r="AZ328" s="76"/>
      <c r="BA328" s="76" t="b">
        <v>0</v>
      </c>
      <c r="BB328" s="76" t="b">
        <v>1</v>
      </c>
      <c r="BC328" s="76" t="b">
        <v>1</v>
      </c>
      <c r="BD328" s="76" t="b">
        <v>0</v>
      </c>
      <c r="BE328" s="76" t="b">
        <v>0</v>
      </c>
      <c r="BF328" s="76" t="b">
        <v>0</v>
      </c>
      <c r="BG328" s="76" t="b">
        <v>0</v>
      </c>
      <c r="BH328" s="76"/>
      <c r="BI328" s="76"/>
      <c r="BJ328" s="76" t="s">
        <v>19633</v>
      </c>
      <c r="BK328" s="76" t="b">
        <v>0</v>
      </c>
      <c r="BL328" s="76"/>
      <c r="BM328" s="76" t="s">
        <v>66</v>
      </c>
      <c r="BN328" s="76" t="s">
        <v>19635</v>
      </c>
      <c r="BO328" s="83" t="str">
        <f>HYPERLINK("https://twitter.com/mauriciomoega")</f>
        <v>https://twitter.com/mauriciomoega</v>
      </c>
      <c r="BP328" s="2"/>
    </row>
    <row r="329" spans="1:68" x14ac:dyDescent="0.25">
      <c r="A329" s="62" t="s">
        <v>505</v>
      </c>
      <c r="B329" s="63"/>
      <c r="C329" s="63"/>
      <c r="D329" s="64"/>
      <c r="E329" s="66"/>
      <c r="F329" s="103" t="str">
        <f>HYPERLINK("https://pbs.twimg.com/profile_images/1682392388562567170/Lwu2LFnV_normal.jpg")</f>
        <v>https://pbs.twimg.com/profile_images/1682392388562567170/Lwu2LFnV_normal.jpg</v>
      </c>
      <c r="G329" s="63"/>
      <c r="H329" s="67"/>
      <c r="I329" s="68"/>
      <c r="J329" s="68"/>
      <c r="K329" s="67" t="s">
        <v>19961</v>
      </c>
      <c r="L329" s="71"/>
      <c r="M329" s="72"/>
      <c r="N329" s="72"/>
      <c r="O329" s="73"/>
      <c r="P329" s="74"/>
      <c r="Q329" s="74"/>
      <c r="R329" s="87"/>
      <c r="S329" s="87"/>
      <c r="T329" s="87"/>
      <c r="U329" s="87"/>
      <c r="V329" s="48"/>
      <c r="W329" s="48"/>
      <c r="X329" s="47">
        <v>1.101E-3</v>
      </c>
      <c r="Y329" s="48"/>
      <c r="Z329" s="47"/>
      <c r="AA329" s="69">
        <v>329</v>
      </c>
      <c r="AB329" s="69"/>
      <c r="AC329" s="70"/>
      <c r="AD329" s="76" t="s">
        <v>16964</v>
      </c>
      <c r="AE329" s="81" t="s">
        <v>16287</v>
      </c>
      <c r="AF329" s="76">
        <v>168</v>
      </c>
      <c r="AG329" s="76">
        <v>62</v>
      </c>
      <c r="AH329" s="76">
        <v>155</v>
      </c>
      <c r="AI329" s="76">
        <v>0</v>
      </c>
      <c r="AJ329" s="76">
        <v>72</v>
      </c>
      <c r="AK329" s="76">
        <v>114</v>
      </c>
      <c r="AL329" s="76" t="b">
        <v>0</v>
      </c>
      <c r="AM329" s="78">
        <v>45100.565104166664</v>
      </c>
      <c r="AN329" s="76" t="s">
        <v>10619</v>
      </c>
      <c r="AO329" s="76" t="s">
        <v>18448</v>
      </c>
      <c r="AP329" s="76"/>
      <c r="AQ329" s="76"/>
      <c r="AR329" s="76"/>
      <c r="AS329" s="76"/>
      <c r="AT329" s="76"/>
      <c r="AU329" s="76"/>
      <c r="AV329" s="76"/>
      <c r="AW329" s="76"/>
      <c r="AX329" s="76" t="b">
        <v>0</v>
      </c>
      <c r="AY329" s="76"/>
      <c r="AZ329" s="76"/>
      <c r="BA329" s="76" t="b">
        <v>0</v>
      </c>
      <c r="BB329" s="76" t="b">
        <v>1</v>
      </c>
      <c r="BC329" s="76" t="b">
        <v>1</v>
      </c>
      <c r="BD329" s="76" t="b">
        <v>0</v>
      </c>
      <c r="BE329" s="76" t="b">
        <v>0</v>
      </c>
      <c r="BF329" s="76" t="b">
        <v>0</v>
      </c>
      <c r="BG329" s="76" t="b">
        <v>0</v>
      </c>
      <c r="BH329" s="83" t="str">
        <f>HYPERLINK("https://pbs.twimg.com/profile_banners/1672236167167725568/1687529086")</f>
        <v>https://pbs.twimg.com/profile_banners/1672236167167725568/1687529086</v>
      </c>
      <c r="BI329" s="76"/>
      <c r="BJ329" s="76" t="s">
        <v>19633</v>
      </c>
      <c r="BK329" s="76" t="b">
        <v>0</v>
      </c>
      <c r="BL329" s="76"/>
      <c r="BM329" s="76" t="s">
        <v>66</v>
      </c>
      <c r="BN329" s="76" t="s">
        <v>19635</v>
      </c>
      <c r="BO329" s="83" t="str">
        <f>HYPERLINK("https://twitter.com/drancelmoramos")</f>
        <v>https://twitter.com/drancelmoramos</v>
      </c>
      <c r="BP329" s="2"/>
    </row>
    <row r="330" spans="1:68" x14ac:dyDescent="0.25">
      <c r="A330" s="62" t="s">
        <v>506</v>
      </c>
      <c r="B330" s="63"/>
      <c r="C330" s="63"/>
      <c r="D330" s="64"/>
      <c r="E330" s="66"/>
      <c r="F330" s="103" t="str">
        <f>HYPERLINK("https://pbs.twimg.com/profile_images/1620905204186058753/MFxzXM-m_normal.jpg")</f>
        <v>https://pbs.twimg.com/profile_images/1620905204186058753/MFxzXM-m_normal.jpg</v>
      </c>
      <c r="G330" s="63"/>
      <c r="H330" s="67"/>
      <c r="I330" s="68"/>
      <c r="J330" s="68"/>
      <c r="K330" s="67" t="s">
        <v>19962</v>
      </c>
      <c r="L330" s="71"/>
      <c r="M330" s="72"/>
      <c r="N330" s="72"/>
      <c r="O330" s="73"/>
      <c r="P330" s="74"/>
      <c r="Q330" s="74"/>
      <c r="R330" s="87"/>
      <c r="S330" s="87"/>
      <c r="T330" s="87"/>
      <c r="U330" s="87"/>
      <c r="V330" s="48"/>
      <c r="W330" s="48"/>
      <c r="X330" s="47">
        <v>1.101E-3</v>
      </c>
      <c r="Y330" s="48"/>
      <c r="Z330" s="47"/>
      <c r="AA330" s="69">
        <v>330</v>
      </c>
      <c r="AB330" s="69"/>
      <c r="AC330" s="70"/>
      <c r="AD330" s="76" t="s">
        <v>16965</v>
      </c>
      <c r="AE330" s="81" t="s">
        <v>16288</v>
      </c>
      <c r="AF330" s="76">
        <v>0</v>
      </c>
      <c r="AG330" s="76">
        <v>0</v>
      </c>
      <c r="AH330" s="76">
        <v>98</v>
      </c>
      <c r="AI330" s="76">
        <v>0</v>
      </c>
      <c r="AJ330" s="76">
        <v>0</v>
      </c>
      <c r="AK330" s="76">
        <v>0</v>
      </c>
      <c r="AL330" s="76" t="b">
        <v>0</v>
      </c>
      <c r="AM330" s="78">
        <v>44741.339872685188</v>
      </c>
      <c r="AN330" s="76"/>
      <c r="AO330" s="76" t="s">
        <v>18449</v>
      </c>
      <c r="AP330" s="76"/>
      <c r="AQ330" s="76"/>
      <c r="AR330" s="76"/>
      <c r="AS330" s="76"/>
      <c r="AT330" s="76"/>
      <c r="AU330" s="76"/>
      <c r="AV330" s="76"/>
      <c r="AW330" s="76"/>
      <c r="AX330" s="76" t="b">
        <v>0</v>
      </c>
      <c r="AY330" s="76"/>
      <c r="AZ330" s="76"/>
      <c r="BA330" s="76" t="b">
        <v>0</v>
      </c>
      <c r="BB330" s="76" t="b">
        <v>1</v>
      </c>
      <c r="BC330" s="76" t="b">
        <v>1</v>
      </c>
      <c r="BD330" s="76" t="b">
        <v>0</v>
      </c>
      <c r="BE330" s="76" t="b">
        <v>0</v>
      </c>
      <c r="BF330" s="76" t="b">
        <v>0</v>
      </c>
      <c r="BG330" s="76" t="b">
        <v>0</v>
      </c>
      <c r="BH330" s="76"/>
      <c r="BI330" s="76"/>
      <c r="BJ330" s="76" t="s">
        <v>19633</v>
      </c>
      <c r="BK330" s="76" t="b">
        <v>0</v>
      </c>
      <c r="BL330" s="76"/>
      <c r="BM330" s="76" t="s">
        <v>66</v>
      </c>
      <c r="BN330" s="76" t="s">
        <v>19635</v>
      </c>
      <c r="BO330" s="83" t="str">
        <f>HYPERLINK("https://twitter.com/mrcia770732731")</f>
        <v>https://twitter.com/mrcia770732731</v>
      </c>
      <c r="BP330" s="2"/>
    </row>
    <row r="331" spans="1:68" x14ac:dyDescent="0.25">
      <c r="A331" s="62" t="s">
        <v>507</v>
      </c>
      <c r="B331" s="63"/>
      <c r="C331" s="63"/>
      <c r="D331" s="64"/>
      <c r="E331" s="66"/>
      <c r="F331" s="103" t="str">
        <f>HYPERLINK("https://pbs.twimg.com/profile_images/1613917681069047810/9Kr8SNOp_normal.jpg")</f>
        <v>https://pbs.twimg.com/profile_images/1613917681069047810/9Kr8SNOp_normal.jpg</v>
      </c>
      <c r="G331" s="63"/>
      <c r="H331" s="67"/>
      <c r="I331" s="68"/>
      <c r="J331" s="68"/>
      <c r="K331" s="67" t="s">
        <v>19963</v>
      </c>
      <c r="L331" s="71"/>
      <c r="M331" s="72"/>
      <c r="N331" s="72"/>
      <c r="O331" s="73"/>
      <c r="P331" s="74"/>
      <c r="Q331" s="74"/>
      <c r="R331" s="87"/>
      <c r="S331" s="87"/>
      <c r="T331" s="87"/>
      <c r="U331" s="87"/>
      <c r="V331" s="48"/>
      <c r="W331" s="48"/>
      <c r="X331" s="47">
        <v>1.101E-3</v>
      </c>
      <c r="Y331" s="48"/>
      <c r="Z331" s="47"/>
      <c r="AA331" s="69">
        <v>331</v>
      </c>
      <c r="AB331" s="69"/>
      <c r="AC331" s="70"/>
      <c r="AD331" s="76" t="s">
        <v>16966</v>
      </c>
      <c r="AE331" s="81" t="s">
        <v>15723</v>
      </c>
      <c r="AF331" s="76">
        <v>34</v>
      </c>
      <c r="AG331" s="76">
        <v>131</v>
      </c>
      <c r="AH331" s="76">
        <v>278</v>
      </c>
      <c r="AI331" s="76">
        <v>0</v>
      </c>
      <c r="AJ331" s="76">
        <v>977</v>
      </c>
      <c r="AK331" s="76">
        <v>31</v>
      </c>
      <c r="AL331" s="76" t="b">
        <v>0</v>
      </c>
      <c r="AM331" s="78">
        <v>44602.403819444444</v>
      </c>
      <c r="AN331" s="76" t="s">
        <v>17979</v>
      </c>
      <c r="AO331" s="76" t="s">
        <v>18450</v>
      </c>
      <c r="AP331" s="83" t="str">
        <f>HYPERLINK("https://t.co/PNjjHhkgNs")</f>
        <v>https://t.co/PNjjHhkgNs</v>
      </c>
      <c r="AQ331" s="83" t="str">
        <f>HYPERLINK("http://instagram.com/umecologo")</f>
        <v>http://instagram.com/umecologo</v>
      </c>
      <c r="AR331" s="76" t="s">
        <v>19193</v>
      </c>
      <c r="AS331" s="76"/>
      <c r="AT331" s="76"/>
      <c r="AU331" s="76"/>
      <c r="AV331" s="76">
        <v>1.6204532760168599E+18</v>
      </c>
      <c r="AW331" s="83" t="str">
        <f>HYPERLINK("https://t.co/PNjjHhkgNs")</f>
        <v>https://t.co/PNjjHhkgNs</v>
      </c>
      <c r="AX331" s="76" t="b">
        <v>0</v>
      </c>
      <c r="AY331" s="76"/>
      <c r="AZ331" s="76"/>
      <c r="BA331" s="76" t="b">
        <v>0</v>
      </c>
      <c r="BB331" s="76" t="b">
        <v>1</v>
      </c>
      <c r="BC331" s="76" t="b">
        <v>1</v>
      </c>
      <c r="BD331" s="76" t="b">
        <v>0</v>
      </c>
      <c r="BE331" s="76" t="b">
        <v>0</v>
      </c>
      <c r="BF331" s="76" t="b">
        <v>0</v>
      </c>
      <c r="BG331" s="76" t="b">
        <v>0</v>
      </c>
      <c r="BH331" s="83" t="str">
        <f>HYPERLINK("https://pbs.twimg.com/profile_banners/1491708832107667456/1673622935")</f>
        <v>https://pbs.twimg.com/profile_banners/1491708832107667456/1673622935</v>
      </c>
      <c r="BI331" s="76"/>
      <c r="BJ331" s="76" t="s">
        <v>19633</v>
      </c>
      <c r="BK331" s="76" t="b">
        <v>0</v>
      </c>
      <c r="BL331" s="76"/>
      <c r="BM331" s="76" t="s">
        <v>66</v>
      </c>
      <c r="BN331" s="76" t="s">
        <v>19635</v>
      </c>
      <c r="BO331" s="83" t="str">
        <f>HYPERLINK("https://twitter.com/muriloabacherli")</f>
        <v>https://twitter.com/muriloabacherli</v>
      </c>
      <c r="BP331" s="2"/>
    </row>
    <row r="332" spans="1:68" x14ac:dyDescent="0.25">
      <c r="A332" s="62" t="s">
        <v>508</v>
      </c>
      <c r="B332" s="63"/>
      <c r="C332" s="63"/>
      <c r="D332" s="64"/>
      <c r="E332" s="66"/>
      <c r="F332" s="103" t="str">
        <f>HYPERLINK("https://pbs.twimg.com/profile_images/1649422496129482756/IuAXL1jE_normal.jpg")</f>
        <v>https://pbs.twimg.com/profile_images/1649422496129482756/IuAXL1jE_normal.jpg</v>
      </c>
      <c r="G332" s="63"/>
      <c r="H332" s="67"/>
      <c r="I332" s="68"/>
      <c r="J332" s="68"/>
      <c r="K332" s="67" t="s">
        <v>19964</v>
      </c>
      <c r="L332" s="71"/>
      <c r="M332" s="72"/>
      <c r="N332" s="72"/>
      <c r="O332" s="73"/>
      <c r="P332" s="74"/>
      <c r="Q332" s="74"/>
      <c r="R332" s="87"/>
      <c r="S332" s="87"/>
      <c r="T332" s="87"/>
      <c r="U332" s="87"/>
      <c r="V332" s="48"/>
      <c r="W332" s="48"/>
      <c r="X332" s="47">
        <v>1.101E-3</v>
      </c>
      <c r="Y332" s="48"/>
      <c r="Z332" s="47"/>
      <c r="AA332" s="69">
        <v>332</v>
      </c>
      <c r="AB332" s="69"/>
      <c r="AC332" s="70"/>
      <c r="AD332" s="76" t="s">
        <v>16967</v>
      </c>
      <c r="AE332" s="81" t="s">
        <v>16289</v>
      </c>
      <c r="AF332" s="76">
        <v>10</v>
      </c>
      <c r="AG332" s="76">
        <v>88</v>
      </c>
      <c r="AH332" s="76">
        <v>269</v>
      </c>
      <c r="AI332" s="76">
        <v>0</v>
      </c>
      <c r="AJ332" s="76">
        <v>104</v>
      </c>
      <c r="AK332" s="76">
        <v>26</v>
      </c>
      <c r="AL332" s="76" t="b">
        <v>0</v>
      </c>
      <c r="AM332" s="78">
        <v>44725.953043981484</v>
      </c>
      <c r="AN332" s="76"/>
      <c r="AO332" s="76" t="s">
        <v>18451</v>
      </c>
      <c r="AP332" s="83" t="str">
        <f>HYPERLINK("https://t.co/Y6QSWwJ46Y")</f>
        <v>https://t.co/Y6QSWwJ46Y</v>
      </c>
      <c r="AQ332" s="83" t="str">
        <f>HYPERLINK("https://app.ivipcoin.com/00P5003V8DGRCJFVM3")</f>
        <v>https://app.ivipcoin.com/00P5003V8DGRCJFVM3</v>
      </c>
      <c r="AR332" s="76" t="s">
        <v>19194</v>
      </c>
      <c r="AS332" s="76"/>
      <c r="AT332" s="76"/>
      <c r="AU332" s="76"/>
      <c r="AV332" s="76"/>
      <c r="AW332" s="83" t="str">
        <f>HYPERLINK("https://t.co/Y6QSWwJ46Y")</f>
        <v>https://t.co/Y6QSWwJ46Y</v>
      </c>
      <c r="AX332" s="76" t="b">
        <v>0</v>
      </c>
      <c r="AY332" s="76"/>
      <c r="AZ332" s="76"/>
      <c r="BA332" s="76" t="b">
        <v>0</v>
      </c>
      <c r="BB332" s="76" t="b">
        <v>1</v>
      </c>
      <c r="BC332" s="76" t="b">
        <v>1</v>
      </c>
      <c r="BD332" s="76" t="b">
        <v>0</v>
      </c>
      <c r="BE332" s="76" t="b">
        <v>0</v>
      </c>
      <c r="BF332" s="76" t="b">
        <v>0</v>
      </c>
      <c r="BG332" s="76" t="b">
        <v>0</v>
      </c>
      <c r="BH332" s="83" t="str">
        <f>HYPERLINK("https://pbs.twimg.com/profile_banners/1536481595338670084/1660656318")</f>
        <v>https://pbs.twimg.com/profile_banners/1536481595338670084/1660656318</v>
      </c>
      <c r="BI332" s="76"/>
      <c r="BJ332" s="76" t="s">
        <v>19633</v>
      </c>
      <c r="BK332" s="76" t="b">
        <v>0</v>
      </c>
      <c r="BL332" s="76"/>
      <c r="BM332" s="76" t="s">
        <v>66</v>
      </c>
      <c r="BN332" s="76" t="s">
        <v>19635</v>
      </c>
      <c r="BO332" s="83" t="str">
        <f>HYPERLINK("https://twitter.com/willkushman")</f>
        <v>https://twitter.com/willkushman</v>
      </c>
      <c r="BP332" s="2"/>
    </row>
    <row r="333" spans="1:68" x14ac:dyDescent="0.25">
      <c r="A333" s="62" t="s">
        <v>509</v>
      </c>
      <c r="B333" s="63"/>
      <c r="C333" s="63"/>
      <c r="D333" s="64"/>
      <c r="E333" s="66"/>
      <c r="F333" s="103" t="str">
        <f>HYPERLINK("https://pbs.twimg.com/profile_images/1665800092509454336/VN7Pieke_normal.jpg")</f>
        <v>https://pbs.twimg.com/profile_images/1665800092509454336/VN7Pieke_normal.jpg</v>
      </c>
      <c r="G333" s="63"/>
      <c r="H333" s="67"/>
      <c r="I333" s="68"/>
      <c r="J333" s="68"/>
      <c r="K333" s="67" t="s">
        <v>19965</v>
      </c>
      <c r="L333" s="71"/>
      <c r="M333" s="72"/>
      <c r="N333" s="72"/>
      <c r="O333" s="73"/>
      <c r="P333" s="74"/>
      <c r="Q333" s="74"/>
      <c r="R333" s="87"/>
      <c r="S333" s="87"/>
      <c r="T333" s="87"/>
      <c r="U333" s="87"/>
      <c r="V333" s="48"/>
      <c r="W333" s="48"/>
      <c r="X333" s="47">
        <v>1.101E-3</v>
      </c>
      <c r="Y333" s="48"/>
      <c r="Z333" s="47"/>
      <c r="AA333" s="69">
        <v>333</v>
      </c>
      <c r="AB333" s="69"/>
      <c r="AC333" s="70"/>
      <c r="AD333" s="76" t="s">
        <v>16968</v>
      </c>
      <c r="AE333" s="81" t="s">
        <v>16290</v>
      </c>
      <c r="AF333" s="76">
        <v>8</v>
      </c>
      <c r="AG333" s="76">
        <v>5</v>
      </c>
      <c r="AH333" s="76">
        <v>34</v>
      </c>
      <c r="AI333" s="76">
        <v>0</v>
      </c>
      <c r="AJ333" s="76">
        <v>10</v>
      </c>
      <c r="AK333" s="76">
        <v>29</v>
      </c>
      <c r="AL333" s="76" t="b">
        <v>0</v>
      </c>
      <c r="AM333" s="78">
        <v>45082.799930555557</v>
      </c>
      <c r="AN333" s="76"/>
      <c r="AO333" s="76" t="s">
        <v>18452</v>
      </c>
      <c r="AP333" s="76"/>
      <c r="AQ333" s="76"/>
      <c r="AR333" s="76"/>
      <c r="AS333" s="83" t="str">
        <f>HYPERLINK("https://t.co/TqESK7JGB4")</f>
        <v>https://t.co/TqESK7JGB4</v>
      </c>
      <c r="AT333" s="83" t="str">
        <f>HYPERLINK("https://openideas.net")</f>
        <v>https://openideas.net</v>
      </c>
      <c r="AU333" s="76" t="s">
        <v>19599</v>
      </c>
      <c r="AV333" s="76"/>
      <c r="AW333" s="76"/>
      <c r="AX333" s="76" t="b">
        <v>0</v>
      </c>
      <c r="AY333" s="76"/>
      <c r="AZ333" s="76"/>
      <c r="BA333" s="76" t="b">
        <v>0</v>
      </c>
      <c r="BB333" s="76" t="b">
        <v>1</v>
      </c>
      <c r="BC333" s="76" t="b">
        <v>1</v>
      </c>
      <c r="BD333" s="76" t="b">
        <v>0</v>
      </c>
      <c r="BE333" s="76" t="b">
        <v>0</v>
      </c>
      <c r="BF333" s="76" t="b">
        <v>0</v>
      </c>
      <c r="BG333" s="76" t="b">
        <v>0</v>
      </c>
      <c r="BH333" s="83" t="str">
        <f>HYPERLINK("https://pbs.twimg.com/profile_banners/1665798563882729474/1685992822")</f>
        <v>https://pbs.twimg.com/profile_banners/1665798563882729474/1685992822</v>
      </c>
      <c r="BI333" s="76"/>
      <c r="BJ333" s="76" t="s">
        <v>19633</v>
      </c>
      <c r="BK333" s="76" t="b">
        <v>0</v>
      </c>
      <c r="BL333" s="76"/>
      <c r="BM333" s="76" t="s">
        <v>66</v>
      </c>
      <c r="BN333" s="76" t="s">
        <v>19635</v>
      </c>
      <c r="BO333" s="83" t="str">
        <f>HYPERLINK("https://twitter.com/openideas_net")</f>
        <v>https://twitter.com/openideas_net</v>
      </c>
      <c r="BP333" s="2"/>
    </row>
    <row r="334" spans="1:68" x14ac:dyDescent="0.25">
      <c r="A334" s="62" t="s">
        <v>510</v>
      </c>
      <c r="B334" s="63"/>
      <c r="C334" s="63"/>
      <c r="D334" s="64"/>
      <c r="E334" s="66"/>
      <c r="F334" s="103" t="str">
        <f>HYPERLINK("https://pbs.twimg.com/profile_images/1679609990602973184/GB_FTtNK_normal.png")</f>
        <v>https://pbs.twimg.com/profile_images/1679609990602973184/GB_FTtNK_normal.png</v>
      </c>
      <c r="G334" s="63"/>
      <c r="H334" s="67"/>
      <c r="I334" s="68"/>
      <c r="J334" s="68"/>
      <c r="K334" s="67" t="s">
        <v>19966</v>
      </c>
      <c r="L334" s="71"/>
      <c r="M334" s="72"/>
      <c r="N334" s="72"/>
      <c r="O334" s="73"/>
      <c r="P334" s="74"/>
      <c r="Q334" s="74"/>
      <c r="R334" s="87"/>
      <c r="S334" s="87"/>
      <c r="T334" s="87"/>
      <c r="U334" s="87"/>
      <c r="V334" s="48"/>
      <c r="W334" s="48"/>
      <c r="X334" s="47">
        <v>1.101E-3</v>
      </c>
      <c r="Y334" s="48"/>
      <c r="Z334" s="47"/>
      <c r="AA334" s="69">
        <v>334</v>
      </c>
      <c r="AB334" s="69"/>
      <c r="AC334" s="70"/>
      <c r="AD334" s="76" t="s">
        <v>16969</v>
      </c>
      <c r="AE334" s="81" t="s">
        <v>16291</v>
      </c>
      <c r="AF334" s="76">
        <v>1</v>
      </c>
      <c r="AG334" s="76">
        <v>42</v>
      </c>
      <c r="AH334" s="76">
        <v>4</v>
      </c>
      <c r="AI334" s="76">
        <v>0</v>
      </c>
      <c r="AJ334" s="76">
        <v>1</v>
      </c>
      <c r="AK334" s="76">
        <v>1</v>
      </c>
      <c r="AL334" s="76" t="b">
        <v>0</v>
      </c>
      <c r="AM334" s="78">
        <v>45120.912048611113</v>
      </c>
      <c r="AN334" s="76"/>
      <c r="AO334" s="76"/>
      <c r="AP334" s="76"/>
      <c r="AQ334" s="76"/>
      <c r="AR334" s="76"/>
      <c r="AS334" s="76"/>
      <c r="AT334" s="76"/>
      <c r="AU334" s="76"/>
      <c r="AV334" s="76"/>
      <c r="AW334" s="76"/>
      <c r="AX334" s="76" t="b">
        <v>0</v>
      </c>
      <c r="AY334" s="76"/>
      <c r="AZ334" s="76"/>
      <c r="BA334" s="76" t="b">
        <v>0</v>
      </c>
      <c r="BB334" s="76" t="b">
        <v>1</v>
      </c>
      <c r="BC334" s="76" t="b">
        <v>1</v>
      </c>
      <c r="BD334" s="76" t="b">
        <v>0</v>
      </c>
      <c r="BE334" s="76" t="b">
        <v>0</v>
      </c>
      <c r="BF334" s="76" t="b">
        <v>0</v>
      </c>
      <c r="BG334" s="76" t="b">
        <v>0</v>
      </c>
      <c r="BH334" s="76"/>
      <c r="BI334" s="76"/>
      <c r="BJ334" s="76" t="s">
        <v>19633</v>
      </c>
      <c r="BK334" s="76" t="b">
        <v>0</v>
      </c>
      <c r="BL334" s="76"/>
      <c r="BM334" s="76" t="s">
        <v>66</v>
      </c>
      <c r="BN334" s="76" t="s">
        <v>19635</v>
      </c>
      <c r="BO334" s="83" t="str">
        <f>HYPERLINK("https://twitter.com/financas100tabu")</f>
        <v>https://twitter.com/financas100tabu</v>
      </c>
      <c r="BP334" s="2"/>
    </row>
    <row r="335" spans="1:68" x14ac:dyDescent="0.25">
      <c r="A335" s="62" t="s">
        <v>511</v>
      </c>
      <c r="B335" s="63"/>
      <c r="C335" s="63"/>
      <c r="D335" s="64"/>
      <c r="E335" s="66"/>
      <c r="F335" s="103" t="str">
        <f>HYPERLINK("https://pbs.twimg.com/profile_images/1521569454370533376/q1TXfhYG_normal.png")</f>
        <v>https://pbs.twimg.com/profile_images/1521569454370533376/q1TXfhYG_normal.png</v>
      </c>
      <c r="G335" s="63"/>
      <c r="H335" s="67"/>
      <c r="I335" s="68"/>
      <c r="J335" s="68"/>
      <c r="K335" s="67" t="s">
        <v>19967</v>
      </c>
      <c r="L335" s="71"/>
      <c r="M335" s="72"/>
      <c r="N335" s="72"/>
      <c r="O335" s="73"/>
      <c r="P335" s="74"/>
      <c r="Q335" s="74"/>
      <c r="R335" s="87"/>
      <c r="S335" s="87"/>
      <c r="T335" s="87"/>
      <c r="U335" s="87"/>
      <c r="V335" s="48"/>
      <c r="W335" s="48"/>
      <c r="X335" s="47">
        <v>1.101E-3</v>
      </c>
      <c r="Y335" s="48"/>
      <c r="Z335" s="47"/>
      <c r="AA335" s="69">
        <v>335</v>
      </c>
      <c r="AB335" s="69"/>
      <c r="AC335" s="70"/>
      <c r="AD335" s="76" t="s">
        <v>16970</v>
      </c>
      <c r="AE335" s="81" t="s">
        <v>15724</v>
      </c>
      <c r="AF335" s="76">
        <v>10</v>
      </c>
      <c r="AG335" s="76">
        <v>6</v>
      </c>
      <c r="AH335" s="76">
        <v>350</v>
      </c>
      <c r="AI335" s="76">
        <v>0</v>
      </c>
      <c r="AJ335" s="76">
        <v>8</v>
      </c>
      <c r="AK335" s="76">
        <v>197</v>
      </c>
      <c r="AL335" s="76" t="b">
        <v>0</v>
      </c>
      <c r="AM335" s="78">
        <v>44684.803252314814</v>
      </c>
      <c r="AN335" s="76" t="s">
        <v>17980</v>
      </c>
      <c r="AO335" s="76" t="s">
        <v>18453</v>
      </c>
      <c r="AP335" s="83" t="str">
        <f>HYPERLINK("https://t.co/yg0EyBBHzB")</f>
        <v>https://t.co/yg0EyBBHzB</v>
      </c>
      <c r="AQ335" s="83" t="str">
        <f>HYPERLINK("http://beieducacao.com.br")</f>
        <v>http://beieducacao.com.br</v>
      </c>
      <c r="AR335" s="76" t="s">
        <v>19195</v>
      </c>
      <c r="AS335" s="76"/>
      <c r="AT335" s="76"/>
      <c r="AU335" s="76"/>
      <c r="AV335" s="76"/>
      <c r="AW335" s="83" t="str">
        <f>HYPERLINK("https://t.co/yg0EyBBHzB")</f>
        <v>https://t.co/yg0EyBBHzB</v>
      </c>
      <c r="AX335" s="76" t="b">
        <v>0</v>
      </c>
      <c r="AY335" s="76"/>
      <c r="AZ335" s="76"/>
      <c r="BA335" s="76" t="b">
        <v>0</v>
      </c>
      <c r="BB335" s="76" t="b">
        <v>1</v>
      </c>
      <c r="BC335" s="76" t="b">
        <v>1</v>
      </c>
      <c r="BD335" s="76" t="b">
        <v>0</v>
      </c>
      <c r="BE335" s="76" t="b">
        <v>0</v>
      </c>
      <c r="BF335" s="76" t="b">
        <v>0</v>
      </c>
      <c r="BG335" s="76" t="b">
        <v>0</v>
      </c>
      <c r="BH335" s="83" t="str">
        <f>HYPERLINK("https://pbs.twimg.com/profile_banners/1521569296039788546/1653004617")</f>
        <v>https://pbs.twimg.com/profile_banners/1521569296039788546/1653004617</v>
      </c>
      <c r="BI335" s="76"/>
      <c r="BJ335" s="76" t="s">
        <v>19633</v>
      </c>
      <c r="BK335" s="76" t="b">
        <v>0</v>
      </c>
      <c r="BL335" s="76"/>
      <c r="BM335" s="76" t="s">
        <v>66</v>
      </c>
      <c r="BN335" s="76" t="s">
        <v>19635</v>
      </c>
      <c r="BO335" s="83" t="str">
        <f>HYPERLINK("https://twitter.com/beieducacao")</f>
        <v>https://twitter.com/beieducacao</v>
      </c>
      <c r="BP335" s="2"/>
    </row>
    <row r="336" spans="1:68" x14ac:dyDescent="0.25">
      <c r="A336" s="62" t="s">
        <v>512</v>
      </c>
      <c r="B336" s="63"/>
      <c r="C336" s="63"/>
      <c r="D336" s="64"/>
      <c r="E336" s="66"/>
      <c r="F336" s="103" t="str">
        <f>HYPERLINK("https://pbs.twimg.com/profile_images/1654208859496488960/T8_uFHqn_normal.jpg")</f>
        <v>https://pbs.twimg.com/profile_images/1654208859496488960/T8_uFHqn_normal.jpg</v>
      </c>
      <c r="G336" s="63"/>
      <c r="H336" s="67"/>
      <c r="I336" s="68"/>
      <c r="J336" s="68"/>
      <c r="K336" s="67" t="s">
        <v>19968</v>
      </c>
      <c r="L336" s="71"/>
      <c r="M336" s="72"/>
      <c r="N336" s="72"/>
      <c r="O336" s="73"/>
      <c r="P336" s="74"/>
      <c r="Q336" s="74"/>
      <c r="R336" s="87"/>
      <c r="S336" s="87"/>
      <c r="T336" s="87"/>
      <c r="U336" s="87"/>
      <c r="V336" s="48"/>
      <c r="W336" s="48"/>
      <c r="X336" s="47">
        <v>1.101E-3</v>
      </c>
      <c r="Y336" s="48"/>
      <c r="Z336" s="47"/>
      <c r="AA336" s="69">
        <v>336</v>
      </c>
      <c r="AB336" s="69"/>
      <c r="AC336" s="70"/>
      <c r="AD336" s="76" t="s">
        <v>16971</v>
      </c>
      <c r="AE336" s="81" t="s">
        <v>15725</v>
      </c>
      <c r="AF336" s="76">
        <v>531</v>
      </c>
      <c r="AG336" s="76">
        <v>46</v>
      </c>
      <c r="AH336" s="76">
        <v>1026</v>
      </c>
      <c r="AI336" s="76">
        <v>1</v>
      </c>
      <c r="AJ336" s="76">
        <v>153</v>
      </c>
      <c r="AK336" s="76">
        <v>168</v>
      </c>
      <c r="AL336" s="76" t="b">
        <v>0</v>
      </c>
      <c r="AM336" s="78">
        <v>45033.849027777775</v>
      </c>
      <c r="AN336" s="76"/>
      <c r="AO336" s="76" t="s">
        <v>18454</v>
      </c>
      <c r="AP336" s="76"/>
      <c r="AQ336" s="76"/>
      <c r="AR336" s="76"/>
      <c r="AS336" s="76"/>
      <c r="AT336" s="76"/>
      <c r="AU336" s="76"/>
      <c r="AV336" s="76">
        <v>1.69105979176481E+18</v>
      </c>
      <c r="AW336" s="76"/>
      <c r="AX336" s="76" t="b">
        <v>0</v>
      </c>
      <c r="AY336" s="76"/>
      <c r="AZ336" s="76"/>
      <c r="BA336" s="76" t="b">
        <v>0</v>
      </c>
      <c r="BB336" s="76" t="b">
        <v>1</v>
      </c>
      <c r="BC336" s="76" t="b">
        <v>1</v>
      </c>
      <c r="BD336" s="76" t="b">
        <v>0</v>
      </c>
      <c r="BE336" s="76" t="b">
        <v>0</v>
      </c>
      <c r="BF336" s="76" t="b">
        <v>0</v>
      </c>
      <c r="BG336" s="76" t="b">
        <v>0</v>
      </c>
      <c r="BH336" s="83" t="str">
        <f>HYPERLINK("https://pbs.twimg.com/profile_banners/1648059364186509328/1683229113")</f>
        <v>https://pbs.twimg.com/profile_banners/1648059364186509328/1683229113</v>
      </c>
      <c r="BI336" s="76"/>
      <c r="BJ336" s="76" t="s">
        <v>19633</v>
      </c>
      <c r="BK336" s="76" t="b">
        <v>0</v>
      </c>
      <c r="BL336" s="76"/>
      <c r="BM336" s="76" t="s">
        <v>66</v>
      </c>
      <c r="BN336" s="76" t="s">
        <v>19635</v>
      </c>
      <c r="BO336" s="83" t="str">
        <f>HYPERLINK("https://twitter.com/academiaalphapt")</f>
        <v>https://twitter.com/academiaalphapt</v>
      </c>
      <c r="BP336" s="2"/>
    </row>
    <row r="337" spans="1:68" x14ac:dyDescent="0.25">
      <c r="A337" s="62" t="s">
        <v>513</v>
      </c>
      <c r="B337" s="63"/>
      <c r="C337" s="63"/>
      <c r="D337" s="64"/>
      <c r="E337" s="66"/>
      <c r="F337" s="103" t="str">
        <f>HYPERLINK("https://pbs.twimg.com/profile_images/943585742588121092/3Iq3X31e_normal.jpg")</f>
        <v>https://pbs.twimg.com/profile_images/943585742588121092/3Iq3X31e_normal.jpg</v>
      </c>
      <c r="G337" s="63"/>
      <c r="H337" s="67"/>
      <c r="I337" s="68"/>
      <c r="J337" s="68"/>
      <c r="K337" s="67" t="s">
        <v>19969</v>
      </c>
      <c r="L337" s="71"/>
      <c r="M337" s="72"/>
      <c r="N337" s="72"/>
      <c r="O337" s="73"/>
      <c r="P337" s="74"/>
      <c r="Q337" s="74"/>
      <c r="R337" s="87"/>
      <c r="S337" s="87"/>
      <c r="T337" s="87"/>
      <c r="U337" s="87"/>
      <c r="V337" s="48"/>
      <c r="W337" s="48"/>
      <c r="X337" s="47">
        <v>1.101E-3</v>
      </c>
      <c r="Y337" s="48"/>
      <c r="Z337" s="47"/>
      <c r="AA337" s="69">
        <v>337</v>
      </c>
      <c r="AB337" s="69"/>
      <c r="AC337" s="70"/>
      <c r="AD337" s="76" t="s">
        <v>16972</v>
      </c>
      <c r="AE337" s="81" t="s">
        <v>16292</v>
      </c>
      <c r="AF337" s="76">
        <v>1051</v>
      </c>
      <c r="AG337" s="76">
        <v>3425</v>
      </c>
      <c r="AH337" s="76">
        <v>21261</v>
      </c>
      <c r="AI337" s="76">
        <v>3</v>
      </c>
      <c r="AJ337" s="76">
        <v>52924</v>
      </c>
      <c r="AK337" s="76">
        <v>3312</v>
      </c>
      <c r="AL337" s="76" t="b">
        <v>0</v>
      </c>
      <c r="AM337" s="78">
        <v>43089.862280092595</v>
      </c>
      <c r="AN337" s="76" t="s">
        <v>17981</v>
      </c>
      <c r="AO337" s="76" t="s">
        <v>18455</v>
      </c>
      <c r="AP337" s="76"/>
      <c r="AQ337" s="76"/>
      <c r="AR337" s="76"/>
      <c r="AS337" s="76"/>
      <c r="AT337" s="76"/>
      <c r="AU337" s="76"/>
      <c r="AV337" s="76">
        <v>1.2461040231801101E+18</v>
      </c>
      <c r="AW337" s="76"/>
      <c r="AX337" s="76" t="b">
        <v>0</v>
      </c>
      <c r="AY337" s="76"/>
      <c r="AZ337" s="76"/>
      <c r="BA337" s="76" t="b">
        <v>0</v>
      </c>
      <c r="BB337" s="76" t="b">
        <v>1</v>
      </c>
      <c r="BC337" s="76" t="b">
        <v>0</v>
      </c>
      <c r="BD337" s="76" t="b">
        <v>0</v>
      </c>
      <c r="BE337" s="76" t="b">
        <v>1</v>
      </c>
      <c r="BF337" s="76" t="b">
        <v>0</v>
      </c>
      <c r="BG337" s="76" t="b">
        <v>0</v>
      </c>
      <c r="BH337" s="83" t="str">
        <f>HYPERLINK("https://pbs.twimg.com/profile_banners/943582195230367744/1547827680")</f>
        <v>https://pbs.twimg.com/profile_banners/943582195230367744/1547827680</v>
      </c>
      <c r="BI337" s="76"/>
      <c r="BJ337" s="76" t="s">
        <v>19633</v>
      </c>
      <c r="BK337" s="76" t="b">
        <v>0</v>
      </c>
      <c r="BL337" s="76"/>
      <c r="BM337" s="76" t="s">
        <v>66</v>
      </c>
      <c r="BN337" s="76" t="s">
        <v>19635</v>
      </c>
      <c r="BO337" s="83" t="str">
        <f>HYPERLINK("https://twitter.com/_divesvitae_")</f>
        <v>https://twitter.com/_divesvitae_</v>
      </c>
      <c r="BP337" s="2"/>
    </row>
    <row r="338" spans="1:68" x14ac:dyDescent="0.25">
      <c r="A338" s="62" t="s">
        <v>514</v>
      </c>
      <c r="B338" s="63"/>
      <c r="C338" s="63"/>
      <c r="D338" s="64"/>
      <c r="E338" s="66"/>
      <c r="F338" s="103" t="str">
        <f>HYPERLINK("https://pbs.twimg.com/profile_images/1624877970904043521/onKClRqR_normal.jpg")</f>
        <v>https://pbs.twimg.com/profile_images/1624877970904043521/onKClRqR_normal.jpg</v>
      </c>
      <c r="G338" s="63"/>
      <c r="H338" s="67"/>
      <c r="I338" s="68"/>
      <c r="J338" s="68"/>
      <c r="K338" s="67" t="s">
        <v>19970</v>
      </c>
      <c r="L338" s="71"/>
      <c r="M338" s="72"/>
      <c r="N338" s="72"/>
      <c r="O338" s="73"/>
      <c r="P338" s="74"/>
      <c r="Q338" s="74"/>
      <c r="R338" s="87"/>
      <c r="S338" s="87"/>
      <c r="T338" s="87"/>
      <c r="U338" s="87"/>
      <c r="V338" s="48"/>
      <c r="W338" s="48"/>
      <c r="X338" s="47">
        <v>1.101E-3</v>
      </c>
      <c r="Y338" s="48"/>
      <c r="Z338" s="47"/>
      <c r="AA338" s="69">
        <v>338</v>
      </c>
      <c r="AB338" s="69"/>
      <c r="AC338" s="70"/>
      <c r="AD338" s="76" t="s">
        <v>16973</v>
      </c>
      <c r="AE338" s="81" t="s">
        <v>16293</v>
      </c>
      <c r="AF338" s="76">
        <v>0</v>
      </c>
      <c r="AG338" s="76">
        <v>34</v>
      </c>
      <c r="AH338" s="76">
        <v>4</v>
      </c>
      <c r="AI338" s="76">
        <v>1</v>
      </c>
      <c r="AJ338" s="76">
        <v>4</v>
      </c>
      <c r="AK338" s="76">
        <v>4</v>
      </c>
      <c r="AL338" s="76" t="b">
        <v>0</v>
      </c>
      <c r="AM338" s="78">
        <v>44969.877337962964</v>
      </c>
      <c r="AN338" s="76" t="s">
        <v>10622</v>
      </c>
      <c r="AO338" s="76" t="s">
        <v>18456</v>
      </c>
      <c r="AP338" s="83" t="str">
        <f>HYPERLINK("https://t.co/VSoHvn6tsr")</f>
        <v>https://t.co/VSoHvn6tsr</v>
      </c>
      <c r="AQ338" s="83" t="str">
        <f>HYPERLINK("https://linktr.ee/clubeacao")</f>
        <v>https://linktr.ee/clubeacao</v>
      </c>
      <c r="AR338" s="76" t="s">
        <v>19196</v>
      </c>
      <c r="AS338" s="76"/>
      <c r="AT338" s="76"/>
      <c r="AU338" s="76"/>
      <c r="AV338" s="76"/>
      <c r="AW338" s="83" t="str">
        <f>HYPERLINK("https://t.co/VSoHvn6tsr")</f>
        <v>https://t.co/VSoHvn6tsr</v>
      </c>
      <c r="AX338" s="76" t="b">
        <v>0</v>
      </c>
      <c r="AY338" s="76"/>
      <c r="AZ338" s="76"/>
      <c r="BA338" s="76" t="b">
        <v>0</v>
      </c>
      <c r="BB338" s="76" t="b">
        <v>1</v>
      </c>
      <c r="BC338" s="76" t="b">
        <v>1</v>
      </c>
      <c r="BD338" s="76" t="b">
        <v>0</v>
      </c>
      <c r="BE338" s="76" t="b">
        <v>0</v>
      </c>
      <c r="BF338" s="76" t="b">
        <v>0</v>
      </c>
      <c r="BG338" s="76" t="b">
        <v>0</v>
      </c>
      <c r="BH338" s="76"/>
      <c r="BI338" s="76"/>
      <c r="BJ338" s="76" t="s">
        <v>19633</v>
      </c>
      <c r="BK338" s="76" t="b">
        <v>0</v>
      </c>
      <c r="BL338" s="76"/>
      <c r="BM338" s="76" t="s">
        <v>66</v>
      </c>
      <c r="BN338" s="76" t="s">
        <v>19635</v>
      </c>
      <c r="BO338" s="83" t="str">
        <f>HYPERLINK("https://twitter.com/clubeacaobr")</f>
        <v>https://twitter.com/clubeacaobr</v>
      </c>
      <c r="BP338" s="2"/>
    </row>
    <row r="339" spans="1:68" x14ac:dyDescent="0.25">
      <c r="A339" s="62" t="s">
        <v>515</v>
      </c>
      <c r="B339" s="63"/>
      <c r="C339" s="63"/>
      <c r="D339" s="64"/>
      <c r="E339" s="66"/>
      <c r="F339" s="103" t="str">
        <f>HYPERLINK("https://pbs.twimg.com/profile_images/1628197655665860611/v1QBXN_h_normal.jpg")</f>
        <v>https://pbs.twimg.com/profile_images/1628197655665860611/v1QBXN_h_normal.jpg</v>
      </c>
      <c r="G339" s="63"/>
      <c r="H339" s="67"/>
      <c r="I339" s="68"/>
      <c r="J339" s="68"/>
      <c r="K339" s="67" t="s">
        <v>19971</v>
      </c>
      <c r="L339" s="71"/>
      <c r="M339" s="72"/>
      <c r="N339" s="72"/>
      <c r="O339" s="73"/>
      <c r="P339" s="74"/>
      <c r="Q339" s="74"/>
      <c r="R339" s="87"/>
      <c r="S339" s="87"/>
      <c r="T339" s="87"/>
      <c r="U339" s="87"/>
      <c r="V339" s="48"/>
      <c r="W339" s="48"/>
      <c r="X339" s="47">
        <v>1.101E-3</v>
      </c>
      <c r="Y339" s="48"/>
      <c r="Z339" s="47"/>
      <c r="AA339" s="69">
        <v>339</v>
      </c>
      <c r="AB339" s="69"/>
      <c r="AC339" s="70"/>
      <c r="AD339" s="76" t="s">
        <v>16974</v>
      </c>
      <c r="AE339" s="81" t="s">
        <v>16294</v>
      </c>
      <c r="AF339" s="76">
        <v>275</v>
      </c>
      <c r="AG339" s="76">
        <v>434</v>
      </c>
      <c r="AH339" s="76">
        <v>317</v>
      </c>
      <c r="AI339" s="76">
        <v>0</v>
      </c>
      <c r="AJ339" s="76">
        <v>703</v>
      </c>
      <c r="AK339" s="76">
        <v>17</v>
      </c>
      <c r="AL339" s="76" t="b">
        <v>0</v>
      </c>
      <c r="AM339" s="78">
        <v>42631.567418981482</v>
      </c>
      <c r="AN339" s="76"/>
      <c r="AO339" s="76" t="s">
        <v>18457</v>
      </c>
      <c r="AP339" s="76"/>
      <c r="AQ339" s="76"/>
      <c r="AR339" s="76"/>
      <c r="AS339" s="76"/>
      <c r="AT339" s="76"/>
      <c r="AU339" s="76"/>
      <c r="AV339" s="76"/>
      <c r="AW339" s="76"/>
      <c r="AX339" s="76" t="b">
        <v>0</v>
      </c>
      <c r="AY339" s="76"/>
      <c r="AZ339" s="76"/>
      <c r="BA339" s="76" t="b">
        <v>0</v>
      </c>
      <c r="BB339" s="76" t="b">
        <v>1</v>
      </c>
      <c r="BC339" s="76" t="b">
        <v>1</v>
      </c>
      <c r="BD339" s="76" t="b">
        <v>0</v>
      </c>
      <c r="BE339" s="76" t="b">
        <v>0</v>
      </c>
      <c r="BF339" s="76" t="b">
        <v>0</v>
      </c>
      <c r="BG339" s="76" t="b">
        <v>0</v>
      </c>
      <c r="BH339" s="83" t="str">
        <f>HYPERLINK("https://pbs.twimg.com/profile_banners/777501697958699009/1677027544")</f>
        <v>https://pbs.twimg.com/profile_banners/777501697958699009/1677027544</v>
      </c>
      <c r="BI339" s="76"/>
      <c r="BJ339" s="76" t="s">
        <v>19633</v>
      </c>
      <c r="BK339" s="76" t="b">
        <v>0</v>
      </c>
      <c r="BL339" s="76"/>
      <c r="BM339" s="76" t="s">
        <v>66</v>
      </c>
      <c r="BN339" s="76" t="s">
        <v>19635</v>
      </c>
      <c r="BO339" s="83" t="str">
        <f>HYPERLINK("https://twitter.com/pimpthirteen")</f>
        <v>https://twitter.com/pimpthirteen</v>
      </c>
      <c r="BP339" s="2"/>
    </row>
    <row r="340" spans="1:68" x14ac:dyDescent="0.25">
      <c r="A340" s="62" t="s">
        <v>516</v>
      </c>
      <c r="B340" s="63"/>
      <c r="C340" s="63"/>
      <c r="D340" s="64"/>
      <c r="E340" s="66"/>
      <c r="F340" s="103" t="str">
        <f>HYPERLINK("https://pbs.twimg.com/profile_images/1666775217908187136/HfNis2Zb_normal.jpg")</f>
        <v>https://pbs.twimg.com/profile_images/1666775217908187136/HfNis2Zb_normal.jpg</v>
      </c>
      <c r="G340" s="63"/>
      <c r="H340" s="67"/>
      <c r="I340" s="68"/>
      <c r="J340" s="68"/>
      <c r="K340" s="67" t="s">
        <v>19972</v>
      </c>
      <c r="L340" s="71"/>
      <c r="M340" s="72"/>
      <c r="N340" s="72"/>
      <c r="O340" s="73"/>
      <c r="P340" s="74"/>
      <c r="Q340" s="74"/>
      <c r="R340" s="87"/>
      <c r="S340" s="87"/>
      <c r="T340" s="87"/>
      <c r="U340" s="87"/>
      <c r="V340" s="48"/>
      <c r="W340" s="48"/>
      <c r="X340" s="47">
        <v>1.101E-3</v>
      </c>
      <c r="Y340" s="48"/>
      <c r="Z340" s="47"/>
      <c r="AA340" s="69">
        <v>340</v>
      </c>
      <c r="AB340" s="69"/>
      <c r="AC340" s="70"/>
      <c r="AD340" s="76" t="s">
        <v>16975</v>
      </c>
      <c r="AE340" s="81" t="s">
        <v>16295</v>
      </c>
      <c r="AF340" s="76">
        <v>28</v>
      </c>
      <c r="AG340" s="76">
        <v>27</v>
      </c>
      <c r="AH340" s="76">
        <v>57</v>
      </c>
      <c r="AI340" s="76">
        <v>0</v>
      </c>
      <c r="AJ340" s="76">
        <v>58</v>
      </c>
      <c r="AK340" s="76">
        <v>4</v>
      </c>
      <c r="AL340" s="76" t="b">
        <v>0</v>
      </c>
      <c r="AM340" s="78">
        <v>43905.529930555553</v>
      </c>
      <c r="AN340" s="76" t="s">
        <v>10572</v>
      </c>
      <c r="AO340" s="76" t="s">
        <v>18458</v>
      </c>
      <c r="AP340" s="83" t="str">
        <f>HYPERLINK("https://t.co/703wMphoAp")</f>
        <v>https://t.co/703wMphoAp</v>
      </c>
      <c r="AQ340" s="83" t="str">
        <f>HYPERLINK("http://www.alexfinancas.com.br")</f>
        <v>http://www.alexfinancas.com.br</v>
      </c>
      <c r="AR340" s="76" t="s">
        <v>19197</v>
      </c>
      <c r="AS340" s="76"/>
      <c r="AT340" s="76"/>
      <c r="AU340" s="76"/>
      <c r="AV340" s="76"/>
      <c r="AW340" s="83" t="str">
        <f>HYPERLINK("https://t.co/703wMphoAp")</f>
        <v>https://t.co/703wMphoAp</v>
      </c>
      <c r="AX340" s="76" t="b">
        <v>0</v>
      </c>
      <c r="AY340" s="76"/>
      <c r="AZ340" s="76"/>
      <c r="BA340" s="76" t="b">
        <v>1</v>
      </c>
      <c r="BB340" s="76" t="b">
        <v>1</v>
      </c>
      <c r="BC340" s="76" t="b">
        <v>1</v>
      </c>
      <c r="BD340" s="76" t="b">
        <v>0</v>
      </c>
      <c r="BE340" s="76" t="b">
        <v>0</v>
      </c>
      <c r="BF340" s="76" t="b">
        <v>0</v>
      </c>
      <c r="BG340" s="76" t="b">
        <v>0</v>
      </c>
      <c r="BH340" s="83" t="str">
        <f>HYPERLINK("https://pbs.twimg.com/profile_banners/1239170216862638082/1688143186")</f>
        <v>https://pbs.twimg.com/profile_banners/1239170216862638082/1688143186</v>
      </c>
      <c r="BI340" s="76"/>
      <c r="BJ340" s="76" t="s">
        <v>19633</v>
      </c>
      <c r="BK340" s="76" t="b">
        <v>0</v>
      </c>
      <c r="BL340" s="76"/>
      <c r="BM340" s="76" t="s">
        <v>66</v>
      </c>
      <c r="BN340" s="76" t="s">
        <v>19635</v>
      </c>
      <c r="BO340" s="83" t="str">
        <f>HYPERLINK("https://twitter.com/alexfinancas")</f>
        <v>https://twitter.com/alexfinancas</v>
      </c>
      <c r="BP340" s="2"/>
    </row>
    <row r="341" spans="1:68" x14ac:dyDescent="0.25">
      <c r="A341" s="62" t="s">
        <v>517</v>
      </c>
      <c r="B341" s="63"/>
      <c r="C341" s="63"/>
      <c r="D341" s="64"/>
      <c r="E341" s="66"/>
      <c r="F341" s="103" t="str">
        <f>HYPERLINK("https://pbs.twimg.com/profile_images/1640030219129049089/bZLsfly5_normal.png")</f>
        <v>https://pbs.twimg.com/profile_images/1640030219129049089/bZLsfly5_normal.png</v>
      </c>
      <c r="G341" s="63"/>
      <c r="H341" s="67"/>
      <c r="I341" s="68"/>
      <c r="J341" s="68"/>
      <c r="K341" s="67" t="s">
        <v>19973</v>
      </c>
      <c r="L341" s="71"/>
      <c r="M341" s="72"/>
      <c r="N341" s="72"/>
      <c r="O341" s="73"/>
      <c r="P341" s="74"/>
      <c r="Q341" s="74"/>
      <c r="R341" s="87"/>
      <c r="S341" s="87"/>
      <c r="T341" s="87"/>
      <c r="U341" s="87"/>
      <c r="V341" s="48"/>
      <c r="W341" s="48"/>
      <c r="X341" s="47">
        <v>1.101E-3</v>
      </c>
      <c r="Y341" s="48"/>
      <c r="Z341" s="47"/>
      <c r="AA341" s="69">
        <v>341</v>
      </c>
      <c r="AB341" s="69"/>
      <c r="AC341" s="70"/>
      <c r="AD341" s="76" t="s">
        <v>16976</v>
      </c>
      <c r="AE341" s="81" t="s">
        <v>16296</v>
      </c>
      <c r="AF341" s="76">
        <v>0</v>
      </c>
      <c r="AG341" s="76">
        <v>10</v>
      </c>
      <c r="AH341" s="76">
        <v>25</v>
      </c>
      <c r="AI341" s="76">
        <v>0</v>
      </c>
      <c r="AJ341" s="76">
        <v>1</v>
      </c>
      <c r="AK341" s="76">
        <v>6</v>
      </c>
      <c r="AL341" s="76" t="b">
        <v>0</v>
      </c>
      <c r="AM341" s="78">
        <v>44276.844560185185</v>
      </c>
      <c r="AN341" s="76" t="s">
        <v>10561</v>
      </c>
      <c r="AO341" s="76" t="s">
        <v>18459</v>
      </c>
      <c r="AP341" s="83" t="str">
        <f>HYPERLINK("https://t.co/b6IzbiaTpL")</f>
        <v>https://t.co/b6IzbiaTpL</v>
      </c>
      <c r="AQ341" s="83" t="str">
        <f>HYPERLINK("https://jadsonempreendedor.com")</f>
        <v>https://jadsonempreendedor.com</v>
      </c>
      <c r="AR341" s="76" t="s">
        <v>19198</v>
      </c>
      <c r="AS341" s="76"/>
      <c r="AT341" s="76"/>
      <c r="AU341" s="76"/>
      <c r="AV341" s="76"/>
      <c r="AW341" s="83" t="str">
        <f>HYPERLINK("https://t.co/b6IzbiaTpL")</f>
        <v>https://t.co/b6IzbiaTpL</v>
      </c>
      <c r="AX341" s="76" t="b">
        <v>0</v>
      </c>
      <c r="AY341" s="76"/>
      <c r="AZ341" s="76"/>
      <c r="BA341" s="76" t="b">
        <v>0</v>
      </c>
      <c r="BB341" s="76" t="b">
        <v>1</v>
      </c>
      <c r="BC341" s="76" t="b">
        <v>1</v>
      </c>
      <c r="BD341" s="76" t="b">
        <v>0</v>
      </c>
      <c r="BE341" s="76" t="b">
        <v>0</v>
      </c>
      <c r="BF341" s="76" t="b">
        <v>0</v>
      </c>
      <c r="BG341" s="76" t="b">
        <v>0</v>
      </c>
      <c r="BH341" s="83" t="str">
        <f>HYPERLINK("https://pbs.twimg.com/profile_banners/1373730040798662656/1679922707")</f>
        <v>https://pbs.twimg.com/profile_banners/1373730040798662656/1679922707</v>
      </c>
      <c r="BI341" s="76"/>
      <c r="BJ341" s="76" t="s">
        <v>19633</v>
      </c>
      <c r="BK341" s="76" t="b">
        <v>0</v>
      </c>
      <c r="BL341" s="76"/>
      <c r="BM341" s="76" t="s">
        <v>66</v>
      </c>
      <c r="BN341" s="76" t="s">
        <v>19635</v>
      </c>
      <c r="BO341" s="83" t="str">
        <f>HYPERLINK("https://twitter.com/jjempreendedor")</f>
        <v>https://twitter.com/jjempreendedor</v>
      </c>
      <c r="BP341" s="2"/>
    </row>
    <row r="342" spans="1:68" x14ac:dyDescent="0.25">
      <c r="A342" s="62" t="s">
        <v>518</v>
      </c>
      <c r="B342" s="63"/>
      <c r="C342" s="63"/>
      <c r="D342" s="64"/>
      <c r="E342" s="66"/>
      <c r="F342" s="103" t="str">
        <f>HYPERLINK("https://pbs.twimg.com/profile_images/1615887087898689536/J29mx1hM_normal.jpg")</f>
        <v>https://pbs.twimg.com/profile_images/1615887087898689536/J29mx1hM_normal.jpg</v>
      </c>
      <c r="G342" s="63"/>
      <c r="H342" s="67"/>
      <c r="I342" s="68"/>
      <c r="J342" s="68"/>
      <c r="K342" s="67" t="s">
        <v>19974</v>
      </c>
      <c r="L342" s="71"/>
      <c r="M342" s="72"/>
      <c r="N342" s="72"/>
      <c r="O342" s="73"/>
      <c r="P342" s="74"/>
      <c r="Q342" s="74"/>
      <c r="R342" s="87"/>
      <c r="S342" s="87"/>
      <c r="T342" s="87"/>
      <c r="U342" s="87"/>
      <c r="V342" s="48"/>
      <c r="W342" s="48"/>
      <c r="X342" s="47">
        <v>1.101E-3</v>
      </c>
      <c r="Y342" s="48"/>
      <c r="Z342" s="47"/>
      <c r="AA342" s="69">
        <v>342</v>
      </c>
      <c r="AB342" s="69"/>
      <c r="AC342" s="70"/>
      <c r="AD342" s="76" t="s">
        <v>16977</v>
      </c>
      <c r="AE342" s="81" t="s">
        <v>16297</v>
      </c>
      <c r="AF342" s="76">
        <v>5</v>
      </c>
      <c r="AG342" s="76">
        <v>27</v>
      </c>
      <c r="AH342" s="76">
        <v>21</v>
      </c>
      <c r="AI342" s="76">
        <v>0</v>
      </c>
      <c r="AJ342" s="76">
        <v>13</v>
      </c>
      <c r="AK342" s="76">
        <v>3</v>
      </c>
      <c r="AL342" s="76" t="b">
        <v>0</v>
      </c>
      <c r="AM342" s="78">
        <v>43579.988981481481</v>
      </c>
      <c r="AN342" s="76" t="s">
        <v>17982</v>
      </c>
      <c r="AO342" s="76" t="s">
        <v>18460</v>
      </c>
      <c r="AP342" s="76"/>
      <c r="AQ342" s="76"/>
      <c r="AR342" s="76"/>
      <c r="AS342" s="76"/>
      <c r="AT342" s="76"/>
      <c r="AU342" s="76"/>
      <c r="AV342" s="76"/>
      <c r="AW342" s="76"/>
      <c r="AX342" s="76" t="b">
        <v>0</v>
      </c>
      <c r="AY342" s="76"/>
      <c r="AZ342" s="76"/>
      <c r="BA342" s="76" t="b">
        <v>0</v>
      </c>
      <c r="BB342" s="76" t="b">
        <v>1</v>
      </c>
      <c r="BC342" s="76" t="b">
        <v>1</v>
      </c>
      <c r="BD342" s="76" t="b">
        <v>0</v>
      </c>
      <c r="BE342" s="76" t="b">
        <v>0</v>
      </c>
      <c r="BF342" s="76" t="b">
        <v>0</v>
      </c>
      <c r="BG342" s="76" t="b">
        <v>0</v>
      </c>
      <c r="BH342" s="76"/>
      <c r="BI342" s="76"/>
      <c r="BJ342" s="76" t="s">
        <v>19633</v>
      </c>
      <c r="BK342" s="76" t="b">
        <v>0</v>
      </c>
      <c r="BL342" s="76"/>
      <c r="BM342" s="76" t="s">
        <v>66</v>
      </c>
      <c r="BN342" s="76" t="s">
        <v>19635</v>
      </c>
      <c r="BO342" s="83" t="str">
        <f>HYPERLINK("https://twitter.com/cajao021")</f>
        <v>https://twitter.com/cajao021</v>
      </c>
      <c r="BP342" s="2"/>
    </row>
    <row r="343" spans="1:68" x14ac:dyDescent="0.25">
      <c r="A343" s="62" t="s">
        <v>519</v>
      </c>
      <c r="B343" s="63"/>
      <c r="C343" s="63"/>
      <c r="D343" s="64"/>
      <c r="E343" s="66"/>
      <c r="F343" s="103" t="str">
        <f>HYPERLINK("https://pbs.twimg.com/profile_images/1430889832373309441/d012mA_1_normal.jpg")</f>
        <v>https://pbs.twimg.com/profile_images/1430889832373309441/d012mA_1_normal.jpg</v>
      </c>
      <c r="G343" s="63"/>
      <c r="H343" s="67"/>
      <c r="I343" s="68"/>
      <c r="J343" s="68"/>
      <c r="K343" s="67" t="s">
        <v>19975</v>
      </c>
      <c r="L343" s="71"/>
      <c r="M343" s="72"/>
      <c r="N343" s="72"/>
      <c r="O343" s="73"/>
      <c r="P343" s="74"/>
      <c r="Q343" s="74"/>
      <c r="R343" s="87"/>
      <c r="S343" s="87"/>
      <c r="T343" s="87"/>
      <c r="U343" s="87"/>
      <c r="V343" s="48"/>
      <c r="W343" s="48"/>
      <c r="X343" s="47">
        <v>1.101E-3</v>
      </c>
      <c r="Y343" s="48"/>
      <c r="Z343" s="47"/>
      <c r="AA343" s="69">
        <v>343</v>
      </c>
      <c r="AB343" s="69"/>
      <c r="AC343" s="70"/>
      <c r="AD343" s="76" t="s">
        <v>16978</v>
      </c>
      <c r="AE343" s="81" t="s">
        <v>16298</v>
      </c>
      <c r="AF343" s="76">
        <v>9</v>
      </c>
      <c r="AG343" s="76">
        <v>51</v>
      </c>
      <c r="AH343" s="76">
        <v>162</v>
      </c>
      <c r="AI343" s="76">
        <v>0</v>
      </c>
      <c r="AJ343" s="76">
        <v>230</v>
      </c>
      <c r="AK343" s="76">
        <v>14</v>
      </c>
      <c r="AL343" s="76" t="b">
        <v>0</v>
      </c>
      <c r="AM343" s="78">
        <v>44434.574872685182</v>
      </c>
      <c r="AN343" s="76"/>
      <c r="AO343" s="76" t="s">
        <v>18461</v>
      </c>
      <c r="AP343" s="83" t="str">
        <f>HYPERLINK("https://t.co/evpTNKUAoO")</f>
        <v>https://t.co/evpTNKUAoO</v>
      </c>
      <c r="AQ343" s="83" t="str">
        <f>HYPERLINK("http://Instagram.com/projaposent")</f>
        <v>http://Instagram.com/projaposent</v>
      </c>
      <c r="AR343" s="76" t="s">
        <v>19199</v>
      </c>
      <c r="AS343" s="76"/>
      <c r="AT343" s="76"/>
      <c r="AU343" s="76"/>
      <c r="AV343" s="76">
        <v>1.4308926799618401E+18</v>
      </c>
      <c r="AW343" s="83" t="str">
        <f>HYPERLINK("https://t.co/evpTNKUAoO")</f>
        <v>https://t.co/evpTNKUAoO</v>
      </c>
      <c r="AX343" s="76" t="b">
        <v>0</v>
      </c>
      <c r="AY343" s="76"/>
      <c r="AZ343" s="76"/>
      <c r="BA343" s="76" t="b">
        <v>0</v>
      </c>
      <c r="BB343" s="76" t="b">
        <v>1</v>
      </c>
      <c r="BC343" s="76" t="b">
        <v>1</v>
      </c>
      <c r="BD343" s="76" t="b">
        <v>0</v>
      </c>
      <c r="BE343" s="76" t="b">
        <v>0</v>
      </c>
      <c r="BF343" s="76" t="b">
        <v>0</v>
      </c>
      <c r="BG343" s="76" t="b">
        <v>0</v>
      </c>
      <c r="BH343" s="76"/>
      <c r="BI343" s="76"/>
      <c r="BJ343" s="76" t="s">
        <v>19633</v>
      </c>
      <c r="BK343" s="76" t="b">
        <v>0</v>
      </c>
      <c r="BL343" s="76"/>
      <c r="BM343" s="76" t="s">
        <v>66</v>
      </c>
      <c r="BN343" s="76" t="s">
        <v>19635</v>
      </c>
      <c r="BO343" s="83" t="str">
        <f>HYPERLINK("https://twitter.com/projaposent")</f>
        <v>https://twitter.com/projaposent</v>
      </c>
      <c r="BP343" s="2"/>
    </row>
    <row r="344" spans="1:68" x14ac:dyDescent="0.25">
      <c r="A344" s="62" t="s">
        <v>520</v>
      </c>
      <c r="B344" s="63"/>
      <c r="C344" s="63"/>
      <c r="D344" s="64"/>
      <c r="E344" s="66"/>
      <c r="F344" s="103" t="str">
        <f>HYPERLINK("https://pbs.twimg.com/profile_images/1110618468200710144/U0Kox-i0_normal.jpg")</f>
        <v>https://pbs.twimg.com/profile_images/1110618468200710144/U0Kox-i0_normal.jpg</v>
      </c>
      <c r="G344" s="63"/>
      <c r="H344" s="67"/>
      <c r="I344" s="68"/>
      <c r="J344" s="68"/>
      <c r="K344" s="67" t="s">
        <v>19976</v>
      </c>
      <c r="L344" s="71"/>
      <c r="M344" s="72"/>
      <c r="N344" s="72"/>
      <c r="O344" s="73"/>
      <c r="P344" s="74"/>
      <c r="Q344" s="74"/>
      <c r="R344" s="87"/>
      <c r="S344" s="87"/>
      <c r="T344" s="87"/>
      <c r="U344" s="87"/>
      <c r="V344" s="48"/>
      <c r="W344" s="48"/>
      <c r="X344" s="47">
        <v>1.101E-3</v>
      </c>
      <c r="Y344" s="48"/>
      <c r="Z344" s="47"/>
      <c r="AA344" s="69">
        <v>344</v>
      </c>
      <c r="AB344" s="69"/>
      <c r="AC344" s="70"/>
      <c r="AD344" s="76" t="s">
        <v>16979</v>
      </c>
      <c r="AE344" s="81" t="s">
        <v>16299</v>
      </c>
      <c r="AF344" s="76">
        <v>80</v>
      </c>
      <c r="AG344" s="76">
        <v>5</v>
      </c>
      <c r="AH344" s="76">
        <v>115</v>
      </c>
      <c r="AI344" s="76">
        <v>1</v>
      </c>
      <c r="AJ344" s="76">
        <v>44</v>
      </c>
      <c r="AK344" s="76">
        <v>57</v>
      </c>
      <c r="AL344" s="76" t="b">
        <v>0</v>
      </c>
      <c r="AM344" s="78">
        <v>43422.679351851853</v>
      </c>
      <c r="AN344" s="76" t="s">
        <v>17983</v>
      </c>
      <c r="AO344" s="76" t="s">
        <v>18462</v>
      </c>
      <c r="AP344" s="83" t="str">
        <f>HYPERLINK("https://t.co/KLv4PzdCvA")</f>
        <v>https://t.co/KLv4PzdCvA</v>
      </c>
      <c r="AQ344" s="83" t="str">
        <f>HYPERLINK("http://www.brazencap.com")</f>
        <v>http://www.brazencap.com</v>
      </c>
      <c r="AR344" s="76" t="s">
        <v>6053</v>
      </c>
      <c r="AS344" s="76"/>
      <c r="AT344" s="76"/>
      <c r="AU344" s="76"/>
      <c r="AV344" s="76"/>
      <c r="AW344" s="83" t="str">
        <f>HYPERLINK("https://t.co/KLv4PzdCvA")</f>
        <v>https://t.co/KLv4PzdCvA</v>
      </c>
      <c r="AX344" s="76" t="b">
        <v>0</v>
      </c>
      <c r="AY344" s="76"/>
      <c r="AZ344" s="76"/>
      <c r="BA344" s="76" t="b">
        <v>0</v>
      </c>
      <c r="BB344" s="76" t="b">
        <v>1</v>
      </c>
      <c r="BC344" s="76" t="b">
        <v>1</v>
      </c>
      <c r="BD344" s="76" t="b">
        <v>0</v>
      </c>
      <c r="BE344" s="76" t="b">
        <v>1</v>
      </c>
      <c r="BF344" s="76" t="b">
        <v>0</v>
      </c>
      <c r="BG344" s="76" t="b">
        <v>0</v>
      </c>
      <c r="BH344" s="83" t="str">
        <f>HYPERLINK("https://pbs.twimg.com/profile_banners/1064191066608422913/1555613065")</f>
        <v>https://pbs.twimg.com/profile_banners/1064191066608422913/1555613065</v>
      </c>
      <c r="BI344" s="76"/>
      <c r="BJ344" s="76" t="s">
        <v>19633</v>
      </c>
      <c r="BK344" s="76" t="b">
        <v>0</v>
      </c>
      <c r="BL344" s="76"/>
      <c r="BM344" s="76" t="s">
        <v>66</v>
      </c>
      <c r="BN344" s="76" t="s">
        <v>19635</v>
      </c>
      <c r="BO344" s="83" t="str">
        <f>HYPERLINK("https://twitter.com/brazen_capital")</f>
        <v>https://twitter.com/brazen_capital</v>
      </c>
      <c r="BP344" s="2"/>
    </row>
    <row r="345" spans="1:68" x14ac:dyDescent="0.25">
      <c r="A345" s="62" t="s">
        <v>521</v>
      </c>
      <c r="B345" s="63"/>
      <c r="C345" s="63"/>
      <c r="D345" s="64"/>
      <c r="E345" s="66"/>
      <c r="F345" s="103" t="str">
        <f>HYPERLINK("https://pbs.twimg.com/profile_images/1588617750284476417/b2APCrQ-_normal.jpg")</f>
        <v>https://pbs.twimg.com/profile_images/1588617750284476417/b2APCrQ-_normal.jpg</v>
      </c>
      <c r="G345" s="63"/>
      <c r="H345" s="67"/>
      <c r="I345" s="68"/>
      <c r="J345" s="68"/>
      <c r="K345" s="67" t="s">
        <v>19977</v>
      </c>
      <c r="L345" s="71"/>
      <c r="M345" s="72"/>
      <c r="N345" s="72"/>
      <c r="O345" s="73"/>
      <c r="P345" s="74"/>
      <c r="Q345" s="74"/>
      <c r="R345" s="87"/>
      <c r="S345" s="87"/>
      <c r="T345" s="87"/>
      <c r="U345" s="87"/>
      <c r="V345" s="48"/>
      <c r="W345" s="48"/>
      <c r="X345" s="47">
        <v>1.101E-3</v>
      </c>
      <c r="Y345" s="48"/>
      <c r="Z345" s="47"/>
      <c r="AA345" s="69">
        <v>345</v>
      </c>
      <c r="AB345" s="69"/>
      <c r="AC345" s="70"/>
      <c r="AD345" s="76" t="s">
        <v>16980</v>
      </c>
      <c r="AE345" s="81" t="s">
        <v>17653</v>
      </c>
      <c r="AF345" s="76">
        <v>1411</v>
      </c>
      <c r="AG345" s="76">
        <v>130</v>
      </c>
      <c r="AH345" s="76">
        <v>2805</v>
      </c>
      <c r="AI345" s="76">
        <v>16</v>
      </c>
      <c r="AJ345" s="76">
        <v>138</v>
      </c>
      <c r="AK345" s="76">
        <v>1857</v>
      </c>
      <c r="AL345" s="76" t="b">
        <v>0</v>
      </c>
      <c r="AM345" s="78">
        <v>40716.91710648148</v>
      </c>
      <c r="AN345" s="76" t="s">
        <v>17984</v>
      </c>
      <c r="AO345" s="76" t="s">
        <v>18463</v>
      </c>
      <c r="AP345" s="83" t="str">
        <f>HYPERLINK("https://t.co/XXpMxylVbK")</f>
        <v>https://t.co/XXpMxylVbK</v>
      </c>
      <c r="AQ345" s="83" t="str">
        <f>HYPERLINK("http://www.sebrae.com.br/tocantins")</f>
        <v>http://www.sebrae.com.br/tocantins</v>
      </c>
      <c r="AR345" s="76" t="s">
        <v>19200</v>
      </c>
      <c r="AS345" s="76"/>
      <c r="AT345" s="76"/>
      <c r="AU345" s="76"/>
      <c r="AV345" s="76"/>
      <c r="AW345" s="83" t="str">
        <f>HYPERLINK("https://t.co/XXpMxylVbK")</f>
        <v>https://t.co/XXpMxylVbK</v>
      </c>
      <c r="AX345" s="76" t="b">
        <v>0</v>
      </c>
      <c r="AY345" s="76"/>
      <c r="AZ345" s="76"/>
      <c r="BA345" s="76" t="b">
        <v>0</v>
      </c>
      <c r="BB345" s="76" t="b">
        <v>1</v>
      </c>
      <c r="BC345" s="76" t="b">
        <v>0</v>
      </c>
      <c r="BD345" s="76" t="b">
        <v>0</v>
      </c>
      <c r="BE345" s="76" t="b">
        <v>0</v>
      </c>
      <c r="BF345" s="76" t="b">
        <v>0</v>
      </c>
      <c r="BG345" s="76" t="b">
        <v>0</v>
      </c>
      <c r="BH345" s="83" t="str">
        <f>HYPERLINK("https://pbs.twimg.com/profile_banners/322260032/1687728786")</f>
        <v>https://pbs.twimg.com/profile_banners/322260032/1687728786</v>
      </c>
      <c r="BI345" s="76"/>
      <c r="BJ345" s="76" t="s">
        <v>19633</v>
      </c>
      <c r="BK345" s="76" t="b">
        <v>0</v>
      </c>
      <c r="BL345" s="76"/>
      <c r="BM345" s="76" t="s">
        <v>66</v>
      </c>
      <c r="BN345" s="76" t="s">
        <v>19635</v>
      </c>
      <c r="BO345" s="83" t="str">
        <f>HYPERLINK("https://twitter.com/sebraeto")</f>
        <v>https://twitter.com/sebraeto</v>
      </c>
      <c r="BP345" s="2"/>
    </row>
    <row r="346" spans="1:68" x14ac:dyDescent="0.25">
      <c r="A346" s="62" t="s">
        <v>522</v>
      </c>
      <c r="B346" s="63"/>
      <c r="C346" s="63"/>
      <c r="D346" s="64"/>
      <c r="E346" s="66"/>
      <c r="F346" s="103" t="str">
        <f>HYPERLINK("https://pbs.twimg.com/profile_images/1661986576304422913/jykDDMeR_normal.jpg")</f>
        <v>https://pbs.twimg.com/profile_images/1661986576304422913/jykDDMeR_normal.jpg</v>
      </c>
      <c r="G346" s="63"/>
      <c r="H346" s="67"/>
      <c r="I346" s="68"/>
      <c r="J346" s="68"/>
      <c r="K346" s="67" t="s">
        <v>19978</v>
      </c>
      <c r="L346" s="71"/>
      <c r="M346" s="72"/>
      <c r="N346" s="72"/>
      <c r="O346" s="73"/>
      <c r="P346" s="74"/>
      <c r="Q346" s="74"/>
      <c r="R346" s="87"/>
      <c r="S346" s="87"/>
      <c r="T346" s="87"/>
      <c r="U346" s="87"/>
      <c r="V346" s="48"/>
      <c r="W346" s="48"/>
      <c r="X346" s="47">
        <v>1.101E-3</v>
      </c>
      <c r="Y346" s="48"/>
      <c r="Z346" s="47"/>
      <c r="AA346" s="69">
        <v>346</v>
      </c>
      <c r="AB346" s="69"/>
      <c r="AC346" s="70"/>
      <c r="AD346" s="76" t="s">
        <v>16981</v>
      </c>
      <c r="AE346" s="81" t="s">
        <v>16300</v>
      </c>
      <c r="AF346" s="76">
        <v>67</v>
      </c>
      <c r="AG346" s="76">
        <v>4</v>
      </c>
      <c r="AH346" s="76">
        <v>233</v>
      </c>
      <c r="AI346" s="76">
        <v>0</v>
      </c>
      <c r="AJ346" s="76">
        <v>100</v>
      </c>
      <c r="AK346" s="76">
        <v>0</v>
      </c>
      <c r="AL346" s="76" t="b">
        <v>0</v>
      </c>
      <c r="AM346" s="78">
        <v>45072.28052083333</v>
      </c>
      <c r="AN346" s="76"/>
      <c r="AO346" s="76"/>
      <c r="AP346" s="76"/>
      <c r="AQ346" s="76"/>
      <c r="AR346" s="76"/>
      <c r="AS346" s="76"/>
      <c r="AT346" s="76"/>
      <c r="AU346" s="76"/>
      <c r="AV346" s="76"/>
      <c r="AW346" s="76"/>
      <c r="AX346" s="76" t="b">
        <v>0</v>
      </c>
      <c r="AY346" s="76"/>
      <c r="AZ346" s="76"/>
      <c r="BA346" s="76" t="b">
        <v>0</v>
      </c>
      <c r="BB346" s="76" t="b">
        <v>1</v>
      </c>
      <c r="BC346" s="76" t="b">
        <v>1</v>
      </c>
      <c r="BD346" s="76" t="b">
        <v>0</v>
      </c>
      <c r="BE346" s="76" t="b">
        <v>0</v>
      </c>
      <c r="BF346" s="76" t="b">
        <v>0</v>
      </c>
      <c r="BG346" s="76" t="b">
        <v>0</v>
      </c>
      <c r="BH346" s="83" t="str">
        <f>HYPERLINK("https://pbs.twimg.com/profile_banners/1661986307961155586/1685083655")</f>
        <v>https://pbs.twimg.com/profile_banners/1661986307961155586/1685083655</v>
      </c>
      <c r="BI346" s="76"/>
      <c r="BJ346" s="76" t="s">
        <v>19633</v>
      </c>
      <c r="BK346" s="76" t="b">
        <v>0</v>
      </c>
      <c r="BL346" s="76"/>
      <c r="BM346" s="76" t="s">
        <v>66</v>
      </c>
      <c r="BN346" s="76" t="s">
        <v>19635</v>
      </c>
      <c r="BO346" s="83" t="str">
        <f>HYPERLINK("https://twitter.com/serieapalpiteir")</f>
        <v>https://twitter.com/serieapalpiteir</v>
      </c>
      <c r="BP346" s="2"/>
    </row>
    <row r="347" spans="1:68" x14ac:dyDescent="0.25">
      <c r="A347" s="62" t="s">
        <v>523</v>
      </c>
      <c r="B347" s="63"/>
      <c r="C347" s="63"/>
      <c r="D347" s="64"/>
      <c r="E347" s="66"/>
      <c r="F347" s="103" t="str">
        <f>HYPERLINK("https://pbs.twimg.com/profile_images/1620109434906152980/LdPkoH0z_normal.jpg")</f>
        <v>https://pbs.twimg.com/profile_images/1620109434906152980/LdPkoH0z_normal.jpg</v>
      </c>
      <c r="G347" s="63"/>
      <c r="H347" s="67"/>
      <c r="I347" s="68"/>
      <c r="J347" s="68"/>
      <c r="K347" s="67" t="s">
        <v>19979</v>
      </c>
      <c r="L347" s="71"/>
      <c r="M347" s="72"/>
      <c r="N347" s="72"/>
      <c r="O347" s="73"/>
      <c r="P347" s="74"/>
      <c r="Q347" s="74"/>
      <c r="R347" s="87"/>
      <c r="S347" s="87"/>
      <c r="T347" s="87"/>
      <c r="U347" s="87"/>
      <c r="V347" s="48"/>
      <c r="W347" s="48"/>
      <c r="X347" s="47">
        <v>1.101E-3</v>
      </c>
      <c r="Y347" s="48"/>
      <c r="Z347" s="47"/>
      <c r="AA347" s="69">
        <v>347</v>
      </c>
      <c r="AB347" s="69"/>
      <c r="AC347" s="70"/>
      <c r="AD347" s="76" t="s">
        <v>16982</v>
      </c>
      <c r="AE347" s="81" t="s">
        <v>17654</v>
      </c>
      <c r="AF347" s="76">
        <v>863</v>
      </c>
      <c r="AG347" s="76">
        <v>2746</v>
      </c>
      <c r="AH347" s="76">
        <v>23596</v>
      </c>
      <c r="AI347" s="76">
        <v>0</v>
      </c>
      <c r="AJ347" s="76">
        <v>2206</v>
      </c>
      <c r="AK347" s="76">
        <v>3480</v>
      </c>
      <c r="AL347" s="76" t="b">
        <v>0</v>
      </c>
      <c r="AM347" s="78">
        <v>40876.816319444442</v>
      </c>
      <c r="AN347" s="76" t="s">
        <v>17985</v>
      </c>
      <c r="AO347" s="76" t="s">
        <v>18464</v>
      </c>
      <c r="AP347" s="83" t="str">
        <f>HYPERLINK("https://t.co/XihXfrCGCN")</f>
        <v>https://t.co/XihXfrCGCN</v>
      </c>
      <c r="AQ347" s="83" t="str">
        <f>HYPERLINK("https://hungryforhits.com/downpost3.php?id=9060")</f>
        <v>https://hungryforhits.com/downpost3.php?id=9060</v>
      </c>
      <c r="AR347" s="76" t="s">
        <v>19201</v>
      </c>
      <c r="AS347" s="76"/>
      <c r="AT347" s="76"/>
      <c r="AU347" s="76"/>
      <c r="AV347" s="76"/>
      <c r="AW347" s="83" t="str">
        <f>HYPERLINK("https://t.co/XihXfrCGCN")</f>
        <v>https://t.co/XihXfrCGCN</v>
      </c>
      <c r="AX347" s="76" t="b">
        <v>0</v>
      </c>
      <c r="AY347" s="76"/>
      <c r="AZ347" s="76"/>
      <c r="BA347" s="76" t="b">
        <v>0</v>
      </c>
      <c r="BB347" s="76" t="b">
        <v>0</v>
      </c>
      <c r="BC347" s="76" t="b">
        <v>1</v>
      </c>
      <c r="BD347" s="76" t="b">
        <v>0</v>
      </c>
      <c r="BE347" s="76" t="b">
        <v>0</v>
      </c>
      <c r="BF347" s="76" t="b">
        <v>0</v>
      </c>
      <c r="BG347" s="76" t="b">
        <v>0</v>
      </c>
      <c r="BH347" s="83" t="str">
        <f>HYPERLINK("https://pbs.twimg.com/profile_banners/424440280/1544114594")</f>
        <v>https://pbs.twimg.com/profile_banners/424440280/1544114594</v>
      </c>
      <c r="BI347" s="76"/>
      <c r="BJ347" s="76" t="s">
        <v>19633</v>
      </c>
      <c r="BK347" s="76" t="b">
        <v>0</v>
      </c>
      <c r="BL347" s="76"/>
      <c r="BM347" s="76" t="s">
        <v>66</v>
      </c>
      <c r="BN347" s="76" t="s">
        <v>19635</v>
      </c>
      <c r="BO347" s="83" t="str">
        <f>HYPERLINK("https://twitter.com/azizbasry")</f>
        <v>https://twitter.com/azizbasry</v>
      </c>
      <c r="BP347" s="2"/>
    </row>
    <row r="348" spans="1:68" x14ac:dyDescent="0.25">
      <c r="A348" s="62" t="s">
        <v>524</v>
      </c>
      <c r="B348" s="63"/>
      <c r="C348" s="63"/>
      <c r="D348" s="64"/>
      <c r="E348" s="66"/>
      <c r="F348" s="103" t="str">
        <f>HYPERLINK("https://pbs.twimg.com/profile_images/1261288389942403072/y2nBc1_U_normal.jpg")</f>
        <v>https://pbs.twimg.com/profile_images/1261288389942403072/y2nBc1_U_normal.jpg</v>
      </c>
      <c r="G348" s="63"/>
      <c r="H348" s="67"/>
      <c r="I348" s="68"/>
      <c r="J348" s="68"/>
      <c r="K348" s="67" t="s">
        <v>19980</v>
      </c>
      <c r="L348" s="71"/>
      <c r="M348" s="72"/>
      <c r="N348" s="72"/>
      <c r="O348" s="73"/>
      <c r="P348" s="74"/>
      <c r="Q348" s="74"/>
      <c r="R348" s="87"/>
      <c r="S348" s="87"/>
      <c r="T348" s="87"/>
      <c r="U348" s="87"/>
      <c r="V348" s="48"/>
      <c r="W348" s="48"/>
      <c r="X348" s="47">
        <v>1.101E-3</v>
      </c>
      <c r="Y348" s="48"/>
      <c r="Z348" s="47"/>
      <c r="AA348" s="69">
        <v>348</v>
      </c>
      <c r="AB348" s="69"/>
      <c r="AC348" s="70"/>
      <c r="AD348" s="76" t="s">
        <v>16983</v>
      </c>
      <c r="AE348" s="81" t="s">
        <v>17655</v>
      </c>
      <c r="AF348" s="76">
        <v>253</v>
      </c>
      <c r="AG348" s="76">
        <v>2</v>
      </c>
      <c r="AH348" s="76">
        <v>345</v>
      </c>
      <c r="AI348" s="76">
        <v>0</v>
      </c>
      <c r="AJ348" s="76">
        <v>41</v>
      </c>
      <c r="AK348" s="76">
        <v>168</v>
      </c>
      <c r="AL348" s="76" t="b">
        <v>0</v>
      </c>
      <c r="AM348" s="78">
        <v>40924.817233796297</v>
      </c>
      <c r="AN348" s="76" t="s">
        <v>10631</v>
      </c>
      <c r="AO348" s="76" t="s">
        <v>18465</v>
      </c>
      <c r="AP348" s="83" t="str">
        <f>HYPERLINK("https://t.co/rCIAOoD0ZX")</f>
        <v>https://t.co/rCIAOoD0ZX</v>
      </c>
      <c r="AQ348" s="83" t="str">
        <f>HYPERLINK("http://www.sicoob.com.br/web/sicoobcoopjustica")</f>
        <v>http://www.sicoob.com.br/web/sicoobcoopjustica</v>
      </c>
      <c r="AR348" s="76" t="s">
        <v>19202</v>
      </c>
      <c r="AS348" s="76"/>
      <c r="AT348" s="76"/>
      <c r="AU348" s="76"/>
      <c r="AV348" s="76"/>
      <c r="AW348" s="83" t="str">
        <f>HYPERLINK("https://t.co/rCIAOoD0ZX")</f>
        <v>https://t.co/rCIAOoD0ZX</v>
      </c>
      <c r="AX348" s="76" t="b">
        <v>0</v>
      </c>
      <c r="AY348" s="76"/>
      <c r="AZ348" s="76"/>
      <c r="BA348" s="76" t="b">
        <v>0</v>
      </c>
      <c r="BB348" s="76" t="b">
        <v>1</v>
      </c>
      <c r="BC348" s="76" t="b">
        <v>0</v>
      </c>
      <c r="BD348" s="76" t="b">
        <v>0</v>
      </c>
      <c r="BE348" s="76" t="b">
        <v>0</v>
      </c>
      <c r="BF348" s="76" t="b">
        <v>0</v>
      </c>
      <c r="BG348" s="76" t="b">
        <v>0</v>
      </c>
      <c r="BH348" s="83" t="str">
        <f>HYPERLINK("https://pbs.twimg.com/profile_banners/465822677/1649774529")</f>
        <v>https://pbs.twimg.com/profile_banners/465822677/1649774529</v>
      </c>
      <c r="BI348" s="76"/>
      <c r="BJ348" s="76" t="s">
        <v>19633</v>
      </c>
      <c r="BK348" s="76" t="b">
        <v>0</v>
      </c>
      <c r="BL348" s="76"/>
      <c r="BM348" s="76" t="s">
        <v>66</v>
      </c>
      <c r="BN348" s="76" t="s">
        <v>19635</v>
      </c>
      <c r="BO348" s="83" t="str">
        <f>HYPERLINK("https://twitter.com/sicoobcj")</f>
        <v>https://twitter.com/sicoobcj</v>
      </c>
      <c r="BP348" s="2"/>
    </row>
    <row r="349" spans="1:68" x14ac:dyDescent="0.25">
      <c r="A349" s="62" t="s">
        <v>525</v>
      </c>
      <c r="B349" s="63"/>
      <c r="C349" s="63"/>
      <c r="D349" s="64"/>
      <c r="E349" s="66"/>
      <c r="F349" s="103" t="str">
        <f>HYPERLINK("https://pbs.twimg.com/profile_images/1664309207686959105/N0Qj9L95_normal.jpg")</f>
        <v>https://pbs.twimg.com/profile_images/1664309207686959105/N0Qj9L95_normal.jpg</v>
      </c>
      <c r="G349" s="63"/>
      <c r="H349" s="67"/>
      <c r="I349" s="68"/>
      <c r="J349" s="68"/>
      <c r="K349" s="67" t="s">
        <v>19981</v>
      </c>
      <c r="L349" s="71"/>
      <c r="M349" s="72"/>
      <c r="N349" s="72"/>
      <c r="O349" s="73"/>
      <c r="P349" s="74"/>
      <c r="Q349" s="74"/>
      <c r="R349" s="87"/>
      <c r="S349" s="87"/>
      <c r="T349" s="87"/>
      <c r="U349" s="87"/>
      <c r="V349" s="48"/>
      <c r="W349" s="48"/>
      <c r="X349" s="47">
        <v>1.101E-3</v>
      </c>
      <c r="Y349" s="48"/>
      <c r="Z349" s="47"/>
      <c r="AA349" s="69">
        <v>349</v>
      </c>
      <c r="AB349" s="69"/>
      <c r="AC349" s="70"/>
      <c r="AD349" s="76" t="s">
        <v>16984</v>
      </c>
      <c r="AE349" s="81" t="s">
        <v>16301</v>
      </c>
      <c r="AF349" s="76">
        <v>11</v>
      </c>
      <c r="AG349" s="76">
        <v>50</v>
      </c>
      <c r="AH349" s="76">
        <v>108</v>
      </c>
      <c r="AI349" s="76">
        <v>3</v>
      </c>
      <c r="AJ349" s="76">
        <v>43</v>
      </c>
      <c r="AK349" s="76">
        <v>71</v>
      </c>
      <c r="AL349" s="76" t="b">
        <v>0</v>
      </c>
      <c r="AM349" s="78">
        <v>44300.934131944443</v>
      </c>
      <c r="AN349" s="76" t="s">
        <v>17967</v>
      </c>
      <c r="AO349" s="76" t="s">
        <v>18466</v>
      </c>
      <c r="AP349" s="83" t="str">
        <f>HYPERLINK("https://t.co/bcQ1YnMtWa")</f>
        <v>https://t.co/bcQ1YnMtWa</v>
      </c>
      <c r="AQ349" s="83" t="str">
        <f>HYPERLINK("http://www.mutualcapitalinvest.com")</f>
        <v>http://www.mutualcapitalinvest.com</v>
      </c>
      <c r="AR349" s="76" t="s">
        <v>19203</v>
      </c>
      <c r="AS349" s="76"/>
      <c r="AT349" s="76"/>
      <c r="AU349" s="76"/>
      <c r="AV349" s="76"/>
      <c r="AW349" s="83" t="str">
        <f>HYPERLINK("https://t.co/bcQ1YnMtWa")</f>
        <v>https://t.co/bcQ1YnMtWa</v>
      </c>
      <c r="AX349" s="76" t="b">
        <v>0</v>
      </c>
      <c r="AY349" s="76"/>
      <c r="AZ349" s="76"/>
      <c r="BA349" s="76" t="b">
        <v>0</v>
      </c>
      <c r="BB349" s="76" t="b">
        <v>1</v>
      </c>
      <c r="BC349" s="76" t="b">
        <v>1</v>
      </c>
      <c r="BD349" s="76" t="b">
        <v>0</v>
      </c>
      <c r="BE349" s="76" t="b">
        <v>0</v>
      </c>
      <c r="BF349" s="76" t="b">
        <v>0</v>
      </c>
      <c r="BG349" s="76" t="b">
        <v>0</v>
      </c>
      <c r="BH349" s="83" t="str">
        <f>HYPERLINK("https://pbs.twimg.com/profile_banners/1382459845455056898/1685637214")</f>
        <v>https://pbs.twimg.com/profile_banners/1382459845455056898/1685637214</v>
      </c>
      <c r="BI349" s="76"/>
      <c r="BJ349" s="76" t="s">
        <v>19633</v>
      </c>
      <c r="BK349" s="76" t="b">
        <v>0</v>
      </c>
      <c r="BL349" s="76"/>
      <c r="BM349" s="76" t="s">
        <v>66</v>
      </c>
      <c r="BN349" s="76" t="s">
        <v>19635</v>
      </c>
      <c r="BO349" s="83" t="str">
        <f>HYPERLINK("https://twitter.com/mutualcapital3")</f>
        <v>https://twitter.com/mutualcapital3</v>
      </c>
      <c r="BP349" s="2"/>
    </row>
    <row r="350" spans="1:68" x14ac:dyDescent="0.25">
      <c r="A350" s="62" t="s">
        <v>526</v>
      </c>
      <c r="B350" s="63"/>
      <c r="C350" s="63"/>
      <c r="D350" s="64"/>
      <c r="E350" s="66"/>
      <c r="F350" s="103" t="str">
        <f>HYPERLINK("https://pbs.twimg.com/profile_images/1573052337228324866/Ngrxnmbm_normal.jpg")</f>
        <v>https://pbs.twimg.com/profile_images/1573052337228324866/Ngrxnmbm_normal.jpg</v>
      </c>
      <c r="G350" s="63"/>
      <c r="H350" s="67"/>
      <c r="I350" s="68"/>
      <c r="J350" s="68"/>
      <c r="K350" s="67" t="s">
        <v>19982</v>
      </c>
      <c r="L350" s="71"/>
      <c r="M350" s="72"/>
      <c r="N350" s="72"/>
      <c r="O350" s="73"/>
      <c r="P350" s="74"/>
      <c r="Q350" s="74"/>
      <c r="R350" s="87"/>
      <c r="S350" s="87"/>
      <c r="T350" s="87"/>
      <c r="U350" s="87"/>
      <c r="V350" s="48"/>
      <c r="W350" s="48"/>
      <c r="X350" s="47">
        <v>1.101E-3</v>
      </c>
      <c r="Y350" s="48"/>
      <c r="Z350" s="47"/>
      <c r="AA350" s="69">
        <v>350</v>
      </c>
      <c r="AB350" s="69"/>
      <c r="AC350" s="70"/>
      <c r="AD350" s="76" t="s">
        <v>16985</v>
      </c>
      <c r="AE350" s="81" t="s">
        <v>16302</v>
      </c>
      <c r="AF350" s="76">
        <v>55</v>
      </c>
      <c r="AG350" s="76">
        <v>147</v>
      </c>
      <c r="AH350" s="76">
        <v>769</v>
      </c>
      <c r="AI350" s="76">
        <v>0</v>
      </c>
      <c r="AJ350" s="76">
        <v>6840</v>
      </c>
      <c r="AK350" s="76">
        <v>106</v>
      </c>
      <c r="AL350" s="76" t="b">
        <v>0</v>
      </c>
      <c r="AM350" s="78">
        <v>42913.553530092591</v>
      </c>
      <c r="AN350" s="76"/>
      <c r="AO350" s="76" t="s">
        <v>18467</v>
      </c>
      <c r="AP350" s="76"/>
      <c r="AQ350" s="76"/>
      <c r="AR350" s="76"/>
      <c r="AS350" s="76"/>
      <c r="AT350" s="76"/>
      <c r="AU350" s="76"/>
      <c r="AV350" s="76">
        <v>1.59533159821971E+18</v>
      </c>
      <c r="AW350" s="76"/>
      <c r="AX350" s="76" t="b">
        <v>0</v>
      </c>
      <c r="AY350" s="76"/>
      <c r="AZ350" s="76"/>
      <c r="BA350" s="76" t="b">
        <v>0</v>
      </c>
      <c r="BB350" s="76" t="b">
        <v>0</v>
      </c>
      <c r="BC350" s="76" t="b">
        <v>1</v>
      </c>
      <c r="BD350" s="76" t="b">
        <v>0</v>
      </c>
      <c r="BE350" s="76" t="b">
        <v>1</v>
      </c>
      <c r="BF350" s="76" t="b">
        <v>0</v>
      </c>
      <c r="BG350" s="76" t="b">
        <v>0</v>
      </c>
      <c r="BH350" s="76"/>
      <c r="BI350" s="76"/>
      <c r="BJ350" s="76" t="s">
        <v>19633</v>
      </c>
      <c r="BK350" s="76" t="b">
        <v>0</v>
      </c>
      <c r="BL350" s="76"/>
      <c r="BM350" s="76" t="s">
        <v>66</v>
      </c>
      <c r="BN350" s="76" t="s">
        <v>19635</v>
      </c>
      <c r="BO350" s="83" t="str">
        <f>HYPERLINK("https://twitter.com/edgarfmabreu")</f>
        <v>https://twitter.com/edgarfmabreu</v>
      </c>
      <c r="BP350" s="2"/>
    </row>
    <row r="351" spans="1:68" x14ac:dyDescent="0.25">
      <c r="A351" s="62" t="s">
        <v>528</v>
      </c>
      <c r="B351" s="63"/>
      <c r="C351" s="63"/>
      <c r="D351" s="64"/>
      <c r="E351" s="66"/>
      <c r="F351" s="103" t="str">
        <f>HYPERLINK("https://pbs.twimg.com/profile_images/910770875657580545/xdON1nxu_normal.jpg")</f>
        <v>https://pbs.twimg.com/profile_images/910770875657580545/xdON1nxu_normal.jpg</v>
      </c>
      <c r="G351" s="63"/>
      <c r="H351" s="67"/>
      <c r="I351" s="68"/>
      <c r="J351" s="68"/>
      <c r="K351" s="67" t="s">
        <v>19983</v>
      </c>
      <c r="L351" s="71"/>
      <c r="M351" s="72"/>
      <c r="N351" s="72"/>
      <c r="O351" s="73"/>
      <c r="P351" s="74"/>
      <c r="Q351" s="74"/>
      <c r="R351" s="87"/>
      <c r="S351" s="87"/>
      <c r="T351" s="87"/>
      <c r="U351" s="87"/>
      <c r="V351" s="48"/>
      <c r="W351" s="48"/>
      <c r="X351" s="47">
        <v>1.101E-3</v>
      </c>
      <c r="Y351" s="48"/>
      <c r="Z351" s="47"/>
      <c r="AA351" s="69">
        <v>351</v>
      </c>
      <c r="AB351" s="69"/>
      <c r="AC351" s="70"/>
      <c r="AD351" s="76" t="s">
        <v>16986</v>
      </c>
      <c r="AE351" s="81" t="s">
        <v>16304</v>
      </c>
      <c r="AF351" s="76">
        <v>4868</v>
      </c>
      <c r="AG351" s="76">
        <v>27</v>
      </c>
      <c r="AH351" s="76">
        <v>387</v>
      </c>
      <c r="AI351" s="76">
        <v>28</v>
      </c>
      <c r="AJ351" s="76">
        <v>15</v>
      </c>
      <c r="AK351" s="76">
        <v>314</v>
      </c>
      <c r="AL351" s="76" t="b">
        <v>0</v>
      </c>
      <c r="AM351" s="78">
        <v>42867.71665509259</v>
      </c>
      <c r="AN351" s="76" t="s">
        <v>17904</v>
      </c>
      <c r="AO351" s="76" t="s">
        <v>18468</v>
      </c>
      <c r="AP351" s="83" t="str">
        <f>HYPERLINK("https://t.co/IvXe7DYbS9")</f>
        <v>https://t.co/IvXe7DYbS9</v>
      </c>
      <c r="AQ351" s="83" t="str">
        <f>HYPERLINK("http://www.bancomoc.mz")</f>
        <v>http://www.bancomoc.mz</v>
      </c>
      <c r="AR351" s="76" t="s">
        <v>19204</v>
      </c>
      <c r="AS351" s="76"/>
      <c r="AT351" s="76"/>
      <c r="AU351" s="76"/>
      <c r="AV351" s="76"/>
      <c r="AW351" s="83" t="str">
        <f>HYPERLINK("https://t.co/IvXe7DYbS9")</f>
        <v>https://t.co/IvXe7DYbS9</v>
      </c>
      <c r="AX351" s="76" t="b">
        <v>0</v>
      </c>
      <c r="AY351" s="76"/>
      <c r="AZ351" s="76"/>
      <c r="BA351" s="76" t="b">
        <v>0</v>
      </c>
      <c r="BB351" s="76" t="b">
        <v>1</v>
      </c>
      <c r="BC351" s="76" t="b">
        <v>1</v>
      </c>
      <c r="BD351" s="76" t="b">
        <v>0</v>
      </c>
      <c r="BE351" s="76" t="b">
        <v>0</v>
      </c>
      <c r="BF351" s="76" t="b">
        <v>0</v>
      </c>
      <c r="BG351" s="76" t="b">
        <v>0</v>
      </c>
      <c r="BH351" s="83" t="str">
        <f>HYPERLINK("https://pbs.twimg.com/profile_banners/863079319039553538/1667808621")</f>
        <v>https://pbs.twimg.com/profile_banners/863079319039553538/1667808621</v>
      </c>
      <c r="BI351" s="76"/>
      <c r="BJ351" s="76" t="s">
        <v>19633</v>
      </c>
      <c r="BK351" s="76" t="b">
        <v>0</v>
      </c>
      <c r="BL351" s="76"/>
      <c r="BM351" s="76" t="s">
        <v>66</v>
      </c>
      <c r="BN351" s="76" t="s">
        <v>19635</v>
      </c>
      <c r="BO351" s="83" t="str">
        <f>HYPERLINK("https://twitter.com/bancomoc")</f>
        <v>https://twitter.com/bancomoc</v>
      </c>
      <c r="BP351" s="2"/>
    </row>
    <row r="352" spans="1:68" x14ac:dyDescent="0.25">
      <c r="A352" s="62" t="s">
        <v>529</v>
      </c>
      <c r="B352" s="63"/>
      <c r="C352" s="63"/>
      <c r="D352" s="64"/>
      <c r="E352" s="66"/>
      <c r="F352" s="103" t="str">
        <f>HYPERLINK("https://pbs.twimg.com/profile_images/1652852110189383682/Tmu0Ijfm_normal.jpg")</f>
        <v>https://pbs.twimg.com/profile_images/1652852110189383682/Tmu0Ijfm_normal.jpg</v>
      </c>
      <c r="G352" s="63"/>
      <c r="H352" s="67"/>
      <c r="I352" s="68"/>
      <c r="J352" s="68"/>
      <c r="K352" s="67" t="s">
        <v>19984</v>
      </c>
      <c r="L352" s="71"/>
      <c r="M352" s="72"/>
      <c r="N352" s="72"/>
      <c r="O352" s="73"/>
      <c r="P352" s="74"/>
      <c r="Q352" s="74"/>
      <c r="R352" s="87"/>
      <c r="S352" s="87"/>
      <c r="T352" s="87"/>
      <c r="U352" s="87"/>
      <c r="V352" s="48"/>
      <c r="W352" s="48"/>
      <c r="X352" s="47">
        <v>1.101E-3</v>
      </c>
      <c r="Y352" s="48"/>
      <c r="Z352" s="47"/>
      <c r="AA352" s="69">
        <v>352</v>
      </c>
      <c r="AB352" s="69"/>
      <c r="AC352" s="70"/>
      <c r="AD352" s="76" t="s">
        <v>16987</v>
      </c>
      <c r="AE352" s="81" t="s">
        <v>16305</v>
      </c>
      <c r="AF352" s="76">
        <v>10</v>
      </c>
      <c r="AG352" s="76">
        <v>4</v>
      </c>
      <c r="AH352" s="76">
        <v>51</v>
      </c>
      <c r="AI352" s="76">
        <v>0</v>
      </c>
      <c r="AJ352" s="76">
        <v>19</v>
      </c>
      <c r="AK352" s="76">
        <v>49</v>
      </c>
      <c r="AL352" s="76" t="b">
        <v>0</v>
      </c>
      <c r="AM352" s="78">
        <v>44699.008750000001</v>
      </c>
      <c r="AN352" s="76" t="s">
        <v>10622</v>
      </c>
      <c r="AO352" s="76" t="s">
        <v>18469</v>
      </c>
      <c r="AP352" s="83" t="str">
        <f>HYPERLINK("https://t.co/IBtBPWuhgm")</f>
        <v>https://t.co/IBtBPWuhgm</v>
      </c>
      <c r="AQ352" s="83" t="str">
        <f>HYPERLINK("https://lp.vivasemprecomdinheiro.com.br/")</f>
        <v>https://lp.vivasemprecomdinheiro.com.br/</v>
      </c>
      <c r="AR352" s="76" t="s">
        <v>19205</v>
      </c>
      <c r="AS352" s="76"/>
      <c r="AT352" s="76"/>
      <c r="AU352" s="76"/>
      <c r="AV352" s="76"/>
      <c r="AW352" s="83" t="str">
        <f>HYPERLINK("https://t.co/IBtBPWuhgm")</f>
        <v>https://t.co/IBtBPWuhgm</v>
      </c>
      <c r="AX352" s="76" t="b">
        <v>0</v>
      </c>
      <c r="AY352" s="76"/>
      <c r="AZ352" s="76"/>
      <c r="BA352" s="76" t="b">
        <v>0</v>
      </c>
      <c r="BB352" s="76" t="b">
        <v>1</v>
      </c>
      <c r="BC352" s="76" t="b">
        <v>1</v>
      </c>
      <c r="BD352" s="76" t="b">
        <v>0</v>
      </c>
      <c r="BE352" s="76" t="b">
        <v>0</v>
      </c>
      <c r="BF352" s="76" t="b">
        <v>0</v>
      </c>
      <c r="BG352" s="76" t="b">
        <v>0</v>
      </c>
      <c r="BH352" s="83" t="str">
        <f>HYPERLINK("https://pbs.twimg.com/profile_banners/1526717283292397569/1652832950")</f>
        <v>https://pbs.twimg.com/profile_banners/1526717283292397569/1652832950</v>
      </c>
      <c r="BI352" s="76"/>
      <c r="BJ352" s="76" t="s">
        <v>19633</v>
      </c>
      <c r="BK352" s="76" t="b">
        <v>0</v>
      </c>
      <c r="BL352" s="76"/>
      <c r="BM352" s="76" t="s">
        <v>66</v>
      </c>
      <c r="BN352" s="76" t="s">
        <v>19635</v>
      </c>
      <c r="BO352" s="83" t="str">
        <f>HYPERLINK("https://twitter.com/dinheiro_viva")</f>
        <v>https://twitter.com/dinheiro_viva</v>
      </c>
      <c r="BP352" s="2"/>
    </row>
    <row r="353" spans="1:68" x14ac:dyDescent="0.25">
      <c r="A353" s="62" t="s">
        <v>530</v>
      </c>
      <c r="B353" s="63"/>
      <c r="C353" s="63"/>
      <c r="D353" s="64"/>
      <c r="E353" s="66"/>
      <c r="F353" s="103" t="str">
        <f>HYPERLINK("https://pbs.twimg.com/profile_images/1652156545273155587/aOna59Bm_normal.jpg")</f>
        <v>https://pbs.twimg.com/profile_images/1652156545273155587/aOna59Bm_normal.jpg</v>
      </c>
      <c r="G353" s="63"/>
      <c r="H353" s="67"/>
      <c r="I353" s="68"/>
      <c r="J353" s="68"/>
      <c r="K353" s="67" t="s">
        <v>19985</v>
      </c>
      <c r="L353" s="71"/>
      <c r="M353" s="72"/>
      <c r="N353" s="72"/>
      <c r="O353" s="73"/>
      <c r="P353" s="74"/>
      <c r="Q353" s="74"/>
      <c r="R353" s="87"/>
      <c r="S353" s="87"/>
      <c r="T353" s="87"/>
      <c r="U353" s="87"/>
      <c r="V353" s="48"/>
      <c r="W353" s="48"/>
      <c r="X353" s="47">
        <v>1.101E-3</v>
      </c>
      <c r="Y353" s="48"/>
      <c r="Z353" s="47"/>
      <c r="AA353" s="69">
        <v>353</v>
      </c>
      <c r="AB353" s="69"/>
      <c r="AC353" s="70"/>
      <c r="AD353" s="76" t="s">
        <v>16988</v>
      </c>
      <c r="AE353" s="81" t="s">
        <v>16306</v>
      </c>
      <c r="AF353" s="76">
        <v>1</v>
      </c>
      <c r="AG353" s="76">
        <v>29</v>
      </c>
      <c r="AH353" s="76">
        <v>3</v>
      </c>
      <c r="AI353" s="76">
        <v>1</v>
      </c>
      <c r="AJ353" s="76">
        <v>0</v>
      </c>
      <c r="AK353" s="76">
        <v>3</v>
      </c>
      <c r="AL353" s="76" t="b">
        <v>0</v>
      </c>
      <c r="AM353" s="78">
        <v>45016.169062499997</v>
      </c>
      <c r="AN353" s="76"/>
      <c r="AO353" s="76" t="s">
        <v>18470</v>
      </c>
      <c r="AP353" s="83" t="str">
        <f>HYPERLINK("https://t.co/hW4T7DJcQU")</f>
        <v>https://t.co/hW4T7DJcQU</v>
      </c>
      <c r="AQ353" s="83" t="str">
        <f>HYPERLINK("https://pobrepoupa.com.br/")</f>
        <v>https://pobrepoupa.com.br/</v>
      </c>
      <c r="AR353" s="76" t="s">
        <v>19206</v>
      </c>
      <c r="AS353" s="76"/>
      <c r="AT353" s="76"/>
      <c r="AU353" s="76"/>
      <c r="AV353" s="76"/>
      <c r="AW353" s="83" t="str">
        <f>HYPERLINK("https://t.co/hW4T7DJcQU")</f>
        <v>https://t.co/hW4T7DJcQU</v>
      </c>
      <c r="AX353" s="76" t="b">
        <v>0</v>
      </c>
      <c r="AY353" s="76"/>
      <c r="AZ353" s="76"/>
      <c r="BA353" s="76" t="b">
        <v>0</v>
      </c>
      <c r="BB353" s="76" t="b">
        <v>1</v>
      </c>
      <c r="BC353" s="76" t="b">
        <v>1</v>
      </c>
      <c r="BD353" s="76" t="b">
        <v>0</v>
      </c>
      <c r="BE353" s="76" t="b">
        <v>0</v>
      </c>
      <c r="BF353" s="76" t="b">
        <v>0</v>
      </c>
      <c r="BG353" s="76" t="b">
        <v>0</v>
      </c>
      <c r="BH353" s="83" t="str">
        <f>HYPERLINK("https://pbs.twimg.com/profile_banners/1641652164480184321/1682739792")</f>
        <v>https://pbs.twimg.com/profile_banners/1641652164480184321/1682739792</v>
      </c>
      <c r="BI353" s="76"/>
      <c r="BJ353" s="76" t="s">
        <v>19633</v>
      </c>
      <c r="BK353" s="76" t="b">
        <v>0</v>
      </c>
      <c r="BL353" s="76"/>
      <c r="BM353" s="76" t="s">
        <v>66</v>
      </c>
      <c r="BN353" s="76" t="s">
        <v>19635</v>
      </c>
      <c r="BO353" s="83" t="str">
        <f>HYPERLINK("https://twitter.com/pobrepoupa")</f>
        <v>https://twitter.com/pobrepoupa</v>
      </c>
      <c r="BP353" s="2"/>
    </row>
    <row r="354" spans="1:68" x14ac:dyDescent="0.25">
      <c r="A354" s="62" t="s">
        <v>531</v>
      </c>
      <c r="B354" s="63"/>
      <c r="C354" s="63"/>
      <c r="D354" s="64"/>
      <c r="E354" s="66"/>
      <c r="F354" s="103" t="str">
        <f>HYPERLINK("https://pbs.twimg.com/profile_images/1577097771961679873/kiiSE3ve_normal.jpg")</f>
        <v>https://pbs.twimg.com/profile_images/1577097771961679873/kiiSE3ve_normal.jpg</v>
      </c>
      <c r="G354" s="63"/>
      <c r="H354" s="67"/>
      <c r="I354" s="68"/>
      <c r="J354" s="68"/>
      <c r="K354" s="67" t="s">
        <v>19986</v>
      </c>
      <c r="L354" s="71"/>
      <c r="M354" s="72"/>
      <c r="N354" s="72"/>
      <c r="O354" s="73"/>
      <c r="P354" s="74"/>
      <c r="Q354" s="74"/>
      <c r="R354" s="87"/>
      <c r="S354" s="87"/>
      <c r="T354" s="87"/>
      <c r="U354" s="87"/>
      <c r="V354" s="48"/>
      <c r="W354" s="48"/>
      <c r="X354" s="47">
        <v>1.101E-3</v>
      </c>
      <c r="Y354" s="48"/>
      <c r="Z354" s="47"/>
      <c r="AA354" s="69">
        <v>354</v>
      </c>
      <c r="AB354" s="69"/>
      <c r="AC354" s="70"/>
      <c r="AD354" s="76" t="s">
        <v>16989</v>
      </c>
      <c r="AE354" s="81" t="s">
        <v>15726</v>
      </c>
      <c r="AF354" s="76">
        <v>3186</v>
      </c>
      <c r="AG354" s="76">
        <v>2309</v>
      </c>
      <c r="AH354" s="76">
        <v>1577</v>
      </c>
      <c r="AI354" s="76">
        <v>6</v>
      </c>
      <c r="AJ354" s="76">
        <v>786</v>
      </c>
      <c r="AK354" s="76">
        <v>251</v>
      </c>
      <c r="AL354" s="76" t="b">
        <v>0</v>
      </c>
      <c r="AM354" s="78">
        <v>42999.932002314818</v>
      </c>
      <c r="AN354" s="76" t="s">
        <v>17877</v>
      </c>
      <c r="AO354" s="76" t="s">
        <v>18471</v>
      </c>
      <c r="AP354" s="76"/>
      <c r="AQ354" s="76"/>
      <c r="AR354" s="76"/>
      <c r="AS354" s="76"/>
      <c r="AT354" s="76"/>
      <c r="AU354" s="76"/>
      <c r="AV354" s="76">
        <v>1.5647747583565801E+18</v>
      </c>
      <c r="AW354" s="76"/>
      <c r="AX354" s="76" t="b">
        <v>0</v>
      </c>
      <c r="AY354" s="76"/>
      <c r="AZ354" s="76"/>
      <c r="BA354" s="76" t="b">
        <v>1</v>
      </c>
      <c r="BB354" s="76" t="b">
        <v>0</v>
      </c>
      <c r="BC354" s="76" t="b">
        <v>1</v>
      </c>
      <c r="BD354" s="76" t="b">
        <v>0</v>
      </c>
      <c r="BE354" s="76" t="b">
        <v>1</v>
      </c>
      <c r="BF354" s="76" t="b">
        <v>0</v>
      </c>
      <c r="BG354" s="76" t="b">
        <v>0</v>
      </c>
      <c r="BH354" s="83" t="str">
        <f>HYPERLINK("https://pbs.twimg.com/profile_banners/910992556036706304/1664842024")</f>
        <v>https://pbs.twimg.com/profile_banners/910992556036706304/1664842024</v>
      </c>
      <c r="BI354" s="76"/>
      <c r="BJ354" s="76" t="s">
        <v>19633</v>
      </c>
      <c r="BK354" s="76" t="b">
        <v>0</v>
      </c>
      <c r="BL354" s="76"/>
      <c r="BM354" s="76" t="s">
        <v>66</v>
      </c>
      <c r="BN354" s="76" t="s">
        <v>19635</v>
      </c>
      <c r="BO354" s="83" t="str">
        <f>HYPERLINK("https://twitter.com/osdadosmostram")</f>
        <v>https://twitter.com/osdadosmostram</v>
      </c>
      <c r="BP354" s="2"/>
    </row>
    <row r="355" spans="1:68" x14ac:dyDescent="0.25">
      <c r="A355" s="62" t="s">
        <v>532</v>
      </c>
      <c r="B355" s="63"/>
      <c r="C355" s="63"/>
      <c r="D355" s="64"/>
      <c r="E355" s="66"/>
      <c r="F355" s="103" t="str">
        <f>HYPERLINK("https://pbs.twimg.com/profile_images/1687604908516642816/vScz8Xr0_normal.jpg")</f>
        <v>https://pbs.twimg.com/profile_images/1687604908516642816/vScz8Xr0_normal.jpg</v>
      </c>
      <c r="G355" s="63"/>
      <c r="H355" s="67"/>
      <c r="I355" s="68"/>
      <c r="J355" s="68"/>
      <c r="K355" s="67" t="s">
        <v>19987</v>
      </c>
      <c r="L355" s="71"/>
      <c r="M355" s="72"/>
      <c r="N355" s="72"/>
      <c r="O355" s="73"/>
      <c r="P355" s="74"/>
      <c r="Q355" s="74"/>
      <c r="R355" s="87"/>
      <c r="S355" s="87"/>
      <c r="T355" s="87"/>
      <c r="U355" s="87"/>
      <c r="V355" s="48"/>
      <c r="W355" s="48"/>
      <c r="X355" s="47">
        <v>1.101E-3</v>
      </c>
      <c r="Y355" s="48"/>
      <c r="Z355" s="47"/>
      <c r="AA355" s="69">
        <v>355</v>
      </c>
      <c r="AB355" s="69"/>
      <c r="AC355" s="70"/>
      <c r="AD355" s="76" t="s">
        <v>16990</v>
      </c>
      <c r="AE355" s="81" t="s">
        <v>16307</v>
      </c>
      <c r="AF355" s="76">
        <v>322</v>
      </c>
      <c r="AG355" s="76">
        <v>788</v>
      </c>
      <c r="AH355" s="76">
        <v>101878</v>
      </c>
      <c r="AI355" s="76">
        <v>0</v>
      </c>
      <c r="AJ355" s="76">
        <v>107134</v>
      </c>
      <c r="AK355" s="76">
        <v>1569</v>
      </c>
      <c r="AL355" s="76" t="b">
        <v>0</v>
      </c>
      <c r="AM355" s="78">
        <v>42441.992812500001</v>
      </c>
      <c r="AN355" s="76" t="s">
        <v>10552</v>
      </c>
      <c r="AO355" s="76" t="s">
        <v>18472</v>
      </c>
      <c r="AP355" s="76"/>
      <c r="AQ355" s="76"/>
      <c r="AR355" s="76"/>
      <c r="AS355" s="76"/>
      <c r="AT355" s="76"/>
      <c r="AU355" s="76"/>
      <c r="AV355" s="76"/>
      <c r="AW355" s="76"/>
      <c r="AX355" s="76" t="b">
        <v>0</v>
      </c>
      <c r="AY355" s="76"/>
      <c r="AZ355" s="76"/>
      <c r="BA355" s="76" t="b">
        <v>1</v>
      </c>
      <c r="BB355" s="76" t="b">
        <v>0</v>
      </c>
      <c r="BC355" s="76" t="b">
        <v>1</v>
      </c>
      <c r="BD355" s="76" t="b">
        <v>0</v>
      </c>
      <c r="BE355" s="76" t="b">
        <v>1</v>
      </c>
      <c r="BF355" s="76" t="b">
        <v>0</v>
      </c>
      <c r="BG355" s="76" t="b">
        <v>0</v>
      </c>
      <c r="BH355" s="83" t="str">
        <f>HYPERLINK("https://pbs.twimg.com/profile_banners/708802164781654016/1677023285")</f>
        <v>https://pbs.twimg.com/profile_banners/708802164781654016/1677023285</v>
      </c>
      <c r="BI355" s="76"/>
      <c r="BJ355" s="76" t="s">
        <v>19633</v>
      </c>
      <c r="BK355" s="76" t="b">
        <v>0</v>
      </c>
      <c r="BL355" s="76"/>
      <c r="BM355" s="76" t="s">
        <v>66</v>
      </c>
      <c r="BN355" s="76" t="s">
        <v>19635</v>
      </c>
      <c r="BO355" s="83" t="str">
        <f>HYPERLINK("https://twitter.com/malelo2711")</f>
        <v>https://twitter.com/malelo2711</v>
      </c>
      <c r="BP355" s="2"/>
    </row>
    <row r="356" spans="1:68" x14ac:dyDescent="0.25">
      <c r="A356" s="62" t="s">
        <v>1080</v>
      </c>
      <c r="B356" s="63"/>
      <c r="C356" s="63"/>
      <c r="D356" s="64"/>
      <c r="E356" s="66"/>
      <c r="F356" s="103" t="str">
        <f>HYPERLINK("https://pbs.twimg.com/profile_images/1127017328/Nogueira002_normal.jpg")</f>
        <v>https://pbs.twimg.com/profile_images/1127017328/Nogueira002_normal.jpg</v>
      </c>
      <c r="G356" s="63"/>
      <c r="H356" s="67"/>
      <c r="I356" s="68"/>
      <c r="J356" s="68"/>
      <c r="K356" s="67" t="s">
        <v>19988</v>
      </c>
      <c r="L356" s="71"/>
      <c r="M356" s="72"/>
      <c r="N356" s="72"/>
      <c r="O356" s="73"/>
      <c r="P356" s="74"/>
      <c r="Q356" s="74"/>
      <c r="R356" s="87"/>
      <c r="S356" s="87"/>
      <c r="T356" s="87"/>
      <c r="U356" s="87"/>
      <c r="V356" s="48"/>
      <c r="W356" s="48"/>
      <c r="X356" s="47">
        <v>1.101E-3</v>
      </c>
      <c r="Y356" s="48"/>
      <c r="Z356" s="47"/>
      <c r="AA356" s="69">
        <v>356</v>
      </c>
      <c r="AB356" s="69"/>
      <c r="AC356" s="70"/>
      <c r="AD356" s="76" t="s">
        <v>16991</v>
      </c>
      <c r="AE356" s="81" t="s">
        <v>15727</v>
      </c>
      <c r="AF356" s="76">
        <v>34534</v>
      </c>
      <c r="AG356" s="76">
        <v>1048</v>
      </c>
      <c r="AH356" s="76">
        <v>10740</v>
      </c>
      <c r="AI356" s="76">
        <v>174</v>
      </c>
      <c r="AJ356" s="76">
        <v>27046</v>
      </c>
      <c r="AK356" s="76">
        <v>1321</v>
      </c>
      <c r="AL356" s="76" t="b">
        <v>0</v>
      </c>
      <c r="AM356" s="78">
        <v>40327.72760416667</v>
      </c>
      <c r="AN356" s="76" t="s">
        <v>17867</v>
      </c>
      <c r="AO356" s="76" t="s">
        <v>18473</v>
      </c>
      <c r="AP356" s="83" t="str">
        <f>HYPERLINK("https://t.co/iIltniaygB")</f>
        <v>https://t.co/iIltniaygB</v>
      </c>
      <c r="AQ356" s="83" t="str">
        <f>HYPERLINK("http://www.nogueirabatista.com.br")</f>
        <v>http://www.nogueirabatista.com.br</v>
      </c>
      <c r="AR356" s="76" t="s">
        <v>19207</v>
      </c>
      <c r="AS356" s="76"/>
      <c r="AT356" s="76"/>
      <c r="AU356" s="76"/>
      <c r="AV356" s="76">
        <v>1.39626158137425E+18</v>
      </c>
      <c r="AW356" s="83" t="str">
        <f>HYPERLINK("https://t.co/iIltniaygB")</f>
        <v>https://t.co/iIltniaygB</v>
      </c>
      <c r="AX356" s="76" t="b">
        <v>0</v>
      </c>
      <c r="AY356" s="76"/>
      <c r="AZ356" s="76"/>
      <c r="BA356" s="76" t="b">
        <v>1</v>
      </c>
      <c r="BB356" s="76" t="b">
        <v>1</v>
      </c>
      <c r="BC356" s="76" t="b">
        <v>1</v>
      </c>
      <c r="BD356" s="76" t="b">
        <v>0</v>
      </c>
      <c r="BE356" s="76" t="b">
        <v>1</v>
      </c>
      <c r="BF356" s="76" t="b">
        <v>0</v>
      </c>
      <c r="BG356" s="76" t="b">
        <v>0</v>
      </c>
      <c r="BH356" s="83" t="str">
        <f>HYPERLINK("https://pbs.twimg.com/profile_banners/149585845/1498394564")</f>
        <v>https://pbs.twimg.com/profile_banners/149585845/1498394564</v>
      </c>
      <c r="BI356" s="76"/>
      <c r="BJ356" s="76" t="s">
        <v>19633</v>
      </c>
      <c r="BK356" s="76" t="b">
        <v>0</v>
      </c>
      <c r="BL356" s="76"/>
      <c r="BM356" s="76" t="s">
        <v>65</v>
      </c>
      <c r="BN356" s="76" t="s">
        <v>19635</v>
      </c>
      <c r="BO356" s="83" t="str">
        <f>HYPERLINK("https://twitter.com/paulonbjr")</f>
        <v>https://twitter.com/paulonbjr</v>
      </c>
      <c r="BP356" s="2"/>
    </row>
    <row r="357" spans="1:68" x14ac:dyDescent="0.25">
      <c r="A357" s="62" t="s">
        <v>533</v>
      </c>
      <c r="B357" s="63"/>
      <c r="C357" s="63"/>
      <c r="D357" s="64"/>
      <c r="E357" s="66"/>
      <c r="F357" s="103" t="str">
        <f>HYPERLINK("https://pbs.twimg.com/profile_images/1651600072566534144/j5Vpd-tH_normal.jpg")</f>
        <v>https://pbs.twimg.com/profile_images/1651600072566534144/j5Vpd-tH_normal.jpg</v>
      </c>
      <c r="G357" s="63"/>
      <c r="H357" s="67"/>
      <c r="I357" s="68"/>
      <c r="J357" s="68"/>
      <c r="K357" s="67" t="s">
        <v>19989</v>
      </c>
      <c r="L357" s="71"/>
      <c r="M357" s="72"/>
      <c r="N357" s="72"/>
      <c r="O357" s="73"/>
      <c r="P357" s="74"/>
      <c r="Q357" s="74"/>
      <c r="R357" s="87"/>
      <c r="S357" s="87"/>
      <c r="T357" s="87"/>
      <c r="U357" s="87"/>
      <c r="V357" s="48"/>
      <c r="W357" s="48"/>
      <c r="X357" s="47">
        <v>1.101E-3</v>
      </c>
      <c r="Y357" s="48"/>
      <c r="Z357" s="47"/>
      <c r="AA357" s="69">
        <v>357</v>
      </c>
      <c r="AB357" s="69"/>
      <c r="AC357" s="70"/>
      <c r="AD357" s="76" t="s">
        <v>16992</v>
      </c>
      <c r="AE357" s="81" t="s">
        <v>16308</v>
      </c>
      <c r="AF357" s="76">
        <v>2</v>
      </c>
      <c r="AG357" s="76">
        <v>1</v>
      </c>
      <c r="AH357" s="76">
        <v>237</v>
      </c>
      <c r="AI357" s="76">
        <v>0</v>
      </c>
      <c r="AJ357" s="76">
        <v>61</v>
      </c>
      <c r="AK357" s="76">
        <v>164</v>
      </c>
      <c r="AL357" s="76" t="b">
        <v>0</v>
      </c>
      <c r="AM357" s="78">
        <v>45043.613391203704</v>
      </c>
      <c r="AN357" s="76"/>
      <c r="AO357" s="76" t="s">
        <v>18474</v>
      </c>
      <c r="AP357" s="83" t="str">
        <f>HYPERLINK("https://t.co/iBXR7UhEmi")</f>
        <v>https://t.co/iBXR7UhEmi</v>
      </c>
      <c r="AQ357" s="83" t="str">
        <f>HYPERLINK("https://linktr.ee/gruporecuperabrasil_")</f>
        <v>https://linktr.ee/gruporecuperabrasil_</v>
      </c>
      <c r="AR357" s="76" t="s">
        <v>19208</v>
      </c>
      <c r="AS357" s="76"/>
      <c r="AT357" s="76"/>
      <c r="AU357" s="76"/>
      <c r="AV357" s="76"/>
      <c r="AW357" s="83" t="str">
        <f>HYPERLINK("https://t.co/iBXR7UhEmi")</f>
        <v>https://t.co/iBXR7UhEmi</v>
      </c>
      <c r="AX357" s="76" t="b">
        <v>0</v>
      </c>
      <c r="AY357" s="76"/>
      <c r="AZ357" s="76"/>
      <c r="BA357" s="76" t="b">
        <v>0</v>
      </c>
      <c r="BB357" s="76" t="b">
        <v>1</v>
      </c>
      <c r="BC357" s="76" t="b">
        <v>1</v>
      </c>
      <c r="BD357" s="76" t="b">
        <v>0</v>
      </c>
      <c r="BE357" s="76" t="b">
        <v>0</v>
      </c>
      <c r="BF357" s="76" t="b">
        <v>0</v>
      </c>
      <c r="BG357" s="76" t="b">
        <v>0</v>
      </c>
      <c r="BH357" s="83" t="str">
        <f>HYPERLINK("https://pbs.twimg.com/profile_banners/1651597864420749315/1687874179")</f>
        <v>https://pbs.twimg.com/profile_banners/1651597864420749315/1687874179</v>
      </c>
      <c r="BI357" s="76"/>
      <c r="BJ357" s="76" t="s">
        <v>19633</v>
      </c>
      <c r="BK357" s="76" t="b">
        <v>0</v>
      </c>
      <c r="BL357" s="76"/>
      <c r="BM357" s="76" t="s">
        <v>66</v>
      </c>
      <c r="BN357" s="76" t="s">
        <v>19635</v>
      </c>
      <c r="BO357" s="83" t="str">
        <f>HYPERLINK("https://twitter.com/recuperabrasil_")</f>
        <v>https://twitter.com/recuperabrasil_</v>
      </c>
      <c r="BP357" s="2"/>
    </row>
    <row r="358" spans="1:68" x14ac:dyDescent="0.25">
      <c r="A358" s="62" t="s">
        <v>534</v>
      </c>
      <c r="B358" s="63"/>
      <c r="C358" s="63"/>
      <c r="D358" s="64"/>
      <c r="E358" s="66"/>
      <c r="F358" s="103" t="str">
        <f>HYPERLINK("https://pbs.twimg.com/profile_images/1367598281396748293/G7PkdsEt_normal.jpg")</f>
        <v>https://pbs.twimg.com/profile_images/1367598281396748293/G7PkdsEt_normal.jpg</v>
      </c>
      <c r="G358" s="63"/>
      <c r="H358" s="67"/>
      <c r="I358" s="68"/>
      <c r="J358" s="68"/>
      <c r="K358" s="67" t="s">
        <v>19990</v>
      </c>
      <c r="L358" s="71"/>
      <c r="M358" s="72"/>
      <c r="N358" s="72"/>
      <c r="O358" s="73"/>
      <c r="P358" s="74"/>
      <c r="Q358" s="74"/>
      <c r="R358" s="87"/>
      <c r="S358" s="87"/>
      <c r="T358" s="87"/>
      <c r="U358" s="87"/>
      <c r="V358" s="48"/>
      <c r="W358" s="48"/>
      <c r="X358" s="47">
        <v>1.101E-3</v>
      </c>
      <c r="Y358" s="48"/>
      <c r="Z358" s="47"/>
      <c r="AA358" s="69">
        <v>358</v>
      </c>
      <c r="AB358" s="69"/>
      <c r="AC358" s="70"/>
      <c r="AD358" s="76" t="s">
        <v>16993</v>
      </c>
      <c r="AE358" s="81" t="s">
        <v>15728</v>
      </c>
      <c r="AF358" s="76">
        <v>189</v>
      </c>
      <c r="AG358" s="76">
        <v>2316</v>
      </c>
      <c r="AH358" s="76">
        <v>27419</v>
      </c>
      <c r="AI358" s="76">
        <v>1</v>
      </c>
      <c r="AJ358" s="76">
        <v>55884</v>
      </c>
      <c r="AK358" s="76">
        <v>19090</v>
      </c>
      <c r="AL358" s="76" t="b">
        <v>0</v>
      </c>
      <c r="AM358" s="78">
        <v>44259.887395833335</v>
      </c>
      <c r="AN358" s="76" t="s">
        <v>17986</v>
      </c>
      <c r="AO358" s="76" t="s">
        <v>18475</v>
      </c>
      <c r="AP358" s="76"/>
      <c r="AQ358" s="76"/>
      <c r="AR358" s="76"/>
      <c r="AS358" s="76"/>
      <c r="AT358" s="76"/>
      <c r="AU358" s="76"/>
      <c r="AV358" s="76"/>
      <c r="AW358" s="76"/>
      <c r="AX358" s="76" t="b">
        <v>0</v>
      </c>
      <c r="AY358" s="76"/>
      <c r="AZ358" s="76"/>
      <c r="BA358" s="76" t="b">
        <v>1</v>
      </c>
      <c r="BB358" s="76" t="b">
        <v>1</v>
      </c>
      <c r="BC358" s="76" t="b">
        <v>1</v>
      </c>
      <c r="BD358" s="76" t="b">
        <v>0</v>
      </c>
      <c r="BE358" s="76" t="b">
        <v>0</v>
      </c>
      <c r="BF358" s="76" t="b">
        <v>0</v>
      </c>
      <c r="BG358" s="76" t="b">
        <v>0</v>
      </c>
      <c r="BH358" s="83" t="str">
        <f>HYPERLINK("https://pbs.twimg.com/profile_banners/1367584740832903168/1614895832")</f>
        <v>https://pbs.twimg.com/profile_banners/1367584740832903168/1614895832</v>
      </c>
      <c r="BI358" s="76"/>
      <c r="BJ358" s="76" t="s">
        <v>19633</v>
      </c>
      <c r="BK358" s="76" t="b">
        <v>0</v>
      </c>
      <c r="BL358" s="76"/>
      <c r="BM358" s="76" t="s">
        <v>66</v>
      </c>
      <c r="BN358" s="76" t="s">
        <v>19635</v>
      </c>
      <c r="BO358" s="83" t="str">
        <f>HYPERLINK("https://twitter.com/rosaangelahenr2")</f>
        <v>https://twitter.com/rosaangelahenr2</v>
      </c>
      <c r="BP358" s="2"/>
    </row>
    <row r="359" spans="1:68" x14ac:dyDescent="0.25">
      <c r="A359" s="62" t="s">
        <v>535</v>
      </c>
      <c r="B359" s="63"/>
      <c r="C359" s="63"/>
      <c r="D359" s="64"/>
      <c r="E359" s="66"/>
      <c r="F359" s="103" t="str">
        <f>HYPERLINK("https://pbs.twimg.com/profile_images/1686266897572999168/pSYeWnoP_normal.jpg")</f>
        <v>https://pbs.twimg.com/profile_images/1686266897572999168/pSYeWnoP_normal.jpg</v>
      </c>
      <c r="G359" s="63"/>
      <c r="H359" s="67"/>
      <c r="I359" s="68"/>
      <c r="J359" s="68"/>
      <c r="K359" s="67" t="s">
        <v>19991</v>
      </c>
      <c r="L359" s="71"/>
      <c r="M359" s="72"/>
      <c r="N359" s="72"/>
      <c r="O359" s="73"/>
      <c r="P359" s="74"/>
      <c r="Q359" s="74"/>
      <c r="R359" s="87"/>
      <c r="S359" s="87"/>
      <c r="T359" s="87"/>
      <c r="U359" s="87"/>
      <c r="V359" s="48"/>
      <c r="W359" s="48"/>
      <c r="X359" s="47">
        <v>1.101E-3</v>
      </c>
      <c r="Y359" s="48"/>
      <c r="Z359" s="47"/>
      <c r="AA359" s="69">
        <v>359</v>
      </c>
      <c r="AB359" s="69"/>
      <c r="AC359" s="70"/>
      <c r="AD359" s="76" t="s">
        <v>16994</v>
      </c>
      <c r="AE359" s="81" t="s">
        <v>15729</v>
      </c>
      <c r="AF359" s="76">
        <v>6</v>
      </c>
      <c r="AG359" s="76">
        <v>33</v>
      </c>
      <c r="AH359" s="76">
        <v>309</v>
      </c>
      <c r="AI359" s="76">
        <v>0</v>
      </c>
      <c r="AJ359" s="76">
        <v>56</v>
      </c>
      <c r="AK359" s="76">
        <v>8</v>
      </c>
      <c r="AL359" s="76" t="b">
        <v>0</v>
      </c>
      <c r="AM359" s="78">
        <v>44562.776226851849</v>
      </c>
      <c r="AN359" s="76" t="s">
        <v>17987</v>
      </c>
      <c r="AO359" s="76" t="s">
        <v>18476</v>
      </c>
      <c r="AP359" s="76"/>
      <c r="AQ359" s="76"/>
      <c r="AR359" s="76"/>
      <c r="AS359" s="76"/>
      <c r="AT359" s="76"/>
      <c r="AU359" s="76"/>
      <c r="AV359" s="76"/>
      <c r="AW359" s="76"/>
      <c r="AX359" s="76" t="b">
        <v>0</v>
      </c>
      <c r="AY359" s="76"/>
      <c r="AZ359" s="76"/>
      <c r="BA359" s="76" t="b">
        <v>0</v>
      </c>
      <c r="BB359" s="76" t="b">
        <v>1</v>
      </c>
      <c r="BC359" s="76" t="b">
        <v>1</v>
      </c>
      <c r="BD359" s="76" t="b">
        <v>0</v>
      </c>
      <c r="BE359" s="76" t="b">
        <v>0</v>
      </c>
      <c r="BF359" s="76" t="b">
        <v>0</v>
      </c>
      <c r="BG359" s="76" t="b">
        <v>0</v>
      </c>
      <c r="BH359" s="76"/>
      <c r="BI359" s="76"/>
      <c r="BJ359" s="76" t="s">
        <v>19633</v>
      </c>
      <c r="BK359" s="76" t="b">
        <v>0</v>
      </c>
      <c r="BL359" s="76"/>
      <c r="BM359" s="76" t="s">
        <v>66</v>
      </c>
      <c r="BN359" s="76" t="s">
        <v>19635</v>
      </c>
      <c r="BO359" s="83" t="str">
        <f>HYPERLINK("https://twitter.com/sbellomo1995")</f>
        <v>https://twitter.com/sbellomo1995</v>
      </c>
      <c r="BP359" s="2"/>
    </row>
    <row r="360" spans="1:68" x14ac:dyDescent="0.25">
      <c r="A360" s="62" t="s">
        <v>536</v>
      </c>
      <c r="B360" s="63"/>
      <c r="C360" s="63"/>
      <c r="D360" s="64"/>
      <c r="E360" s="66"/>
      <c r="F360" s="103" t="str">
        <f>HYPERLINK("https://pbs.twimg.com/profile_images/1663342474830442499/NF45LUlM_normal.jpg")</f>
        <v>https://pbs.twimg.com/profile_images/1663342474830442499/NF45LUlM_normal.jpg</v>
      </c>
      <c r="G360" s="63"/>
      <c r="H360" s="67"/>
      <c r="I360" s="68"/>
      <c r="J360" s="68"/>
      <c r="K360" s="67" t="s">
        <v>19992</v>
      </c>
      <c r="L360" s="71"/>
      <c r="M360" s="72"/>
      <c r="N360" s="72"/>
      <c r="O360" s="73"/>
      <c r="P360" s="74"/>
      <c r="Q360" s="74"/>
      <c r="R360" s="87"/>
      <c r="S360" s="87"/>
      <c r="T360" s="87"/>
      <c r="U360" s="87"/>
      <c r="V360" s="48"/>
      <c r="W360" s="48"/>
      <c r="X360" s="47">
        <v>1.101E-3</v>
      </c>
      <c r="Y360" s="48"/>
      <c r="Z360" s="47"/>
      <c r="AA360" s="69">
        <v>360</v>
      </c>
      <c r="AB360" s="69"/>
      <c r="AC360" s="70"/>
      <c r="AD360" s="76" t="s">
        <v>16995</v>
      </c>
      <c r="AE360" s="81" t="s">
        <v>16309</v>
      </c>
      <c r="AF360" s="76">
        <v>0</v>
      </c>
      <c r="AG360" s="76">
        <v>9</v>
      </c>
      <c r="AH360" s="76">
        <v>20</v>
      </c>
      <c r="AI360" s="76">
        <v>0</v>
      </c>
      <c r="AJ360" s="76">
        <v>0</v>
      </c>
      <c r="AK360" s="76">
        <v>0</v>
      </c>
      <c r="AL360" s="76" t="b">
        <v>0</v>
      </c>
      <c r="AM360" s="78">
        <v>45076.021863425929</v>
      </c>
      <c r="AN360" s="76"/>
      <c r="AO360" s="76" t="s">
        <v>18477</v>
      </c>
      <c r="AP360" s="83" t="str">
        <f>HYPERLINK("https://t.co/9nReglrcVM")</f>
        <v>https://t.co/9nReglrcVM</v>
      </c>
      <c r="AQ360" s="83" t="str">
        <f>HYPERLINK("https://www.instagram.com/lucianfreirepro/")</f>
        <v>https://www.instagram.com/lucianfreirepro/</v>
      </c>
      <c r="AR360" s="76" t="s">
        <v>19209</v>
      </c>
      <c r="AS360" s="76"/>
      <c r="AT360" s="76"/>
      <c r="AU360" s="76"/>
      <c r="AV360" s="76"/>
      <c r="AW360" s="83" t="str">
        <f>HYPERLINK("https://t.co/9nReglrcVM")</f>
        <v>https://t.co/9nReglrcVM</v>
      </c>
      <c r="AX360" s="76" t="b">
        <v>0</v>
      </c>
      <c r="AY360" s="76"/>
      <c r="AZ360" s="76"/>
      <c r="BA360" s="76" t="b">
        <v>0</v>
      </c>
      <c r="BB360" s="76" t="b">
        <v>1</v>
      </c>
      <c r="BC360" s="76" t="b">
        <v>1</v>
      </c>
      <c r="BD360" s="76" t="b">
        <v>0</v>
      </c>
      <c r="BE360" s="76" t="b">
        <v>0</v>
      </c>
      <c r="BF360" s="76" t="b">
        <v>0</v>
      </c>
      <c r="BG360" s="76" t="b">
        <v>0</v>
      </c>
      <c r="BH360" s="76"/>
      <c r="BI360" s="76"/>
      <c r="BJ360" s="76" t="s">
        <v>19633</v>
      </c>
      <c r="BK360" s="76" t="b">
        <v>0</v>
      </c>
      <c r="BL360" s="76"/>
      <c r="BM360" s="76" t="s">
        <v>66</v>
      </c>
      <c r="BN360" s="76" t="s">
        <v>19635</v>
      </c>
      <c r="BO360" s="83" t="str">
        <f>HYPERLINK("https://twitter.com/lucianfreirepro")</f>
        <v>https://twitter.com/lucianfreirepro</v>
      </c>
      <c r="BP360" s="2"/>
    </row>
    <row r="361" spans="1:68" x14ac:dyDescent="0.25">
      <c r="A361" s="62" t="s">
        <v>537</v>
      </c>
      <c r="B361" s="63"/>
      <c r="C361" s="63"/>
      <c r="D361" s="64"/>
      <c r="E361" s="66"/>
      <c r="F361" s="103" t="str">
        <f>HYPERLINK("https://pbs.twimg.com/profile_images/1258208731575103489/SAURjka0_normal.jpg")</f>
        <v>https://pbs.twimg.com/profile_images/1258208731575103489/SAURjka0_normal.jpg</v>
      </c>
      <c r="G361" s="63"/>
      <c r="H361" s="67"/>
      <c r="I361" s="68"/>
      <c r="J361" s="68"/>
      <c r="K361" s="67" t="s">
        <v>19993</v>
      </c>
      <c r="L361" s="71"/>
      <c r="M361" s="72"/>
      <c r="N361" s="72"/>
      <c r="O361" s="73"/>
      <c r="P361" s="74"/>
      <c r="Q361" s="74"/>
      <c r="R361" s="87"/>
      <c r="S361" s="87"/>
      <c r="T361" s="87"/>
      <c r="U361" s="87"/>
      <c r="V361" s="48"/>
      <c r="W361" s="48"/>
      <c r="X361" s="47">
        <v>1.101E-3</v>
      </c>
      <c r="Y361" s="48"/>
      <c r="Z361" s="47"/>
      <c r="AA361" s="69">
        <v>361</v>
      </c>
      <c r="AB361" s="69"/>
      <c r="AC361" s="70"/>
      <c r="AD361" s="76" t="s">
        <v>16996</v>
      </c>
      <c r="AE361" s="81" t="s">
        <v>17656</v>
      </c>
      <c r="AF361" s="76">
        <v>380</v>
      </c>
      <c r="AG361" s="76">
        <v>416</v>
      </c>
      <c r="AH361" s="76">
        <v>3291</v>
      </c>
      <c r="AI361" s="76">
        <v>6</v>
      </c>
      <c r="AJ361" s="76">
        <v>737</v>
      </c>
      <c r="AK361" s="76">
        <v>224</v>
      </c>
      <c r="AL361" s="76" t="b">
        <v>0</v>
      </c>
      <c r="AM361" s="78">
        <v>39600.148101851853</v>
      </c>
      <c r="AN361" s="76" t="s">
        <v>10619</v>
      </c>
      <c r="AO361" s="76" t="s">
        <v>18478</v>
      </c>
      <c r="AP361" s="83" t="str">
        <f>HYPERLINK("https://t.co/CkICuedom7")</f>
        <v>https://t.co/CkICuedom7</v>
      </c>
      <c r="AQ361" s="83" t="str">
        <f>HYPERLINK("http://spainvestor.com.br")</f>
        <v>http://spainvestor.com.br</v>
      </c>
      <c r="AR361" s="76" t="s">
        <v>19210</v>
      </c>
      <c r="AS361" s="76"/>
      <c r="AT361" s="76"/>
      <c r="AU361" s="76"/>
      <c r="AV361" s="76"/>
      <c r="AW361" s="83" t="str">
        <f>HYPERLINK("https://t.co/CkICuedom7")</f>
        <v>https://t.co/CkICuedom7</v>
      </c>
      <c r="AX361" s="76" t="b">
        <v>0</v>
      </c>
      <c r="AY361" s="76"/>
      <c r="AZ361" s="76"/>
      <c r="BA361" s="76" t="b">
        <v>1</v>
      </c>
      <c r="BB361" s="76" t="b">
        <v>1</v>
      </c>
      <c r="BC361" s="76" t="b">
        <v>0</v>
      </c>
      <c r="BD361" s="76" t="b">
        <v>0</v>
      </c>
      <c r="BE361" s="76" t="b">
        <v>0</v>
      </c>
      <c r="BF361" s="76" t="b">
        <v>0</v>
      </c>
      <c r="BG361" s="76" t="b">
        <v>0</v>
      </c>
      <c r="BH361" s="83" t="str">
        <f>HYPERLINK("https://pbs.twimg.com/profile_banners/14968771/1611763429")</f>
        <v>https://pbs.twimg.com/profile_banners/14968771/1611763429</v>
      </c>
      <c r="BI361" s="76"/>
      <c r="BJ361" s="76" t="s">
        <v>19633</v>
      </c>
      <c r="BK361" s="76" t="b">
        <v>0</v>
      </c>
      <c r="BL361" s="76"/>
      <c r="BM361" s="76" t="s">
        <v>66</v>
      </c>
      <c r="BN361" s="76" t="s">
        <v>19635</v>
      </c>
      <c r="BO361" s="83" t="str">
        <f>HYPERLINK("https://twitter.com/spainvestor")</f>
        <v>https://twitter.com/spainvestor</v>
      </c>
      <c r="BP361" s="2"/>
    </row>
    <row r="362" spans="1:68" x14ac:dyDescent="0.25">
      <c r="A362" s="62" t="s">
        <v>538</v>
      </c>
      <c r="B362" s="63"/>
      <c r="C362" s="63"/>
      <c r="D362" s="64"/>
      <c r="E362" s="66"/>
      <c r="F362" s="103" t="str">
        <f>HYPERLINK("https://pbs.twimg.com/profile_images/1676676193867780108/44xqAIbZ_normal.jpg")</f>
        <v>https://pbs.twimg.com/profile_images/1676676193867780108/44xqAIbZ_normal.jpg</v>
      </c>
      <c r="G362" s="63"/>
      <c r="H362" s="67"/>
      <c r="I362" s="68"/>
      <c r="J362" s="68"/>
      <c r="K362" s="67" t="s">
        <v>19994</v>
      </c>
      <c r="L362" s="71"/>
      <c r="M362" s="72"/>
      <c r="N362" s="72"/>
      <c r="O362" s="73"/>
      <c r="P362" s="74"/>
      <c r="Q362" s="74"/>
      <c r="R362" s="87"/>
      <c r="S362" s="87"/>
      <c r="T362" s="87"/>
      <c r="U362" s="87"/>
      <c r="V362" s="48"/>
      <c r="W362" s="48"/>
      <c r="X362" s="47">
        <v>1.101E-3</v>
      </c>
      <c r="Y362" s="48"/>
      <c r="Z362" s="47"/>
      <c r="AA362" s="69">
        <v>362</v>
      </c>
      <c r="AB362" s="69"/>
      <c r="AC362" s="70"/>
      <c r="AD362" s="76" t="s">
        <v>16997</v>
      </c>
      <c r="AE362" s="81" t="s">
        <v>16310</v>
      </c>
      <c r="AF362" s="76">
        <v>1744</v>
      </c>
      <c r="AG362" s="76">
        <v>986</v>
      </c>
      <c r="AH362" s="76">
        <v>4488</v>
      </c>
      <c r="AI362" s="76">
        <v>9</v>
      </c>
      <c r="AJ362" s="76">
        <v>43</v>
      </c>
      <c r="AK362" s="76">
        <v>2498</v>
      </c>
      <c r="AL362" s="76" t="b">
        <v>0</v>
      </c>
      <c r="AM362" s="78">
        <v>43978.046886574077</v>
      </c>
      <c r="AN362" s="76" t="s">
        <v>17988</v>
      </c>
      <c r="AO362" s="76" t="s">
        <v>18479</v>
      </c>
      <c r="AP362" s="83" t="str">
        <f>HYPERLINK("https://t.co/j61rrVOk5H")</f>
        <v>https://t.co/j61rrVOk5H</v>
      </c>
      <c r="AQ362" s="83" t="str">
        <f>HYPERLINK("https://portalunico.com/")</f>
        <v>https://portalunico.com/</v>
      </c>
      <c r="AR362" s="76" t="s">
        <v>6055</v>
      </c>
      <c r="AS362" s="76"/>
      <c r="AT362" s="76"/>
      <c r="AU362" s="76"/>
      <c r="AV362" s="76"/>
      <c r="AW362" s="83" t="str">
        <f>HYPERLINK("https://t.co/j61rrVOk5H")</f>
        <v>https://t.co/j61rrVOk5H</v>
      </c>
      <c r="AX362" s="76" t="b">
        <v>0</v>
      </c>
      <c r="AY362" s="76"/>
      <c r="AZ362" s="76"/>
      <c r="BA362" s="76" t="b">
        <v>0</v>
      </c>
      <c r="BB362" s="76" t="b">
        <v>1</v>
      </c>
      <c r="BC362" s="76" t="b">
        <v>1</v>
      </c>
      <c r="BD362" s="76" t="b">
        <v>0</v>
      </c>
      <c r="BE362" s="76" t="b">
        <v>0</v>
      </c>
      <c r="BF362" s="76" t="b">
        <v>0</v>
      </c>
      <c r="BG362" s="76" t="b">
        <v>0</v>
      </c>
      <c r="BH362" s="83" t="str">
        <f>HYPERLINK("https://pbs.twimg.com/profile_banners/1265449452460007424/1592664460")</f>
        <v>https://pbs.twimg.com/profile_banners/1265449452460007424/1592664460</v>
      </c>
      <c r="BI362" s="76"/>
      <c r="BJ362" s="76" t="s">
        <v>19633</v>
      </c>
      <c r="BK362" s="76" t="b">
        <v>0</v>
      </c>
      <c r="BL362" s="76"/>
      <c r="BM362" s="76" t="s">
        <v>66</v>
      </c>
      <c r="BN362" s="76" t="s">
        <v>19635</v>
      </c>
      <c r="BO362" s="83" t="str">
        <f>HYPERLINK("https://twitter.com/portalunico")</f>
        <v>https://twitter.com/portalunico</v>
      </c>
      <c r="BP362" s="2"/>
    </row>
    <row r="363" spans="1:68" x14ac:dyDescent="0.25">
      <c r="A363" s="62" t="s">
        <v>539</v>
      </c>
      <c r="B363" s="63"/>
      <c r="C363" s="63"/>
      <c r="D363" s="64"/>
      <c r="E363" s="66"/>
      <c r="F363" s="103" t="str">
        <f>HYPERLINK("https://pbs.twimg.com/profile_images/1080512434635501569/kuYSZzx-_normal.jpg")</f>
        <v>https://pbs.twimg.com/profile_images/1080512434635501569/kuYSZzx-_normal.jpg</v>
      </c>
      <c r="G363" s="63"/>
      <c r="H363" s="67"/>
      <c r="I363" s="68"/>
      <c r="J363" s="68"/>
      <c r="K363" s="67" t="s">
        <v>19995</v>
      </c>
      <c r="L363" s="71"/>
      <c r="M363" s="72"/>
      <c r="N363" s="72"/>
      <c r="O363" s="73"/>
      <c r="P363" s="74"/>
      <c r="Q363" s="74"/>
      <c r="R363" s="87"/>
      <c r="S363" s="87"/>
      <c r="T363" s="87"/>
      <c r="U363" s="87"/>
      <c r="V363" s="48"/>
      <c r="W363" s="48"/>
      <c r="X363" s="47">
        <v>1.101E-3</v>
      </c>
      <c r="Y363" s="48"/>
      <c r="Z363" s="47"/>
      <c r="AA363" s="69">
        <v>363</v>
      </c>
      <c r="AB363" s="69"/>
      <c r="AC363" s="70"/>
      <c r="AD363" s="76" t="s">
        <v>16998</v>
      </c>
      <c r="AE363" s="81" t="s">
        <v>17657</v>
      </c>
      <c r="AF363" s="76">
        <v>99116</v>
      </c>
      <c r="AG363" s="76">
        <v>5568</v>
      </c>
      <c r="AH363" s="76">
        <v>202122</v>
      </c>
      <c r="AI363" s="76">
        <v>852</v>
      </c>
      <c r="AJ363" s="76">
        <v>1306</v>
      </c>
      <c r="AK363" s="76">
        <v>5041</v>
      </c>
      <c r="AL363" s="76" t="b">
        <v>0</v>
      </c>
      <c r="AM363" s="78">
        <v>39857.522222222222</v>
      </c>
      <c r="AN363" s="76" t="s">
        <v>10631</v>
      </c>
      <c r="AO363" s="76" t="s">
        <v>18480</v>
      </c>
      <c r="AP363" s="83" t="str">
        <f>HYPERLINK("https://t.co/DpR5w9vIx2")</f>
        <v>https://t.co/DpR5w9vIx2</v>
      </c>
      <c r="AQ363" s="83" t="str">
        <f>HYPERLINK("http://www.meiahora.com")</f>
        <v>http://www.meiahora.com</v>
      </c>
      <c r="AR363" s="76" t="s">
        <v>19211</v>
      </c>
      <c r="AS363" s="76" t="s">
        <v>19558</v>
      </c>
      <c r="AT363" s="76" t="s">
        <v>19566</v>
      </c>
      <c r="AU363" s="76" t="s">
        <v>19600</v>
      </c>
      <c r="AV363" s="76"/>
      <c r="AW363" s="83" t="str">
        <f>HYPERLINK("https://t.co/DpR5w9vIx2")</f>
        <v>https://t.co/DpR5w9vIx2</v>
      </c>
      <c r="AX363" s="76" t="b">
        <v>1</v>
      </c>
      <c r="AY363" s="76"/>
      <c r="AZ363" s="76"/>
      <c r="BA363" s="76" t="b">
        <v>0</v>
      </c>
      <c r="BB363" s="76" t="b">
        <v>1</v>
      </c>
      <c r="BC363" s="76" t="b">
        <v>0</v>
      </c>
      <c r="BD363" s="76" t="b">
        <v>0</v>
      </c>
      <c r="BE363" s="76" t="b">
        <v>1</v>
      </c>
      <c r="BF363" s="76" t="b">
        <v>0</v>
      </c>
      <c r="BG363" s="76" t="b">
        <v>0</v>
      </c>
      <c r="BH363" s="83" t="str">
        <f>HYPERLINK("https://pbs.twimg.com/profile_banners/20766595/1688563381")</f>
        <v>https://pbs.twimg.com/profile_banners/20766595/1688563381</v>
      </c>
      <c r="BI363" s="76"/>
      <c r="BJ363" s="76" t="s">
        <v>19633</v>
      </c>
      <c r="BK363" s="76" t="b">
        <v>0</v>
      </c>
      <c r="BL363" s="76"/>
      <c r="BM363" s="76" t="s">
        <v>66</v>
      </c>
      <c r="BN363" s="76" t="s">
        <v>19635</v>
      </c>
      <c r="BO363" s="83" t="str">
        <f>HYPERLINK("https://twitter.com/meiahora")</f>
        <v>https://twitter.com/meiahora</v>
      </c>
      <c r="BP363" s="2"/>
    </row>
    <row r="364" spans="1:68" x14ac:dyDescent="0.25">
      <c r="A364" s="62" t="s">
        <v>540</v>
      </c>
      <c r="B364" s="63"/>
      <c r="C364" s="63"/>
      <c r="D364" s="64"/>
      <c r="E364" s="66"/>
      <c r="F364" s="103" t="str">
        <f>HYPERLINK("https://pbs.twimg.com/profile_images/1648066203141693441/hOJe-Kts_normal.jpg")</f>
        <v>https://pbs.twimg.com/profile_images/1648066203141693441/hOJe-Kts_normal.jpg</v>
      </c>
      <c r="G364" s="63"/>
      <c r="H364" s="67"/>
      <c r="I364" s="68"/>
      <c r="J364" s="68"/>
      <c r="K364" s="67" t="s">
        <v>19996</v>
      </c>
      <c r="L364" s="71"/>
      <c r="M364" s="72"/>
      <c r="N364" s="72"/>
      <c r="O364" s="73"/>
      <c r="P364" s="74"/>
      <c r="Q364" s="74"/>
      <c r="R364" s="87"/>
      <c r="S364" s="87"/>
      <c r="T364" s="87"/>
      <c r="U364" s="87"/>
      <c r="V364" s="48"/>
      <c r="W364" s="48"/>
      <c r="X364" s="47">
        <v>1.101E-3</v>
      </c>
      <c r="Y364" s="48"/>
      <c r="Z364" s="47"/>
      <c r="AA364" s="69">
        <v>364</v>
      </c>
      <c r="AB364" s="69"/>
      <c r="AC364" s="70"/>
      <c r="AD364" s="76" t="s">
        <v>16999</v>
      </c>
      <c r="AE364" s="81" t="s">
        <v>17658</v>
      </c>
      <c r="AF364" s="76">
        <v>85</v>
      </c>
      <c r="AG364" s="76">
        <v>127</v>
      </c>
      <c r="AH364" s="76">
        <v>489</v>
      </c>
      <c r="AI364" s="76">
        <v>5</v>
      </c>
      <c r="AJ364" s="76">
        <v>820</v>
      </c>
      <c r="AK364" s="76">
        <v>21</v>
      </c>
      <c r="AL364" s="76" t="b">
        <v>0</v>
      </c>
      <c r="AM364" s="78">
        <v>40149.93141203704</v>
      </c>
      <c r="AN364" s="76" t="s">
        <v>17989</v>
      </c>
      <c r="AO364" s="76" t="s">
        <v>18481</v>
      </c>
      <c r="AP364" s="83" t="str">
        <f>HYPERLINK("https://t.co/p4uelXpr46")</f>
        <v>https://t.co/p4uelXpr46</v>
      </c>
      <c r="AQ364" s="83" t="str">
        <f>HYPERLINK("http://www.onlinetraders.com.br")</f>
        <v>http://www.onlinetraders.com.br</v>
      </c>
      <c r="AR364" s="76" t="s">
        <v>19212</v>
      </c>
      <c r="AS364" s="76"/>
      <c r="AT364" s="76"/>
      <c r="AU364" s="76"/>
      <c r="AV364" s="76"/>
      <c r="AW364" s="83" t="str">
        <f>HYPERLINK("https://t.co/p4uelXpr46")</f>
        <v>https://t.co/p4uelXpr46</v>
      </c>
      <c r="AX364" s="76" t="b">
        <v>0</v>
      </c>
      <c r="AY364" s="76"/>
      <c r="AZ364" s="76"/>
      <c r="BA364" s="76" t="b">
        <v>0</v>
      </c>
      <c r="BB364" s="76" t="b">
        <v>1</v>
      </c>
      <c r="BC364" s="76" t="b">
        <v>0</v>
      </c>
      <c r="BD364" s="76" t="b">
        <v>0</v>
      </c>
      <c r="BE364" s="76" t="b">
        <v>0</v>
      </c>
      <c r="BF364" s="76" t="b">
        <v>0</v>
      </c>
      <c r="BG364" s="76" t="b">
        <v>0</v>
      </c>
      <c r="BH364" s="83" t="str">
        <f>HYPERLINK("https://pbs.twimg.com/profile_banners/94190007/1674920383")</f>
        <v>https://pbs.twimg.com/profile_banners/94190007/1674920383</v>
      </c>
      <c r="BI364" s="76"/>
      <c r="BJ364" s="76" t="s">
        <v>19633</v>
      </c>
      <c r="BK364" s="76" t="b">
        <v>0</v>
      </c>
      <c r="BL364" s="76"/>
      <c r="BM364" s="76" t="s">
        <v>66</v>
      </c>
      <c r="BN364" s="76" t="s">
        <v>19635</v>
      </c>
      <c r="BO364" s="83" t="str">
        <f>HYPERLINK("https://twitter.com/marceloproducao")</f>
        <v>https://twitter.com/marceloproducao</v>
      </c>
      <c r="BP364" s="2"/>
    </row>
    <row r="365" spans="1:68" x14ac:dyDescent="0.25">
      <c r="A365" s="62" t="s">
        <v>541</v>
      </c>
      <c r="B365" s="63"/>
      <c r="C365" s="63"/>
      <c r="D365" s="64"/>
      <c r="E365" s="66"/>
      <c r="F365" s="103" t="str">
        <f>HYPERLINK("https://pbs.twimg.com/profile_images/1507584923938562048/ehq9ylPz_normal.jpg")</f>
        <v>https://pbs.twimg.com/profile_images/1507584923938562048/ehq9ylPz_normal.jpg</v>
      </c>
      <c r="G365" s="63"/>
      <c r="H365" s="67"/>
      <c r="I365" s="68"/>
      <c r="J365" s="68"/>
      <c r="K365" s="67" t="s">
        <v>19997</v>
      </c>
      <c r="L365" s="71"/>
      <c r="M365" s="72"/>
      <c r="N365" s="72"/>
      <c r="O365" s="73"/>
      <c r="P365" s="74"/>
      <c r="Q365" s="74"/>
      <c r="R365" s="87"/>
      <c r="S365" s="87"/>
      <c r="T365" s="87"/>
      <c r="U365" s="87"/>
      <c r="V365" s="48"/>
      <c r="W365" s="48"/>
      <c r="X365" s="47">
        <v>1.101E-3</v>
      </c>
      <c r="Y365" s="48"/>
      <c r="Z365" s="47"/>
      <c r="AA365" s="69">
        <v>365</v>
      </c>
      <c r="AB365" s="69"/>
      <c r="AC365" s="70"/>
      <c r="AD365" s="76" t="s">
        <v>17000</v>
      </c>
      <c r="AE365" s="81" t="s">
        <v>16311</v>
      </c>
      <c r="AF365" s="76">
        <v>9</v>
      </c>
      <c r="AG365" s="76">
        <v>122</v>
      </c>
      <c r="AH365" s="76">
        <v>458</v>
      </c>
      <c r="AI365" s="76">
        <v>0</v>
      </c>
      <c r="AJ365" s="76">
        <v>683</v>
      </c>
      <c r="AK365" s="76">
        <v>68</v>
      </c>
      <c r="AL365" s="76" t="b">
        <v>0</v>
      </c>
      <c r="AM365" s="78">
        <v>44236.134467592594</v>
      </c>
      <c r="AN365" s="76" t="s">
        <v>17990</v>
      </c>
      <c r="AO365" s="76" t="s">
        <v>18482</v>
      </c>
      <c r="AP365" s="83" t="str">
        <f>HYPERLINK("https://t.co/c7JbyhxynR")</f>
        <v>https://t.co/c7JbyhxynR</v>
      </c>
      <c r="AQ365" s="83" t="str">
        <f>HYPERLINK("https://RGGames.com.br")</f>
        <v>https://RGGames.com.br</v>
      </c>
      <c r="AR365" s="76" t="s">
        <v>19213</v>
      </c>
      <c r="AS365" s="76" t="s">
        <v>19559</v>
      </c>
      <c r="AT365" s="76" t="s">
        <v>19567</v>
      </c>
      <c r="AU365" s="76" t="s">
        <v>19601</v>
      </c>
      <c r="AV365" s="76"/>
      <c r="AW365" s="83" t="str">
        <f>HYPERLINK("https://t.co/c7JbyhxynR")</f>
        <v>https://t.co/c7JbyhxynR</v>
      </c>
      <c r="AX365" s="76" t="b">
        <v>0</v>
      </c>
      <c r="AY365" s="76"/>
      <c r="AZ365" s="76"/>
      <c r="BA365" s="76" t="b">
        <v>0</v>
      </c>
      <c r="BB365" s="76" t="b">
        <v>1</v>
      </c>
      <c r="BC365" s="76" t="b">
        <v>1</v>
      </c>
      <c r="BD365" s="76" t="b">
        <v>0</v>
      </c>
      <c r="BE365" s="76" t="b">
        <v>1</v>
      </c>
      <c r="BF365" s="76" t="b">
        <v>0</v>
      </c>
      <c r="BG365" s="76" t="b">
        <v>0</v>
      </c>
      <c r="BH365" s="83" t="str">
        <f>HYPERLINK("https://pbs.twimg.com/profile_banners/1358977276080193537/1648271259")</f>
        <v>https://pbs.twimg.com/profile_banners/1358977276080193537/1648271259</v>
      </c>
      <c r="BI365" s="76"/>
      <c r="BJ365" s="76" t="s">
        <v>19633</v>
      </c>
      <c r="BK365" s="76" t="b">
        <v>0</v>
      </c>
      <c r="BL365" s="76"/>
      <c r="BM365" s="76" t="s">
        <v>66</v>
      </c>
      <c r="BN365" s="76" t="s">
        <v>19635</v>
      </c>
      <c r="BO365" s="83" t="str">
        <f>HYPERLINK("https://twitter.com/rafaelgouveiarg")</f>
        <v>https://twitter.com/rafaelgouveiarg</v>
      </c>
      <c r="BP365" s="2"/>
    </row>
    <row r="366" spans="1:68" x14ac:dyDescent="0.25">
      <c r="A366" s="62" t="s">
        <v>542</v>
      </c>
      <c r="B366" s="63"/>
      <c r="C366" s="63"/>
      <c r="D366" s="64"/>
      <c r="E366" s="66"/>
      <c r="F366" s="103" t="str">
        <f>HYPERLINK("https://pbs.twimg.com/profile_images/1476872821175472129/Bw1zpAD6_normal.jpg")</f>
        <v>https://pbs.twimg.com/profile_images/1476872821175472129/Bw1zpAD6_normal.jpg</v>
      </c>
      <c r="G366" s="63"/>
      <c r="H366" s="67"/>
      <c r="I366" s="68"/>
      <c r="J366" s="68"/>
      <c r="K366" s="67" t="s">
        <v>19998</v>
      </c>
      <c r="L366" s="71"/>
      <c r="M366" s="72"/>
      <c r="N366" s="72"/>
      <c r="O366" s="73"/>
      <c r="P366" s="74"/>
      <c r="Q366" s="74"/>
      <c r="R366" s="87"/>
      <c r="S366" s="87"/>
      <c r="T366" s="87"/>
      <c r="U366" s="87"/>
      <c r="V366" s="48"/>
      <c r="W366" s="48"/>
      <c r="X366" s="47">
        <v>1.101E-3</v>
      </c>
      <c r="Y366" s="48"/>
      <c r="Z366" s="47"/>
      <c r="AA366" s="69">
        <v>366</v>
      </c>
      <c r="AB366" s="69"/>
      <c r="AC366" s="70"/>
      <c r="AD366" s="76" t="s">
        <v>17001</v>
      </c>
      <c r="AE366" s="81" t="s">
        <v>16312</v>
      </c>
      <c r="AF366" s="76">
        <v>59</v>
      </c>
      <c r="AG366" s="76">
        <v>1190</v>
      </c>
      <c r="AH366" s="76">
        <v>240</v>
      </c>
      <c r="AI366" s="76">
        <v>0</v>
      </c>
      <c r="AJ366" s="76">
        <v>0</v>
      </c>
      <c r="AK366" s="76">
        <v>237</v>
      </c>
      <c r="AL366" s="76" t="b">
        <v>0</v>
      </c>
      <c r="AM366" s="78">
        <v>44561.463449074072</v>
      </c>
      <c r="AN366" s="76"/>
      <c r="AO366" s="76" t="s">
        <v>18483</v>
      </c>
      <c r="AP366" s="76"/>
      <c r="AQ366" s="76"/>
      <c r="AR366" s="76"/>
      <c r="AS366" s="83" t="str">
        <f>HYPERLINK("https://t.co/QtyrQh1gO3")</f>
        <v>https://t.co/QtyrQh1gO3</v>
      </c>
      <c r="AT366" s="83" t="str">
        <f>HYPERLINK("http://www.qquest.pt")</f>
        <v>http://www.qquest.pt</v>
      </c>
      <c r="AU366" s="76" t="s">
        <v>6056</v>
      </c>
      <c r="AV366" s="76"/>
      <c r="AW366" s="76"/>
      <c r="AX366" s="76" t="b">
        <v>0</v>
      </c>
      <c r="AY366" s="76"/>
      <c r="AZ366" s="76"/>
      <c r="BA366" s="76" t="b">
        <v>0</v>
      </c>
      <c r="BB366" s="76" t="b">
        <v>1</v>
      </c>
      <c r="BC366" s="76" t="b">
        <v>1</v>
      </c>
      <c r="BD366" s="76" t="b">
        <v>0</v>
      </c>
      <c r="BE366" s="76" t="b">
        <v>0</v>
      </c>
      <c r="BF366" s="76" t="b">
        <v>0</v>
      </c>
      <c r="BG366" s="76" t="b">
        <v>0</v>
      </c>
      <c r="BH366" s="76"/>
      <c r="BI366" s="76"/>
      <c r="BJ366" s="76" t="s">
        <v>19633</v>
      </c>
      <c r="BK366" s="76" t="b">
        <v>0</v>
      </c>
      <c r="BL366" s="76"/>
      <c r="BM366" s="76" t="s">
        <v>66</v>
      </c>
      <c r="BN366" s="76" t="s">
        <v>19635</v>
      </c>
      <c r="BO366" s="83" t="str">
        <f>HYPERLINK("https://twitter.com/pqquest")</f>
        <v>https://twitter.com/pqquest</v>
      </c>
      <c r="BP366" s="2"/>
    </row>
    <row r="367" spans="1:68" x14ac:dyDescent="0.25">
      <c r="A367" s="62" t="s">
        <v>543</v>
      </c>
      <c r="B367" s="63"/>
      <c r="C367" s="63"/>
      <c r="D367" s="64"/>
      <c r="E367" s="66"/>
      <c r="F367" s="103" t="str">
        <f>HYPERLINK("https://pbs.twimg.com/profile_images/1127217287579172870/mpXg0tbm_normal.png")</f>
        <v>https://pbs.twimg.com/profile_images/1127217287579172870/mpXg0tbm_normal.png</v>
      </c>
      <c r="G367" s="63"/>
      <c r="H367" s="67"/>
      <c r="I367" s="68"/>
      <c r="J367" s="68"/>
      <c r="K367" s="67" t="s">
        <v>19999</v>
      </c>
      <c r="L367" s="71"/>
      <c r="M367" s="72"/>
      <c r="N367" s="72"/>
      <c r="O367" s="73"/>
      <c r="P367" s="74"/>
      <c r="Q367" s="74"/>
      <c r="R367" s="87"/>
      <c r="S367" s="87"/>
      <c r="T367" s="87"/>
      <c r="U367" s="87"/>
      <c r="V367" s="48"/>
      <c r="W367" s="48"/>
      <c r="X367" s="47">
        <v>1.101E-3</v>
      </c>
      <c r="Y367" s="48"/>
      <c r="Z367" s="47"/>
      <c r="AA367" s="69">
        <v>367</v>
      </c>
      <c r="AB367" s="69"/>
      <c r="AC367" s="70"/>
      <c r="AD367" s="76" t="s">
        <v>17002</v>
      </c>
      <c r="AE367" s="81" t="s">
        <v>16313</v>
      </c>
      <c r="AF367" s="76">
        <v>15134</v>
      </c>
      <c r="AG367" s="76">
        <v>14915</v>
      </c>
      <c r="AH367" s="76">
        <v>5404</v>
      </c>
      <c r="AI367" s="76">
        <v>5</v>
      </c>
      <c r="AJ367" s="76">
        <v>145</v>
      </c>
      <c r="AK367" s="76">
        <v>213</v>
      </c>
      <c r="AL367" s="76" t="b">
        <v>0</v>
      </c>
      <c r="AM367" s="78">
        <v>43337.505127314813</v>
      </c>
      <c r="AN367" s="76" t="s">
        <v>10552</v>
      </c>
      <c r="AO367" s="76" t="s">
        <v>18484</v>
      </c>
      <c r="AP367" s="83" t="str">
        <f>HYPERLINK("https://t.co/eBaoW2uQmQ")</f>
        <v>https://t.co/eBaoW2uQmQ</v>
      </c>
      <c r="AQ367" s="83" t="str">
        <f>HYPERLINK("https://www.multimidiainfo.com")</f>
        <v>https://www.multimidiainfo.com</v>
      </c>
      <c r="AR367" s="76" t="s">
        <v>6057</v>
      </c>
      <c r="AS367" s="83" t="str">
        <f>HYPERLINK("https://t.co/0EvvE3Jzv8")</f>
        <v>https://t.co/0EvvE3Jzv8</v>
      </c>
      <c r="AT367" s="83" t="str">
        <f>HYPERLINK("https://youtube.com/@MultiMidiaInfo")</f>
        <v>https://youtube.com/@MultiMidiaInfo</v>
      </c>
      <c r="AU367" s="76" t="s">
        <v>19602</v>
      </c>
      <c r="AV367" s="76">
        <v>1.70098629836925E+18</v>
      </c>
      <c r="AW367" s="83" t="str">
        <f>HYPERLINK("https://t.co/eBaoW2uQmQ")</f>
        <v>https://t.co/eBaoW2uQmQ</v>
      </c>
      <c r="AX367" s="76" t="b">
        <v>0</v>
      </c>
      <c r="AY367" s="76"/>
      <c r="AZ367" s="76"/>
      <c r="BA367" s="76" t="b">
        <v>0</v>
      </c>
      <c r="BB367" s="76" t="b">
        <v>1</v>
      </c>
      <c r="BC367" s="76" t="b">
        <v>0</v>
      </c>
      <c r="BD367" s="76" t="b">
        <v>0</v>
      </c>
      <c r="BE367" s="76" t="b">
        <v>1</v>
      </c>
      <c r="BF367" s="76" t="b">
        <v>0</v>
      </c>
      <c r="BG367" s="76" t="b">
        <v>0</v>
      </c>
      <c r="BH367" s="83" t="str">
        <f>HYPERLINK("https://pbs.twimg.com/profile_banners/1033324960343883776/1556931041")</f>
        <v>https://pbs.twimg.com/profile_banners/1033324960343883776/1556931041</v>
      </c>
      <c r="BI367" s="76"/>
      <c r="BJ367" s="76" t="s">
        <v>19633</v>
      </c>
      <c r="BK367" s="76" t="b">
        <v>0</v>
      </c>
      <c r="BL367" s="76"/>
      <c r="BM367" s="76" t="s">
        <v>66</v>
      </c>
      <c r="BN367" s="76" t="s">
        <v>19635</v>
      </c>
      <c r="BO367" s="83" t="str">
        <f>HYPERLINK("https://twitter.com/multimidiainfo")</f>
        <v>https://twitter.com/multimidiainfo</v>
      </c>
      <c r="BP367" s="2"/>
    </row>
    <row r="368" spans="1:68" x14ac:dyDescent="0.25">
      <c r="A368" s="62" t="s">
        <v>1081</v>
      </c>
      <c r="B368" s="63"/>
      <c r="C368" s="63"/>
      <c r="D368" s="64"/>
      <c r="E368" s="66"/>
      <c r="F368" s="103" t="str">
        <f>HYPERLINK("https://pbs.twimg.com/profile_images/1430324989719425025/zdcfCU2S_normal.jpg")</f>
        <v>https://pbs.twimg.com/profile_images/1430324989719425025/zdcfCU2S_normal.jpg</v>
      </c>
      <c r="G368" s="63"/>
      <c r="H368" s="67"/>
      <c r="I368" s="68"/>
      <c r="J368" s="68"/>
      <c r="K368" s="67" t="s">
        <v>20000</v>
      </c>
      <c r="L368" s="71"/>
      <c r="M368" s="72"/>
      <c r="N368" s="72"/>
      <c r="O368" s="73"/>
      <c r="P368" s="74"/>
      <c r="Q368" s="74"/>
      <c r="R368" s="87"/>
      <c r="S368" s="87"/>
      <c r="T368" s="87"/>
      <c r="U368" s="87"/>
      <c r="V368" s="48"/>
      <c r="W368" s="48"/>
      <c r="X368" s="47">
        <v>1.101E-3</v>
      </c>
      <c r="Y368" s="48"/>
      <c r="Z368" s="47"/>
      <c r="AA368" s="69">
        <v>368</v>
      </c>
      <c r="AB368" s="69"/>
      <c r="AC368" s="70"/>
      <c r="AD368" s="76" t="s">
        <v>17003</v>
      </c>
      <c r="AE368" s="81" t="s">
        <v>17659</v>
      </c>
      <c r="AF368" s="76">
        <v>1011</v>
      </c>
      <c r="AG368" s="76">
        <v>2052</v>
      </c>
      <c r="AH368" s="76">
        <v>1092</v>
      </c>
      <c r="AI368" s="76">
        <v>0</v>
      </c>
      <c r="AJ368" s="76">
        <v>459</v>
      </c>
      <c r="AK368" s="76">
        <v>14</v>
      </c>
      <c r="AL368" s="76" t="b">
        <v>0</v>
      </c>
      <c r="AM368" s="78">
        <v>44412.136446759258</v>
      </c>
      <c r="AN368" s="76"/>
      <c r="AO368" s="76" t="s">
        <v>18485</v>
      </c>
      <c r="AP368" s="83" t="str">
        <f>HYPERLINK("https://t.co/wO5QThUyUn")</f>
        <v>https://t.co/wO5QThUyUn</v>
      </c>
      <c r="AQ368" s="83" t="str">
        <f>HYPERLINK("https://gmms.mundoms.com")</f>
        <v>https://gmms.mundoms.com</v>
      </c>
      <c r="AR368" s="76" t="s">
        <v>19214</v>
      </c>
      <c r="AS368" s="83" t="str">
        <f>HYPERLINK("https://t.co/wavFP8GAHq")</f>
        <v>https://t.co/wavFP8GAHq</v>
      </c>
      <c r="AT368" s="83" t="str">
        <f>HYPERLINK("https://gmms.mundoms.com/p/anuncie-conosco.html")</f>
        <v>https://gmms.mundoms.com/p/anuncie-conosco.html</v>
      </c>
      <c r="AU368" s="76" t="s">
        <v>19603</v>
      </c>
      <c r="AV368" s="76">
        <v>1.5977529752122801E+18</v>
      </c>
      <c r="AW368" s="83" t="str">
        <f>HYPERLINK("https://t.co/wO5QThUyUn")</f>
        <v>https://t.co/wO5QThUyUn</v>
      </c>
      <c r="AX368" s="76" t="b">
        <v>0</v>
      </c>
      <c r="AY368" s="76"/>
      <c r="AZ368" s="76"/>
      <c r="BA368" s="76" t="b">
        <v>1</v>
      </c>
      <c r="BB368" s="76" t="b">
        <v>1</v>
      </c>
      <c r="BC368" s="76" t="b">
        <v>1</v>
      </c>
      <c r="BD368" s="76" t="b">
        <v>0</v>
      </c>
      <c r="BE368" s="76" t="b">
        <v>0</v>
      </c>
      <c r="BF368" s="76" t="b">
        <v>0</v>
      </c>
      <c r="BG368" s="76" t="b">
        <v>0</v>
      </c>
      <c r="BH368" s="83" t="str">
        <f>HYPERLINK("https://pbs.twimg.com/profile_banners/1422757842600202243/1629850884")</f>
        <v>https://pbs.twimg.com/profile_banners/1422757842600202243/1629850884</v>
      </c>
      <c r="BI368" s="76"/>
      <c r="BJ368" s="76" t="s">
        <v>19633</v>
      </c>
      <c r="BK368" s="76" t="b">
        <v>0</v>
      </c>
      <c r="BL368" s="76"/>
      <c r="BM368" s="76" t="s">
        <v>65</v>
      </c>
      <c r="BN368" s="76" t="s">
        <v>19635</v>
      </c>
      <c r="BO368" s="83" t="str">
        <f>HYPERLINK("https://twitter.com/grupomundoms")</f>
        <v>https://twitter.com/grupomundoms</v>
      </c>
      <c r="BP368" s="2"/>
    </row>
    <row r="369" spans="1:68" x14ac:dyDescent="0.25">
      <c r="A369" s="62" t="s">
        <v>544</v>
      </c>
      <c r="B369" s="63"/>
      <c r="C369" s="63"/>
      <c r="D369" s="64"/>
      <c r="E369" s="66"/>
      <c r="F369" s="103" t="str">
        <f>HYPERLINK("https://pbs.twimg.com/profile_images/1618007896712683520/JUd11X4d_normal.jpg")</f>
        <v>https://pbs.twimg.com/profile_images/1618007896712683520/JUd11X4d_normal.jpg</v>
      </c>
      <c r="G369" s="63"/>
      <c r="H369" s="67"/>
      <c r="I369" s="68"/>
      <c r="J369" s="68"/>
      <c r="K369" s="67" t="s">
        <v>20001</v>
      </c>
      <c r="L369" s="71"/>
      <c r="M369" s="72"/>
      <c r="N369" s="72"/>
      <c r="O369" s="73"/>
      <c r="P369" s="74"/>
      <c r="Q369" s="74"/>
      <c r="R369" s="87"/>
      <c r="S369" s="87"/>
      <c r="T369" s="87"/>
      <c r="U369" s="87"/>
      <c r="V369" s="48"/>
      <c r="W369" s="48"/>
      <c r="X369" s="47">
        <v>1.101E-3</v>
      </c>
      <c r="Y369" s="48"/>
      <c r="Z369" s="47"/>
      <c r="AA369" s="69">
        <v>369</v>
      </c>
      <c r="AB369" s="69"/>
      <c r="AC369" s="70"/>
      <c r="AD369" s="76" t="s">
        <v>17004</v>
      </c>
      <c r="AE369" s="81" t="s">
        <v>16314</v>
      </c>
      <c r="AF369" s="76">
        <v>16</v>
      </c>
      <c r="AG369" s="76">
        <v>71</v>
      </c>
      <c r="AH369" s="76">
        <v>69</v>
      </c>
      <c r="AI369" s="76">
        <v>0</v>
      </c>
      <c r="AJ369" s="76">
        <v>36</v>
      </c>
      <c r="AK369" s="76">
        <v>59</v>
      </c>
      <c r="AL369" s="76" t="b">
        <v>0</v>
      </c>
      <c r="AM369" s="78">
        <v>42947.025995370372</v>
      </c>
      <c r="AN369" s="76" t="s">
        <v>10561</v>
      </c>
      <c r="AO369" s="76" t="s">
        <v>18486</v>
      </c>
      <c r="AP369" s="83" t="str">
        <f>HYPERLINK("https://t.co/EPmsKFjClO")</f>
        <v>https://t.co/EPmsKFjClO</v>
      </c>
      <c r="AQ369" s="83" t="str">
        <f>HYPERLINK("https://linkpop.com/financa")</f>
        <v>https://linkpop.com/financa</v>
      </c>
      <c r="AR369" s="76" t="s">
        <v>19215</v>
      </c>
      <c r="AS369" s="76"/>
      <c r="AT369" s="76"/>
      <c r="AU369" s="76"/>
      <c r="AV369" s="76"/>
      <c r="AW369" s="83" t="str">
        <f>HYPERLINK("https://t.co/EPmsKFjClO")</f>
        <v>https://t.co/EPmsKFjClO</v>
      </c>
      <c r="AX369" s="76" t="b">
        <v>0</v>
      </c>
      <c r="AY369" s="76"/>
      <c r="AZ369" s="76"/>
      <c r="BA369" s="76" t="b">
        <v>0</v>
      </c>
      <c r="BB369" s="76" t="b">
        <v>1</v>
      </c>
      <c r="BC369" s="76" t="b">
        <v>0</v>
      </c>
      <c r="BD369" s="76" t="b">
        <v>0</v>
      </c>
      <c r="BE369" s="76" t="b">
        <v>0</v>
      </c>
      <c r="BF369" s="76" t="b">
        <v>0</v>
      </c>
      <c r="BG369" s="76" t="b">
        <v>0</v>
      </c>
      <c r="BH369" s="83" t="str">
        <f>HYPERLINK("https://pbs.twimg.com/profile_banners/891820062839115777/1538004435")</f>
        <v>https://pbs.twimg.com/profile_banners/891820062839115777/1538004435</v>
      </c>
      <c r="BI369" s="76"/>
      <c r="BJ369" s="76" t="s">
        <v>19633</v>
      </c>
      <c r="BK369" s="76" t="b">
        <v>0</v>
      </c>
      <c r="BL369" s="76"/>
      <c r="BM369" s="76" t="s">
        <v>66</v>
      </c>
      <c r="BN369" s="76" t="s">
        <v>19635</v>
      </c>
      <c r="BO369" s="83" t="str">
        <f>HYPERLINK("https://twitter.com/financad")</f>
        <v>https://twitter.com/financad</v>
      </c>
      <c r="BP369" s="2"/>
    </row>
    <row r="370" spans="1:68" x14ac:dyDescent="0.25">
      <c r="A370" s="62" t="s">
        <v>545</v>
      </c>
      <c r="B370" s="63"/>
      <c r="C370" s="63"/>
      <c r="D370" s="64"/>
      <c r="E370" s="66"/>
      <c r="F370" s="103" t="str">
        <f>HYPERLINK("https://pbs.twimg.com/profile_images/1279080265818820608/_XNXQuFb_normal.png")</f>
        <v>https://pbs.twimg.com/profile_images/1279080265818820608/_XNXQuFb_normal.png</v>
      </c>
      <c r="G370" s="63"/>
      <c r="H370" s="67"/>
      <c r="I370" s="68"/>
      <c r="J370" s="68"/>
      <c r="K370" s="67" t="s">
        <v>20002</v>
      </c>
      <c r="L370" s="71"/>
      <c r="M370" s="72"/>
      <c r="N370" s="72"/>
      <c r="O370" s="73"/>
      <c r="P370" s="74"/>
      <c r="Q370" s="74"/>
      <c r="R370" s="87"/>
      <c r="S370" s="87"/>
      <c r="T370" s="87"/>
      <c r="U370" s="87"/>
      <c r="V370" s="48"/>
      <c r="W370" s="48"/>
      <c r="X370" s="47">
        <v>1.101E-3</v>
      </c>
      <c r="Y370" s="48"/>
      <c r="Z370" s="47"/>
      <c r="AA370" s="69">
        <v>370</v>
      </c>
      <c r="AB370" s="69"/>
      <c r="AC370" s="70"/>
      <c r="AD370" s="76" t="s">
        <v>17005</v>
      </c>
      <c r="AE370" s="81" t="s">
        <v>16315</v>
      </c>
      <c r="AF370" s="76">
        <v>108</v>
      </c>
      <c r="AG370" s="76">
        <v>368</v>
      </c>
      <c r="AH370" s="76">
        <v>614</v>
      </c>
      <c r="AI370" s="76">
        <v>4</v>
      </c>
      <c r="AJ370" s="76">
        <v>1163</v>
      </c>
      <c r="AK370" s="76">
        <v>187</v>
      </c>
      <c r="AL370" s="76" t="b">
        <v>0</v>
      </c>
      <c r="AM370" s="78">
        <v>44015.65892361111</v>
      </c>
      <c r="AN370" s="76" t="s">
        <v>17987</v>
      </c>
      <c r="AO370" s="76" t="s">
        <v>18487</v>
      </c>
      <c r="AP370" s="83" t="str">
        <f>HYPERLINK("https://t.co/SDBIW4MjQF")</f>
        <v>https://t.co/SDBIW4MjQF</v>
      </c>
      <c r="AQ370" s="83" t="str">
        <f>HYPERLINK("http://www.astanapay.com.br")</f>
        <v>http://www.astanapay.com.br</v>
      </c>
      <c r="AR370" s="76" t="s">
        <v>19216</v>
      </c>
      <c r="AS370" s="76"/>
      <c r="AT370" s="76"/>
      <c r="AU370" s="76"/>
      <c r="AV370" s="76">
        <v>1.6303037889667599E+18</v>
      </c>
      <c r="AW370" s="83" t="str">
        <f>HYPERLINK("https://t.co/SDBIW4MjQF")</f>
        <v>https://t.co/SDBIW4MjQF</v>
      </c>
      <c r="AX370" s="76" t="b">
        <v>0</v>
      </c>
      <c r="AY370" s="76"/>
      <c r="AZ370" s="76"/>
      <c r="BA370" s="76" t="b">
        <v>0</v>
      </c>
      <c r="BB370" s="76" t="b">
        <v>1</v>
      </c>
      <c r="BC370" s="76" t="b">
        <v>1</v>
      </c>
      <c r="BD370" s="76" t="b">
        <v>0</v>
      </c>
      <c r="BE370" s="76" t="b">
        <v>1</v>
      </c>
      <c r="BF370" s="76" t="b">
        <v>0</v>
      </c>
      <c r="BG370" s="76" t="b">
        <v>0</v>
      </c>
      <c r="BH370" s="83" t="str">
        <f>HYPERLINK("https://pbs.twimg.com/profile_banners/1279079613264691203/1593791500")</f>
        <v>https://pbs.twimg.com/profile_banners/1279079613264691203/1593791500</v>
      </c>
      <c r="BI370" s="76"/>
      <c r="BJ370" s="76" t="s">
        <v>19633</v>
      </c>
      <c r="BK370" s="76" t="b">
        <v>0</v>
      </c>
      <c r="BL370" s="76"/>
      <c r="BM370" s="76" t="s">
        <v>66</v>
      </c>
      <c r="BN370" s="76" t="s">
        <v>19635</v>
      </c>
      <c r="BO370" s="83" t="str">
        <f>HYPERLINK("https://twitter.com/astanapay")</f>
        <v>https://twitter.com/astanapay</v>
      </c>
      <c r="BP370" s="2"/>
    </row>
    <row r="371" spans="1:68" x14ac:dyDescent="0.25">
      <c r="A371" s="62" t="s">
        <v>546</v>
      </c>
      <c r="B371" s="63"/>
      <c r="C371" s="63"/>
      <c r="D371" s="64"/>
      <c r="E371" s="66"/>
      <c r="F371" s="103" t="str">
        <f>HYPERLINK("https://pbs.twimg.com/profile_images/802041711/mpneves-2010-04-06_normal.jpg")</f>
        <v>https://pbs.twimg.com/profile_images/802041711/mpneves-2010-04-06_normal.jpg</v>
      </c>
      <c r="G371" s="63"/>
      <c r="H371" s="67"/>
      <c r="I371" s="68"/>
      <c r="J371" s="68"/>
      <c r="K371" s="67" t="s">
        <v>20003</v>
      </c>
      <c r="L371" s="71"/>
      <c r="M371" s="72"/>
      <c r="N371" s="72"/>
      <c r="O371" s="73"/>
      <c r="P371" s="74"/>
      <c r="Q371" s="74"/>
      <c r="R371" s="87"/>
      <c r="S371" s="87"/>
      <c r="T371" s="87"/>
      <c r="U371" s="87"/>
      <c r="V371" s="48"/>
      <c r="W371" s="48"/>
      <c r="X371" s="47">
        <v>1.101E-3</v>
      </c>
      <c r="Y371" s="48"/>
      <c r="Z371" s="47"/>
      <c r="AA371" s="69">
        <v>371</v>
      </c>
      <c r="AB371" s="69"/>
      <c r="AC371" s="70"/>
      <c r="AD371" s="76" t="s">
        <v>17006</v>
      </c>
      <c r="AE371" s="81" t="s">
        <v>17660</v>
      </c>
      <c r="AF371" s="76">
        <v>318</v>
      </c>
      <c r="AG371" s="76">
        <v>461</v>
      </c>
      <c r="AH371" s="76">
        <v>4685</v>
      </c>
      <c r="AI371" s="76">
        <v>14</v>
      </c>
      <c r="AJ371" s="76">
        <v>210</v>
      </c>
      <c r="AK371" s="76">
        <v>87</v>
      </c>
      <c r="AL371" s="76" t="b">
        <v>0</v>
      </c>
      <c r="AM371" s="78">
        <v>39539.960752314815</v>
      </c>
      <c r="AN371" s="76" t="s">
        <v>17938</v>
      </c>
      <c r="AO371" s="76" t="s">
        <v>18488</v>
      </c>
      <c r="AP371" s="83" t="str">
        <f>HYPERLINK("https://t.co/ZQTGc7qo3N")</f>
        <v>https://t.co/ZQTGc7qo3N</v>
      </c>
      <c r="AQ371" s="83" t="str">
        <f>HYPERLINK("http://weblore.net")</f>
        <v>http://weblore.net</v>
      </c>
      <c r="AR371" s="76" t="s">
        <v>19217</v>
      </c>
      <c r="AS371" s="76"/>
      <c r="AT371" s="76"/>
      <c r="AU371" s="76"/>
      <c r="AV371" s="76"/>
      <c r="AW371" s="83" t="str">
        <f>HYPERLINK("https://t.co/ZQTGc7qo3N")</f>
        <v>https://t.co/ZQTGc7qo3N</v>
      </c>
      <c r="AX371" s="76" t="b">
        <v>0</v>
      </c>
      <c r="AY371" s="76"/>
      <c r="AZ371" s="76"/>
      <c r="BA371" s="76" t="b">
        <v>0</v>
      </c>
      <c r="BB371" s="76" t="b">
        <v>0</v>
      </c>
      <c r="BC371" s="76" t="b">
        <v>0</v>
      </c>
      <c r="BD371" s="76" t="b">
        <v>0</v>
      </c>
      <c r="BE371" s="76" t="b">
        <v>1</v>
      </c>
      <c r="BF371" s="76" t="b">
        <v>0</v>
      </c>
      <c r="BG371" s="76" t="b">
        <v>0</v>
      </c>
      <c r="BH371" s="83" t="str">
        <f>HYPERLINK("https://pbs.twimg.com/profile_banners/14278838/1407679729")</f>
        <v>https://pbs.twimg.com/profile_banners/14278838/1407679729</v>
      </c>
      <c r="BI371" s="76"/>
      <c r="BJ371" s="76" t="s">
        <v>19633</v>
      </c>
      <c r="BK371" s="76" t="b">
        <v>0</v>
      </c>
      <c r="BL371" s="76"/>
      <c r="BM371" s="76" t="s">
        <v>66</v>
      </c>
      <c r="BN371" s="76" t="s">
        <v>19635</v>
      </c>
      <c r="BO371" s="83" t="str">
        <f>HYPERLINK("https://twitter.com/themage")</f>
        <v>https://twitter.com/themage</v>
      </c>
      <c r="BP371" s="2"/>
    </row>
    <row r="372" spans="1:68" x14ac:dyDescent="0.25">
      <c r="A372" s="62" t="s">
        <v>547</v>
      </c>
      <c r="B372" s="63"/>
      <c r="C372" s="63"/>
      <c r="D372" s="64"/>
      <c r="E372" s="66"/>
      <c r="F372" s="103" t="str">
        <f>HYPERLINK("https://pbs.twimg.com/profile_images/1558848603376046081/XjgeW2U9_normal.jpg")</f>
        <v>https://pbs.twimg.com/profile_images/1558848603376046081/XjgeW2U9_normal.jpg</v>
      </c>
      <c r="G372" s="63"/>
      <c r="H372" s="67"/>
      <c r="I372" s="68"/>
      <c r="J372" s="68"/>
      <c r="K372" s="67" t="s">
        <v>20004</v>
      </c>
      <c r="L372" s="71"/>
      <c r="M372" s="72"/>
      <c r="N372" s="72"/>
      <c r="O372" s="73"/>
      <c r="P372" s="74"/>
      <c r="Q372" s="74"/>
      <c r="R372" s="87"/>
      <c r="S372" s="87"/>
      <c r="T372" s="87"/>
      <c r="U372" s="87"/>
      <c r="V372" s="48"/>
      <c r="W372" s="48"/>
      <c r="X372" s="47">
        <v>1.101E-3</v>
      </c>
      <c r="Y372" s="48"/>
      <c r="Z372" s="47"/>
      <c r="AA372" s="69">
        <v>372</v>
      </c>
      <c r="AB372" s="69"/>
      <c r="AC372" s="70"/>
      <c r="AD372" s="76" t="s">
        <v>17007</v>
      </c>
      <c r="AE372" s="81" t="s">
        <v>17661</v>
      </c>
      <c r="AF372" s="76">
        <v>17</v>
      </c>
      <c r="AG372" s="76">
        <v>83</v>
      </c>
      <c r="AH372" s="76">
        <v>25</v>
      </c>
      <c r="AI372" s="76">
        <v>0</v>
      </c>
      <c r="AJ372" s="76">
        <v>3</v>
      </c>
      <c r="AK372" s="76">
        <v>17</v>
      </c>
      <c r="AL372" s="76" t="b">
        <v>0</v>
      </c>
      <c r="AM372" s="78">
        <v>40943.739340277774</v>
      </c>
      <c r="AN372" s="76" t="s">
        <v>17991</v>
      </c>
      <c r="AO372" s="76" t="s">
        <v>18489</v>
      </c>
      <c r="AP372" s="83" t="str">
        <f>HYPERLINK("https://t.co/cIAaCqKWq9")</f>
        <v>https://t.co/cIAaCqKWq9</v>
      </c>
      <c r="AQ372" s="83" t="str">
        <f>HYPERLINK("http://www.contaxx.com.br")</f>
        <v>http://www.contaxx.com.br</v>
      </c>
      <c r="AR372" s="76" t="s">
        <v>19218</v>
      </c>
      <c r="AS372" s="76"/>
      <c r="AT372" s="76"/>
      <c r="AU372" s="76"/>
      <c r="AV372" s="76"/>
      <c r="AW372" s="83" t="str">
        <f>HYPERLINK("https://t.co/cIAaCqKWq9")</f>
        <v>https://t.co/cIAaCqKWq9</v>
      </c>
      <c r="AX372" s="76" t="b">
        <v>0</v>
      </c>
      <c r="AY372" s="76"/>
      <c r="AZ372" s="76"/>
      <c r="BA372" s="76" t="b">
        <v>0</v>
      </c>
      <c r="BB372" s="76" t="b">
        <v>1</v>
      </c>
      <c r="BC372" s="76" t="b">
        <v>1</v>
      </c>
      <c r="BD372" s="76" t="b">
        <v>0</v>
      </c>
      <c r="BE372" s="76" t="b">
        <v>0</v>
      </c>
      <c r="BF372" s="76" t="b">
        <v>0</v>
      </c>
      <c r="BG372" s="76" t="b">
        <v>0</v>
      </c>
      <c r="BH372" s="83" t="str">
        <f>HYPERLINK("https://pbs.twimg.com/profile_banners/483138778/1660493454")</f>
        <v>https://pbs.twimg.com/profile_banners/483138778/1660493454</v>
      </c>
      <c r="BI372" s="76"/>
      <c r="BJ372" s="76" t="s">
        <v>19633</v>
      </c>
      <c r="BK372" s="76" t="b">
        <v>0</v>
      </c>
      <c r="BL372" s="76"/>
      <c r="BM372" s="76" t="s">
        <v>66</v>
      </c>
      <c r="BN372" s="76" t="s">
        <v>19635</v>
      </c>
      <c r="BO372" s="83" t="str">
        <f>HYPERLINK("https://twitter.com/jeandearaujol")</f>
        <v>https://twitter.com/jeandearaujol</v>
      </c>
      <c r="BP372" s="2"/>
    </row>
    <row r="373" spans="1:68" x14ac:dyDescent="0.25">
      <c r="A373" s="62" t="s">
        <v>548</v>
      </c>
      <c r="B373" s="63"/>
      <c r="C373" s="63"/>
      <c r="D373" s="64"/>
      <c r="E373" s="66"/>
      <c r="F373" s="103" t="str">
        <f>HYPERLINK("https://pbs.twimg.com/profile_images/1683821557968142339/zJ864HmA_normal.jpg")</f>
        <v>https://pbs.twimg.com/profile_images/1683821557968142339/zJ864HmA_normal.jpg</v>
      </c>
      <c r="G373" s="63"/>
      <c r="H373" s="67"/>
      <c r="I373" s="68"/>
      <c r="J373" s="68"/>
      <c r="K373" s="67" t="s">
        <v>20005</v>
      </c>
      <c r="L373" s="71"/>
      <c r="M373" s="72"/>
      <c r="N373" s="72"/>
      <c r="O373" s="73"/>
      <c r="P373" s="74"/>
      <c r="Q373" s="74"/>
      <c r="R373" s="87"/>
      <c r="S373" s="87"/>
      <c r="T373" s="87"/>
      <c r="U373" s="87"/>
      <c r="V373" s="48"/>
      <c r="W373" s="48"/>
      <c r="X373" s="47">
        <v>1.101E-3</v>
      </c>
      <c r="Y373" s="48"/>
      <c r="Z373" s="47"/>
      <c r="AA373" s="69">
        <v>373</v>
      </c>
      <c r="AB373" s="69"/>
      <c r="AC373" s="70"/>
      <c r="AD373" s="76" t="s">
        <v>17008</v>
      </c>
      <c r="AE373" s="81" t="s">
        <v>16316</v>
      </c>
      <c r="AF373" s="76">
        <v>13</v>
      </c>
      <c r="AG373" s="76">
        <v>339</v>
      </c>
      <c r="AH373" s="76">
        <v>438</v>
      </c>
      <c r="AI373" s="76">
        <v>0</v>
      </c>
      <c r="AJ373" s="76">
        <v>378</v>
      </c>
      <c r="AK373" s="76">
        <v>217</v>
      </c>
      <c r="AL373" s="76" t="b">
        <v>0</v>
      </c>
      <c r="AM373" s="78">
        <v>44782.836886574078</v>
      </c>
      <c r="AN373" s="76" t="s">
        <v>17992</v>
      </c>
      <c r="AO373" s="76" t="s">
        <v>18490</v>
      </c>
      <c r="AP373" s="83" t="str">
        <f>HYPERLINK("https://t.co/kj2ekKyqMs")</f>
        <v>https://t.co/kj2ekKyqMs</v>
      </c>
      <c r="AQ373" s="83" t="str">
        <f>HYPERLINK("https://linktr.ee/fatecferraz")</f>
        <v>https://linktr.ee/fatecferraz</v>
      </c>
      <c r="AR373" s="76" t="s">
        <v>19219</v>
      </c>
      <c r="AS373" s="76"/>
      <c r="AT373" s="76"/>
      <c r="AU373" s="76"/>
      <c r="AV373" s="76">
        <v>1.6977055860563699E+18</v>
      </c>
      <c r="AW373" s="83" t="str">
        <f>HYPERLINK("https://t.co/kj2ekKyqMs")</f>
        <v>https://t.co/kj2ekKyqMs</v>
      </c>
      <c r="AX373" s="76" t="b">
        <v>0</v>
      </c>
      <c r="AY373" s="76"/>
      <c r="AZ373" s="76"/>
      <c r="BA373" s="76" t="b">
        <v>0</v>
      </c>
      <c r="BB373" s="76" t="b">
        <v>1</v>
      </c>
      <c r="BC373" s="76" t="b">
        <v>1</v>
      </c>
      <c r="BD373" s="76" t="b">
        <v>0</v>
      </c>
      <c r="BE373" s="76" t="b">
        <v>0</v>
      </c>
      <c r="BF373" s="76" t="b">
        <v>0</v>
      </c>
      <c r="BG373" s="76" t="b">
        <v>0</v>
      </c>
      <c r="BH373" s="83" t="str">
        <f>HYPERLINK("https://pbs.twimg.com/profile_banners/1557095413928402944/1690288874")</f>
        <v>https://pbs.twimg.com/profile_banners/1557095413928402944/1690288874</v>
      </c>
      <c r="BI373" s="76"/>
      <c r="BJ373" s="76" t="s">
        <v>19633</v>
      </c>
      <c r="BK373" s="76" t="b">
        <v>0</v>
      </c>
      <c r="BL373" s="76"/>
      <c r="BM373" s="76" t="s">
        <v>66</v>
      </c>
      <c r="BN373" s="76" t="s">
        <v>19635</v>
      </c>
      <c r="BO373" s="83" t="str">
        <f>HYPERLINK("https://twitter.com/fatecferraz")</f>
        <v>https://twitter.com/fatecferraz</v>
      </c>
      <c r="BP373" s="2"/>
    </row>
    <row r="374" spans="1:68" x14ac:dyDescent="0.25">
      <c r="A374" s="62" t="s">
        <v>549</v>
      </c>
      <c r="B374" s="63"/>
      <c r="C374" s="63"/>
      <c r="D374" s="64"/>
      <c r="E374" s="66"/>
      <c r="F374" s="103" t="str">
        <f>HYPERLINK("https://pbs.twimg.com/profile_images/1562002718826397697/LQ-yQpbY_normal.jpg")</f>
        <v>https://pbs.twimg.com/profile_images/1562002718826397697/LQ-yQpbY_normal.jpg</v>
      </c>
      <c r="G374" s="63"/>
      <c r="H374" s="67"/>
      <c r="I374" s="68"/>
      <c r="J374" s="68"/>
      <c r="K374" s="67" t="s">
        <v>20006</v>
      </c>
      <c r="L374" s="71"/>
      <c r="M374" s="72"/>
      <c r="N374" s="72"/>
      <c r="O374" s="73"/>
      <c r="P374" s="74"/>
      <c r="Q374" s="74"/>
      <c r="R374" s="87"/>
      <c r="S374" s="87"/>
      <c r="T374" s="87"/>
      <c r="U374" s="87"/>
      <c r="V374" s="48"/>
      <c r="W374" s="48"/>
      <c r="X374" s="47">
        <v>1.101E-3</v>
      </c>
      <c r="Y374" s="48"/>
      <c r="Z374" s="47"/>
      <c r="AA374" s="69">
        <v>374</v>
      </c>
      <c r="AB374" s="69"/>
      <c r="AC374" s="70"/>
      <c r="AD374" s="76" t="s">
        <v>17009</v>
      </c>
      <c r="AE374" s="81" t="s">
        <v>16317</v>
      </c>
      <c r="AF374" s="76">
        <v>190</v>
      </c>
      <c r="AG374" s="76">
        <v>4964</v>
      </c>
      <c r="AH374" s="76">
        <v>21948</v>
      </c>
      <c r="AI374" s="76">
        <v>1</v>
      </c>
      <c r="AJ374" s="76">
        <v>1068</v>
      </c>
      <c r="AK374" s="76">
        <v>9641</v>
      </c>
      <c r="AL374" s="76" t="b">
        <v>0</v>
      </c>
      <c r="AM374" s="78">
        <v>44692.739247685182</v>
      </c>
      <c r="AN374" s="76"/>
      <c r="AO374" s="76" t="s">
        <v>18491</v>
      </c>
      <c r="AP374" s="76"/>
      <c r="AQ374" s="76"/>
      <c r="AR374" s="76"/>
      <c r="AS374" s="76"/>
      <c r="AT374" s="76"/>
      <c r="AU374" s="76"/>
      <c r="AV374" s="76"/>
      <c r="AW374" s="76"/>
      <c r="AX374" s="76" t="b">
        <v>0</v>
      </c>
      <c r="AY374" s="76"/>
      <c r="AZ374" s="76"/>
      <c r="BA374" s="76" t="b">
        <v>1</v>
      </c>
      <c r="BB374" s="76" t="b">
        <v>1</v>
      </c>
      <c r="BC374" s="76" t="b">
        <v>1</v>
      </c>
      <c r="BD374" s="76" t="b">
        <v>0</v>
      </c>
      <c r="BE374" s="76" t="b">
        <v>0</v>
      </c>
      <c r="BF374" s="76" t="b">
        <v>0</v>
      </c>
      <c r="BG374" s="76" t="b">
        <v>0</v>
      </c>
      <c r="BH374" s="83" t="str">
        <f>HYPERLINK("https://pbs.twimg.com/profile_banners/1524445227003568128/1661245442")</f>
        <v>https://pbs.twimg.com/profile_banners/1524445227003568128/1661245442</v>
      </c>
      <c r="BI374" s="76"/>
      <c r="BJ374" s="76" t="s">
        <v>19633</v>
      </c>
      <c r="BK374" s="76" t="b">
        <v>0</v>
      </c>
      <c r="BL374" s="76"/>
      <c r="BM374" s="76" t="s">
        <v>66</v>
      </c>
      <c r="BN374" s="76" t="s">
        <v>19635</v>
      </c>
      <c r="BO374" s="83" t="str">
        <f>HYPERLINK("https://twitter.com/alexsan16137953")</f>
        <v>https://twitter.com/alexsan16137953</v>
      </c>
      <c r="BP374" s="2"/>
    </row>
    <row r="375" spans="1:68" x14ac:dyDescent="0.25">
      <c r="A375" s="62" t="s">
        <v>550</v>
      </c>
      <c r="B375" s="63"/>
      <c r="C375" s="63"/>
      <c r="D375" s="64"/>
      <c r="E375" s="66"/>
      <c r="F375" s="103" t="str">
        <f>HYPERLINK("https://pbs.twimg.com/profile_images/1320113529278652416/at9G8K5j_normal.jpg")</f>
        <v>https://pbs.twimg.com/profile_images/1320113529278652416/at9G8K5j_normal.jpg</v>
      </c>
      <c r="G375" s="63"/>
      <c r="H375" s="67"/>
      <c r="I375" s="68"/>
      <c r="J375" s="68"/>
      <c r="K375" s="67" t="s">
        <v>20007</v>
      </c>
      <c r="L375" s="71"/>
      <c r="M375" s="72"/>
      <c r="N375" s="72"/>
      <c r="O375" s="73"/>
      <c r="P375" s="74"/>
      <c r="Q375" s="74"/>
      <c r="R375" s="87"/>
      <c r="S375" s="87"/>
      <c r="T375" s="87"/>
      <c r="U375" s="87"/>
      <c r="V375" s="48"/>
      <c r="W375" s="48"/>
      <c r="X375" s="47">
        <v>1.101E-3</v>
      </c>
      <c r="Y375" s="48"/>
      <c r="Z375" s="47"/>
      <c r="AA375" s="69">
        <v>375</v>
      </c>
      <c r="AB375" s="69"/>
      <c r="AC375" s="70"/>
      <c r="AD375" s="76" t="s">
        <v>17010</v>
      </c>
      <c r="AE375" s="81" t="s">
        <v>17662</v>
      </c>
      <c r="AF375" s="76">
        <v>5248</v>
      </c>
      <c r="AG375" s="76">
        <v>720</v>
      </c>
      <c r="AH375" s="76">
        <v>7672</v>
      </c>
      <c r="AI375" s="76">
        <v>187</v>
      </c>
      <c r="AJ375" s="76">
        <v>2239</v>
      </c>
      <c r="AK375" s="76">
        <v>373</v>
      </c>
      <c r="AL375" s="76" t="b">
        <v>0</v>
      </c>
      <c r="AM375" s="78">
        <v>39327.083738425928</v>
      </c>
      <c r="AN375" s="76" t="s">
        <v>17993</v>
      </c>
      <c r="AO375" s="76" t="s">
        <v>18492</v>
      </c>
      <c r="AP375" s="83" t="str">
        <f>HYPERLINK("https://t.co/wdPjiwysRa")</f>
        <v>https://t.co/wdPjiwysRa</v>
      </c>
      <c r="AQ375" s="83" t="str">
        <f>HYPERLINK("https://leokuba.contactin.bio/")</f>
        <v>https://leokuba.contactin.bio/</v>
      </c>
      <c r="AR375" s="76" t="s">
        <v>19220</v>
      </c>
      <c r="AS375" s="76"/>
      <c r="AT375" s="76"/>
      <c r="AU375" s="76"/>
      <c r="AV375" s="76"/>
      <c r="AW375" s="83" t="str">
        <f>HYPERLINK("https://t.co/wdPjiwysRa")</f>
        <v>https://t.co/wdPjiwysRa</v>
      </c>
      <c r="AX375" s="76" t="b">
        <v>0</v>
      </c>
      <c r="AY375" s="76"/>
      <c r="AZ375" s="76"/>
      <c r="BA375" s="76" t="b">
        <v>1</v>
      </c>
      <c r="BB375" s="76" t="b">
        <v>1</v>
      </c>
      <c r="BC375" s="76" t="b">
        <v>0</v>
      </c>
      <c r="BD375" s="76" t="b">
        <v>0</v>
      </c>
      <c r="BE375" s="76" t="b">
        <v>1</v>
      </c>
      <c r="BF375" s="76" t="b">
        <v>0</v>
      </c>
      <c r="BG375" s="76" t="b">
        <v>0</v>
      </c>
      <c r="BH375" s="83" t="str">
        <f>HYPERLINK("https://pbs.twimg.com/profile_banners/8599062/1669596378")</f>
        <v>https://pbs.twimg.com/profile_banners/8599062/1669596378</v>
      </c>
      <c r="BI375" s="76"/>
      <c r="BJ375" s="76" t="s">
        <v>19633</v>
      </c>
      <c r="BK375" s="76" t="b">
        <v>0</v>
      </c>
      <c r="BL375" s="76"/>
      <c r="BM375" s="76" t="s">
        <v>66</v>
      </c>
      <c r="BN375" s="76" t="s">
        <v>19635</v>
      </c>
      <c r="BO375" s="83" t="str">
        <f>HYPERLINK("https://twitter.com/leokuba")</f>
        <v>https://twitter.com/leokuba</v>
      </c>
      <c r="BP375" s="2"/>
    </row>
    <row r="376" spans="1:68" x14ac:dyDescent="0.25">
      <c r="A376" s="62" t="s">
        <v>551</v>
      </c>
      <c r="B376" s="63"/>
      <c r="C376" s="63"/>
      <c r="D376" s="64"/>
      <c r="E376" s="66"/>
      <c r="F376" s="103" t="str">
        <f>HYPERLINK("https://pbs.twimg.com/profile_images/1247511475691958272/nc4hhRpx_normal.jpg")</f>
        <v>https://pbs.twimg.com/profile_images/1247511475691958272/nc4hhRpx_normal.jpg</v>
      </c>
      <c r="G376" s="63"/>
      <c r="H376" s="67"/>
      <c r="I376" s="68"/>
      <c r="J376" s="68"/>
      <c r="K376" s="67" t="s">
        <v>20008</v>
      </c>
      <c r="L376" s="71"/>
      <c r="M376" s="72"/>
      <c r="N376" s="72"/>
      <c r="O376" s="73"/>
      <c r="P376" s="74"/>
      <c r="Q376" s="74"/>
      <c r="R376" s="87"/>
      <c r="S376" s="87"/>
      <c r="T376" s="87"/>
      <c r="U376" s="87"/>
      <c r="V376" s="48"/>
      <c r="W376" s="48"/>
      <c r="X376" s="47">
        <v>1.101E-3</v>
      </c>
      <c r="Y376" s="48"/>
      <c r="Z376" s="47"/>
      <c r="AA376" s="69">
        <v>376</v>
      </c>
      <c r="AB376" s="69"/>
      <c r="AC376" s="70"/>
      <c r="AD376" s="76" t="s">
        <v>17011</v>
      </c>
      <c r="AE376" s="81" t="s">
        <v>16318</v>
      </c>
      <c r="AF376" s="76">
        <v>7</v>
      </c>
      <c r="AG376" s="76">
        <v>9</v>
      </c>
      <c r="AH376" s="76">
        <v>117</v>
      </c>
      <c r="AI376" s="76">
        <v>0</v>
      </c>
      <c r="AJ376" s="76">
        <v>38</v>
      </c>
      <c r="AK376" s="76">
        <v>107</v>
      </c>
      <c r="AL376" s="76" t="b">
        <v>0</v>
      </c>
      <c r="AM376" s="78">
        <v>43928.544502314813</v>
      </c>
      <c r="AN376" s="76" t="s">
        <v>10622</v>
      </c>
      <c r="AO376" s="76" t="s">
        <v>18493</v>
      </c>
      <c r="AP376" s="83" t="str">
        <f>HYPERLINK("https://t.co/ro24sQMBML")</f>
        <v>https://t.co/ro24sQMBML</v>
      </c>
      <c r="AQ376" s="83" t="str">
        <f>HYPERLINK("https://www.b18.com.br/")</f>
        <v>https://www.b18.com.br/</v>
      </c>
      <c r="AR376" s="76" t="s">
        <v>19221</v>
      </c>
      <c r="AS376" s="76"/>
      <c r="AT376" s="76"/>
      <c r="AU376" s="76"/>
      <c r="AV376" s="76"/>
      <c r="AW376" s="83" t="str">
        <f>HYPERLINK("https://t.co/ro24sQMBML")</f>
        <v>https://t.co/ro24sQMBML</v>
      </c>
      <c r="AX376" s="76" t="b">
        <v>0</v>
      </c>
      <c r="AY376" s="76"/>
      <c r="AZ376" s="76"/>
      <c r="BA376" s="76" t="b">
        <v>0</v>
      </c>
      <c r="BB376" s="76" t="b">
        <v>1</v>
      </c>
      <c r="BC376" s="76" t="b">
        <v>1</v>
      </c>
      <c r="BD376" s="76" t="b">
        <v>0</v>
      </c>
      <c r="BE376" s="76" t="b">
        <v>0</v>
      </c>
      <c r="BF376" s="76" t="b">
        <v>0</v>
      </c>
      <c r="BG376" s="76" t="b">
        <v>0</v>
      </c>
      <c r="BH376" s="76"/>
      <c r="BI376" s="76"/>
      <c r="BJ376" s="76" t="s">
        <v>19633</v>
      </c>
      <c r="BK376" s="76" t="b">
        <v>0</v>
      </c>
      <c r="BL376" s="76"/>
      <c r="BM376" s="76" t="s">
        <v>66</v>
      </c>
      <c r="BN376" s="76" t="s">
        <v>19635</v>
      </c>
      <c r="BO376" s="83" t="str">
        <f>HYPERLINK("https://twitter.com/b18editora")</f>
        <v>https://twitter.com/b18editora</v>
      </c>
      <c r="BP376" s="2"/>
    </row>
    <row r="377" spans="1:68" x14ac:dyDescent="0.25">
      <c r="A377" s="62" t="s">
        <v>552</v>
      </c>
      <c r="B377" s="63"/>
      <c r="C377" s="63"/>
      <c r="D377" s="64"/>
      <c r="E377" s="66"/>
      <c r="F377" s="103" t="str">
        <f>HYPERLINK("https://abs.twimg.com/sticky/default_profile_images/default_profile_normal.png")</f>
        <v>https://abs.twimg.com/sticky/default_profile_images/default_profile_normal.png</v>
      </c>
      <c r="G377" s="63"/>
      <c r="H377" s="67"/>
      <c r="I377" s="68"/>
      <c r="J377" s="68"/>
      <c r="K377" s="67" t="s">
        <v>20009</v>
      </c>
      <c r="L377" s="71"/>
      <c r="M377" s="72"/>
      <c r="N377" s="72"/>
      <c r="O377" s="73"/>
      <c r="P377" s="74"/>
      <c r="Q377" s="74"/>
      <c r="R377" s="87"/>
      <c r="S377" s="87"/>
      <c r="T377" s="87"/>
      <c r="U377" s="87"/>
      <c r="V377" s="48"/>
      <c r="W377" s="48"/>
      <c r="X377" s="47">
        <v>9.6900000000000003E-4</v>
      </c>
      <c r="Y377" s="48"/>
      <c r="Z377" s="47"/>
      <c r="AA377" s="69">
        <v>377</v>
      </c>
      <c r="AB377" s="69"/>
      <c r="AC377" s="70"/>
      <c r="AD377" s="76" t="s">
        <v>17012</v>
      </c>
      <c r="AE377" s="81" t="s">
        <v>17663</v>
      </c>
      <c r="AF377" s="76">
        <v>86</v>
      </c>
      <c r="AG377" s="76">
        <v>327</v>
      </c>
      <c r="AH377" s="76">
        <v>6106</v>
      </c>
      <c r="AI377" s="76">
        <v>2</v>
      </c>
      <c r="AJ377" s="76">
        <v>48286</v>
      </c>
      <c r="AK377" s="76">
        <v>23</v>
      </c>
      <c r="AL377" s="76" t="b">
        <v>0</v>
      </c>
      <c r="AM377" s="78">
        <v>40137.479189814818</v>
      </c>
      <c r="AN377" s="76"/>
      <c r="AO377" s="76"/>
      <c r="AP377" s="76"/>
      <c r="AQ377" s="76"/>
      <c r="AR377" s="76"/>
      <c r="AS377" s="76"/>
      <c r="AT377" s="76"/>
      <c r="AU377" s="76"/>
      <c r="AV377" s="76"/>
      <c r="AW377" s="76"/>
      <c r="AX377" s="76" t="b">
        <v>0</v>
      </c>
      <c r="AY377" s="76"/>
      <c r="AZ377" s="76"/>
      <c r="BA377" s="76" t="b">
        <v>0</v>
      </c>
      <c r="BB377" s="76" t="b">
        <v>1</v>
      </c>
      <c r="BC377" s="76" t="b">
        <v>1</v>
      </c>
      <c r="BD377" s="76" t="b">
        <v>1</v>
      </c>
      <c r="BE377" s="76" t="b">
        <v>1</v>
      </c>
      <c r="BF377" s="76" t="b">
        <v>0</v>
      </c>
      <c r="BG377" s="76" t="b">
        <v>0</v>
      </c>
      <c r="BH377" s="76"/>
      <c r="BI377" s="76"/>
      <c r="BJ377" s="76" t="s">
        <v>19633</v>
      </c>
      <c r="BK377" s="76" t="b">
        <v>0</v>
      </c>
      <c r="BL377" s="76"/>
      <c r="BM377" s="76" t="s">
        <v>66</v>
      </c>
      <c r="BN377" s="76" t="s">
        <v>19635</v>
      </c>
      <c r="BO377" s="83" t="str">
        <f>HYPERLINK("https://twitter.com/soutaniacris")</f>
        <v>https://twitter.com/soutaniacris</v>
      </c>
      <c r="BP377" s="2"/>
    </row>
    <row r="378" spans="1:68" x14ac:dyDescent="0.25">
      <c r="A378" s="62" t="s">
        <v>1010</v>
      </c>
      <c r="B378" s="63"/>
      <c r="C378" s="63"/>
      <c r="D378" s="64"/>
      <c r="E378" s="66"/>
      <c r="F378" s="103" t="str">
        <f>HYPERLINK("https://pbs.twimg.com/profile_images/1668797105282985984/UUZWzpjy_normal.jpg")</f>
        <v>https://pbs.twimg.com/profile_images/1668797105282985984/UUZWzpjy_normal.jpg</v>
      </c>
      <c r="G378" s="63"/>
      <c r="H378" s="67"/>
      <c r="I378" s="68"/>
      <c r="J378" s="68"/>
      <c r="K378" s="67" t="s">
        <v>20010</v>
      </c>
      <c r="L378" s="71"/>
      <c r="M378" s="72"/>
      <c r="N378" s="72"/>
      <c r="O378" s="73"/>
      <c r="P378" s="74"/>
      <c r="Q378" s="74"/>
      <c r="R378" s="87"/>
      <c r="S378" s="87"/>
      <c r="T378" s="87"/>
      <c r="U378" s="87"/>
      <c r="V378" s="48"/>
      <c r="W378" s="48"/>
      <c r="X378" s="47">
        <v>1.555E-3</v>
      </c>
      <c r="Y378" s="48"/>
      <c r="Z378" s="47"/>
      <c r="AA378" s="69">
        <v>378</v>
      </c>
      <c r="AB378" s="69"/>
      <c r="AC378" s="70"/>
      <c r="AD378" s="76" t="s">
        <v>17013</v>
      </c>
      <c r="AE378" s="81" t="s">
        <v>16578</v>
      </c>
      <c r="AF378" s="76">
        <v>598436</v>
      </c>
      <c r="AG378" s="76">
        <v>5831</v>
      </c>
      <c r="AH378" s="76">
        <v>46349</v>
      </c>
      <c r="AI378" s="76">
        <v>1046</v>
      </c>
      <c r="AJ378" s="76">
        <v>54261</v>
      </c>
      <c r="AK378" s="76">
        <v>2359</v>
      </c>
      <c r="AL378" s="76" t="b">
        <v>0</v>
      </c>
      <c r="AM378" s="78">
        <v>43013.773645833331</v>
      </c>
      <c r="AN378" s="76"/>
      <c r="AO378" s="76" t="s">
        <v>18494</v>
      </c>
      <c r="AP378" s="83" t="str">
        <f>HYPERLINK("https://t.co/vNiophC3Sb")</f>
        <v>https://t.co/vNiophC3Sb</v>
      </c>
      <c r="AQ378" s="83" t="str">
        <f>HYPERLINK("https://www.nathfinancas.com.br/nathplay/")</f>
        <v>https://www.nathfinancas.com.br/nathplay/</v>
      </c>
      <c r="AR378" s="76" t="s">
        <v>19222</v>
      </c>
      <c r="AS378" s="76"/>
      <c r="AT378" s="76"/>
      <c r="AU378" s="76"/>
      <c r="AV378" s="76">
        <v>1.6709229035110001E+18</v>
      </c>
      <c r="AW378" s="83" t="str">
        <f>HYPERLINK("https://t.co/vNiophC3Sb")</f>
        <v>https://t.co/vNiophC3Sb</v>
      </c>
      <c r="AX378" s="76" t="b">
        <v>1</v>
      </c>
      <c r="AY378" s="76"/>
      <c r="AZ378" s="76"/>
      <c r="BA378" s="76" t="b">
        <v>1</v>
      </c>
      <c r="BB378" s="76" t="b">
        <v>0</v>
      </c>
      <c r="BC378" s="76" t="b">
        <v>1</v>
      </c>
      <c r="BD378" s="76" t="b">
        <v>0</v>
      </c>
      <c r="BE378" s="76" t="b">
        <v>1</v>
      </c>
      <c r="BF378" s="76" t="b">
        <v>0</v>
      </c>
      <c r="BG378" s="76" t="b">
        <v>0</v>
      </c>
      <c r="BH378" s="83" t="str">
        <f>HYPERLINK("https://pbs.twimg.com/profile_banners/916008599205359617/1687455188")</f>
        <v>https://pbs.twimg.com/profile_banners/916008599205359617/1687455188</v>
      </c>
      <c r="BI378" s="76"/>
      <c r="BJ378" s="76" t="s">
        <v>19633</v>
      </c>
      <c r="BK378" s="76" t="b">
        <v>0</v>
      </c>
      <c r="BL378" s="76"/>
      <c r="BM378" s="76" t="s">
        <v>66</v>
      </c>
      <c r="BN378" s="76" t="s">
        <v>19635</v>
      </c>
      <c r="BO378" s="83" t="str">
        <f>HYPERLINK("https://twitter.com/nathfinancas")</f>
        <v>https://twitter.com/nathfinancas</v>
      </c>
      <c r="BP378" s="2"/>
    </row>
    <row r="379" spans="1:68" x14ac:dyDescent="0.25">
      <c r="A379" s="62" t="s">
        <v>553</v>
      </c>
      <c r="B379" s="63"/>
      <c r="C379" s="63"/>
      <c r="D379" s="64"/>
      <c r="E379" s="66"/>
      <c r="F379" s="103" t="str">
        <f>HYPERLINK("https://pbs.twimg.com/profile_images/1662255358281232384/VCpgqGrM_normal.jpg")</f>
        <v>https://pbs.twimg.com/profile_images/1662255358281232384/VCpgqGrM_normal.jpg</v>
      </c>
      <c r="G379" s="63"/>
      <c r="H379" s="67"/>
      <c r="I379" s="68"/>
      <c r="J379" s="68"/>
      <c r="K379" s="67" t="s">
        <v>20011</v>
      </c>
      <c r="L379" s="71"/>
      <c r="M379" s="72"/>
      <c r="N379" s="72"/>
      <c r="O379" s="73"/>
      <c r="P379" s="74"/>
      <c r="Q379" s="74"/>
      <c r="R379" s="87"/>
      <c r="S379" s="87"/>
      <c r="T379" s="87"/>
      <c r="U379" s="87"/>
      <c r="V379" s="48"/>
      <c r="W379" s="48"/>
      <c r="X379" s="47">
        <v>1.101E-3</v>
      </c>
      <c r="Y379" s="48"/>
      <c r="Z379" s="47"/>
      <c r="AA379" s="69">
        <v>379</v>
      </c>
      <c r="AB379" s="69"/>
      <c r="AC379" s="70"/>
      <c r="AD379" s="76" t="s">
        <v>17014</v>
      </c>
      <c r="AE379" s="81" t="s">
        <v>16319</v>
      </c>
      <c r="AF379" s="76">
        <v>2</v>
      </c>
      <c r="AG379" s="76">
        <v>0</v>
      </c>
      <c r="AH379" s="76">
        <v>160</v>
      </c>
      <c r="AI379" s="76">
        <v>0</v>
      </c>
      <c r="AJ379" s="76">
        <v>0</v>
      </c>
      <c r="AK379" s="76">
        <v>0</v>
      </c>
      <c r="AL379" s="76" t="b">
        <v>0</v>
      </c>
      <c r="AM379" s="78">
        <v>45073.022210648145</v>
      </c>
      <c r="AN379" s="76"/>
      <c r="AO379" s="76" t="s">
        <v>18495</v>
      </c>
      <c r="AP379" s="83" t="str">
        <f>HYPERLINK("https://t.co/lH4DuljcOx")</f>
        <v>https://t.co/lH4DuljcOx</v>
      </c>
      <c r="AQ379" s="83" t="str">
        <f>HYPERLINK("https://invistafinancas.com.br/")</f>
        <v>https://invistafinancas.com.br/</v>
      </c>
      <c r="AR379" s="76" t="s">
        <v>19223</v>
      </c>
      <c r="AS379" s="76" t="s">
        <v>19560</v>
      </c>
      <c r="AT379" s="76" t="s">
        <v>19568</v>
      </c>
      <c r="AU379" s="76" t="s">
        <v>19604</v>
      </c>
      <c r="AV379" s="76"/>
      <c r="AW379" s="83" t="str">
        <f>HYPERLINK("https://t.co/lH4DuljcOx")</f>
        <v>https://t.co/lH4DuljcOx</v>
      </c>
      <c r="AX379" s="76" t="b">
        <v>0</v>
      </c>
      <c r="AY379" s="76"/>
      <c r="AZ379" s="76"/>
      <c r="BA379" s="76" t="b">
        <v>0</v>
      </c>
      <c r="BB379" s="76" t="b">
        <v>1</v>
      </c>
      <c r="BC379" s="76" t="b">
        <v>1</v>
      </c>
      <c r="BD379" s="76" t="b">
        <v>0</v>
      </c>
      <c r="BE379" s="76" t="b">
        <v>0</v>
      </c>
      <c r="BF379" s="76" t="b">
        <v>0</v>
      </c>
      <c r="BG379" s="76" t="b">
        <v>0</v>
      </c>
      <c r="BH379" s="83" t="str">
        <f>HYPERLINK("https://pbs.twimg.com/profile_banners/1662255263951343617/1685147688")</f>
        <v>https://pbs.twimg.com/profile_banners/1662255263951343617/1685147688</v>
      </c>
      <c r="BI379" s="76"/>
      <c r="BJ379" s="76" t="s">
        <v>19633</v>
      </c>
      <c r="BK379" s="76" t="b">
        <v>0</v>
      </c>
      <c r="BL379" s="76"/>
      <c r="BM379" s="76" t="s">
        <v>66</v>
      </c>
      <c r="BN379" s="76" t="s">
        <v>19635</v>
      </c>
      <c r="BO379" s="83" t="str">
        <f>HYPERLINK("https://twitter.com/invistafinancas")</f>
        <v>https://twitter.com/invistafinancas</v>
      </c>
      <c r="BP379" s="2"/>
    </row>
    <row r="380" spans="1:68" x14ac:dyDescent="0.25">
      <c r="A380" s="62" t="s">
        <v>554</v>
      </c>
      <c r="B380" s="63"/>
      <c r="C380" s="63"/>
      <c r="D380" s="64"/>
      <c r="E380" s="66"/>
      <c r="F380" s="103" t="str">
        <f>HYPERLINK("https://pbs.twimg.com/profile_images/1566946914947440641/XlYRdsCc_normal.jpg")</f>
        <v>https://pbs.twimg.com/profile_images/1566946914947440641/XlYRdsCc_normal.jpg</v>
      </c>
      <c r="G380" s="63"/>
      <c r="H380" s="67"/>
      <c r="I380" s="68"/>
      <c r="J380" s="68"/>
      <c r="K380" s="67" t="s">
        <v>20012</v>
      </c>
      <c r="L380" s="71"/>
      <c r="M380" s="72"/>
      <c r="N380" s="72"/>
      <c r="O380" s="73"/>
      <c r="P380" s="74"/>
      <c r="Q380" s="74"/>
      <c r="R380" s="87"/>
      <c r="S380" s="87"/>
      <c r="T380" s="87"/>
      <c r="U380" s="87"/>
      <c r="V380" s="48"/>
      <c r="W380" s="48"/>
      <c r="X380" s="47">
        <v>1.101E-3</v>
      </c>
      <c r="Y380" s="48"/>
      <c r="Z380" s="47"/>
      <c r="AA380" s="69">
        <v>380</v>
      </c>
      <c r="AB380" s="69"/>
      <c r="AC380" s="70"/>
      <c r="AD380" s="76" t="s">
        <v>17015</v>
      </c>
      <c r="AE380" s="81" t="s">
        <v>16320</v>
      </c>
      <c r="AF380" s="76">
        <v>91</v>
      </c>
      <c r="AG380" s="76">
        <v>314</v>
      </c>
      <c r="AH380" s="76">
        <v>5982</v>
      </c>
      <c r="AI380" s="76">
        <v>0</v>
      </c>
      <c r="AJ380" s="76">
        <v>7317</v>
      </c>
      <c r="AK380" s="76">
        <v>1009</v>
      </c>
      <c r="AL380" s="76" t="b">
        <v>0</v>
      </c>
      <c r="AM380" s="78">
        <v>44158.75509259259</v>
      </c>
      <c r="AN380" s="76" t="s">
        <v>10561</v>
      </c>
      <c r="AO380" s="76" t="s">
        <v>18496</v>
      </c>
      <c r="AP380" s="76"/>
      <c r="AQ380" s="76"/>
      <c r="AR380" s="76"/>
      <c r="AS380" s="76"/>
      <c r="AT380" s="76"/>
      <c r="AU380" s="76"/>
      <c r="AV380" s="76">
        <v>1.496834148992E+18</v>
      </c>
      <c r="AW380" s="76"/>
      <c r="AX380" s="76" t="b">
        <v>0</v>
      </c>
      <c r="AY380" s="76"/>
      <c r="AZ380" s="76"/>
      <c r="BA380" s="76" t="b">
        <v>0</v>
      </c>
      <c r="BB380" s="76" t="b">
        <v>0</v>
      </c>
      <c r="BC380" s="76" t="b">
        <v>1</v>
      </c>
      <c r="BD380" s="76" t="b">
        <v>0</v>
      </c>
      <c r="BE380" s="76" t="b">
        <v>1</v>
      </c>
      <c r="BF380" s="76" t="b">
        <v>0</v>
      </c>
      <c r="BG380" s="76" t="b">
        <v>0</v>
      </c>
      <c r="BH380" s="83" t="str">
        <f>HYPERLINK("https://pbs.twimg.com/profile_banners/1330935953574273025/1639872771")</f>
        <v>https://pbs.twimg.com/profile_banners/1330935953574273025/1639872771</v>
      </c>
      <c r="BI380" s="76"/>
      <c r="BJ380" s="76" t="s">
        <v>19633</v>
      </c>
      <c r="BK380" s="76" t="b">
        <v>0</v>
      </c>
      <c r="BL380" s="76"/>
      <c r="BM380" s="76" t="s">
        <v>66</v>
      </c>
      <c r="BN380" s="76" t="s">
        <v>19635</v>
      </c>
      <c r="BO380" s="83" t="str">
        <f>HYPERLINK("https://twitter.com/judiasdemim")</f>
        <v>https://twitter.com/judiasdemim</v>
      </c>
      <c r="BP380" s="2"/>
    </row>
    <row r="381" spans="1:68" x14ac:dyDescent="0.25">
      <c r="A381" s="62" t="s">
        <v>1082</v>
      </c>
      <c r="B381" s="63"/>
      <c r="C381" s="63"/>
      <c r="D381" s="64"/>
      <c r="E381" s="66"/>
      <c r="F381" s="103" t="str">
        <f>HYPERLINK("https://pbs.twimg.com/profile_images/1642951636879286275/X4Gzwroc_normal.jpg")</f>
        <v>https://pbs.twimg.com/profile_images/1642951636879286275/X4Gzwroc_normal.jpg</v>
      </c>
      <c r="G381" s="63"/>
      <c r="H381" s="67"/>
      <c r="I381" s="68"/>
      <c r="J381" s="68"/>
      <c r="K381" s="67" t="s">
        <v>20013</v>
      </c>
      <c r="L381" s="71"/>
      <c r="M381" s="72"/>
      <c r="N381" s="72"/>
      <c r="O381" s="73"/>
      <c r="P381" s="74"/>
      <c r="Q381" s="74"/>
      <c r="R381" s="87"/>
      <c r="S381" s="87"/>
      <c r="T381" s="87"/>
      <c r="U381" s="87"/>
      <c r="V381" s="48"/>
      <c r="W381" s="48"/>
      <c r="X381" s="47">
        <v>1.101E-3</v>
      </c>
      <c r="Y381" s="48"/>
      <c r="Z381" s="47"/>
      <c r="AA381" s="69">
        <v>381</v>
      </c>
      <c r="AB381" s="69"/>
      <c r="AC381" s="70"/>
      <c r="AD381" s="76" t="s">
        <v>17016</v>
      </c>
      <c r="AE381" s="81" t="s">
        <v>15730</v>
      </c>
      <c r="AF381" s="76">
        <v>674</v>
      </c>
      <c r="AG381" s="76">
        <v>1035</v>
      </c>
      <c r="AH381" s="76">
        <v>66612</v>
      </c>
      <c r="AI381" s="76">
        <v>1</v>
      </c>
      <c r="AJ381" s="76">
        <v>60579</v>
      </c>
      <c r="AK381" s="76">
        <v>11744</v>
      </c>
      <c r="AL381" s="76" t="b">
        <v>0</v>
      </c>
      <c r="AM381" s="78">
        <v>40402.032094907408</v>
      </c>
      <c r="AN381" s="76"/>
      <c r="AO381" s="76" t="s">
        <v>18497</v>
      </c>
      <c r="AP381" s="76"/>
      <c r="AQ381" s="76"/>
      <c r="AR381" s="76"/>
      <c r="AS381" s="76"/>
      <c r="AT381" s="76"/>
      <c r="AU381" s="76"/>
      <c r="AV381" s="76">
        <v>1.28282351033581E+18</v>
      </c>
      <c r="AW381" s="76"/>
      <c r="AX381" s="76" t="b">
        <v>0</v>
      </c>
      <c r="AY381" s="76"/>
      <c r="AZ381" s="76"/>
      <c r="BA381" s="76" t="b">
        <v>1</v>
      </c>
      <c r="BB381" s="76" t="b">
        <v>0</v>
      </c>
      <c r="BC381" s="76" t="b">
        <v>0</v>
      </c>
      <c r="BD381" s="76" t="b">
        <v>0</v>
      </c>
      <c r="BE381" s="76" t="b">
        <v>1</v>
      </c>
      <c r="BF381" s="76" t="b">
        <v>0</v>
      </c>
      <c r="BG381" s="76" t="b">
        <v>0</v>
      </c>
      <c r="BH381" s="83" t="str">
        <f>HYPERLINK("https://pbs.twimg.com/profile_banners/177389220/1694564481")</f>
        <v>https://pbs.twimg.com/profile_banners/177389220/1694564481</v>
      </c>
      <c r="BI381" s="76"/>
      <c r="BJ381" s="76" t="s">
        <v>19634</v>
      </c>
      <c r="BK381" s="76" t="b">
        <v>0</v>
      </c>
      <c r="BL381" s="76"/>
      <c r="BM381" s="76" t="s">
        <v>65</v>
      </c>
      <c r="BN381" s="76" t="s">
        <v>19635</v>
      </c>
      <c r="BO381" s="83" t="str">
        <f>HYPERLINK("https://twitter.com/petayres")</f>
        <v>https://twitter.com/petayres</v>
      </c>
      <c r="BP381" s="2"/>
    </row>
    <row r="382" spans="1:68" x14ac:dyDescent="0.25">
      <c r="A382" s="62" t="s">
        <v>555</v>
      </c>
      <c r="B382" s="63"/>
      <c r="C382" s="63"/>
      <c r="D382" s="64"/>
      <c r="E382" s="66"/>
      <c r="F382" s="103" t="str">
        <f>HYPERLINK("https://pbs.twimg.com/profile_images/1427967112581156872/xmgk5cd7_normal.jpg")</f>
        <v>https://pbs.twimg.com/profile_images/1427967112581156872/xmgk5cd7_normal.jpg</v>
      </c>
      <c r="G382" s="63"/>
      <c r="H382" s="67"/>
      <c r="I382" s="68"/>
      <c r="J382" s="68"/>
      <c r="K382" s="67" t="s">
        <v>20014</v>
      </c>
      <c r="L382" s="71"/>
      <c r="M382" s="72"/>
      <c r="N382" s="72"/>
      <c r="O382" s="73"/>
      <c r="P382" s="74"/>
      <c r="Q382" s="74"/>
      <c r="R382" s="87"/>
      <c r="S382" s="87"/>
      <c r="T382" s="87"/>
      <c r="U382" s="87"/>
      <c r="V382" s="48"/>
      <c r="W382" s="48"/>
      <c r="X382" s="47">
        <v>1.101E-3</v>
      </c>
      <c r="Y382" s="48"/>
      <c r="Z382" s="47"/>
      <c r="AA382" s="69">
        <v>382</v>
      </c>
      <c r="AB382" s="69"/>
      <c r="AC382" s="70"/>
      <c r="AD382" s="76" t="s">
        <v>17017</v>
      </c>
      <c r="AE382" s="81" t="s">
        <v>16321</v>
      </c>
      <c r="AF382" s="76">
        <v>20</v>
      </c>
      <c r="AG382" s="76">
        <v>87</v>
      </c>
      <c r="AH382" s="76">
        <v>659</v>
      </c>
      <c r="AI382" s="76">
        <v>0</v>
      </c>
      <c r="AJ382" s="76">
        <v>29</v>
      </c>
      <c r="AK382" s="76">
        <v>659</v>
      </c>
      <c r="AL382" s="76" t="b">
        <v>0</v>
      </c>
      <c r="AM382" s="78">
        <v>43838.056145833332</v>
      </c>
      <c r="AN382" s="76"/>
      <c r="AO382" s="76"/>
      <c r="AP382" s="76"/>
      <c r="AQ382" s="76"/>
      <c r="AR382" s="76"/>
      <c r="AS382" s="76"/>
      <c r="AT382" s="76"/>
      <c r="AU382" s="76"/>
      <c r="AV382" s="76"/>
      <c r="AW382" s="76"/>
      <c r="AX382" s="76" t="b">
        <v>0</v>
      </c>
      <c r="AY382" s="76"/>
      <c r="AZ382" s="76"/>
      <c r="BA382" s="76" t="b">
        <v>0</v>
      </c>
      <c r="BB382" s="76" t="b">
        <v>0</v>
      </c>
      <c r="BC382" s="76" t="b">
        <v>1</v>
      </c>
      <c r="BD382" s="76" t="b">
        <v>0</v>
      </c>
      <c r="BE382" s="76" t="b">
        <v>0</v>
      </c>
      <c r="BF382" s="76" t="b">
        <v>0</v>
      </c>
      <c r="BG382" s="76" t="b">
        <v>0</v>
      </c>
      <c r="BH382" s="83" t="str">
        <f>HYPERLINK("https://pbs.twimg.com/profile_banners/1214718510116560896/1578447033")</f>
        <v>https://pbs.twimg.com/profile_banners/1214718510116560896/1578447033</v>
      </c>
      <c r="BI382" s="76"/>
      <c r="BJ382" s="76" t="s">
        <v>19633</v>
      </c>
      <c r="BK382" s="76" t="b">
        <v>0</v>
      </c>
      <c r="BL382" s="76"/>
      <c r="BM382" s="76" t="s">
        <v>66</v>
      </c>
      <c r="BN382" s="76" t="s">
        <v>19635</v>
      </c>
      <c r="BO382" s="83" t="str">
        <f>HYPERLINK("https://twitter.com/focuscontabili2")</f>
        <v>https://twitter.com/focuscontabili2</v>
      </c>
      <c r="BP382" s="2"/>
    </row>
    <row r="383" spans="1:68" x14ac:dyDescent="0.25">
      <c r="A383" s="62" t="s">
        <v>556</v>
      </c>
      <c r="B383" s="63"/>
      <c r="C383" s="63"/>
      <c r="D383" s="64"/>
      <c r="E383" s="66"/>
      <c r="F383" s="103" t="str">
        <f>HYPERLINK("https://pbs.twimg.com/profile_images/1669525332594917378/m_gDjB0i_normal.jpg")</f>
        <v>https://pbs.twimg.com/profile_images/1669525332594917378/m_gDjB0i_normal.jpg</v>
      </c>
      <c r="G383" s="63"/>
      <c r="H383" s="67"/>
      <c r="I383" s="68"/>
      <c r="J383" s="68"/>
      <c r="K383" s="67" t="s">
        <v>20015</v>
      </c>
      <c r="L383" s="71"/>
      <c r="M383" s="72"/>
      <c r="N383" s="72"/>
      <c r="O383" s="73"/>
      <c r="P383" s="74"/>
      <c r="Q383" s="74"/>
      <c r="R383" s="87"/>
      <c r="S383" s="87"/>
      <c r="T383" s="87"/>
      <c r="U383" s="87"/>
      <c r="V383" s="48"/>
      <c r="W383" s="48"/>
      <c r="X383" s="47">
        <v>1.101E-3</v>
      </c>
      <c r="Y383" s="48"/>
      <c r="Z383" s="47"/>
      <c r="AA383" s="69">
        <v>383</v>
      </c>
      <c r="AB383" s="69"/>
      <c r="AC383" s="70"/>
      <c r="AD383" s="76" t="s">
        <v>17018</v>
      </c>
      <c r="AE383" s="81" t="s">
        <v>16322</v>
      </c>
      <c r="AF383" s="76">
        <v>47</v>
      </c>
      <c r="AG383" s="76">
        <v>25</v>
      </c>
      <c r="AH383" s="76">
        <v>1376</v>
      </c>
      <c r="AI383" s="76">
        <v>1</v>
      </c>
      <c r="AJ383" s="76">
        <v>31</v>
      </c>
      <c r="AK383" s="76">
        <v>1256</v>
      </c>
      <c r="AL383" s="76" t="b">
        <v>0</v>
      </c>
      <c r="AM383" s="78">
        <v>44683.991469907407</v>
      </c>
      <c r="AN383" s="76"/>
      <c r="AO383" s="76" t="s">
        <v>18498</v>
      </c>
      <c r="AP383" s="76"/>
      <c r="AQ383" s="76"/>
      <c r="AR383" s="76"/>
      <c r="AS383" s="76"/>
      <c r="AT383" s="76"/>
      <c r="AU383" s="76"/>
      <c r="AV383" s="76">
        <v>1.70199469882542E+18</v>
      </c>
      <c r="AW383" s="76"/>
      <c r="AX383" s="76" t="b">
        <v>0</v>
      </c>
      <c r="AY383" s="76"/>
      <c r="AZ383" s="76"/>
      <c r="BA383" s="76" t="b">
        <v>0</v>
      </c>
      <c r="BB383" s="76" t="b">
        <v>1</v>
      </c>
      <c r="BC383" s="76" t="b">
        <v>1</v>
      </c>
      <c r="BD383" s="76" t="b">
        <v>0</v>
      </c>
      <c r="BE383" s="76" t="b">
        <v>1</v>
      </c>
      <c r="BF383" s="76" t="b">
        <v>0</v>
      </c>
      <c r="BG383" s="76" t="b">
        <v>0</v>
      </c>
      <c r="BH383" s="83" t="str">
        <f>HYPERLINK("https://pbs.twimg.com/profile_banners/1521275109075525633/1686880811")</f>
        <v>https://pbs.twimg.com/profile_banners/1521275109075525633/1686880811</v>
      </c>
      <c r="BI383" s="76"/>
      <c r="BJ383" s="76" t="s">
        <v>19633</v>
      </c>
      <c r="BK383" s="76" t="b">
        <v>0</v>
      </c>
      <c r="BL383" s="76"/>
      <c r="BM383" s="76" t="s">
        <v>66</v>
      </c>
      <c r="BN383" s="76" t="s">
        <v>19635</v>
      </c>
      <c r="BO383" s="83" t="str">
        <f>HYPERLINK("https://twitter.com/facolommoney")</f>
        <v>https://twitter.com/facolommoney</v>
      </c>
      <c r="BP383" s="2"/>
    </row>
    <row r="384" spans="1:68" x14ac:dyDescent="0.25">
      <c r="A384" s="62" t="s">
        <v>557</v>
      </c>
      <c r="B384" s="63"/>
      <c r="C384" s="63"/>
      <c r="D384" s="64"/>
      <c r="E384" s="66"/>
      <c r="F384" s="103" t="str">
        <f>HYPERLINK("https://pbs.twimg.com/profile_images/1545368325756174336/8ZqJ-6pQ_normal.jpg")</f>
        <v>https://pbs.twimg.com/profile_images/1545368325756174336/8ZqJ-6pQ_normal.jpg</v>
      </c>
      <c r="G384" s="63"/>
      <c r="H384" s="67"/>
      <c r="I384" s="68"/>
      <c r="J384" s="68"/>
      <c r="K384" s="67" t="s">
        <v>20016</v>
      </c>
      <c r="L384" s="71"/>
      <c r="M384" s="72"/>
      <c r="N384" s="72"/>
      <c r="O384" s="73"/>
      <c r="P384" s="74"/>
      <c r="Q384" s="74"/>
      <c r="R384" s="87"/>
      <c r="S384" s="87"/>
      <c r="T384" s="87"/>
      <c r="U384" s="87"/>
      <c r="V384" s="48"/>
      <c r="W384" s="48"/>
      <c r="X384" s="47">
        <v>1.101E-3</v>
      </c>
      <c r="Y384" s="48"/>
      <c r="Z384" s="47"/>
      <c r="AA384" s="69">
        <v>384</v>
      </c>
      <c r="AB384" s="69"/>
      <c r="AC384" s="70"/>
      <c r="AD384" s="76" t="s">
        <v>17019</v>
      </c>
      <c r="AE384" s="81" t="s">
        <v>17664</v>
      </c>
      <c r="AF384" s="76">
        <v>1242</v>
      </c>
      <c r="AG384" s="76">
        <v>161</v>
      </c>
      <c r="AH384" s="76">
        <v>6129</v>
      </c>
      <c r="AI384" s="76">
        <v>23</v>
      </c>
      <c r="AJ384" s="76">
        <v>13</v>
      </c>
      <c r="AK384" s="76">
        <v>499</v>
      </c>
      <c r="AL384" s="76" t="b">
        <v>0</v>
      </c>
      <c r="AM384" s="78">
        <v>40233.819965277777</v>
      </c>
      <c r="AN384" s="76" t="s">
        <v>17994</v>
      </c>
      <c r="AO384" s="76" t="s">
        <v>18499</v>
      </c>
      <c r="AP384" s="83" t="str">
        <f>HYPERLINK("https://t.co/DUj32qE3Vw")</f>
        <v>https://t.co/DUj32qE3Vw</v>
      </c>
      <c r="AQ384" s="83" t="str">
        <f>HYPERLINK("http://www.craes.org.br")</f>
        <v>http://www.craes.org.br</v>
      </c>
      <c r="AR384" s="76" t="s">
        <v>19224</v>
      </c>
      <c r="AS384" s="76"/>
      <c r="AT384" s="76"/>
      <c r="AU384" s="76"/>
      <c r="AV384" s="76">
        <v>1.6647986017746099E+18</v>
      </c>
      <c r="AW384" s="83" t="str">
        <f>HYPERLINK("https://t.co/DUj32qE3Vw")</f>
        <v>https://t.co/DUj32qE3Vw</v>
      </c>
      <c r="AX384" s="76" t="b">
        <v>0</v>
      </c>
      <c r="AY384" s="76"/>
      <c r="AZ384" s="76"/>
      <c r="BA384" s="76" t="b">
        <v>0</v>
      </c>
      <c r="BB384" s="76" t="b">
        <v>1</v>
      </c>
      <c r="BC384" s="76" t="b">
        <v>0</v>
      </c>
      <c r="BD384" s="76" t="b">
        <v>0</v>
      </c>
      <c r="BE384" s="76" t="b">
        <v>0</v>
      </c>
      <c r="BF384" s="76" t="b">
        <v>0</v>
      </c>
      <c r="BG384" s="76" t="b">
        <v>0</v>
      </c>
      <c r="BH384" s="83" t="str">
        <f>HYPERLINK("https://pbs.twimg.com/profile_banners/117174657/1657279430")</f>
        <v>https://pbs.twimg.com/profile_banners/117174657/1657279430</v>
      </c>
      <c r="BI384" s="76"/>
      <c r="BJ384" s="76" t="s">
        <v>19633</v>
      </c>
      <c r="BK384" s="76" t="b">
        <v>0</v>
      </c>
      <c r="BL384" s="76"/>
      <c r="BM384" s="76" t="s">
        <v>66</v>
      </c>
      <c r="BN384" s="76" t="s">
        <v>19635</v>
      </c>
      <c r="BO384" s="83" t="str">
        <f>HYPERLINK("https://twitter.com/cra_es")</f>
        <v>https://twitter.com/cra_es</v>
      </c>
      <c r="BP384" s="2"/>
    </row>
    <row r="385" spans="1:68" x14ac:dyDescent="0.25">
      <c r="A385" s="62" t="s">
        <v>558</v>
      </c>
      <c r="B385" s="63"/>
      <c r="C385" s="63"/>
      <c r="D385" s="64"/>
      <c r="E385" s="66"/>
      <c r="F385" s="103" t="str">
        <f>HYPERLINK("https://pbs.twimg.com/profile_images/1590431716413431809/HDCIqpkL_normal.png")</f>
        <v>https://pbs.twimg.com/profile_images/1590431716413431809/HDCIqpkL_normal.png</v>
      </c>
      <c r="G385" s="63"/>
      <c r="H385" s="67"/>
      <c r="I385" s="68"/>
      <c r="J385" s="68"/>
      <c r="K385" s="67" t="s">
        <v>20017</v>
      </c>
      <c r="L385" s="71"/>
      <c r="M385" s="72"/>
      <c r="N385" s="72"/>
      <c r="O385" s="73"/>
      <c r="P385" s="74"/>
      <c r="Q385" s="74"/>
      <c r="R385" s="87"/>
      <c r="S385" s="87"/>
      <c r="T385" s="87"/>
      <c r="U385" s="87"/>
      <c r="V385" s="48"/>
      <c r="W385" s="48"/>
      <c r="X385" s="47">
        <v>1.101E-3</v>
      </c>
      <c r="Y385" s="48"/>
      <c r="Z385" s="47"/>
      <c r="AA385" s="69">
        <v>385</v>
      </c>
      <c r="AB385" s="69"/>
      <c r="AC385" s="70"/>
      <c r="AD385" s="76" t="s">
        <v>17020</v>
      </c>
      <c r="AE385" s="81" t="s">
        <v>16323</v>
      </c>
      <c r="AF385" s="76">
        <v>4</v>
      </c>
      <c r="AG385" s="76">
        <v>55</v>
      </c>
      <c r="AH385" s="76">
        <v>76</v>
      </c>
      <c r="AI385" s="76">
        <v>1</v>
      </c>
      <c r="AJ385" s="76">
        <v>62</v>
      </c>
      <c r="AK385" s="76">
        <v>10</v>
      </c>
      <c r="AL385" s="76" t="b">
        <v>0</v>
      </c>
      <c r="AM385" s="78">
        <v>44874.826898148145</v>
      </c>
      <c r="AN385" s="76" t="s">
        <v>10573</v>
      </c>
      <c r="AO385" s="76" t="s">
        <v>18500</v>
      </c>
      <c r="AP385" s="76"/>
      <c r="AQ385" s="76"/>
      <c r="AR385" s="76"/>
      <c r="AS385" s="76"/>
      <c r="AT385" s="76"/>
      <c r="AU385" s="76"/>
      <c r="AV385" s="76"/>
      <c r="AW385" s="76"/>
      <c r="AX385" s="76" t="b">
        <v>0</v>
      </c>
      <c r="AY385" s="76"/>
      <c r="AZ385" s="76"/>
      <c r="BA385" s="76" t="b">
        <v>0</v>
      </c>
      <c r="BB385" s="76" t="b">
        <v>1</v>
      </c>
      <c r="BC385" s="76" t="b">
        <v>1</v>
      </c>
      <c r="BD385" s="76" t="b">
        <v>0</v>
      </c>
      <c r="BE385" s="76" t="b">
        <v>1</v>
      </c>
      <c r="BF385" s="76" t="b">
        <v>0</v>
      </c>
      <c r="BG385" s="76" t="b">
        <v>0</v>
      </c>
      <c r="BH385" s="83" t="str">
        <f>HYPERLINK("https://pbs.twimg.com/profile_banners/1590431370421100546/1676298553")</f>
        <v>https://pbs.twimg.com/profile_banners/1590431370421100546/1676298553</v>
      </c>
      <c r="BI385" s="76"/>
      <c r="BJ385" s="76" t="s">
        <v>19633</v>
      </c>
      <c r="BK385" s="76" t="b">
        <v>0</v>
      </c>
      <c r="BL385" s="76"/>
      <c r="BM385" s="76" t="s">
        <v>66</v>
      </c>
      <c r="BN385" s="76" t="s">
        <v>19635</v>
      </c>
      <c r="BO385" s="83" t="str">
        <f>HYPERLINK("https://twitter.com/ronysampaioadm")</f>
        <v>https://twitter.com/ronysampaioadm</v>
      </c>
      <c r="BP385" s="2"/>
    </row>
    <row r="386" spans="1:68" x14ac:dyDescent="0.25">
      <c r="A386" s="62" t="s">
        <v>559</v>
      </c>
      <c r="B386" s="63"/>
      <c r="C386" s="63"/>
      <c r="D386" s="64"/>
      <c r="E386" s="66"/>
      <c r="F386" s="103" t="str">
        <f>HYPERLINK("https://pbs.twimg.com/profile_images/1590534754687979522/2pF0QOEz_normal.jpg")</f>
        <v>https://pbs.twimg.com/profile_images/1590534754687979522/2pF0QOEz_normal.jpg</v>
      </c>
      <c r="G386" s="63"/>
      <c r="H386" s="67"/>
      <c r="I386" s="68"/>
      <c r="J386" s="68"/>
      <c r="K386" s="67" t="s">
        <v>20018</v>
      </c>
      <c r="L386" s="71"/>
      <c r="M386" s="72"/>
      <c r="N386" s="72"/>
      <c r="O386" s="73"/>
      <c r="P386" s="74"/>
      <c r="Q386" s="74"/>
      <c r="R386" s="87"/>
      <c r="S386" s="87"/>
      <c r="T386" s="87"/>
      <c r="U386" s="87"/>
      <c r="V386" s="48"/>
      <c r="W386" s="48"/>
      <c r="X386" s="47">
        <v>1.101E-3</v>
      </c>
      <c r="Y386" s="48"/>
      <c r="Z386" s="47"/>
      <c r="AA386" s="69">
        <v>386</v>
      </c>
      <c r="AB386" s="69"/>
      <c r="AC386" s="70"/>
      <c r="AD386" s="76" t="s">
        <v>17021</v>
      </c>
      <c r="AE386" s="81" t="s">
        <v>17665</v>
      </c>
      <c r="AF386" s="76">
        <v>1400</v>
      </c>
      <c r="AG386" s="76">
        <v>1490</v>
      </c>
      <c r="AH386" s="76">
        <v>31986</v>
      </c>
      <c r="AI386" s="76">
        <v>0</v>
      </c>
      <c r="AJ386" s="76">
        <v>18604</v>
      </c>
      <c r="AK386" s="76">
        <v>824</v>
      </c>
      <c r="AL386" s="76" t="b">
        <v>0</v>
      </c>
      <c r="AM386" s="78">
        <v>40581.941747685189</v>
      </c>
      <c r="AN386" s="76" t="s">
        <v>17995</v>
      </c>
      <c r="AO386" s="76" t="s">
        <v>18501</v>
      </c>
      <c r="AP386" s="76"/>
      <c r="AQ386" s="76"/>
      <c r="AR386" s="76"/>
      <c r="AS386" s="76"/>
      <c r="AT386" s="76"/>
      <c r="AU386" s="76"/>
      <c r="AV386" s="76">
        <v>1.57838032477773E+18</v>
      </c>
      <c r="AW386" s="76"/>
      <c r="AX386" s="76" t="b">
        <v>0</v>
      </c>
      <c r="AY386" s="76"/>
      <c r="AZ386" s="76"/>
      <c r="BA386" s="76" t="b">
        <v>0</v>
      </c>
      <c r="BB386" s="76" t="b">
        <v>1</v>
      </c>
      <c r="BC386" s="76" t="b">
        <v>1</v>
      </c>
      <c r="BD386" s="76" t="b">
        <v>0</v>
      </c>
      <c r="BE386" s="76" t="b">
        <v>1</v>
      </c>
      <c r="BF386" s="76" t="b">
        <v>0</v>
      </c>
      <c r="BG386" s="76" t="b">
        <v>0</v>
      </c>
      <c r="BH386" s="83" t="str">
        <f>HYPERLINK("https://pbs.twimg.com/profile_banners/248880596/1668048009")</f>
        <v>https://pbs.twimg.com/profile_banners/248880596/1668048009</v>
      </c>
      <c r="BI386" s="76"/>
      <c r="BJ386" s="76" t="s">
        <v>19633</v>
      </c>
      <c r="BK386" s="76" t="b">
        <v>0</v>
      </c>
      <c r="BL386" s="76"/>
      <c r="BM386" s="76" t="s">
        <v>66</v>
      </c>
      <c r="BN386" s="76" t="s">
        <v>19635</v>
      </c>
      <c r="BO386" s="83" t="str">
        <f>HYPERLINK("https://twitter.com/messiasdahora")</f>
        <v>https://twitter.com/messiasdahora</v>
      </c>
      <c r="BP386" s="2"/>
    </row>
    <row r="387" spans="1:68" x14ac:dyDescent="0.25">
      <c r="A387" s="62" t="s">
        <v>560</v>
      </c>
      <c r="B387" s="63"/>
      <c r="C387" s="63"/>
      <c r="D387" s="64"/>
      <c r="E387" s="66"/>
      <c r="F387" s="103" t="str">
        <f>HYPERLINK("https://pbs.twimg.com/profile_images/1608911372997332993/Fp8SWGaD_normal.jpg")</f>
        <v>https://pbs.twimg.com/profile_images/1608911372997332993/Fp8SWGaD_normal.jpg</v>
      </c>
      <c r="G387" s="63"/>
      <c r="H387" s="67"/>
      <c r="I387" s="68"/>
      <c r="J387" s="68"/>
      <c r="K387" s="67" t="s">
        <v>20019</v>
      </c>
      <c r="L387" s="71"/>
      <c r="M387" s="72"/>
      <c r="N387" s="72"/>
      <c r="O387" s="73"/>
      <c r="P387" s="74"/>
      <c r="Q387" s="74"/>
      <c r="R387" s="87"/>
      <c r="S387" s="87"/>
      <c r="T387" s="87"/>
      <c r="U387" s="87"/>
      <c r="V387" s="48"/>
      <c r="W387" s="48"/>
      <c r="X387" s="47">
        <v>1.101E-3</v>
      </c>
      <c r="Y387" s="48"/>
      <c r="Z387" s="47"/>
      <c r="AA387" s="69">
        <v>387</v>
      </c>
      <c r="AB387" s="69"/>
      <c r="AC387" s="70"/>
      <c r="AD387" s="76" t="s">
        <v>17022</v>
      </c>
      <c r="AE387" s="81" t="s">
        <v>16324</v>
      </c>
      <c r="AF387" s="76">
        <v>5</v>
      </c>
      <c r="AG387" s="76">
        <v>89</v>
      </c>
      <c r="AH387" s="76">
        <v>11</v>
      </c>
      <c r="AI387" s="76">
        <v>0</v>
      </c>
      <c r="AJ387" s="76">
        <v>0</v>
      </c>
      <c r="AK387" s="76">
        <v>1</v>
      </c>
      <c r="AL387" s="76" t="b">
        <v>0</v>
      </c>
      <c r="AM387" s="78">
        <v>44798.519976851851</v>
      </c>
      <c r="AN387" s="76" t="s">
        <v>17996</v>
      </c>
      <c r="AO387" s="76" t="s">
        <v>18502</v>
      </c>
      <c r="AP387" s="76"/>
      <c r="AQ387" s="76"/>
      <c r="AR387" s="76"/>
      <c r="AS387" s="76"/>
      <c r="AT387" s="76"/>
      <c r="AU387" s="76"/>
      <c r="AV387" s="76"/>
      <c r="AW387" s="76"/>
      <c r="AX387" s="76" t="b">
        <v>0</v>
      </c>
      <c r="AY387" s="76"/>
      <c r="AZ387" s="76"/>
      <c r="BA387" s="76" t="b">
        <v>0</v>
      </c>
      <c r="BB387" s="76" t="b">
        <v>1</v>
      </c>
      <c r="BC387" s="76" t="b">
        <v>1</v>
      </c>
      <c r="BD387" s="76" t="b">
        <v>0</v>
      </c>
      <c r="BE387" s="76" t="b">
        <v>0</v>
      </c>
      <c r="BF387" s="76" t="b">
        <v>0</v>
      </c>
      <c r="BG387" s="76" t="b">
        <v>0</v>
      </c>
      <c r="BH387" s="76"/>
      <c r="BI387" s="76"/>
      <c r="BJ387" s="76" t="s">
        <v>19633</v>
      </c>
      <c r="BK387" s="76" t="b">
        <v>0</v>
      </c>
      <c r="BL387" s="76"/>
      <c r="BM387" s="76" t="s">
        <v>66</v>
      </c>
      <c r="BN387" s="76" t="s">
        <v>19635</v>
      </c>
      <c r="BO387" s="83" t="str">
        <f>HYPERLINK("https://twitter.com/pauloro83534636")</f>
        <v>https://twitter.com/pauloro83534636</v>
      </c>
      <c r="BP387" s="2"/>
    </row>
    <row r="388" spans="1:68" x14ac:dyDescent="0.25">
      <c r="A388" s="62" t="s">
        <v>561</v>
      </c>
      <c r="B388" s="63"/>
      <c r="C388" s="63"/>
      <c r="D388" s="64"/>
      <c r="E388" s="66"/>
      <c r="F388" s="103" t="str">
        <f>HYPERLINK("https://pbs.twimg.com/profile_images/1620494346284924928/tFuzXv3j_normal.jpg")</f>
        <v>https://pbs.twimg.com/profile_images/1620494346284924928/tFuzXv3j_normal.jpg</v>
      </c>
      <c r="G388" s="63"/>
      <c r="H388" s="67"/>
      <c r="I388" s="68"/>
      <c r="J388" s="68"/>
      <c r="K388" s="67" t="s">
        <v>20020</v>
      </c>
      <c r="L388" s="71"/>
      <c r="M388" s="72"/>
      <c r="N388" s="72"/>
      <c r="O388" s="73"/>
      <c r="P388" s="74"/>
      <c r="Q388" s="74"/>
      <c r="R388" s="87"/>
      <c r="S388" s="87"/>
      <c r="T388" s="87"/>
      <c r="U388" s="87"/>
      <c r="V388" s="48"/>
      <c r="W388" s="48"/>
      <c r="X388" s="47">
        <v>1.101E-3</v>
      </c>
      <c r="Y388" s="48"/>
      <c r="Z388" s="47"/>
      <c r="AA388" s="69">
        <v>388</v>
      </c>
      <c r="AB388" s="69"/>
      <c r="AC388" s="70"/>
      <c r="AD388" s="76" t="s">
        <v>17023</v>
      </c>
      <c r="AE388" s="81" t="s">
        <v>16325</v>
      </c>
      <c r="AF388" s="76">
        <v>177</v>
      </c>
      <c r="AG388" s="76">
        <v>457</v>
      </c>
      <c r="AH388" s="76">
        <v>3097</v>
      </c>
      <c r="AI388" s="76">
        <v>2</v>
      </c>
      <c r="AJ388" s="76">
        <v>286</v>
      </c>
      <c r="AK388" s="76">
        <v>279</v>
      </c>
      <c r="AL388" s="76" t="b">
        <v>0</v>
      </c>
      <c r="AM388" s="78">
        <v>44001.71534722222</v>
      </c>
      <c r="AN388" s="76" t="s">
        <v>17997</v>
      </c>
      <c r="AO388" s="76" t="s">
        <v>18503</v>
      </c>
      <c r="AP388" s="83" t="str">
        <f>HYPERLINK("https://t.co/oWGFHzgchr")</f>
        <v>https://t.co/oWGFHzgchr</v>
      </c>
      <c r="AQ388" s="83" t="str">
        <f>HYPERLINK("http://www.nossomeio.com.br")</f>
        <v>http://www.nossomeio.com.br</v>
      </c>
      <c r="AR388" s="76" t="s">
        <v>19225</v>
      </c>
      <c r="AS388" s="76"/>
      <c r="AT388" s="76"/>
      <c r="AU388" s="76"/>
      <c r="AV388" s="76"/>
      <c r="AW388" s="83" t="str">
        <f>HYPERLINK("https://t.co/oWGFHzgchr")</f>
        <v>https://t.co/oWGFHzgchr</v>
      </c>
      <c r="AX388" s="76" t="b">
        <v>0</v>
      </c>
      <c r="AY388" s="76"/>
      <c r="AZ388" s="76"/>
      <c r="BA388" s="76" t="b">
        <v>1</v>
      </c>
      <c r="BB388" s="76" t="b">
        <v>1</v>
      </c>
      <c r="BC388" s="76" t="b">
        <v>1</v>
      </c>
      <c r="BD388" s="76" t="b">
        <v>0</v>
      </c>
      <c r="BE388" s="76" t="b">
        <v>0</v>
      </c>
      <c r="BF388" s="76" t="b">
        <v>0</v>
      </c>
      <c r="BG388" s="76" t="b">
        <v>0</v>
      </c>
      <c r="BH388" s="83" t="str">
        <f>HYPERLINK("https://pbs.twimg.com/profile_banners/1274026619968126978/1675192726")</f>
        <v>https://pbs.twimg.com/profile_banners/1274026619968126978/1675192726</v>
      </c>
      <c r="BI388" s="76"/>
      <c r="BJ388" s="76" t="s">
        <v>19633</v>
      </c>
      <c r="BK388" s="76" t="b">
        <v>0</v>
      </c>
      <c r="BL388" s="76"/>
      <c r="BM388" s="76" t="s">
        <v>66</v>
      </c>
      <c r="BN388" s="76" t="s">
        <v>19635</v>
      </c>
      <c r="BO388" s="83" t="str">
        <f>HYPERLINK("https://twitter.com/nossomeio")</f>
        <v>https://twitter.com/nossomeio</v>
      </c>
      <c r="BP388" s="2"/>
    </row>
    <row r="389" spans="1:68" x14ac:dyDescent="0.25">
      <c r="A389" s="62" t="s">
        <v>562</v>
      </c>
      <c r="B389" s="63"/>
      <c r="C389" s="63"/>
      <c r="D389" s="64"/>
      <c r="E389" s="66"/>
      <c r="F389" s="103" t="str">
        <f>HYPERLINK("https://pbs.twimg.com/profile_images/1220427616303427584/eY5sbUjW_normal.jpg")</f>
        <v>https://pbs.twimg.com/profile_images/1220427616303427584/eY5sbUjW_normal.jpg</v>
      </c>
      <c r="G389" s="63"/>
      <c r="H389" s="67"/>
      <c r="I389" s="68"/>
      <c r="J389" s="68"/>
      <c r="K389" s="67" t="s">
        <v>20021</v>
      </c>
      <c r="L389" s="71"/>
      <c r="M389" s="72"/>
      <c r="N389" s="72"/>
      <c r="O389" s="73"/>
      <c r="P389" s="74"/>
      <c r="Q389" s="74"/>
      <c r="R389" s="87"/>
      <c r="S389" s="87"/>
      <c r="T389" s="87"/>
      <c r="U389" s="87"/>
      <c r="V389" s="48"/>
      <c r="W389" s="48"/>
      <c r="X389" s="47">
        <v>1.101E-3</v>
      </c>
      <c r="Y389" s="48"/>
      <c r="Z389" s="47"/>
      <c r="AA389" s="69">
        <v>389</v>
      </c>
      <c r="AB389" s="69"/>
      <c r="AC389" s="70"/>
      <c r="AD389" s="76" t="s">
        <v>17024</v>
      </c>
      <c r="AE389" s="81" t="s">
        <v>17666</v>
      </c>
      <c r="AF389" s="76">
        <v>4670</v>
      </c>
      <c r="AG389" s="76">
        <v>56</v>
      </c>
      <c r="AH389" s="76">
        <v>6467</v>
      </c>
      <c r="AI389" s="76">
        <v>33</v>
      </c>
      <c r="AJ389" s="76">
        <v>376</v>
      </c>
      <c r="AK389" s="76">
        <v>1642</v>
      </c>
      <c r="AL389" s="76" t="b">
        <v>0</v>
      </c>
      <c r="AM389" s="78">
        <v>41122.708657407406</v>
      </c>
      <c r="AN389" s="76"/>
      <c r="AO389" s="76" t="s">
        <v>18504</v>
      </c>
      <c r="AP389" s="83" t="str">
        <f>HYPERLINK("https://t.co/Im6EkVyTJf")</f>
        <v>https://t.co/Im6EkVyTJf</v>
      </c>
      <c r="AQ389" s="83" t="str">
        <f>HYPERLINK("http://www.defensoria.rs.def.br")</f>
        <v>http://www.defensoria.rs.def.br</v>
      </c>
      <c r="AR389" s="76" t="s">
        <v>19226</v>
      </c>
      <c r="AS389" s="76"/>
      <c r="AT389" s="76"/>
      <c r="AU389" s="76"/>
      <c r="AV389" s="76"/>
      <c r="AW389" s="83" t="str">
        <f>HYPERLINK("https://t.co/Im6EkVyTJf")</f>
        <v>https://t.co/Im6EkVyTJf</v>
      </c>
      <c r="AX389" s="76" t="b">
        <v>0</v>
      </c>
      <c r="AY389" s="76"/>
      <c r="AZ389" s="76"/>
      <c r="BA389" s="76" t="b">
        <v>0</v>
      </c>
      <c r="BB389" s="76" t="b">
        <v>1</v>
      </c>
      <c r="BC389" s="76" t="b">
        <v>0</v>
      </c>
      <c r="BD389" s="76" t="b">
        <v>0</v>
      </c>
      <c r="BE389" s="76" t="b">
        <v>1</v>
      </c>
      <c r="BF389" s="76" t="b">
        <v>0</v>
      </c>
      <c r="BG389" s="76" t="b">
        <v>0</v>
      </c>
      <c r="BH389" s="83" t="str">
        <f>HYPERLINK("https://pbs.twimg.com/profile_banners/731051372/1603916960")</f>
        <v>https://pbs.twimg.com/profile_banners/731051372/1603916960</v>
      </c>
      <c r="BI389" s="76"/>
      <c r="BJ389" s="76" t="s">
        <v>19633</v>
      </c>
      <c r="BK389" s="76" t="b">
        <v>0</v>
      </c>
      <c r="BL389" s="76"/>
      <c r="BM389" s="76" t="s">
        <v>66</v>
      </c>
      <c r="BN389" s="76" t="s">
        <v>19635</v>
      </c>
      <c r="BO389" s="83" t="str">
        <f>HYPERLINK("https://twitter.com/_defensoriars")</f>
        <v>https://twitter.com/_defensoriars</v>
      </c>
      <c r="BP389" s="2"/>
    </row>
    <row r="390" spans="1:68" x14ac:dyDescent="0.25">
      <c r="A390" s="62" t="s">
        <v>563</v>
      </c>
      <c r="B390" s="63"/>
      <c r="C390" s="63"/>
      <c r="D390" s="64"/>
      <c r="E390" s="66"/>
      <c r="F390" s="103" t="str">
        <f>HYPERLINK("https://pbs.twimg.com/profile_images/1564093946833272833/4RFj0mm__normal.jpg")</f>
        <v>https://pbs.twimg.com/profile_images/1564093946833272833/4RFj0mm__normal.jpg</v>
      </c>
      <c r="G390" s="63"/>
      <c r="H390" s="67"/>
      <c r="I390" s="68"/>
      <c r="J390" s="68"/>
      <c r="K390" s="67" t="s">
        <v>20022</v>
      </c>
      <c r="L390" s="71"/>
      <c r="M390" s="72"/>
      <c r="N390" s="72"/>
      <c r="O390" s="73"/>
      <c r="P390" s="74"/>
      <c r="Q390" s="74"/>
      <c r="R390" s="87"/>
      <c r="S390" s="87"/>
      <c r="T390" s="87"/>
      <c r="U390" s="87"/>
      <c r="V390" s="48"/>
      <c r="W390" s="48"/>
      <c r="X390" s="47">
        <v>1.413E-3</v>
      </c>
      <c r="Y390" s="48"/>
      <c r="Z390" s="47"/>
      <c r="AA390" s="69">
        <v>390</v>
      </c>
      <c r="AB390" s="69"/>
      <c r="AC390" s="70"/>
      <c r="AD390" s="76" t="s">
        <v>17025</v>
      </c>
      <c r="AE390" s="81" t="s">
        <v>17667</v>
      </c>
      <c r="AF390" s="76">
        <v>58</v>
      </c>
      <c r="AG390" s="76">
        <v>198</v>
      </c>
      <c r="AH390" s="76">
        <v>3141</v>
      </c>
      <c r="AI390" s="76">
        <v>0</v>
      </c>
      <c r="AJ390" s="76">
        <v>937</v>
      </c>
      <c r="AK390" s="76">
        <v>735</v>
      </c>
      <c r="AL390" s="76" t="b">
        <v>0</v>
      </c>
      <c r="AM390" s="78">
        <v>40023.166215277779</v>
      </c>
      <c r="AN390" s="76" t="s">
        <v>17905</v>
      </c>
      <c r="AO390" s="76" t="s">
        <v>18505</v>
      </c>
      <c r="AP390" s="76"/>
      <c r="AQ390" s="76"/>
      <c r="AR390" s="76"/>
      <c r="AS390" s="76"/>
      <c r="AT390" s="76"/>
      <c r="AU390" s="76"/>
      <c r="AV390" s="76"/>
      <c r="AW390" s="76"/>
      <c r="AX390" s="76" t="b">
        <v>0</v>
      </c>
      <c r="AY390" s="76"/>
      <c r="AZ390" s="76"/>
      <c r="BA390" s="76" t="b">
        <v>0</v>
      </c>
      <c r="BB390" s="76" t="b">
        <v>1</v>
      </c>
      <c r="BC390" s="76" t="b">
        <v>0</v>
      </c>
      <c r="BD390" s="76" t="b">
        <v>0</v>
      </c>
      <c r="BE390" s="76" t="b">
        <v>1</v>
      </c>
      <c r="BF390" s="76" t="b">
        <v>0</v>
      </c>
      <c r="BG390" s="76" t="b">
        <v>0</v>
      </c>
      <c r="BH390" s="83" t="str">
        <f>HYPERLINK("https://pbs.twimg.com/profile_banners/61106922/1661744030")</f>
        <v>https://pbs.twimg.com/profile_banners/61106922/1661744030</v>
      </c>
      <c r="BI390" s="76"/>
      <c r="BJ390" s="76" t="s">
        <v>19633</v>
      </c>
      <c r="BK390" s="76" t="b">
        <v>0</v>
      </c>
      <c r="BL390" s="76"/>
      <c r="BM390" s="76" t="s">
        <v>66</v>
      </c>
      <c r="BN390" s="76" t="s">
        <v>19635</v>
      </c>
      <c r="BO390" s="83" t="str">
        <f>HYPERLINK("https://twitter.com/umempreendedor")</f>
        <v>https://twitter.com/umempreendedor</v>
      </c>
      <c r="BP390" s="2"/>
    </row>
    <row r="391" spans="1:68" x14ac:dyDescent="0.25">
      <c r="A391" s="62" t="s">
        <v>1083</v>
      </c>
      <c r="B391" s="63"/>
      <c r="C391" s="63"/>
      <c r="D391" s="64"/>
      <c r="E391" s="66"/>
      <c r="F391" s="103" t="str">
        <f>HYPERLINK("https://pbs.twimg.com/profile_images/1686898812747456512/tp5U39dE_normal.jpg")</f>
        <v>https://pbs.twimg.com/profile_images/1686898812747456512/tp5U39dE_normal.jpg</v>
      </c>
      <c r="G391" s="63"/>
      <c r="H391" s="67"/>
      <c r="I391" s="68"/>
      <c r="J391" s="68"/>
      <c r="K391" s="67" t="s">
        <v>20023</v>
      </c>
      <c r="L391" s="71"/>
      <c r="M391" s="72"/>
      <c r="N391" s="72"/>
      <c r="O391" s="73"/>
      <c r="P391" s="74"/>
      <c r="Q391" s="74"/>
      <c r="R391" s="87"/>
      <c r="S391" s="87"/>
      <c r="T391" s="87"/>
      <c r="U391" s="87"/>
      <c r="V391" s="48"/>
      <c r="W391" s="48"/>
      <c r="X391" s="47">
        <v>9.7900000000000005E-4</v>
      </c>
      <c r="Y391" s="48"/>
      <c r="Z391" s="47"/>
      <c r="AA391" s="69">
        <v>391</v>
      </c>
      <c r="AB391" s="69"/>
      <c r="AC391" s="70"/>
      <c r="AD391" s="76" t="s">
        <v>17026</v>
      </c>
      <c r="AE391" s="81" t="s">
        <v>17668</v>
      </c>
      <c r="AF391" s="76">
        <v>2435065</v>
      </c>
      <c r="AG391" s="76">
        <v>24958</v>
      </c>
      <c r="AH391" s="76">
        <v>455334</v>
      </c>
      <c r="AI391" s="76">
        <v>4983</v>
      </c>
      <c r="AJ391" s="76">
        <v>230377</v>
      </c>
      <c r="AK391" s="76">
        <v>49948</v>
      </c>
      <c r="AL391" s="76" t="b">
        <v>0</v>
      </c>
      <c r="AM391" s="78">
        <v>40092.576493055552</v>
      </c>
      <c r="AN391" s="76" t="s">
        <v>10561</v>
      </c>
      <c r="AO391" s="76" t="s">
        <v>18506</v>
      </c>
      <c r="AP391" s="83" t="str">
        <f>HYPERLINK("https://t.co/ZrZMJIZsPB")</f>
        <v>https://t.co/ZrZMJIZsPB</v>
      </c>
      <c r="AQ391" s="83" t="str">
        <f>HYPERLINK("http://blogmiltonneves.uol.com.br")</f>
        <v>http://blogmiltonneves.uol.com.br</v>
      </c>
      <c r="AR391" s="76" t="s">
        <v>19227</v>
      </c>
      <c r="AS391" s="76"/>
      <c r="AT391" s="76"/>
      <c r="AU391" s="76"/>
      <c r="AV391" s="76">
        <v>1.7019403185880499E+18</v>
      </c>
      <c r="AW391" s="83" t="str">
        <f>HYPERLINK("https://t.co/ZrZMJIZsPB")</f>
        <v>https://t.co/ZrZMJIZsPB</v>
      </c>
      <c r="AX391" s="76" t="b">
        <v>1</v>
      </c>
      <c r="AY391" s="76"/>
      <c r="AZ391" s="76"/>
      <c r="BA391" s="76" t="b">
        <v>0</v>
      </c>
      <c r="BB391" s="76" t="b">
        <v>0</v>
      </c>
      <c r="BC391" s="76" t="b">
        <v>0</v>
      </c>
      <c r="BD391" s="76" t="b">
        <v>0</v>
      </c>
      <c r="BE391" s="76" t="b">
        <v>1</v>
      </c>
      <c r="BF391" s="76" t="b">
        <v>0</v>
      </c>
      <c r="BG391" s="76" t="b">
        <v>0</v>
      </c>
      <c r="BH391" s="83" t="str">
        <f>HYPERLINK("https://pbs.twimg.com/profile_banners/80306410/1680472812")</f>
        <v>https://pbs.twimg.com/profile_banners/80306410/1680472812</v>
      </c>
      <c r="BI391" s="76"/>
      <c r="BJ391" s="76" t="s">
        <v>19633</v>
      </c>
      <c r="BK391" s="76" t="b">
        <v>0</v>
      </c>
      <c r="BL391" s="76"/>
      <c r="BM391" s="76" t="s">
        <v>65</v>
      </c>
      <c r="BN391" s="76" t="s">
        <v>19635</v>
      </c>
      <c r="BO391" s="83" t="str">
        <f>HYPERLINK("https://twitter.com/miltonneves")</f>
        <v>https://twitter.com/miltonneves</v>
      </c>
      <c r="BP391" s="2"/>
    </row>
    <row r="392" spans="1:68" x14ac:dyDescent="0.25">
      <c r="A392" s="62" t="s">
        <v>1084</v>
      </c>
      <c r="B392" s="63"/>
      <c r="C392" s="63"/>
      <c r="D392" s="64"/>
      <c r="E392" s="66"/>
      <c r="F392" s="103" t="str">
        <f>HYPERLINK("https://pbs.twimg.com/profile_images/1476622667113508873/6WeO1hSk_normal.jpg")</f>
        <v>https://pbs.twimg.com/profile_images/1476622667113508873/6WeO1hSk_normal.jpg</v>
      </c>
      <c r="G392" s="63"/>
      <c r="H392" s="67"/>
      <c r="I392" s="68"/>
      <c r="J392" s="68"/>
      <c r="K392" s="67" t="s">
        <v>20024</v>
      </c>
      <c r="L392" s="71"/>
      <c r="M392" s="72"/>
      <c r="N392" s="72"/>
      <c r="O392" s="73"/>
      <c r="P392" s="74"/>
      <c r="Q392" s="74"/>
      <c r="R392" s="87"/>
      <c r="S392" s="87"/>
      <c r="T392" s="87"/>
      <c r="U392" s="87"/>
      <c r="V392" s="48"/>
      <c r="W392" s="48"/>
      <c r="X392" s="47">
        <v>9.7900000000000005E-4</v>
      </c>
      <c r="Y392" s="48"/>
      <c r="Z392" s="47"/>
      <c r="AA392" s="69">
        <v>392</v>
      </c>
      <c r="AB392" s="69"/>
      <c r="AC392" s="70"/>
      <c r="AD392" s="76" t="s">
        <v>17027</v>
      </c>
      <c r="AE392" s="81" t="s">
        <v>17669</v>
      </c>
      <c r="AF392" s="76">
        <v>118731</v>
      </c>
      <c r="AG392" s="76">
        <v>712</v>
      </c>
      <c r="AH392" s="76">
        <v>60491</v>
      </c>
      <c r="AI392" s="76">
        <v>496</v>
      </c>
      <c r="AJ392" s="76">
        <v>210373</v>
      </c>
      <c r="AK392" s="76">
        <v>6194</v>
      </c>
      <c r="AL392" s="76" t="b">
        <v>0</v>
      </c>
      <c r="AM392" s="78">
        <v>41093.011377314811</v>
      </c>
      <c r="AN392" s="76" t="s">
        <v>10570</v>
      </c>
      <c r="AO392" s="76" t="s">
        <v>18507</v>
      </c>
      <c r="AP392" s="83" t="str">
        <f>HYPERLINK("https://t.co/Z8TfItQ92x")</f>
        <v>https://t.co/Z8TfItQ92x</v>
      </c>
      <c r="AQ392" s="83" t="str">
        <f>HYPERLINK("https://linktr.ee/nonoinvestidor")</f>
        <v>https://linktr.ee/nonoinvestidor</v>
      </c>
      <c r="AR392" s="76" t="s">
        <v>19228</v>
      </c>
      <c r="AS392" s="76"/>
      <c r="AT392" s="76"/>
      <c r="AU392" s="76"/>
      <c r="AV392" s="76">
        <v>1.66253136464461E+18</v>
      </c>
      <c r="AW392" s="83" t="str">
        <f>HYPERLINK("https://t.co/Z8TfItQ92x")</f>
        <v>https://t.co/Z8TfItQ92x</v>
      </c>
      <c r="AX392" s="76" t="b">
        <v>1</v>
      </c>
      <c r="AY392" s="76"/>
      <c r="AZ392" s="76"/>
      <c r="BA392" s="76" t="b">
        <v>1</v>
      </c>
      <c r="BB392" s="76" t="b">
        <v>0</v>
      </c>
      <c r="BC392" s="76" t="b">
        <v>1</v>
      </c>
      <c r="BD392" s="76" t="b">
        <v>0</v>
      </c>
      <c r="BE392" s="76" t="b">
        <v>1</v>
      </c>
      <c r="BF392" s="76" t="b">
        <v>0</v>
      </c>
      <c r="BG392" s="76" t="b">
        <v>0</v>
      </c>
      <c r="BH392" s="83" t="str">
        <f>HYPERLINK("https://pbs.twimg.com/profile_banners/625192155/1615930360")</f>
        <v>https://pbs.twimg.com/profile_banners/625192155/1615930360</v>
      </c>
      <c r="BI392" s="76"/>
      <c r="BJ392" s="76" t="s">
        <v>19633</v>
      </c>
      <c r="BK392" s="76" t="b">
        <v>0</v>
      </c>
      <c r="BL392" s="76"/>
      <c r="BM392" s="76" t="s">
        <v>65</v>
      </c>
      <c r="BN392" s="76" t="s">
        <v>19635</v>
      </c>
      <c r="BO392" s="83" t="str">
        <f>HYPERLINK("https://twitter.com/nonoinvestidor")</f>
        <v>https://twitter.com/nonoinvestidor</v>
      </c>
      <c r="BP392" s="2"/>
    </row>
    <row r="393" spans="1:68" x14ac:dyDescent="0.25">
      <c r="A393" s="62" t="s">
        <v>1085</v>
      </c>
      <c r="B393" s="63"/>
      <c r="C393" s="63"/>
      <c r="D393" s="64"/>
      <c r="E393" s="66"/>
      <c r="F393" s="103" t="str">
        <f>HYPERLINK("https://pbs.twimg.com/profile_images/1580018698961690624/BKkWfeFV_normal.jpg")</f>
        <v>https://pbs.twimg.com/profile_images/1580018698961690624/BKkWfeFV_normal.jpg</v>
      </c>
      <c r="G393" s="63"/>
      <c r="H393" s="67"/>
      <c r="I393" s="68"/>
      <c r="J393" s="68"/>
      <c r="K393" s="67" t="s">
        <v>20025</v>
      </c>
      <c r="L393" s="71"/>
      <c r="M393" s="72"/>
      <c r="N393" s="72"/>
      <c r="O393" s="73"/>
      <c r="P393" s="74"/>
      <c r="Q393" s="74"/>
      <c r="R393" s="87"/>
      <c r="S393" s="87"/>
      <c r="T393" s="87"/>
      <c r="U393" s="87"/>
      <c r="V393" s="48"/>
      <c r="W393" s="48"/>
      <c r="X393" s="47">
        <v>1.279E-3</v>
      </c>
      <c r="Y393" s="48"/>
      <c r="Z393" s="47"/>
      <c r="AA393" s="69">
        <v>393</v>
      </c>
      <c r="AB393" s="69"/>
      <c r="AC393" s="70"/>
      <c r="AD393" s="76" t="s">
        <v>17028</v>
      </c>
      <c r="AE393" s="81" t="s">
        <v>17670</v>
      </c>
      <c r="AF393" s="76">
        <v>2858032</v>
      </c>
      <c r="AG393" s="76">
        <v>681</v>
      </c>
      <c r="AH393" s="76">
        <v>7783</v>
      </c>
      <c r="AI393" s="76">
        <v>3161</v>
      </c>
      <c r="AJ393" s="76">
        <v>6582</v>
      </c>
      <c r="AK393" s="76">
        <v>1245</v>
      </c>
      <c r="AL393" s="76" t="b">
        <v>0</v>
      </c>
      <c r="AM393" s="78">
        <v>40768.16065972222</v>
      </c>
      <c r="AN393" s="76" t="s">
        <v>10622</v>
      </c>
      <c r="AO393" s="76" t="s">
        <v>18508</v>
      </c>
      <c r="AP393" s="76"/>
      <c r="AQ393" s="76"/>
      <c r="AR393" s="76"/>
      <c r="AS393" s="76"/>
      <c r="AT393" s="76"/>
      <c r="AU393" s="76"/>
      <c r="AV393" s="76"/>
      <c r="AW393" s="76"/>
      <c r="AX393" s="76" t="b">
        <v>1</v>
      </c>
      <c r="AY393" s="76"/>
      <c r="AZ393" s="76"/>
      <c r="BA393" s="76" t="b">
        <v>0</v>
      </c>
      <c r="BB393" s="76" t="b">
        <v>1</v>
      </c>
      <c r="BC393" s="76" t="b">
        <v>0</v>
      </c>
      <c r="BD393" s="76" t="b">
        <v>0</v>
      </c>
      <c r="BE393" s="76" t="b">
        <v>1</v>
      </c>
      <c r="BF393" s="76" t="b">
        <v>0</v>
      </c>
      <c r="BG393" s="76" t="b">
        <v>0</v>
      </c>
      <c r="BH393" s="83" t="str">
        <f>HYPERLINK("https://pbs.twimg.com/profile_banners/354095556/1670597787")</f>
        <v>https://pbs.twimg.com/profile_banners/354095556/1670597787</v>
      </c>
      <c r="BI393" s="76"/>
      <c r="BJ393" s="76" t="s">
        <v>19633</v>
      </c>
      <c r="BK393" s="76" t="b">
        <v>0</v>
      </c>
      <c r="BL393" s="76"/>
      <c r="BM393" s="76" t="s">
        <v>65</v>
      </c>
      <c r="BN393" s="76" t="s">
        <v>19635</v>
      </c>
      <c r="BO393" s="83" t="str">
        <f>HYPERLINK("https://twitter.com/haddad_fernando")</f>
        <v>https://twitter.com/haddad_fernando</v>
      </c>
      <c r="BP393" s="2"/>
    </row>
    <row r="394" spans="1:68" x14ac:dyDescent="0.25">
      <c r="A394" s="62" t="s">
        <v>1086</v>
      </c>
      <c r="B394" s="63"/>
      <c r="C394" s="63"/>
      <c r="D394" s="64"/>
      <c r="E394" s="66"/>
      <c r="F394" s="103" t="str">
        <f>HYPERLINK("https://pbs.twimg.com/profile_images/1630217574100213762/SAMK-BnB_normal.jpg")</f>
        <v>https://pbs.twimg.com/profile_images/1630217574100213762/SAMK-BnB_normal.jpg</v>
      </c>
      <c r="G394" s="63"/>
      <c r="H394" s="67"/>
      <c r="I394" s="68"/>
      <c r="J394" s="68"/>
      <c r="K394" s="67" t="s">
        <v>20026</v>
      </c>
      <c r="L394" s="71"/>
      <c r="M394" s="72"/>
      <c r="N394" s="72"/>
      <c r="O394" s="73"/>
      <c r="P394" s="74"/>
      <c r="Q394" s="74"/>
      <c r="R394" s="87"/>
      <c r="S394" s="87"/>
      <c r="T394" s="87"/>
      <c r="U394" s="87"/>
      <c r="V394" s="48"/>
      <c r="W394" s="48"/>
      <c r="X394" s="47">
        <v>1.0300000000000001E-3</v>
      </c>
      <c r="Y394" s="48"/>
      <c r="Z394" s="47"/>
      <c r="AA394" s="69">
        <v>394</v>
      </c>
      <c r="AB394" s="69"/>
      <c r="AC394" s="70"/>
      <c r="AD394" s="76" t="s">
        <v>17029</v>
      </c>
      <c r="AE394" s="81" t="s">
        <v>17671</v>
      </c>
      <c r="AF394" s="76">
        <v>8205005</v>
      </c>
      <c r="AG394" s="76">
        <v>2897</v>
      </c>
      <c r="AH394" s="76">
        <v>31931</v>
      </c>
      <c r="AI394" s="76">
        <v>5609</v>
      </c>
      <c r="AJ394" s="76">
        <v>15823</v>
      </c>
      <c r="AK394" s="76">
        <v>6421</v>
      </c>
      <c r="AL394" s="76" t="b">
        <v>0</v>
      </c>
      <c r="AM394" s="78">
        <v>41842.900578703702</v>
      </c>
      <c r="AN394" s="76" t="s">
        <v>10558</v>
      </c>
      <c r="AO394" s="76" t="s">
        <v>18509</v>
      </c>
      <c r="AP394" s="83" t="str">
        <f>HYPERLINK("https://t.co/FWDIwBcWRa")</f>
        <v>https://t.co/FWDIwBcWRa</v>
      </c>
      <c r="AQ394" s="83" t="str">
        <f>HYPERLINK("https://lula.com.br/siga-o-lula/")</f>
        <v>https://lula.com.br/siga-o-lula/</v>
      </c>
      <c r="AR394" s="76" t="s">
        <v>19229</v>
      </c>
      <c r="AS394" s="76"/>
      <c r="AT394" s="76"/>
      <c r="AU394" s="76"/>
      <c r="AV394" s="76">
        <v>1.66105073773486E+18</v>
      </c>
      <c r="AW394" s="83" t="str">
        <f>HYPERLINK("https://t.co/FWDIwBcWRa")</f>
        <v>https://t.co/FWDIwBcWRa</v>
      </c>
      <c r="AX394" s="76" t="b">
        <v>1</v>
      </c>
      <c r="AY394" s="76"/>
      <c r="AZ394" s="76"/>
      <c r="BA394" s="76" t="b">
        <v>0</v>
      </c>
      <c r="BB394" s="76" t="b">
        <v>1</v>
      </c>
      <c r="BC394" s="76" t="b">
        <v>1</v>
      </c>
      <c r="BD394" s="76" t="b">
        <v>0</v>
      </c>
      <c r="BE394" s="76" t="b">
        <v>1</v>
      </c>
      <c r="BF394" s="76" t="b">
        <v>0</v>
      </c>
      <c r="BG394" s="76" t="b">
        <v>0</v>
      </c>
      <c r="BH394" s="83" t="str">
        <f>HYPERLINK("https://pbs.twimg.com/profile_banners/2670726740/1672662238")</f>
        <v>https://pbs.twimg.com/profile_banners/2670726740/1672662238</v>
      </c>
      <c r="BI394" s="76"/>
      <c r="BJ394" s="76" t="s">
        <v>19633</v>
      </c>
      <c r="BK394" s="76" t="b">
        <v>0</v>
      </c>
      <c r="BL394" s="76"/>
      <c r="BM394" s="76" t="s">
        <v>65</v>
      </c>
      <c r="BN394" s="76" t="s">
        <v>19635</v>
      </c>
      <c r="BO394" s="83" t="str">
        <f>HYPERLINK("https://twitter.com/lulaoficial")</f>
        <v>https://twitter.com/lulaoficial</v>
      </c>
      <c r="BP394" s="2"/>
    </row>
    <row r="395" spans="1:68" x14ac:dyDescent="0.25">
      <c r="A395" s="62" t="s">
        <v>564</v>
      </c>
      <c r="B395" s="63"/>
      <c r="C395" s="63"/>
      <c r="D395" s="64"/>
      <c r="E395" s="66"/>
      <c r="F395" s="103" t="str">
        <f>HYPERLINK("https://pbs.twimg.com/profile_images/1520016683037040641/AK5F2Ovl_normal.jpg")</f>
        <v>https://pbs.twimg.com/profile_images/1520016683037040641/AK5F2Ovl_normal.jpg</v>
      </c>
      <c r="G395" s="63"/>
      <c r="H395" s="67"/>
      <c r="I395" s="68"/>
      <c r="J395" s="68"/>
      <c r="K395" s="67" t="s">
        <v>20027</v>
      </c>
      <c r="L395" s="71"/>
      <c r="M395" s="72"/>
      <c r="N395" s="72"/>
      <c r="O395" s="73"/>
      <c r="P395" s="74"/>
      <c r="Q395" s="74"/>
      <c r="R395" s="87"/>
      <c r="S395" s="87"/>
      <c r="T395" s="87"/>
      <c r="U395" s="87"/>
      <c r="V395" s="48"/>
      <c r="W395" s="48"/>
      <c r="X395" s="47">
        <v>1.101E-3</v>
      </c>
      <c r="Y395" s="48"/>
      <c r="Z395" s="47"/>
      <c r="AA395" s="69">
        <v>395</v>
      </c>
      <c r="AB395" s="69"/>
      <c r="AC395" s="70"/>
      <c r="AD395" s="76" t="s">
        <v>17030</v>
      </c>
      <c r="AE395" s="81" t="s">
        <v>16326</v>
      </c>
      <c r="AF395" s="76">
        <v>628</v>
      </c>
      <c r="AG395" s="76">
        <v>47</v>
      </c>
      <c r="AH395" s="76">
        <v>683</v>
      </c>
      <c r="AI395" s="76">
        <v>0</v>
      </c>
      <c r="AJ395" s="76">
        <v>129</v>
      </c>
      <c r="AK395" s="76">
        <v>160</v>
      </c>
      <c r="AL395" s="76" t="b">
        <v>0</v>
      </c>
      <c r="AM395" s="78">
        <v>44474.614074074074</v>
      </c>
      <c r="AN395" s="76"/>
      <c r="AO395" s="76" t="s">
        <v>18510</v>
      </c>
      <c r="AP395" s="76"/>
      <c r="AQ395" s="76"/>
      <c r="AR395" s="76"/>
      <c r="AS395" s="83" t="str">
        <f>HYPERLINK("https://t.co/3h39dGwZO8")</f>
        <v>https://t.co/3h39dGwZO8</v>
      </c>
      <c r="AT395" s="83" t="str">
        <f>HYPERLINK("http://linktr.ee/isaaceducacao")</f>
        <v>http://linktr.ee/isaaceducacao</v>
      </c>
      <c r="AU395" s="76" t="s">
        <v>19605</v>
      </c>
      <c r="AV395" s="76">
        <v>1.6867390363149299E+18</v>
      </c>
      <c r="AW395" s="76"/>
      <c r="AX395" s="76" t="b">
        <v>0</v>
      </c>
      <c r="AY395" s="76"/>
      <c r="AZ395" s="76"/>
      <c r="BA395" s="76" t="b">
        <v>0</v>
      </c>
      <c r="BB395" s="76" t="b">
        <v>1</v>
      </c>
      <c r="BC395" s="76" t="b">
        <v>1</v>
      </c>
      <c r="BD395" s="76" t="b">
        <v>0</v>
      </c>
      <c r="BE395" s="76" t="b">
        <v>1</v>
      </c>
      <c r="BF395" s="76" t="b">
        <v>0</v>
      </c>
      <c r="BG395" s="76" t="b">
        <v>0</v>
      </c>
      <c r="BH395" s="83" t="str">
        <f>HYPERLINK("https://pbs.twimg.com/profile_banners/1445399411681542156/1666287088")</f>
        <v>https://pbs.twimg.com/profile_banners/1445399411681542156/1666287088</v>
      </c>
      <c r="BI395" s="76"/>
      <c r="BJ395" s="76" t="s">
        <v>19633</v>
      </c>
      <c r="BK395" s="76" t="b">
        <v>0</v>
      </c>
      <c r="BL395" s="76"/>
      <c r="BM395" s="76" t="s">
        <v>66</v>
      </c>
      <c r="BN395" s="76" t="s">
        <v>19635</v>
      </c>
      <c r="BO395" s="83" t="str">
        <f>HYPERLINK("https://twitter.com/isaaceducacao")</f>
        <v>https://twitter.com/isaaceducacao</v>
      </c>
      <c r="BP395" s="2"/>
    </row>
    <row r="396" spans="1:68" x14ac:dyDescent="0.25">
      <c r="A396" s="62" t="s">
        <v>565</v>
      </c>
      <c r="B396" s="63"/>
      <c r="C396" s="63"/>
      <c r="D396" s="64"/>
      <c r="E396" s="66"/>
      <c r="F396" s="103" t="str">
        <f>HYPERLINK("https://pbs.twimg.com/profile_images/1575858115035205633/gjl2Q21O_normal.jpg")</f>
        <v>https://pbs.twimg.com/profile_images/1575858115035205633/gjl2Q21O_normal.jpg</v>
      </c>
      <c r="G396" s="63"/>
      <c r="H396" s="67"/>
      <c r="I396" s="68"/>
      <c r="J396" s="68"/>
      <c r="K396" s="67" t="s">
        <v>20028</v>
      </c>
      <c r="L396" s="71"/>
      <c r="M396" s="72"/>
      <c r="N396" s="72"/>
      <c r="O396" s="73"/>
      <c r="P396" s="74"/>
      <c r="Q396" s="74"/>
      <c r="R396" s="87"/>
      <c r="S396" s="87"/>
      <c r="T396" s="87"/>
      <c r="U396" s="87"/>
      <c r="V396" s="48"/>
      <c r="W396" s="48"/>
      <c r="X396" s="47">
        <v>1.101E-3</v>
      </c>
      <c r="Y396" s="48"/>
      <c r="Z396" s="47"/>
      <c r="AA396" s="69">
        <v>396</v>
      </c>
      <c r="AB396" s="69"/>
      <c r="AC396" s="70"/>
      <c r="AD396" s="76" t="s">
        <v>17031</v>
      </c>
      <c r="AE396" s="81" t="s">
        <v>16327</v>
      </c>
      <c r="AF396" s="76">
        <v>34</v>
      </c>
      <c r="AG396" s="76">
        <v>121</v>
      </c>
      <c r="AH396" s="76">
        <v>110</v>
      </c>
      <c r="AI396" s="76">
        <v>0</v>
      </c>
      <c r="AJ396" s="76">
        <v>46</v>
      </c>
      <c r="AK396" s="76">
        <v>36</v>
      </c>
      <c r="AL396" s="76" t="b">
        <v>0</v>
      </c>
      <c r="AM396" s="78">
        <v>42787.480486111112</v>
      </c>
      <c r="AN396" s="76"/>
      <c r="AO396" s="76" t="s">
        <v>18511</v>
      </c>
      <c r="AP396" s="83" t="str">
        <f>HYPERLINK("https://t.co/PKog2cGXQ2")</f>
        <v>https://t.co/PKog2cGXQ2</v>
      </c>
      <c r="AQ396" s="83" t="str">
        <f>HYPERLINK("https://ottofinancas.com.br/")</f>
        <v>https://ottofinancas.com.br/</v>
      </c>
      <c r="AR396" s="76" t="s">
        <v>19230</v>
      </c>
      <c r="AS396" s="76"/>
      <c r="AT396" s="76"/>
      <c r="AU396" s="76"/>
      <c r="AV396" s="76">
        <v>1.4512025341403599E+18</v>
      </c>
      <c r="AW396" s="83" t="str">
        <f>HYPERLINK("https://t.co/PKog2cGXQ2")</f>
        <v>https://t.co/PKog2cGXQ2</v>
      </c>
      <c r="AX396" s="76" t="b">
        <v>0</v>
      </c>
      <c r="AY396" s="76"/>
      <c r="AZ396" s="76"/>
      <c r="BA396" s="76" t="b">
        <v>0</v>
      </c>
      <c r="BB396" s="76" t="b">
        <v>1</v>
      </c>
      <c r="BC396" s="76" t="b">
        <v>1</v>
      </c>
      <c r="BD396" s="76" t="b">
        <v>0</v>
      </c>
      <c r="BE396" s="76" t="b">
        <v>0</v>
      </c>
      <c r="BF396" s="76" t="b">
        <v>0</v>
      </c>
      <c r="BG396" s="76" t="b">
        <v>0</v>
      </c>
      <c r="BH396" s="83" t="str">
        <f>HYPERLINK("https://pbs.twimg.com/profile_banners/834002705567907840/1638387173")</f>
        <v>https://pbs.twimg.com/profile_banners/834002705567907840/1638387173</v>
      </c>
      <c r="BI396" s="76"/>
      <c r="BJ396" s="76" t="s">
        <v>19633</v>
      </c>
      <c r="BK396" s="76" t="b">
        <v>0</v>
      </c>
      <c r="BL396" s="76"/>
      <c r="BM396" s="76" t="s">
        <v>66</v>
      </c>
      <c r="BN396" s="76" t="s">
        <v>19635</v>
      </c>
      <c r="BO396" s="83" t="str">
        <f>HYPERLINK("https://twitter.com/ottofinancas")</f>
        <v>https://twitter.com/ottofinancas</v>
      </c>
      <c r="BP396" s="2"/>
    </row>
    <row r="397" spans="1:68" x14ac:dyDescent="0.25">
      <c r="A397" s="62" t="s">
        <v>566</v>
      </c>
      <c r="B397" s="63"/>
      <c r="C397" s="63"/>
      <c r="D397" s="64"/>
      <c r="E397" s="66"/>
      <c r="F397" s="103" t="str">
        <f>HYPERLINK("https://pbs.twimg.com/profile_images/1643067339947012096/5ciTbP7o_normal.jpg")</f>
        <v>https://pbs.twimg.com/profile_images/1643067339947012096/5ciTbP7o_normal.jpg</v>
      </c>
      <c r="G397" s="63"/>
      <c r="H397" s="67"/>
      <c r="I397" s="68"/>
      <c r="J397" s="68"/>
      <c r="K397" s="67" t="s">
        <v>20029</v>
      </c>
      <c r="L397" s="71"/>
      <c r="M397" s="72"/>
      <c r="N397" s="72"/>
      <c r="O397" s="73"/>
      <c r="P397" s="74"/>
      <c r="Q397" s="74"/>
      <c r="R397" s="87"/>
      <c r="S397" s="87"/>
      <c r="T397" s="87"/>
      <c r="U397" s="87"/>
      <c r="V397" s="48"/>
      <c r="W397" s="48"/>
      <c r="X397" s="47">
        <v>1.101E-3</v>
      </c>
      <c r="Y397" s="48"/>
      <c r="Z397" s="47"/>
      <c r="AA397" s="69">
        <v>397</v>
      </c>
      <c r="AB397" s="69"/>
      <c r="AC397" s="70"/>
      <c r="AD397" s="76" t="s">
        <v>17032</v>
      </c>
      <c r="AE397" s="81" t="s">
        <v>16328</v>
      </c>
      <c r="AF397" s="76">
        <v>1</v>
      </c>
      <c r="AG397" s="76">
        <v>22</v>
      </c>
      <c r="AH397" s="76">
        <v>75</v>
      </c>
      <c r="AI397" s="76">
        <v>0</v>
      </c>
      <c r="AJ397" s="76">
        <v>16</v>
      </c>
      <c r="AK397" s="76">
        <v>36</v>
      </c>
      <c r="AL397" s="76" t="b">
        <v>0</v>
      </c>
      <c r="AM397" s="78">
        <v>45020.073541666665</v>
      </c>
      <c r="AN397" s="76"/>
      <c r="AO397" s="76"/>
      <c r="AP397" s="76"/>
      <c r="AQ397" s="76"/>
      <c r="AR397" s="76"/>
      <c r="AS397" s="76"/>
      <c r="AT397" s="76"/>
      <c r="AU397" s="76"/>
      <c r="AV397" s="76"/>
      <c r="AW397" s="76"/>
      <c r="AX397" s="76" t="b">
        <v>0</v>
      </c>
      <c r="AY397" s="76"/>
      <c r="AZ397" s="76"/>
      <c r="BA397" s="76" t="b">
        <v>0</v>
      </c>
      <c r="BB397" s="76" t="b">
        <v>1</v>
      </c>
      <c r="BC397" s="76" t="b">
        <v>1</v>
      </c>
      <c r="BD397" s="76" t="b">
        <v>0</v>
      </c>
      <c r="BE397" s="76" t="b">
        <v>0</v>
      </c>
      <c r="BF397" s="76" t="b">
        <v>0</v>
      </c>
      <c r="BG397" s="76" t="b">
        <v>0</v>
      </c>
      <c r="BH397" s="83" t="str">
        <f>HYPERLINK("https://pbs.twimg.com/profile_banners/1643067242681073664/1680997204")</f>
        <v>https://pbs.twimg.com/profile_banners/1643067242681073664/1680997204</v>
      </c>
      <c r="BI397" s="76"/>
      <c r="BJ397" s="76" t="s">
        <v>19633</v>
      </c>
      <c r="BK397" s="76" t="b">
        <v>0</v>
      </c>
      <c r="BL397" s="76"/>
      <c r="BM397" s="76" t="s">
        <v>66</v>
      </c>
      <c r="BN397" s="76" t="s">
        <v>19635</v>
      </c>
      <c r="BO397" s="83" t="str">
        <f>HYPERLINK("https://twitter.com/fabiolo14426262")</f>
        <v>https://twitter.com/fabiolo14426262</v>
      </c>
      <c r="BP397" s="2"/>
    </row>
    <row r="398" spans="1:68" x14ac:dyDescent="0.25">
      <c r="A398" s="62" t="s">
        <v>567</v>
      </c>
      <c r="B398" s="63"/>
      <c r="C398" s="63"/>
      <c r="D398" s="64"/>
      <c r="E398" s="66"/>
      <c r="F398" s="103" t="str">
        <f>HYPERLINK("https://pbs.twimg.com/profile_images/1668019294045626371/2JU3YCG1_normal.jpg")</f>
        <v>https://pbs.twimg.com/profile_images/1668019294045626371/2JU3YCG1_normal.jpg</v>
      </c>
      <c r="G398" s="63"/>
      <c r="H398" s="67"/>
      <c r="I398" s="68"/>
      <c r="J398" s="68"/>
      <c r="K398" s="67" t="s">
        <v>20030</v>
      </c>
      <c r="L398" s="71"/>
      <c r="M398" s="72"/>
      <c r="N398" s="72"/>
      <c r="O398" s="73"/>
      <c r="P398" s="74"/>
      <c r="Q398" s="74"/>
      <c r="R398" s="87"/>
      <c r="S398" s="87"/>
      <c r="T398" s="87"/>
      <c r="U398" s="87"/>
      <c r="V398" s="48"/>
      <c r="W398" s="48"/>
      <c r="X398" s="47">
        <v>1.101E-3</v>
      </c>
      <c r="Y398" s="48"/>
      <c r="Z398" s="47"/>
      <c r="AA398" s="69">
        <v>398</v>
      </c>
      <c r="AB398" s="69"/>
      <c r="AC398" s="70"/>
      <c r="AD398" s="76" t="s">
        <v>17033</v>
      </c>
      <c r="AE398" s="81" t="s">
        <v>16329</v>
      </c>
      <c r="AF398" s="76">
        <v>0</v>
      </c>
      <c r="AG398" s="76">
        <v>1</v>
      </c>
      <c r="AH398" s="76">
        <v>5</v>
      </c>
      <c r="AI398" s="76">
        <v>0</v>
      </c>
      <c r="AJ398" s="76">
        <v>0</v>
      </c>
      <c r="AK398" s="76">
        <v>5</v>
      </c>
      <c r="AL398" s="76" t="b">
        <v>0</v>
      </c>
      <c r="AM398" s="78">
        <v>44972.736574074072</v>
      </c>
      <c r="AN398" s="76"/>
      <c r="AO398" s="76" t="s">
        <v>18512</v>
      </c>
      <c r="AP398" s="83" t="str">
        <f>HYPERLINK("https://t.co/HbqEOzKPEa")</f>
        <v>https://t.co/HbqEOzKPEa</v>
      </c>
      <c r="AQ398" s="83" t="str">
        <f>HYPERLINK("https://www.youtube.com/@GPSdosNegocios")</f>
        <v>https://www.youtube.com/@GPSdosNegocios</v>
      </c>
      <c r="AR398" s="76" t="s">
        <v>19231</v>
      </c>
      <c r="AS398" s="76"/>
      <c r="AT398" s="76"/>
      <c r="AU398" s="76"/>
      <c r="AV398" s="76"/>
      <c r="AW398" s="83" t="str">
        <f>HYPERLINK("https://t.co/HbqEOzKPEa")</f>
        <v>https://t.co/HbqEOzKPEa</v>
      </c>
      <c r="AX398" s="76" t="b">
        <v>0</v>
      </c>
      <c r="AY398" s="76"/>
      <c r="AZ398" s="76"/>
      <c r="BA398" s="76" t="b">
        <v>0</v>
      </c>
      <c r="BB398" s="76" t="b">
        <v>1</v>
      </c>
      <c r="BC398" s="76" t="b">
        <v>1</v>
      </c>
      <c r="BD398" s="76" t="b">
        <v>0</v>
      </c>
      <c r="BE398" s="76" t="b">
        <v>0</v>
      </c>
      <c r="BF398" s="76" t="b">
        <v>0</v>
      </c>
      <c r="BG398" s="76" t="b">
        <v>0</v>
      </c>
      <c r="BH398" s="83" t="str">
        <f>HYPERLINK("https://pbs.twimg.com/profile_banners/1625912932188946443/1686522301")</f>
        <v>https://pbs.twimg.com/profile_banners/1625912932188946443/1686522301</v>
      </c>
      <c r="BI398" s="76"/>
      <c r="BJ398" s="76" t="s">
        <v>19633</v>
      </c>
      <c r="BK398" s="76" t="b">
        <v>0</v>
      </c>
      <c r="BL398" s="76"/>
      <c r="BM398" s="76" t="s">
        <v>66</v>
      </c>
      <c r="BN398" s="76" t="s">
        <v>19635</v>
      </c>
      <c r="BO398" s="83" t="str">
        <f>HYPERLINK("https://twitter.com/gpsdosnegocios")</f>
        <v>https://twitter.com/gpsdosnegocios</v>
      </c>
      <c r="BP398" s="2"/>
    </row>
    <row r="399" spans="1:68" x14ac:dyDescent="0.25">
      <c r="A399" s="62" t="s">
        <v>568</v>
      </c>
      <c r="B399" s="63"/>
      <c r="C399" s="63"/>
      <c r="D399" s="64"/>
      <c r="E399" s="66"/>
      <c r="F399" s="103" t="str">
        <f>HYPERLINK("https://pbs.twimg.com/profile_images/1154173733239754753/oDDGSqSc_normal.jpg")</f>
        <v>https://pbs.twimg.com/profile_images/1154173733239754753/oDDGSqSc_normal.jpg</v>
      </c>
      <c r="G399" s="63"/>
      <c r="H399" s="67"/>
      <c r="I399" s="68"/>
      <c r="J399" s="68"/>
      <c r="K399" s="67" t="s">
        <v>20031</v>
      </c>
      <c r="L399" s="71"/>
      <c r="M399" s="72"/>
      <c r="N399" s="72"/>
      <c r="O399" s="73"/>
      <c r="P399" s="74"/>
      <c r="Q399" s="74"/>
      <c r="R399" s="87"/>
      <c r="S399" s="87"/>
      <c r="T399" s="87"/>
      <c r="U399" s="87"/>
      <c r="V399" s="48"/>
      <c r="W399" s="48"/>
      <c r="X399" s="47">
        <v>1.101E-3</v>
      </c>
      <c r="Y399" s="48"/>
      <c r="Z399" s="47"/>
      <c r="AA399" s="69">
        <v>399</v>
      </c>
      <c r="AB399" s="69"/>
      <c r="AC399" s="70"/>
      <c r="AD399" s="76" t="s">
        <v>17034</v>
      </c>
      <c r="AE399" s="81" t="s">
        <v>17672</v>
      </c>
      <c r="AF399" s="76">
        <v>11</v>
      </c>
      <c r="AG399" s="76">
        <v>128</v>
      </c>
      <c r="AH399" s="76">
        <v>803</v>
      </c>
      <c r="AI399" s="76">
        <v>0</v>
      </c>
      <c r="AJ399" s="76">
        <v>122</v>
      </c>
      <c r="AK399" s="76">
        <v>0</v>
      </c>
      <c r="AL399" s="76" t="b">
        <v>0</v>
      </c>
      <c r="AM399" s="78">
        <v>41428.57984953704</v>
      </c>
      <c r="AN399" s="76"/>
      <c r="AO399" s="76"/>
      <c r="AP399" s="76"/>
      <c r="AQ399" s="76"/>
      <c r="AR399" s="76"/>
      <c r="AS399" s="76"/>
      <c r="AT399" s="76"/>
      <c r="AU399" s="76"/>
      <c r="AV399" s="76"/>
      <c r="AW399" s="76"/>
      <c r="AX399" s="76" t="b">
        <v>0</v>
      </c>
      <c r="AY399" s="76"/>
      <c r="AZ399" s="76"/>
      <c r="BA399" s="76" t="b">
        <v>0</v>
      </c>
      <c r="BB399" s="76" t="b">
        <v>1</v>
      </c>
      <c r="BC399" s="76" t="b">
        <v>1</v>
      </c>
      <c r="BD399" s="76" t="b">
        <v>0</v>
      </c>
      <c r="BE399" s="76" t="b">
        <v>1</v>
      </c>
      <c r="BF399" s="76" t="b">
        <v>0</v>
      </c>
      <c r="BG399" s="76" t="b">
        <v>0</v>
      </c>
      <c r="BH399" s="76"/>
      <c r="BI399" s="76"/>
      <c r="BJ399" s="76" t="s">
        <v>19633</v>
      </c>
      <c r="BK399" s="76" t="b">
        <v>0</v>
      </c>
      <c r="BL399" s="76"/>
      <c r="BM399" s="76" t="s">
        <v>66</v>
      </c>
      <c r="BN399" s="76" t="s">
        <v>19635</v>
      </c>
      <c r="BO399" s="83" t="str">
        <f>HYPERLINK("https://twitter.com/dtirado1")</f>
        <v>https://twitter.com/dtirado1</v>
      </c>
      <c r="BP399" s="2"/>
    </row>
    <row r="400" spans="1:68" x14ac:dyDescent="0.25">
      <c r="A400" s="62" t="s">
        <v>569</v>
      </c>
      <c r="B400" s="63"/>
      <c r="C400" s="63"/>
      <c r="D400" s="64"/>
      <c r="E400" s="66"/>
      <c r="F400" s="103" t="str">
        <f>HYPERLINK("https://pbs.twimg.com/profile_images/1543015489282215938/GkKVAQqe_normal.jpg")</f>
        <v>https://pbs.twimg.com/profile_images/1543015489282215938/GkKVAQqe_normal.jpg</v>
      </c>
      <c r="G400" s="63"/>
      <c r="H400" s="67"/>
      <c r="I400" s="68"/>
      <c r="J400" s="68"/>
      <c r="K400" s="67" t="s">
        <v>20032</v>
      </c>
      <c r="L400" s="71"/>
      <c r="M400" s="72"/>
      <c r="N400" s="72"/>
      <c r="O400" s="73"/>
      <c r="P400" s="74"/>
      <c r="Q400" s="74"/>
      <c r="R400" s="87"/>
      <c r="S400" s="87"/>
      <c r="T400" s="87"/>
      <c r="U400" s="87"/>
      <c r="V400" s="48"/>
      <c r="W400" s="48"/>
      <c r="X400" s="47">
        <v>1.101E-3</v>
      </c>
      <c r="Y400" s="48"/>
      <c r="Z400" s="47"/>
      <c r="AA400" s="69">
        <v>400</v>
      </c>
      <c r="AB400" s="69"/>
      <c r="AC400" s="70"/>
      <c r="AD400" s="76" t="s">
        <v>17035</v>
      </c>
      <c r="AE400" s="81" t="s">
        <v>16330</v>
      </c>
      <c r="AF400" s="76">
        <v>81</v>
      </c>
      <c r="AG400" s="76">
        <v>65</v>
      </c>
      <c r="AH400" s="76">
        <v>267</v>
      </c>
      <c r="AI400" s="76">
        <v>0</v>
      </c>
      <c r="AJ400" s="76">
        <v>2</v>
      </c>
      <c r="AK400" s="76">
        <v>85</v>
      </c>
      <c r="AL400" s="76" t="b">
        <v>0</v>
      </c>
      <c r="AM400" s="78">
        <v>43893.066458333335</v>
      </c>
      <c r="AN400" s="76"/>
      <c r="AO400" s="76" t="s">
        <v>18513</v>
      </c>
      <c r="AP400" s="83" t="str">
        <f>HYPERLINK("https://t.co/rX7cWG4qkS")</f>
        <v>https://t.co/rX7cWG4qkS</v>
      </c>
      <c r="AQ400" s="83" t="str">
        <f>HYPERLINK("https://lp.financasup.com/plannerfinanceiro")</f>
        <v>https://lp.financasup.com/plannerfinanceiro</v>
      </c>
      <c r="AR400" s="76" t="s">
        <v>19232</v>
      </c>
      <c r="AS400" s="76"/>
      <c r="AT400" s="76"/>
      <c r="AU400" s="76"/>
      <c r="AV400" s="76"/>
      <c r="AW400" s="83" t="str">
        <f>HYPERLINK("https://t.co/rX7cWG4qkS")</f>
        <v>https://t.co/rX7cWG4qkS</v>
      </c>
      <c r="AX400" s="76" t="b">
        <v>0</v>
      </c>
      <c r="AY400" s="76"/>
      <c r="AZ400" s="76"/>
      <c r="BA400" s="76" t="b">
        <v>0</v>
      </c>
      <c r="BB400" s="76" t="b">
        <v>0</v>
      </c>
      <c r="BC400" s="76" t="b">
        <v>1</v>
      </c>
      <c r="BD400" s="76" t="b">
        <v>0</v>
      </c>
      <c r="BE400" s="76" t="b">
        <v>0</v>
      </c>
      <c r="BF400" s="76" t="b">
        <v>0</v>
      </c>
      <c r="BG400" s="76" t="b">
        <v>0</v>
      </c>
      <c r="BH400" s="83" t="str">
        <f>HYPERLINK("https://pbs.twimg.com/profile_banners/1234653612330115072/1602272637")</f>
        <v>https://pbs.twimg.com/profile_banners/1234653612330115072/1602272637</v>
      </c>
      <c r="BI400" s="76"/>
      <c r="BJ400" s="76" t="s">
        <v>19633</v>
      </c>
      <c r="BK400" s="76" t="b">
        <v>0</v>
      </c>
      <c r="BL400" s="76"/>
      <c r="BM400" s="76" t="s">
        <v>66</v>
      </c>
      <c r="BN400" s="76" t="s">
        <v>19635</v>
      </c>
      <c r="BO400" s="83" t="str">
        <f>HYPERLINK("https://twitter.com/financasup")</f>
        <v>https://twitter.com/financasup</v>
      </c>
      <c r="BP400" s="2"/>
    </row>
    <row r="401" spans="1:68" x14ac:dyDescent="0.25">
      <c r="A401" s="62" t="s">
        <v>570</v>
      </c>
      <c r="B401" s="63"/>
      <c r="C401" s="63"/>
      <c r="D401" s="64"/>
      <c r="E401" s="66"/>
      <c r="F401" s="103" t="str">
        <f>HYPERLINK("https://pbs.twimg.com/profile_images/922111564894867456/5x2lYTGT_normal.jpg")</f>
        <v>https://pbs.twimg.com/profile_images/922111564894867456/5x2lYTGT_normal.jpg</v>
      </c>
      <c r="G401" s="63"/>
      <c r="H401" s="67"/>
      <c r="I401" s="68"/>
      <c r="J401" s="68"/>
      <c r="K401" s="67" t="s">
        <v>20033</v>
      </c>
      <c r="L401" s="71"/>
      <c r="M401" s="72"/>
      <c r="N401" s="72"/>
      <c r="O401" s="73"/>
      <c r="P401" s="74"/>
      <c r="Q401" s="74"/>
      <c r="R401" s="87"/>
      <c r="S401" s="87"/>
      <c r="T401" s="87"/>
      <c r="U401" s="87"/>
      <c r="V401" s="48"/>
      <c r="W401" s="48"/>
      <c r="X401" s="47">
        <v>1.101E-3</v>
      </c>
      <c r="Y401" s="48"/>
      <c r="Z401" s="47"/>
      <c r="AA401" s="69">
        <v>401</v>
      </c>
      <c r="AB401" s="69"/>
      <c r="AC401" s="70"/>
      <c r="AD401" s="76" t="s">
        <v>17036</v>
      </c>
      <c r="AE401" s="81" t="s">
        <v>16331</v>
      </c>
      <c r="AF401" s="76">
        <v>8</v>
      </c>
      <c r="AG401" s="76">
        <v>56</v>
      </c>
      <c r="AH401" s="76">
        <v>1360</v>
      </c>
      <c r="AI401" s="76">
        <v>0</v>
      </c>
      <c r="AJ401" s="76">
        <v>1026</v>
      </c>
      <c r="AK401" s="76">
        <v>48</v>
      </c>
      <c r="AL401" s="76" t="b">
        <v>0</v>
      </c>
      <c r="AM401" s="78">
        <v>43030.598310185182</v>
      </c>
      <c r="AN401" s="76"/>
      <c r="AO401" s="76"/>
      <c r="AP401" s="76"/>
      <c r="AQ401" s="76"/>
      <c r="AR401" s="76"/>
      <c r="AS401" s="76"/>
      <c r="AT401" s="76"/>
      <c r="AU401" s="76"/>
      <c r="AV401" s="76"/>
      <c r="AW401" s="76"/>
      <c r="AX401" s="76" t="b">
        <v>0</v>
      </c>
      <c r="AY401" s="76"/>
      <c r="AZ401" s="76"/>
      <c r="BA401" s="76" t="b">
        <v>0</v>
      </c>
      <c r="BB401" s="76" t="b">
        <v>1</v>
      </c>
      <c r="BC401" s="76" t="b">
        <v>1</v>
      </c>
      <c r="BD401" s="76" t="b">
        <v>0</v>
      </c>
      <c r="BE401" s="76" t="b">
        <v>0</v>
      </c>
      <c r="BF401" s="76" t="b">
        <v>0</v>
      </c>
      <c r="BG401" s="76" t="b">
        <v>0</v>
      </c>
      <c r="BH401" s="83" t="str">
        <f>HYPERLINK("https://pbs.twimg.com/profile_banners/922105653333774342/1508683508")</f>
        <v>https://pbs.twimg.com/profile_banners/922105653333774342/1508683508</v>
      </c>
      <c r="BI401" s="76"/>
      <c r="BJ401" s="76" t="s">
        <v>19633</v>
      </c>
      <c r="BK401" s="76" t="b">
        <v>0</v>
      </c>
      <c r="BL401" s="76"/>
      <c r="BM401" s="76" t="s">
        <v>66</v>
      </c>
      <c r="BN401" s="76" t="s">
        <v>19635</v>
      </c>
      <c r="BO401" s="83" t="str">
        <f>HYPERLINK("https://twitter.com/mmartinsandrade")</f>
        <v>https://twitter.com/mmartinsandrade</v>
      </c>
      <c r="BP401" s="2"/>
    </row>
    <row r="402" spans="1:68" x14ac:dyDescent="0.25">
      <c r="A402" s="62" t="s">
        <v>571</v>
      </c>
      <c r="B402" s="63"/>
      <c r="C402" s="63"/>
      <c r="D402" s="64"/>
      <c r="E402" s="66"/>
      <c r="F402" s="103" t="str">
        <f>HYPERLINK("https://pbs.twimg.com/profile_images/1598287289771245574/R0iaz4GR_normal.jpg")</f>
        <v>https://pbs.twimg.com/profile_images/1598287289771245574/R0iaz4GR_normal.jpg</v>
      </c>
      <c r="G402" s="63"/>
      <c r="H402" s="67"/>
      <c r="I402" s="68"/>
      <c r="J402" s="68"/>
      <c r="K402" s="67" t="s">
        <v>20034</v>
      </c>
      <c r="L402" s="71"/>
      <c r="M402" s="72"/>
      <c r="N402" s="72"/>
      <c r="O402" s="73"/>
      <c r="P402" s="74"/>
      <c r="Q402" s="74"/>
      <c r="R402" s="87"/>
      <c r="S402" s="87"/>
      <c r="T402" s="87"/>
      <c r="U402" s="87"/>
      <c r="V402" s="48"/>
      <c r="W402" s="48"/>
      <c r="X402" s="47">
        <v>1.101E-3</v>
      </c>
      <c r="Y402" s="48"/>
      <c r="Z402" s="47"/>
      <c r="AA402" s="69">
        <v>402</v>
      </c>
      <c r="AB402" s="69"/>
      <c r="AC402" s="70"/>
      <c r="AD402" s="76" t="s">
        <v>17037</v>
      </c>
      <c r="AE402" s="81" t="s">
        <v>17673</v>
      </c>
      <c r="AF402" s="76">
        <v>2989</v>
      </c>
      <c r="AG402" s="76">
        <v>153</v>
      </c>
      <c r="AH402" s="76">
        <v>9873</v>
      </c>
      <c r="AI402" s="76">
        <v>26</v>
      </c>
      <c r="AJ402" s="76">
        <v>358</v>
      </c>
      <c r="AK402" s="76">
        <v>3918</v>
      </c>
      <c r="AL402" s="76" t="b">
        <v>0</v>
      </c>
      <c r="AM402" s="78">
        <v>40132.976412037038</v>
      </c>
      <c r="AN402" s="76" t="s">
        <v>17998</v>
      </c>
      <c r="AO402" s="76" t="s">
        <v>18514</v>
      </c>
      <c r="AP402" s="83" t="str">
        <f>HYPERLINK("https://t.co/mr9mHRQQkK")</f>
        <v>https://t.co/mr9mHRQQkK</v>
      </c>
      <c r="AQ402" s="83" t="str">
        <f>HYPERLINK("http://www.mg.senac.br")</f>
        <v>http://www.mg.senac.br</v>
      </c>
      <c r="AR402" s="76" t="s">
        <v>19233</v>
      </c>
      <c r="AS402" s="76"/>
      <c r="AT402" s="76"/>
      <c r="AU402" s="76"/>
      <c r="AV402" s="76">
        <v>1.6124492030824599E+18</v>
      </c>
      <c r="AW402" s="83" t="str">
        <f>HYPERLINK("https://t.co/mr9mHRQQkK")</f>
        <v>https://t.co/mr9mHRQQkK</v>
      </c>
      <c r="AX402" s="76" t="b">
        <v>0</v>
      </c>
      <c r="AY402" s="76"/>
      <c r="AZ402" s="76"/>
      <c r="BA402" s="76" t="b">
        <v>1</v>
      </c>
      <c r="BB402" s="76" t="b">
        <v>1</v>
      </c>
      <c r="BC402" s="76" t="b">
        <v>0</v>
      </c>
      <c r="BD402" s="76" t="b">
        <v>0</v>
      </c>
      <c r="BE402" s="76" t="b">
        <v>0</v>
      </c>
      <c r="BF402" s="76" t="b">
        <v>0</v>
      </c>
      <c r="BG402" s="76" t="b">
        <v>0</v>
      </c>
      <c r="BH402" s="83" t="str">
        <f>HYPERLINK("https://pbs.twimg.com/profile_banners/90272946/1669896360")</f>
        <v>https://pbs.twimg.com/profile_banners/90272946/1669896360</v>
      </c>
      <c r="BI402" s="76"/>
      <c r="BJ402" s="76" t="s">
        <v>19633</v>
      </c>
      <c r="BK402" s="76" t="b">
        <v>0</v>
      </c>
      <c r="BL402" s="76"/>
      <c r="BM402" s="76" t="s">
        <v>66</v>
      </c>
      <c r="BN402" s="76" t="s">
        <v>19635</v>
      </c>
      <c r="BO402" s="83" t="str">
        <f>HYPERLINK("https://twitter.com/senacminas")</f>
        <v>https://twitter.com/senacminas</v>
      </c>
      <c r="BP402" s="2"/>
    </row>
    <row r="403" spans="1:68" x14ac:dyDescent="0.25">
      <c r="A403" s="62" t="s">
        <v>572</v>
      </c>
      <c r="B403" s="63"/>
      <c r="C403" s="63"/>
      <c r="D403" s="64"/>
      <c r="E403" s="66"/>
      <c r="F403" s="103" t="str">
        <f>HYPERLINK("https://pbs.twimg.com/profile_images/1591785323847204864/6GgRaxgl_normal.jpg")</f>
        <v>https://pbs.twimg.com/profile_images/1591785323847204864/6GgRaxgl_normal.jpg</v>
      </c>
      <c r="G403" s="63"/>
      <c r="H403" s="67"/>
      <c r="I403" s="68"/>
      <c r="J403" s="68"/>
      <c r="K403" s="67" t="s">
        <v>20035</v>
      </c>
      <c r="L403" s="71"/>
      <c r="M403" s="72"/>
      <c r="N403" s="72"/>
      <c r="O403" s="73"/>
      <c r="P403" s="74"/>
      <c r="Q403" s="74"/>
      <c r="R403" s="87"/>
      <c r="S403" s="87"/>
      <c r="T403" s="87"/>
      <c r="U403" s="87"/>
      <c r="V403" s="48"/>
      <c r="W403" s="48"/>
      <c r="X403" s="47">
        <v>1.101E-3</v>
      </c>
      <c r="Y403" s="48"/>
      <c r="Z403" s="47"/>
      <c r="AA403" s="69">
        <v>403</v>
      </c>
      <c r="AB403" s="69"/>
      <c r="AC403" s="70"/>
      <c r="AD403" s="76" t="s">
        <v>17038</v>
      </c>
      <c r="AE403" s="81" t="s">
        <v>16332</v>
      </c>
      <c r="AF403" s="76">
        <v>1</v>
      </c>
      <c r="AG403" s="76">
        <v>4</v>
      </c>
      <c r="AH403" s="76">
        <v>4</v>
      </c>
      <c r="AI403" s="76">
        <v>0</v>
      </c>
      <c r="AJ403" s="76">
        <v>0</v>
      </c>
      <c r="AK403" s="76">
        <v>0</v>
      </c>
      <c r="AL403" s="76" t="b">
        <v>0</v>
      </c>
      <c r="AM403" s="78">
        <v>44878.562141203707</v>
      </c>
      <c r="AN403" s="76"/>
      <c r="AO403" s="76"/>
      <c r="AP403" s="76"/>
      <c r="AQ403" s="76"/>
      <c r="AR403" s="76"/>
      <c r="AS403" s="76"/>
      <c r="AT403" s="76"/>
      <c r="AU403" s="76"/>
      <c r="AV403" s="76"/>
      <c r="AW403" s="76"/>
      <c r="AX403" s="76" t="b">
        <v>0</v>
      </c>
      <c r="AY403" s="76"/>
      <c r="AZ403" s="76"/>
      <c r="BA403" s="76" t="b">
        <v>0</v>
      </c>
      <c r="BB403" s="76" t="b">
        <v>1</v>
      </c>
      <c r="BC403" s="76" t="b">
        <v>1</v>
      </c>
      <c r="BD403" s="76" t="b">
        <v>0</v>
      </c>
      <c r="BE403" s="76" t="b">
        <v>0</v>
      </c>
      <c r="BF403" s="76" t="b">
        <v>0</v>
      </c>
      <c r="BG403" s="76" t="b">
        <v>0</v>
      </c>
      <c r="BH403" s="76"/>
      <c r="BI403" s="76"/>
      <c r="BJ403" s="76" t="s">
        <v>19633</v>
      </c>
      <c r="BK403" s="76" t="b">
        <v>0</v>
      </c>
      <c r="BL403" s="76"/>
      <c r="BM403" s="76" t="s">
        <v>66</v>
      </c>
      <c r="BN403" s="76" t="s">
        <v>19635</v>
      </c>
      <c r="BO403" s="83" t="str">
        <f>HYPERLINK("https://twitter.com/_lehteixeira")</f>
        <v>https://twitter.com/_lehteixeira</v>
      </c>
      <c r="BP403" s="2"/>
    </row>
    <row r="404" spans="1:68" x14ac:dyDescent="0.25">
      <c r="A404" s="62" t="s">
        <v>573</v>
      </c>
      <c r="B404" s="63"/>
      <c r="C404" s="63"/>
      <c r="D404" s="64"/>
      <c r="E404" s="66"/>
      <c r="F404" s="103" t="str">
        <f>HYPERLINK("https://pbs.twimg.com/profile_images/1610705889765343243/7C4SraH0_normal.jpg")</f>
        <v>https://pbs.twimg.com/profile_images/1610705889765343243/7C4SraH0_normal.jpg</v>
      </c>
      <c r="G404" s="63"/>
      <c r="H404" s="67"/>
      <c r="I404" s="68"/>
      <c r="J404" s="68"/>
      <c r="K404" s="67" t="s">
        <v>20036</v>
      </c>
      <c r="L404" s="71"/>
      <c r="M404" s="72"/>
      <c r="N404" s="72"/>
      <c r="O404" s="73"/>
      <c r="P404" s="74"/>
      <c r="Q404" s="74"/>
      <c r="R404" s="87"/>
      <c r="S404" s="87"/>
      <c r="T404" s="87"/>
      <c r="U404" s="87"/>
      <c r="V404" s="48"/>
      <c r="W404" s="48"/>
      <c r="X404" s="47">
        <v>1.101E-3</v>
      </c>
      <c r="Y404" s="48"/>
      <c r="Z404" s="47"/>
      <c r="AA404" s="69">
        <v>404</v>
      </c>
      <c r="AB404" s="69"/>
      <c r="AC404" s="70"/>
      <c r="AD404" s="76" t="s">
        <v>17039</v>
      </c>
      <c r="AE404" s="81" t="s">
        <v>16333</v>
      </c>
      <c r="AF404" s="76">
        <v>9</v>
      </c>
      <c r="AG404" s="76">
        <v>72</v>
      </c>
      <c r="AH404" s="76">
        <v>80</v>
      </c>
      <c r="AI404" s="76">
        <v>0</v>
      </c>
      <c r="AJ404" s="76">
        <v>0</v>
      </c>
      <c r="AK404" s="76">
        <v>60</v>
      </c>
      <c r="AL404" s="76" t="b">
        <v>0</v>
      </c>
      <c r="AM404" s="78">
        <v>44930.640208333331</v>
      </c>
      <c r="AN404" s="76"/>
      <c r="AO404" s="76" t="s">
        <v>18515</v>
      </c>
      <c r="AP404" s="76"/>
      <c r="AQ404" s="76"/>
      <c r="AR404" s="76"/>
      <c r="AS404" s="76"/>
      <c r="AT404" s="76"/>
      <c r="AU404" s="76"/>
      <c r="AV404" s="76"/>
      <c r="AW404" s="76"/>
      <c r="AX404" s="76" t="b">
        <v>0</v>
      </c>
      <c r="AY404" s="76"/>
      <c r="AZ404" s="76"/>
      <c r="BA404" s="76" t="b">
        <v>0</v>
      </c>
      <c r="BB404" s="76" t="b">
        <v>1</v>
      </c>
      <c r="BC404" s="76" t="b">
        <v>1</v>
      </c>
      <c r="BD404" s="76" t="b">
        <v>0</v>
      </c>
      <c r="BE404" s="76" t="b">
        <v>0</v>
      </c>
      <c r="BF404" s="76" t="b">
        <v>0</v>
      </c>
      <c r="BG404" s="76" t="b">
        <v>0</v>
      </c>
      <c r="BH404" s="76"/>
      <c r="BI404" s="76"/>
      <c r="BJ404" s="76" t="s">
        <v>19633</v>
      </c>
      <c r="BK404" s="76" t="b">
        <v>0</v>
      </c>
      <c r="BL404" s="76"/>
      <c r="BM404" s="76" t="s">
        <v>66</v>
      </c>
      <c r="BN404" s="76" t="s">
        <v>19635</v>
      </c>
      <c r="BO404" s="83" t="str">
        <f>HYPERLINK("https://twitter.com/cleitonfinancas")</f>
        <v>https://twitter.com/cleitonfinancas</v>
      </c>
      <c r="BP404" s="2"/>
    </row>
    <row r="405" spans="1:68" x14ac:dyDescent="0.25">
      <c r="A405" s="62" t="s">
        <v>574</v>
      </c>
      <c r="B405" s="63"/>
      <c r="C405" s="63"/>
      <c r="D405" s="64"/>
      <c r="E405" s="66"/>
      <c r="F405" s="103" t="str">
        <f>HYPERLINK("https://pbs.twimg.com/profile_images/1657211492993777664/SJGrnlKQ_normal.jpg")</f>
        <v>https://pbs.twimg.com/profile_images/1657211492993777664/SJGrnlKQ_normal.jpg</v>
      </c>
      <c r="G405" s="63"/>
      <c r="H405" s="67"/>
      <c r="I405" s="68"/>
      <c r="J405" s="68"/>
      <c r="K405" s="67" t="s">
        <v>20037</v>
      </c>
      <c r="L405" s="71"/>
      <c r="M405" s="72"/>
      <c r="N405" s="72"/>
      <c r="O405" s="73"/>
      <c r="P405" s="74"/>
      <c r="Q405" s="74"/>
      <c r="R405" s="87"/>
      <c r="S405" s="87"/>
      <c r="T405" s="87"/>
      <c r="U405" s="87"/>
      <c r="V405" s="48"/>
      <c r="W405" s="48"/>
      <c r="X405" s="47">
        <v>1.101E-3</v>
      </c>
      <c r="Y405" s="48"/>
      <c r="Z405" s="47"/>
      <c r="AA405" s="69">
        <v>405</v>
      </c>
      <c r="AB405" s="69"/>
      <c r="AC405" s="70"/>
      <c r="AD405" s="76" t="s">
        <v>17040</v>
      </c>
      <c r="AE405" s="81" t="s">
        <v>16334</v>
      </c>
      <c r="AF405" s="76">
        <v>3185</v>
      </c>
      <c r="AG405" s="76">
        <v>5000</v>
      </c>
      <c r="AH405" s="76">
        <v>30873</v>
      </c>
      <c r="AI405" s="76">
        <v>3</v>
      </c>
      <c r="AJ405" s="76">
        <v>5804</v>
      </c>
      <c r="AK405" s="76">
        <v>8465</v>
      </c>
      <c r="AL405" s="76" t="b">
        <v>0</v>
      </c>
      <c r="AM405" s="78">
        <v>43878.619201388887</v>
      </c>
      <c r="AN405" s="76" t="s">
        <v>10571</v>
      </c>
      <c r="AO405" s="76" t="s">
        <v>18516</v>
      </c>
      <c r="AP405" s="83" t="str">
        <f>HYPERLINK("https://t.co/BlMGPAouV7")</f>
        <v>https://t.co/BlMGPAouV7</v>
      </c>
      <c r="AQ405" s="83" t="str">
        <f>HYPERLINK("http://www.atletico.com.br")</f>
        <v>http://www.atletico.com.br</v>
      </c>
      <c r="AR405" s="76" t="s">
        <v>19234</v>
      </c>
      <c r="AS405" s="76"/>
      <c r="AT405" s="76"/>
      <c r="AU405" s="76"/>
      <c r="AV405" s="76">
        <v>1.4450857351079401E+18</v>
      </c>
      <c r="AW405" s="83" t="str">
        <f>HYPERLINK("https://t.co/BlMGPAouV7")</f>
        <v>https://t.co/BlMGPAouV7</v>
      </c>
      <c r="AX405" s="76" t="b">
        <v>0</v>
      </c>
      <c r="AY405" s="76"/>
      <c r="AZ405" s="76"/>
      <c r="BA405" s="76" t="b">
        <v>1</v>
      </c>
      <c r="BB405" s="76" t="b">
        <v>1</v>
      </c>
      <c r="BC405" s="76" t="b">
        <v>1</v>
      </c>
      <c r="BD405" s="76" t="b">
        <v>0</v>
      </c>
      <c r="BE405" s="76" t="b">
        <v>1</v>
      </c>
      <c r="BF405" s="76" t="b">
        <v>0</v>
      </c>
      <c r="BG405" s="76" t="b">
        <v>0</v>
      </c>
      <c r="BH405" s="83" t="str">
        <f>HYPERLINK("https://pbs.twimg.com/profile_banners/1229418075633700866/1676319821")</f>
        <v>https://pbs.twimg.com/profile_banners/1229418075633700866/1676319821</v>
      </c>
      <c r="BI405" s="76"/>
      <c r="BJ405" s="76" t="s">
        <v>19633</v>
      </c>
      <c r="BK405" s="76" t="b">
        <v>0</v>
      </c>
      <c r="BL405" s="76"/>
      <c r="BM405" s="76" t="s">
        <v>66</v>
      </c>
      <c r="BN405" s="76" t="s">
        <v>19635</v>
      </c>
      <c r="BO405" s="83" t="str">
        <f>HYPERLINK("https://twitter.com/galaoda13")</f>
        <v>https://twitter.com/galaoda13</v>
      </c>
      <c r="BP405" s="2"/>
    </row>
    <row r="406" spans="1:68" x14ac:dyDescent="0.25">
      <c r="A406" s="62" t="s">
        <v>575</v>
      </c>
      <c r="B406" s="63"/>
      <c r="C406" s="63"/>
      <c r="D406" s="64"/>
      <c r="E406" s="66"/>
      <c r="F406" s="103" t="str">
        <f>HYPERLINK("https://pbs.twimg.com/profile_images/1226875451/marcio_normal.jpg")</f>
        <v>https://pbs.twimg.com/profile_images/1226875451/marcio_normal.jpg</v>
      </c>
      <c r="G406" s="63"/>
      <c r="H406" s="67"/>
      <c r="I406" s="68"/>
      <c r="J406" s="68"/>
      <c r="K406" s="67" t="s">
        <v>20038</v>
      </c>
      <c r="L406" s="71"/>
      <c r="M406" s="72"/>
      <c r="N406" s="72"/>
      <c r="O406" s="73"/>
      <c r="P406" s="74"/>
      <c r="Q406" s="74"/>
      <c r="R406" s="87"/>
      <c r="S406" s="87"/>
      <c r="T406" s="87"/>
      <c r="U406" s="87"/>
      <c r="V406" s="48"/>
      <c r="W406" s="48"/>
      <c r="X406" s="47">
        <v>1.024E-3</v>
      </c>
      <c r="Y406" s="48"/>
      <c r="Z406" s="47"/>
      <c r="AA406" s="69">
        <v>406</v>
      </c>
      <c r="AB406" s="69"/>
      <c r="AC406" s="70"/>
      <c r="AD406" s="76" t="s">
        <v>17041</v>
      </c>
      <c r="AE406" s="81" t="s">
        <v>17674</v>
      </c>
      <c r="AF406" s="76">
        <v>131</v>
      </c>
      <c r="AG406" s="76">
        <v>12</v>
      </c>
      <c r="AH406" s="76">
        <v>2381</v>
      </c>
      <c r="AI406" s="76">
        <v>0</v>
      </c>
      <c r="AJ406" s="76">
        <v>136</v>
      </c>
      <c r="AK406" s="76">
        <v>682</v>
      </c>
      <c r="AL406" s="76" t="b">
        <v>0</v>
      </c>
      <c r="AM406" s="78">
        <v>40570.109178240738</v>
      </c>
      <c r="AN406" s="76" t="s">
        <v>17999</v>
      </c>
      <c r="AO406" s="76" t="s">
        <v>18517</v>
      </c>
      <c r="AP406" s="83" t="str">
        <f>HYPERLINK("https://t.co/qq4dHjqHaf")</f>
        <v>https://t.co/qq4dHjqHaf</v>
      </c>
      <c r="AQ406" s="83" t="str">
        <f>HYPERLINK("https://apptuts.bio/marciocardial")</f>
        <v>https://apptuts.bio/marciocardial</v>
      </c>
      <c r="AR406" s="76" t="s">
        <v>19235</v>
      </c>
      <c r="AS406" s="76"/>
      <c r="AT406" s="76"/>
      <c r="AU406" s="76"/>
      <c r="AV406" s="76"/>
      <c r="AW406" s="83" t="str">
        <f>HYPERLINK("https://t.co/qq4dHjqHaf")</f>
        <v>https://t.co/qq4dHjqHaf</v>
      </c>
      <c r="AX406" s="76" t="b">
        <v>0</v>
      </c>
      <c r="AY406" s="76"/>
      <c r="AZ406" s="76"/>
      <c r="BA406" s="76" t="b">
        <v>0</v>
      </c>
      <c r="BB406" s="76" t="b">
        <v>1</v>
      </c>
      <c r="BC406" s="76" t="b">
        <v>0</v>
      </c>
      <c r="BD406" s="76" t="b">
        <v>0</v>
      </c>
      <c r="BE406" s="76" t="b">
        <v>0</v>
      </c>
      <c r="BF406" s="76" t="b">
        <v>0</v>
      </c>
      <c r="BG406" s="76" t="b">
        <v>0</v>
      </c>
      <c r="BH406" s="83" t="str">
        <f>HYPERLINK("https://pbs.twimg.com/profile_banners/243455310/1694574870")</f>
        <v>https://pbs.twimg.com/profile_banners/243455310/1694574870</v>
      </c>
      <c r="BI406" s="76"/>
      <c r="BJ406" s="76" t="s">
        <v>19633</v>
      </c>
      <c r="BK406" s="76" t="b">
        <v>0</v>
      </c>
      <c r="BL406" s="76"/>
      <c r="BM406" s="76" t="s">
        <v>66</v>
      </c>
      <c r="BN406" s="76" t="s">
        <v>19635</v>
      </c>
      <c r="BO406" s="83" t="str">
        <f>HYPERLINK("https://twitter.com/marciocardial")</f>
        <v>https://twitter.com/marciocardial</v>
      </c>
      <c r="BP406" s="2"/>
    </row>
    <row r="407" spans="1:68" x14ac:dyDescent="0.25">
      <c r="A407" s="62" t="s">
        <v>964</v>
      </c>
      <c r="B407" s="63"/>
      <c r="C407" s="63"/>
      <c r="D407" s="64"/>
      <c r="E407" s="66"/>
      <c r="F407" s="103" t="str">
        <f>HYPERLINK("https://pbs.twimg.com/profile_images/1675760567875694593/-0POqUOz_normal.jpg")</f>
        <v>https://pbs.twimg.com/profile_images/1675760567875694593/-0POqUOz_normal.jpg</v>
      </c>
      <c r="G407" s="63"/>
      <c r="H407" s="67"/>
      <c r="I407" s="68"/>
      <c r="J407" s="68"/>
      <c r="K407" s="67" t="s">
        <v>20039</v>
      </c>
      <c r="L407" s="71"/>
      <c r="M407" s="72"/>
      <c r="N407" s="72"/>
      <c r="O407" s="73"/>
      <c r="P407" s="74"/>
      <c r="Q407" s="74"/>
      <c r="R407" s="87"/>
      <c r="S407" s="87"/>
      <c r="T407" s="87"/>
      <c r="U407" s="87"/>
      <c r="V407" s="48"/>
      <c r="W407" s="48"/>
      <c r="X407" s="47">
        <v>1.178E-3</v>
      </c>
      <c r="Y407" s="48"/>
      <c r="Z407" s="47"/>
      <c r="AA407" s="69">
        <v>407</v>
      </c>
      <c r="AB407" s="69"/>
      <c r="AC407" s="70"/>
      <c r="AD407" s="76" t="s">
        <v>17042</v>
      </c>
      <c r="AE407" s="81" t="s">
        <v>17675</v>
      </c>
      <c r="AF407" s="76">
        <v>6118</v>
      </c>
      <c r="AG407" s="76">
        <v>48</v>
      </c>
      <c r="AH407" s="76">
        <v>3893</v>
      </c>
      <c r="AI407" s="76">
        <v>86</v>
      </c>
      <c r="AJ407" s="76">
        <v>316</v>
      </c>
      <c r="AK407" s="76">
        <v>1559</v>
      </c>
      <c r="AL407" s="76" t="b">
        <v>0</v>
      </c>
      <c r="AM407" s="78">
        <v>39889.734791666669</v>
      </c>
      <c r="AN407" s="76"/>
      <c r="AO407" s="76" t="s">
        <v>18518</v>
      </c>
      <c r="AP407" s="83" t="str">
        <f>HYPERLINK("https://t.co/EXpYbFmrlg")</f>
        <v>https://t.co/EXpYbFmrlg</v>
      </c>
      <c r="AQ407" s="83" t="str">
        <f>HYPERLINK("http://www.melhorrh.com.br")</f>
        <v>http://www.melhorrh.com.br</v>
      </c>
      <c r="AR407" s="76" t="s">
        <v>19236</v>
      </c>
      <c r="AS407" s="83" t="str">
        <f>HYPERLINK("https://t.co/2tGSRjjIEG")</f>
        <v>https://t.co/2tGSRjjIEG</v>
      </c>
      <c r="AT407" s="83" t="str">
        <f>HYPERLINK("http://linktr.ee/plataformamelh")</f>
        <v>http://linktr.ee/plataformamelh</v>
      </c>
      <c r="AU407" s="76" t="s">
        <v>19606</v>
      </c>
      <c r="AV407" s="76">
        <v>1.68875741251201E+18</v>
      </c>
      <c r="AW407" s="83" t="str">
        <f>HYPERLINK("https://t.co/EXpYbFmrlg")</f>
        <v>https://t.co/EXpYbFmrlg</v>
      </c>
      <c r="AX407" s="76" t="b">
        <v>0</v>
      </c>
      <c r="AY407" s="76"/>
      <c r="AZ407" s="76"/>
      <c r="BA407" s="76" t="b">
        <v>0</v>
      </c>
      <c r="BB407" s="76" t="b">
        <v>1</v>
      </c>
      <c r="BC407" s="76" t="b">
        <v>0</v>
      </c>
      <c r="BD407" s="76" t="b">
        <v>0</v>
      </c>
      <c r="BE407" s="76" t="b">
        <v>0</v>
      </c>
      <c r="BF407" s="76" t="b">
        <v>0</v>
      </c>
      <c r="BG407" s="76" t="b">
        <v>0</v>
      </c>
      <c r="BH407" s="83" t="str">
        <f>HYPERLINK("https://pbs.twimg.com/profile_banners/24918659/1691464099")</f>
        <v>https://pbs.twimg.com/profile_banners/24918659/1691464099</v>
      </c>
      <c r="BI407" s="76"/>
      <c r="BJ407" s="76" t="s">
        <v>19633</v>
      </c>
      <c r="BK407" s="76" t="b">
        <v>0</v>
      </c>
      <c r="BL407" s="76"/>
      <c r="BM407" s="76" t="s">
        <v>66</v>
      </c>
      <c r="BN407" s="76" t="s">
        <v>19635</v>
      </c>
      <c r="BO407" s="83" t="str">
        <f>HYPERLINK("https://twitter.com/melhorrh")</f>
        <v>https://twitter.com/melhorrh</v>
      </c>
      <c r="BP407" s="2"/>
    </row>
    <row r="408" spans="1:68" x14ac:dyDescent="0.25">
      <c r="A408" s="62" t="s">
        <v>576</v>
      </c>
      <c r="B408" s="63"/>
      <c r="C408" s="63"/>
      <c r="D408" s="64"/>
      <c r="E408" s="66"/>
      <c r="F408" s="103" t="str">
        <f>HYPERLINK("https://pbs.twimg.com/profile_images/1682878647684988928/OiqQ3FAN_normal.jpg")</f>
        <v>https://pbs.twimg.com/profile_images/1682878647684988928/OiqQ3FAN_normal.jpg</v>
      </c>
      <c r="G408" s="63"/>
      <c r="H408" s="67"/>
      <c r="I408" s="68"/>
      <c r="J408" s="68"/>
      <c r="K408" s="67" t="s">
        <v>20040</v>
      </c>
      <c r="L408" s="71"/>
      <c r="M408" s="72"/>
      <c r="N408" s="72"/>
      <c r="O408" s="73"/>
      <c r="P408" s="74"/>
      <c r="Q408" s="74"/>
      <c r="R408" s="87"/>
      <c r="S408" s="87"/>
      <c r="T408" s="87"/>
      <c r="U408" s="87"/>
      <c r="V408" s="48"/>
      <c r="W408" s="48"/>
      <c r="X408" s="47">
        <v>9.9799999999999997E-4</v>
      </c>
      <c r="Y408" s="48"/>
      <c r="Z408" s="47"/>
      <c r="AA408" s="69">
        <v>408</v>
      </c>
      <c r="AB408" s="69"/>
      <c r="AC408" s="70"/>
      <c r="AD408" s="76" t="s">
        <v>17043</v>
      </c>
      <c r="AE408" s="81" t="s">
        <v>16335</v>
      </c>
      <c r="AF408" s="76">
        <v>308</v>
      </c>
      <c r="AG408" s="76">
        <v>110</v>
      </c>
      <c r="AH408" s="76">
        <v>9311</v>
      </c>
      <c r="AI408" s="76">
        <v>5</v>
      </c>
      <c r="AJ408" s="76">
        <v>31259</v>
      </c>
      <c r="AK408" s="76">
        <v>383</v>
      </c>
      <c r="AL408" s="76" t="b">
        <v>0</v>
      </c>
      <c r="AM408" s="78">
        <v>43258.263437499998</v>
      </c>
      <c r="AN408" s="76" t="s">
        <v>17864</v>
      </c>
      <c r="AO408" s="76" t="s">
        <v>18519</v>
      </c>
      <c r="AP408" s="83" t="str">
        <f>HYPERLINK("https://t.co/KdfmVqJ1Zf")</f>
        <v>https://t.co/KdfmVqJ1Zf</v>
      </c>
      <c r="AQ408" s="83" t="str">
        <f>HYPERLINK("https://www.linkedin.com/in/valdemar-dinis-hoque-01338a18a/")</f>
        <v>https://www.linkedin.com/in/valdemar-dinis-hoque-01338a18a/</v>
      </c>
      <c r="AR408" s="76" t="s">
        <v>19237</v>
      </c>
      <c r="AS408" s="76"/>
      <c r="AT408" s="76"/>
      <c r="AU408" s="76"/>
      <c r="AV408" s="76"/>
      <c r="AW408" s="83" t="str">
        <f>HYPERLINK("https://t.co/KdfmVqJ1Zf")</f>
        <v>https://t.co/KdfmVqJ1Zf</v>
      </c>
      <c r="AX408" s="76" t="b">
        <v>0</v>
      </c>
      <c r="AY408" s="76"/>
      <c r="AZ408" s="76"/>
      <c r="BA408" s="76" t="b">
        <v>1</v>
      </c>
      <c r="BB408" s="76" t="b">
        <v>0</v>
      </c>
      <c r="BC408" s="76" t="b">
        <v>1</v>
      </c>
      <c r="BD408" s="76" t="b">
        <v>0</v>
      </c>
      <c r="BE408" s="76" t="b">
        <v>1</v>
      </c>
      <c r="BF408" s="76" t="b">
        <v>0</v>
      </c>
      <c r="BG408" s="76" t="b">
        <v>1</v>
      </c>
      <c r="BH408" s="83" t="str">
        <f>HYPERLINK("https://pbs.twimg.com/profile_banners/1004608734746873857/1588553805")</f>
        <v>https://pbs.twimg.com/profile_banners/1004608734746873857/1588553805</v>
      </c>
      <c r="BI408" s="76"/>
      <c r="BJ408" s="76" t="s">
        <v>19633</v>
      </c>
      <c r="BK408" s="76" t="b">
        <v>0</v>
      </c>
      <c r="BL408" s="76"/>
      <c r="BM408" s="76" t="s">
        <v>66</v>
      </c>
      <c r="BN408" s="76" t="s">
        <v>19635</v>
      </c>
      <c r="BO408" s="83" t="str">
        <f>HYPERLINK("https://twitter.com/valdemar_hoque")</f>
        <v>https://twitter.com/valdemar_hoque</v>
      </c>
      <c r="BP408" s="2"/>
    </row>
    <row r="409" spans="1:68" x14ac:dyDescent="0.25">
      <c r="A409" s="62" t="s">
        <v>905</v>
      </c>
      <c r="B409" s="63"/>
      <c r="C409" s="63"/>
      <c r="D409" s="64"/>
      <c r="E409" s="66"/>
      <c r="F409" s="103" t="str">
        <f>HYPERLINK("https://pbs.twimg.com/profile_images/1580446254261321729/hTec8Vff_normal.jpg")</f>
        <v>https://pbs.twimg.com/profile_images/1580446254261321729/hTec8Vff_normal.jpg</v>
      </c>
      <c r="G409" s="63"/>
      <c r="H409" s="67"/>
      <c r="I409" s="68"/>
      <c r="J409" s="68"/>
      <c r="K409" s="67" t="s">
        <v>20041</v>
      </c>
      <c r="L409" s="71"/>
      <c r="M409" s="72"/>
      <c r="N409" s="72"/>
      <c r="O409" s="73"/>
      <c r="P409" s="74"/>
      <c r="Q409" s="74"/>
      <c r="R409" s="87"/>
      <c r="S409" s="87"/>
      <c r="T409" s="87"/>
      <c r="U409" s="87"/>
      <c r="V409" s="48"/>
      <c r="W409" s="48"/>
      <c r="X409" s="47">
        <v>1.2279999999999999E-3</v>
      </c>
      <c r="Y409" s="48"/>
      <c r="Z409" s="47"/>
      <c r="AA409" s="69">
        <v>409</v>
      </c>
      <c r="AB409" s="69"/>
      <c r="AC409" s="70"/>
      <c r="AD409" s="76" t="s">
        <v>17044</v>
      </c>
      <c r="AE409" s="81" t="s">
        <v>16527</v>
      </c>
      <c r="AF409" s="76">
        <v>107</v>
      </c>
      <c r="AG409" s="76">
        <v>108</v>
      </c>
      <c r="AH409" s="76">
        <v>140</v>
      </c>
      <c r="AI409" s="76">
        <v>0</v>
      </c>
      <c r="AJ409" s="76">
        <v>273</v>
      </c>
      <c r="AK409" s="76">
        <v>35</v>
      </c>
      <c r="AL409" s="76" t="b">
        <v>0</v>
      </c>
      <c r="AM409" s="78">
        <v>43374.453564814816</v>
      </c>
      <c r="AN409" s="76" t="s">
        <v>18000</v>
      </c>
      <c r="AO409" s="76" t="s">
        <v>18520</v>
      </c>
      <c r="AP409" s="83" t="str">
        <f>HYPERLINK("https://t.co/kS0u25Whdt")</f>
        <v>https://t.co/kS0u25Whdt</v>
      </c>
      <c r="AQ409" s="83" t="str">
        <f>HYPERLINK("http://linktr.ee/Kamba.Rico")</f>
        <v>http://linktr.ee/Kamba.Rico</v>
      </c>
      <c r="AR409" s="76" t="s">
        <v>19238</v>
      </c>
      <c r="AS409" s="76"/>
      <c r="AT409" s="76"/>
      <c r="AU409" s="76"/>
      <c r="AV409" s="76"/>
      <c r="AW409" s="83" t="str">
        <f>HYPERLINK("https://t.co/kS0u25Whdt")</f>
        <v>https://t.co/kS0u25Whdt</v>
      </c>
      <c r="AX409" s="76" t="b">
        <v>0</v>
      </c>
      <c r="AY409" s="76"/>
      <c r="AZ409" s="76"/>
      <c r="BA409" s="76" t="b">
        <v>0</v>
      </c>
      <c r="BB409" s="76" t="b">
        <v>1</v>
      </c>
      <c r="BC409" s="76" t="b">
        <v>1</v>
      </c>
      <c r="BD409" s="76" t="b">
        <v>0</v>
      </c>
      <c r="BE409" s="76" t="b">
        <v>0</v>
      </c>
      <c r="BF409" s="76" t="b">
        <v>0</v>
      </c>
      <c r="BG409" s="76" t="b">
        <v>0</v>
      </c>
      <c r="BH409" s="83" t="str">
        <f>HYPERLINK("https://pbs.twimg.com/profile_banners/1046714625176293376/1667160796")</f>
        <v>https://pbs.twimg.com/profile_banners/1046714625176293376/1667160796</v>
      </c>
      <c r="BI409" s="76"/>
      <c r="BJ409" s="76" t="s">
        <v>19633</v>
      </c>
      <c r="BK409" s="76" t="b">
        <v>0</v>
      </c>
      <c r="BL409" s="76"/>
      <c r="BM409" s="76" t="s">
        <v>66</v>
      </c>
      <c r="BN409" s="76" t="s">
        <v>19635</v>
      </c>
      <c r="BO409" s="83" t="str">
        <f>HYPERLINK("https://twitter.com/marciac42792937")</f>
        <v>https://twitter.com/marciac42792937</v>
      </c>
      <c r="BP409" s="2"/>
    </row>
    <row r="410" spans="1:68" x14ac:dyDescent="0.25">
      <c r="A410" s="62" t="s">
        <v>577</v>
      </c>
      <c r="B410" s="63"/>
      <c r="C410" s="63"/>
      <c r="D410" s="64"/>
      <c r="E410" s="66"/>
      <c r="F410" s="103" t="str">
        <f>HYPERLINK("https://pbs.twimg.com/profile_images/1537476127857467393/BezZXEf6_normal.jpg")</f>
        <v>https://pbs.twimg.com/profile_images/1537476127857467393/BezZXEf6_normal.jpg</v>
      </c>
      <c r="G410" s="63"/>
      <c r="H410" s="67"/>
      <c r="I410" s="68"/>
      <c r="J410" s="68"/>
      <c r="K410" s="67" t="s">
        <v>20042</v>
      </c>
      <c r="L410" s="71"/>
      <c r="M410" s="72"/>
      <c r="N410" s="72"/>
      <c r="O410" s="73"/>
      <c r="P410" s="74"/>
      <c r="Q410" s="74"/>
      <c r="R410" s="87"/>
      <c r="S410" s="87"/>
      <c r="T410" s="87"/>
      <c r="U410" s="87"/>
      <c r="V410" s="48"/>
      <c r="W410" s="48"/>
      <c r="X410" s="47">
        <v>1.101E-3</v>
      </c>
      <c r="Y410" s="48"/>
      <c r="Z410" s="47"/>
      <c r="AA410" s="69">
        <v>410</v>
      </c>
      <c r="AB410" s="69"/>
      <c r="AC410" s="70"/>
      <c r="AD410" s="76" t="s">
        <v>17045</v>
      </c>
      <c r="AE410" s="81" t="s">
        <v>16336</v>
      </c>
      <c r="AF410" s="76">
        <v>4</v>
      </c>
      <c r="AG410" s="76">
        <v>1</v>
      </c>
      <c r="AH410" s="76">
        <v>133</v>
      </c>
      <c r="AI410" s="76">
        <v>0</v>
      </c>
      <c r="AJ410" s="76">
        <v>0</v>
      </c>
      <c r="AK410" s="76">
        <v>91</v>
      </c>
      <c r="AL410" s="76" t="b">
        <v>0</v>
      </c>
      <c r="AM410" s="78">
        <v>44341.589479166665</v>
      </c>
      <c r="AN410" s="76"/>
      <c r="AO410" s="76" t="s">
        <v>18521</v>
      </c>
      <c r="AP410" s="83" t="str">
        <f>HYPERLINK("https://t.co/J18vOiP1z1")</f>
        <v>https://t.co/J18vOiP1z1</v>
      </c>
      <c r="AQ410" s="83" t="str">
        <f>HYPERLINK("https://portalfinancaspessoais.com.br/")</f>
        <v>https://portalfinancaspessoais.com.br/</v>
      </c>
      <c r="AR410" s="76" t="s">
        <v>19239</v>
      </c>
      <c r="AS410" s="76"/>
      <c r="AT410" s="76"/>
      <c r="AU410" s="76"/>
      <c r="AV410" s="76"/>
      <c r="AW410" s="83" t="str">
        <f>HYPERLINK("https://t.co/J18vOiP1z1")</f>
        <v>https://t.co/J18vOiP1z1</v>
      </c>
      <c r="AX410" s="76" t="b">
        <v>0</v>
      </c>
      <c r="AY410" s="76"/>
      <c r="AZ410" s="76"/>
      <c r="BA410" s="76" t="b">
        <v>0</v>
      </c>
      <c r="BB410" s="76" t="b">
        <v>1</v>
      </c>
      <c r="BC410" s="76" t="b">
        <v>1</v>
      </c>
      <c r="BD410" s="76" t="b">
        <v>0</v>
      </c>
      <c r="BE410" s="76" t="b">
        <v>0</v>
      </c>
      <c r="BF410" s="76" t="b">
        <v>0</v>
      </c>
      <c r="BG410" s="76" t="b">
        <v>0</v>
      </c>
      <c r="BH410" s="83" t="str">
        <f>HYPERLINK("https://pbs.twimg.com/profile_banners/1397192533403443204/1655397849")</f>
        <v>https://pbs.twimg.com/profile_banners/1397192533403443204/1655397849</v>
      </c>
      <c r="BI410" s="76"/>
      <c r="BJ410" s="76" t="s">
        <v>19633</v>
      </c>
      <c r="BK410" s="76" t="b">
        <v>0</v>
      </c>
      <c r="BL410" s="76"/>
      <c r="BM410" s="76" t="s">
        <v>66</v>
      </c>
      <c r="BN410" s="76" t="s">
        <v>19635</v>
      </c>
      <c r="BO410" s="83" t="str">
        <f>HYPERLINK("https://twitter.com/financasportal")</f>
        <v>https://twitter.com/financasportal</v>
      </c>
      <c r="BP410" s="2"/>
    </row>
    <row r="411" spans="1:68" x14ac:dyDescent="0.25">
      <c r="A411" s="62" t="s">
        <v>578</v>
      </c>
      <c r="B411" s="63"/>
      <c r="C411" s="63"/>
      <c r="D411" s="64"/>
      <c r="E411" s="66"/>
      <c r="F411" s="103" t="str">
        <f>HYPERLINK("https://pbs.twimg.com/profile_images/1628855315440574466/_Pq57Ytq_normal.png")</f>
        <v>https://pbs.twimg.com/profile_images/1628855315440574466/_Pq57Ytq_normal.png</v>
      </c>
      <c r="G411" s="63"/>
      <c r="H411" s="67"/>
      <c r="I411" s="68"/>
      <c r="J411" s="68"/>
      <c r="K411" s="67" t="s">
        <v>20043</v>
      </c>
      <c r="L411" s="71"/>
      <c r="M411" s="72"/>
      <c r="N411" s="72"/>
      <c r="O411" s="73"/>
      <c r="P411" s="74"/>
      <c r="Q411" s="74"/>
      <c r="R411" s="87"/>
      <c r="S411" s="87"/>
      <c r="T411" s="87"/>
      <c r="U411" s="87"/>
      <c r="V411" s="48"/>
      <c r="W411" s="48"/>
      <c r="X411" s="47">
        <v>1.101E-3</v>
      </c>
      <c r="Y411" s="48"/>
      <c r="Z411" s="47"/>
      <c r="AA411" s="69">
        <v>411</v>
      </c>
      <c r="AB411" s="69"/>
      <c r="AC411" s="70"/>
      <c r="AD411" s="76" t="s">
        <v>17046</v>
      </c>
      <c r="AE411" s="81" t="s">
        <v>16337</v>
      </c>
      <c r="AF411" s="76">
        <v>0</v>
      </c>
      <c r="AG411" s="76">
        <v>30</v>
      </c>
      <c r="AH411" s="76">
        <v>24</v>
      </c>
      <c r="AI411" s="76">
        <v>0</v>
      </c>
      <c r="AJ411" s="76">
        <v>0</v>
      </c>
      <c r="AK411" s="76">
        <v>22</v>
      </c>
      <c r="AL411" s="76" t="b">
        <v>0</v>
      </c>
      <c r="AM411" s="78">
        <v>44980.855706018519</v>
      </c>
      <c r="AN411" s="76" t="s">
        <v>18001</v>
      </c>
      <c r="AO411" s="76" t="s">
        <v>18522</v>
      </c>
      <c r="AP411" s="83" t="str">
        <f>HYPERLINK("https://t.co/praAFyFebm")</f>
        <v>https://t.co/praAFyFebm</v>
      </c>
      <c r="AQ411" s="83" t="str">
        <f>HYPERLINK("http://www.gynbanco.com.br")</f>
        <v>http://www.gynbanco.com.br</v>
      </c>
      <c r="AR411" s="76" t="s">
        <v>19240</v>
      </c>
      <c r="AS411" s="76"/>
      <c r="AT411" s="76"/>
      <c r="AU411" s="76"/>
      <c r="AV411" s="76"/>
      <c r="AW411" s="83" t="str">
        <f>HYPERLINK("https://t.co/praAFyFebm")</f>
        <v>https://t.co/praAFyFebm</v>
      </c>
      <c r="AX411" s="76" t="b">
        <v>0</v>
      </c>
      <c r="AY411" s="76"/>
      <c r="AZ411" s="76"/>
      <c r="BA411" s="76" t="b">
        <v>0</v>
      </c>
      <c r="BB411" s="76" t="b">
        <v>1</v>
      </c>
      <c r="BC411" s="76" t="b">
        <v>1</v>
      </c>
      <c r="BD411" s="76" t="b">
        <v>0</v>
      </c>
      <c r="BE411" s="76" t="b">
        <v>0</v>
      </c>
      <c r="BF411" s="76" t="b">
        <v>0</v>
      </c>
      <c r="BG411" s="76" t="b">
        <v>0</v>
      </c>
      <c r="BH411" s="83" t="str">
        <f>HYPERLINK("https://pbs.twimg.com/profile_banners/1628855226290606081/1677185458")</f>
        <v>https://pbs.twimg.com/profile_banners/1628855226290606081/1677185458</v>
      </c>
      <c r="BI411" s="76"/>
      <c r="BJ411" s="76" t="s">
        <v>19633</v>
      </c>
      <c r="BK411" s="76" t="b">
        <v>0</v>
      </c>
      <c r="BL411" s="76"/>
      <c r="BM411" s="76" t="s">
        <v>66</v>
      </c>
      <c r="BN411" s="76" t="s">
        <v>19635</v>
      </c>
      <c r="BO411" s="83" t="str">
        <f>HYPERLINK("https://twitter.com/gynbanco")</f>
        <v>https://twitter.com/gynbanco</v>
      </c>
      <c r="BP411" s="2"/>
    </row>
    <row r="412" spans="1:68" x14ac:dyDescent="0.25">
      <c r="A412" s="62" t="s">
        <v>579</v>
      </c>
      <c r="B412" s="63"/>
      <c r="C412" s="63"/>
      <c r="D412" s="64"/>
      <c r="E412" s="66"/>
      <c r="F412" s="103" t="str">
        <f>HYPERLINK("https://pbs.twimg.com/profile_images/1645889811176194052/KlWmGfcC_normal.jpg")</f>
        <v>https://pbs.twimg.com/profile_images/1645889811176194052/KlWmGfcC_normal.jpg</v>
      </c>
      <c r="G412" s="63"/>
      <c r="H412" s="67"/>
      <c r="I412" s="68"/>
      <c r="J412" s="68"/>
      <c r="K412" s="67" t="s">
        <v>20044</v>
      </c>
      <c r="L412" s="71"/>
      <c r="M412" s="72"/>
      <c r="N412" s="72"/>
      <c r="O412" s="73"/>
      <c r="P412" s="74"/>
      <c r="Q412" s="74"/>
      <c r="R412" s="87"/>
      <c r="S412" s="87"/>
      <c r="T412" s="87"/>
      <c r="U412" s="87"/>
      <c r="V412" s="48"/>
      <c r="W412" s="48"/>
      <c r="X412" s="47">
        <v>1.101E-3</v>
      </c>
      <c r="Y412" s="48"/>
      <c r="Z412" s="47"/>
      <c r="AA412" s="69">
        <v>412</v>
      </c>
      <c r="AB412" s="69"/>
      <c r="AC412" s="70"/>
      <c r="AD412" s="76" t="s">
        <v>17047</v>
      </c>
      <c r="AE412" s="81" t="s">
        <v>16338</v>
      </c>
      <c r="AF412" s="76">
        <v>7</v>
      </c>
      <c r="AG412" s="76">
        <v>100</v>
      </c>
      <c r="AH412" s="76">
        <v>94</v>
      </c>
      <c r="AI412" s="76">
        <v>0</v>
      </c>
      <c r="AJ412" s="76">
        <v>8</v>
      </c>
      <c r="AK412" s="76">
        <v>78</v>
      </c>
      <c r="AL412" s="76" t="b">
        <v>0</v>
      </c>
      <c r="AM412" s="78">
        <v>44933.6012962963</v>
      </c>
      <c r="AN412" s="76" t="s">
        <v>18002</v>
      </c>
      <c r="AO412" s="76" t="s">
        <v>18523</v>
      </c>
      <c r="AP412" s="76"/>
      <c r="AQ412" s="76"/>
      <c r="AR412" s="76"/>
      <c r="AS412" s="76"/>
      <c r="AT412" s="76"/>
      <c r="AU412" s="76"/>
      <c r="AV412" s="76"/>
      <c r="AW412" s="76"/>
      <c r="AX412" s="76" t="b">
        <v>0</v>
      </c>
      <c r="AY412" s="76"/>
      <c r="AZ412" s="76"/>
      <c r="BA412" s="76" t="b">
        <v>0</v>
      </c>
      <c r="BB412" s="76" t="b">
        <v>1</v>
      </c>
      <c r="BC412" s="76" t="b">
        <v>1</v>
      </c>
      <c r="BD412" s="76" t="b">
        <v>0</v>
      </c>
      <c r="BE412" s="76" t="b">
        <v>0</v>
      </c>
      <c r="BF412" s="76" t="b">
        <v>0</v>
      </c>
      <c r="BG412" s="76" t="b">
        <v>0</v>
      </c>
      <c r="BH412" s="83" t="str">
        <f>HYPERLINK("https://pbs.twimg.com/profile_banners/1611730749866053634/1679494647")</f>
        <v>https://pbs.twimg.com/profile_banners/1611730749866053634/1679494647</v>
      </c>
      <c r="BI412" s="76"/>
      <c r="BJ412" s="76" t="s">
        <v>19633</v>
      </c>
      <c r="BK412" s="76" t="b">
        <v>0</v>
      </c>
      <c r="BL412" s="76"/>
      <c r="BM412" s="76" t="s">
        <v>66</v>
      </c>
      <c r="BN412" s="76" t="s">
        <v>19635</v>
      </c>
      <c r="BO412" s="83" t="str">
        <f>HYPERLINK("https://twitter.com/mostbillion")</f>
        <v>https://twitter.com/mostbillion</v>
      </c>
      <c r="BP412" s="2"/>
    </row>
    <row r="413" spans="1:68" x14ac:dyDescent="0.25">
      <c r="A413" s="62" t="s">
        <v>580</v>
      </c>
      <c r="B413" s="63"/>
      <c r="C413" s="63"/>
      <c r="D413" s="64"/>
      <c r="E413" s="66"/>
      <c r="F413" s="103" t="str">
        <f>HYPERLINK("https://pbs.twimg.com/profile_images/1676036156532588544/V50YD_UJ_normal.jpg")</f>
        <v>https://pbs.twimg.com/profile_images/1676036156532588544/V50YD_UJ_normal.jpg</v>
      </c>
      <c r="G413" s="63"/>
      <c r="H413" s="67"/>
      <c r="I413" s="68"/>
      <c r="J413" s="68"/>
      <c r="K413" s="67" t="s">
        <v>20045</v>
      </c>
      <c r="L413" s="71"/>
      <c r="M413" s="72"/>
      <c r="N413" s="72"/>
      <c r="O413" s="73"/>
      <c r="P413" s="74"/>
      <c r="Q413" s="74"/>
      <c r="R413" s="87"/>
      <c r="S413" s="87"/>
      <c r="T413" s="87"/>
      <c r="U413" s="87"/>
      <c r="V413" s="48"/>
      <c r="W413" s="48"/>
      <c r="X413" s="47">
        <v>1.101E-3</v>
      </c>
      <c r="Y413" s="48"/>
      <c r="Z413" s="47"/>
      <c r="AA413" s="69">
        <v>413</v>
      </c>
      <c r="AB413" s="69"/>
      <c r="AC413" s="70"/>
      <c r="AD413" s="76" t="s">
        <v>17048</v>
      </c>
      <c r="AE413" s="81" t="s">
        <v>16339</v>
      </c>
      <c r="AF413" s="76">
        <v>881</v>
      </c>
      <c r="AG413" s="76">
        <v>661</v>
      </c>
      <c r="AH413" s="76">
        <v>36088</v>
      </c>
      <c r="AI413" s="76">
        <v>0</v>
      </c>
      <c r="AJ413" s="76">
        <v>17668</v>
      </c>
      <c r="AK413" s="76">
        <v>2612</v>
      </c>
      <c r="AL413" s="76" t="b">
        <v>0</v>
      </c>
      <c r="AM413" s="78">
        <v>43056.31753472222</v>
      </c>
      <c r="AN413" s="76" t="s">
        <v>18003</v>
      </c>
      <c r="AO413" s="76" t="s">
        <v>18524</v>
      </c>
      <c r="AP413" s="76"/>
      <c r="AQ413" s="76"/>
      <c r="AR413" s="76"/>
      <c r="AS413" s="76"/>
      <c r="AT413" s="76"/>
      <c r="AU413" s="76"/>
      <c r="AV413" s="76">
        <v>1.7002654632956301E+18</v>
      </c>
      <c r="AW413" s="76"/>
      <c r="AX413" s="76" t="b">
        <v>0</v>
      </c>
      <c r="AY413" s="76"/>
      <c r="AZ413" s="76"/>
      <c r="BA413" s="76" t="b">
        <v>1</v>
      </c>
      <c r="BB413" s="76" t="b">
        <v>0</v>
      </c>
      <c r="BC413" s="76" t="b">
        <v>0</v>
      </c>
      <c r="BD413" s="76" t="b">
        <v>0</v>
      </c>
      <c r="BE413" s="76" t="b">
        <v>1</v>
      </c>
      <c r="BF413" s="76" t="b">
        <v>0</v>
      </c>
      <c r="BG413" s="76" t="b">
        <v>0</v>
      </c>
      <c r="BH413" s="83" t="str">
        <f>HYPERLINK("https://pbs.twimg.com/profile_banners/931425987430158336/1690287817")</f>
        <v>https://pbs.twimg.com/profile_banners/931425987430158336/1690287817</v>
      </c>
      <c r="BI413" s="76"/>
      <c r="BJ413" s="76" t="s">
        <v>19633</v>
      </c>
      <c r="BK413" s="76" t="b">
        <v>0</v>
      </c>
      <c r="BL413" s="76"/>
      <c r="BM413" s="76" t="s">
        <v>66</v>
      </c>
      <c r="BN413" s="76" t="s">
        <v>19635</v>
      </c>
      <c r="BO413" s="83" t="str">
        <f>HYPERLINK("https://twitter.com/teddyvicker")</f>
        <v>https://twitter.com/teddyvicker</v>
      </c>
      <c r="BP413" s="2"/>
    </row>
    <row r="414" spans="1:68" x14ac:dyDescent="0.25">
      <c r="A414" s="62" t="s">
        <v>581</v>
      </c>
      <c r="B414" s="63"/>
      <c r="C414" s="63"/>
      <c r="D414" s="64"/>
      <c r="E414" s="66"/>
      <c r="F414" s="103" t="str">
        <f>HYPERLINK("https://pbs.twimg.com/profile_images/1492977674234519560/yOUkfALr_normal.jpg")</f>
        <v>https://pbs.twimg.com/profile_images/1492977674234519560/yOUkfALr_normal.jpg</v>
      </c>
      <c r="G414" s="63"/>
      <c r="H414" s="67"/>
      <c r="I414" s="68"/>
      <c r="J414" s="68"/>
      <c r="K414" s="67" t="s">
        <v>20046</v>
      </c>
      <c r="L414" s="71"/>
      <c r="M414" s="72"/>
      <c r="N414" s="72"/>
      <c r="O414" s="73"/>
      <c r="P414" s="74"/>
      <c r="Q414" s="74"/>
      <c r="R414" s="87"/>
      <c r="S414" s="87"/>
      <c r="T414" s="87"/>
      <c r="U414" s="87"/>
      <c r="V414" s="48"/>
      <c r="W414" s="48"/>
      <c r="X414" s="47">
        <v>1.101E-3</v>
      </c>
      <c r="Y414" s="48"/>
      <c r="Z414" s="47"/>
      <c r="AA414" s="69">
        <v>414</v>
      </c>
      <c r="AB414" s="69"/>
      <c r="AC414" s="70"/>
      <c r="AD414" s="76" t="s">
        <v>17049</v>
      </c>
      <c r="AE414" s="81" t="s">
        <v>15731</v>
      </c>
      <c r="AF414" s="76">
        <v>2</v>
      </c>
      <c r="AG414" s="76">
        <v>7</v>
      </c>
      <c r="AH414" s="76">
        <v>160</v>
      </c>
      <c r="AI414" s="76">
        <v>0</v>
      </c>
      <c r="AJ414" s="76">
        <v>4</v>
      </c>
      <c r="AK414" s="76">
        <v>8</v>
      </c>
      <c r="AL414" s="76" t="b">
        <v>0</v>
      </c>
      <c r="AM414" s="78">
        <v>44605.902291666665</v>
      </c>
      <c r="AN414" s="76" t="s">
        <v>10561</v>
      </c>
      <c r="AO414" s="76" t="s">
        <v>18525</v>
      </c>
      <c r="AP414" s="76"/>
      <c r="AQ414" s="76"/>
      <c r="AR414" s="76"/>
      <c r="AS414" s="83" t="str">
        <f>HYPERLINK("https://t.co/a0cnzV8WBa")</f>
        <v>https://t.co/a0cnzV8WBa</v>
      </c>
      <c r="AT414" s="83" t="str">
        <f>HYPERLINK("https://accounts.binance.com/pt-BR/register?ref=F0X2EMOB")</f>
        <v>https://accounts.binance.com/pt-BR/register?ref=F0X2EMOB</v>
      </c>
      <c r="AU414" s="76" t="s">
        <v>19607</v>
      </c>
      <c r="AV414" s="76">
        <v>1.6599883204772301E+18</v>
      </c>
      <c r="AW414" s="76"/>
      <c r="AX414" s="76" t="b">
        <v>0</v>
      </c>
      <c r="AY414" s="76"/>
      <c r="AZ414" s="76"/>
      <c r="BA414" s="76" t="b">
        <v>0</v>
      </c>
      <c r="BB414" s="76" t="b">
        <v>1</v>
      </c>
      <c r="BC414" s="76" t="b">
        <v>1</v>
      </c>
      <c r="BD414" s="76" t="b">
        <v>0</v>
      </c>
      <c r="BE414" s="76" t="b">
        <v>0</v>
      </c>
      <c r="BF414" s="76" t="b">
        <v>0</v>
      </c>
      <c r="BG414" s="76" t="b">
        <v>0</v>
      </c>
      <c r="BH414" s="83" t="str">
        <f>HYPERLINK("https://pbs.twimg.com/profile_banners/1492976664212615171/1644788648")</f>
        <v>https://pbs.twimg.com/profile_banners/1492976664212615171/1644788648</v>
      </c>
      <c r="BI414" s="76"/>
      <c r="BJ414" s="76" t="s">
        <v>19633</v>
      </c>
      <c r="BK414" s="76" t="b">
        <v>0</v>
      </c>
      <c r="BL414" s="76"/>
      <c r="BM414" s="76" t="s">
        <v>66</v>
      </c>
      <c r="BN414" s="76" t="s">
        <v>19635</v>
      </c>
      <c r="BO414" s="83" t="str">
        <f>HYPERLINK("https://twitter.com/bnbcryptobonus")</f>
        <v>https://twitter.com/bnbcryptobonus</v>
      </c>
      <c r="BP414" s="2"/>
    </row>
    <row r="415" spans="1:68" x14ac:dyDescent="0.25">
      <c r="A415" s="62" t="s">
        <v>582</v>
      </c>
      <c r="B415" s="63"/>
      <c r="C415" s="63"/>
      <c r="D415" s="64"/>
      <c r="E415" s="66"/>
      <c r="F415" s="103" t="str">
        <f>HYPERLINK("https://pbs.twimg.com/profile_images/1657391053547208705/YKWBXNiy_normal.jpg")</f>
        <v>https://pbs.twimg.com/profile_images/1657391053547208705/YKWBXNiy_normal.jpg</v>
      </c>
      <c r="G415" s="63"/>
      <c r="H415" s="67"/>
      <c r="I415" s="68"/>
      <c r="J415" s="68"/>
      <c r="K415" s="67" t="s">
        <v>20047</v>
      </c>
      <c r="L415" s="71"/>
      <c r="M415" s="72"/>
      <c r="N415" s="72"/>
      <c r="O415" s="73"/>
      <c r="P415" s="74"/>
      <c r="Q415" s="74"/>
      <c r="R415" s="87"/>
      <c r="S415" s="87"/>
      <c r="T415" s="87"/>
      <c r="U415" s="87"/>
      <c r="V415" s="48"/>
      <c r="W415" s="48"/>
      <c r="X415" s="47">
        <v>1.101E-3</v>
      </c>
      <c r="Y415" s="48"/>
      <c r="Z415" s="47"/>
      <c r="AA415" s="69">
        <v>415</v>
      </c>
      <c r="AB415" s="69"/>
      <c r="AC415" s="70"/>
      <c r="AD415" s="76" t="s">
        <v>17050</v>
      </c>
      <c r="AE415" s="81" t="s">
        <v>16340</v>
      </c>
      <c r="AF415" s="76">
        <v>12</v>
      </c>
      <c r="AG415" s="76">
        <v>224</v>
      </c>
      <c r="AH415" s="76">
        <v>13</v>
      </c>
      <c r="AI415" s="76">
        <v>0</v>
      </c>
      <c r="AJ415" s="76">
        <v>5</v>
      </c>
      <c r="AK415" s="76">
        <v>10</v>
      </c>
      <c r="AL415" s="76" t="b">
        <v>0</v>
      </c>
      <c r="AM415" s="78">
        <v>45058.72859953704</v>
      </c>
      <c r="AN415" s="76"/>
      <c r="AO415" s="76" t="s">
        <v>18526</v>
      </c>
      <c r="AP415" s="83" t="str">
        <f>HYPERLINK("https://t.co/a9R5vFJEnc")</f>
        <v>https://t.co/a9R5vFJEnc</v>
      </c>
      <c r="AQ415" s="83" t="str">
        <f>HYPERLINK("https://linktr.ee/stimperapp")</f>
        <v>https://linktr.ee/stimperapp</v>
      </c>
      <c r="AR415" s="76" t="s">
        <v>19241</v>
      </c>
      <c r="AS415" s="76"/>
      <c r="AT415" s="76"/>
      <c r="AU415" s="76"/>
      <c r="AV415" s="76"/>
      <c r="AW415" s="83" t="str">
        <f>HYPERLINK("https://t.co/a9R5vFJEnc")</f>
        <v>https://t.co/a9R5vFJEnc</v>
      </c>
      <c r="AX415" s="76" t="b">
        <v>0</v>
      </c>
      <c r="AY415" s="76"/>
      <c r="AZ415" s="76"/>
      <c r="BA415" s="76" t="b">
        <v>0</v>
      </c>
      <c r="BB415" s="76" t="b">
        <v>0</v>
      </c>
      <c r="BC415" s="76" t="b">
        <v>1</v>
      </c>
      <c r="BD415" s="76" t="b">
        <v>0</v>
      </c>
      <c r="BE415" s="76" t="b">
        <v>0</v>
      </c>
      <c r="BF415" s="76" t="b">
        <v>0</v>
      </c>
      <c r="BG415" s="76" t="b">
        <v>0</v>
      </c>
      <c r="BH415" s="83" t="str">
        <f>HYPERLINK("https://pbs.twimg.com/profile_banners/1657075359483822103/1683987759")</f>
        <v>https://pbs.twimg.com/profile_banners/1657075359483822103/1683987759</v>
      </c>
      <c r="BI415" s="76"/>
      <c r="BJ415" s="76" t="s">
        <v>19633</v>
      </c>
      <c r="BK415" s="76" t="b">
        <v>0</v>
      </c>
      <c r="BL415" s="76"/>
      <c r="BM415" s="76" t="s">
        <v>66</v>
      </c>
      <c r="BN415" s="76" t="s">
        <v>19635</v>
      </c>
      <c r="BO415" s="83" t="str">
        <f>HYPERLINK("https://twitter.com/stimperapp")</f>
        <v>https://twitter.com/stimperapp</v>
      </c>
      <c r="BP415" s="2"/>
    </row>
    <row r="416" spans="1:68" x14ac:dyDescent="0.25">
      <c r="A416" s="62" t="s">
        <v>583</v>
      </c>
      <c r="B416" s="63"/>
      <c r="C416" s="63"/>
      <c r="D416" s="64"/>
      <c r="E416" s="66"/>
      <c r="F416" s="103" t="str">
        <f>HYPERLINK("https://pbs.twimg.com/profile_images/1361408613277925379/37fbEmpy_normal.jpg")</f>
        <v>https://pbs.twimg.com/profile_images/1361408613277925379/37fbEmpy_normal.jpg</v>
      </c>
      <c r="G416" s="63"/>
      <c r="H416" s="67"/>
      <c r="I416" s="68"/>
      <c r="J416" s="68"/>
      <c r="K416" s="67" t="s">
        <v>20048</v>
      </c>
      <c r="L416" s="71"/>
      <c r="M416" s="72"/>
      <c r="N416" s="72"/>
      <c r="O416" s="73"/>
      <c r="P416" s="74"/>
      <c r="Q416" s="74"/>
      <c r="R416" s="87"/>
      <c r="S416" s="87"/>
      <c r="T416" s="87"/>
      <c r="U416" s="87"/>
      <c r="V416" s="48"/>
      <c r="W416" s="48"/>
      <c r="X416" s="47">
        <v>1.178E-3</v>
      </c>
      <c r="Y416" s="48"/>
      <c r="Z416" s="47"/>
      <c r="AA416" s="69">
        <v>416</v>
      </c>
      <c r="AB416" s="69"/>
      <c r="AC416" s="70"/>
      <c r="AD416" s="76" t="s">
        <v>17051</v>
      </c>
      <c r="AE416" s="81" t="s">
        <v>16341</v>
      </c>
      <c r="AF416" s="76">
        <v>228</v>
      </c>
      <c r="AG416" s="76">
        <v>410</v>
      </c>
      <c r="AH416" s="76">
        <v>349</v>
      </c>
      <c r="AI416" s="76">
        <v>1</v>
      </c>
      <c r="AJ416" s="76">
        <v>214</v>
      </c>
      <c r="AK416" s="76">
        <v>25</v>
      </c>
      <c r="AL416" s="76" t="b">
        <v>0</v>
      </c>
      <c r="AM416" s="78">
        <v>44242.843159722222</v>
      </c>
      <c r="AN416" s="76" t="s">
        <v>18004</v>
      </c>
      <c r="AO416" s="76" t="s">
        <v>18527</v>
      </c>
      <c r="AP416" s="83" t="str">
        <f>HYPERLINK("https://t.co/Bt4dy0Xb9X")</f>
        <v>https://t.co/Bt4dy0Xb9X</v>
      </c>
      <c r="AQ416" s="83" t="str">
        <f>HYPERLINK("https://open.spotify.com/show/4Wtfai8gBJnurIosAiKile?si=cal6599rSLq382gW9-zLoQ")</f>
        <v>https://open.spotify.com/show/4Wtfai8gBJnurIosAiKile?si=cal6599rSLq382gW9-zLoQ</v>
      </c>
      <c r="AR416" s="76" t="s">
        <v>19242</v>
      </c>
      <c r="AS416" s="76"/>
      <c r="AT416" s="76"/>
      <c r="AU416" s="76"/>
      <c r="AV416" s="76"/>
      <c r="AW416" s="83" t="str">
        <f>HYPERLINK("https://t.co/Bt4dy0Xb9X")</f>
        <v>https://t.co/Bt4dy0Xb9X</v>
      </c>
      <c r="AX416" s="76" t="b">
        <v>0</v>
      </c>
      <c r="AY416" s="76"/>
      <c r="AZ416" s="76"/>
      <c r="BA416" s="76" t="b">
        <v>0</v>
      </c>
      <c r="BB416" s="76" t="b">
        <v>1</v>
      </c>
      <c r="BC416" s="76" t="b">
        <v>1</v>
      </c>
      <c r="BD416" s="76" t="b">
        <v>0</v>
      </c>
      <c r="BE416" s="76" t="b">
        <v>0</v>
      </c>
      <c r="BF416" s="76" t="b">
        <v>0</v>
      </c>
      <c r="BG416" s="76" t="b">
        <v>0</v>
      </c>
      <c r="BH416" s="83" t="str">
        <f>HYPERLINK("https://pbs.twimg.com/profile_banners/1361408156614729733/1639543726")</f>
        <v>https://pbs.twimg.com/profile_banners/1361408156614729733/1639543726</v>
      </c>
      <c r="BI416" s="76"/>
      <c r="BJ416" s="76" t="s">
        <v>19633</v>
      </c>
      <c r="BK416" s="76" t="b">
        <v>0</v>
      </c>
      <c r="BL416" s="76"/>
      <c r="BM416" s="76" t="s">
        <v>66</v>
      </c>
      <c r="BN416" s="76" t="s">
        <v>19635</v>
      </c>
      <c r="BO416" s="83" t="str">
        <f>HYPERLINK("https://twitter.com/alfainvestidor1")</f>
        <v>https://twitter.com/alfainvestidor1</v>
      </c>
      <c r="BP416" s="2"/>
    </row>
    <row r="417" spans="1:68" x14ac:dyDescent="0.25">
      <c r="A417" s="62" t="s">
        <v>584</v>
      </c>
      <c r="B417" s="63"/>
      <c r="C417" s="63"/>
      <c r="D417" s="64"/>
      <c r="E417" s="66"/>
      <c r="F417" s="103" t="str">
        <f>HYPERLINK("https://pbs.twimg.com/profile_images/1108562049829879808/lzMX_Y8h_normal.jpg")</f>
        <v>https://pbs.twimg.com/profile_images/1108562049829879808/lzMX_Y8h_normal.jpg</v>
      </c>
      <c r="G417" s="63"/>
      <c r="H417" s="67"/>
      <c r="I417" s="68"/>
      <c r="J417" s="68"/>
      <c r="K417" s="67" t="s">
        <v>20049</v>
      </c>
      <c r="L417" s="71"/>
      <c r="M417" s="72"/>
      <c r="N417" s="72"/>
      <c r="O417" s="73"/>
      <c r="P417" s="74"/>
      <c r="Q417" s="74"/>
      <c r="R417" s="87"/>
      <c r="S417" s="87"/>
      <c r="T417" s="87"/>
      <c r="U417" s="87"/>
      <c r="V417" s="48"/>
      <c r="W417" s="48"/>
      <c r="X417" s="47">
        <v>1.024E-3</v>
      </c>
      <c r="Y417" s="48"/>
      <c r="Z417" s="47"/>
      <c r="AA417" s="69">
        <v>417</v>
      </c>
      <c r="AB417" s="69"/>
      <c r="AC417" s="70"/>
      <c r="AD417" s="76" t="s">
        <v>17052</v>
      </c>
      <c r="AE417" s="81" t="s">
        <v>17676</v>
      </c>
      <c r="AF417" s="76">
        <v>614</v>
      </c>
      <c r="AG417" s="76">
        <v>1534</v>
      </c>
      <c r="AH417" s="76">
        <v>6718</v>
      </c>
      <c r="AI417" s="76">
        <v>3</v>
      </c>
      <c r="AJ417" s="76">
        <v>10975</v>
      </c>
      <c r="AK417" s="76">
        <v>367</v>
      </c>
      <c r="AL417" s="76" t="b">
        <v>0</v>
      </c>
      <c r="AM417" s="78">
        <v>40948.079652777778</v>
      </c>
      <c r="AN417" s="76" t="s">
        <v>18004</v>
      </c>
      <c r="AO417" s="76" t="s">
        <v>18528</v>
      </c>
      <c r="AP417" s="76"/>
      <c r="AQ417" s="76"/>
      <c r="AR417" s="76"/>
      <c r="AS417" s="76"/>
      <c r="AT417" s="76"/>
      <c r="AU417" s="76"/>
      <c r="AV417" s="76">
        <v>1.2668160147356101E+18</v>
      </c>
      <c r="AW417" s="76"/>
      <c r="AX417" s="76" t="b">
        <v>0</v>
      </c>
      <c r="AY417" s="76"/>
      <c r="AZ417" s="76"/>
      <c r="BA417" s="76" t="b">
        <v>1</v>
      </c>
      <c r="BB417" s="76" t="b">
        <v>1</v>
      </c>
      <c r="BC417" s="76" t="b">
        <v>1</v>
      </c>
      <c r="BD417" s="76" t="b">
        <v>0</v>
      </c>
      <c r="BE417" s="76" t="b">
        <v>0</v>
      </c>
      <c r="BF417" s="76" t="b">
        <v>0</v>
      </c>
      <c r="BG417" s="76" t="b">
        <v>0</v>
      </c>
      <c r="BH417" s="83" t="str">
        <f>HYPERLINK("https://pbs.twimg.com/profile_banners/487144994/1547673913")</f>
        <v>https://pbs.twimg.com/profile_banners/487144994/1547673913</v>
      </c>
      <c r="BI417" s="76"/>
      <c r="BJ417" s="76" t="s">
        <v>19633</v>
      </c>
      <c r="BK417" s="76" t="b">
        <v>0</v>
      </c>
      <c r="BL417" s="76"/>
      <c r="BM417" s="76" t="s">
        <v>66</v>
      </c>
      <c r="BN417" s="76" t="s">
        <v>19635</v>
      </c>
      <c r="BO417" s="83" t="str">
        <f>HYPERLINK("https://twitter.com/carlos_domini")</f>
        <v>https://twitter.com/carlos_domini</v>
      </c>
      <c r="BP417" s="2"/>
    </row>
    <row r="418" spans="1:68" x14ac:dyDescent="0.25">
      <c r="A418" s="62" t="s">
        <v>585</v>
      </c>
      <c r="B418" s="63"/>
      <c r="C418" s="63"/>
      <c r="D418" s="64"/>
      <c r="E418" s="66"/>
      <c r="F418" s="103" t="str">
        <f>HYPERLINK("https://pbs.twimg.com/profile_images/1683301162827538433/m6mEWrd9_normal.jpg")</f>
        <v>https://pbs.twimg.com/profile_images/1683301162827538433/m6mEWrd9_normal.jpg</v>
      </c>
      <c r="G418" s="63"/>
      <c r="H418" s="67"/>
      <c r="I418" s="68"/>
      <c r="J418" s="68"/>
      <c r="K418" s="67" t="s">
        <v>20050</v>
      </c>
      <c r="L418" s="71"/>
      <c r="M418" s="72"/>
      <c r="N418" s="72"/>
      <c r="O418" s="73"/>
      <c r="P418" s="74"/>
      <c r="Q418" s="74"/>
      <c r="R418" s="87"/>
      <c r="S418" s="87"/>
      <c r="T418" s="87"/>
      <c r="U418" s="87"/>
      <c r="V418" s="48"/>
      <c r="W418" s="48"/>
      <c r="X418" s="47">
        <v>1.101E-3</v>
      </c>
      <c r="Y418" s="48"/>
      <c r="Z418" s="47"/>
      <c r="AA418" s="69">
        <v>418</v>
      </c>
      <c r="AB418" s="69"/>
      <c r="AC418" s="70"/>
      <c r="AD418" s="76" t="s">
        <v>17053</v>
      </c>
      <c r="AE418" s="81" t="s">
        <v>17677</v>
      </c>
      <c r="AF418" s="76">
        <v>7562</v>
      </c>
      <c r="AG418" s="76">
        <v>615</v>
      </c>
      <c r="AH418" s="76">
        <v>27953</v>
      </c>
      <c r="AI418" s="76">
        <v>97</v>
      </c>
      <c r="AJ418" s="76">
        <v>38541</v>
      </c>
      <c r="AK418" s="76">
        <v>5596</v>
      </c>
      <c r="AL418" s="76" t="b">
        <v>0</v>
      </c>
      <c r="AM418" s="78">
        <v>40521.956967592596</v>
      </c>
      <c r="AN418" s="76"/>
      <c r="AO418" s="76" t="s">
        <v>18529</v>
      </c>
      <c r="AP418" s="76"/>
      <c r="AQ418" s="76"/>
      <c r="AR418" s="76"/>
      <c r="AS418" s="76"/>
      <c r="AT418" s="76"/>
      <c r="AU418" s="76"/>
      <c r="AV418" s="76">
        <v>1.2957452159537999E+18</v>
      </c>
      <c r="AW418" s="76"/>
      <c r="AX418" s="76" t="b">
        <v>0</v>
      </c>
      <c r="AY418" s="76"/>
      <c r="AZ418" s="76"/>
      <c r="BA418" s="76" t="b">
        <v>1</v>
      </c>
      <c r="BB418" s="76" t="b">
        <v>0</v>
      </c>
      <c r="BC418" s="76" t="b">
        <v>0</v>
      </c>
      <c r="BD418" s="76" t="b">
        <v>0</v>
      </c>
      <c r="BE418" s="76" t="b">
        <v>1</v>
      </c>
      <c r="BF418" s="76" t="b">
        <v>0</v>
      </c>
      <c r="BG418" s="76" t="b">
        <v>0</v>
      </c>
      <c r="BH418" s="83" t="str">
        <f>HYPERLINK("https://pbs.twimg.com/profile_banners/224813432/1683142776")</f>
        <v>https://pbs.twimg.com/profile_banners/224813432/1683142776</v>
      </c>
      <c r="BI418" s="76"/>
      <c r="BJ418" s="76" t="s">
        <v>19633</v>
      </c>
      <c r="BK418" s="76" t="b">
        <v>0</v>
      </c>
      <c r="BL418" s="76"/>
      <c r="BM418" s="76" t="s">
        <v>66</v>
      </c>
      <c r="BN418" s="76" t="s">
        <v>19635</v>
      </c>
      <c r="BO418" s="83" t="str">
        <f>HYPERLINK("https://twitter.com/eabs86")</f>
        <v>https://twitter.com/eabs86</v>
      </c>
      <c r="BP418" s="2"/>
    </row>
    <row r="419" spans="1:68" x14ac:dyDescent="0.25">
      <c r="A419" s="62" t="s">
        <v>586</v>
      </c>
      <c r="B419" s="63"/>
      <c r="C419" s="63"/>
      <c r="D419" s="64"/>
      <c r="E419" s="66"/>
      <c r="F419" s="103" t="str">
        <f>HYPERLINK("https://pbs.twimg.com/profile_images/1598823224434884615/lhIKa3T__normal.jpg")</f>
        <v>https://pbs.twimg.com/profile_images/1598823224434884615/lhIKa3T__normal.jpg</v>
      </c>
      <c r="G419" s="63"/>
      <c r="H419" s="67"/>
      <c r="I419" s="68"/>
      <c r="J419" s="68"/>
      <c r="K419" s="67" t="s">
        <v>20051</v>
      </c>
      <c r="L419" s="71"/>
      <c r="M419" s="72"/>
      <c r="N419" s="72"/>
      <c r="O419" s="73"/>
      <c r="P419" s="74"/>
      <c r="Q419" s="74"/>
      <c r="R419" s="87"/>
      <c r="S419" s="87"/>
      <c r="T419" s="87"/>
      <c r="U419" s="87"/>
      <c r="V419" s="48"/>
      <c r="W419" s="48"/>
      <c r="X419" s="47">
        <v>1.101E-3</v>
      </c>
      <c r="Y419" s="48"/>
      <c r="Z419" s="47"/>
      <c r="AA419" s="69">
        <v>419</v>
      </c>
      <c r="AB419" s="69"/>
      <c r="AC419" s="70"/>
      <c r="AD419" s="76" t="s">
        <v>17054</v>
      </c>
      <c r="AE419" s="81" t="s">
        <v>16342</v>
      </c>
      <c r="AF419" s="76">
        <v>3</v>
      </c>
      <c r="AG419" s="76">
        <v>24</v>
      </c>
      <c r="AH419" s="76">
        <v>37</v>
      </c>
      <c r="AI419" s="76">
        <v>0</v>
      </c>
      <c r="AJ419" s="76">
        <v>272</v>
      </c>
      <c r="AK419" s="76">
        <v>7</v>
      </c>
      <c r="AL419" s="76" t="b">
        <v>0</v>
      </c>
      <c r="AM419" s="78">
        <v>44704.687569444446</v>
      </c>
      <c r="AN419" s="76" t="s">
        <v>18005</v>
      </c>
      <c r="AO419" s="76" t="s">
        <v>18530</v>
      </c>
      <c r="AP419" s="83" t="str">
        <f>HYPERLINK("https://t.co/i0gPertkGU")</f>
        <v>https://t.co/i0gPertkGU</v>
      </c>
      <c r="AQ419" s="83" t="str">
        <f>HYPERLINK("http://www.instagram.com/en_dinheirando")</f>
        <v>http://www.instagram.com/en_dinheirando</v>
      </c>
      <c r="AR419" s="76" t="s">
        <v>19243</v>
      </c>
      <c r="AS419" s="76"/>
      <c r="AT419" s="76"/>
      <c r="AU419" s="76"/>
      <c r="AV419" s="76"/>
      <c r="AW419" s="83" t="str">
        <f>HYPERLINK("https://t.co/i0gPertkGU")</f>
        <v>https://t.co/i0gPertkGU</v>
      </c>
      <c r="AX419" s="76" t="b">
        <v>0</v>
      </c>
      <c r="AY419" s="76"/>
      <c r="AZ419" s="76"/>
      <c r="BA419" s="76" t="b">
        <v>0</v>
      </c>
      <c r="BB419" s="76" t="b">
        <v>1</v>
      </c>
      <c r="BC419" s="76" t="b">
        <v>1</v>
      </c>
      <c r="BD419" s="76" t="b">
        <v>0</v>
      </c>
      <c r="BE419" s="76" t="b">
        <v>0</v>
      </c>
      <c r="BF419" s="76" t="b">
        <v>0</v>
      </c>
      <c r="BG419" s="76" t="b">
        <v>0</v>
      </c>
      <c r="BH419" s="76"/>
      <c r="BI419" s="76"/>
      <c r="BJ419" s="76" t="s">
        <v>19633</v>
      </c>
      <c r="BK419" s="76" t="b">
        <v>0</v>
      </c>
      <c r="BL419" s="76"/>
      <c r="BM419" s="76" t="s">
        <v>66</v>
      </c>
      <c r="BN419" s="76" t="s">
        <v>19635</v>
      </c>
      <c r="BO419" s="83" t="str">
        <f>HYPERLINK("https://twitter.com/beltrameotavio")</f>
        <v>https://twitter.com/beltrameotavio</v>
      </c>
      <c r="BP419" s="2"/>
    </row>
    <row r="420" spans="1:68" x14ac:dyDescent="0.25">
      <c r="A420" s="62" t="s">
        <v>587</v>
      </c>
      <c r="B420" s="63"/>
      <c r="C420" s="63"/>
      <c r="D420" s="64"/>
      <c r="E420" s="66"/>
      <c r="F420" s="103" t="str">
        <f>HYPERLINK("https://pbs.twimg.com/profile_images/1678460129300160512/AECoUF6N_normal.jpg")</f>
        <v>https://pbs.twimg.com/profile_images/1678460129300160512/AECoUF6N_normal.jpg</v>
      </c>
      <c r="G420" s="63"/>
      <c r="H420" s="67"/>
      <c r="I420" s="68"/>
      <c r="J420" s="68"/>
      <c r="K420" s="67" t="s">
        <v>20052</v>
      </c>
      <c r="L420" s="71"/>
      <c r="M420" s="72"/>
      <c r="N420" s="72"/>
      <c r="O420" s="73"/>
      <c r="P420" s="74"/>
      <c r="Q420" s="74"/>
      <c r="R420" s="87"/>
      <c r="S420" s="87"/>
      <c r="T420" s="87"/>
      <c r="U420" s="87"/>
      <c r="V420" s="48"/>
      <c r="W420" s="48"/>
      <c r="X420" s="47">
        <v>1.101E-3</v>
      </c>
      <c r="Y420" s="48"/>
      <c r="Z420" s="47"/>
      <c r="AA420" s="69">
        <v>420</v>
      </c>
      <c r="AB420" s="69"/>
      <c r="AC420" s="70"/>
      <c r="AD420" s="76" t="s">
        <v>17055</v>
      </c>
      <c r="AE420" s="81" t="s">
        <v>17678</v>
      </c>
      <c r="AF420" s="76">
        <v>179</v>
      </c>
      <c r="AG420" s="76">
        <v>151</v>
      </c>
      <c r="AH420" s="76">
        <v>1703</v>
      </c>
      <c r="AI420" s="76">
        <v>0</v>
      </c>
      <c r="AJ420" s="76">
        <v>583</v>
      </c>
      <c r="AK420" s="76">
        <v>188</v>
      </c>
      <c r="AL420" s="76" t="b">
        <v>0</v>
      </c>
      <c r="AM420" s="78">
        <v>40667.467569444445</v>
      </c>
      <c r="AN420" s="76" t="s">
        <v>10635</v>
      </c>
      <c r="AO420" s="76" t="s">
        <v>18531</v>
      </c>
      <c r="AP420" s="83" t="str">
        <f>HYPERLINK("https://t.co/lw43xnzemh")</f>
        <v>https://t.co/lw43xnzemh</v>
      </c>
      <c r="AQ420" s="83" t="str">
        <f>HYPERLINK("https://www.igorvieiraconsultor.com.br")</f>
        <v>https://www.igorvieiraconsultor.com.br</v>
      </c>
      <c r="AR420" s="76" t="s">
        <v>19244</v>
      </c>
      <c r="AS420" s="76"/>
      <c r="AT420" s="76"/>
      <c r="AU420" s="76"/>
      <c r="AV420" s="76"/>
      <c r="AW420" s="83" t="str">
        <f>HYPERLINK("https://t.co/lw43xnzemh")</f>
        <v>https://t.co/lw43xnzemh</v>
      </c>
      <c r="AX420" s="76" t="b">
        <v>0</v>
      </c>
      <c r="AY420" s="76"/>
      <c r="AZ420" s="76"/>
      <c r="BA420" s="76" t="b">
        <v>0</v>
      </c>
      <c r="BB420" s="76" t="b">
        <v>1</v>
      </c>
      <c r="BC420" s="76" t="b">
        <v>0</v>
      </c>
      <c r="BD420" s="76" t="b">
        <v>0</v>
      </c>
      <c r="BE420" s="76" t="b">
        <v>1</v>
      </c>
      <c r="BF420" s="76" t="b">
        <v>0</v>
      </c>
      <c r="BG420" s="76" t="b">
        <v>0</v>
      </c>
      <c r="BH420" s="83" t="str">
        <f>HYPERLINK("https://pbs.twimg.com/profile_banners/292867857/1689011065")</f>
        <v>https://pbs.twimg.com/profile_banners/292867857/1689011065</v>
      </c>
      <c r="BI420" s="76"/>
      <c r="BJ420" s="76" t="s">
        <v>19633</v>
      </c>
      <c r="BK420" s="76" t="b">
        <v>0</v>
      </c>
      <c r="BL420" s="76"/>
      <c r="BM420" s="76" t="s">
        <v>66</v>
      </c>
      <c r="BN420" s="76" t="s">
        <v>19635</v>
      </c>
      <c r="BO420" s="83" t="str">
        <f>HYPERLINK("https://twitter.com/igor_vieiraa")</f>
        <v>https://twitter.com/igor_vieiraa</v>
      </c>
      <c r="BP420" s="2"/>
    </row>
    <row r="421" spans="1:68" x14ac:dyDescent="0.25">
      <c r="A421" s="62" t="s">
        <v>588</v>
      </c>
      <c r="B421" s="63"/>
      <c r="C421" s="63"/>
      <c r="D421" s="64"/>
      <c r="E421" s="66"/>
      <c r="F421" s="103" t="str">
        <f>HYPERLINK("https://pbs.twimg.com/profile_images/1467928353193746440/s8MgFaKK_normal.jpg")</f>
        <v>https://pbs.twimg.com/profile_images/1467928353193746440/s8MgFaKK_normal.jpg</v>
      </c>
      <c r="G421" s="63"/>
      <c r="H421" s="67"/>
      <c r="I421" s="68"/>
      <c r="J421" s="68"/>
      <c r="K421" s="67" t="s">
        <v>20053</v>
      </c>
      <c r="L421" s="71"/>
      <c r="M421" s="72"/>
      <c r="N421" s="72"/>
      <c r="O421" s="73"/>
      <c r="P421" s="74"/>
      <c r="Q421" s="74"/>
      <c r="R421" s="87"/>
      <c r="S421" s="87"/>
      <c r="T421" s="87"/>
      <c r="U421" s="87"/>
      <c r="V421" s="48"/>
      <c r="W421" s="48"/>
      <c r="X421" s="47">
        <v>1.101E-3</v>
      </c>
      <c r="Y421" s="48"/>
      <c r="Z421" s="47"/>
      <c r="AA421" s="69">
        <v>421</v>
      </c>
      <c r="AB421" s="69"/>
      <c r="AC421" s="70"/>
      <c r="AD421" s="76" t="s">
        <v>17056</v>
      </c>
      <c r="AE421" s="81" t="s">
        <v>15732</v>
      </c>
      <c r="AF421" s="76">
        <v>97</v>
      </c>
      <c r="AG421" s="76">
        <v>46</v>
      </c>
      <c r="AH421" s="76">
        <v>1272</v>
      </c>
      <c r="AI421" s="76">
        <v>2</v>
      </c>
      <c r="AJ421" s="76">
        <v>165</v>
      </c>
      <c r="AK421" s="76">
        <v>753</v>
      </c>
      <c r="AL421" s="76" t="b">
        <v>0</v>
      </c>
      <c r="AM421" s="78">
        <v>44294.406111111108</v>
      </c>
      <c r="AN421" s="76" t="s">
        <v>18006</v>
      </c>
      <c r="AO421" s="76" t="s">
        <v>18532</v>
      </c>
      <c r="AP421" s="83" t="str">
        <f>HYPERLINK("https://t.co/Gu2QICEaiv")</f>
        <v>https://t.co/Gu2QICEaiv</v>
      </c>
      <c r="AQ421" s="83" t="str">
        <f>HYPERLINK("https://www.futureproof.pt/")</f>
        <v>https://www.futureproof.pt/</v>
      </c>
      <c r="AR421" s="76" t="s">
        <v>19245</v>
      </c>
      <c r="AS421" s="76"/>
      <c r="AT421" s="76"/>
      <c r="AU421" s="76"/>
      <c r="AV421" s="76"/>
      <c r="AW421" s="83" t="str">
        <f>HYPERLINK("https://t.co/Gu2QICEaiv")</f>
        <v>https://t.co/Gu2QICEaiv</v>
      </c>
      <c r="AX421" s="76" t="b">
        <v>0</v>
      </c>
      <c r="AY421" s="76"/>
      <c r="AZ421" s="76"/>
      <c r="BA421" s="76" t="b">
        <v>1</v>
      </c>
      <c r="BB421" s="76" t="b">
        <v>1</v>
      </c>
      <c r="BC421" s="76" t="b">
        <v>1</v>
      </c>
      <c r="BD421" s="76" t="b">
        <v>0</v>
      </c>
      <c r="BE421" s="76" t="b">
        <v>0</v>
      </c>
      <c r="BF421" s="76" t="b">
        <v>0</v>
      </c>
      <c r="BG421" s="76" t="b">
        <v>0</v>
      </c>
      <c r="BH421" s="83" t="str">
        <f>HYPERLINK("https://pbs.twimg.com/profile_banners/1380094115258449920/1673280804")</f>
        <v>https://pbs.twimg.com/profile_banners/1380094115258449920/1673280804</v>
      </c>
      <c r="BI421" s="76"/>
      <c r="BJ421" s="76" t="s">
        <v>19633</v>
      </c>
      <c r="BK421" s="76" t="b">
        <v>0</v>
      </c>
      <c r="BL421" s="76"/>
      <c r="BM421" s="76" t="s">
        <v>66</v>
      </c>
      <c r="BN421" s="76" t="s">
        <v>19635</v>
      </c>
      <c r="BO421" s="83" t="str">
        <f>HYPERLINK("https://twitter.com/futureproof_wma")</f>
        <v>https://twitter.com/futureproof_wma</v>
      </c>
      <c r="BP421" s="2"/>
    </row>
    <row r="422" spans="1:68" x14ac:dyDescent="0.25">
      <c r="A422" s="62" t="s">
        <v>589</v>
      </c>
      <c r="B422" s="63"/>
      <c r="C422" s="63"/>
      <c r="D422" s="64"/>
      <c r="E422" s="66"/>
      <c r="F422" s="103" t="str">
        <f>HYPERLINK("https://pbs.twimg.com/profile_images/1673450626372583427/_aqv0UWt_normal.jpg")</f>
        <v>https://pbs.twimg.com/profile_images/1673450626372583427/_aqv0UWt_normal.jpg</v>
      </c>
      <c r="G422" s="63"/>
      <c r="H422" s="67"/>
      <c r="I422" s="68"/>
      <c r="J422" s="68"/>
      <c r="K422" s="67" t="s">
        <v>20054</v>
      </c>
      <c r="L422" s="71"/>
      <c r="M422" s="72"/>
      <c r="N422" s="72"/>
      <c r="O422" s="73"/>
      <c r="P422" s="74"/>
      <c r="Q422" s="74"/>
      <c r="R422" s="87"/>
      <c r="S422" s="87"/>
      <c r="T422" s="87"/>
      <c r="U422" s="87"/>
      <c r="V422" s="48"/>
      <c r="W422" s="48"/>
      <c r="X422" s="47">
        <v>1.101E-3</v>
      </c>
      <c r="Y422" s="48"/>
      <c r="Z422" s="47"/>
      <c r="AA422" s="69">
        <v>422</v>
      </c>
      <c r="AB422" s="69"/>
      <c r="AC422" s="70"/>
      <c r="AD422" s="76" t="s">
        <v>17057</v>
      </c>
      <c r="AE422" s="81" t="s">
        <v>16343</v>
      </c>
      <c r="AF422" s="76">
        <v>2</v>
      </c>
      <c r="AG422" s="76">
        <v>1</v>
      </c>
      <c r="AH422" s="76">
        <v>60</v>
      </c>
      <c r="AI422" s="76">
        <v>0</v>
      </c>
      <c r="AJ422" s="76">
        <v>0</v>
      </c>
      <c r="AK422" s="76">
        <v>3</v>
      </c>
      <c r="AL422" s="76" t="b">
        <v>0</v>
      </c>
      <c r="AM422" s="78">
        <v>44823.818148148152</v>
      </c>
      <c r="AN422" s="76"/>
      <c r="AO422" s="76" t="s">
        <v>18533</v>
      </c>
      <c r="AP422" s="76"/>
      <c r="AQ422" s="76"/>
      <c r="AR422" s="76"/>
      <c r="AS422" s="76"/>
      <c r="AT422" s="76"/>
      <c r="AU422" s="76"/>
      <c r="AV422" s="76"/>
      <c r="AW422" s="76"/>
      <c r="AX422" s="76" t="b">
        <v>0</v>
      </c>
      <c r="AY422" s="76"/>
      <c r="AZ422" s="76"/>
      <c r="BA422" s="76" t="b">
        <v>0</v>
      </c>
      <c r="BB422" s="76" t="b">
        <v>1</v>
      </c>
      <c r="BC422" s="76" t="b">
        <v>1</v>
      </c>
      <c r="BD422" s="76" t="b">
        <v>0</v>
      </c>
      <c r="BE422" s="76" t="b">
        <v>0</v>
      </c>
      <c r="BF422" s="76" t="b">
        <v>0</v>
      </c>
      <c r="BG422" s="76" t="b">
        <v>0</v>
      </c>
      <c r="BH422" s="83" t="str">
        <f>HYPERLINK("https://pbs.twimg.com/profile_banners/1571946432185212930/1687816760")</f>
        <v>https://pbs.twimg.com/profile_banners/1571946432185212930/1687816760</v>
      </c>
      <c r="BI422" s="76"/>
      <c r="BJ422" s="76" t="s">
        <v>19633</v>
      </c>
      <c r="BK422" s="76" t="b">
        <v>0</v>
      </c>
      <c r="BL422" s="76"/>
      <c r="BM422" s="76" t="s">
        <v>66</v>
      </c>
      <c r="BN422" s="76" t="s">
        <v>19635</v>
      </c>
      <c r="BO422" s="83" t="str">
        <f>HYPERLINK("https://twitter.com/inflamando")</f>
        <v>https://twitter.com/inflamando</v>
      </c>
      <c r="BP422" s="2"/>
    </row>
    <row r="423" spans="1:68" x14ac:dyDescent="0.25">
      <c r="A423" s="62" t="s">
        <v>590</v>
      </c>
      <c r="B423" s="63"/>
      <c r="C423" s="63"/>
      <c r="D423" s="64"/>
      <c r="E423" s="66"/>
      <c r="F423" s="103" t="str">
        <f>HYPERLINK("https://pbs.twimg.com/profile_images/1531317937075806210/7oEvwlvr_normal.jpg")</f>
        <v>https://pbs.twimg.com/profile_images/1531317937075806210/7oEvwlvr_normal.jpg</v>
      </c>
      <c r="G423" s="63"/>
      <c r="H423" s="67"/>
      <c r="I423" s="68"/>
      <c r="J423" s="68"/>
      <c r="K423" s="67" t="s">
        <v>20055</v>
      </c>
      <c r="L423" s="71"/>
      <c r="M423" s="72"/>
      <c r="N423" s="72"/>
      <c r="O423" s="73"/>
      <c r="P423" s="74"/>
      <c r="Q423" s="74"/>
      <c r="R423" s="87"/>
      <c r="S423" s="87"/>
      <c r="T423" s="87"/>
      <c r="U423" s="87"/>
      <c r="V423" s="48"/>
      <c r="W423" s="48"/>
      <c r="X423" s="47">
        <v>1.101E-3</v>
      </c>
      <c r="Y423" s="48"/>
      <c r="Z423" s="47"/>
      <c r="AA423" s="69">
        <v>423</v>
      </c>
      <c r="AB423" s="69"/>
      <c r="AC423" s="70"/>
      <c r="AD423" s="76" t="s">
        <v>17058</v>
      </c>
      <c r="AE423" s="81" t="s">
        <v>17679</v>
      </c>
      <c r="AF423" s="76">
        <v>79037</v>
      </c>
      <c r="AG423" s="76">
        <v>5434</v>
      </c>
      <c r="AH423" s="76">
        <v>136533</v>
      </c>
      <c r="AI423" s="76">
        <v>705</v>
      </c>
      <c r="AJ423" s="76">
        <v>4256</v>
      </c>
      <c r="AK423" s="76">
        <v>38780</v>
      </c>
      <c r="AL423" s="76" t="b">
        <v>0</v>
      </c>
      <c r="AM423" s="78">
        <v>39754.840763888889</v>
      </c>
      <c r="AN423" s="76" t="s">
        <v>10635</v>
      </c>
      <c r="AO423" s="76" t="s">
        <v>18534</v>
      </c>
      <c r="AP423" s="83" t="str">
        <f>HYPERLINK("https://t.co/yR8pzD6ApI")</f>
        <v>https://t.co/yR8pzD6ApI</v>
      </c>
      <c r="AQ423" s="83" t="str">
        <f>HYPERLINK("http://www.jornaldocomercio.com")</f>
        <v>http://www.jornaldocomercio.com</v>
      </c>
      <c r="AR423" s="76" t="s">
        <v>6064</v>
      </c>
      <c r="AS423" s="76"/>
      <c r="AT423" s="76"/>
      <c r="AU423" s="76"/>
      <c r="AV423" s="76"/>
      <c r="AW423" s="83" t="str">
        <f>HYPERLINK("https://t.co/yR8pzD6ApI")</f>
        <v>https://t.co/yR8pzD6ApI</v>
      </c>
      <c r="AX423" s="76" t="b">
        <v>0</v>
      </c>
      <c r="AY423" s="76"/>
      <c r="AZ423" s="76"/>
      <c r="BA423" s="76" t="b">
        <v>0</v>
      </c>
      <c r="BB423" s="76" t="b">
        <v>1</v>
      </c>
      <c r="BC423" s="76" t="b">
        <v>0</v>
      </c>
      <c r="BD423" s="76" t="b">
        <v>0</v>
      </c>
      <c r="BE423" s="76" t="b">
        <v>1</v>
      </c>
      <c r="BF423" s="76" t="b">
        <v>0</v>
      </c>
      <c r="BG423" s="76" t="b">
        <v>0</v>
      </c>
      <c r="BH423" s="83" t="str">
        <f>HYPERLINK("https://pbs.twimg.com/profile_banners/17118982/1683207252")</f>
        <v>https://pbs.twimg.com/profile_banners/17118982/1683207252</v>
      </c>
      <c r="BI423" s="76"/>
      <c r="BJ423" s="76" t="s">
        <v>19633</v>
      </c>
      <c r="BK423" s="76" t="b">
        <v>0</v>
      </c>
      <c r="BL423" s="76"/>
      <c r="BM423" s="76" t="s">
        <v>66</v>
      </c>
      <c r="BN423" s="76" t="s">
        <v>19635</v>
      </c>
      <c r="BO423" s="83" t="str">
        <f>HYPERLINK("https://twitter.com/jc_rs")</f>
        <v>https://twitter.com/jc_rs</v>
      </c>
      <c r="BP423" s="2"/>
    </row>
    <row r="424" spans="1:68" x14ac:dyDescent="0.25">
      <c r="A424" s="62" t="s">
        <v>591</v>
      </c>
      <c r="B424" s="63"/>
      <c r="C424" s="63"/>
      <c r="D424" s="64"/>
      <c r="E424" s="66"/>
      <c r="F424" s="103" t="str">
        <f>HYPERLINK("https://pbs.twimg.com/profile_images/1626228498087174145/10tzMY-d_normal.jpg")</f>
        <v>https://pbs.twimg.com/profile_images/1626228498087174145/10tzMY-d_normal.jpg</v>
      </c>
      <c r="G424" s="63"/>
      <c r="H424" s="67"/>
      <c r="I424" s="68"/>
      <c r="J424" s="68"/>
      <c r="K424" s="67" t="s">
        <v>20056</v>
      </c>
      <c r="L424" s="71"/>
      <c r="M424" s="72"/>
      <c r="N424" s="72"/>
      <c r="O424" s="73"/>
      <c r="P424" s="74"/>
      <c r="Q424" s="74"/>
      <c r="R424" s="87"/>
      <c r="S424" s="87"/>
      <c r="T424" s="87"/>
      <c r="U424" s="87"/>
      <c r="V424" s="48"/>
      <c r="W424" s="48"/>
      <c r="X424" s="47">
        <v>1.101E-3</v>
      </c>
      <c r="Y424" s="48"/>
      <c r="Z424" s="47"/>
      <c r="AA424" s="69">
        <v>424</v>
      </c>
      <c r="AB424" s="69"/>
      <c r="AC424" s="70"/>
      <c r="AD424" s="76" t="s">
        <v>17059</v>
      </c>
      <c r="AE424" s="81" t="s">
        <v>16344</v>
      </c>
      <c r="AF424" s="76">
        <v>0</v>
      </c>
      <c r="AG424" s="76">
        <v>19</v>
      </c>
      <c r="AH424" s="76">
        <v>32</v>
      </c>
      <c r="AI424" s="76">
        <v>0</v>
      </c>
      <c r="AJ424" s="76">
        <v>0</v>
      </c>
      <c r="AK424" s="76">
        <v>25</v>
      </c>
      <c r="AL424" s="76" t="b">
        <v>0</v>
      </c>
      <c r="AM424" s="78">
        <v>44792.362175925926</v>
      </c>
      <c r="AN424" s="76"/>
      <c r="AO424" s="83" t="str">
        <f>HYPERLINK("https://t.co/XBziprpqb0")</f>
        <v>https://t.co/XBziprpqb0</v>
      </c>
      <c r="AP424" s="76"/>
      <c r="AQ424" s="76"/>
      <c r="AR424" s="76"/>
      <c r="AS424" s="83" t="str">
        <f>HYPERLINK("https://t.co/XBziprpqb0")</f>
        <v>https://t.co/XBziprpqb0</v>
      </c>
      <c r="AT424" s="83" t="str">
        <f>HYPERLINK("http://bit.ly/agathacristie2023")</f>
        <v>http://bit.ly/agathacristie2023</v>
      </c>
      <c r="AU424" s="76" t="s">
        <v>19608</v>
      </c>
      <c r="AV424" s="76"/>
      <c r="AW424" s="76"/>
      <c r="AX424" s="76" t="b">
        <v>0</v>
      </c>
      <c r="AY424" s="76"/>
      <c r="AZ424" s="76"/>
      <c r="BA424" s="76" t="b">
        <v>0</v>
      </c>
      <c r="BB424" s="76" t="b">
        <v>1</v>
      </c>
      <c r="BC424" s="76" t="b">
        <v>1</v>
      </c>
      <c r="BD424" s="76" t="b">
        <v>0</v>
      </c>
      <c r="BE424" s="76" t="b">
        <v>0</v>
      </c>
      <c r="BF424" s="76" t="b">
        <v>0</v>
      </c>
      <c r="BG424" s="76" t="b">
        <v>0</v>
      </c>
      <c r="BH424" s="83" t="str">
        <f>HYPERLINK("https://pbs.twimg.com/profile_banners/1560547379773931521/1676558074")</f>
        <v>https://pbs.twimg.com/profile_banners/1560547379773931521/1676558074</v>
      </c>
      <c r="BI424" s="76"/>
      <c r="BJ424" s="76" t="s">
        <v>19633</v>
      </c>
      <c r="BK424" s="76" t="b">
        <v>0</v>
      </c>
      <c r="BL424" s="76"/>
      <c r="BM424" s="76" t="s">
        <v>66</v>
      </c>
      <c r="BN424" s="76" t="s">
        <v>19635</v>
      </c>
      <c r="BO424" s="83" t="str">
        <f>HYPERLINK("https://twitter.com/agathac79501121")</f>
        <v>https://twitter.com/agathac79501121</v>
      </c>
      <c r="BP424" s="2"/>
    </row>
    <row r="425" spans="1:68" x14ac:dyDescent="0.25">
      <c r="A425" s="62" t="s">
        <v>592</v>
      </c>
      <c r="B425" s="63"/>
      <c r="C425" s="63"/>
      <c r="D425" s="64"/>
      <c r="E425" s="66"/>
      <c r="F425" s="103" t="str">
        <f>HYPERLINK("https://pbs.twimg.com/profile_images/1661415324963438609/oGmKrDd6_normal.jpg")</f>
        <v>https://pbs.twimg.com/profile_images/1661415324963438609/oGmKrDd6_normal.jpg</v>
      </c>
      <c r="G425" s="63"/>
      <c r="H425" s="67"/>
      <c r="I425" s="68"/>
      <c r="J425" s="68"/>
      <c r="K425" s="67" t="s">
        <v>20057</v>
      </c>
      <c r="L425" s="71"/>
      <c r="M425" s="72"/>
      <c r="N425" s="72"/>
      <c r="O425" s="73"/>
      <c r="P425" s="74"/>
      <c r="Q425" s="74"/>
      <c r="R425" s="87"/>
      <c r="S425" s="87"/>
      <c r="T425" s="87"/>
      <c r="U425" s="87"/>
      <c r="V425" s="48"/>
      <c r="W425" s="48"/>
      <c r="X425" s="47">
        <v>1.101E-3</v>
      </c>
      <c r="Y425" s="48"/>
      <c r="Z425" s="47"/>
      <c r="AA425" s="69">
        <v>425</v>
      </c>
      <c r="AB425" s="69"/>
      <c r="AC425" s="70"/>
      <c r="AD425" s="76" t="s">
        <v>17060</v>
      </c>
      <c r="AE425" s="81" t="s">
        <v>15733</v>
      </c>
      <c r="AF425" s="76">
        <v>244</v>
      </c>
      <c r="AG425" s="76">
        <v>299</v>
      </c>
      <c r="AH425" s="76">
        <v>5352</v>
      </c>
      <c r="AI425" s="76">
        <v>27</v>
      </c>
      <c r="AJ425" s="76">
        <v>82133</v>
      </c>
      <c r="AK425" s="76">
        <v>236</v>
      </c>
      <c r="AL425" s="76" t="b">
        <v>0</v>
      </c>
      <c r="AM425" s="78">
        <v>42325.734351851854</v>
      </c>
      <c r="AN425" s="76" t="s">
        <v>18007</v>
      </c>
      <c r="AO425" s="76" t="s">
        <v>18535</v>
      </c>
      <c r="AP425" s="76"/>
      <c r="AQ425" s="76"/>
      <c r="AR425" s="76"/>
      <c r="AS425" s="76"/>
      <c r="AT425" s="76"/>
      <c r="AU425" s="76"/>
      <c r="AV425" s="76">
        <v>1.69006771552691E+18</v>
      </c>
      <c r="AW425" s="76"/>
      <c r="AX425" s="76" t="b">
        <v>0</v>
      </c>
      <c r="AY425" s="76"/>
      <c r="AZ425" s="76"/>
      <c r="BA425" s="76" t="b">
        <v>0</v>
      </c>
      <c r="BB425" s="76" t="b">
        <v>0</v>
      </c>
      <c r="BC425" s="76" t="b">
        <v>0</v>
      </c>
      <c r="BD425" s="76" t="b">
        <v>0</v>
      </c>
      <c r="BE425" s="76" t="b">
        <v>1</v>
      </c>
      <c r="BF425" s="76" t="b">
        <v>0</v>
      </c>
      <c r="BG425" s="76" t="b">
        <v>0</v>
      </c>
      <c r="BH425" s="83" t="str">
        <f>HYPERLINK("https://pbs.twimg.com/profile_banners/4211523209/1684947271")</f>
        <v>https://pbs.twimg.com/profile_banners/4211523209/1684947271</v>
      </c>
      <c r="BI425" s="76"/>
      <c r="BJ425" s="76" t="s">
        <v>19633</v>
      </c>
      <c r="BK425" s="76" t="b">
        <v>0</v>
      </c>
      <c r="BL425" s="76"/>
      <c r="BM425" s="76" t="s">
        <v>66</v>
      </c>
      <c r="BN425" s="76" t="s">
        <v>19635</v>
      </c>
      <c r="BO425" s="83" t="str">
        <f>HYPERLINK("https://twitter.com/anderson_crc")</f>
        <v>https://twitter.com/anderson_crc</v>
      </c>
      <c r="BP425" s="2"/>
    </row>
    <row r="426" spans="1:68" x14ac:dyDescent="0.25">
      <c r="A426" s="62" t="s">
        <v>593</v>
      </c>
      <c r="B426" s="63"/>
      <c r="C426" s="63"/>
      <c r="D426" s="64"/>
      <c r="E426" s="66"/>
      <c r="F426" s="103" t="str">
        <f>HYPERLINK("https://pbs.twimg.com/profile_images/1667326263093067777/r3PmTWr2_normal.jpg")</f>
        <v>https://pbs.twimg.com/profile_images/1667326263093067777/r3PmTWr2_normal.jpg</v>
      </c>
      <c r="G426" s="63"/>
      <c r="H426" s="67"/>
      <c r="I426" s="68"/>
      <c r="J426" s="68"/>
      <c r="K426" s="67" t="s">
        <v>20058</v>
      </c>
      <c r="L426" s="71"/>
      <c r="M426" s="72"/>
      <c r="N426" s="72"/>
      <c r="O426" s="73"/>
      <c r="P426" s="74"/>
      <c r="Q426" s="74"/>
      <c r="R426" s="87"/>
      <c r="S426" s="87"/>
      <c r="T426" s="87"/>
      <c r="U426" s="87"/>
      <c r="V426" s="48"/>
      <c r="W426" s="48"/>
      <c r="X426" s="47">
        <v>1.101E-3</v>
      </c>
      <c r="Y426" s="48"/>
      <c r="Z426" s="47"/>
      <c r="AA426" s="69">
        <v>426</v>
      </c>
      <c r="AB426" s="69"/>
      <c r="AC426" s="70"/>
      <c r="AD426" s="76" t="s">
        <v>16758</v>
      </c>
      <c r="AE426" s="81" t="s">
        <v>16345</v>
      </c>
      <c r="AF426" s="76">
        <v>0</v>
      </c>
      <c r="AG426" s="76">
        <v>39</v>
      </c>
      <c r="AH426" s="76">
        <v>97</v>
      </c>
      <c r="AI426" s="76">
        <v>0</v>
      </c>
      <c r="AJ426" s="76">
        <v>0</v>
      </c>
      <c r="AK426" s="76">
        <v>50</v>
      </c>
      <c r="AL426" s="76" t="b">
        <v>0</v>
      </c>
      <c r="AM426" s="78">
        <v>44571.453287037039</v>
      </c>
      <c r="AN426" s="76" t="s">
        <v>10569</v>
      </c>
      <c r="AO426" s="76" t="s">
        <v>18536</v>
      </c>
      <c r="AP426" s="76"/>
      <c r="AQ426" s="76"/>
      <c r="AR426" s="76"/>
      <c r="AS426" s="76"/>
      <c r="AT426" s="76"/>
      <c r="AU426" s="76"/>
      <c r="AV426" s="76"/>
      <c r="AW426" s="76"/>
      <c r="AX426" s="76" t="b">
        <v>0</v>
      </c>
      <c r="AY426" s="76"/>
      <c r="AZ426" s="76"/>
      <c r="BA426" s="76" t="b">
        <v>0</v>
      </c>
      <c r="BB426" s="76" t="b">
        <v>1</v>
      </c>
      <c r="BC426" s="76" t="b">
        <v>1</v>
      </c>
      <c r="BD426" s="76" t="b">
        <v>0</v>
      </c>
      <c r="BE426" s="76" t="b">
        <v>0</v>
      </c>
      <c r="BF426" s="76" t="b">
        <v>0</v>
      </c>
      <c r="BG426" s="76" t="b">
        <v>0</v>
      </c>
      <c r="BH426" s="83" t="str">
        <f>HYPERLINK("https://pbs.twimg.com/profile_banners/1480492619541139457/1686356532")</f>
        <v>https://pbs.twimg.com/profile_banners/1480492619541139457/1686356532</v>
      </c>
      <c r="BI426" s="76"/>
      <c r="BJ426" s="76" t="s">
        <v>19633</v>
      </c>
      <c r="BK426" s="76" t="b">
        <v>0</v>
      </c>
      <c r="BL426" s="76"/>
      <c r="BM426" s="76" t="s">
        <v>66</v>
      </c>
      <c r="BN426" s="76" t="s">
        <v>19635</v>
      </c>
      <c r="BO426" s="83" t="str">
        <f>HYPERLINK("https://twitter.com/iberezanski")</f>
        <v>https://twitter.com/iberezanski</v>
      </c>
      <c r="BP426" s="2"/>
    </row>
    <row r="427" spans="1:68" x14ac:dyDescent="0.25">
      <c r="A427" s="62" t="s">
        <v>594</v>
      </c>
      <c r="B427" s="63"/>
      <c r="C427" s="63"/>
      <c r="D427" s="64"/>
      <c r="E427" s="66"/>
      <c r="F427" s="103" t="str">
        <f>HYPERLINK("https://pbs.twimg.com/profile_images/1693719039636389888/M_r2OeZU_normal.jpg")</f>
        <v>https://pbs.twimg.com/profile_images/1693719039636389888/M_r2OeZU_normal.jpg</v>
      </c>
      <c r="G427" s="63"/>
      <c r="H427" s="67"/>
      <c r="I427" s="68"/>
      <c r="J427" s="68"/>
      <c r="K427" s="67" t="s">
        <v>20059</v>
      </c>
      <c r="L427" s="71"/>
      <c r="M427" s="72"/>
      <c r="N427" s="72"/>
      <c r="O427" s="73"/>
      <c r="P427" s="74"/>
      <c r="Q427" s="74"/>
      <c r="R427" s="87"/>
      <c r="S427" s="87"/>
      <c r="T427" s="87"/>
      <c r="U427" s="87"/>
      <c r="V427" s="48"/>
      <c r="W427" s="48"/>
      <c r="X427" s="47">
        <v>1.101E-3</v>
      </c>
      <c r="Y427" s="48"/>
      <c r="Z427" s="47"/>
      <c r="AA427" s="69">
        <v>427</v>
      </c>
      <c r="AB427" s="69"/>
      <c r="AC427" s="70"/>
      <c r="AD427" s="76" t="s">
        <v>17061</v>
      </c>
      <c r="AE427" s="81" t="s">
        <v>17680</v>
      </c>
      <c r="AF427" s="76">
        <v>2902</v>
      </c>
      <c r="AG427" s="76">
        <v>1412</v>
      </c>
      <c r="AH427" s="76">
        <v>3178</v>
      </c>
      <c r="AI427" s="76">
        <v>1</v>
      </c>
      <c r="AJ427" s="76">
        <v>2603</v>
      </c>
      <c r="AK427" s="76">
        <v>477</v>
      </c>
      <c r="AL427" s="76" t="b">
        <v>0</v>
      </c>
      <c r="AM427" s="78">
        <v>40695.165775462963</v>
      </c>
      <c r="AN427" s="76" t="s">
        <v>18008</v>
      </c>
      <c r="AO427" s="76" t="s">
        <v>18537</v>
      </c>
      <c r="AP427" s="76"/>
      <c r="AQ427" s="76"/>
      <c r="AR427" s="76"/>
      <c r="AS427" s="76"/>
      <c r="AT427" s="76"/>
      <c r="AU427" s="76"/>
      <c r="AV427" s="76"/>
      <c r="AW427" s="76"/>
      <c r="AX427" s="76" t="b">
        <v>0</v>
      </c>
      <c r="AY427" s="76"/>
      <c r="AZ427" s="76"/>
      <c r="BA427" s="76" t="b">
        <v>0</v>
      </c>
      <c r="BB427" s="76" t="b">
        <v>1</v>
      </c>
      <c r="BC427" s="76" t="b">
        <v>0</v>
      </c>
      <c r="BD427" s="76" t="b">
        <v>0</v>
      </c>
      <c r="BE427" s="76" t="b">
        <v>0</v>
      </c>
      <c r="BF427" s="76" t="b">
        <v>0</v>
      </c>
      <c r="BG427" s="76" t="b">
        <v>0</v>
      </c>
      <c r="BH427" s="83" t="str">
        <f>HYPERLINK("https://pbs.twimg.com/profile_banners/308866922/1692652195")</f>
        <v>https://pbs.twimg.com/profile_banners/308866922/1692652195</v>
      </c>
      <c r="BI427" s="76"/>
      <c r="BJ427" s="76" t="s">
        <v>19633</v>
      </c>
      <c r="BK427" s="76" t="b">
        <v>0</v>
      </c>
      <c r="BL427" s="76"/>
      <c r="BM427" s="76" t="s">
        <v>66</v>
      </c>
      <c r="BN427" s="76" t="s">
        <v>19635</v>
      </c>
      <c r="BO427" s="83" t="str">
        <f>HYPERLINK("https://twitter.com/robertaleitao11")</f>
        <v>https://twitter.com/robertaleitao11</v>
      </c>
      <c r="BP427" s="2"/>
    </row>
    <row r="428" spans="1:68" x14ac:dyDescent="0.25">
      <c r="A428" s="62" t="s">
        <v>595</v>
      </c>
      <c r="B428" s="63"/>
      <c r="C428" s="63"/>
      <c r="D428" s="64"/>
      <c r="E428" s="66"/>
      <c r="F428" s="103" t="str">
        <f>HYPERLINK("https://pbs.twimg.com/profile_images/1649855069355909121/SaNTSIuQ_normal.jpg")</f>
        <v>https://pbs.twimg.com/profile_images/1649855069355909121/SaNTSIuQ_normal.jpg</v>
      </c>
      <c r="G428" s="63"/>
      <c r="H428" s="67"/>
      <c r="I428" s="68"/>
      <c r="J428" s="68"/>
      <c r="K428" s="67" t="s">
        <v>20060</v>
      </c>
      <c r="L428" s="71"/>
      <c r="M428" s="72"/>
      <c r="N428" s="72"/>
      <c r="O428" s="73"/>
      <c r="P428" s="74"/>
      <c r="Q428" s="74"/>
      <c r="R428" s="87"/>
      <c r="S428" s="87"/>
      <c r="T428" s="87"/>
      <c r="U428" s="87"/>
      <c r="V428" s="48"/>
      <c r="W428" s="48"/>
      <c r="X428" s="47">
        <v>1.101E-3</v>
      </c>
      <c r="Y428" s="48"/>
      <c r="Z428" s="47"/>
      <c r="AA428" s="69">
        <v>428</v>
      </c>
      <c r="AB428" s="69"/>
      <c r="AC428" s="70"/>
      <c r="AD428" s="76" t="s">
        <v>17062</v>
      </c>
      <c r="AE428" s="81" t="s">
        <v>16346</v>
      </c>
      <c r="AF428" s="76">
        <v>7</v>
      </c>
      <c r="AG428" s="76">
        <v>6</v>
      </c>
      <c r="AH428" s="76">
        <v>628</v>
      </c>
      <c r="AI428" s="76">
        <v>0</v>
      </c>
      <c r="AJ428" s="76">
        <v>62</v>
      </c>
      <c r="AK428" s="76">
        <v>82</v>
      </c>
      <c r="AL428" s="76" t="b">
        <v>0</v>
      </c>
      <c r="AM428" s="78">
        <v>44389.352268518516</v>
      </c>
      <c r="AN428" s="76" t="s">
        <v>10554</v>
      </c>
      <c r="AO428" s="76" t="s">
        <v>18538</v>
      </c>
      <c r="AP428" s="83" t="str">
        <f>HYPERLINK("https://t.co/if8J4Pvl4s")</f>
        <v>https://t.co/if8J4Pvl4s</v>
      </c>
      <c r="AQ428" s="83" t="str">
        <f>HYPERLINK("https://linktr.ee/maniampodcast")</f>
        <v>https://linktr.ee/maniampodcast</v>
      </c>
      <c r="AR428" s="76" t="s">
        <v>19246</v>
      </c>
      <c r="AS428" s="76"/>
      <c r="AT428" s="76"/>
      <c r="AU428" s="76"/>
      <c r="AV428" s="76">
        <v>1.6785694536409001E+18</v>
      </c>
      <c r="AW428" s="83" t="str">
        <f>HYPERLINK("https://t.co/if8J4Pvl4s")</f>
        <v>https://t.co/if8J4Pvl4s</v>
      </c>
      <c r="AX428" s="76" t="b">
        <v>0</v>
      </c>
      <c r="AY428" s="76"/>
      <c r="AZ428" s="76"/>
      <c r="BA428" s="76" t="b">
        <v>0</v>
      </c>
      <c r="BB428" s="76" t="b">
        <v>1</v>
      </c>
      <c r="BC428" s="76" t="b">
        <v>1</v>
      </c>
      <c r="BD428" s="76" t="b">
        <v>0</v>
      </c>
      <c r="BE428" s="76" t="b">
        <v>0</v>
      </c>
      <c r="BF428" s="76" t="b">
        <v>0</v>
      </c>
      <c r="BG428" s="76" t="b">
        <v>0</v>
      </c>
      <c r="BH428" s="83" t="str">
        <f>HYPERLINK("https://pbs.twimg.com/profile_banners/1414501510285758466/1682191075")</f>
        <v>https://pbs.twimg.com/profile_banners/1414501510285758466/1682191075</v>
      </c>
      <c r="BI428" s="76"/>
      <c r="BJ428" s="76" t="s">
        <v>19633</v>
      </c>
      <c r="BK428" s="76" t="b">
        <v>0</v>
      </c>
      <c r="BL428" s="76"/>
      <c r="BM428" s="76" t="s">
        <v>66</v>
      </c>
      <c r="BN428" s="76" t="s">
        <v>19635</v>
      </c>
      <c r="BO428" s="83" t="str">
        <f>HYPERLINK("https://twitter.com/maniam_podcast")</f>
        <v>https://twitter.com/maniam_podcast</v>
      </c>
      <c r="BP428" s="2"/>
    </row>
    <row r="429" spans="1:68" x14ac:dyDescent="0.25">
      <c r="A429" s="62" t="s">
        <v>596</v>
      </c>
      <c r="B429" s="63"/>
      <c r="C429" s="63"/>
      <c r="D429" s="64"/>
      <c r="E429" s="66"/>
      <c r="F429" s="103" t="str">
        <f>HYPERLINK("https://pbs.twimg.com/profile_images/1697662376206557184/sGtI7yO__normal.jpg")</f>
        <v>https://pbs.twimg.com/profile_images/1697662376206557184/sGtI7yO__normal.jpg</v>
      </c>
      <c r="G429" s="63"/>
      <c r="H429" s="67"/>
      <c r="I429" s="68"/>
      <c r="J429" s="68"/>
      <c r="K429" s="67" t="s">
        <v>20061</v>
      </c>
      <c r="L429" s="71"/>
      <c r="M429" s="72"/>
      <c r="N429" s="72"/>
      <c r="O429" s="73"/>
      <c r="P429" s="74"/>
      <c r="Q429" s="74"/>
      <c r="R429" s="87"/>
      <c r="S429" s="87"/>
      <c r="T429" s="87"/>
      <c r="U429" s="87"/>
      <c r="V429" s="48"/>
      <c r="W429" s="48"/>
      <c r="X429" s="47">
        <v>1.101E-3</v>
      </c>
      <c r="Y429" s="48"/>
      <c r="Z429" s="47"/>
      <c r="AA429" s="69">
        <v>429</v>
      </c>
      <c r="AB429" s="69"/>
      <c r="AC429" s="70"/>
      <c r="AD429" s="76" t="s">
        <v>17063</v>
      </c>
      <c r="AE429" s="81" t="s">
        <v>16347</v>
      </c>
      <c r="AF429" s="76">
        <v>2</v>
      </c>
      <c r="AG429" s="76">
        <v>11</v>
      </c>
      <c r="AH429" s="76">
        <v>44</v>
      </c>
      <c r="AI429" s="76">
        <v>0</v>
      </c>
      <c r="AJ429" s="76">
        <v>12</v>
      </c>
      <c r="AK429" s="76">
        <v>44</v>
      </c>
      <c r="AL429" s="76" t="b">
        <v>0</v>
      </c>
      <c r="AM429" s="78">
        <v>45082.82603009259</v>
      </c>
      <c r="AN429" s="76" t="s">
        <v>18009</v>
      </c>
      <c r="AO429" s="76" t="s">
        <v>18539</v>
      </c>
      <c r="AP429" s="83" t="str">
        <f>HYPERLINK("https://t.co/dWg8lvG9T2")</f>
        <v>https://t.co/dWg8lvG9T2</v>
      </c>
      <c r="AQ429" s="83" t="str">
        <f>HYPERLINK("http://fluir.ibgtaubate.com.br")</f>
        <v>http://fluir.ibgtaubate.com.br</v>
      </c>
      <c r="AR429" s="76" t="s">
        <v>19247</v>
      </c>
      <c r="AS429" s="76"/>
      <c r="AT429" s="76"/>
      <c r="AU429" s="76"/>
      <c r="AV429" s="76"/>
      <c r="AW429" s="83" t="str">
        <f>HYPERLINK("https://t.co/dWg8lvG9T2")</f>
        <v>https://t.co/dWg8lvG9T2</v>
      </c>
      <c r="AX429" s="76" t="b">
        <v>0</v>
      </c>
      <c r="AY429" s="76"/>
      <c r="AZ429" s="76"/>
      <c r="BA429" s="76" t="b">
        <v>0</v>
      </c>
      <c r="BB429" s="76" t="b">
        <v>1</v>
      </c>
      <c r="BC429" s="76" t="b">
        <v>1</v>
      </c>
      <c r="BD429" s="76" t="b">
        <v>0</v>
      </c>
      <c r="BE429" s="76" t="b">
        <v>0</v>
      </c>
      <c r="BF429" s="76" t="b">
        <v>0</v>
      </c>
      <c r="BG429" s="76" t="b">
        <v>0</v>
      </c>
      <c r="BH429" s="83" t="str">
        <f>HYPERLINK("https://pbs.twimg.com/profile_banners/1665807949309018115/1693589227")</f>
        <v>https://pbs.twimg.com/profile_banners/1665807949309018115/1693589227</v>
      </c>
      <c r="BI429" s="76"/>
      <c r="BJ429" s="76" t="s">
        <v>19633</v>
      </c>
      <c r="BK429" s="76" t="b">
        <v>0</v>
      </c>
      <c r="BL429" s="76"/>
      <c r="BM429" s="76" t="s">
        <v>66</v>
      </c>
      <c r="BN429" s="76" t="s">
        <v>19635</v>
      </c>
      <c r="BO429" s="83" t="str">
        <f>HYPERLINK("https://twitter.com/fluir_ibg")</f>
        <v>https://twitter.com/fluir_ibg</v>
      </c>
      <c r="BP429" s="2"/>
    </row>
    <row r="430" spans="1:68" x14ac:dyDescent="0.25">
      <c r="A430" s="62" t="s">
        <v>597</v>
      </c>
      <c r="B430" s="63"/>
      <c r="C430" s="63"/>
      <c r="D430" s="64"/>
      <c r="E430" s="66"/>
      <c r="F430" s="103" t="str">
        <f>HYPERLINK("https://pbs.twimg.com/profile_images/1650524617566502912/K4ieUHiv_normal.png")</f>
        <v>https://pbs.twimg.com/profile_images/1650524617566502912/K4ieUHiv_normal.png</v>
      </c>
      <c r="G430" s="63"/>
      <c r="H430" s="67"/>
      <c r="I430" s="68"/>
      <c r="J430" s="68"/>
      <c r="K430" s="67" t="s">
        <v>20062</v>
      </c>
      <c r="L430" s="71"/>
      <c r="M430" s="72"/>
      <c r="N430" s="72"/>
      <c r="O430" s="73"/>
      <c r="P430" s="74"/>
      <c r="Q430" s="74"/>
      <c r="R430" s="87"/>
      <c r="S430" s="87"/>
      <c r="T430" s="87"/>
      <c r="U430" s="87"/>
      <c r="V430" s="48"/>
      <c r="W430" s="48"/>
      <c r="X430" s="47">
        <v>1.101E-3</v>
      </c>
      <c r="Y430" s="48"/>
      <c r="Z430" s="47"/>
      <c r="AA430" s="69">
        <v>430</v>
      </c>
      <c r="AB430" s="69"/>
      <c r="AC430" s="70"/>
      <c r="AD430" s="76" t="s">
        <v>17064</v>
      </c>
      <c r="AE430" s="81" t="s">
        <v>16348</v>
      </c>
      <c r="AF430" s="76">
        <v>0</v>
      </c>
      <c r="AG430" s="76">
        <v>31</v>
      </c>
      <c r="AH430" s="76">
        <v>8</v>
      </c>
      <c r="AI430" s="76">
        <v>0</v>
      </c>
      <c r="AJ430" s="76">
        <v>0</v>
      </c>
      <c r="AK430" s="76">
        <v>2</v>
      </c>
      <c r="AL430" s="76" t="b">
        <v>0</v>
      </c>
      <c r="AM430" s="78">
        <v>45040.651712962965</v>
      </c>
      <c r="AN430" s="76"/>
      <c r="AO430" s="76"/>
      <c r="AP430" s="76"/>
      <c r="AQ430" s="76"/>
      <c r="AR430" s="76"/>
      <c r="AS430" s="76"/>
      <c r="AT430" s="76"/>
      <c r="AU430" s="76"/>
      <c r="AV430" s="76"/>
      <c r="AW430" s="76"/>
      <c r="AX430" s="76" t="b">
        <v>0</v>
      </c>
      <c r="AY430" s="76"/>
      <c r="AZ430" s="76"/>
      <c r="BA430" s="76" t="b">
        <v>1</v>
      </c>
      <c r="BB430" s="76" t="b">
        <v>1</v>
      </c>
      <c r="BC430" s="76" t="b">
        <v>1</v>
      </c>
      <c r="BD430" s="76" t="b">
        <v>0</v>
      </c>
      <c r="BE430" s="76" t="b">
        <v>0</v>
      </c>
      <c r="BF430" s="76" t="b">
        <v>0</v>
      </c>
      <c r="BG430" s="76" t="b">
        <v>0</v>
      </c>
      <c r="BH430" s="76"/>
      <c r="BI430" s="76"/>
      <c r="BJ430" s="76" t="s">
        <v>19633</v>
      </c>
      <c r="BK430" s="76" t="b">
        <v>0</v>
      </c>
      <c r="BL430" s="76"/>
      <c r="BM430" s="76" t="s">
        <v>66</v>
      </c>
      <c r="BN430" s="76" t="s">
        <v>19635</v>
      </c>
      <c r="BO430" s="83" t="str">
        <f>HYPERLINK("https://twitter.com/dav49057david")</f>
        <v>https://twitter.com/dav49057david</v>
      </c>
      <c r="BP430" s="2"/>
    </row>
    <row r="431" spans="1:68" x14ac:dyDescent="0.25">
      <c r="A431" s="62" t="s">
        <v>598</v>
      </c>
      <c r="B431" s="63"/>
      <c r="C431" s="63"/>
      <c r="D431" s="64"/>
      <c r="E431" s="66"/>
      <c r="F431" s="103" t="str">
        <f>HYPERLINK("https://pbs.twimg.com/profile_images/1161063225716346880/OPCgaPtJ_normal.jpg")</f>
        <v>https://pbs.twimg.com/profile_images/1161063225716346880/OPCgaPtJ_normal.jpg</v>
      </c>
      <c r="G431" s="63"/>
      <c r="H431" s="67"/>
      <c r="I431" s="68"/>
      <c r="J431" s="68"/>
      <c r="K431" s="67" t="s">
        <v>20063</v>
      </c>
      <c r="L431" s="71"/>
      <c r="M431" s="72"/>
      <c r="N431" s="72"/>
      <c r="O431" s="73"/>
      <c r="P431" s="74"/>
      <c r="Q431" s="74"/>
      <c r="R431" s="87"/>
      <c r="S431" s="87"/>
      <c r="T431" s="87"/>
      <c r="U431" s="87"/>
      <c r="V431" s="48"/>
      <c r="W431" s="48"/>
      <c r="X431" s="47">
        <v>1.101E-3</v>
      </c>
      <c r="Y431" s="48"/>
      <c r="Z431" s="47"/>
      <c r="AA431" s="69">
        <v>431</v>
      </c>
      <c r="AB431" s="69"/>
      <c r="AC431" s="70"/>
      <c r="AD431" s="76" t="s">
        <v>17065</v>
      </c>
      <c r="AE431" s="81" t="s">
        <v>17681</v>
      </c>
      <c r="AF431" s="76">
        <v>140</v>
      </c>
      <c r="AG431" s="76">
        <v>123</v>
      </c>
      <c r="AH431" s="76">
        <v>2599</v>
      </c>
      <c r="AI431" s="76">
        <v>4</v>
      </c>
      <c r="AJ431" s="76">
        <v>662</v>
      </c>
      <c r="AK431" s="76">
        <v>572</v>
      </c>
      <c r="AL431" s="76" t="b">
        <v>0</v>
      </c>
      <c r="AM431" s="78">
        <v>40692.848946759259</v>
      </c>
      <c r="AN431" s="76" t="s">
        <v>10561</v>
      </c>
      <c r="AO431" s="76" t="s">
        <v>18540</v>
      </c>
      <c r="AP431" s="83" t="str">
        <f>HYPERLINK("https://t.co/2cAjri5OKn")</f>
        <v>https://t.co/2cAjri5OKn</v>
      </c>
      <c r="AQ431" s="83" t="str">
        <f>HYPERLINK("http://www.twitch.com/Leomorban")</f>
        <v>http://www.twitch.com/Leomorban</v>
      </c>
      <c r="AR431" s="76" t="s">
        <v>19248</v>
      </c>
      <c r="AS431" s="83" t="str">
        <f>HYPERLINK("https://t.co/Z6L3PsRXk6")</f>
        <v>https://t.co/Z6L3PsRXk6</v>
      </c>
      <c r="AT431" s="83" t="str">
        <f>HYPERLINK("http://steamcommunity.com/id/Leomorban/")</f>
        <v>http://steamcommunity.com/id/Leomorban/</v>
      </c>
      <c r="AU431" s="76" t="s">
        <v>19609</v>
      </c>
      <c r="AV431" s="76"/>
      <c r="AW431" s="83" t="str">
        <f>HYPERLINK("https://t.co/2cAjri5OKn")</f>
        <v>https://t.co/2cAjri5OKn</v>
      </c>
      <c r="AX431" s="76" t="b">
        <v>0</v>
      </c>
      <c r="AY431" s="76"/>
      <c r="AZ431" s="76"/>
      <c r="BA431" s="76" t="b">
        <v>0</v>
      </c>
      <c r="BB431" s="76" t="b">
        <v>1</v>
      </c>
      <c r="BC431" s="76" t="b">
        <v>0</v>
      </c>
      <c r="BD431" s="76" t="b">
        <v>0</v>
      </c>
      <c r="BE431" s="76" t="b">
        <v>0</v>
      </c>
      <c r="BF431" s="76" t="b">
        <v>0</v>
      </c>
      <c r="BG431" s="76" t="b">
        <v>0</v>
      </c>
      <c r="BH431" s="83" t="str">
        <f>HYPERLINK("https://pbs.twimg.com/profile_banners/307533855/1576428641")</f>
        <v>https://pbs.twimg.com/profile_banners/307533855/1576428641</v>
      </c>
      <c r="BI431" s="76"/>
      <c r="BJ431" s="76" t="s">
        <v>19633</v>
      </c>
      <c r="BK431" s="76" t="b">
        <v>0</v>
      </c>
      <c r="BL431" s="76"/>
      <c r="BM431" s="76" t="s">
        <v>66</v>
      </c>
      <c r="BN431" s="76" t="s">
        <v>19635</v>
      </c>
      <c r="BO431" s="83" t="str">
        <f>HYPERLINK("https://twitter.com/leomorban")</f>
        <v>https://twitter.com/leomorban</v>
      </c>
      <c r="BP431" s="2"/>
    </row>
    <row r="432" spans="1:68" x14ac:dyDescent="0.25">
      <c r="A432" s="62" t="s">
        <v>599</v>
      </c>
      <c r="B432" s="63"/>
      <c r="C432" s="63"/>
      <c r="D432" s="64"/>
      <c r="E432" s="66"/>
      <c r="F432" s="103" t="str">
        <f>HYPERLINK("https://pbs.twimg.com/profile_images/1637540539015872517/LLOu0MEf_normal.jpg")</f>
        <v>https://pbs.twimg.com/profile_images/1637540539015872517/LLOu0MEf_normal.jpg</v>
      </c>
      <c r="G432" s="63"/>
      <c r="H432" s="67"/>
      <c r="I432" s="68"/>
      <c r="J432" s="68"/>
      <c r="K432" s="67" t="s">
        <v>20064</v>
      </c>
      <c r="L432" s="71"/>
      <c r="M432" s="72"/>
      <c r="N432" s="72"/>
      <c r="O432" s="73"/>
      <c r="P432" s="74"/>
      <c r="Q432" s="74"/>
      <c r="R432" s="87"/>
      <c r="S432" s="87"/>
      <c r="T432" s="87"/>
      <c r="U432" s="87"/>
      <c r="V432" s="48"/>
      <c r="W432" s="48"/>
      <c r="X432" s="47">
        <v>1.101E-3</v>
      </c>
      <c r="Y432" s="48"/>
      <c r="Z432" s="47"/>
      <c r="AA432" s="69">
        <v>432</v>
      </c>
      <c r="AB432" s="69"/>
      <c r="AC432" s="70"/>
      <c r="AD432" s="76" t="s">
        <v>17066</v>
      </c>
      <c r="AE432" s="81" t="s">
        <v>16349</v>
      </c>
      <c r="AF432" s="76">
        <v>70</v>
      </c>
      <c r="AG432" s="76">
        <v>286</v>
      </c>
      <c r="AH432" s="76">
        <v>1574</v>
      </c>
      <c r="AI432" s="76">
        <v>2</v>
      </c>
      <c r="AJ432" s="76">
        <v>5446</v>
      </c>
      <c r="AK432" s="76">
        <v>416</v>
      </c>
      <c r="AL432" s="76" t="b">
        <v>0</v>
      </c>
      <c r="AM432" s="78">
        <v>44847.969502314816</v>
      </c>
      <c r="AN432" s="76"/>
      <c r="AO432" s="76" t="s">
        <v>18541</v>
      </c>
      <c r="AP432" s="76"/>
      <c r="AQ432" s="76"/>
      <c r="AR432" s="76"/>
      <c r="AS432" s="76"/>
      <c r="AT432" s="76"/>
      <c r="AU432" s="76"/>
      <c r="AV432" s="76"/>
      <c r="AW432" s="76"/>
      <c r="AX432" s="76" t="b">
        <v>0</v>
      </c>
      <c r="AY432" s="76"/>
      <c r="AZ432" s="76"/>
      <c r="BA432" s="76" t="b">
        <v>0</v>
      </c>
      <c r="BB432" s="76" t="b">
        <v>1</v>
      </c>
      <c r="BC432" s="76" t="b">
        <v>1</v>
      </c>
      <c r="BD432" s="76" t="b">
        <v>0</v>
      </c>
      <c r="BE432" s="76" t="b">
        <v>1</v>
      </c>
      <c r="BF432" s="76" t="b">
        <v>0</v>
      </c>
      <c r="BG432" s="76" t="b">
        <v>0</v>
      </c>
      <c r="BH432" s="83" t="str">
        <f>HYPERLINK("https://pbs.twimg.com/profile_banners/1580698613298216961/1680276643")</f>
        <v>https://pbs.twimg.com/profile_banners/1580698613298216961/1680276643</v>
      </c>
      <c r="BI432" s="76"/>
      <c r="BJ432" s="76" t="s">
        <v>19633</v>
      </c>
      <c r="BK432" s="76" t="b">
        <v>0</v>
      </c>
      <c r="BL432" s="76"/>
      <c r="BM432" s="76" t="s">
        <v>66</v>
      </c>
      <c r="BN432" s="76" t="s">
        <v>19635</v>
      </c>
      <c r="BO432" s="83" t="str">
        <f>HYPERLINK("https://twitter.com/tretacripto")</f>
        <v>https://twitter.com/tretacripto</v>
      </c>
      <c r="BP432" s="2"/>
    </row>
    <row r="433" spans="1:68" x14ac:dyDescent="0.25">
      <c r="A433" s="62" t="s">
        <v>600</v>
      </c>
      <c r="B433" s="63"/>
      <c r="C433" s="63"/>
      <c r="D433" s="64"/>
      <c r="E433" s="66"/>
      <c r="F433" s="103" t="str">
        <f>HYPERLINK("https://pbs.twimg.com/profile_images/1677353878453465090/oT1970lM_normal.jpg")</f>
        <v>https://pbs.twimg.com/profile_images/1677353878453465090/oT1970lM_normal.jpg</v>
      </c>
      <c r="G433" s="63"/>
      <c r="H433" s="67"/>
      <c r="I433" s="68"/>
      <c r="J433" s="68"/>
      <c r="K433" s="67" t="s">
        <v>20065</v>
      </c>
      <c r="L433" s="71"/>
      <c r="M433" s="72"/>
      <c r="N433" s="72"/>
      <c r="O433" s="73"/>
      <c r="P433" s="74"/>
      <c r="Q433" s="74"/>
      <c r="R433" s="87"/>
      <c r="S433" s="87"/>
      <c r="T433" s="87"/>
      <c r="U433" s="87"/>
      <c r="V433" s="48"/>
      <c r="W433" s="48"/>
      <c r="X433" s="47">
        <v>1.101E-3</v>
      </c>
      <c r="Y433" s="48"/>
      <c r="Z433" s="47"/>
      <c r="AA433" s="69">
        <v>433</v>
      </c>
      <c r="AB433" s="69"/>
      <c r="AC433" s="70"/>
      <c r="AD433" s="76" t="s">
        <v>17067</v>
      </c>
      <c r="AE433" s="81" t="s">
        <v>16350</v>
      </c>
      <c r="AF433" s="76">
        <v>5</v>
      </c>
      <c r="AG433" s="76">
        <v>16</v>
      </c>
      <c r="AH433" s="76">
        <v>289</v>
      </c>
      <c r="AI433" s="76">
        <v>0</v>
      </c>
      <c r="AJ433" s="76">
        <v>62</v>
      </c>
      <c r="AK433" s="76">
        <v>183</v>
      </c>
      <c r="AL433" s="76" t="b">
        <v>0</v>
      </c>
      <c r="AM433" s="78">
        <v>45114.686365740738</v>
      </c>
      <c r="AN433" s="76"/>
      <c r="AO433" s="76"/>
      <c r="AP433" s="76"/>
      <c r="AQ433" s="76"/>
      <c r="AR433" s="76"/>
      <c r="AS433" s="76"/>
      <c r="AT433" s="76"/>
      <c r="AU433" s="76"/>
      <c r="AV433" s="76"/>
      <c r="AW433" s="76"/>
      <c r="AX433" s="76" t="b">
        <v>0</v>
      </c>
      <c r="AY433" s="76"/>
      <c r="AZ433" s="76"/>
      <c r="BA433" s="76" t="b">
        <v>0</v>
      </c>
      <c r="BB433" s="76" t="b">
        <v>1</v>
      </c>
      <c r="BC433" s="76" t="b">
        <v>1</v>
      </c>
      <c r="BD433" s="76" t="b">
        <v>0</v>
      </c>
      <c r="BE433" s="76" t="b">
        <v>0</v>
      </c>
      <c r="BF433" s="76" t="b">
        <v>0</v>
      </c>
      <c r="BG433" s="76" t="b">
        <v>0</v>
      </c>
      <c r="BH433" s="76"/>
      <c r="BI433" s="76"/>
      <c r="BJ433" s="76" t="s">
        <v>19633</v>
      </c>
      <c r="BK433" s="76" t="b">
        <v>0</v>
      </c>
      <c r="BL433" s="76"/>
      <c r="BM433" s="76" t="s">
        <v>66</v>
      </c>
      <c r="BN433" s="76" t="s">
        <v>19635</v>
      </c>
      <c r="BO433" s="83" t="str">
        <f>HYPERLINK("https://twitter.com/gabriels_gouvea")</f>
        <v>https://twitter.com/gabriels_gouvea</v>
      </c>
      <c r="BP433" s="2"/>
    </row>
    <row r="434" spans="1:68" x14ac:dyDescent="0.25">
      <c r="A434" s="62" t="s">
        <v>601</v>
      </c>
      <c r="B434" s="63"/>
      <c r="C434" s="63"/>
      <c r="D434" s="64"/>
      <c r="E434" s="66"/>
      <c r="F434" s="103" t="str">
        <f>HYPERLINK("https://pbs.twimg.com/profile_images/1651373648068980736/LVhLRoNR_normal.jpg")</f>
        <v>https://pbs.twimg.com/profile_images/1651373648068980736/LVhLRoNR_normal.jpg</v>
      </c>
      <c r="G434" s="63"/>
      <c r="H434" s="67"/>
      <c r="I434" s="68"/>
      <c r="J434" s="68"/>
      <c r="K434" s="67" t="s">
        <v>20066</v>
      </c>
      <c r="L434" s="71"/>
      <c r="M434" s="72"/>
      <c r="N434" s="72"/>
      <c r="O434" s="73"/>
      <c r="P434" s="74"/>
      <c r="Q434" s="74"/>
      <c r="R434" s="87"/>
      <c r="S434" s="87"/>
      <c r="T434" s="87"/>
      <c r="U434" s="87"/>
      <c r="V434" s="48"/>
      <c r="W434" s="48"/>
      <c r="X434" s="47">
        <v>1.101E-3</v>
      </c>
      <c r="Y434" s="48"/>
      <c r="Z434" s="47"/>
      <c r="AA434" s="69">
        <v>434</v>
      </c>
      <c r="AB434" s="69"/>
      <c r="AC434" s="70"/>
      <c r="AD434" s="76" t="s">
        <v>17068</v>
      </c>
      <c r="AE434" s="81" t="s">
        <v>17682</v>
      </c>
      <c r="AF434" s="76">
        <v>3</v>
      </c>
      <c r="AG434" s="76">
        <v>9</v>
      </c>
      <c r="AH434" s="76">
        <v>859</v>
      </c>
      <c r="AI434" s="76">
        <v>0</v>
      </c>
      <c r="AJ434" s="76">
        <v>38</v>
      </c>
      <c r="AK434" s="76">
        <v>0</v>
      </c>
      <c r="AL434" s="76" t="b">
        <v>0</v>
      </c>
      <c r="AM434" s="78">
        <v>42098.902037037034</v>
      </c>
      <c r="AN434" s="76"/>
      <c r="AO434" s="76" t="s">
        <v>18542</v>
      </c>
      <c r="AP434" s="76"/>
      <c r="AQ434" s="76"/>
      <c r="AR434" s="76"/>
      <c r="AS434" s="83" t="str">
        <f>HYPERLINK("https://t.co/qjOZBajDW8")</f>
        <v>https://t.co/qjOZBajDW8</v>
      </c>
      <c r="AT434" s="83" t="str">
        <f>HYPERLINK("https://www.instagram.com/aferreiraoficial/")</f>
        <v>https://www.instagram.com/aferreiraoficial/</v>
      </c>
      <c r="AU434" s="76" t="s">
        <v>19610</v>
      </c>
      <c r="AV434" s="76"/>
      <c r="AW434" s="76"/>
      <c r="AX434" s="76" t="b">
        <v>0</v>
      </c>
      <c r="AY434" s="76"/>
      <c r="AZ434" s="76"/>
      <c r="BA434" s="76" t="b">
        <v>0</v>
      </c>
      <c r="BB434" s="76" t="b">
        <v>0</v>
      </c>
      <c r="BC434" s="76" t="b">
        <v>1</v>
      </c>
      <c r="BD434" s="76" t="b">
        <v>0</v>
      </c>
      <c r="BE434" s="76" t="b">
        <v>0</v>
      </c>
      <c r="BF434" s="76" t="b">
        <v>0</v>
      </c>
      <c r="BG434" s="76" t="b">
        <v>0</v>
      </c>
      <c r="BH434" s="76"/>
      <c r="BI434" s="76"/>
      <c r="BJ434" s="76" t="s">
        <v>19633</v>
      </c>
      <c r="BK434" s="76" t="b">
        <v>0</v>
      </c>
      <c r="BL434" s="76"/>
      <c r="BM434" s="76" t="s">
        <v>66</v>
      </c>
      <c r="BN434" s="76" t="s">
        <v>19635</v>
      </c>
      <c r="BO434" s="83" t="str">
        <f>HYPERLINK("https://twitter.com/andrealmeidasou")</f>
        <v>https://twitter.com/andrealmeidasou</v>
      </c>
      <c r="BP434" s="2"/>
    </row>
    <row r="435" spans="1:68" x14ac:dyDescent="0.25">
      <c r="A435" s="62" t="s">
        <v>602</v>
      </c>
      <c r="B435" s="63"/>
      <c r="C435" s="63"/>
      <c r="D435" s="64"/>
      <c r="E435" s="66"/>
      <c r="F435" s="103" t="str">
        <f>HYPERLINK("https://pbs.twimg.com/profile_images/1552997521097719808/axrWwEU6_normal.jpg")</f>
        <v>https://pbs.twimg.com/profile_images/1552997521097719808/axrWwEU6_normal.jpg</v>
      </c>
      <c r="G435" s="63"/>
      <c r="H435" s="67"/>
      <c r="I435" s="68"/>
      <c r="J435" s="68"/>
      <c r="K435" s="67" t="s">
        <v>20067</v>
      </c>
      <c r="L435" s="71"/>
      <c r="M435" s="72"/>
      <c r="N435" s="72"/>
      <c r="O435" s="73"/>
      <c r="P435" s="74"/>
      <c r="Q435" s="74"/>
      <c r="R435" s="87"/>
      <c r="S435" s="87"/>
      <c r="T435" s="87"/>
      <c r="U435" s="87"/>
      <c r="V435" s="48"/>
      <c r="W435" s="48"/>
      <c r="X435" s="47">
        <v>1.101E-3</v>
      </c>
      <c r="Y435" s="48"/>
      <c r="Z435" s="47"/>
      <c r="AA435" s="69">
        <v>435</v>
      </c>
      <c r="AB435" s="69"/>
      <c r="AC435" s="70"/>
      <c r="AD435" s="76" t="s">
        <v>17069</v>
      </c>
      <c r="AE435" s="81" t="s">
        <v>17683</v>
      </c>
      <c r="AF435" s="76">
        <v>1594</v>
      </c>
      <c r="AG435" s="76">
        <v>155</v>
      </c>
      <c r="AH435" s="76">
        <v>21869</v>
      </c>
      <c r="AI435" s="76">
        <v>29</v>
      </c>
      <c r="AJ435" s="76">
        <v>76</v>
      </c>
      <c r="AK435" s="76">
        <v>3937</v>
      </c>
      <c r="AL435" s="76" t="b">
        <v>0</v>
      </c>
      <c r="AM435" s="78">
        <v>39976.436793981484</v>
      </c>
      <c r="AN435" s="76" t="s">
        <v>18010</v>
      </c>
      <c r="AO435" s="76" t="s">
        <v>18543</v>
      </c>
      <c r="AP435" s="83" t="str">
        <f>HYPERLINK("https://t.co/gGRR3AumyI")</f>
        <v>https://t.co/gGRR3AumyI</v>
      </c>
      <c r="AQ435" s="83" t="str">
        <f>HYPERLINK("http://www.jornaldooeste.com.br")</f>
        <v>http://www.jornaldooeste.com.br</v>
      </c>
      <c r="AR435" s="76" t="s">
        <v>19249</v>
      </c>
      <c r="AS435" s="76"/>
      <c r="AT435" s="76"/>
      <c r="AU435" s="76"/>
      <c r="AV435" s="76"/>
      <c r="AW435" s="83" t="str">
        <f>HYPERLINK("https://t.co/gGRR3AumyI")</f>
        <v>https://t.co/gGRR3AumyI</v>
      </c>
      <c r="AX435" s="76" t="b">
        <v>0</v>
      </c>
      <c r="AY435" s="76"/>
      <c r="AZ435" s="76"/>
      <c r="BA435" s="76" t="b">
        <v>0</v>
      </c>
      <c r="BB435" s="76" t="b">
        <v>1</v>
      </c>
      <c r="BC435" s="76" t="b">
        <v>0</v>
      </c>
      <c r="BD435" s="76" t="b">
        <v>0</v>
      </c>
      <c r="BE435" s="76" t="b">
        <v>0</v>
      </c>
      <c r="BF435" s="76" t="b">
        <v>0</v>
      </c>
      <c r="BG435" s="76" t="b">
        <v>0</v>
      </c>
      <c r="BH435" s="83" t="str">
        <f>HYPERLINK("https://pbs.twimg.com/profile_banners/46624815/1677763695")</f>
        <v>https://pbs.twimg.com/profile_banners/46624815/1677763695</v>
      </c>
      <c r="BI435" s="76"/>
      <c r="BJ435" s="76" t="s">
        <v>19633</v>
      </c>
      <c r="BK435" s="76" t="b">
        <v>0</v>
      </c>
      <c r="BL435" s="76"/>
      <c r="BM435" s="76" t="s">
        <v>66</v>
      </c>
      <c r="BN435" s="76" t="s">
        <v>19635</v>
      </c>
      <c r="BO435" s="83" t="str">
        <f>HYPERLINK("https://twitter.com/jornaldooeste")</f>
        <v>https://twitter.com/jornaldooeste</v>
      </c>
      <c r="BP435" s="2"/>
    </row>
    <row r="436" spans="1:68" x14ac:dyDescent="0.25">
      <c r="A436" s="62" t="s">
        <v>603</v>
      </c>
      <c r="B436" s="63"/>
      <c r="C436" s="63"/>
      <c r="D436" s="64"/>
      <c r="E436" s="66"/>
      <c r="F436" s="103" t="str">
        <f>HYPERLINK("https://pbs.twimg.com/profile_images/1664024456262549505/LEYLe1s-_normal.jpg")</f>
        <v>https://pbs.twimg.com/profile_images/1664024456262549505/LEYLe1s-_normal.jpg</v>
      </c>
      <c r="G436" s="63"/>
      <c r="H436" s="67"/>
      <c r="I436" s="68"/>
      <c r="J436" s="68"/>
      <c r="K436" s="67" t="s">
        <v>20068</v>
      </c>
      <c r="L436" s="71"/>
      <c r="M436" s="72"/>
      <c r="N436" s="72"/>
      <c r="O436" s="73"/>
      <c r="P436" s="74"/>
      <c r="Q436" s="74"/>
      <c r="R436" s="87"/>
      <c r="S436" s="87"/>
      <c r="T436" s="87"/>
      <c r="U436" s="87"/>
      <c r="V436" s="48"/>
      <c r="W436" s="48"/>
      <c r="X436" s="47">
        <v>1.101E-3</v>
      </c>
      <c r="Y436" s="48"/>
      <c r="Z436" s="47"/>
      <c r="AA436" s="69">
        <v>436</v>
      </c>
      <c r="AB436" s="69"/>
      <c r="AC436" s="70"/>
      <c r="AD436" s="76" t="s">
        <v>17070</v>
      </c>
      <c r="AE436" s="81" t="s">
        <v>15734</v>
      </c>
      <c r="AF436" s="76">
        <v>2</v>
      </c>
      <c r="AG436" s="76">
        <v>33</v>
      </c>
      <c r="AH436" s="76">
        <v>82</v>
      </c>
      <c r="AI436" s="76">
        <v>0</v>
      </c>
      <c r="AJ436" s="76">
        <v>1855</v>
      </c>
      <c r="AK436" s="76">
        <v>5</v>
      </c>
      <c r="AL436" s="76" t="b">
        <v>0</v>
      </c>
      <c r="AM436" s="78">
        <v>44885.700138888889</v>
      </c>
      <c r="AN436" s="76" t="s">
        <v>17867</v>
      </c>
      <c r="AO436" s="76" t="s">
        <v>18544</v>
      </c>
      <c r="AP436" s="83" t="str">
        <f>HYPERLINK("https://t.co/Eyo2nnVkAy")</f>
        <v>https://t.co/Eyo2nnVkAy</v>
      </c>
      <c r="AQ436" s="83" t="str">
        <f>HYPERLINK("http://www.vivendoplenamente.com.br")</f>
        <v>http://www.vivendoplenamente.com.br</v>
      </c>
      <c r="AR436" s="76" t="s">
        <v>19250</v>
      </c>
      <c r="AS436" s="76"/>
      <c r="AT436" s="76"/>
      <c r="AU436" s="76"/>
      <c r="AV436" s="76"/>
      <c r="AW436" s="83" t="str">
        <f>HYPERLINK("https://t.co/Eyo2nnVkAy")</f>
        <v>https://t.co/Eyo2nnVkAy</v>
      </c>
      <c r="AX436" s="76" t="b">
        <v>0</v>
      </c>
      <c r="AY436" s="76"/>
      <c r="AZ436" s="76"/>
      <c r="BA436" s="76" t="b">
        <v>0</v>
      </c>
      <c r="BB436" s="76" t="b">
        <v>0</v>
      </c>
      <c r="BC436" s="76" t="b">
        <v>1</v>
      </c>
      <c r="BD436" s="76" t="b">
        <v>0</v>
      </c>
      <c r="BE436" s="76" t="b">
        <v>1</v>
      </c>
      <c r="BF436" s="76" t="b">
        <v>0</v>
      </c>
      <c r="BG436" s="76" t="b">
        <v>0</v>
      </c>
      <c r="BH436" s="83" t="str">
        <f>HYPERLINK("https://pbs.twimg.com/profile_banners/1594371871763480581/1685569323")</f>
        <v>https://pbs.twimg.com/profile_banners/1594371871763480581/1685569323</v>
      </c>
      <c r="BI436" s="76"/>
      <c r="BJ436" s="76" t="s">
        <v>19633</v>
      </c>
      <c r="BK436" s="76" t="b">
        <v>0</v>
      </c>
      <c r="BL436" s="76"/>
      <c r="BM436" s="76" t="s">
        <v>66</v>
      </c>
      <c r="BN436" s="76" t="s">
        <v>19635</v>
      </c>
      <c r="BO436" s="83" t="str">
        <f>HYPERLINK("https://twitter.com/almepoupa")</f>
        <v>https://twitter.com/almepoupa</v>
      </c>
      <c r="BP436" s="2"/>
    </row>
    <row r="437" spans="1:68" x14ac:dyDescent="0.25">
      <c r="A437" s="62" t="s">
        <v>604</v>
      </c>
      <c r="B437" s="63"/>
      <c r="C437" s="63"/>
      <c r="D437" s="64"/>
      <c r="E437" s="66"/>
      <c r="F437" s="103" t="str">
        <f>HYPERLINK("https://pbs.twimg.com/profile_images/1683979699502960641/khdM02ge_normal.jpg")</f>
        <v>https://pbs.twimg.com/profile_images/1683979699502960641/khdM02ge_normal.jpg</v>
      </c>
      <c r="G437" s="63"/>
      <c r="H437" s="67"/>
      <c r="I437" s="68"/>
      <c r="J437" s="68"/>
      <c r="K437" s="67" t="s">
        <v>20069</v>
      </c>
      <c r="L437" s="71"/>
      <c r="M437" s="72"/>
      <c r="N437" s="72"/>
      <c r="O437" s="73"/>
      <c r="P437" s="74"/>
      <c r="Q437" s="74"/>
      <c r="R437" s="87"/>
      <c r="S437" s="87"/>
      <c r="T437" s="87"/>
      <c r="U437" s="87"/>
      <c r="V437" s="48"/>
      <c r="W437" s="48"/>
      <c r="X437" s="47">
        <v>1.101E-3</v>
      </c>
      <c r="Y437" s="48"/>
      <c r="Z437" s="47"/>
      <c r="AA437" s="69">
        <v>437</v>
      </c>
      <c r="AB437" s="69"/>
      <c r="AC437" s="70"/>
      <c r="AD437" s="76" t="s">
        <v>604</v>
      </c>
      <c r="AE437" s="81" t="s">
        <v>16351</v>
      </c>
      <c r="AF437" s="76">
        <v>2</v>
      </c>
      <c r="AG437" s="76">
        <v>3</v>
      </c>
      <c r="AH437" s="76">
        <v>1</v>
      </c>
      <c r="AI437" s="76">
        <v>1</v>
      </c>
      <c r="AJ437" s="76">
        <v>11</v>
      </c>
      <c r="AK437" s="76">
        <v>1</v>
      </c>
      <c r="AL437" s="76" t="b">
        <v>0</v>
      </c>
      <c r="AM437" s="78">
        <v>44676.904780092591</v>
      </c>
      <c r="AN437" s="76" t="s">
        <v>10561</v>
      </c>
      <c r="AO437" s="76" t="s">
        <v>18545</v>
      </c>
      <c r="AP437" s="76"/>
      <c r="AQ437" s="76"/>
      <c r="AR437" s="76"/>
      <c r="AS437" s="76"/>
      <c r="AT437" s="76"/>
      <c r="AU437" s="76"/>
      <c r="AV437" s="76"/>
      <c r="AW437" s="76"/>
      <c r="AX437" s="76" t="b">
        <v>0</v>
      </c>
      <c r="AY437" s="76"/>
      <c r="AZ437" s="76"/>
      <c r="BA437" s="76" t="b">
        <v>0</v>
      </c>
      <c r="BB437" s="76" t="b">
        <v>1</v>
      </c>
      <c r="BC437" s="76" t="b">
        <v>1</v>
      </c>
      <c r="BD437" s="76" t="b">
        <v>0</v>
      </c>
      <c r="BE437" s="76" t="b">
        <v>0</v>
      </c>
      <c r="BF437" s="76" t="b">
        <v>0</v>
      </c>
      <c r="BG437" s="76" t="b">
        <v>0</v>
      </c>
      <c r="BH437" s="83" t="str">
        <f>HYPERLINK("https://pbs.twimg.com/profile_banners/1518706776597749763/1690327038")</f>
        <v>https://pbs.twimg.com/profile_banners/1518706776597749763/1690327038</v>
      </c>
      <c r="BI437" s="76"/>
      <c r="BJ437" s="76" t="s">
        <v>19633</v>
      </c>
      <c r="BK437" s="76" t="b">
        <v>0</v>
      </c>
      <c r="BL437" s="76"/>
      <c r="BM437" s="76" t="s">
        <v>66</v>
      </c>
      <c r="BN437" s="76" t="s">
        <v>19635</v>
      </c>
      <c r="BO437" s="83" t="str">
        <f>HYPERLINK("https://twitter.com/escolafinance")</f>
        <v>https://twitter.com/escolafinance</v>
      </c>
      <c r="BP437" s="2"/>
    </row>
    <row r="438" spans="1:68" x14ac:dyDescent="0.25">
      <c r="A438" s="62" t="s">
        <v>605</v>
      </c>
      <c r="B438" s="63"/>
      <c r="C438" s="63"/>
      <c r="D438" s="64"/>
      <c r="E438" s="66"/>
      <c r="F438" s="103" t="str">
        <f>HYPERLINK("https://pbs.twimg.com/profile_images/1596171709387784193/EXmywa-I_normal.jpg")</f>
        <v>https://pbs.twimg.com/profile_images/1596171709387784193/EXmywa-I_normal.jpg</v>
      </c>
      <c r="G438" s="63"/>
      <c r="H438" s="67"/>
      <c r="I438" s="68"/>
      <c r="J438" s="68"/>
      <c r="K438" s="67" t="s">
        <v>20070</v>
      </c>
      <c r="L438" s="71"/>
      <c r="M438" s="72"/>
      <c r="N438" s="72"/>
      <c r="O438" s="73"/>
      <c r="P438" s="74"/>
      <c r="Q438" s="74"/>
      <c r="R438" s="87"/>
      <c r="S438" s="87"/>
      <c r="T438" s="87"/>
      <c r="U438" s="87"/>
      <c r="V438" s="48"/>
      <c r="W438" s="48"/>
      <c r="X438" s="47">
        <v>1.101E-3</v>
      </c>
      <c r="Y438" s="48"/>
      <c r="Z438" s="47"/>
      <c r="AA438" s="69">
        <v>438</v>
      </c>
      <c r="AB438" s="69"/>
      <c r="AC438" s="70"/>
      <c r="AD438" s="76" t="s">
        <v>17071</v>
      </c>
      <c r="AE438" s="81" t="s">
        <v>15735</v>
      </c>
      <c r="AF438" s="76">
        <v>49964</v>
      </c>
      <c r="AG438" s="76">
        <v>253</v>
      </c>
      <c r="AH438" s="76">
        <v>13727</v>
      </c>
      <c r="AI438" s="76">
        <v>270</v>
      </c>
      <c r="AJ438" s="76">
        <v>395</v>
      </c>
      <c r="AK438" s="76">
        <v>2836</v>
      </c>
      <c r="AL438" s="76" t="b">
        <v>0</v>
      </c>
      <c r="AM438" s="78">
        <v>39983.862314814818</v>
      </c>
      <c r="AN438" s="76" t="s">
        <v>18011</v>
      </c>
      <c r="AO438" s="76" t="s">
        <v>18546</v>
      </c>
      <c r="AP438" s="83" t="str">
        <f>HYPERLINK("https://t.co/obadq1jBby")</f>
        <v>https://t.co/obadq1jBby</v>
      </c>
      <c r="AQ438" s="83" t="str">
        <f>HYPERLINK("http://www.febraban.org.br/")</f>
        <v>http://www.febraban.org.br/</v>
      </c>
      <c r="AR438" s="76" t="s">
        <v>19251</v>
      </c>
      <c r="AS438" s="76"/>
      <c r="AT438" s="76"/>
      <c r="AU438" s="76"/>
      <c r="AV438" s="76">
        <v>1.6408156876556201E+18</v>
      </c>
      <c r="AW438" s="83" t="str">
        <f>HYPERLINK("https://t.co/obadq1jBby")</f>
        <v>https://t.co/obadq1jBby</v>
      </c>
      <c r="AX438" s="76" t="b">
        <v>0</v>
      </c>
      <c r="AY438" s="76"/>
      <c r="AZ438" s="76"/>
      <c r="BA438" s="76" t="b">
        <v>1</v>
      </c>
      <c r="BB438" s="76" t="b">
        <v>1</v>
      </c>
      <c r="BC438" s="76" t="b">
        <v>0</v>
      </c>
      <c r="BD438" s="76" t="b">
        <v>0</v>
      </c>
      <c r="BE438" s="76" t="b">
        <v>1</v>
      </c>
      <c r="BF438" s="76" t="b">
        <v>0</v>
      </c>
      <c r="BG438" s="76" t="b">
        <v>0</v>
      </c>
      <c r="BH438" s="83" t="str">
        <f>HYPERLINK("https://pbs.twimg.com/profile_banners/48821743/1669393850")</f>
        <v>https://pbs.twimg.com/profile_banners/48821743/1669393850</v>
      </c>
      <c r="BI438" s="76"/>
      <c r="BJ438" s="76" t="s">
        <v>19633</v>
      </c>
      <c r="BK438" s="76" t="b">
        <v>0</v>
      </c>
      <c r="BL438" s="76"/>
      <c r="BM438" s="76" t="s">
        <v>66</v>
      </c>
      <c r="BN438" s="76" t="s">
        <v>19635</v>
      </c>
      <c r="BO438" s="83" t="str">
        <f>HYPERLINK("https://twitter.com/febraban")</f>
        <v>https://twitter.com/febraban</v>
      </c>
      <c r="BP438" s="2"/>
    </row>
    <row r="439" spans="1:68" x14ac:dyDescent="0.25">
      <c r="A439" s="62" t="s">
        <v>606</v>
      </c>
      <c r="B439" s="63"/>
      <c r="C439" s="63"/>
      <c r="D439" s="64"/>
      <c r="E439" s="66"/>
      <c r="F439" s="103" t="str">
        <f>HYPERLINK("https://pbs.twimg.com/profile_images/1335657066116096003/WWv9SrEq_normal.jpg")</f>
        <v>https://pbs.twimg.com/profile_images/1335657066116096003/WWv9SrEq_normal.jpg</v>
      </c>
      <c r="G439" s="63"/>
      <c r="H439" s="67"/>
      <c r="I439" s="68"/>
      <c r="J439" s="68"/>
      <c r="K439" s="67" t="s">
        <v>20071</v>
      </c>
      <c r="L439" s="71"/>
      <c r="M439" s="72"/>
      <c r="N439" s="72"/>
      <c r="O439" s="73"/>
      <c r="P439" s="74"/>
      <c r="Q439" s="74"/>
      <c r="R439" s="87"/>
      <c r="S439" s="87"/>
      <c r="T439" s="87"/>
      <c r="U439" s="87"/>
      <c r="V439" s="48"/>
      <c r="W439" s="48"/>
      <c r="X439" s="47">
        <v>1.101E-3</v>
      </c>
      <c r="Y439" s="48"/>
      <c r="Z439" s="47"/>
      <c r="AA439" s="69">
        <v>439</v>
      </c>
      <c r="AB439" s="69"/>
      <c r="AC439" s="70"/>
      <c r="AD439" s="76" t="s">
        <v>17072</v>
      </c>
      <c r="AE439" s="81" t="s">
        <v>15736</v>
      </c>
      <c r="AF439" s="76">
        <v>1</v>
      </c>
      <c r="AG439" s="76">
        <v>0</v>
      </c>
      <c r="AH439" s="76">
        <v>79</v>
      </c>
      <c r="AI439" s="76">
        <v>0</v>
      </c>
      <c r="AJ439" s="76">
        <v>0</v>
      </c>
      <c r="AK439" s="76">
        <v>6</v>
      </c>
      <c r="AL439" s="76" t="b">
        <v>0</v>
      </c>
      <c r="AM439" s="78">
        <v>44171.781365740739</v>
      </c>
      <c r="AN439" s="76"/>
      <c r="AO439" s="76" t="s">
        <v>18547</v>
      </c>
      <c r="AP439" s="83" t="str">
        <f>HYPERLINK("https://t.co/rtUAHAi2NK")</f>
        <v>https://t.co/rtUAHAi2NK</v>
      </c>
      <c r="AQ439" s="83" t="str">
        <f>HYPERLINK("https://borafalardeguito.com/")</f>
        <v>https://borafalardeguito.com/</v>
      </c>
      <c r="AR439" s="76" t="s">
        <v>6065</v>
      </c>
      <c r="AS439" s="76"/>
      <c r="AT439" s="76"/>
      <c r="AU439" s="76"/>
      <c r="AV439" s="76"/>
      <c r="AW439" s="83" t="str">
        <f>HYPERLINK("https://t.co/rtUAHAi2NK")</f>
        <v>https://t.co/rtUAHAi2NK</v>
      </c>
      <c r="AX439" s="76" t="b">
        <v>0</v>
      </c>
      <c r="AY439" s="76"/>
      <c r="AZ439" s="76"/>
      <c r="BA439" s="76" t="b">
        <v>0</v>
      </c>
      <c r="BB439" s="76" t="b">
        <v>1</v>
      </c>
      <c r="BC439" s="76" t="b">
        <v>1</v>
      </c>
      <c r="BD439" s="76" t="b">
        <v>0</v>
      </c>
      <c r="BE439" s="76" t="b">
        <v>0</v>
      </c>
      <c r="BF439" s="76" t="b">
        <v>0</v>
      </c>
      <c r="BG439" s="76" t="b">
        <v>0</v>
      </c>
      <c r="BH439" s="83" t="str">
        <f>HYPERLINK("https://pbs.twimg.com/profile_banners/1335656385128894465/1648447786")</f>
        <v>https://pbs.twimg.com/profile_banners/1335656385128894465/1648447786</v>
      </c>
      <c r="BI439" s="76"/>
      <c r="BJ439" s="76" t="s">
        <v>19633</v>
      </c>
      <c r="BK439" s="76" t="b">
        <v>0</v>
      </c>
      <c r="BL439" s="76"/>
      <c r="BM439" s="76" t="s">
        <v>66</v>
      </c>
      <c r="BN439" s="76" t="s">
        <v>19635</v>
      </c>
      <c r="BO439" s="83" t="str">
        <f>HYPERLINK("https://twitter.com/borafalardguito")</f>
        <v>https://twitter.com/borafalardguito</v>
      </c>
      <c r="BP439" s="2"/>
    </row>
    <row r="440" spans="1:68" x14ac:dyDescent="0.25">
      <c r="A440" s="62" t="s">
        <v>607</v>
      </c>
      <c r="B440" s="63"/>
      <c r="C440" s="63"/>
      <c r="D440" s="64"/>
      <c r="E440" s="66"/>
      <c r="F440" s="103" t="str">
        <f>HYPERLINK("https://pbs.twimg.com/profile_images/1566931553090945024/-VL-2a3P_normal.jpg")</f>
        <v>https://pbs.twimg.com/profile_images/1566931553090945024/-VL-2a3P_normal.jpg</v>
      </c>
      <c r="G440" s="63"/>
      <c r="H440" s="67"/>
      <c r="I440" s="68"/>
      <c r="J440" s="68"/>
      <c r="K440" s="67" t="s">
        <v>20072</v>
      </c>
      <c r="L440" s="71"/>
      <c r="M440" s="72"/>
      <c r="N440" s="72"/>
      <c r="O440" s="73"/>
      <c r="P440" s="74"/>
      <c r="Q440" s="74"/>
      <c r="R440" s="87"/>
      <c r="S440" s="87"/>
      <c r="T440" s="87"/>
      <c r="U440" s="87"/>
      <c r="V440" s="48"/>
      <c r="W440" s="48"/>
      <c r="X440" s="47">
        <v>1.101E-3</v>
      </c>
      <c r="Y440" s="48"/>
      <c r="Z440" s="47"/>
      <c r="AA440" s="69">
        <v>440</v>
      </c>
      <c r="AB440" s="69"/>
      <c r="AC440" s="70"/>
      <c r="AD440" s="76" t="s">
        <v>17073</v>
      </c>
      <c r="AE440" s="81" t="s">
        <v>16352</v>
      </c>
      <c r="AF440" s="76">
        <v>5942</v>
      </c>
      <c r="AG440" s="76">
        <v>45</v>
      </c>
      <c r="AH440" s="76">
        <v>1610</v>
      </c>
      <c r="AI440" s="76">
        <v>24</v>
      </c>
      <c r="AJ440" s="76">
        <v>1234</v>
      </c>
      <c r="AK440" s="76">
        <v>1283</v>
      </c>
      <c r="AL440" s="76" t="b">
        <v>0</v>
      </c>
      <c r="AM440" s="78">
        <v>43255.8903587963</v>
      </c>
      <c r="AN440" s="76" t="s">
        <v>17967</v>
      </c>
      <c r="AO440" s="76" t="s">
        <v>18548</v>
      </c>
      <c r="AP440" s="83" t="str">
        <f>HYPERLINK("https://t.co/duRx2muTDt")</f>
        <v>https://t.co/duRx2muTDt</v>
      </c>
      <c r="AQ440" s="83" t="str">
        <f>HYPERLINK("http://linktr.ee/HD1pod")</f>
        <v>http://linktr.ee/HD1pod</v>
      </c>
      <c r="AR440" s="76" t="s">
        <v>19252</v>
      </c>
      <c r="AS440" s="76"/>
      <c r="AT440" s="76"/>
      <c r="AU440" s="76"/>
      <c r="AV440" s="76">
        <v>1.5669549649325599E+18</v>
      </c>
      <c r="AW440" s="83" t="str">
        <f>HYPERLINK("https://t.co/duRx2muTDt")</f>
        <v>https://t.co/duRx2muTDt</v>
      </c>
      <c r="AX440" s="76" t="b">
        <v>0</v>
      </c>
      <c r="AY440" s="76"/>
      <c r="AZ440" s="76"/>
      <c r="BA440" s="76" t="b">
        <v>0</v>
      </c>
      <c r="BB440" s="76" t="b">
        <v>1</v>
      </c>
      <c r="BC440" s="76" t="b">
        <v>0</v>
      </c>
      <c r="BD440" s="76" t="b">
        <v>0</v>
      </c>
      <c r="BE440" s="76" t="b">
        <v>1</v>
      </c>
      <c r="BF440" s="76" t="b">
        <v>0</v>
      </c>
      <c r="BG440" s="76" t="b">
        <v>0</v>
      </c>
      <c r="BH440" s="83" t="str">
        <f>HYPERLINK("https://pbs.twimg.com/profile_banners/1003748757685653506/1662420570")</f>
        <v>https://pbs.twimg.com/profile_banners/1003748757685653506/1662420570</v>
      </c>
      <c r="BI440" s="76"/>
      <c r="BJ440" s="76" t="s">
        <v>19633</v>
      </c>
      <c r="BK440" s="76" t="b">
        <v>0</v>
      </c>
      <c r="BL440" s="76"/>
      <c r="BM440" s="76" t="s">
        <v>66</v>
      </c>
      <c r="BN440" s="76" t="s">
        <v>19635</v>
      </c>
      <c r="BO440" s="83" t="str">
        <f>HYPERLINK("https://twitter.com/hd1pod")</f>
        <v>https://twitter.com/hd1pod</v>
      </c>
      <c r="BP440" s="2"/>
    </row>
    <row r="441" spans="1:68" x14ac:dyDescent="0.25">
      <c r="A441" s="62" t="s">
        <v>608</v>
      </c>
      <c r="B441" s="63"/>
      <c r="C441" s="63"/>
      <c r="D441" s="64"/>
      <c r="E441" s="66"/>
      <c r="F441" s="103" t="str">
        <f>HYPERLINK("https://pbs.twimg.com/profile_images/799810889545351168/Weg67tLV_normal.jpg")</f>
        <v>https://pbs.twimg.com/profile_images/799810889545351168/Weg67tLV_normal.jpg</v>
      </c>
      <c r="G441" s="63"/>
      <c r="H441" s="67"/>
      <c r="I441" s="68"/>
      <c r="J441" s="68"/>
      <c r="K441" s="67" t="s">
        <v>20073</v>
      </c>
      <c r="L441" s="71"/>
      <c r="M441" s="72"/>
      <c r="N441" s="72"/>
      <c r="O441" s="73"/>
      <c r="P441" s="74"/>
      <c r="Q441" s="74"/>
      <c r="R441" s="87"/>
      <c r="S441" s="87"/>
      <c r="T441" s="87"/>
      <c r="U441" s="87"/>
      <c r="V441" s="48"/>
      <c r="W441" s="48"/>
      <c r="X441" s="47">
        <v>1.101E-3</v>
      </c>
      <c r="Y441" s="48"/>
      <c r="Z441" s="47"/>
      <c r="AA441" s="69">
        <v>441</v>
      </c>
      <c r="AB441" s="69"/>
      <c r="AC441" s="70"/>
      <c r="AD441" s="76" t="s">
        <v>17074</v>
      </c>
      <c r="AE441" s="81" t="s">
        <v>16353</v>
      </c>
      <c r="AF441" s="76">
        <v>32148</v>
      </c>
      <c r="AG441" s="76">
        <v>139</v>
      </c>
      <c r="AH441" s="76">
        <v>5097</v>
      </c>
      <c r="AI441" s="76">
        <v>446</v>
      </c>
      <c r="AJ441" s="76">
        <v>5774</v>
      </c>
      <c r="AK441" s="76">
        <v>1470</v>
      </c>
      <c r="AL441" s="76" t="b">
        <v>0</v>
      </c>
      <c r="AM441" s="78">
        <v>42693.126157407409</v>
      </c>
      <c r="AN441" s="76" t="s">
        <v>10570</v>
      </c>
      <c r="AO441" s="76" t="s">
        <v>18549</v>
      </c>
      <c r="AP441" s="76"/>
      <c r="AQ441" s="76"/>
      <c r="AR441" s="76"/>
      <c r="AS441" s="76"/>
      <c r="AT441" s="76"/>
      <c r="AU441" s="76"/>
      <c r="AV441" s="76"/>
      <c r="AW441" s="76"/>
      <c r="AX441" s="76" t="b">
        <v>0</v>
      </c>
      <c r="AY441" s="76"/>
      <c r="AZ441" s="76"/>
      <c r="BA441" s="76" t="b">
        <v>1</v>
      </c>
      <c r="BB441" s="76" t="b">
        <v>1</v>
      </c>
      <c r="BC441" s="76" t="b">
        <v>1</v>
      </c>
      <c r="BD441" s="76" t="b">
        <v>0</v>
      </c>
      <c r="BE441" s="76" t="b">
        <v>0</v>
      </c>
      <c r="BF441" s="76" t="b">
        <v>0</v>
      </c>
      <c r="BG441" s="76" t="b">
        <v>0</v>
      </c>
      <c r="BH441" s="83" t="str">
        <f>HYPERLINK("https://pbs.twimg.com/profile_banners/799809840554135552/1560721696")</f>
        <v>https://pbs.twimg.com/profile_banners/799809840554135552/1560721696</v>
      </c>
      <c r="BI441" s="76"/>
      <c r="BJ441" s="76" t="s">
        <v>19633</v>
      </c>
      <c r="BK441" s="76" t="b">
        <v>0</v>
      </c>
      <c r="BL441" s="76"/>
      <c r="BM441" s="76" t="s">
        <v>66</v>
      </c>
      <c r="BN441" s="76" t="s">
        <v>19635</v>
      </c>
      <c r="BO441" s="83" t="str">
        <f>HYPERLINK("https://twitter.com/dicadehoje7")</f>
        <v>https://twitter.com/dicadehoje7</v>
      </c>
      <c r="BP441" s="2"/>
    </row>
    <row r="442" spans="1:68" x14ac:dyDescent="0.25">
      <c r="A442" s="62" t="s">
        <v>609</v>
      </c>
      <c r="B442" s="63"/>
      <c r="C442" s="63"/>
      <c r="D442" s="64"/>
      <c r="E442" s="66"/>
      <c r="F442" s="103" t="str">
        <f>HYPERLINK("https://pbs.twimg.com/profile_images/1645831886533476353/XaFU2cRF_normal.jpg")</f>
        <v>https://pbs.twimg.com/profile_images/1645831886533476353/XaFU2cRF_normal.jpg</v>
      </c>
      <c r="G442" s="63"/>
      <c r="H442" s="67"/>
      <c r="I442" s="68"/>
      <c r="J442" s="68"/>
      <c r="K442" s="67" t="s">
        <v>20074</v>
      </c>
      <c r="L442" s="71"/>
      <c r="M442" s="72"/>
      <c r="N442" s="72"/>
      <c r="O442" s="73"/>
      <c r="P442" s="74"/>
      <c r="Q442" s="74"/>
      <c r="R442" s="87"/>
      <c r="S442" s="87"/>
      <c r="T442" s="87"/>
      <c r="U442" s="87"/>
      <c r="V442" s="48"/>
      <c r="W442" s="48"/>
      <c r="X442" s="47">
        <v>1.101E-3</v>
      </c>
      <c r="Y442" s="48"/>
      <c r="Z442" s="47"/>
      <c r="AA442" s="69">
        <v>442</v>
      </c>
      <c r="AB442" s="69"/>
      <c r="AC442" s="70"/>
      <c r="AD442" s="76" t="s">
        <v>17075</v>
      </c>
      <c r="AE442" s="81" t="s">
        <v>16354</v>
      </c>
      <c r="AF442" s="76">
        <v>37</v>
      </c>
      <c r="AG442" s="76">
        <v>156</v>
      </c>
      <c r="AH442" s="76">
        <v>993</v>
      </c>
      <c r="AI442" s="76">
        <v>4</v>
      </c>
      <c r="AJ442" s="76">
        <v>449</v>
      </c>
      <c r="AK442" s="76">
        <v>173</v>
      </c>
      <c r="AL442" s="76" t="b">
        <v>0</v>
      </c>
      <c r="AM442" s="78">
        <v>44518.688009259262</v>
      </c>
      <c r="AN442" s="76" t="s">
        <v>10572</v>
      </c>
      <c r="AO442" s="76" t="s">
        <v>18550</v>
      </c>
      <c r="AP442" s="76"/>
      <c r="AQ442" s="76"/>
      <c r="AR442" s="76"/>
      <c r="AS442" s="76"/>
      <c r="AT442" s="76"/>
      <c r="AU442" s="76"/>
      <c r="AV442" s="76"/>
      <c r="AW442" s="76"/>
      <c r="AX442" s="76" t="b">
        <v>0</v>
      </c>
      <c r="AY442" s="76"/>
      <c r="AZ442" s="76"/>
      <c r="BA442" s="76" t="b">
        <v>1</v>
      </c>
      <c r="BB442" s="76" t="b">
        <v>1</v>
      </c>
      <c r="BC442" s="76" t="b">
        <v>1</v>
      </c>
      <c r="BD442" s="76" t="b">
        <v>0</v>
      </c>
      <c r="BE442" s="76" t="b">
        <v>1</v>
      </c>
      <c r="BF442" s="76" t="b">
        <v>0</v>
      </c>
      <c r="BG442" s="76" t="b">
        <v>0</v>
      </c>
      <c r="BH442" s="83" t="str">
        <f>HYPERLINK("https://pbs.twimg.com/profile_banners/1461371216632201222/1683317911")</f>
        <v>https://pbs.twimg.com/profile_banners/1461371216632201222/1683317911</v>
      </c>
      <c r="BI442" s="76"/>
      <c r="BJ442" s="76" t="s">
        <v>19633</v>
      </c>
      <c r="BK442" s="76" t="b">
        <v>0</v>
      </c>
      <c r="BL442" s="76"/>
      <c r="BM442" s="76" t="s">
        <v>66</v>
      </c>
      <c r="BN442" s="76" t="s">
        <v>19635</v>
      </c>
      <c r="BO442" s="83" t="str">
        <f>HYPERLINK("https://twitter.com/ismaelguerreir6")</f>
        <v>https://twitter.com/ismaelguerreir6</v>
      </c>
      <c r="BP442" s="2"/>
    </row>
    <row r="443" spans="1:68" x14ac:dyDescent="0.25">
      <c r="A443" s="62" t="s">
        <v>611</v>
      </c>
      <c r="B443" s="63"/>
      <c r="C443" s="63"/>
      <c r="D443" s="64"/>
      <c r="E443" s="66"/>
      <c r="F443" s="103" t="str">
        <f>HYPERLINK("https://pbs.twimg.com/profile_images/816399348317634560/v83Lunjk_normal.jpg")</f>
        <v>https://pbs.twimg.com/profile_images/816399348317634560/v83Lunjk_normal.jpg</v>
      </c>
      <c r="G443" s="63"/>
      <c r="H443" s="67"/>
      <c r="I443" s="68"/>
      <c r="J443" s="68"/>
      <c r="K443" s="67" t="s">
        <v>20075</v>
      </c>
      <c r="L443" s="71"/>
      <c r="M443" s="72"/>
      <c r="N443" s="72"/>
      <c r="O443" s="73"/>
      <c r="P443" s="74"/>
      <c r="Q443" s="74"/>
      <c r="R443" s="87"/>
      <c r="S443" s="87"/>
      <c r="T443" s="87"/>
      <c r="U443" s="87"/>
      <c r="V443" s="48"/>
      <c r="W443" s="48"/>
      <c r="X443" s="47">
        <v>1.101E-3</v>
      </c>
      <c r="Y443" s="48"/>
      <c r="Z443" s="47"/>
      <c r="AA443" s="69">
        <v>443</v>
      </c>
      <c r="AB443" s="69"/>
      <c r="AC443" s="70"/>
      <c r="AD443" s="76" t="s">
        <v>17076</v>
      </c>
      <c r="AE443" s="81" t="s">
        <v>17684</v>
      </c>
      <c r="AF443" s="76">
        <v>880</v>
      </c>
      <c r="AG443" s="76">
        <v>86</v>
      </c>
      <c r="AH443" s="76">
        <v>1661</v>
      </c>
      <c r="AI443" s="76">
        <v>0</v>
      </c>
      <c r="AJ443" s="76">
        <v>86</v>
      </c>
      <c r="AK443" s="76">
        <v>92</v>
      </c>
      <c r="AL443" s="76" t="b">
        <v>0</v>
      </c>
      <c r="AM443" s="78">
        <v>41523.951585648145</v>
      </c>
      <c r="AN443" s="76"/>
      <c r="AO443" s="76" t="s">
        <v>18551</v>
      </c>
      <c r="AP443" s="76"/>
      <c r="AQ443" s="76"/>
      <c r="AR443" s="76"/>
      <c r="AS443" s="76"/>
      <c r="AT443" s="76"/>
      <c r="AU443" s="76"/>
      <c r="AV443" s="76"/>
      <c r="AW443" s="76"/>
      <c r="AX443" s="76" t="b">
        <v>0</v>
      </c>
      <c r="AY443" s="76"/>
      <c r="AZ443" s="76"/>
      <c r="BA443" s="76" t="b">
        <v>0</v>
      </c>
      <c r="BB443" s="76" t="b">
        <v>1</v>
      </c>
      <c r="BC443" s="76" t="b">
        <v>0</v>
      </c>
      <c r="BD443" s="76" t="b">
        <v>0</v>
      </c>
      <c r="BE443" s="76" t="b">
        <v>1</v>
      </c>
      <c r="BF443" s="76" t="b">
        <v>0</v>
      </c>
      <c r="BG443" s="76" t="b">
        <v>0</v>
      </c>
      <c r="BH443" s="83" t="str">
        <f>HYPERLINK("https://pbs.twimg.com/profile_banners/1738018896/1657474711")</f>
        <v>https://pbs.twimg.com/profile_banners/1738018896/1657474711</v>
      </c>
      <c r="BI443" s="76"/>
      <c r="BJ443" s="76" t="s">
        <v>19633</v>
      </c>
      <c r="BK443" s="76" t="b">
        <v>0</v>
      </c>
      <c r="BL443" s="76"/>
      <c r="BM443" s="76" t="s">
        <v>66</v>
      </c>
      <c r="BN443" s="76" t="s">
        <v>19635</v>
      </c>
      <c r="BO443" s="83" t="str">
        <f>HYPERLINK("https://twitter.com/mb_galvao")</f>
        <v>https://twitter.com/mb_galvao</v>
      </c>
      <c r="BP443" s="2"/>
    </row>
    <row r="444" spans="1:68" x14ac:dyDescent="0.25">
      <c r="A444" s="62" t="s">
        <v>612</v>
      </c>
      <c r="B444" s="63"/>
      <c r="C444" s="63"/>
      <c r="D444" s="64"/>
      <c r="E444" s="66"/>
      <c r="F444" s="103" t="str">
        <f>HYPERLINK("https://pbs.twimg.com/profile_images/1650559290527105024/xwjtWIFm_normal.jpg")</f>
        <v>https://pbs.twimg.com/profile_images/1650559290527105024/xwjtWIFm_normal.jpg</v>
      </c>
      <c r="G444" s="63"/>
      <c r="H444" s="67"/>
      <c r="I444" s="68"/>
      <c r="J444" s="68"/>
      <c r="K444" s="67" t="s">
        <v>20076</v>
      </c>
      <c r="L444" s="71"/>
      <c r="M444" s="72"/>
      <c r="N444" s="72"/>
      <c r="O444" s="73"/>
      <c r="P444" s="74"/>
      <c r="Q444" s="74"/>
      <c r="R444" s="87"/>
      <c r="S444" s="87"/>
      <c r="T444" s="87"/>
      <c r="U444" s="87"/>
      <c r="V444" s="48"/>
      <c r="W444" s="48"/>
      <c r="X444" s="47">
        <v>1.101E-3</v>
      </c>
      <c r="Y444" s="48"/>
      <c r="Z444" s="47"/>
      <c r="AA444" s="69">
        <v>444</v>
      </c>
      <c r="AB444" s="69"/>
      <c r="AC444" s="70"/>
      <c r="AD444" s="76" t="s">
        <v>17077</v>
      </c>
      <c r="AE444" s="81" t="s">
        <v>16355</v>
      </c>
      <c r="AF444" s="76">
        <v>29</v>
      </c>
      <c r="AG444" s="76">
        <v>7</v>
      </c>
      <c r="AH444" s="76">
        <v>127</v>
      </c>
      <c r="AI444" s="76">
        <v>0</v>
      </c>
      <c r="AJ444" s="76">
        <v>2</v>
      </c>
      <c r="AK444" s="76">
        <v>126</v>
      </c>
      <c r="AL444" s="76" t="b">
        <v>0</v>
      </c>
      <c r="AM444" s="78">
        <v>44705.812256944446</v>
      </c>
      <c r="AN444" s="76"/>
      <c r="AO444" s="76" t="s">
        <v>18552</v>
      </c>
      <c r="AP444" s="83" t="str">
        <f>HYPERLINK("https://t.co/rJGuNcbk5F")</f>
        <v>https://t.co/rJGuNcbk5F</v>
      </c>
      <c r="AQ444" s="83" t="str">
        <f>HYPERLINK("https://linktr.ee/onilgroup")</f>
        <v>https://linktr.ee/onilgroup</v>
      </c>
      <c r="AR444" s="76" t="s">
        <v>19253</v>
      </c>
      <c r="AS444" s="76"/>
      <c r="AT444" s="76"/>
      <c r="AU444" s="76"/>
      <c r="AV444" s="76"/>
      <c r="AW444" s="83" t="str">
        <f>HYPERLINK("https://t.co/rJGuNcbk5F")</f>
        <v>https://t.co/rJGuNcbk5F</v>
      </c>
      <c r="AX444" s="76" t="b">
        <v>0</v>
      </c>
      <c r="AY444" s="76"/>
      <c r="AZ444" s="76"/>
      <c r="BA444" s="76" t="b">
        <v>0</v>
      </c>
      <c r="BB444" s="76" t="b">
        <v>1</v>
      </c>
      <c r="BC444" s="76" t="b">
        <v>1</v>
      </c>
      <c r="BD444" s="76" t="b">
        <v>0</v>
      </c>
      <c r="BE444" s="76" t="b">
        <v>0</v>
      </c>
      <c r="BF444" s="76" t="b">
        <v>0</v>
      </c>
      <c r="BG444" s="76" t="b">
        <v>0</v>
      </c>
      <c r="BH444" s="83" t="str">
        <f>HYPERLINK("https://pbs.twimg.com/profile_banners/1529182774095126530/1682359045")</f>
        <v>https://pbs.twimg.com/profile_banners/1529182774095126530/1682359045</v>
      </c>
      <c r="BI444" s="76"/>
      <c r="BJ444" s="76" t="s">
        <v>19633</v>
      </c>
      <c r="BK444" s="76" t="b">
        <v>0</v>
      </c>
      <c r="BL444" s="76"/>
      <c r="BM444" s="76" t="s">
        <v>66</v>
      </c>
      <c r="BN444" s="76" t="s">
        <v>19635</v>
      </c>
      <c r="BO444" s="83" t="str">
        <f>HYPERLINK("https://twitter.com/onilgroup")</f>
        <v>https://twitter.com/onilgroup</v>
      </c>
      <c r="BP444" s="2"/>
    </row>
    <row r="445" spans="1:68" x14ac:dyDescent="0.25">
      <c r="A445" s="62" t="s">
        <v>613</v>
      </c>
      <c r="B445" s="63"/>
      <c r="C445" s="63"/>
      <c r="D445" s="64"/>
      <c r="E445" s="66"/>
      <c r="F445" s="103" t="str">
        <f>HYPERLINK("https://pbs.twimg.com/profile_images/1680838733963186177/1NBqhVQb_normal.jpg")</f>
        <v>https://pbs.twimg.com/profile_images/1680838733963186177/1NBqhVQb_normal.jpg</v>
      </c>
      <c r="G445" s="63"/>
      <c r="H445" s="67"/>
      <c r="I445" s="68"/>
      <c r="J445" s="68"/>
      <c r="K445" s="67" t="s">
        <v>20077</v>
      </c>
      <c r="L445" s="71"/>
      <c r="M445" s="72"/>
      <c r="N445" s="72"/>
      <c r="O445" s="73"/>
      <c r="P445" s="74"/>
      <c r="Q445" s="74"/>
      <c r="R445" s="87"/>
      <c r="S445" s="87"/>
      <c r="T445" s="87"/>
      <c r="U445" s="87"/>
      <c r="V445" s="48"/>
      <c r="W445" s="48"/>
      <c r="X445" s="47">
        <v>1.101E-3</v>
      </c>
      <c r="Y445" s="48"/>
      <c r="Z445" s="47"/>
      <c r="AA445" s="69">
        <v>445</v>
      </c>
      <c r="AB445" s="69"/>
      <c r="AC445" s="70"/>
      <c r="AD445" s="76" t="s">
        <v>17078</v>
      </c>
      <c r="AE445" s="81" t="s">
        <v>16356</v>
      </c>
      <c r="AF445" s="76">
        <v>21</v>
      </c>
      <c r="AG445" s="76">
        <v>227</v>
      </c>
      <c r="AH445" s="76">
        <v>89</v>
      </c>
      <c r="AI445" s="76">
        <v>0</v>
      </c>
      <c r="AJ445" s="76">
        <v>42</v>
      </c>
      <c r="AK445" s="76">
        <v>1</v>
      </c>
      <c r="AL445" s="76" t="b">
        <v>0</v>
      </c>
      <c r="AM445" s="78">
        <v>45124.297534722224</v>
      </c>
      <c r="AN445" s="76" t="s">
        <v>18012</v>
      </c>
      <c r="AO445" s="76" t="s">
        <v>18553</v>
      </c>
      <c r="AP445" s="83" t="str">
        <f>HYPERLINK("https://t.co/FTAL6Bvx4N")</f>
        <v>https://t.co/FTAL6Bvx4N</v>
      </c>
      <c r="AQ445" s="83" t="str">
        <f>HYPERLINK("http://rankia.com.br")</f>
        <v>http://rankia.com.br</v>
      </c>
      <c r="AR445" s="76" t="s">
        <v>19254</v>
      </c>
      <c r="AS445" s="76"/>
      <c r="AT445" s="76"/>
      <c r="AU445" s="76"/>
      <c r="AV445" s="76"/>
      <c r="AW445" s="83" t="str">
        <f>HYPERLINK("https://t.co/FTAL6Bvx4N")</f>
        <v>https://t.co/FTAL6Bvx4N</v>
      </c>
      <c r="AX445" s="76" t="b">
        <v>0</v>
      </c>
      <c r="AY445" s="76"/>
      <c r="AZ445" s="76"/>
      <c r="BA445" s="76" t="b">
        <v>0</v>
      </c>
      <c r="BB445" s="76" t="b">
        <v>1</v>
      </c>
      <c r="BC445" s="76" t="b">
        <v>1</v>
      </c>
      <c r="BD445" s="76" t="b">
        <v>0</v>
      </c>
      <c r="BE445" s="76" t="b">
        <v>0</v>
      </c>
      <c r="BF445" s="76" t="b">
        <v>0</v>
      </c>
      <c r="BG445" s="76" t="b">
        <v>0</v>
      </c>
      <c r="BH445" s="83" t="str">
        <f>HYPERLINK("https://pbs.twimg.com/profile_banners/1680836745590390786/1689578173")</f>
        <v>https://pbs.twimg.com/profile_banners/1680836745590390786/1689578173</v>
      </c>
      <c r="BI445" s="76"/>
      <c r="BJ445" s="76" t="s">
        <v>19633</v>
      </c>
      <c r="BK445" s="76" t="b">
        <v>0</v>
      </c>
      <c r="BL445" s="76"/>
      <c r="BM445" s="76" t="s">
        <v>66</v>
      </c>
      <c r="BN445" s="76" t="s">
        <v>19635</v>
      </c>
      <c r="BO445" s="83" t="str">
        <f>HYPERLINK("https://twitter.com/rankiabrasil")</f>
        <v>https://twitter.com/rankiabrasil</v>
      </c>
      <c r="BP445" s="2"/>
    </row>
    <row r="446" spans="1:68" x14ac:dyDescent="0.25">
      <c r="A446" s="62" t="s">
        <v>1087</v>
      </c>
      <c r="B446" s="63"/>
      <c r="C446" s="63"/>
      <c r="D446" s="64"/>
      <c r="E446" s="66"/>
      <c r="F446" s="103" t="str">
        <f>HYPERLINK("https://pbs.twimg.com/profile_images/931205380532776960/7HMNsHqV_normal.jpg")</f>
        <v>https://pbs.twimg.com/profile_images/931205380532776960/7HMNsHqV_normal.jpg</v>
      </c>
      <c r="G446" s="63"/>
      <c r="H446" s="67"/>
      <c r="I446" s="68"/>
      <c r="J446" s="68"/>
      <c r="K446" s="67" t="s">
        <v>20078</v>
      </c>
      <c r="L446" s="71"/>
      <c r="M446" s="72"/>
      <c r="N446" s="72"/>
      <c r="O446" s="73"/>
      <c r="P446" s="74"/>
      <c r="Q446" s="74"/>
      <c r="R446" s="87"/>
      <c r="S446" s="87"/>
      <c r="T446" s="87"/>
      <c r="U446" s="87"/>
      <c r="V446" s="48"/>
      <c r="W446" s="48"/>
      <c r="X446" s="47">
        <v>1.101E-3</v>
      </c>
      <c r="Y446" s="48"/>
      <c r="Z446" s="47"/>
      <c r="AA446" s="69">
        <v>446</v>
      </c>
      <c r="AB446" s="69"/>
      <c r="AC446" s="70"/>
      <c r="AD446" s="76" t="s">
        <v>17079</v>
      </c>
      <c r="AE446" s="81" t="s">
        <v>17685</v>
      </c>
      <c r="AF446" s="76">
        <v>39493</v>
      </c>
      <c r="AG446" s="76">
        <v>477</v>
      </c>
      <c r="AH446" s="76">
        <v>50350</v>
      </c>
      <c r="AI446" s="76">
        <v>1136</v>
      </c>
      <c r="AJ446" s="76">
        <v>8641</v>
      </c>
      <c r="AK446" s="76">
        <v>5276</v>
      </c>
      <c r="AL446" s="76" t="b">
        <v>0</v>
      </c>
      <c r="AM446" s="78">
        <v>39769.005578703705</v>
      </c>
      <c r="AN446" s="76" t="s">
        <v>18013</v>
      </c>
      <c r="AO446" s="76" t="s">
        <v>18554</v>
      </c>
      <c r="AP446" s="83" t="str">
        <f>HYPERLINK("https://t.co/K6wzPFGceL")</f>
        <v>https://t.co/K6wzPFGceL</v>
      </c>
      <c r="AQ446" s="83" t="str">
        <f>HYPERLINK("http://www.rankia.com")</f>
        <v>http://www.rankia.com</v>
      </c>
      <c r="AR446" s="76" t="s">
        <v>19255</v>
      </c>
      <c r="AS446" s="76"/>
      <c r="AT446" s="76"/>
      <c r="AU446" s="76"/>
      <c r="AV446" s="76"/>
      <c r="AW446" s="83" t="str">
        <f>HYPERLINK("https://t.co/K6wzPFGceL")</f>
        <v>https://t.co/K6wzPFGceL</v>
      </c>
      <c r="AX446" s="76" t="b">
        <v>1</v>
      </c>
      <c r="AY446" s="76"/>
      <c r="AZ446" s="76"/>
      <c r="BA446" s="76" t="b">
        <v>0</v>
      </c>
      <c r="BB446" s="76" t="b">
        <v>1</v>
      </c>
      <c r="BC446" s="76" t="b">
        <v>0</v>
      </c>
      <c r="BD446" s="76" t="b">
        <v>0</v>
      </c>
      <c r="BE446" s="76" t="b">
        <v>1</v>
      </c>
      <c r="BF446" s="76" t="b">
        <v>0</v>
      </c>
      <c r="BG446" s="76" t="b">
        <v>0</v>
      </c>
      <c r="BH446" s="83" t="str">
        <f>HYPERLINK("https://pbs.twimg.com/profile_banners/17430298/1678189564")</f>
        <v>https://pbs.twimg.com/profile_banners/17430298/1678189564</v>
      </c>
      <c r="BI446" s="76"/>
      <c r="BJ446" s="76" t="s">
        <v>19633</v>
      </c>
      <c r="BK446" s="76" t="b">
        <v>0</v>
      </c>
      <c r="BL446" s="76"/>
      <c r="BM446" s="76" t="s">
        <v>65</v>
      </c>
      <c r="BN446" s="76" t="s">
        <v>19635</v>
      </c>
      <c r="BO446" s="83" t="str">
        <f>HYPERLINK("https://twitter.com/rankia")</f>
        <v>https://twitter.com/rankia</v>
      </c>
      <c r="BP446" s="2"/>
    </row>
    <row r="447" spans="1:68" x14ac:dyDescent="0.25">
      <c r="A447" s="62" t="s">
        <v>614</v>
      </c>
      <c r="B447" s="63"/>
      <c r="C447" s="63"/>
      <c r="D447" s="64"/>
      <c r="E447" s="66"/>
      <c r="F447" s="103" t="str">
        <f>HYPERLINK("https://pbs.twimg.com/profile_images/1438913755694444551/r9UXIqAH_normal.png")</f>
        <v>https://pbs.twimg.com/profile_images/1438913755694444551/r9UXIqAH_normal.png</v>
      </c>
      <c r="G447" s="63"/>
      <c r="H447" s="67"/>
      <c r="I447" s="68"/>
      <c r="J447" s="68"/>
      <c r="K447" s="67" t="s">
        <v>20079</v>
      </c>
      <c r="L447" s="71"/>
      <c r="M447" s="72"/>
      <c r="N447" s="72"/>
      <c r="O447" s="73"/>
      <c r="P447" s="74"/>
      <c r="Q447" s="74"/>
      <c r="R447" s="87"/>
      <c r="S447" s="87"/>
      <c r="T447" s="87"/>
      <c r="U447" s="87"/>
      <c r="V447" s="48"/>
      <c r="W447" s="48"/>
      <c r="X447" s="47">
        <v>1.101E-3</v>
      </c>
      <c r="Y447" s="48"/>
      <c r="Z447" s="47"/>
      <c r="AA447" s="69">
        <v>447</v>
      </c>
      <c r="AB447" s="69"/>
      <c r="AC447" s="70"/>
      <c r="AD447" s="76" t="s">
        <v>17080</v>
      </c>
      <c r="AE447" s="81" t="s">
        <v>15737</v>
      </c>
      <c r="AF447" s="76">
        <v>26</v>
      </c>
      <c r="AG447" s="76">
        <v>67</v>
      </c>
      <c r="AH447" s="76">
        <v>859</v>
      </c>
      <c r="AI447" s="76">
        <v>0</v>
      </c>
      <c r="AJ447" s="76">
        <v>43</v>
      </c>
      <c r="AK447" s="76">
        <v>378</v>
      </c>
      <c r="AL447" s="76" t="b">
        <v>0</v>
      </c>
      <c r="AM447" s="78">
        <v>44456.716979166667</v>
      </c>
      <c r="AN447" s="76" t="s">
        <v>10631</v>
      </c>
      <c r="AO447" s="76" t="s">
        <v>18555</v>
      </c>
      <c r="AP447" s="83" t="str">
        <f>HYPERLINK("https://t.co/gwuULDGPVv")</f>
        <v>https://t.co/gwuULDGPVv</v>
      </c>
      <c r="AQ447" s="83" t="str">
        <f>HYPERLINK("https://lnk.bio/sicoobfluminense")</f>
        <v>https://lnk.bio/sicoobfluminense</v>
      </c>
      <c r="AR447" s="76" t="s">
        <v>19256</v>
      </c>
      <c r="AS447" s="76"/>
      <c r="AT447" s="76"/>
      <c r="AU447" s="76"/>
      <c r="AV447" s="76"/>
      <c r="AW447" s="83" t="str">
        <f>HYPERLINK("https://t.co/gwuULDGPVv")</f>
        <v>https://t.co/gwuULDGPVv</v>
      </c>
      <c r="AX447" s="76" t="b">
        <v>0</v>
      </c>
      <c r="AY447" s="76"/>
      <c r="AZ447" s="76"/>
      <c r="BA447" s="76" t="b">
        <v>0</v>
      </c>
      <c r="BB447" s="76" t="b">
        <v>1</v>
      </c>
      <c r="BC447" s="76" t="b">
        <v>1</v>
      </c>
      <c r="BD447" s="76" t="b">
        <v>0</v>
      </c>
      <c r="BE447" s="76" t="b">
        <v>0</v>
      </c>
      <c r="BF447" s="76" t="b">
        <v>0</v>
      </c>
      <c r="BG447" s="76" t="b">
        <v>0</v>
      </c>
      <c r="BH447" s="83" t="str">
        <f>HYPERLINK("https://pbs.twimg.com/profile_banners/1438913412583596035/1679510230")</f>
        <v>https://pbs.twimg.com/profile_banners/1438913412583596035/1679510230</v>
      </c>
      <c r="BI447" s="76"/>
      <c r="BJ447" s="76" t="s">
        <v>19633</v>
      </c>
      <c r="BK447" s="76" t="b">
        <v>0</v>
      </c>
      <c r="BL447" s="76"/>
      <c r="BM447" s="76" t="s">
        <v>66</v>
      </c>
      <c r="BN447" s="76" t="s">
        <v>19635</v>
      </c>
      <c r="BO447" s="83" t="str">
        <f>HYPERLINK("https://twitter.com/sicoobfluminen")</f>
        <v>https://twitter.com/sicoobfluminen</v>
      </c>
      <c r="BP447" s="2"/>
    </row>
    <row r="448" spans="1:68" x14ac:dyDescent="0.25">
      <c r="A448" s="62" t="s">
        <v>615</v>
      </c>
      <c r="B448" s="63"/>
      <c r="C448" s="63"/>
      <c r="D448" s="64"/>
      <c r="E448" s="66"/>
      <c r="F448" s="103" t="str">
        <f>HYPERLINK("https://pbs.twimg.com/profile_images/1610704280998101001/Evy_NOCG_normal.png")</f>
        <v>https://pbs.twimg.com/profile_images/1610704280998101001/Evy_NOCG_normal.png</v>
      </c>
      <c r="G448" s="63"/>
      <c r="H448" s="67"/>
      <c r="I448" s="68"/>
      <c r="J448" s="68"/>
      <c r="K448" s="67" t="s">
        <v>20080</v>
      </c>
      <c r="L448" s="71"/>
      <c r="M448" s="72"/>
      <c r="N448" s="72"/>
      <c r="O448" s="73"/>
      <c r="P448" s="74"/>
      <c r="Q448" s="74"/>
      <c r="R448" s="87"/>
      <c r="S448" s="87"/>
      <c r="T448" s="87"/>
      <c r="U448" s="87"/>
      <c r="V448" s="48"/>
      <c r="W448" s="48"/>
      <c r="X448" s="47">
        <v>1.101E-3</v>
      </c>
      <c r="Y448" s="48"/>
      <c r="Z448" s="47"/>
      <c r="AA448" s="69">
        <v>448</v>
      </c>
      <c r="AB448" s="69"/>
      <c r="AC448" s="70"/>
      <c r="AD448" s="76" t="s">
        <v>17081</v>
      </c>
      <c r="AE448" s="81" t="s">
        <v>15738</v>
      </c>
      <c r="AF448" s="76">
        <v>3</v>
      </c>
      <c r="AG448" s="76">
        <v>4</v>
      </c>
      <c r="AH448" s="76">
        <v>10</v>
      </c>
      <c r="AI448" s="76">
        <v>0</v>
      </c>
      <c r="AJ448" s="76">
        <v>1</v>
      </c>
      <c r="AK448" s="76">
        <v>8</v>
      </c>
      <c r="AL448" s="76" t="b">
        <v>0</v>
      </c>
      <c r="AM448" s="78">
        <v>44930.76840277778</v>
      </c>
      <c r="AN448" s="76" t="s">
        <v>18014</v>
      </c>
      <c r="AO448" s="76" t="s">
        <v>18556</v>
      </c>
      <c r="AP448" s="83" t="str">
        <f>HYPERLINK("https://t.co/wjdEtn5zDT")</f>
        <v>https://t.co/wjdEtn5zDT</v>
      </c>
      <c r="AQ448" s="83" t="str">
        <f>HYPERLINK("http://www.educacaofinanceira.co.mz")</f>
        <v>http://www.educacaofinanceira.co.mz</v>
      </c>
      <c r="AR448" s="76" t="s">
        <v>19257</v>
      </c>
      <c r="AS448" s="76"/>
      <c r="AT448" s="76"/>
      <c r="AU448" s="76"/>
      <c r="AV448" s="76"/>
      <c r="AW448" s="83" t="str">
        <f>HYPERLINK("https://t.co/wjdEtn5zDT")</f>
        <v>https://t.co/wjdEtn5zDT</v>
      </c>
      <c r="AX448" s="76" t="b">
        <v>0</v>
      </c>
      <c r="AY448" s="76"/>
      <c r="AZ448" s="76"/>
      <c r="BA448" s="76" t="b">
        <v>0</v>
      </c>
      <c r="BB448" s="76" t="b">
        <v>1</v>
      </c>
      <c r="BC448" s="76" t="b">
        <v>1</v>
      </c>
      <c r="BD448" s="76" t="b">
        <v>0</v>
      </c>
      <c r="BE448" s="76" t="b">
        <v>0</v>
      </c>
      <c r="BF448" s="76" t="b">
        <v>0</v>
      </c>
      <c r="BG448" s="76" t="b">
        <v>0</v>
      </c>
      <c r="BH448" s="83" t="str">
        <f>HYPERLINK("https://pbs.twimg.com/profile_banners/1610704139679420417/1673631072")</f>
        <v>https://pbs.twimg.com/profile_banners/1610704139679420417/1673631072</v>
      </c>
      <c r="BI448" s="76"/>
      <c r="BJ448" s="76" t="s">
        <v>19633</v>
      </c>
      <c r="BK448" s="76" t="b">
        <v>0</v>
      </c>
      <c r="BL448" s="76"/>
      <c r="BM448" s="76" t="s">
        <v>66</v>
      </c>
      <c r="BN448" s="76" t="s">
        <v>19635</v>
      </c>
      <c r="BO448" s="83" t="str">
        <f>HYPERLINK("https://twitter.com/edufinanceiramz")</f>
        <v>https://twitter.com/edufinanceiramz</v>
      </c>
      <c r="BP448" s="2"/>
    </row>
    <row r="449" spans="1:68" x14ac:dyDescent="0.25">
      <c r="A449" s="62" t="s">
        <v>616</v>
      </c>
      <c r="B449" s="63"/>
      <c r="C449" s="63"/>
      <c r="D449" s="64"/>
      <c r="E449" s="66"/>
      <c r="F449" s="103" t="str">
        <f>HYPERLINK("https://pbs.twimg.com/profile_images/1399438708395347974/FhikbaYE_normal.jpg")</f>
        <v>https://pbs.twimg.com/profile_images/1399438708395347974/FhikbaYE_normal.jpg</v>
      </c>
      <c r="G449" s="63"/>
      <c r="H449" s="67"/>
      <c r="I449" s="68"/>
      <c r="J449" s="68"/>
      <c r="K449" s="67" t="s">
        <v>20081</v>
      </c>
      <c r="L449" s="71"/>
      <c r="M449" s="72"/>
      <c r="N449" s="72"/>
      <c r="O449" s="73"/>
      <c r="P449" s="74"/>
      <c r="Q449" s="74"/>
      <c r="R449" s="87"/>
      <c r="S449" s="87"/>
      <c r="T449" s="87"/>
      <c r="U449" s="87"/>
      <c r="V449" s="48"/>
      <c r="W449" s="48"/>
      <c r="X449" s="47">
        <v>1.101E-3</v>
      </c>
      <c r="Y449" s="48"/>
      <c r="Z449" s="47"/>
      <c r="AA449" s="69">
        <v>449</v>
      </c>
      <c r="AB449" s="69"/>
      <c r="AC449" s="70"/>
      <c r="AD449" s="76" t="s">
        <v>17082</v>
      </c>
      <c r="AE449" s="81" t="s">
        <v>17686</v>
      </c>
      <c r="AF449" s="76">
        <v>26</v>
      </c>
      <c r="AG449" s="76">
        <v>43</v>
      </c>
      <c r="AH449" s="76">
        <v>661</v>
      </c>
      <c r="AI449" s="76">
        <v>4</v>
      </c>
      <c r="AJ449" s="76">
        <v>0</v>
      </c>
      <c r="AK449" s="76">
        <v>651</v>
      </c>
      <c r="AL449" s="76" t="b">
        <v>0</v>
      </c>
      <c r="AM449" s="78">
        <v>41524.681145833332</v>
      </c>
      <c r="AN449" s="76" t="s">
        <v>10552</v>
      </c>
      <c r="AO449" s="76" t="s">
        <v>18557</v>
      </c>
      <c r="AP449" s="83" t="str">
        <f>HYPERLINK("https://t.co/IvOw8r9Y5K")</f>
        <v>https://t.co/IvOw8r9Y5K</v>
      </c>
      <c r="AQ449" s="83" t="str">
        <f>HYPERLINK("https://estacaofinancas.com/")</f>
        <v>https://estacaofinancas.com/</v>
      </c>
      <c r="AR449" s="76" t="s">
        <v>19258</v>
      </c>
      <c r="AS449" s="76"/>
      <c r="AT449" s="76"/>
      <c r="AU449" s="76"/>
      <c r="AV449" s="76"/>
      <c r="AW449" s="83" t="str">
        <f>HYPERLINK("https://t.co/IvOw8r9Y5K")</f>
        <v>https://t.co/IvOw8r9Y5K</v>
      </c>
      <c r="AX449" s="76" t="b">
        <v>0</v>
      </c>
      <c r="AY449" s="76"/>
      <c r="AZ449" s="76"/>
      <c r="BA449" s="76" t="b">
        <v>0</v>
      </c>
      <c r="BB449" s="76" t="b">
        <v>1</v>
      </c>
      <c r="BC449" s="76" t="b">
        <v>1</v>
      </c>
      <c r="BD449" s="76" t="b">
        <v>0</v>
      </c>
      <c r="BE449" s="76" t="b">
        <v>0</v>
      </c>
      <c r="BF449" s="76" t="b">
        <v>0</v>
      </c>
      <c r="BG449" s="76" t="b">
        <v>0</v>
      </c>
      <c r="BH449" s="83" t="str">
        <f>HYPERLINK("https://pbs.twimg.com/profile_banners/1755376614/1619535643")</f>
        <v>https://pbs.twimg.com/profile_banners/1755376614/1619535643</v>
      </c>
      <c r="BI449" s="76"/>
      <c r="BJ449" s="76" t="s">
        <v>19633</v>
      </c>
      <c r="BK449" s="76" t="b">
        <v>0</v>
      </c>
      <c r="BL449" s="76"/>
      <c r="BM449" s="76" t="s">
        <v>66</v>
      </c>
      <c r="BN449" s="76" t="s">
        <v>19635</v>
      </c>
      <c r="BO449" s="83" t="str">
        <f>HYPERLINK("https://twitter.com/portalestacao")</f>
        <v>https://twitter.com/portalestacao</v>
      </c>
      <c r="BP449" s="2"/>
    </row>
    <row r="450" spans="1:68" x14ac:dyDescent="0.25">
      <c r="A450" s="62" t="s">
        <v>617</v>
      </c>
      <c r="B450" s="63"/>
      <c r="C450" s="63"/>
      <c r="D450" s="64"/>
      <c r="E450" s="66"/>
      <c r="F450" s="103" t="str">
        <f>HYPERLINK("https://pbs.twimg.com/profile_images/1607367918798372865/hgyduReQ_normal.jpg")</f>
        <v>https://pbs.twimg.com/profile_images/1607367918798372865/hgyduReQ_normal.jpg</v>
      </c>
      <c r="G450" s="63"/>
      <c r="H450" s="67"/>
      <c r="I450" s="68"/>
      <c r="J450" s="68"/>
      <c r="K450" s="67" t="s">
        <v>20082</v>
      </c>
      <c r="L450" s="71"/>
      <c r="M450" s="72"/>
      <c r="N450" s="72"/>
      <c r="O450" s="73"/>
      <c r="P450" s="74"/>
      <c r="Q450" s="74"/>
      <c r="R450" s="87"/>
      <c r="S450" s="87"/>
      <c r="T450" s="87"/>
      <c r="U450" s="87"/>
      <c r="V450" s="48"/>
      <c r="W450" s="48"/>
      <c r="X450" s="47">
        <v>9.6500000000000004E-4</v>
      </c>
      <c r="Y450" s="48"/>
      <c r="Z450" s="47"/>
      <c r="AA450" s="69">
        <v>450</v>
      </c>
      <c r="AB450" s="69"/>
      <c r="AC450" s="70"/>
      <c r="AD450" s="76" t="s">
        <v>17083</v>
      </c>
      <c r="AE450" s="81" t="s">
        <v>16357</v>
      </c>
      <c r="AF450" s="76">
        <v>2</v>
      </c>
      <c r="AG450" s="76">
        <v>85</v>
      </c>
      <c r="AH450" s="76">
        <v>13</v>
      </c>
      <c r="AI450" s="76">
        <v>0</v>
      </c>
      <c r="AJ450" s="76">
        <v>233</v>
      </c>
      <c r="AK450" s="76">
        <v>5</v>
      </c>
      <c r="AL450" s="76" t="b">
        <v>0</v>
      </c>
      <c r="AM450" s="78">
        <v>44921.560543981483</v>
      </c>
      <c r="AN450" s="76"/>
      <c r="AO450" s="76" t="s">
        <v>18558</v>
      </c>
      <c r="AP450" s="83" t="str">
        <f>HYPERLINK("https://t.co/TYYyNu7Qm2")</f>
        <v>https://t.co/TYYyNu7Qm2</v>
      </c>
      <c r="AQ450" s="83" t="str">
        <f>HYPERLINK("https://www.missaorenda.com.br/")</f>
        <v>https://www.missaorenda.com.br/</v>
      </c>
      <c r="AR450" s="76" t="s">
        <v>19259</v>
      </c>
      <c r="AS450" s="76"/>
      <c r="AT450" s="76"/>
      <c r="AU450" s="76"/>
      <c r="AV450" s="76"/>
      <c r="AW450" s="83" t="str">
        <f>HYPERLINK("https://t.co/TYYyNu7Qm2")</f>
        <v>https://t.co/TYYyNu7Qm2</v>
      </c>
      <c r="AX450" s="76" t="b">
        <v>0</v>
      </c>
      <c r="AY450" s="76"/>
      <c r="AZ450" s="76"/>
      <c r="BA450" s="76" t="b">
        <v>0</v>
      </c>
      <c r="BB450" s="76" t="b">
        <v>1</v>
      </c>
      <c r="BC450" s="76" t="b">
        <v>1</v>
      </c>
      <c r="BD450" s="76" t="b">
        <v>0</v>
      </c>
      <c r="BE450" s="76" t="b">
        <v>0</v>
      </c>
      <c r="BF450" s="76" t="b">
        <v>0</v>
      </c>
      <c r="BG450" s="76" t="b">
        <v>0</v>
      </c>
      <c r="BH450" s="83" t="str">
        <f>HYPERLINK("https://pbs.twimg.com/profile_banners/1607367356136685576/1676211529")</f>
        <v>https://pbs.twimg.com/profile_banners/1607367356136685576/1676211529</v>
      </c>
      <c r="BI450" s="76"/>
      <c r="BJ450" s="76" t="s">
        <v>19633</v>
      </c>
      <c r="BK450" s="76" t="b">
        <v>0</v>
      </c>
      <c r="BL450" s="76"/>
      <c r="BM450" s="76" t="s">
        <v>66</v>
      </c>
      <c r="BN450" s="76" t="s">
        <v>19635</v>
      </c>
      <c r="BO450" s="83" t="str">
        <f>HYPERLINK("https://twitter.com/missao_renda")</f>
        <v>https://twitter.com/missao_renda</v>
      </c>
      <c r="BP450" s="2"/>
    </row>
    <row r="451" spans="1:68" x14ac:dyDescent="0.25">
      <c r="A451" s="62" t="s">
        <v>618</v>
      </c>
      <c r="B451" s="63"/>
      <c r="C451" s="63"/>
      <c r="D451" s="64"/>
      <c r="E451" s="66"/>
      <c r="F451" s="103" t="str">
        <f>HYPERLINK("https://pbs.twimg.com/profile_images/1700862848585330688/XQxoGQjw_normal.jpg")</f>
        <v>https://pbs.twimg.com/profile_images/1700862848585330688/XQxoGQjw_normal.jpg</v>
      </c>
      <c r="G451" s="63"/>
      <c r="H451" s="67"/>
      <c r="I451" s="68"/>
      <c r="J451" s="68"/>
      <c r="K451" s="67" t="s">
        <v>20083</v>
      </c>
      <c r="L451" s="71"/>
      <c r="M451" s="72"/>
      <c r="N451" s="72"/>
      <c r="O451" s="73"/>
      <c r="P451" s="74"/>
      <c r="Q451" s="74"/>
      <c r="R451" s="87"/>
      <c r="S451" s="87"/>
      <c r="T451" s="87"/>
      <c r="U451" s="87"/>
      <c r="V451" s="48"/>
      <c r="W451" s="48"/>
      <c r="X451" s="47">
        <v>1.101E-3</v>
      </c>
      <c r="Y451" s="48"/>
      <c r="Z451" s="47"/>
      <c r="AA451" s="69">
        <v>451</v>
      </c>
      <c r="AB451" s="69"/>
      <c r="AC451" s="70"/>
      <c r="AD451" s="76" t="s">
        <v>17084</v>
      </c>
      <c r="AE451" s="81" t="s">
        <v>16358</v>
      </c>
      <c r="AF451" s="76">
        <v>1</v>
      </c>
      <c r="AG451" s="76">
        <v>11</v>
      </c>
      <c r="AH451" s="76">
        <v>17</v>
      </c>
      <c r="AI451" s="76">
        <v>0</v>
      </c>
      <c r="AJ451" s="76">
        <v>0</v>
      </c>
      <c r="AK451" s="76">
        <v>0</v>
      </c>
      <c r="AL451" s="76" t="b">
        <v>0</v>
      </c>
      <c r="AM451" s="78">
        <v>45179.538622685184</v>
      </c>
      <c r="AN451" s="76"/>
      <c r="AO451" s="76" t="s">
        <v>18559</v>
      </c>
      <c r="AP451" s="76"/>
      <c r="AQ451" s="76"/>
      <c r="AR451" s="76"/>
      <c r="AS451" s="76"/>
      <c r="AT451" s="76"/>
      <c r="AU451" s="76"/>
      <c r="AV451" s="76"/>
      <c r="AW451" s="76"/>
      <c r="AX451" s="76" t="b">
        <v>0</v>
      </c>
      <c r="AY451" s="76"/>
      <c r="AZ451" s="76"/>
      <c r="BA451" s="76" t="b">
        <v>0</v>
      </c>
      <c r="BB451" s="76" t="b">
        <v>1</v>
      </c>
      <c r="BC451" s="76" t="b">
        <v>1</v>
      </c>
      <c r="BD451" s="76" t="b">
        <v>0</v>
      </c>
      <c r="BE451" s="76" t="b">
        <v>0</v>
      </c>
      <c r="BF451" s="76" t="b">
        <v>0</v>
      </c>
      <c r="BG451" s="76" t="b">
        <v>0</v>
      </c>
      <c r="BH451" s="83" t="str">
        <f>HYPERLINK("https://pbs.twimg.com/profile_banners/1700855507005657088/1694352279")</f>
        <v>https://pbs.twimg.com/profile_banners/1700855507005657088/1694352279</v>
      </c>
      <c r="BI451" s="76"/>
      <c r="BJ451" s="76" t="s">
        <v>19633</v>
      </c>
      <c r="BK451" s="76" t="b">
        <v>0</v>
      </c>
      <c r="BL451" s="76"/>
      <c r="BM451" s="76" t="s">
        <v>66</v>
      </c>
      <c r="BN451" s="76" t="s">
        <v>19635</v>
      </c>
      <c r="BO451" s="83" t="str">
        <f>HYPERLINK("https://twitter.com/majordagrana")</f>
        <v>https://twitter.com/majordagrana</v>
      </c>
      <c r="BP451" s="2"/>
    </row>
    <row r="452" spans="1:68" x14ac:dyDescent="0.25">
      <c r="A452" s="62" t="s">
        <v>619</v>
      </c>
      <c r="B452" s="63"/>
      <c r="C452" s="63"/>
      <c r="D452" s="64"/>
      <c r="E452" s="66"/>
      <c r="F452" s="103" t="str">
        <f>HYPERLINK("https://pbs.twimg.com/profile_images/1662975640188903426/uzBT7XuS_normal.jpg")</f>
        <v>https://pbs.twimg.com/profile_images/1662975640188903426/uzBT7XuS_normal.jpg</v>
      </c>
      <c r="G452" s="63"/>
      <c r="H452" s="67"/>
      <c r="I452" s="68"/>
      <c r="J452" s="68"/>
      <c r="K452" s="67" t="s">
        <v>20084</v>
      </c>
      <c r="L452" s="71"/>
      <c r="M452" s="72"/>
      <c r="N452" s="72"/>
      <c r="O452" s="73"/>
      <c r="P452" s="74"/>
      <c r="Q452" s="74"/>
      <c r="R452" s="87"/>
      <c r="S452" s="87"/>
      <c r="T452" s="87"/>
      <c r="U452" s="87"/>
      <c r="V452" s="48"/>
      <c r="W452" s="48"/>
      <c r="X452" s="47">
        <v>1.101E-3</v>
      </c>
      <c r="Y452" s="48"/>
      <c r="Z452" s="47"/>
      <c r="AA452" s="69">
        <v>452</v>
      </c>
      <c r="AB452" s="69"/>
      <c r="AC452" s="70"/>
      <c r="AD452" s="76" t="s">
        <v>17085</v>
      </c>
      <c r="AE452" s="81" t="s">
        <v>16359</v>
      </c>
      <c r="AF452" s="76">
        <v>1</v>
      </c>
      <c r="AG452" s="76">
        <v>31</v>
      </c>
      <c r="AH452" s="76">
        <v>6</v>
      </c>
      <c r="AI452" s="76">
        <v>0</v>
      </c>
      <c r="AJ452" s="76">
        <v>5</v>
      </c>
      <c r="AK452" s="76">
        <v>5</v>
      </c>
      <c r="AL452" s="76" t="b">
        <v>0</v>
      </c>
      <c r="AM452" s="78">
        <v>44917.963518518518</v>
      </c>
      <c r="AN452" s="76" t="s">
        <v>10552</v>
      </c>
      <c r="AO452" s="76" t="s">
        <v>18560</v>
      </c>
      <c r="AP452" s="83" t="str">
        <f>HYPERLINK("https://t.co/XxMXLKATyN")</f>
        <v>https://t.co/XxMXLKATyN</v>
      </c>
      <c r="AQ452" s="83" t="str">
        <f>HYPERLINK("https://linktr.ee/moprify")</f>
        <v>https://linktr.ee/moprify</v>
      </c>
      <c r="AR452" s="76" t="s">
        <v>19260</v>
      </c>
      <c r="AS452" s="76"/>
      <c r="AT452" s="76"/>
      <c r="AU452" s="76"/>
      <c r="AV452" s="76"/>
      <c r="AW452" s="83" t="str">
        <f>HYPERLINK("https://t.co/XxMXLKATyN")</f>
        <v>https://t.co/XxMXLKATyN</v>
      </c>
      <c r="AX452" s="76" t="b">
        <v>0</v>
      </c>
      <c r="AY452" s="76"/>
      <c r="AZ452" s="76"/>
      <c r="BA452" s="76" t="b">
        <v>0</v>
      </c>
      <c r="BB452" s="76" t="b">
        <v>1</v>
      </c>
      <c r="BC452" s="76" t="b">
        <v>1</v>
      </c>
      <c r="BD452" s="76" t="b">
        <v>0</v>
      </c>
      <c r="BE452" s="76" t="b">
        <v>0</v>
      </c>
      <c r="BF452" s="76" t="b">
        <v>0</v>
      </c>
      <c r="BG452" s="76" t="b">
        <v>0</v>
      </c>
      <c r="BH452" s="83" t="str">
        <f>HYPERLINK("https://pbs.twimg.com/profile_banners/1606063852457697280/1685319495")</f>
        <v>https://pbs.twimg.com/profile_banners/1606063852457697280/1685319495</v>
      </c>
      <c r="BI452" s="76"/>
      <c r="BJ452" s="76" t="s">
        <v>19633</v>
      </c>
      <c r="BK452" s="76" t="b">
        <v>0</v>
      </c>
      <c r="BL452" s="76"/>
      <c r="BM452" s="76" t="s">
        <v>66</v>
      </c>
      <c r="BN452" s="76" t="s">
        <v>19635</v>
      </c>
      <c r="BO452" s="83" t="str">
        <f>HYPERLINK("https://twitter.com/moprify")</f>
        <v>https://twitter.com/moprify</v>
      </c>
      <c r="BP452" s="2"/>
    </row>
    <row r="453" spans="1:68" x14ac:dyDescent="0.25">
      <c r="A453" s="62" t="s">
        <v>620</v>
      </c>
      <c r="B453" s="63"/>
      <c r="C453" s="63"/>
      <c r="D453" s="64"/>
      <c r="E453" s="66"/>
      <c r="F453" s="103" t="str">
        <f>HYPERLINK("https://pbs.twimg.com/profile_images/1699442646337429504/d8Ys4sPg_normal.jpg")</f>
        <v>https://pbs.twimg.com/profile_images/1699442646337429504/d8Ys4sPg_normal.jpg</v>
      </c>
      <c r="G453" s="63"/>
      <c r="H453" s="67"/>
      <c r="I453" s="68"/>
      <c r="J453" s="68"/>
      <c r="K453" s="67" t="s">
        <v>20085</v>
      </c>
      <c r="L453" s="71"/>
      <c r="M453" s="72"/>
      <c r="N453" s="72"/>
      <c r="O453" s="73"/>
      <c r="P453" s="74"/>
      <c r="Q453" s="74"/>
      <c r="R453" s="87"/>
      <c r="S453" s="87"/>
      <c r="T453" s="87"/>
      <c r="U453" s="87"/>
      <c r="V453" s="48"/>
      <c r="W453" s="48"/>
      <c r="X453" s="47">
        <v>9.6599999999999995E-4</v>
      </c>
      <c r="Y453" s="48"/>
      <c r="Z453" s="47"/>
      <c r="AA453" s="69">
        <v>453</v>
      </c>
      <c r="AB453" s="69"/>
      <c r="AC453" s="70"/>
      <c r="AD453" s="76" t="s">
        <v>17086</v>
      </c>
      <c r="AE453" s="81" t="s">
        <v>16360</v>
      </c>
      <c r="AF453" s="76">
        <v>21</v>
      </c>
      <c r="AG453" s="76">
        <v>263</v>
      </c>
      <c r="AH453" s="76">
        <v>104</v>
      </c>
      <c r="AI453" s="76">
        <v>1</v>
      </c>
      <c r="AJ453" s="76">
        <v>2087</v>
      </c>
      <c r="AK453" s="76">
        <v>1</v>
      </c>
      <c r="AL453" s="76" t="b">
        <v>0</v>
      </c>
      <c r="AM453" s="78">
        <v>44888.611284722225</v>
      </c>
      <c r="AN453" s="76"/>
      <c r="AO453" s="76"/>
      <c r="AP453" s="76"/>
      <c r="AQ453" s="76"/>
      <c r="AR453" s="76"/>
      <c r="AS453" s="76"/>
      <c r="AT453" s="76"/>
      <c r="AU453" s="76"/>
      <c r="AV453" s="76"/>
      <c r="AW453" s="76"/>
      <c r="AX453" s="76" t="b">
        <v>0</v>
      </c>
      <c r="AY453" s="76"/>
      <c r="AZ453" s="76"/>
      <c r="BA453" s="76" t="b">
        <v>0</v>
      </c>
      <c r="BB453" s="76" t="b">
        <v>1</v>
      </c>
      <c r="BC453" s="76" t="b">
        <v>1</v>
      </c>
      <c r="BD453" s="76" t="b">
        <v>0</v>
      </c>
      <c r="BE453" s="76" t="b">
        <v>1</v>
      </c>
      <c r="BF453" s="76" t="b">
        <v>0</v>
      </c>
      <c r="BG453" s="76" t="b">
        <v>0</v>
      </c>
      <c r="BH453" s="76"/>
      <c r="BI453" s="76"/>
      <c r="BJ453" s="76" t="s">
        <v>19633</v>
      </c>
      <c r="BK453" s="76" t="b">
        <v>0</v>
      </c>
      <c r="BL453" s="76"/>
      <c r="BM453" s="76" t="s">
        <v>66</v>
      </c>
      <c r="BN453" s="76" t="s">
        <v>19635</v>
      </c>
      <c r="BO453" s="83" t="str">
        <f>HYPERLINK("https://twitter.com/marccos_pessoa")</f>
        <v>https://twitter.com/marccos_pessoa</v>
      </c>
      <c r="BP453" s="2"/>
    </row>
    <row r="454" spans="1:68" x14ac:dyDescent="0.25">
      <c r="A454" s="62" t="s">
        <v>621</v>
      </c>
      <c r="B454" s="63"/>
      <c r="C454" s="63"/>
      <c r="D454" s="64"/>
      <c r="E454" s="66"/>
      <c r="F454" s="103" t="str">
        <f>HYPERLINK("https://pbs.twimg.com/profile_images/1698853708224774144/oZf4DPoZ_normal.jpg")</f>
        <v>https://pbs.twimg.com/profile_images/1698853708224774144/oZf4DPoZ_normal.jpg</v>
      </c>
      <c r="G454" s="63"/>
      <c r="H454" s="67"/>
      <c r="I454" s="68"/>
      <c r="J454" s="68"/>
      <c r="K454" s="67" t="s">
        <v>20086</v>
      </c>
      <c r="L454" s="71"/>
      <c r="M454" s="72"/>
      <c r="N454" s="72"/>
      <c r="O454" s="73"/>
      <c r="P454" s="74"/>
      <c r="Q454" s="74"/>
      <c r="R454" s="87"/>
      <c r="S454" s="87"/>
      <c r="T454" s="87"/>
      <c r="U454" s="87"/>
      <c r="V454" s="48"/>
      <c r="W454" s="48"/>
      <c r="X454" s="47">
        <v>1.101E-3</v>
      </c>
      <c r="Y454" s="48"/>
      <c r="Z454" s="47"/>
      <c r="AA454" s="69">
        <v>454</v>
      </c>
      <c r="AB454" s="69"/>
      <c r="AC454" s="70"/>
      <c r="AD454" s="76" t="s">
        <v>17087</v>
      </c>
      <c r="AE454" s="81" t="s">
        <v>16361</v>
      </c>
      <c r="AF454" s="76">
        <v>9</v>
      </c>
      <c r="AG454" s="76">
        <v>312</v>
      </c>
      <c r="AH454" s="76">
        <v>496</v>
      </c>
      <c r="AI454" s="76">
        <v>0</v>
      </c>
      <c r="AJ454" s="76">
        <v>1172</v>
      </c>
      <c r="AK454" s="76">
        <v>21</v>
      </c>
      <c r="AL454" s="76" t="b">
        <v>0</v>
      </c>
      <c r="AM454" s="78">
        <v>43615.181689814817</v>
      </c>
      <c r="AN454" s="76" t="s">
        <v>17884</v>
      </c>
      <c r="AO454" s="76" t="s">
        <v>18561</v>
      </c>
      <c r="AP454" s="83" t="str">
        <f>HYPERLINK("https://t.co/bIhvtyBnp7")</f>
        <v>https://t.co/bIhvtyBnp7</v>
      </c>
      <c r="AQ454" s="83" t="str">
        <f>HYPERLINK("https://www.youtube.com/@capitalizandoeducacao")</f>
        <v>https://www.youtube.com/@capitalizandoeducacao</v>
      </c>
      <c r="AR454" s="76" t="s">
        <v>19261</v>
      </c>
      <c r="AS454" s="76"/>
      <c r="AT454" s="76"/>
      <c r="AU454" s="76"/>
      <c r="AV454" s="76">
        <v>1.67815768406174E+18</v>
      </c>
      <c r="AW454" s="83" t="str">
        <f>HYPERLINK("https://t.co/bIhvtyBnp7")</f>
        <v>https://t.co/bIhvtyBnp7</v>
      </c>
      <c r="AX454" s="76" t="b">
        <v>0</v>
      </c>
      <c r="AY454" s="76"/>
      <c r="AZ454" s="76"/>
      <c r="BA454" s="76" t="b">
        <v>0</v>
      </c>
      <c r="BB454" s="76" t="b">
        <v>1</v>
      </c>
      <c r="BC454" s="76" t="b">
        <v>1</v>
      </c>
      <c r="BD454" s="76" t="b">
        <v>0</v>
      </c>
      <c r="BE454" s="76" t="b">
        <v>1</v>
      </c>
      <c r="BF454" s="76" t="b">
        <v>0</v>
      </c>
      <c r="BG454" s="76" t="b">
        <v>0</v>
      </c>
      <c r="BH454" s="83" t="str">
        <f>HYPERLINK("https://pbs.twimg.com/profile_banners/1133951575225974785/1559962697")</f>
        <v>https://pbs.twimg.com/profile_banners/1133951575225974785/1559962697</v>
      </c>
      <c r="BI454" s="76"/>
      <c r="BJ454" s="76" t="s">
        <v>19633</v>
      </c>
      <c r="BK454" s="76" t="b">
        <v>0</v>
      </c>
      <c r="BL454" s="76"/>
      <c r="BM454" s="76" t="s">
        <v>66</v>
      </c>
      <c r="BN454" s="76" t="s">
        <v>19635</v>
      </c>
      <c r="BO454" s="83" t="str">
        <f>HYPERLINK("https://twitter.com/thiagosouzaeng")</f>
        <v>https://twitter.com/thiagosouzaeng</v>
      </c>
      <c r="BP454" s="2"/>
    </row>
    <row r="455" spans="1:68" x14ac:dyDescent="0.25">
      <c r="A455" s="62" t="s">
        <v>622</v>
      </c>
      <c r="B455" s="63"/>
      <c r="C455" s="63"/>
      <c r="D455" s="64"/>
      <c r="E455" s="66"/>
      <c r="F455" s="103" t="str">
        <f>HYPERLINK("https://pbs.twimg.com/profile_images/1629283315478851584/32WO5yq__normal.jpg")</f>
        <v>https://pbs.twimg.com/profile_images/1629283315478851584/32WO5yq__normal.jpg</v>
      </c>
      <c r="G455" s="63"/>
      <c r="H455" s="67"/>
      <c r="I455" s="68"/>
      <c r="J455" s="68"/>
      <c r="K455" s="67" t="s">
        <v>20087</v>
      </c>
      <c r="L455" s="71"/>
      <c r="M455" s="72"/>
      <c r="N455" s="72"/>
      <c r="O455" s="73"/>
      <c r="P455" s="74"/>
      <c r="Q455" s="74"/>
      <c r="R455" s="87"/>
      <c r="S455" s="87"/>
      <c r="T455" s="87"/>
      <c r="U455" s="87"/>
      <c r="V455" s="48"/>
      <c r="W455" s="48"/>
      <c r="X455" s="47">
        <v>1.101E-3</v>
      </c>
      <c r="Y455" s="48"/>
      <c r="Z455" s="47"/>
      <c r="AA455" s="69">
        <v>455</v>
      </c>
      <c r="AB455" s="69"/>
      <c r="AC455" s="70"/>
      <c r="AD455" s="76" t="s">
        <v>17088</v>
      </c>
      <c r="AE455" s="81" t="s">
        <v>15739</v>
      </c>
      <c r="AF455" s="76">
        <v>0</v>
      </c>
      <c r="AG455" s="76">
        <v>15</v>
      </c>
      <c r="AH455" s="76">
        <v>3</v>
      </c>
      <c r="AI455" s="76">
        <v>0</v>
      </c>
      <c r="AJ455" s="76">
        <v>0</v>
      </c>
      <c r="AK455" s="76">
        <v>0</v>
      </c>
      <c r="AL455" s="76" t="b">
        <v>0</v>
      </c>
      <c r="AM455" s="78">
        <v>44982.031840277778</v>
      </c>
      <c r="AN455" s="76" t="s">
        <v>10630</v>
      </c>
      <c r="AO455" s="76" t="s">
        <v>18562</v>
      </c>
      <c r="AP455" s="76"/>
      <c r="AQ455" s="76"/>
      <c r="AR455" s="76"/>
      <c r="AS455" s="76"/>
      <c r="AT455" s="76"/>
      <c r="AU455" s="76"/>
      <c r="AV455" s="76"/>
      <c r="AW455" s="76"/>
      <c r="AX455" s="76" t="b">
        <v>0</v>
      </c>
      <c r="AY455" s="76"/>
      <c r="AZ455" s="76"/>
      <c r="BA455" s="76" t="b">
        <v>0</v>
      </c>
      <c r="BB455" s="76" t="b">
        <v>1</v>
      </c>
      <c r="BC455" s="76" t="b">
        <v>1</v>
      </c>
      <c r="BD455" s="76" t="b">
        <v>0</v>
      </c>
      <c r="BE455" s="76" t="b">
        <v>0</v>
      </c>
      <c r="BF455" s="76" t="b">
        <v>0</v>
      </c>
      <c r="BG455" s="76" t="b">
        <v>0</v>
      </c>
      <c r="BH455" s="83" t="str">
        <f>HYPERLINK("https://pbs.twimg.com/profile_banners/1629281421985558533/1677286691")</f>
        <v>https://pbs.twimg.com/profile_banners/1629281421985558533/1677286691</v>
      </c>
      <c r="BI455" s="76"/>
      <c r="BJ455" s="76" t="s">
        <v>19633</v>
      </c>
      <c r="BK455" s="76" t="b">
        <v>0</v>
      </c>
      <c r="BL455" s="76"/>
      <c r="BM455" s="76" t="s">
        <v>66</v>
      </c>
      <c r="BN455" s="76" t="s">
        <v>19635</v>
      </c>
      <c r="BO455" s="83" t="str">
        <f>HYPERLINK("https://twitter.com/consultoramadii")</f>
        <v>https://twitter.com/consultoramadii</v>
      </c>
      <c r="BP455" s="2"/>
    </row>
    <row r="456" spans="1:68" x14ac:dyDescent="0.25">
      <c r="A456" s="62" t="s">
        <v>623</v>
      </c>
      <c r="B456" s="63"/>
      <c r="C456" s="63"/>
      <c r="D456" s="64"/>
      <c r="E456" s="66"/>
      <c r="F456" s="103" t="str">
        <f>HYPERLINK("https://pbs.twimg.com/profile_images/1545181990638567429/phJy2Fw5_normal.jpg")</f>
        <v>https://pbs.twimg.com/profile_images/1545181990638567429/phJy2Fw5_normal.jpg</v>
      </c>
      <c r="G456" s="63"/>
      <c r="H456" s="67"/>
      <c r="I456" s="68"/>
      <c r="J456" s="68"/>
      <c r="K456" s="67" t="s">
        <v>20088</v>
      </c>
      <c r="L456" s="71"/>
      <c r="M456" s="72"/>
      <c r="N456" s="72"/>
      <c r="O456" s="73"/>
      <c r="P456" s="74"/>
      <c r="Q456" s="74"/>
      <c r="R456" s="87"/>
      <c r="S456" s="87"/>
      <c r="T456" s="87"/>
      <c r="U456" s="87"/>
      <c r="V456" s="48"/>
      <c r="W456" s="48"/>
      <c r="X456" s="47">
        <v>1.101E-3</v>
      </c>
      <c r="Y456" s="48"/>
      <c r="Z456" s="47"/>
      <c r="AA456" s="69">
        <v>456</v>
      </c>
      <c r="AB456" s="69"/>
      <c r="AC456" s="70"/>
      <c r="AD456" s="76" t="s">
        <v>17089</v>
      </c>
      <c r="AE456" s="81" t="s">
        <v>15740</v>
      </c>
      <c r="AF456" s="76">
        <v>23</v>
      </c>
      <c r="AG456" s="76">
        <v>105</v>
      </c>
      <c r="AH456" s="76">
        <v>108</v>
      </c>
      <c r="AI456" s="76">
        <v>0</v>
      </c>
      <c r="AJ456" s="76">
        <v>3341</v>
      </c>
      <c r="AK456" s="76">
        <v>5</v>
      </c>
      <c r="AL456" s="76" t="b">
        <v>0</v>
      </c>
      <c r="AM456" s="78">
        <v>44749.958587962959</v>
      </c>
      <c r="AN456" s="76"/>
      <c r="AO456" s="76" t="s">
        <v>18563</v>
      </c>
      <c r="AP456" s="76"/>
      <c r="AQ456" s="76"/>
      <c r="AR456" s="76"/>
      <c r="AS456" s="76"/>
      <c r="AT456" s="76"/>
      <c r="AU456" s="76"/>
      <c r="AV456" s="76"/>
      <c r="AW456" s="76"/>
      <c r="AX456" s="76" t="b">
        <v>0</v>
      </c>
      <c r="AY456" s="76"/>
      <c r="AZ456" s="76"/>
      <c r="BA456" s="76" t="b">
        <v>0</v>
      </c>
      <c r="BB456" s="76" t="b">
        <v>1</v>
      </c>
      <c r="BC456" s="76" t="b">
        <v>1</v>
      </c>
      <c r="BD456" s="76" t="b">
        <v>0</v>
      </c>
      <c r="BE456" s="76" t="b">
        <v>0</v>
      </c>
      <c r="BF456" s="76" t="b">
        <v>0</v>
      </c>
      <c r="BG456" s="76" t="b">
        <v>0</v>
      </c>
      <c r="BH456" s="83" t="str">
        <f>HYPERLINK("https://pbs.twimg.com/profile_banners/1545180924068990976/1657235503")</f>
        <v>https://pbs.twimg.com/profile_banners/1545180924068990976/1657235503</v>
      </c>
      <c r="BI456" s="76"/>
      <c r="BJ456" s="76" t="s">
        <v>19633</v>
      </c>
      <c r="BK456" s="76" t="b">
        <v>0</v>
      </c>
      <c r="BL456" s="76"/>
      <c r="BM456" s="76" t="s">
        <v>66</v>
      </c>
      <c r="BN456" s="76" t="s">
        <v>19635</v>
      </c>
      <c r="BO456" s="83" t="str">
        <f>HYPERLINK("https://twitter.com/assessoremanuel")</f>
        <v>https://twitter.com/assessoremanuel</v>
      </c>
      <c r="BP456" s="2"/>
    </row>
    <row r="457" spans="1:68" x14ac:dyDescent="0.25">
      <c r="A457" s="62" t="s">
        <v>624</v>
      </c>
      <c r="B457" s="63"/>
      <c r="C457" s="63"/>
      <c r="D457" s="64"/>
      <c r="E457" s="66"/>
      <c r="F457" s="103" t="str">
        <f>HYPERLINK("https://pbs.twimg.com/profile_images/1669751313691815947/3c8oqaUQ_normal.jpg")</f>
        <v>https://pbs.twimg.com/profile_images/1669751313691815947/3c8oqaUQ_normal.jpg</v>
      </c>
      <c r="G457" s="63"/>
      <c r="H457" s="67"/>
      <c r="I457" s="68"/>
      <c r="J457" s="68"/>
      <c r="K457" s="67" t="s">
        <v>20089</v>
      </c>
      <c r="L457" s="71"/>
      <c r="M457" s="72"/>
      <c r="N457" s="72"/>
      <c r="O457" s="73"/>
      <c r="P457" s="74"/>
      <c r="Q457" s="74"/>
      <c r="R457" s="87"/>
      <c r="S457" s="87"/>
      <c r="T457" s="87"/>
      <c r="U457" s="87"/>
      <c r="V457" s="48"/>
      <c r="W457" s="48"/>
      <c r="X457" s="47">
        <v>1.101E-3</v>
      </c>
      <c r="Y457" s="48"/>
      <c r="Z457" s="47"/>
      <c r="AA457" s="69">
        <v>457</v>
      </c>
      <c r="AB457" s="69"/>
      <c r="AC457" s="70"/>
      <c r="AD457" s="76" t="s">
        <v>17090</v>
      </c>
      <c r="AE457" s="81" t="s">
        <v>16362</v>
      </c>
      <c r="AF457" s="76">
        <v>156</v>
      </c>
      <c r="AG457" s="76">
        <v>525</v>
      </c>
      <c r="AH457" s="76">
        <v>1210</v>
      </c>
      <c r="AI457" s="76">
        <v>4</v>
      </c>
      <c r="AJ457" s="76">
        <v>3345</v>
      </c>
      <c r="AK457" s="76">
        <v>386</v>
      </c>
      <c r="AL457" s="76" t="b">
        <v>0</v>
      </c>
      <c r="AM457" s="78">
        <v>44098.209733796299</v>
      </c>
      <c r="AN457" s="76" t="s">
        <v>10552</v>
      </c>
      <c r="AO457" s="76" t="s">
        <v>18564</v>
      </c>
      <c r="AP457" s="83" t="str">
        <f>HYPERLINK("https://t.co/TOXKmsJgtR")</f>
        <v>https://t.co/TOXKmsJgtR</v>
      </c>
      <c r="AQ457" s="83" t="str">
        <f>HYPERLINK("https://linktr.ee/douglasalex")</f>
        <v>https://linktr.ee/douglasalex</v>
      </c>
      <c r="AR457" s="76" t="s">
        <v>19262</v>
      </c>
      <c r="AS457" s="76"/>
      <c r="AT457" s="76"/>
      <c r="AU457" s="76"/>
      <c r="AV457" s="76">
        <v>1.66154304472893E+18</v>
      </c>
      <c r="AW457" s="83" t="str">
        <f>HYPERLINK("https://t.co/TOXKmsJgtR")</f>
        <v>https://t.co/TOXKmsJgtR</v>
      </c>
      <c r="AX457" s="76" t="b">
        <v>0</v>
      </c>
      <c r="AY457" s="76"/>
      <c r="AZ457" s="76"/>
      <c r="BA457" s="76" t="b">
        <v>0</v>
      </c>
      <c r="BB457" s="76" t="b">
        <v>1</v>
      </c>
      <c r="BC457" s="76" t="b">
        <v>1</v>
      </c>
      <c r="BD457" s="76" t="b">
        <v>0</v>
      </c>
      <c r="BE457" s="76" t="b">
        <v>1</v>
      </c>
      <c r="BF457" s="76" t="b">
        <v>0</v>
      </c>
      <c r="BG457" s="76" t="b">
        <v>0</v>
      </c>
      <c r="BH457" s="83" t="str">
        <f>HYPERLINK("https://pbs.twimg.com/profile_banners/1308994393685323779/1684966364")</f>
        <v>https://pbs.twimg.com/profile_banners/1308994393685323779/1684966364</v>
      </c>
      <c r="BI457" s="76"/>
      <c r="BJ457" s="76" t="s">
        <v>19633</v>
      </c>
      <c r="BK457" s="76" t="b">
        <v>0</v>
      </c>
      <c r="BL457" s="76"/>
      <c r="BM457" s="76" t="s">
        <v>66</v>
      </c>
      <c r="BN457" s="76" t="s">
        <v>19635</v>
      </c>
      <c r="BO457" s="83" t="str">
        <f>HYPERLINK("https://twitter.com/odouglasalex")</f>
        <v>https://twitter.com/odouglasalex</v>
      </c>
      <c r="BP457" s="2"/>
    </row>
    <row r="458" spans="1:68" x14ac:dyDescent="0.25">
      <c r="A458" s="62" t="s">
        <v>625</v>
      </c>
      <c r="B458" s="63"/>
      <c r="C458" s="63"/>
      <c r="D458" s="64"/>
      <c r="E458" s="66"/>
      <c r="F458" s="103" t="str">
        <f>HYPERLINK("https://pbs.twimg.com/profile_images/1600920059194576899/EenwhsQr_normal.jpg")</f>
        <v>https://pbs.twimg.com/profile_images/1600920059194576899/EenwhsQr_normal.jpg</v>
      </c>
      <c r="G458" s="63"/>
      <c r="H458" s="67"/>
      <c r="I458" s="68"/>
      <c r="J458" s="68"/>
      <c r="K458" s="67" t="s">
        <v>20090</v>
      </c>
      <c r="L458" s="71"/>
      <c r="M458" s="72"/>
      <c r="N458" s="72"/>
      <c r="O458" s="73"/>
      <c r="P458" s="74"/>
      <c r="Q458" s="74"/>
      <c r="R458" s="87"/>
      <c r="S458" s="87"/>
      <c r="T458" s="87"/>
      <c r="U458" s="87"/>
      <c r="V458" s="48"/>
      <c r="W458" s="48"/>
      <c r="X458" s="47">
        <v>1.101E-3</v>
      </c>
      <c r="Y458" s="48"/>
      <c r="Z458" s="47"/>
      <c r="AA458" s="69">
        <v>458</v>
      </c>
      <c r="AB458" s="69"/>
      <c r="AC458" s="70"/>
      <c r="AD458" s="76" t="s">
        <v>17091</v>
      </c>
      <c r="AE458" s="81" t="s">
        <v>16363</v>
      </c>
      <c r="AF458" s="76">
        <v>2</v>
      </c>
      <c r="AG458" s="76">
        <v>72</v>
      </c>
      <c r="AH458" s="76">
        <v>17</v>
      </c>
      <c r="AI458" s="76">
        <v>0</v>
      </c>
      <c r="AJ458" s="76">
        <v>23</v>
      </c>
      <c r="AK458" s="76">
        <v>9</v>
      </c>
      <c r="AL458" s="76" t="b">
        <v>0</v>
      </c>
      <c r="AM458" s="78">
        <v>44903.747025462966</v>
      </c>
      <c r="AN458" s="76" t="s">
        <v>18015</v>
      </c>
      <c r="AO458" s="76" t="s">
        <v>18565</v>
      </c>
      <c r="AP458" s="76"/>
      <c r="AQ458" s="76"/>
      <c r="AR458" s="76"/>
      <c r="AS458" s="76"/>
      <c r="AT458" s="76"/>
      <c r="AU458" s="76"/>
      <c r="AV458" s="76"/>
      <c r="AW458" s="76"/>
      <c r="AX458" s="76" t="b">
        <v>0</v>
      </c>
      <c r="AY458" s="76"/>
      <c r="AZ458" s="76"/>
      <c r="BA458" s="76" t="b">
        <v>0</v>
      </c>
      <c r="BB458" s="76" t="b">
        <v>1</v>
      </c>
      <c r="BC458" s="76" t="b">
        <v>1</v>
      </c>
      <c r="BD458" s="76" t="b">
        <v>0</v>
      </c>
      <c r="BE458" s="76" t="b">
        <v>0</v>
      </c>
      <c r="BF458" s="76" t="b">
        <v>0</v>
      </c>
      <c r="BG458" s="76" t="b">
        <v>0</v>
      </c>
      <c r="BH458" s="83" t="str">
        <f>HYPERLINK("https://pbs.twimg.com/profile_banners/1600911730024091654/1670524084")</f>
        <v>https://pbs.twimg.com/profile_banners/1600911730024091654/1670524084</v>
      </c>
      <c r="BI458" s="76"/>
      <c r="BJ458" s="76" t="s">
        <v>19633</v>
      </c>
      <c r="BK458" s="76" t="b">
        <v>0</v>
      </c>
      <c r="BL458" s="76"/>
      <c r="BM458" s="76" t="s">
        <v>66</v>
      </c>
      <c r="BN458" s="76" t="s">
        <v>19635</v>
      </c>
      <c r="BO458" s="83" t="str">
        <f>HYPERLINK("https://twitter.com/hmotivationmz")</f>
        <v>https://twitter.com/hmotivationmz</v>
      </c>
      <c r="BP458" s="2"/>
    </row>
    <row r="459" spans="1:68" x14ac:dyDescent="0.25">
      <c r="A459" s="62" t="s">
        <v>626</v>
      </c>
      <c r="B459" s="63"/>
      <c r="C459" s="63"/>
      <c r="D459" s="64"/>
      <c r="E459" s="66"/>
      <c r="F459" s="103" t="str">
        <f>HYPERLINK("https://pbs.twimg.com/profile_images/1242836228321525760/JM9ZPVwT_normal.jpg")</f>
        <v>https://pbs.twimg.com/profile_images/1242836228321525760/JM9ZPVwT_normal.jpg</v>
      </c>
      <c r="G459" s="63"/>
      <c r="H459" s="67"/>
      <c r="I459" s="68"/>
      <c r="J459" s="68"/>
      <c r="K459" s="67" t="s">
        <v>20091</v>
      </c>
      <c r="L459" s="71"/>
      <c r="M459" s="72"/>
      <c r="N459" s="72"/>
      <c r="O459" s="73"/>
      <c r="P459" s="74"/>
      <c r="Q459" s="74"/>
      <c r="R459" s="87"/>
      <c r="S459" s="87"/>
      <c r="T459" s="87"/>
      <c r="U459" s="87"/>
      <c r="V459" s="48"/>
      <c r="W459" s="48"/>
      <c r="X459" s="47">
        <v>1.101E-3</v>
      </c>
      <c r="Y459" s="48"/>
      <c r="Z459" s="47"/>
      <c r="AA459" s="69">
        <v>459</v>
      </c>
      <c r="AB459" s="69"/>
      <c r="AC459" s="70"/>
      <c r="AD459" s="76" t="s">
        <v>17092</v>
      </c>
      <c r="AE459" s="81" t="s">
        <v>17687</v>
      </c>
      <c r="AF459" s="76">
        <v>1138</v>
      </c>
      <c r="AG459" s="76">
        <v>1130</v>
      </c>
      <c r="AH459" s="76">
        <v>53611</v>
      </c>
      <c r="AI459" s="76">
        <v>34</v>
      </c>
      <c r="AJ459" s="76">
        <v>14801</v>
      </c>
      <c r="AK459" s="76">
        <v>1006</v>
      </c>
      <c r="AL459" s="76" t="b">
        <v>0</v>
      </c>
      <c r="AM459" s="78">
        <v>39724.570486111108</v>
      </c>
      <c r="AN459" s="76" t="s">
        <v>18016</v>
      </c>
      <c r="AO459" s="76" t="s">
        <v>18566</v>
      </c>
      <c r="AP459" s="83" t="str">
        <f>HYPERLINK("https://t.co/KQbni8QnS2")</f>
        <v>https://t.co/KQbni8QnS2</v>
      </c>
      <c r="AQ459" s="83" t="str">
        <f>HYPERLINK("http://dyjardan.blogspot.com")</f>
        <v>http://dyjardan.blogspot.com</v>
      </c>
      <c r="AR459" s="76" t="s">
        <v>19263</v>
      </c>
      <c r="AS459" s="76"/>
      <c r="AT459" s="76"/>
      <c r="AU459" s="76"/>
      <c r="AV459" s="76"/>
      <c r="AW459" s="83" t="str">
        <f>HYPERLINK("https://t.co/KQbni8QnS2")</f>
        <v>https://t.co/KQbni8QnS2</v>
      </c>
      <c r="AX459" s="76" t="b">
        <v>0</v>
      </c>
      <c r="AY459" s="76"/>
      <c r="AZ459" s="76"/>
      <c r="BA459" s="76" t="b">
        <v>0</v>
      </c>
      <c r="BB459" s="76" t="b">
        <v>1</v>
      </c>
      <c r="BC459" s="76" t="b">
        <v>1</v>
      </c>
      <c r="BD459" s="76" t="b">
        <v>0</v>
      </c>
      <c r="BE459" s="76" t="b">
        <v>1</v>
      </c>
      <c r="BF459" s="76" t="b">
        <v>0</v>
      </c>
      <c r="BG459" s="76" t="b">
        <v>0</v>
      </c>
      <c r="BH459" s="83" t="str">
        <f>HYPERLINK("https://pbs.twimg.com/profile_banners/16577699/1625663999")</f>
        <v>https://pbs.twimg.com/profile_banners/16577699/1625663999</v>
      </c>
      <c r="BI459" s="76"/>
      <c r="BJ459" s="76" t="s">
        <v>19633</v>
      </c>
      <c r="BK459" s="76" t="b">
        <v>0</v>
      </c>
      <c r="BL459" s="76"/>
      <c r="BM459" s="76" t="s">
        <v>66</v>
      </c>
      <c r="BN459" s="76" t="s">
        <v>19635</v>
      </c>
      <c r="BO459" s="83" t="str">
        <f>HYPERLINK("https://twitter.com/dyjardan")</f>
        <v>https://twitter.com/dyjardan</v>
      </c>
      <c r="BP459" s="2"/>
    </row>
    <row r="460" spans="1:68" x14ac:dyDescent="0.25">
      <c r="A460" s="62" t="s">
        <v>627</v>
      </c>
      <c r="B460" s="63"/>
      <c r="C460" s="63"/>
      <c r="D460" s="64"/>
      <c r="E460" s="66"/>
      <c r="F460" s="103" t="str">
        <f>HYPERLINK("https://pbs.twimg.com/profile_images/1618446984221786112/Y3Xmqqo6_normal.jpg")</f>
        <v>https://pbs.twimg.com/profile_images/1618446984221786112/Y3Xmqqo6_normal.jpg</v>
      </c>
      <c r="G460" s="63"/>
      <c r="H460" s="67"/>
      <c r="I460" s="68"/>
      <c r="J460" s="68"/>
      <c r="K460" s="67" t="s">
        <v>20092</v>
      </c>
      <c r="L460" s="71"/>
      <c r="M460" s="72"/>
      <c r="N460" s="72"/>
      <c r="O460" s="73"/>
      <c r="P460" s="74"/>
      <c r="Q460" s="74"/>
      <c r="R460" s="87"/>
      <c r="S460" s="87"/>
      <c r="T460" s="87"/>
      <c r="U460" s="87"/>
      <c r="V460" s="48"/>
      <c r="W460" s="48"/>
      <c r="X460" s="47">
        <v>1.101E-3</v>
      </c>
      <c r="Y460" s="48"/>
      <c r="Z460" s="47"/>
      <c r="AA460" s="69">
        <v>460</v>
      </c>
      <c r="AB460" s="69"/>
      <c r="AC460" s="70"/>
      <c r="AD460" s="76" t="s">
        <v>17093</v>
      </c>
      <c r="AE460" s="81" t="s">
        <v>16364</v>
      </c>
      <c r="AF460" s="76">
        <v>4</v>
      </c>
      <c r="AG460" s="76">
        <v>95</v>
      </c>
      <c r="AH460" s="76">
        <v>341</v>
      </c>
      <c r="AI460" s="76">
        <v>0</v>
      </c>
      <c r="AJ460" s="76">
        <v>36</v>
      </c>
      <c r="AK460" s="76">
        <v>160</v>
      </c>
      <c r="AL460" s="76" t="b">
        <v>0</v>
      </c>
      <c r="AM460" s="78">
        <v>44677.968900462962</v>
      </c>
      <c r="AN460" s="76" t="s">
        <v>18017</v>
      </c>
      <c r="AO460" s="76" t="s">
        <v>18567</v>
      </c>
      <c r="AP460" s="83" t="str">
        <f>HYPERLINK("https://t.co/VOACYdZEy6")</f>
        <v>https://t.co/VOACYdZEy6</v>
      </c>
      <c r="AQ460" s="83" t="str">
        <f>HYPERLINK("https://instabio.cc/21030ACb8SA")</f>
        <v>https://instabio.cc/21030ACb8SA</v>
      </c>
      <c r="AR460" s="76" t="s">
        <v>19264</v>
      </c>
      <c r="AS460" s="76"/>
      <c r="AT460" s="76"/>
      <c r="AU460" s="76"/>
      <c r="AV460" s="76"/>
      <c r="AW460" s="83" t="str">
        <f>HYPERLINK("https://t.co/VOACYdZEy6")</f>
        <v>https://t.co/VOACYdZEy6</v>
      </c>
      <c r="AX460" s="76" t="b">
        <v>0</v>
      </c>
      <c r="AY460" s="76"/>
      <c r="AZ460" s="76"/>
      <c r="BA460" s="76" t="b">
        <v>0</v>
      </c>
      <c r="BB460" s="76" t="b">
        <v>1</v>
      </c>
      <c r="BC460" s="76" t="b">
        <v>1</v>
      </c>
      <c r="BD460" s="76" t="b">
        <v>0</v>
      </c>
      <c r="BE460" s="76" t="b">
        <v>0</v>
      </c>
      <c r="BF460" s="76" t="b">
        <v>0</v>
      </c>
      <c r="BG460" s="76" t="b">
        <v>0</v>
      </c>
      <c r="BH460" s="83" t="str">
        <f>HYPERLINK("https://pbs.twimg.com/profile_banners/1519091640731844608/1688640703")</f>
        <v>https://pbs.twimg.com/profile_banners/1519091640731844608/1688640703</v>
      </c>
      <c r="BI460" s="76"/>
      <c r="BJ460" s="76" t="s">
        <v>19633</v>
      </c>
      <c r="BK460" s="76" t="b">
        <v>0</v>
      </c>
      <c r="BL460" s="76"/>
      <c r="BM460" s="76" t="s">
        <v>66</v>
      </c>
      <c r="BN460" s="76" t="s">
        <v>19635</v>
      </c>
      <c r="BO460" s="83" t="str">
        <f>HYPERLINK("https://twitter.com/dautinhooficial")</f>
        <v>https://twitter.com/dautinhooficial</v>
      </c>
      <c r="BP460" s="2"/>
    </row>
    <row r="461" spans="1:68" x14ac:dyDescent="0.25">
      <c r="A461" s="62" t="s">
        <v>628</v>
      </c>
      <c r="B461" s="63"/>
      <c r="C461" s="63"/>
      <c r="D461" s="64"/>
      <c r="E461" s="66"/>
      <c r="F461" s="103" t="str">
        <f>HYPERLINK("https://pbs.twimg.com/profile_images/1624204968428183553/-k1Hhs7l_normal.jpg")</f>
        <v>https://pbs.twimg.com/profile_images/1624204968428183553/-k1Hhs7l_normal.jpg</v>
      </c>
      <c r="G461" s="63"/>
      <c r="H461" s="67"/>
      <c r="I461" s="68"/>
      <c r="J461" s="68"/>
      <c r="K461" s="67" t="s">
        <v>20093</v>
      </c>
      <c r="L461" s="71"/>
      <c r="M461" s="72"/>
      <c r="N461" s="72"/>
      <c r="O461" s="73"/>
      <c r="P461" s="74"/>
      <c r="Q461" s="74"/>
      <c r="R461" s="87"/>
      <c r="S461" s="87"/>
      <c r="T461" s="87"/>
      <c r="U461" s="87"/>
      <c r="V461" s="48"/>
      <c r="W461" s="48"/>
      <c r="X461" s="47">
        <v>1.101E-3</v>
      </c>
      <c r="Y461" s="48"/>
      <c r="Z461" s="47"/>
      <c r="AA461" s="69">
        <v>461</v>
      </c>
      <c r="AB461" s="69"/>
      <c r="AC461" s="70"/>
      <c r="AD461" s="76" t="s">
        <v>17094</v>
      </c>
      <c r="AE461" s="81" t="s">
        <v>17688</v>
      </c>
      <c r="AF461" s="76">
        <v>925</v>
      </c>
      <c r="AG461" s="76">
        <v>941</v>
      </c>
      <c r="AH461" s="76">
        <v>50709</v>
      </c>
      <c r="AI461" s="76">
        <v>5</v>
      </c>
      <c r="AJ461" s="76">
        <v>56141</v>
      </c>
      <c r="AK461" s="76">
        <v>1908</v>
      </c>
      <c r="AL461" s="76" t="b">
        <v>0</v>
      </c>
      <c r="AM461" s="78">
        <v>39861.567939814813</v>
      </c>
      <c r="AN461" s="76"/>
      <c r="AO461" s="76" t="s">
        <v>18568</v>
      </c>
      <c r="AP461" s="83" t="str">
        <f>HYPERLINK("https://t.co/GSTVqRd3PJ")</f>
        <v>https://t.co/GSTVqRd3PJ</v>
      </c>
      <c r="AQ461" s="83" t="str">
        <f>HYPERLINK("http://astrologika.wordpress.com")</f>
        <v>http://astrologika.wordpress.com</v>
      </c>
      <c r="AR461" s="76" t="s">
        <v>19265</v>
      </c>
      <c r="AS461" s="76"/>
      <c r="AT461" s="76"/>
      <c r="AU461" s="76"/>
      <c r="AV461" s="76">
        <v>1.6552614307429E+18</v>
      </c>
      <c r="AW461" s="83" t="str">
        <f>HYPERLINK("https://t.co/GSTVqRd3PJ")</f>
        <v>https://t.co/GSTVqRd3PJ</v>
      </c>
      <c r="AX461" s="76" t="b">
        <v>0</v>
      </c>
      <c r="AY461" s="76"/>
      <c r="AZ461" s="76"/>
      <c r="BA461" s="76" t="b">
        <v>1</v>
      </c>
      <c r="BB461" s="76" t="b">
        <v>1</v>
      </c>
      <c r="BC461" s="76" t="b">
        <v>0</v>
      </c>
      <c r="BD461" s="76" t="b">
        <v>0</v>
      </c>
      <c r="BE461" s="76" t="b">
        <v>1</v>
      </c>
      <c r="BF461" s="76" t="b">
        <v>0</v>
      </c>
      <c r="BG461" s="76" t="b">
        <v>0</v>
      </c>
      <c r="BH461" s="83" t="str">
        <f>HYPERLINK("https://pbs.twimg.com/profile_banners/21088788/1561296708")</f>
        <v>https://pbs.twimg.com/profile_banners/21088788/1561296708</v>
      </c>
      <c r="BI461" s="76"/>
      <c r="BJ461" s="76" t="s">
        <v>19633</v>
      </c>
      <c r="BK461" s="76" t="b">
        <v>0</v>
      </c>
      <c r="BL461" s="76"/>
      <c r="BM461" s="76" t="s">
        <v>66</v>
      </c>
      <c r="BN461" s="76" t="s">
        <v>19635</v>
      </c>
      <c r="BO461" s="83" t="str">
        <f>HYPERLINK("https://twitter.com/maniohs")</f>
        <v>https://twitter.com/maniohs</v>
      </c>
      <c r="BP461" s="2"/>
    </row>
    <row r="462" spans="1:68" x14ac:dyDescent="0.25">
      <c r="A462" s="62" t="s">
        <v>629</v>
      </c>
      <c r="B462" s="63"/>
      <c r="C462" s="63"/>
      <c r="D462" s="64"/>
      <c r="E462" s="66"/>
      <c r="F462" s="103" t="str">
        <f>HYPERLINK("https://pbs.twimg.com/profile_images/1672868482528968704/Up-Diw_U_normal.jpg")</f>
        <v>https://pbs.twimg.com/profile_images/1672868482528968704/Up-Diw_U_normal.jpg</v>
      </c>
      <c r="G462" s="63"/>
      <c r="H462" s="67"/>
      <c r="I462" s="68"/>
      <c r="J462" s="68"/>
      <c r="K462" s="67" t="s">
        <v>20094</v>
      </c>
      <c r="L462" s="71"/>
      <c r="M462" s="72"/>
      <c r="N462" s="72"/>
      <c r="O462" s="73"/>
      <c r="P462" s="74"/>
      <c r="Q462" s="74"/>
      <c r="R462" s="87"/>
      <c r="S462" s="87"/>
      <c r="T462" s="87"/>
      <c r="U462" s="87"/>
      <c r="V462" s="48"/>
      <c r="W462" s="48"/>
      <c r="X462" s="47">
        <v>1.101E-3</v>
      </c>
      <c r="Y462" s="48"/>
      <c r="Z462" s="47"/>
      <c r="AA462" s="69">
        <v>462</v>
      </c>
      <c r="AB462" s="69"/>
      <c r="AC462" s="70"/>
      <c r="AD462" s="76" t="s">
        <v>17095</v>
      </c>
      <c r="AE462" s="81" t="s">
        <v>15741</v>
      </c>
      <c r="AF462" s="76">
        <v>199</v>
      </c>
      <c r="AG462" s="76">
        <v>683</v>
      </c>
      <c r="AH462" s="76">
        <v>697</v>
      </c>
      <c r="AI462" s="76">
        <v>1</v>
      </c>
      <c r="AJ462" s="76">
        <v>203</v>
      </c>
      <c r="AK462" s="76">
        <v>67</v>
      </c>
      <c r="AL462" s="76" t="b">
        <v>0</v>
      </c>
      <c r="AM462" s="78">
        <v>42957.316354166665</v>
      </c>
      <c r="AN462" s="76" t="s">
        <v>17864</v>
      </c>
      <c r="AO462" s="76" t="s">
        <v>18569</v>
      </c>
      <c r="AP462" s="83" t="str">
        <f>HYPERLINK("https://t.co/vIKr5PZLE6")</f>
        <v>https://t.co/vIKr5PZLE6</v>
      </c>
      <c r="AQ462" s="83" t="str">
        <f>HYPERLINK("http://linktr.ee/adcamenhe")</f>
        <v>http://linktr.ee/adcamenhe</v>
      </c>
      <c r="AR462" s="76" t="s">
        <v>19266</v>
      </c>
      <c r="AS462" s="76"/>
      <c r="AT462" s="76"/>
      <c r="AU462" s="76"/>
      <c r="AV462" s="76">
        <v>1.4406722002399601E+18</v>
      </c>
      <c r="AW462" s="83" t="str">
        <f>HYPERLINK("https://t.co/vIKr5PZLE6")</f>
        <v>https://t.co/vIKr5PZLE6</v>
      </c>
      <c r="AX462" s="76" t="b">
        <v>0</v>
      </c>
      <c r="AY462" s="76"/>
      <c r="AZ462" s="76"/>
      <c r="BA462" s="76" t="b">
        <v>1</v>
      </c>
      <c r="BB462" s="76" t="b">
        <v>1</v>
      </c>
      <c r="BC462" s="76" t="b">
        <v>1</v>
      </c>
      <c r="BD462" s="76" t="b">
        <v>0</v>
      </c>
      <c r="BE462" s="76" t="b">
        <v>0</v>
      </c>
      <c r="BF462" s="76" t="b">
        <v>0</v>
      </c>
      <c r="BG462" s="76" t="b">
        <v>0</v>
      </c>
      <c r="BH462" s="83" t="str">
        <f>HYPERLINK("https://pbs.twimg.com/profile_banners/895549163403829248/1593586754")</f>
        <v>https://pbs.twimg.com/profile_banners/895549163403829248/1593586754</v>
      </c>
      <c r="BI462" s="76"/>
      <c r="BJ462" s="76" t="s">
        <v>19633</v>
      </c>
      <c r="BK462" s="76" t="b">
        <v>0</v>
      </c>
      <c r="BL462" s="76"/>
      <c r="BM462" s="76" t="s">
        <v>66</v>
      </c>
      <c r="BN462" s="76" t="s">
        <v>19635</v>
      </c>
      <c r="BO462" s="83" t="str">
        <f>HYPERLINK("https://twitter.com/adcamenhe")</f>
        <v>https://twitter.com/adcamenhe</v>
      </c>
      <c r="BP462" s="2"/>
    </row>
    <row r="463" spans="1:68" x14ac:dyDescent="0.25">
      <c r="A463" s="62" t="s">
        <v>630</v>
      </c>
      <c r="B463" s="63"/>
      <c r="C463" s="63"/>
      <c r="D463" s="64"/>
      <c r="E463" s="66"/>
      <c r="F463" s="103" t="str">
        <f>HYPERLINK("https://pbs.twimg.com/profile_images/1031269592981757952/jq-a1X5A_normal.jpg")</f>
        <v>https://pbs.twimg.com/profile_images/1031269592981757952/jq-a1X5A_normal.jpg</v>
      </c>
      <c r="G463" s="63"/>
      <c r="H463" s="67"/>
      <c r="I463" s="68"/>
      <c r="J463" s="68"/>
      <c r="K463" s="67" t="s">
        <v>20095</v>
      </c>
      <c r="L463" s="71"/>
      <c r="M463" s="72"/>
      <c r="N463" s="72"/>
      <c r="O463" s="73"/>
      <c r="P463" s="74"/>
      <c r="Q463" s="74"/>
      <c r="R463" s="87"/>
      <c r="S463" s="87"/>
      <c r="T463" s="87"/>
      <c r="U463" s="87"/>
      <c r="V463" s="48"/>
      <c r="W463" s="48"/>
      <c r="X463" s="47">
        <v>1.101E-3</v>
      </c>
      <c r="Y463" s="48"/>
      <c r="Z463" s="47"/>
      <c r="AA463" s="69">
        <v>463</v>
      </c>
      <c r="AB463" s="69"/>
      <c r="AC463" s="70"/>
      <c r="AD463" s="76" t="s">
        <v>17096</v>
      </c>
      <c r="AE463" s="81" t="s">
        <v>16365</v>
      </c>
      <c r="AF463" s="76">
        <v>16</v>
      </c>
      <c r="AG463" s="76">
        <v>703</v>
      </c>
      <c r="AH463" s="76">
        <v>1581</v>
      </c>
      <c r="AI463" s="76">
        <v>0</v>
      </c>
      <c r="AJ463" s="76">
        <v>6272</v>
      </c>
      <c r="AK463" s="76">
        <v>127</v>
      </c>
      <c r="AL463" s="76" t="b">
        <v>0</v>
      </c>
      <c r="AM463" s="78">
        <v>42680.757268518515</v>
      </c>
      <c r="AN463" s="76" t="s">
        <v>17868</v>
      </c>
      <c r="AO463" s="76" t="s">
        <v>18570</v>
      </c>
      <c r="AP463" s="83" t="str">
        <f>HYPERLINK("https://t.co/fKxBS4BlFc")</f>
        <v>https://t.co/fKxBS4BlFc</v>
      </c>
      <c r="AQ463" s="83" t="str">
        <f>HYPERLINK("https://www.mastermaverick.com.br")</f>
        <v>https://www.mastermaverick.com.br</v>
      </c>
      <c r="AR463" s="76" t="s">
        <v>19267</v>
      </c>
      <c r="AS463" s="76"/>
      <c r="AT463" s="76"/>
      <c r="AU463" s="76"/>
      <c r="AV463" s="76"/>
      <c r="AW463" s="83" t="str">
        <f>HYPERLINK("https://t.co/fKxBS4BlFc")</f>
        <v>https://t.co/fKxBS4BlFc</v>
      </c>
      <c r="AX463" s="76" t="b">
        <v>0</v>
      </c>
      <c r="AY463" s="76"/>
      <c r="AZ463" s="76"/>
      <c r="BA463" s="76" t="b">
        <v>0</v>
      </c>
      <c r="BB463" s="76" t="b">
        <v>1</v>
      </c>
      <c r="BC463" s="76" t="b">
        <v>0</v>
      </c>
      <c r="BD463" s="76" t="b">
        <v>0</v>
      </c>
      <c r="BE463" s="76" t="b">
        <v>0</v>
      </c>
      <c r="BF463" s="76" t="b">
        <v>0</v>
      </c>
      <c r="BG463" s="76" t="b">
        <v>0</v>
      </c>
      <c r="BH463" s="83" t="str">
        <f>HYPERLINK("https://pbs.twimg.com/profile_banners/795327504496164864/1629994322")</f>
        <v>https://pbs.twimg.com/profile_banners/795327504496164864/1629994322</v>
      </c>
      <c r="BI463" s="76"/>
      <c r="BJ463" s="76" t="s">
        <v>19633</v>
      </c>
      <c r="BK463" s="76" t="b">
        <v>0</v>
      </c>
      <c r="BL463" s="76"/>
      <c r="BM463" s="76" t="s">
        <v>66</v>
      </c>
      <c r="BN463" s="76" t="s">
        <v>19635</v>
      </c>
      <c r="BO463" s="83" t="str">
        <f>HYPERLINK("https://twitter.com/rafaelr36886877")</f>
        <v>https://twitter.com/rafaelr36886877</v>
      </c>
      <c r="BP463" s="2"/>
    </row>
    <row r="464" spans="1:68" x14ac:dyDescent="0.25">
      <c r="A464" s="62" t="s">
        <v>631</v>
      </c>
      <c r="B464" s="63"/>
      <c r="C464" s="63"/>
      <c r="D464" s="64"/>
      <c r="E464" s="66"/>
      <c r="F464" s="103" t="str">
        <f>HYPERLINK("https://pbs.twimg.com/profile_images/1623983694976552960/M76UM1Lw_normal.jpg")</f>
        <v>https://pbs.twimg.com/profile_images/1623983694976552960/M76UM1Lw_normal.jpg</v>
      </c>
      <c r="G464" s="63"/>
      <c r="H464" s="67"/>
      <c r="I464" s="68"/>
      <c r="J464" s="68"/>
      <c r="K464" s="67" t="s">
        <v>20096</v>
      </c>
      <c r="L464" s="71"/>
      <c r="M464" s="72"/>
      <c r="N464" s="72"/>
      <c r="O464" s="73"/>
      <c r="P464" s="74"/>
      <c r="Q464" s="74"/>
      <c r="R464" s="87"/>
      <c r="S464" s="87"/>
      <c r="T464" s="87"/>
      <c r="U464" s="87"/>
      <c r="V464" s="48"/>
      <c r="W464" s="48"/>
      <c r="X464" s="47">
        <v>1.101E-3</v>
      </c>
      <c r="Y464" s="48"/>
      <c r="Z464" s="47"/>
      <c r="AA464" s="69">
        <v>464</v>
      </c>
      <c r="AB464" s="69"/>
      <c r="AC464" s="70"/>
      <c r="AD464" s="76" t="s">
        <v>17097</v>
      </c>
      <c r="AE464" s="81" t="s">
        <v>16366</v>
      </c>
      <c r="AF464" s="76">
        <v>1</v>
      </c>
      <c r="AG464" s="76">
        <v>152</v>
      </c>
      <c r="AH464" s="76">
        <v>23</v>
      </c>
      <c r="AI464" s="76">
        <v>0</v>
      </c>
      <c r="AJ464" s="76">
        <v>163</v>
      </c>
      <c r="AK464" s="76">
        <v>2</v>
      </c>
      <c r="AL464" s="76" t="b">
        <v>0</v>
      </c>
      <c r="AM464" s="78">
        <v>44943.395127314812</v>
      </c>
      <c r="AN464" s="76" t="s">
        <v>18018</v>
      </c>
      <c r="AO464" s="76"/>
      <c r="AP464" s="76"/>
      <c r="AQ464" s="76"/>
      <c r="AR464" s="76"/>
      <c r="AS464" s="76"/>
      <c r="AT464" s="76"/>
      <c r="AU464" s="76"/>
      <c r="AV464" s="76"/>
      <c r="AW464" s="76"/>
      <c r="AX464" s="76" t="b">
        <v>0</v>
      </c>
      <c r="AY464" s="76"/>
      <c r="AZ464" s="76"/>
      <c r="BA464" s="76" t="b">
        <v>0</v>
      </c>
      <c r="BB464" s="76" t="b">
        <v>1</v>
      </c>
      <c r="BC464" s="76" t="b">
        <v>1</v>
      </c>
      <c r="BD464" s="76" t="b">
        <v>0</v>
      </c>
      <c r="BE464" s="76" t="b">
        <v>0</v>
      </c>
      <c r="BF464" s="76" t="b">
        <v>0</v>
      </c>
      <c r="BG464" s="76" t="b">
        <v>0</v>
      </c>
      <c r="BH464" s="76"/>
      <c r="BI464" s="76"/>
      <c r="BJ464" s="76" t="s">
        <v>19633</v>
      </c>
      <c r="BK464" s="76" t="b">
        <v>0</v>
      </c>
      <c r="BL464" s="76"/>
      <c r="BM464" s="76" t="s">
        <v>66</v>
      </c>
      <c r="BN464" s="76" t="s">
        <v>19635</v>
      </c>
      <c r="BO464" s="83" t="str">
        <f>HYPERLINK("https://twitter.com/rickebsantiago")</f>
        <v>https://twitter.com/rickebsantiago</v>
      </c>
      <c r="BP464" s="2"/>
    </row>
    <row r="465" spans="1:68" x14ac:dyDescent="0.25">
      <c r="A465" s="62" t="s">
        <v>632</v>
      </c>
      <c r="B465" s="63"/>
      <c r="C465" s="63"/>
      <c r="D465" s="64"/>
      <c r="E465" s="66"/>
      <c r="F465" s="103" t="str">
        <f>HYPERLINK("https://pbs.twimg.com/profile_images/1696562721230147584/BNKa8_PE_normal.jpg")</f>
        <v>https://pbs.twimg.com/profile_images/1696562721230147584/BNKa8_PE_normal.jpg</v>
      </c>
      <c r="G465" s="63"/>
      <c r="H465" s="67"/>
      <c r="I465" s="68"/>
      <c r="J465" s="68"/>
      <c r="K465" s="67" t="s">
        <v>20097</v>
      </c>
      <c r="L465" s="71"/>
      <c r="M465" s="72"/>
      <c r="N465" s="72"/>
      <c r="O465" s="73"/>
      <c r="P465" s="74"/>
      <c r="Q465" s="74"/>
      <c r="R465" s="87"/>
      <c r="S465" s="87"/>
      <c r="T465" s="87"/>
      <c r="U465" s="87"/>
      <c r="V465" s="48"/>
      <c r="W465" s="48"/>
      <c r="X465" s="47">
        <v>1.101E-3</v>
      </c>
      <c r="Y465" s="48"/>
      <c r="Z465" s="47"/>
      <c r="AA465" s="69">
        <v>465</v>
      </c>
      <c r="AB465" s="69"/>
      <c r="AC465" s="70"/>
      <c r="AD465" s="76" t="s">
        <v>17098</v>
      </c>
      <c r="AE465" s="81" t="s">
        <v>16367</v>
      </c>
      <c r="AF465" s="76">
        <v>168</v>
      </c>
      <c r="AG465" s="76">
        <v>560</v>
      </c>
      <c r="AH465" s="76">
        <v>761</v>
      </c>
      <c r="AI465" s="76">
        <v>0</v>
      </c>
      <c r="AJ465" s="76">
        <v>492</v>
      </c>
      <c r="AK465" s="76">
        <v>380</v>
      </c>
      <c r="AL465" s="76" t="b">
        <v>0</v>
      </c>
      <c r="AM465" s="78">
        <v>44840.766562500001</v>
      </c>
      <c r="AN465" s="76" t="s">
        <v>10568</v>
      </c>
      <c r="AO465" s="76" t="s">
        <v>18571</v>
      </c>
      <c r="AP465" s="76"/>
      <c r="AQ465" s="76"/>
      <c r="AR465" s="76"/>
      <c r="AS465" s="76"/>
      <c r="AT465" s="76"/>
      <c r="AU465" s="76"/>
      <c r="AV465" s="76"/>
      <c r="AW465" s="76"/>
      <c r="AX465" s="76" t="b">
        <v>0</v>
      </c>
      <c r="AY465" s="76"/>
      <c r="AZ465" s="76"/>
      <c r="BA465" s="76" t="b">
        <v>0</v>
      </c>
      <c r="BB465" s="76" t="b">
        <v>1</v>
      </c>
      <c r="BC465" s="76" t="b">
        <v>1</v>
      </c>
      <c r="BD465" s="76" t="b">
        <v>0</v>
      </c>
      <c r="BE465" s="76" t="b">
        <v>1</v>
      </c>
      <c r="BF465" s="76" t="b">
        <v>0</v>
      </c>
      <c r="BG465" s="76" t="b">
        <v>0</v>
      </c>
      <c r="BH465" s="83" t="str">
        <f>HYPERLINK("https://pbs.twimg.com/profile_banners/1578088612305960991/1665095415")</f>
        <v>https://pbs.twimg.com/profile_banners/1578088612305960991/1665095415</v>
      </c>
      <c r="BI465" s="76"/>
      <c r="BJ465" s="76" t="s">
        <v>19633</v>
      </c>
      <c r="BK465" s="76" t="b">
        <v>0</v>
      </c>
      <c r="BL465" s="76"/>
      <c r="BM465" s="76" t="s">
        <v>66</v>
      </c>
      <c r="BN465" s="76" t="s">
        <v>19635</v>
      </c>
      <c r="BO465" s="83" t="str">
        <f>HYPERLINK("https://twitter.com/ocleydsontrader")</f>
        <v>https://twitter.com/ocleydsontrader</v>
      </c>
      <c r="BP465" s="2"/>
    </row>
    <row r="466" spans="1:68" x14ac:dyDescent="0.25">
      <c r="A466" s="62" t="s">
        <v>633</v>
      </c>
      <c r="B466" s="63"/>
      <c r="C466" s="63"/>
      <c r="D466" s="64"/>
      <c r="E466" s="66"/>
      <c r="F466" s="103" t="str">
        <f>HYPERLINK("https://pbs.twimg.com/profile_images/1632751881989545986/n1Xc1zHo_normal.jpg")</f>
        <v>https://pbs.twimg.com/profile_images/1632751881989545986/n1Xc1zHo_normal.jpg</v>
      </c>
      <c r="G466" s="63"/>
      <c r="H466" s="67"/>
      <c r="I466" s="68"/>
      <c r="J466" s="68"/>
      <c r="K466" s="67" t="s">
        <v>20098</v>
      </c>
      <c r="L466" s="71"/>
      <c r="M466" s="72"/>
      <c r="N466" s="72"/>
      <c r="O466" s="73"/>
      <c r="P466" s="74"/>
      <c r="Q466" s="74"/>
      <c r="R466" s="87"/>
      <c r="S466" s="87"/>
      <c r="T466" s="87"/>
      <c r="U466" s="87"/>
      <c r="V466" s="48"/>
      <c r="W466" s="48"/>
      <c r="X466" s="47">
        <v>1.101E-3</v>
      </c>
      <c r="Y466" s="48"/>
      <c r="Z466" s="47"/>
      <c r="AA466" s="69">
        <v>466</v>
      </c>
      <c r="AB466" s="69"/>
      <c r="AC466" s="70"/>
      <c r="AD466" s="76" t="s">
        <v>17099</v>
      </c>
      <c r="AE466" s="81" t="s">
        <v>16368</v>
      </c>
      <c r="AF466" s="76">
        <v>20</v>
      </c>
      <c r="AG466" s="76">
        <v>8</v>
      </c>
      <c r="AH466" s="76">
        <v>1710</v>
      </c>
      <c r="AI466" s="76">
        <v>1</v>
      </c>
      <c r="AJ466" s="76">
        <v>3</v>
      </c>
      <c r="AK466" s="76">
        <v>1599</v>
      </c>
      <c r="AL466" s="76" t="b">
        <v>0</v>
      </c>
      <c r="AM466" s="78">
        <v>43131.463402777779</v>
      </c>
      <c r="AN466" s="76" t="s">
        <v>18019</v>
      </c>
      <c r="AO466" s="76" t="s">
        <v>18572</v>
      </c>
      <c r="AP466" s="83" t="str">
        <f>HYPERLINK("https://t.co/rt3Q33BHGw")</f>
        <v>https://t.co/rt3Q33BHGw</v>
      </c>
      <c r="AQ466" s="83" t="str">
        <f>HYPERLINK("http://sicoobcrediara.rds.land/seguros-gerais")</f>
        <v>http://sicoobcrediara.rds.land/seguros-gerais</v>
      </c>
      <c r="AR466" s="76" t="s">
        <v>19268</v>
      </c>
      <c r="AS466" s="76"/>
      <c r="AT466" s="76"/>
      <c r="AU466" s="76"/>
      <c r="AV466" s="76"/>
      <c r="AW466" s="83" t="str">
        <f>HYPERLINK("https://t.co/rt3Q33BHGw")</f>
        <v>https://t.co/rt3Q33BHGw</v>
      </c>
      <c r="AX466" s="76" t="b">
        <v>0</v>
      </c>
      <c r="AY466" s="76"/>
      <c r="AZ466" s="76"/>
      <c r="BA466" s="76" t="b">
        <v>0</v>
      </c>
      <c r="BB466" s="76" t="b">
        <v>1</v>
      </c>
      <c r="BC466" s="76" t="b">
        <v>1</v>
      </c>
      <c r="BD466" s="76" t="b">
        <v>0</v>
      </c>
      <c r="BE466" s="76" t="b">
        <v>0</v>
      </c>
      <c r="BF466" s="76" t="b">
        <v>0</v>
      </c>
      <c r="BG466" s="76" t="b">
        <v>0</v>
      </c>
      <c r="BH466" s="83" t="str">
        <f>HYPERLINK("https://pbs.twimg.com/profile_banners/958657937475559425/1678113359")</f>
        <v>https://pbs.twimg.com/profile_banners/958657937475559425/1678113359</v>
      </c>
      <c r="BI466" s="76"/>
      <c r="BJ466" s="76" t="s">
        <v>19633</v>
      </c>
      <c r="BK466" s="76" t="b">
        <v>0</v>
      </c>
      <c r="BL466" s="76"/>
      <c r="BM466" s="76" t="s">
        <v>66</v>
      </c>
      <c r="BN466" s="76" t="s">
        <v>19635</v>
      </c>
      <c r="BO466" s="83" t="str">
        <f>HYPERLINK("https://twitter.com/sicoobcrediara")</f>
        <v>https://twitter.com/sicoobcrediara</v>
      </c>
      <c r="BP466" s="2"/>
    </row>
    <row r="467" spans="1:68" x14ac:dyDescent="0.25">
      <c r="A467" s="62" t="s">
        <v>634</v>
      </c>
      <c r="B467" s="63"/>
      <c r="C467" s="63"/>
      <c r="D467" s="64"/>
      <c r="E467" s="66"/>
      <c r="F467" s="103" t="str">
        <f>HYPERLINK("https://pbs.twimg.com/profile_images/1654976647504842754/s-jo0GrQ_normal.jpg")</f>
        <v>https://pbs.twimg.com/profile_images/1654976647504842754/s-jo0GrQ_normal.jpg</v>
      </c>
      <c r="G467" s="63"/>
      <c r="H467" s="67"/>
      <c r="I467" s="68"/>
      <c r="J467" s="68"/>
      <c r="K467" s="67" t="s">
        <v>20099</v>
      </c>
      <c r="L467" s="71"/>
      <c r="M467" s="72"/>
      <c r="N467" s="72"/>
      <c r="O467" s="73"/>
      <c r="P467" s="74"/>
      <c r="Q467" s="74"/>
      <c r="R467" s="87"/>
      <c r="S467" s="87"/>
      <c r="T467" s="87"/>
      <c r="U467" s="87"/>
      <c r="V467" s="48"/>
      <c r="W467" s="48"/>
      <c r="X467" s="47">
        <v>1.101E-3</v>
      </c>
      <c r="Y467" s="48"/>
      <c r="Z467" s="47"/>
      <c r="AA467" s="69">
        <v>467</v>
      </c>
      <c r="AB467" s="69"/>
      <c r="AC467" s="70"/>
      <c r="AD467" s="76" t="s">
        <v>17100</v>
      </c>
      <c r="AE467" s="81" t="s">
        <v>16369</v>
      </c>
      <c r="AF467" s="76">
        <v>5</v>
      </c>
      <c r="AG467" s="76">
        <v>42</v>
      </c>
      <c r="AH467" s="76">
        <v>138</v>
      </c>
      <c r="AI467" s="76">
        <v>0</v>
      </c>
      <c r="AJ467" s="76">
        <v>58</v>
      </c>
      <c r="AK467" s="76">
        <v>3</v>
      </c>
      <c r="AL467" s="76" t="b">
        <v>0</v>
      </c>
      <c r="AM467" s="78">
        <v>44997.915752314817</v>
      </c>
      <c r="AN467" s="76"/>
      <c r="AO467" s="76"/>
      <c r="AP467" s="76"/>
      <c r="AQ467" s="76"/>
      <c r="AR467" s="76"/>
      <c r="AS467" s="76"/>
      <c r="AT467" s="76"/>
      <c r="AU467" s="76"/>
      <c r="AV467" s="76"/>
      <c r="AW467" s="76"/>
      <c r="AX467" s="76" t="b">
        <v>0</v>
      </c>
      <c r="AY467" s="76"/>
      <c r="AZ467" s="76"/>
      <c r="BA467" s="76" t="b">
        <v>0</v>
      </c>
      <c r="BB467" s="76" t="b">
        <v>1</v>
      </c>
      <c r="BC467" s="76" t="b">
        <v>1</v>
      </c>
      <c r="BD467" s="76" t="b">
        <v>0</v>
      </c>
      <c r="BE467" s="76" t="b">
        <v>1</v>
      </c>
      <c r="BF467" s="76" t="b">
        <v>0</v>
      </c>
      <c r="BG467" s="76" t="b">
        <v>0</v>
      </c>
      <c r="BH467" s="76"/>
      <c r="BI467" s="76"/>
      <c r="BJ467" s="76" t="s">
        <v>19633</v>
      </c>
      <c r="BK467" s="76" t="b">
        <v>0</v>
      </c>
      <c r="BL467" s="76"/>
      <c r="BM467" s="76" t="s">
        <v>66</v>
      </c>
      <c r="BN467" s="76" t="s">
        <v>19635</v>
      </c>
      <c r="BO467" s="83" t="str">
        <f>HYPERLINK("https://twitter.com/anonimus7700")</f>
        <v>https://twitter.com/anonimus7700</v>
      </c>
      <c r="BP467" s="2"/>
    </row>
    <row r="468" spans="1:68" x14ac:dyDescent="0.25">
      <c r="A468" s="62" t="s">
        <v>1088</v>
      </c>
      <c r="B468" s="63"/>
      <c r="C468" s="63"/>
      <c r="D468" s="64"/>
      <c r="E468" s="66"/>
      <c r="F468" s="103" t="str">
        <f>HYPERLINK("https://pbs.twimg.com/profile_images/1695131913021804545/zHWKpYWM_normal.jpg")</f>
        <v>https://pbs.twimg.com/profile_images/1695131913021804545/zHWKpYWM_normal.jpg</v>
      </c>
      <c r="G468" s="63"/>
      <c r="H468" s="67"/>
      <c r="I468" s="68"/>
      <c r="J468" s="68"/>
      <c r="K468" s="67" t="s">
        <v>20100</v>
      </c>
      <c r="L468" s="71"/>
      <c r="M468" s="72"/>
      <c r="N468" s="72"/>
      <c r="O468" s="73"/>
      <c r="P468" s="74"/>
      <c r="Q468" s="74"/>
      <c r="R468" s="87"/>
      <c r="S468" s="87"/>
      <c r="T468" s="87"/>
      <c r="U468" s="87"/>
      <c r="V468" s="48"/>
      <c r="W468" s="48"/>
      <c r="X468" s="47">
        <v>1.101E-3</v>
      </c>
      <c r="Y468" s="48"/>
      <c r="Z468" s="47"/>
      <c r="AA468" s="69">
        <v>468</v>
      </c>
      <c r="AB468" s="69"/>
      <c r="AC468" s="70"/>
      <c r="AD468" s="76" t="s">
        <v>17101</v>
      </c>
      <c r="AE468" s="81" t="s">
        <v>17689</v>
      </c>
      <c r="AF468" s="76">
        <v>38</v>
      </c>
      <c r="AG468" s="76">
        <v>63</v>
      </c>
      <c r="AH468" s="76">
        <v>1614</v>
      </c>
      <c r="AI468" s="76">
        <v>0</v>
      </c>
      <c r="AJ468" s="76">
        <v>229</v>
      </c>
      <c r="AK468" s="76">
        <v>45</v>
      </c>
      <c r="AL468" s="76" t="b">
        <v>0</v>
      </c>
      <c r="AM468" s="78">
        <v>44595.640277777777</v>
      </c>
      <c r="AN468" s="76"/>
      <c r="AO468" s="76"/>
      <c r="AP468" s="76"/>
      <c r="AQ468" s="76"/>
      <c r="AR468" s="76"/>
      <c r="AS468" s="76"/>
      <c r="AT468" s="76"/>
      <c r="AU468" s="76"/>
      <c r="AV468" s="76">
        <v>1.58399410330114E+18</v>
      </c>
      <c r="AW468" s="76"/>
      <c r="AX468" s="76" t="b">
        <v>0</v>
      </c>
      <c r="AY468" s="76"/>
      <c r="AZ468" s="76"/>
      <c r="BA468" s="76" t="b">
        <v>0</v>
      </c>
      <c r="BB468" s="76" t="b">
        <v>0</v>
      </c>
      <c r="BC468" s="76" t="b">
        <v>1</v>
      </c>
      <c r="BD468" s="76" t="b">
        <v>0</v>
      </c>
      <c r="BE468" s="76" t="b">
        <v>0</v>
      </c>
      <c r="BF468" s="76" t="b">
        <v>0</v>
      </c>
      <c r="BG468" s="76" t="b">
        <v>0</v>
      </c>
      <c r="BH468" s="83" t="str">
        <f>HYPERLINK("https://pbs.twimg.com/profile_banners/1489257752723550215/1689708234")</f>
        <v>https://pbs.twimg.com/profile_banners/1489257752723550215/1689708234</v>
      </c>
      <c r="BI468" s="76"/>
      <c r="BJ468" s="76" t="s">
        <v>19633</v>
      </c>
      <c r="BK468" s="76" t="b">
        <v>0</v>
      </c>
      <c r="BL468" s="76"/>
      <c r="BM468" s="76" t="s">
        <v>65</v>
      </c>
      <c r="BN468" s="76" t="s">
        <v>19635</v>
      </c>
      <c r="BO468" s="83" t="str">
        <f>HYPERLINK("https://twitter.com/ls_lenz")</f>
        <v>https://twitter.com/ls_lenz</v>
      </c>
      <c r="BP468" s="2"/>
    </row>
    <row r="469" spans="1:68" x14ac:dyDescent="0.25">
      <c r="A469" s="62" t="s">
        <v>635</v>
      </c>
      <c r="B469" s="63"/>
      <c r="C469" s="63"/>
      <c r="D469" s="64"/>
      <c r="E469" s="66"/>
      <c r="F469" s="103" t="str">
        <f>HYPERLINK("https://pbs.twimg.com/profile_images/1643223789348560900/tt-bOrIp_normal.jpg")</f>
        <v>https://pbs.twimg.com/profile_images/1643223789348560900/tt-bOrIp_normal.jpg</v>
      </c>
      <c r="G469" s="63"/>
      <c r="H469" s="67"/>
      <c r="I469" s="68"/>
      <c r="J469" s="68"/>
      <c r="K469" s="67" t="s">
        <v>20101</v>
      </c>
      <c r="L469" s="71"/>
      <c r="M469" s="72"/>
      <c r="N469" s="72"/>
      <c r="O469" s="73"/>
      <c r="P469" s="74"/>
      <c r="Q469" s="74"/>
      <c r="R469" s="87"/>
      <c r="S469" s="87"/>
      <c r="T469" s="87"/>
      <c r="U469" s="87"/>
      <c r="V469" s="48"/>
      <c r="W469" s="48"/>
      <c r="X469" s="47">
        <v>1.101E-3</v>
      </c>
      <c r="Y469" s="48"/>
      <c r="Z469" s="47"/>
      <c r="AA469" s="69">
        <v>469</v>
      </c>
      <c r="AB469" s="69"/>
      <c r="AC469" s="70"/>
      <c r="AD469" s="76" t="s">
        <v>17102</v>
      </c>
      <c r="AE469" s="81" t="s">
        <v>16370</v>
      </c>
      <c r="AF469" s="76">
        <v>2</v>
      </c>
      <c r="AG469" s="76">
        <v>41</v>
      </c>
      <c r="AH469" s="76">
        <v>47</v>
      </c>
      <c r="AI469" s="76">
        <v>0</v>
      </c>
      <c r="AJ469" s="76">
        <v>3</v>
      </c>
      <c r="AK469" s="76">
        <v>16</v>
      </c>
      <c r="AL469" s="76" t="b">
        <v>0</v>
      </c>
      <c r="AM469" s="78">
        <v>45020.50068287037</v>
      </c>
      <c r="AN469" s="76"/>
      <c r="AO469" s="76" t="s">
        <v>18573</v>
      </c>
      <c r="AP469" s="83" t="str">
        <f>HYPERLINK("https://t.co/SJxLJP7l7J")</f>
        <v>https://t.co/SJxLJP7l7J</v>
      </c>
      <c r="AQ469" s="83" t="str">
        <f>HYPERLINK("https://zoomdinheiro.com.br/")</f>
        <v>https://zoomdinheiro.com.br/</v>
      </c>
      <c r="AR469" s="76" t="s">
        <v>19269</v>
      </c>
      <c r="AS469" s="76"/>
      <c r="AT469" s="76"/>
      <c r="AU469" s="76"/>
      <c r="AV469" s="76">
        <v>1.6471849078467899E+18</v>
      </c>
      <c r="AW469" s="83" t="str">
        <f>HYPERLINK("https://t.co/SJxLJP7l7J")</f>
        <v>https://t.co/SJxLJP7l7J</v>
      </c>
      <c r="AX469" s="76" t="b">
        <v>0</v>
      </c>
      <c r="AY469" s="76"/>
      <c r="AZ469" s="76"/>
      <c r="BA469" s="76" t="b">
        <v>0</v>
      </c>
      <c r="BB469" s="76" t="b">
        <v>1</v>
      </c>
      <c r="BC469" s="76" t="b">
        <v>1</v>
      </c>
      <c r="BD469" s="76" t="b">
        <v>0</v>
      </c>
      <c r="BE469" s="76" t="b">
        <v>0</v>
      </c>
      <c r="BF469" s="76" t="b">
        <v>0</v>
      </c>
      <c r="BG469" s="76" t="b">
        <v>0</v>
      </c>
      <c r="BH469" s="83" t="str">
        <f>HYPERLINK("https://pbs.twimg.com/profile_banners/1643222049127628801/1680610089")</f>
        <v>https://pbs.twimg.com/profile_banners/1643222049127628801/1680610089</v>
      </c>
      <c r="BI469" s="76"/>
      <c r="BJ469" s="76" t="s">
        <v>19633</v>
      </c>
      <c r="BK469" s="76" t="b">
        <v>0</v>
      </c>
      <c r="BL469" s="76"/>
      <c r="BM469" s="76" t="s">
        <v>66</v>
      </c>
      <c r="BN469" s="76" t="s">
        <v>19635</v>
      </c>
      <c r="BO469" s="83" t="str">
        <f>HYPERLINK("https://twitter.com/zoomdinheiro")</f>
        <v>https://twitter.com/zoomdinheiro</v>
      </c>
      <c r="BP469" s="2"/>
    </row>
    <row r="470" spans="1:68" x14ac:dyDescent="0.25">
      <c r="A470" s="62" t="s">
        <v>636</v>
      </c>
      <c r="B470" s="63"/>
      <c r="C470" s="63"/>
      <c r="D470" s="64"/>
      <c r="E470" s="66"/>
      <c r="F470" s="103" t="str">
        <f>HYPERLINK("https://pbs.twimg.com/profile_images/1542123748496654340/0kfkH_An_normal.jpg")</f>
        <v>https://pbs.twimg.com/profile_images/1542123748496654340/0kfkH_An_normal.jpg</v>
      </c>
      <c r="G470" s="63"/>
      <c r="H470" s="67"/>
      <c r="I470" s="68"/>
      <c r="J470" s="68"/>
      <c r="K470" s="67" t="s">
        <v>20102</v>
      </c>
      <c r="L470" s="71"/>
      <c r="M470" s="72"/>
      <c r="N470" s="72"/>
      <c r="O470" s="73"/>
      <c r="P470" s="74"/>
      <c r="Q470" s="74"/>
      <c r="R470" s="87"/>
      <c r="S470" s="87"/>
      <c r="T470" s="87"/>
      <c r="U470" s="87"/>
      <c r="V470" s="48"/>
      <c r="W470" s="48"/>
      <c r="X470" s="47">
        <v>1.101E-3</v>
      </c>
      <c r="Y470" s="48"/>
      <c r="Z470" s="47"/>
      <c r="AA470" s="69">
        <v>470</v>
      </c>
      <c r="AB470" s="69"/>
      <c r="AC470" s="70"/>
      <c r="AD470" s="76" t="s">
        <v>17103</v>
      </c>
      <c r="AE470" s="81" t="s">
        <v>16371</v>
      </c>
      <c r="AF470" s="76">
        <v>4</v>
      </c>
      <c r="AG470" s="76">
        <v>3</v>
      </c>
      <c r="AH470" s="76">
        <v>557</v>
      </c>
      <c r="AI470" s="76">
        <v>0</v>
      </c>
      <c r="AJ470" s="76">
        <v>0</v>
      </c>
      <c r="AK470" s="76">
        <v>552</v>
      </c>
      <c r="AL470" s="76" t="b">
        <v>0</v>
      </c>
      <c r="AM470" s="78">
        <v>44741.522303240738</v>
      </c>
      <c r="AN470" s="76"/>
      <c r="AO470" s="76"/>
      <c r="AP470" s="76"/>
      <c r="AQ470" s="76"/>
      <c r="AR470" s="76"/>
      <c r="AS470" s="76"/>
      <c r="AT470" s="76"/>
      <c r="AU470" s="76"/>
      <c r="AV470" s="76"/>
      <c r="AW470" s="76"/>
      <c r="AX470" s="76" t="b">
        <v>0</v>
      </c>
      <c r="AY470" s="76"/>
      <c r="AZ470" s="76"/>
      <c r="BA470" s="76" t="b">
        <v>0</v>
      </c>
      <c r="BB470" s="76" t="b">
        <v>1</v>
      </c>
      <c r="BC470" s="76" t="b">
        <v>1</v>
      </c>
      <c r="BD470" s="76" t="b">
        <v>0</v>
      </c>
      <c r="BE470" s="76" t="b">
        <v>0</v>
      </c>
      <c r="BF470" s="76" t="b">
        <v>0</v>
      </c>
      <c r="BG470" s="76" t="b">
        <v>0</v>
      </c>
      <c r="BH470" s="76"/>
      <c r="BI470" s="76"/>
      <c r="BJ470" s="76" t="s">
        <v>19633</v>
      </c>
      <c r="BK470" s="76" t="b">
        <v>0</v>
      </c>
      <c r="BL470" s="76"/>
      <c r="BM470" s="76" t="s">
        <v>66</v>
      </c>
      <c r="BN470" s="76" t="s">
        <v>19635</v>
      </c>
      <c r="BO470" s="83" t="str">
        <f>HYPERLINK("https://twitter.com/ajsantos2021")</f>
        <v>https://twitter.com/ajsantos2021</v>
      </c>
      <c r="BP470" s="2"/>
    </row>
    <row r="471" spans="1:68" x14ac:dyDescent="0.25">
      <c r="A471" s="62" t="s">
        <v>637</v>
      </c>
      <c r="B471" s="63"/>
      <c r="C471" s="63"/>
      <c r="D471" s="64"/>
      <c r="E471" s="66"/>
      <c r="F471" s="103" t="str">
        <f>HYPERLINK("https://pbs.twimg.com/profile_images/1672382842582564867/j1qeL4Ta_normal.jpg")</f>
        <v>https://pbs.twimg.com/profile_images/1672382842582564867/j1qeL4Ta_normal.jpg</v>
      </c>
      <c r="G471" s="63"/>
      <c r="H471" s="67"/>
      <c r="I471" s="68"/>
      <c r="J471" s="68"/>
      <c r="K471" s="67" t="s">
        <v>20103</v>
      </c>
      <c r="L471" s="71"/>
      <c r="M471" s="72"/>
      <c r="N471" s="72"/>
      <c r="O471" s="73"/>
      <c r="P471" s="74"/>
      <c r="Q471" s="74"/>
      <c r="R471" s="87"/>
      <c r="S471" s="87"/>
      <c r="T471" s="87"/>
      <c r="U471" s="87"/>
      <c r="V471" s="48"/>
      <c r="W471" s="48"/>
      <c r="X471" s="47">
        <v>1.101E-3</v>
      </c>
      <c r="Y471" s="48"/>
      <c r="Z471" s="47"/>
      <c r="AA471" s="69">
        <v>471</v>
      </c>
      <c r="AB471" s="69"/>
      <c r="AC471" s="70"/>
      <c r="AD471" s="76" t="s">
        <v>17104</v>
      </c>
      <c r="AE471" s="81" t="s">
        <v>17690</v>
      </c>
      <c r="AF471" s="76">
        <v>309</v>
      </c>
      <c r="AG471" s="76">
        <v>829</v>
      </c>
      <c r="AH471" s="76">
        <v>2227</v>
      </c>
      <c r="AI471" s="76">
        <v>0</v>
      </c>
      <c r="AJ471" s="76">
        <v>1347</v>
      </c>
      <c r="AK471" s="76">
        <v>933</v>
      </c>
      <c r="AL471" s="76" t="b">
        <v>0</v>
      </c>
      <c r="AM471" s="78">
        <v>41761.437407407408</v>
      </c>
      <c r="AN471" s="76" t="s">
        <v>10574</v>
      </c>
      <c r="AO471" s="76" t="s">
        <v>18574</v>
      </c>
      <c r="AP471" s="76"/>
      <c r="AQ471" s="76"/>
      <c r="AR471" s="76"/>
      <c r="AS471" s="76"/>
      <c r="AT471" s="76"/>
      <c r="AU471" s="76"/>
      <c r="AV471" s="76">
        <v>1.2627242103314401E+18</v>
      </c>
      <c r="AW471" s="76"/>
      <c r="AX471" s="76" t="b">
        <v>0</v>
      </c>
      <c r="AY471" s="76"/>
      <c r="AZ471" s="76"/>
      <c r="BA471" s="76" t="b">
        <v>1</v>
      </c>
      <c r="BB471" s="76" t="b">
        <v>0</v>
      </c>
      <c r="BC471" s="76" t="b">
        <v>1</v>
      </c>
      <c r="BD471" s="76" t="b">
        <v>0</v>
      </c>
      <c r="BE471" s="76" t="b">
        <v>1</v>
      </c>
      <c r="BF471" s="76" t="b">
        <v>0</v>
      </c>
      <c r="BG471" s="76" t="b">
        <v>0</v>
      </c>
      <c r="BH471" s="83" t="str">
        <f>HYPERLINK("https://pbs.twimg.com/profile_banners/2523063850/1661383507")</f>
        <v>https://pbs.twimg.com/profile_banners/2523063850/1661383507</v>
      </c>
      <c r="BI471" s="76"/>
      <c r="BJ471" s="76" t="s">
        <v>19633</v>
      </c>
      <c r="BK471" s="76" t="b">
        <v>0</v>
      </c>
      <c r="BL471" s="76"/>
      <c r="BM471" s="76" t="s">
        <v>66</v>
      </c>
      <c r="BN471" s="76" t="s">
        <v>19635</v>
      </c>
      <c r="BO471" s="83" t="str">
        <f>HYPERLINK("https://twitter.com/santannareal_")</f>
        <v>https://twitter.com/santannareal_</v>
      </c>
      <c r="BP471" s="2"/>
    </row>
    <row r="472" spans="1:68" x14ac:dyDescent="0.25">
      <c r="A472" s="62" t="s">
        <v>638</v>
      </c>
      <c r="B472" s="63"/>
      <c r="C472" s="63"/>
      <c r="D472" s="64"/>
      <c r="E472" s="66"/>
      <c r="F472" s="103" t="str">
        <f>HYPERLINK("https://pbs.twimg.com/profile_images/1500861293259112450/uE9Ftq0s_normal.jpg")</f>
        <v>https://pbs.twimg.com/profile_images/1500861293259112450/uE9Ftq0s_normal.jpg</v>
      </c>
      <c r="G472" s="63"/>
      <c r="H472" s="67"/>
      <c r="I472" s="68"/>
      <c r="J472" s="68"/>
      <c r="K472" s="67" t="s">
        <v>20104</v>
      </c>
      <c r="L472" s="71"/>
      <c r="M472" s="72"/>
      <c r="N472" s="72"/>
      <c r="O472" s="73"/>
      <c r="P472" s="74"/>
      <c r="Q472" s="74"/>
      <c r="R472" s="87"/>
      <c r="S472" s="87"/>
      <c r="T472" s="87"/>
      <c r="U472" s="87"/>
      <c r="V472" s="48"/>
      <c r="W472" s="48"/>
      <c r="X472" s="47">
        <v>1.101E-3</v>
      </c>
      <c r="Y472" s="48"/>
      <c r="Z472" s="47"/>
      <c r="AA472" s="69">
        <v>472</v>
      </c>
      <c r="AB472" s="69"/>
      <c r="AC472" s="70"/>
      <c r="AD472" s="76" t="s">
        <v>17105</v>
      </c>
      <c r="AE472" s="81" t="s">
        <v>17691</v>
      </c>
      <c r="AF472" s="76">
        <v>156</v>
      </c>
      <c r="AG472" s="76">
        <v>179</v>
      </c>
      <c r="AH472" s="76">
        <v>1211</v>
      </c>
      <c r="AI472" s="76">
        <v>3</v>
      </c>
      <c r="AJ472" s="76">
        <v>3785</v>
      </c>
      <c r="AK472" s="76">
        <v>281</v>
      </c>
      <c r="AL472" s="76" t="b">
        <v>0</v>
      </c>
      <c r="AM472" s="78">
        <v>39837.963784722226</v>
      </c>
      <c r="AN472" s="76" t="s">
        <v>10622</v>
      </c>
      <c r="AO472" s="76" t="s">
        <v>18575</v>
      </c>
      <c r="AP472" s="83" t="str">
        <f>HYPERLINK("https://t.co/rDBfLA1rGt")</f>
        <v>https://t.co/rDBfLA1rGt</v>
      </c>
      <c r="AQ472" s="83" t="str">
        <f>HYPERLINK("https://www.instagram.com/henriquecaldeira/")</f>
        <v>https://www.instagram.com/henriquecaldeira/</v>
      </c>
      <c r="AR472" s="76" t="s">
        <v>19270</v>
      </c>
      <c r="AS472" s="76"/>
      <c r="AT472" s="76"/>
      <c r="AU472" s="76"/>
      <c r="AV472" s="76"/>
      <c r="AW472" s="83" t="str">
        <f>HYPERLINK("https://t.co/rDBfLA1rGt")</f>
        <v>https://t.co/rDBfLA1rGt</v>
      </c>
      <c r="AX472" s="76" t="b">
        <v>0</v>
      </c>
      <c r="AY472" s="76"/>
      <c r="AZ472" s="76"/>
      <c r="BA472" s="76" t="b">
        <v>0</v>
      </c>
      <c r="BB472" s="76" t="b">
        <v>1</v>
      </c>
      <c r="BC472" s="76" t="b">
        <v>0</v>
      </c>
      <c r="BD472" s="76" t="b">
        <v>0</v>
      </c>
      <c r="BE472" s="76" t="b">
        <v>0</v>
      </c>
      <c r="BF472" s="76" t="b">
        <v>0</v>
      </c>
      <c r="BG472" s="76" t="b">
        <v>0</v>
      </c>
      <c r="BH472" s="83" t="str">
        <f>HYPERLINK("https://pbs.twimg.com/profile_banners/19468254/1646750996")</f>
        <v>https://pbs.twimg.com/profile_banners/19468254/1646750996</v>
      </c>
      <c r="BI472" s="76"/>
      <c r="BJ472" s="76" t="s">
        <v>19633</v>
      </c>
      <c r="BK472" s="76" t="b">
        <v>0</v>
      </c>
      <c r="BL472" s="76"/>
      <c r="BM472" s="76" t="s">
        <v>66</v>
      </c>
      <c r="BN472" s="76" t="s">
        <v>19635</v>
      </c>
      <c r="BO472" s="83" t="str">
        <f>HYPERLINK("https://twitter.com/henriquemg")</f>
        <v>https://twitter.com/henriquemg</v>
      </c>
      <c r="BP472" s="2"/>
    </row>
    <row r="473" spans="1:68" x14ac:dyDescent="0.25">
      <c r="A473" s="62" t="s">
        <v>639</v>
      </c>
      <c r="B473" s="63"/>
      <c r="C473" s="63"/>
      <c r="D473" s="64"/>
      <c r="E473" s="66"/>
      <c r="F473" s="103" t="str">
        <f>HYPERLINK("https://pbs.twimg.com/profile_images/1543956027539873798/SHhLNew4_normal.jpg")</f>
        <v>https://pbs.twimg.com/profile_images/1543956027539873798/SHhLNew4_normal.jpg</v>
      </c>
      <c r="G473" s="63"/>
      <c r="H473" s="67"/>
      <c r="I473" s="68"/>
      <c r="J473" s="68"/>
      <c r="K473" s="67" t="s">
        <v>20105</v>
      </c>
      <c r="L473" s="71"/>
      <c r="M473" s="72"/>
      <c r="N473" s="72"/>
      <c r="O473" s="73"/>
      <c r="P473" s="74"/>
      <c r="Q473" s="74"/>
      <c r="R473" s="87"/>
      <c r="S473" s="87"/>
      <c r="T473" s="87"/>
      <c r="U473" s="87"/>
      <c r="V473" s="48"/>
      <c r="W473" s="48"/>
      <c r="X473" s="47">
        <v>1.101E-3</v>
      </c>
      <c r="Y473" s="48"/>
      <c r="Z473" s="47"/>
      <c r="AA473" s="69">
        <v>473</v>
      </c>
      <c r="AB473" s="69"/>
      <c r="AC473" s="70"/>
      <c r="AD473" s="76" t="s">
        <v>17106</v>
      </c>
      <c r="AE473" s="81" t="s">
        <v>16372</v>
      </c>
      <c r="AF473" s="76">
        <v>3</v>
      </c>
      <c r="AG473" s="76">
        <v>29</v>
      </c>
      <c r="AH473" s="76">
        <v>14</v>
      </c>
      <c r="AI473" s="76">
        <v>0</v>
      </c>
      <c r="AJ473" s="76">
        <v>4</v>
      </c>
      <c r="AK473" s="76">
        <v>3</v>
      </c>
      <c r="AL473" s="76" t="b">
        <v>0</v>
      </c>
      <c r="AM473" s="78">
        <v>44746.578425925924</v>
      </c>
      <c r="AN473" s="76"/>
      <c r="AO473" s="76"/>
      <c r="AP473" s="76"/>
      <c r="AQ473" s="76"/>
      <c r="AR473" s="76"/>
      <c r="AS473" s="76"/>
      <c r="AT473" s="76"/>
      <c r="AU473" s="76"/>
      <c r="AV473" s="76"/>
      <c r="AW473" s="76"/>
      <c r="AX473" s="76" t="b">
        <v>0</v>
      </c>
      <c r="AY473" s="76"/>
      <c r="AZ473" s="76"/>
      <c r="BA473" s="76" t="b">
        <v>0</v>
      </c>
      <c r="BB473" s="76" t="b">
        <v>1</v>
      </c>
      <c r="BC473" s="76" t="b">
        <v>1</v>
      </c>
      <c r="BD473" s="76" t="b">
        <v>0</v>
      </c>
      <c r="BE473" s="76" t="b">
        <v>0</v>
      </c>
      <c r="BF473" s="76" t="b">
        <v>0</v>
      </c>
      <c r="BG473" s="76" t="b">
        <v>0</v>
      </c>
      <c r="BH473" s="76"/>
      <c r="BI473" s="76"/>
      <c r="BJ473" s="76" t="s">
        <v>19633</v>
      </c>
      <c r="BK473" s="76" t="b">
        <v>0</v>
      </c>
      <c r="BL473" s="76"/>
      <c r="BM473" s="76" t="s">
        <v>66</v>
      </c>
      <c r="BN473" s="76" t="s">
        <v>19635</v>
      </c>
      <c r="BO473" s="83" t="str">
        <f>HYPERLINK("https://twitter.com/marcelmenegheti")</f>
        <v>https://twitter.com/marcelmenegheti</v>
      </c>
      <c r="BP473" s="2"/>
    </row>
    <row r="474" spans="1:68" x14ac:dyDescent="0.25">
      <c r="A474" s="62" t="s">
        <v>640</v>
      </c>
      <c r="B474" s="63"/>
      <c r="C474" s="63"/>
      <c r="D474" s="64"/>
      <c r="E474" s="66"/>
      <c r="F474" s="103" t="str">
        <f>HYPERLINK("https://pbs.twimg.com/profile_images/1566857150483382277/MlepwQRJ_normal.jpg")</f>
        <v>https://pbs.twimg.com/profile_images/1566857150483382277/MlepwQRJ_normal.jpg</v>
      </c>
      <c r="G474" s="63"/>
      <c r="H474" s="67"/>
      <c r="I474" s="68"/>
      <c r="J474" s="68"/>
      <c r="K474" s="67" t="s">
        <v>20106</v>
      </c>
      <c r="L474" s="71"/>
      <c r="M474" s="72"/>
      <c r="N474" s="72"/>
      <c r="O474" s="73"/>
      <c r="P474" s="74"/>
      <c r="Q474" s="74"/>
      <c r="R474" s="87"/>
      <c r="S474" s="87"/>
      <c r="T474" s="87"/>
      <c r="U474" s="87"/>
      <c r="V474" s="48"/>
      <c r="W474" s="48"/>
      <c r="X474" s="47">
        <v>1.101E-3</v>
      </c>
      <c r="Y474" s="48"/>
      <c r="Z474" s="47"/>
      <c r="AA474" s="69">
        <v>474</v>
      </c>
      <c r="AB474" s="69"/>
      <c r="AC474" s="70"/>
      <c r="AD474" s="76" t="s">
        <v>17107</v>
      </c>
      <c r="AE474" s="81" t="s">
        <v>16373</v>
      </c>
      <c r="AF474" s="76">
        <v>795</v>
      </c>
      <c r="AG474" s="76">
        <v>5</v>
      </c>
      <c r="AH474" s="76">
        <v>549</v>
      </c>
      <c r="AI474" s="76">
        <v>0</v>
      </c>
      <c r="AJ474" s="76">
        <v>80</v>
      </c>
      <c r="AK474" s="76">
        <v>356</v>
      </c>
      <c r="AL474" s="76" t="b">
        <v>0</v>
      </c>
      <c r="AM474" s="78">
        <v>44409.000023148146</v>
      </c>
      <c r="AN474" s="76" t="s">
        <v>18020</v>
      </c>
      <c r="AO474" s="76" t="s">
        <v>18576</v>
      </c>
      <c r="AP474" s="83" t="str">
        <f>HYPERLINK("https://t.co/KUXZJ5b7Vr")</f>
        <v>https://t.co/KUXZJ5b7Vr</v>
      </c>
      <c r="AQ474" s="83" t="str">
        <f>HYPERLINK("http://www.expofavela.com.br")</f>
        <v>http://www.expofavela.com.br</v>
      </c>
      <c r="AR474" s="76" t="s">
        <v>19271</v>
      </c>
      <c r="AS474" s="76"/>
      <c r="AT474" s="76"/>
      <c r="AU474" s="76"/>
      <c r="AV474" s="76"/>
      <c r="AW474" s="83" t="str">
        <f>HYPERLINK("https://t.co/KUXZJ5b7Vr")</f>
        <v>https://t.co/KUXZJ5b7Vr</v>
      </c>
      <c r="AX474" s="76" t="b">
        <v>0</v>
      </c>
      <c r="AY474" s="76"/>
      <c r="AZ474" s="76"/>
      <c r="BA474" s="76" t="b">
        <v>0</v>
      </c>
      <c r="BB474" s="76" t="b">
        <v>1</v>
      </c>
      <c r="BC474" s="76" t="b">
        <v>1</v>
      </c>
      <c r="BD474" s="76" t="b">
        <v>0</v>
      </c>
      <c r="BE474" s="76" t="b">
        <v>1</v>
      </c>
      <c r="BF474" s="76" t="b">
        <v>0</v>
      </c>
      <c r="BG474" s="76" t="b">
        <v>0</v>
      </c>
      <c r="BH474" s="83" t="str">
        <f>HYPERLINK("https://pbs.twimg.com/profile_banners/1421621635879161857/1662402829")</f>
        <v>https://pbs.twimg.com/profile_banners/1421621635879161857/1662402829</v>
      </c>
      <c r="BI474" s="76"/>
      <c r="BJ474" s="76" t="s">
        <v>19633</v>
      </c>
      <c r="BK474" s="76" t="b">
        <v>0</v>
      </c>
      <c r="BL474" s="76"/>
      <c r="BM474" s="76" t="s">
        <v>66</v>
      </c>
      <c r="BN474" s="76" t="s">
        <v>19635</v>
      </c>
      <c r="BO474" s="83" t="str">
        <f>HYPERLINK("https://twitter.com/expofavela")</f>
        <v>https://twitter.com/expofavela</v>
      </c>
      <c r="BP474" s="2"/>
    </row>
    <row r="475" spans="1:68" x14ac:dyDescent="0.25">
      <c r="A475" s="62" t="s">
        <v>641</v>
      </c>
      <c r="B475" s="63"/>
      <c r="C475" s="63"/>
      <c r="D475" s="64"/>
      <c r="E475" s="66"/>
      <c r="F475" s="103" t="str">
        <f>HYPERLINK("https://pbs.twimg.com/profile_images/1687564485781811200/ab0Dfo90_normal.png")</f>
        <v>https://pbs.twimg.com/profile_images/1687564485781811200/ab0Dfo90_normal.png</v>
      </c>
      <c r="G475" s="63"/>
      <c r="H475" s="67"/>
      <c r="I475" s="68"/>
      <c r="J475" s="68"/>
      <c r="K475" s="67" t="s">
        <v>20107</v>
      </c>
      <c r="L475" s="71"/>
      <c r="M475" s="72"/>
      <c r="N475" s="72"/>
      <c r="O475" s="73"/>
      <c r="P475" s="74"/>
      <c r="Q475" s="74"/>
      <c r="R475" s="87"/>
      <c r="S475" s="87"/>
      <c r="T475" s="87"/>
      <c r="U475" s="87"/>
      <c r="V475" s="48"/>
      <c r="W475" s="48"/>
      <c r="X475" s="47">
        <v>1.101E-3</v>
      </c>
      <c r="Y475" s="48"/>
      <c r="Z475" s="47"/>
      <c r="AA475" s="69">
        <v>475</v>
      </c>
      <c r="AB475" s="69"/>
      <c r="AC475" s="70"/>
      <c r="AD475" s="76" t="s">
        <v>17108</v>
      </c>
      <c r="AE475" s="81" t="s">
        <v>16374</v>
      </c>
      <c r="AF475" s="76">
        <v>58</v>
      </c>
      <c r="AG475" s="76">
        <v>261</v>
      </c>
      <c r="AH475" s="76">
        <v>1164</v>
      </c>
      <c r="AI475" s="76">
        <v>0</v>
      </c>
      <c r="AJ475" s="76">
        <v>3</v>
      </c>
      <c r="AK475" s="76">
        <v>400</v>
      </c>
      <c r="AL475" s="76" t="b">
        <v>0</v>
      </c>
      <c r="AM475" s="78">
        <v>44017.573425925926</v>
      </c>
      <c r="AN475" s="76"/>
      <c r="AO475" s="76" t="s">
        <v>18577</v>
      </c>
      <c r="AP475" s="83" t="str">
        <f>HYPERLINK("https://t.co/y9plThuFc2")</f>
        <v>https://t.co/y9plThuFc2</v>
      </c>
      <c r="AQ475" s="83" t="str">
        <f>HYPERLINK("https://linktr.ee/agrocapitais")</f>
        <v>https://linktr.ee/agrocapitais</v>
      </c>
      <c r="AR475" s="76" t="s">
        <v>19272</v>
      </c>
      <c r="AS475" s="76"/>
      <c r="AT475" s="76"/>
      <c r="AU475" s="76"/>
      <c r="AV475" s="76"/>
      <c r="AW475" s="83" t="str">
        <f>HYPERLINK("https://t.co/y9plThuFc2")</f>
        <v>https://t.co/y9plThuFc2</v>
      </c>
      <c r="AX475" s="76" t="b">
        <v>0</v>
      </c>
      <c r="AY475" s="76"/>
      <c r="AZ475" s="76"/>
      <c r="BA475" s="76" t="b">
        <v>0</v>
      </c>
      <c r="BB475" s="76" t="b">
        <v>1</v>
      </c>
      <c r="BC475" s="76" t="b">
        <v>1</v>
      </c>
      <c r="BD475" s="76" t="b">
        <v>0</v>
      </c>
      <c r="BE475" s="76" t="b">
        <v>0</v>
      </c>
      <c r="BF475" s="76" t="b">
        <v>0</v>
      </c>
      <c r="BG475" s="76" t="b">
        <v>0</v>
      </c>
      <c r="BH475" s="83" t="str">
        <f>HYPERLINK("https://pbs.twimg.com/profile_banners/1279773366807859200/1691181703")</f>
        <v>https://pbs.twimg.com/profile_banners/1279773366807859200/1691181703</v>
      </c>
      <c r="BI475" s="76"/>
      <c r="BJ475" s="76" t="s">
        <v>19633</v>
      </c>
      <c r="BK475" s="76" t="b">
        <v>0</v>
      </c>
      <c r="BL475" s="76"/>
      <c r="BM475" s="76" t="s">
        <v>66</v>
      </c>
      <c r="BN475" s="76" t="s">
        <v>19635</v>
      </c>
      <c r="BO475" s="83" t="str">
        <f>HYPERLINK("https://twitter.com/agrocapitais")</f>
        <v>https://twitter.com/agrocapitais</v>
      </c>
      <c r="BP475" s="2"/>
    </row>
    <row r="476" spans="1:68" x14ac:dyDescent="0.25">
      <c r="A476" s="62" t="s">
        <v>642</v>
      </c>
      <c r="B476" s="63"/>
      <c r="C476" s="63"/>
      <c r="D476" s="64"/>
      <c r="E476" s="66"/>
      <c r="F476" s="103" t="str">
        <f>HYPERLINK("https://pbs.twimg.com/profile_images/1455017869520121861/xAUnhapA_normal.jpg")</f>
        <v>https://pbs.twimg.com/profile_images/1455017869520121861/xAUnhapA_normal.jpg</v>
      </c>
      <c r="G476" s="63"/>
      <c r="H476" s="67"/>
      <c r="I476" s="68"/>
      <c r="J476" s="68"/>
      <c r="K476" s="67" t="s">
        <v>20108</v>
      </c>
      <c r="L476" s="71"/>
      <c r="M476" s="72"/>
      <c r="N476" s="72"/>
      <c r="O476" s="73"/>
      <c r="P476" s="74"/>
      <c r="Q476" s="74"/>
      <c r="R476" s="87"/>
      <c r="S476" s="87"/>
      <c r="T476" s="87"/>
      <c r="U476" s="87"/>
      <c r="V476" s="48"/>
      <c r="W476" s="48"/>
      <c r="X476" s="47">
        <v>1.101E-3</v>
      </c>
      <c r="Y476" s="48"/>
      <c r="Z476" s="47"/>
      <c r="AA476" s="69">
        <v>476</v>
      </c>
      <c r="AB476" s="69"/>
      <c r="AC476" s="70"/>
      <c r="AD476" s="76" t="s">
        <v>17109</v>
      </c>
      <c r="AE476" s="81" t="s">
        <v>17692</v>
      </c>
      <c r="AF476" s="76">
        <v>1412</v>
      </c>
      <c r="AG476" s="76">
        <v>1717</v>
      </c>
      <c r="AH476" s="76">
        <v>8417</v>
      </c>
      <c r="AI476" s="76">
        <v>5</v>
      </c>
      <c r="AJ476" s="76">
        <v>517</v>
      </c>
      <c r="AK476" s="76">
        <v>934</v>
      </c>
      <c r="AL476" s="76" t="b">
        <v>0</v>
      </c>
      <c r="AM476" s="78">
        <v>41166.769317129627</v>
      </c>
      <c r="AN476" s="76" t="s">
        <v>10574</v>
      </c>
      <c r="AO476" s="76" t="s">
        <v>18578</v>
      </c>
      <c r="AP476" s="83" t="str">
        <f>HYPERLINK("https://t.co/CL4ZXriHiX")</f>
        <v>https://t.co/CL4ZXriHiX</v>
      </c>
      <c r="AQ476" s="83" t="str">
        <f>HYPERLINK("http://www.setorsaude.com.br")</f>
        <v>http://www.setorsaude.com.br</v>
      </c>
      <c r="AR476" s="76" t="s">
        <v>19273</v>
      </c>
      <c r="AS476" s="83" t="str">
        <f>HYPERLINK("https://t.co/4Ygb7gT0A6")</f>
        <v>https://t.co/4Ygb7gT0A6</v>
      </c>
      <c r="AT476" s="83" t="str">
        <f>HYPERLINK("http://setorsaude.com.br")</f>
        <v>http://setorsaude.com.br</v>
      </c>
      <c r="AU476" s="76" t="s">
        <v>19273</v>
      </c>
      <c r="AV476" s="76"/>
      <c r="AW476" s="83" t="str">
        <f>HYPERLINK("https://t.co/CL4ZXriHiX")</f>
        <v>https://t.co/CL4ZXriHiX</v>
      </c>
      <c r="AX476" s="76" t="b">
        <v>0</v>
      </c>
      <c r="AY476" s="76"/>
      <c r="AZ476" s="76"/>
      <c r="BA476" s="76" t="b">
        <v>1</v>
      </c>
      <c r="BB476" s="76" t="b">
        <v>1</v>
      </c>
      <c r="BC476" s="76" t="b">
        <v>0</v>
      </c>
      <c r="BD476" s="76" t="b">
        <v>0</v>
      </c>
      <c r="BE476" s="76" t="b">
        <v>1</v>
      </c>
      <c r="BF476" s="76" t="b">
        <v>0</v>
      </c>
      <c r="BG476" s="76" t="b">
        <v>0</v>
      </c>
      <c r="BH476" s="83" t="str">
        <f>HYPERLINK("https://pbs.twimg.com/profile_banners/823749648/1549473410")</f>
        <v>https://pbs.twimg.com/profile_banners/823749648/1549473410</v>
      </c>
      <c r="BI476" s="76"/>
      <c r="BJ476" s="76" t="s">
        <v>19633</v>
      </c>
      <c r="BK476" s="76" t="b">
        <v>0</v>
      </c>
      <c r="BL476" s="76"/>
      <c r="BM476" s="76" t="s">
        <v>66</v>
      </c>
      <c r="BN476" s="76" t="s">
        <v>19635</v>
      </c>
      <c r="BO476" s="83" t="str">
        <f>HYPERLINK("https://twitter.com/setor_saude")</f>
        <v>https://twitter.com/setor_saude</v>
      </c>
      <c r="BP476" s="2"/>
    </row>
    <row r="477" spans="1:68" x14ac:dyDescent="0.25">
      <c r="A477" s="62" t="s">
        <v>643</v>
      </c>
      <c r="B477" s="63"/>
      <c r="C477" s="63"/>
      <c r="D477" s="64"/>
      <c r="E477" s="66"/>
      <c r="F477" s="103" t="str">
        <f>HYPERLINK("https://pbs.twimg.com/profile_images/1544047959410606080/0sJKn-Iz_normal.jpg")</f>
        <v>https://pbs.twimg.com/profile_images/1544047959410606080/0sJKn-Iz_normal.jpg</v>
      </c>
      <c r="G477" s="63"/>
      <c r="H477" s="67"/>
      <c r="I477" s="68"/>
      <c r="J477" s="68"/>
      <c r="K477" s="67" t="s">
        <v>20109</v>
      </c>
      <c r="L477" s="71"/>
      <c r="M477" s="72"/>
      <c r="N477" s="72"/>
      <c r="O477" s="73"/>
      <c r="P477" s="74"/>
      <c r="Q477" s="74"/>
      <c r="R477" s="87"/>
      <c r="S477" s="87"/>
      <c r="T477" s="87"/>
      <c r="U477" s="87"/>
      <c r="V477" s="48"/>
      <c r="W477" s="48"/>
      <c r="X477" s="47">
        <v>1.101E-3</v>
      </c>
      <c r="Y477" s="48"/>
      <c r="Z477" s="47"/>
      <c r="AA477" s="69">
        <v>477</v>
      </c>
      <c r="AB477" s="69"/>
      <c r="AC477" s="70"/>
      <c r="AD477" s="76" t="s">
        <v>17110</v>
      </c>
      <c r="AE477" s="81" t="s">
        <v>16375</v>
      </c>
      <c r="AF477" s="76">
        <v>2993</v>
      </c>
      <c r="AG477" s="76">
        <v>5</v>
      </c>
      <c r="AH477" s="76">
        <v>15317</v>
      </c>
      <c r="AI477" s="76">
        <v>17</v>
      </c>
      <c r="AJ477" s="76">
        <v>716</v>
      </c>
      <c r="AK477" s="76">
        <v>42</v>
      </c>
      <c r="AL477" s="76" t="b">
        <v>0</v>
      </c>
      <c r="AM477" s="78">
        <v>44732.675138888888</v>
      </c>
      <c r="AN477" s="76"/>
      <c r="AO477" s="76" t="s">
        <v>18579</v>
      </c>
      <c r="AP477" s="83" t="str">
        <f>HYPERLINK("https://t.co/oXUvs8eaCJ")</f>
        <v>https://t.co/oXUvs8eaCJ</v>
      </c>
      <c r="AQ477" s="83" t="str">
        <f>HYPERLINK("https://www.redetv.uol.com.br/jornalismo")</f>
        <v>https://www.redetv.uol.com.br/jornalismo</v>
      </c>
      <c r="AR477" s="76" t="s">
        <v>19274</v>
      </c>
      <c r="AS477" s="76"/>
      <c r="AT477" s="76"/>
      <c r="AU477" s="76"/>
      <c r="AV477" s="76"/>
      <c r="AW477" s="83" t="str">
        <f>HYPERLINK("https://t.co/oXUvs8eaCJ")</f>
        <v>https://t.co/oXUvs8eaCJ</v>
      </c>
      <c r="AX477" s="76" t="b">
        <v>0</v>
      </c>
      <c r="AY477" s="76"/>
      <c r="AZ477" s="76"/>
      <c r="BA477" s="76" t="b">
        <v>0</v>
      </c>
      <c r="BB477" s="76" t="b">
        <v>1</v>
      </c>
      <c r="BC477" s="76" t="b">
        <v>1</v>
      </c>
      <c r="BD477" s="76" t="b">
        <v>0</v>
      </c>
      <c r="BE477" s="76" t="b">
        <v>0</v>
      </c>
      <c r="BF477" s="76" t="b">
        <v>0</v>
      </c>
      <c r="BG477" s="76" t="b">
        <v>0</v>
      </c>
      <c r="BH477" s="83" t="str">
        <f>HYPERLINK("https://pbs.twimg.com/profile_banners/1538917583218409475/1656009703")</f>
        <v>https://pbs.twimg.com/profile_banners/1538917583218409475/1656009703</v>
      </c>
      <c r="BI477" s="76"/>
      <c r="BJ477" s="76" t="s">
        <v>19633</v>
      </c>
      <c r="BK477" s="76" t="b">
        <v>0</v>
      </c>
      <c r="BL477" s="76"/>
      <c r="BM477" s="76" t="s">
        <v>66</v>
      </c>
      <c r="BN477" s="76" t="s">
        <v>19635</v>
      </c>
      <c r="BO477" s="83" t="str">
        <f>HYPERLINK("https://twitter.com/noticiasredetv")</f>
        <v>https://twitter.com/noticiasredetv</v>
      </c>
      <c r="BP477" s="2"/>
    </row>
    <row r="478" spans="1:68" x14ac:dyDescent="0.25">
      <c r="A478" s="62" t="s">
        <v>644</v>
      </c>
      <c r="B478" s="63"/>
      <c r="C478" s="63"/>
      <c r="D478" s="64"/>
      <c r="E478" s="66"/>
      <c r="F478" s="103" t="str">
        <f>HYPERLINK("https://pbs.twimg.com/profile_images/959118521979555847/4e5zsk1y_normal.jpg")</f>
        <v>https://pbs.twimg.com/profile_images/959118521979555847/4e5zsk1y_normal.jpg</v>
      </c>
      <c r="G478" s="63"/>
      <c r="H478" s="67"/>
      <c r="I478" s="68"/>
      <c r="J478" s="68"/>
      <c r="K478" s="67" t="s">
        <v>20110</v>
      </c>
      <c r="L478" s="71"/>
      <c r="M478" s="72"/>
      <c r="N478" s="72"/>
      <c r="O478" s="73"/>
      <c r="P478" s="74"/>
      <c r="Q478" s="74"/>
      <c r="R478" s="87"/>
      <c r="S478" s="87"/>
      <c r="T478" s="87"/>
      <c r="U478" s="87"/>
      <c r="V478" s="48"/>
      <c r="W478" s="48"/>
      <c r="X478" s="47">
        <v>1.101E-3</v>
      </c>
      <c r="Y478" s="48"/>
      <c r="Z478" s="47"/>
      <c r="AA478" s="69">
        <v>478</v>
      </c>
      <c r="AB478" s="69"/>
      <c r="AC478" s="70"/>
      <c r="AD478" s="76" t="s">
        <v>17111</v>
      </c>
      <c r="AE478" s="81" t="s">
        <v>17693</v>
      </c>
      <c r="AF478" s="76">
        <v>2313</v>
      </c>
      <c r="AG478" s="76">
        <v>3</v>
      </c>
      <c r="AH478" s="76">
        <v>3596</v>
      </c>
      <c r="AI478" s="76">
        <v>40</v>
      </c>
      <c r="AJ478" s="76">
        <v>0</v>
      </c>
      <c r="AK478" s="76">
        <v>550</v>
      </c>
      <c r="AL478" s="76" t="b">
        <v>0</v>
      </c>
      <c r="AM478" s="78">
        <v>39927.550173611111</v>
      </c>
      <c r="AN478" s="76" t="s">
        <v>18021</v>
      </c>
      <c r="AO478" s="76" t="s">
        <v>18580</v>
      </c>
      <c r="AP478" s="83" t="str">
        <f>HYPERLINK("https://t.co/4wnsfKkvvb")</f>
        <v>https://t.co/4wnsfKkvvb</v>
      </c>
      <c r="AQ478" s="83" t="str">
        <f>HYPERLINK("http://www.colband.com.br")</f>
        <v>http://www.colband.com.br</v>
      </c>
      <c r="AR478" s="76" t="s">
        <v>19275</v>
      </c>
      <c r="AS478" s="76"/>
      <c r="AT478" s="76"/>
      <c r="AU478" s="76"/>
      <c r="AV478" s="76"/>
      <c r="AW478" s="83" t="str">
        <f>HYPERLINK("https://t.co/4wnsfKkvvb")</f>
        <v>https://t.co/4wnsfKkvvb</v>
      </c>
      <c r="AX478" s="76" t="b">
        <v>0</v>
      </c>
      <c r="AY478" s="76"/>
      <c r="AZ478" s="76"/>
      <c r="BA478" s="76" t="b">
        <v>0</v>
      </c>
      <c r="BB478" s="76" t="b">
        <v>1</v>
      </c>
      <c r="BC478" s="76" t="b">
        <v>0</v>
      </c>
      <c r="BD478" s="76" t="b">
        <v>0</v>
      </c>
      <c r="BE478" s="76" t="b">
        <v>0</v>
      </c>
      <c r="BF478" s="76" t="b">
        <v>0</v>
      </c>
      <c r="BG478" s="76" t="b">
        <v>0</v>
      </c>
      <c r="BH478" s="83" t="str">
        <f>HYPERLINK("https://pbs.twimg.com/profile_banners/34920484/1678788997")</f>
        <v>https://pbs.twimg.com/profile_banners/34920484/1678788997</v>
      </c>
      <c r="BI478" s="76"/>
      <c r="BJ478" s="76" t="s">
        <v>19633</v>
      </c>
      <c r="BK478" s="76" t="b">
        <v>0</v>
      </c>
      <c r="BL478" s="76"/>
      <c r="BM478" s="76" t="s">
        <v>66</v>
      </c>
      <c r="BN478" s="76" t="s">
        <v>19635</v>
      </c>
      <c r="BO478" s="83" t="str">
        <f>HYPERLINK("https://twitter.com/colband")</f>
        <v>https://twitter.com/colband</v>
      </c>
      <c r="BP478" s="2"/>
    </row>
    <row r="479" spans="1:68" x14ac:dyDescent="0.25">
      <c r="A479" s="62" t="s">
        <v>645</v>
      </c>
      <c r="B479" s="63"/>
      <c r="C479" s="63"/>
      <c r="D479" s="64"/>
      <c r="E479" s="66"/>
      <c r="F479" s="103" t="str">
        <f>HYPERLINK("https://pbs.twimg.com/profile_images/1663937643120304128/I4zcGep3_normal.jpg")</f>
        <v>https://pbs.twimg.com/profile_images/1663937643120304128/I4zcGep3_normal.jpg</v>
      </c>
      <c r="G479" s="63"/>
      <c r="H479" s="67"/>
      <c r="I479" s="68"/>
      <c r="J479" s="68"/>
      <c r="K479" s="67" t="s">
        <v>20111</v>
      </c>
      <c r="L479" s="71"/>
      <c r="M479" s="72"/>
      <c r="N479" s="72"/>
      <c r="O479" s="73"/>
      <c r="P479" s="74"/>
      <c r="Q479" s="74"/>
      <c r="R479" s="87"/>
      <c r="S479" s="87"/>
      <c r="T479" s="87"/>
      <c r="U479" s="87"/>
      <c r="V479" s="48"/>
      <c r="W479" s="48"/>
      <c r="X479" s="47">
        <v>1.101E-3</v>
      </c>
      <c r="Y479" s="48"/>
      <c r="Z479" s="47"/>
      <c r="AA479" s="69">
        <v>479</v>
      </c>
      <c r="AB479" s="69"/>
      <c r="AC479" s="70"/>
      <c r="AD479" s="76" t="s">
        <v>17112</v>
      </c>
      <c r="AE479" s="81" t="s">
        <v>16376</v>
      </c>
      <c r="AF479" s="76">
        <v>5</v>
      </c>
      <c r="AG479" s="76">
        <v>2</v>
      </c>
      <c r="AH479" s="76">
        <v>19</v>
      </c>
      <c r="AI479" s="76">
        <v>0</v>
      </c>
      <c r="AJ479" s="76">
        <v>0</v>
      </c>
      <c r="AK479" s="76">
        <v>19</v>
      </c>
      <c r="AL479" s="76" t="b">
        <v>0</v>
      </c>
      <c r="AM479" s="78">
        <v>45077.663935185185</v>
      </c>
      <c r="AN479" s="76"/>
      <c r="AO479" s="76"/>
      <c r="AP479" s="76"/>
      <c r="AQ479" s="76"/>
      <c r="AR479" s="76"/>
      <c r="AS479" s="76"/>
      <c r="AT479" s="76"/>
      <c r="AU479" s="76"/>
      <c r="AV479" s="76"/>
      <c r="AW479" s="76"/>
      <c r="AX479" s="76" t="b">
        <v>0</v>
      </c>
      <c r="AY479" s="76"/>
      <c r="AZ479" s="76"/>
      <c r="BA479" s="76" t="b">
        <v>0</v>
      </c>
      <c r="BB479" s="76" t="b">
        <v>1</v>
      </c>
      <c r="BC479" s="76" t="b">
        <v>1</v>
      </c>
      <c r="BD479" s="76" t="b">
        <v>0</v>
      </c>
      <c r="BE479" s="76" t="b">
        <v>0</v>
      </c>
      <c r="BF479" s="76" t="b">
        <v>0</v>
      </c>
      <c r="BG479" s="76" t="b">
        <v>0</v>
      </c>
      <c r="BH479" s="76"/>
      <c r="BI479" s="76"/>
      <c r="BJ479" s="76" t="s">
        <v>19633</v>
      </c>
      <c r="BK479" s="76" t="b">
        <v>0</v>
      </c>
      <c r="BL479" s="76"/>
      <c r="BM479" s="76" t="s">
        <v>66</v>
      </c>
      <c r="BN479" s="76" t="s">
        <v>19635</v>
      </c>
      <c r="BO479" s="83" t="str">
        <f>HYPERLINK("https://twitter.com/infogainbrazil")</f>
        <v>https://twitter.com/infogainbrazil</v>
      </c>
      <c r="BP479" s="2"/>
    </row>
    <row r="480" spans="1:68" x14ac:dyDescent="0.25">
      <c r="A480" s="62" t="s">
        <v>646</v>
      </c>
      <c r="B480" s="63"/>
      <c r="C480" s="63"/>
      <c r="D480" s="64"/>
      <c r="E480" s="66"/>
      <c r="F480" s="103" t="str">
        <f>HYPERLINK("https://pbs.twimg.com/profile_images/1247602112495792130/27Bt4BKe_normal.jpg")</f>
        <v>https://pbs.twimg.com/profile_images/1247602112495792130/27Bt4BKe_normal.jpg</v>
      </c>
      <c r="G480" s="63"/>
      <c r="H480" s="67"/>
      <c r="I480" s="68"/>
      <c r="J480" s="68"/>
      <c r="K480" s="67" t="s">
        <v>20112</v>
      </c>
      <c r="L480" s="71"/>
      <c r="M480" s="72"/>
      <c r="N480" s="72"/>
      <c r="O480" s="73"/>
      <c r="P480" s="74"/>
      <c r="Q480" s="74"/>
      <c r="R480" s="87"/>
      <c r="S480" s="87"/>
      <c r="T480" s="87"/>
      <c r="U480" s="87"/>
      <c r="V480" s="48"/>
      <c r="W480" s="48"/>
      <c r="X480" s="47">
        <v>1.101E-3</v>
      </c>
      <c r="Y480" s="48"/>
      <c r="Z480" s="47"/>
      <c r="AA480" s="69">
        <v>480</v>
      </c>
      <c r="AB480" s="69"/>
      <c r="AC480" s="70"/>
      <c r="AD480" s="76" t="s">
        <v>17113</v>
      </c>
      <c r="AE480" s="81" t="s">
        <v>16377</v>
      </c>
      <c r="AF480" s="76">
        <v>8</v>
      </c>
      <c r="AG480" s="76">
        <v>7</v>
      </c>
      <c r="AH480" s="76">
        <v>1446</v>
      </c>
      <c r="AI480" s="76">
        <v>0</v>
      </c>
      <c r="AJ480" s="76">
        <v>2</v>
      </c>
      <c r="AK480" s="76">
        <v>1414</v>
      </c>
      <c r="AL480" s="76" t="b">
        <v>0</v>
      </c>
      <c r="AM480" s="78">
        <v>43928.795590277776</v>
      </c>
      <c r="AN480" s="76" t="s">
        <v>10570</v>
      </c>
      <c r="AO480" s="76" t="s">
        <v>18581</v>
      </c>
      <c r="AP480" s="83" t="str">
        <f>HYPERLINK("https://t.co/L6zr9dwc0L")</f>
        <v>https://t.co/L6zr9dwc0L</v>
      </c>
      <c r="AQ480" s="83" t="str">
        <f>HYPERLINK("http://www.menezescontabilidade.com.br")</f>
        <v>http://www.menezescontabilidade.com.br</v>
      </c>
      <c r="AR480" s="76" t="s">
        <v>19276</v>
      </c>
      <c r="AS480" s="76"/>
      <c r="AT480" s="76"/>
      <c r="AU480" s="76"/>
      <c r="AV480" s="76"/>
      <c r="AW480" s="83" t="str">
        <f>HYPERLINK("https://t.co/L6zr9dwc0L")</f>
        <v>https://t.co/L6zr9dwc0L</v>
      </c>
      <c r="AX480" s="76" t="b">
        <v>0</v>
      </c>
      <c r="AY480" s="76"/>
      <c r="AZ480" s="76"/>
      <c r="BA480" s="76" t="b">
        <v>0</v>
      </c>
      <c r="BB480" s="76" t="b">
        <v>1</v>
      </c>
      <c r="BC480" s="76" t="b">
        <v>1</v>
      </c>
      <c r="BD480" s="76" t="b">
        <v>0</v>
      </c>
      <c r="BE480" s="76" t="b">
        <v>0</v>
      </c>
      <c r="BF480" s="76" t="b">
        <v>0</v>
      </c>
      <c r="BG480" s="76" t="b">
        <v>0</v>
      </c>
      <c r="BH480" s="83" t="str">
        <f>HYPERLINK("https://pbs.twimg.com/profile_banners/1247601255259820039/1598223755")</f>
        <v>https://pbs.twimg.com/profile_banners/1247601255259820039/1598223755</v>
      </c>
      <c r="BI480" s="76"/>
      <c r="BJ480" s="76" t="s">
        <v>19633</v>
      </c>
      <c r="BK480" s="76" t="b">
        <v>0</v>
      </c>
      <c r="BL480" s="76"/>
      <c r="BM480" s="76" t="s">
        <v>66</v>
      </c>
      <c r="BN480" s="76" t="s">
        <v>19635</v>
      </c>
      <c r="BO480" s="83" t="str">
        <f>HYPERLINK("https://twitter.com/francelmc")</f>
        <v>https://twitter.com/francelmc</v>
      </c>
      <c r="BP480" s="2"/>
    </row>
    <row r="481" spans="1:68" x14ac:dyDescent="0.25">
      <c r="A481" s="62" t="s">
        <v>647</v>
      </c>
      <c r="B481" s="63"/>
      <c r="C481" s="63"/>
      <c r="D481" s="64"/>
      <c r="E481" s="66"/>
      <c r="F481" s="103" t="str">
        <f>HYPERLINK("https://pbs.twimg.com/profile_images/1688086567573651456/EUaqZoN3_normal.jpg")</f>
        <v>https://pbs.twimg.com/profile_images/1688086567573651456/EUaqZoN3_normal.jpg</v>
      </c>
      <c r="G481" s="63"/>
      <c r="H481" s="67"/>
      <c r="I481" s="68"/>
      <c r="J481" s="68"/>
      <c r="K481" s="67" t="s">
        <v>20113</v>
      </c>
      <c r="L481" s="71"/>
      <c r="M481" s="72"/>
      <c r="N481" s="72"/>
      <c r="O481" s="73"/>
      <c r="P481" s="74"/>
      <c r="Q481" s="74"/>
      <c r="R481" s="87"/>
      <c r="S481" s="87"/>
      <c r="T481" s="87"/>
      <c r="U481" s="87"/>
      <c r="V481" s="48"/>
      <c r="W481" s="48"/>
      <c r="X481" s="47">
        <v>1.101E-3</v>
      </c>
      <c r="Y481" s="48"/>
      <c r="Z481" s="47"/>
      <c r="AA481" s="69">
        <v>481</v>
      </c>
      <c r="AB481" s="69"/>
      <c r="AC481" s="70"/>
      <c r="AD481" s="76" t="s">
        <v>17114</v>
      </c>
      <c r="AE481" s="81" t="s">
        <v>16378</v>
      </c>
      <c r="AF481" s="76">
        <v>0</v>
      </c>
      <c r="AG481" s="76">
        <v>3</v>
      </c>
      <c r="AH481" s="76">
        <v>78</v>
      </c>
      <c r="AI481" s="76">
        <v>0</v>
      </c>
      <c r="AJ481" s="76">
        <v>1</v>
      </c>
      <c r="AK481" s="76">
        <v>37</v>
      </c>
      <c r="AL481" s="76" t="b">
        <v>0</v>
      </c>
      <c r="AM481" s="78">
        <v>45137.945254629631</v>
      </c>
      <c r="AN481" s="76"/>
      <c r="AO481" s="76" t="s">
        <v>18582</v>
      </c>
      <c r="AP481" s="83" t="str">
        <f>HYPERLINK("https://t.co/ZDkb1PWpUI")</f>
        <v>https://t.co/ZDkb1PWpUI</v>
      </c>
      <c r="AQ481" s="83" t="str">
        <f>HYPERLINK("https://bio.site/universidadeblackrat")</f>
        <v>https://bio.site/universidadeblackrat</v>
      </c>
      <c r="AR481" s="76" t="s">
        <v>19277</v>
      </c>
      <c r="AS481" s="76"/>
      <c r="AT481" s="76"/>
      <c r="AU481" s="76"/>
      <c r="AV481" s="76">
        <v>1.68823103258621E+18</v>
      </c>
      <c r="AW481" s="83" t="str">
        <f>HYPERLINK("https://t.co/ZDkb1PWpUI")</f>
        <v>https://t.co/ZDkb1PWpUI</v>
      </c>
      <c r="AX481" s="76" t="b">
        <v>0</v>
      </c>
      <c r="AY481" s="76"/>
      <c r="AZ481" s="76"/>
      <c r="BA481" s="76" t="b">
        <v>0</v>
      </c>
      <c r="BB481" s="76" t="b">
        <v>1</v>
      </c>
      <c r="BC481" s="76" t="b">
        <v>1</v>
      </c>
      <c r="BD481" s="76" t="b">
        <v>0</v>
      </c>
      <c r="BE481" s="76" t="b">
        <v>0</v>
      </c>
      <c r="BF481" s="76" t="b">
        <v>0</v>
      </c>
      <c r="BG481" s="76" t="b">
        <v>0</v>
      </c>
      <c r="BH481" s="83" t="str">
        <f>HYPERLINK("https://pbs.twimg.com/profile_banners/1685782535668678657/1690771092")</f>
        <v>https://pbs.twimg.com/profile_banners/1685782535668678657/1690771092</v>
      </c>
      <c r="BI481" s="76"/>
      <c r="BJ481" s="76" t="s">
        <v>19633</v>
      </c>
      <c r="BK481" s="76" t="b">
        <v>0</v>
      </c>
      <c r="BL481" s="76"/>
      <c r="BM481" s="76" t="s">
        <v>66</v>
      </c>
      <c r="BN481" s="76" t="s">
        <v>19635</v>
      </c>
      <c r="BO481" s="83" t="str">
        <f>HYPERLINK("https://twitter.com/universidaderat")</f>
        <v>https://twitter.com/universidaderat</v>
      </c>
      <c r="BP481" s="2"/>
    </row>
    <row r="482" spans="1:68" x14ac:dyDescent="0.25">
      <c r="A482" s="62" t="s">
        <v>648</v>
      </c>
      <c r="B482" s="63"/>
      <c r="C482" s="63"/>
      <c r="D482" s="64"/>
      <c r="E482" s="66"/>
      <c r="F482" s="103" t="str">
        <f>HYPERLINK("https://pbs.twimg.com/profile_images/1619510813118631936/S-HrIvw-_normal.jpg")</f>
        <v>https://pbs.twimg.com/profile_images/1619510813118631936/S-HrIvw-_normal.jpg</v>
      </c>
      <c r="G482" s="63"/>
      <c r="H482" s="67"/>
      <c r="I482" s="68"/>
      <c r="J482" s="68"/>
      <c r="K482" s="67" t="s">
        <v>20114</v>
      </c>
      <c r="L482" s="71"/>
      <c r="M482" s="72"/>
      <c r="N482" s="72"/>
      <c r="O482" s="73"/>
      <c r="P482" s="74"/>
      <c r="Q482" s="74"/>
      <c r="R482" s="87"/>
      <c r="S482" s="87"/>
      <c r="T482" s="87"/>
      <c r="U482" s="87"/>
      <c r="V482" s="48"/>
      <c r="W482" s="48"/>
      <c r="X482" s="47">
        <v>1.101E-3</v>
      </c>
      <c r="Y482" s="48"/>
      <c r="Z482" s="47"/>
      <c r="AA482" s="69">
        <v>482</v>
      </c>
      <c r="AB482" s="69"/>
      <c r="AC482" s="70"/>
      <c r="AD482" s="76" t="s">
        <v>17115</v>
      </c>
      <c r="AE482" s="81" t="s">
        <v>15742</v>
      </c>
      <c r="AF482" s="76">
        <v>144</v>
      </c>
      <c r="AG482" s="76">
        <v>92</v>
      </c>
      <c r="AH482" s="76">
        <v>1200</v>
      </c>
      <c r="AI482" s="76">
        <v>1</v>
      </c>
      <c r="AJ482" s="76">
        <v>1371</v>
      </c>
      <c r="AK482" s="76">
        <v>145</v>
      </c>
      <c r="AL482" s="76" t="b">
        <v>0</v>
      </c>
      <c r="AM482" s="78">
        <v>43143.325370370374</v>
      </c>
      <c r="AN482" s="76" t="s">
        <v>10561</v>
      </c>
      <c r="AO482" s="76" t="s">
        <v>18583</v>
      </c>
      <c r="AP482" s="83" t="str">
        <f>HYPERLINK("https://t.co/oSXQ4T5KUQ")</f>
        <v>https://t.co/oSXQ4T5KUQ</v>
      </c>
      <c r="AQ482" s="83" t="str">
        <f>HYPERLINK("https://umblogqualquer.com.br/index.php/category/podcasts/um-papo-qualquer/")</f>
        <v>https://umblogqualquer.com.br/index.php/category/podcasts/um-papo-qualquer/</v>
      </c>
      <c r="AR482" s="76" t="s">
        <v>19278</v>
      </c>
      <c r="AS482" s="76"/>
      <c r="AT482" s="76"/>
      <c r="AU482" s="76"/>
      <c r="AV482" s="76">
        <v>1.6107107575279401E+18</v>
      </c>
      <c r="AW482" s="83" t="str">
        <f>HYPERLINK("https://t.co/oSXQ4T5KUQ")</f>
        <v>https://t.co/oSXQ4T5KUQ</v>
      </c>
      <c r="AX482" s="76" t="b">
        <v>0</v>
      </c>
      <c r="AY482" s="76"/>
      <c r="AZ482" s="76"/>
      <c r="BA482" s="76" t="b">
        <v>0</v>
      </c>
      <c r="BB482" s="76" t="b">
        <v>1</v>
      </c>
      <c r="BC482" s="76" t="b">
        <v>0</v>
      </c>
      <c r="BD482" s="76" t="b">
        <v>0</v>
      </c>
      <c r="BE482" s="76" t="b">
        <v>0</v>
      </c>
      <c r="BF482" s="76" t="b">
        <v>0</v>
      </c>
      <c r="BG482" s="76" t="b">
        <v>0</v>
      </c>
      <c r="BH482" s="83" t="str">
        <f>HYPERLINK("https://pbs.twimg.com/profile_banners/962956571461419008/1641174198")</f>
        <v>https://pbs.twimg.com/profile_banners/962956571461419008/1641174198</v>
      </c>
      <c r="BI482" s="76"/>
      <c r="BJ482" s="76" t="s">
        <v>19633</v>
      </c>
      <c r="BK482" s="76" t="b">
        <v>0</v>
      </c>
      <c r="BL482" s="76"/>
      <c r="BM482" s="76" t="s">
        <v>66</v>
      </c>
      <c r="BN482" s="76" t="s">
        <v>19635</v>
      </c>
      <c r="BO482" s="83" t="str">
        <f>HYPERLINK("https://twitter.com/umpapoqualquer")</f>
        <v>https://twitter.com/umpapoqualquer</v>
      </c>
      <c r="BP482" s="2"/>
    </row>
    <row r="483" spans="1:68" x14ac:dyDescent="0.25">
      <c r="A483" s="62" t="s">
        <v>649</v>
      </c>
      <c r="B483" s="63"/>
      <c r="C483" s="63"/>
      <c r="D483" s="64"/>
      <c r="E483" s="66"/>
      <c r="F483" s="103" t="str">
        <f>HYPERLINK("https://pbs.twimg.com/profile_images/1557752411627962369/kgSgdLnN_normal.jpg")</f>
        <v>https://pbs.twimg.com/profile_images/1557752411627962369/kgSgdLnN_normal.jpg</v>
      </c>
      <c r="G483" s="63"/>
      <c r="H483" s="67"/>
      <c r="I483" s="68"/>
      <c r="J483" s="68"/>
      <c r="K483" s="67" t="s">
        <v>20115</v>
      </c>
      <c r="L483" s="71"/>
      <c r="M483" s="72"/>
      <c r="N483" s="72"/>
      <c r="O483" s="73"/>
      <c r="P483" s="74"/>
      <c r="Q483" s="74"/>
      <c r="R483" s="87"/>
      <c r="S483" s="87"/>
      <c r="T483" s="87"/>
      <c r="U483" s="87"/>
      <c r="V483" s="48"/>
      <c r="W483" s="48"/>
      <c r="X483" s="47">
        <v>1.101E-3</v>
      </c>
      <c r="Y483" s="48"/>
      <c r="Z483" s="47"/>
      <c r="AA483" s="69">
        <v>483</v>
      </c>
      <c r="AB483" s="69"/>
      <c r="AC483" s="70"/>
      <c r="AD483" s="76" t="s">
        <v>17116</v>
      </c>
      <c r="AE483" s="81" t="s">
        <v>16379</v>
      </c>
      <c r="AF483" s="76">
        <v>0</v>
      </c>
      <c r="AG483" s="76">
        <v>1</v>
      </c>
      <c r="AH483" s="76">
        <v>94</v>
      </c>
      <c r="AI483" s="76">
        <v>0</v>
      </c>
      <c r="AJ483" s="76">
        <v>0</v>
      </c>
      <c r="AK483" s="76">
        <v>94</v>
      </c>
      <c r="AL483" s="76" t="b">
        <v>0</v>
      </c>
      <c r="AM483" s="78">
        <v>44687.725775462961</v>
      </c>
      <c r="AN483" s="76"/>
      <c r="AO483" s="76"/>
      <c r="AP483" s="83" t="str">
        <f>HYPERLINK("https://t.co/GpUaXLU4YP")</f>
        <v>https://t.co/GpUaXLU4YP</v>
      </c>
      <c r="AQ483" s="83" t="str">
        <f>HYPERLINK("http://www.geracaolider.com.br")</f>
        <v>http://www.geracaolider.com.br</v>
      </c>
      <c r="AR483" s="76" t="s">
        <v>19279</v>
      </c>
      <c r="AS483" s="76"/>
      <c r="AT483" s="76"/>
      <c r="AU483" s="76"/>
      <c r="AV483" s="76"/>
      <c r="AW483" s="83" t="str">
        <f>HYPERLINK("https://t.co/GpUaXLU4YP")</f>
        <v>https://t.co/GpUaXLU4YP</v>
      </c>
      <c r="AX483" s="76" t="b">
        <v>0</v>
      </c>
      <c r="AY483" s="76"/>
      <c r="AZ483" s="76"/>
      <c r="BA483" s="76" t="b">
        <v>0</v>
      </c>
      <c r="BB483" s="76" t="b">
        <v>1</v>
      </c>
      <c r="BC483" s="76" t="b">
        <v>1</v>
      </c>
      <c r="BD483" s="76" t="b">
        <v>0</v>
      </c>
      <c r="BE483" s="76" t="b">
        <v>0</v>
      </c>
      <c r="BF483" s="76" t="b">
        <v>0</v>
      </c>
      <c r="BG483" s="76" t="b">
        <v>0</v>
      </c>
      <c r="BH483" s="83" t="str">
        <f>HYPERLINK("https://pbs.twimg.com/profile_banners/1522628480286011395/1670350589")</f>
        <v>https://pbs.twimg.com/profile_banners/1522628480286011395/1670350589</v>
      </c>
      <c r="BI483" s="76"/>
      <c r="BJ483" s="76" t="s">
        <v>19633</v>
      </c>
      <c r="BK483" s="76" t="b">
        <v>0</v>
      </c>
      <c r="BL483" s="76"/>
      <c r="BM483" s="76" t="s">
        <v>66</v>
      </c>
      <c r="BN483" s="76" t="s">
        <v>19635</v>
      </c>
      <c r="BO483" s="83" t="str">
        <f>HYPERLINK("https://twitter.com/geracao_lider")</f>
        <v>https://twitter.com/geracao_lider</v>
      </c>
      <c r="BP483" s="2"/>
    </row>
    <row r="484" spans="1:68" x14ac:dyDescent="0.25">
      <c r="A484" s="62" t="s">
        <v>650</v>
      </c>
      <c r="B484" s="63"/>
      <c r="C484" s="63"/>
      <c r="D484" s="64"/>
      <c r="E484" s="66"/>
      <c r="F484" s="103" t="str">
        <f>HYPERLINK("https://pbs.twimg.com/profile_images/1376936102662135808/izhjeRLI_normal.jpg")</f>
        <v>https://pbs.twimg.com/profile_images/1376936102662135808/izhjeRLI_normal.jpg</v>
      </c>
      <c r="G484" s="63"/>
      <c r="H484" s="67"/>
      <c r="I484" s="68"/>
      <c r="J484" s="68"/>
      <c r="K484" s="67" t="s">
        <v>20116</v>
      </c>
      <c r="L484" s="71"/>
      <c r="M484" s="72"/>
      <c r="N484" s="72"/>
      <c r="O484" s="73"/>
      <c r="P484" s="74"/>
      <c r="Q484" s="74"/>
      <c r="R484" s="87"/>
      <c r="S484" s="87"/>
      <c r="T484" s="87"/>
      <c r="U484" s="87"/>
      <c r="V484" s="48"/>
      <c r="W484" s="48"/>
      <c r="X484" s="47">
        <v>1.101E-3</v>
      </c>
      <c r="Y484" s="48"/>
      <c r="Z484" s="47"/>
      <c r="AA484" s="69">
        <v>484</v>
      </c>
      <c r="AB484" s="69"/>
      <c r="AC484" s="70"/>
      <c r="AD484" s="76" t="s">
        <v>17117</v>
      </c>
      <c r="AE484" s="81" t="s">
        <v>17694</v>
      </c>
      <c r="AF484" s="76">
        <v>1724</v>
      </c>
      <c r="AG484" s="76">
        <v>1809</v>
      </c>
      <c r="AH484" s="76">
        <v>3359</v>
      </c>
      <c r="AI484" s="76">
        <v>51</v>
      </c>
      <c r="AJ484" s="76">
        <v>32</v>
      </c>
      <c r="AK484" s="76">
        <v>1039</v>
      </c>
      <c r="AL484" s="76" t="b">
        <v>0</v>
      </c>
      <c r="AM484" s="78">
        <v>39943.593113425923</v>
      </c>
      <c r="AN484" s="76" t="s">
        <v>10622</v>
      </c>
      <c r="AO484" s="76" t="s">
        <v>18584</v>
      </c>
      <c r="AP484" s="83" t="str">
        <f>HYPERLINK("https://t.co/DU54bvljZC")</f>
        <v>https://t.co/DU54bvljZC</v>
      </c>
      <c r="AQ484" s="83" t="str">
        <f>HYPERLINK("https://fellipelli.com.br/")</f>
        <v>https://fellipelli.com.br/</v>
      </c>
      <c r="AR484" s="76" t="s">
        <v>19280</v>
      </c>
      <c r="AS484" s="76"/>
      <c r="AT484" s="76"/>
      <c r="AU484" s="76"/>
      <c r="AV484" s="76"/>
      <c r="AW484" s="83" t="str">
        <f>HYPERLINK("https://t.co/DU54bvljZC")</f>
        <v>https://t.co/DU54bvljZC</v>
      </c>
      <c r="AX484" s="76" t="b">
        <v>0</v>
      </c>
      <c r="AY484" s="76"/>
      <c r="AZ484" s="76"/>
      <c r="BA484" s="76" t="b">
        <v>0</v>
      </c>
      <c r="BB484" s="76" t="b">
        <v>1</v>
      </c>
      <c r="BC484" s="76" t="b">
        <v>0</v>
      </c>
      <c r="BD484" s="76" t="b">
        <v>0</v>
      </c>
      <c r="BE484" s="76" t="b">
        <v>0</v>
      </c>
      <c r="BF484" s="76" t="b">
        <v>0</v>
      </c>
      <c r="BG484" s="76" t="b">
        <v>0</v>
      </c>
      <c r="BH484" s="83" t="str">
        <f>HYPERLINK("https://pbs.twimg.com/profile_banners/39051490/1633650730")</f>
        <v>https://pbs.twimg.com/profile_banners/39051490/1633650730</v>
      </c>
      <c r="BI484" s="76"/>
      <c r="BJ484" s="76" t="s">
        <v>19633</v>
      </c>
      <c r="BK484" s="76" t="b">
        <v>0</v>
      </c>
      <c r="BL484" s="76"/>
      <c r="BM484" s="76" t="s">
        <v>66</v>
      </c>
      <c r="BN484" s="76" t="s">
        <v>19635</v>
      </c>
      <c r="BO484" s="83" t="str">
        <f>HYPERLINK("https://twitter.com/fellipelli")</f>
        <v>https://twitter.com/fellipelli</v>
      </c>
      <c r="BP484" s="2"/>
    </row>
    <row r="485" spans="1:68" x14ac:dyDescent="0.25">
      <c r="A485" s="62" t="s">
        <v>651</v>
      </c>
      <c r="B485" s="63"/>
      <c r="C485" s="63"/>
      <c r="D485" s="64"/>
      <c r="E485" s="66"/>
      <c r="F485" s="103" t="str">
        <f>HYPERLINK("https://pbs.twimg.com/profile_images/1696001324549091328/KrJpN14R_normal.jpg")</f>
        <v>https://pbs.twimg.com/profile_images/1696001324549091328/KrJpN14R_normal.jpg</v>
      </c>
      <c r="G485" s="63"/>
      <c r="H485" s="67"/>
      <c r="I485" s="68"/>
      <c r="J485" s="68"/>
      <c r="K485" s="67" t="s">
        <v>20117</v>
      </c>
      <c r="L485" s="71"/>
      <c r="M485" s="72"/>
      <c r="N485" s="72"/>
      <c r="O485" s="73"/>
      <c r="P485" s="74"/>
      <c r="Q485" s="74"/>
      <c r="R485" s="87"/>
      <c r="S485" s="87"/>
      <c r="T485" s="87"/>
      <c r="U485" s="87"/>
      <c r="V485" s="48"/>
      <c r="W485" s="48"/>
      <c r="X485" s="47">
        <v>1.101E-3</v>
      </c>
      <c r="Y485" s="48"/>
      <c r="Z485" s="47"/>
      <c r="AA485" s="69">
        <v>485</v>
      </c>
      <c r="AB485" s="69"/>
      <c r="AC485" s="70"/>
      <c r="AD485" s="76" t="s">
        <v>17118</v>
      </c>
      <c r="AE485" s="81" t="s">
        <v>17695</v>
      </c>
      <c r="AF485" s="76">
        <v>173</v>
      </c>
      <c r="AG485" s="76">
        <v>213</v>
      </c>
      <c r="AH485" s="76">
        <v>2528</v>
      </c>
      <c r="AI485" s="76">
        <v>3</v>
      </c>
      <c r="AJ485" s="76">
        <v>54</v>
      </c>
      <c r="AK485" s="76">
        <v>68</v>
      </c>
      <c r="AL485" s="76" t="b">
        <v>0</v>
      </c>
      <c r="AM485" s="78">
        <v>39939.158391203702</v>
      </c>
      <c r="AN485" s="76"/>
      <c r="AO485" s="76" t="s">
        <v>18585</v>
      </c>
      <c r="AP485" s="76"/>
      <c r="AQ485" s="76"/>
      <c r="AR485" s="76"/>
      <c r="AS485" s="76"/>
      <c r="AT485" s="76"/>
      <c r="AU485" s="76"/>
      <c r="AV485" s="76"/>
      <c r="AW485" s="76"/>
      <c r="AX485" s="76" t="b">
        <v>0</v>
      </c>
      <c r="AY485" s="76"/>
      <c r="AZ485" s="76"/>
      <c r="BA485" s="76" t="b">
        <v>1</v>
      </c>
      <c r="BB485" s="76" t="b">
        <v>1</v>
      </c>
      <c r="BC485" s="76" t="b">
        <v>0</v>
      </c>
      <c r="BD485" s="76" t="b">
        <v>0</v>
      </c>
      <c r="BE485" s="76" t="b">
        <v>0</v>
      </c>
      <c r="BF485" s="76" t="b">
        <v>0</v>
      </c>
      <c r="BG485" s="76" t="b">
        <v>0</v>
      </c>
      <c r="BH485" s="76"/>
      <c r="BI485" s="76"/>
      <c r="BJ485" s="76" t="s">
        <v>19633</v>
      </c>
      <c r="BK485" s="76" t="b">
        <v>0</v>
      </c>
      <c r="BL485" s="76"/>
      <c r="BM485" s="76" t="s">
        <v>66</v>
      </c>
      <c r="BN485" s="76" t="s">
        <v>19635</v>
      </c>
      <c r="BO485" s="83" t="str">
        <f>HYPERLINK("https://twitter.com/josuesilva")</f>
        <v>https://twitter.com/josuesilva</v>
      </c>
      <c r="BP485" s="2"/>
    </row>
    <row r="486" spans="1:68" x14ac:dyDescent="0.25">
      <c r="A486" s="62" t="s">
        <v>652</v>
      </c>
      <c r="B486" s="63"/>
      <c r="C486" s="63"/>
      <c r="D486" s="64"/>
      <c r="E486" s="66"/>
      <c r="F486" s="103" t="str">
        <f>HYPERLINK("https://pbs.twimg.com/profile_images/1595427363713650689/rEcoLsTW_normal.jpg")</f>
        <v>https://pbs.twimg.com/profile_images/1595427363713650689/rEcoLsTW_normal.jpg</v>
      </c>
      <c r="G486" s="63"/>
      <c r="H486" s="67"/>
      <c r="I486" s="68"/>
      <c r="J486" s="68"/>
      <c r="K486" s="67" t="s">
        <v>20118</v>
      </c>
      <c r="L486" s="71"/>
      <c r="M486" s="72"/>
      <c r="N486" s="72"/>
      <c r="O486" s="73"/>
      <c r="P486" s="74"/>
      <c r="Q486" s="74"/>
      <c r="R486" s="87"/>
      <c r="S486" s="87"/>
      <c r="T486" s="87"/>
      <c r="U486" s="87"/>
      <c r="V486" s="48"/>
      <c r="W486" s="48"/>
      <c r="X486" s="47">
        <v>9.6500000000000004E-4</v>
      </c>
      <c r="Y486" s="48"/>
      <c r="Z486" s="47"/>
      <c r="AA486" s="69">
        <v>486</v>
      </c>
      <c r="AB486" s="69"/>
      <c r="AC486" s="70"/>
      <c r="AD486" s="76" t="s">
        <v>17119</v>
      </c>
      <c r="AE486" s="81" t="s">
        <v>16380</v>
      </c>
      <c r="AF486" s="76">
        <v>23</v>
      </c>
      <c r="AG486" s="76">
        <v>171</v>
      </c>
      <c r="AH486" s="76">
        <v>5166</v>
      </c>
      <c r="AI486" s="76">
        <v>0</v>
      </c>
      <c r="AJ486" s="76">
        <v>1471</v>
      </c>
      <c r="AK486" s="76">
        <v>147</v>
      </c>
      <c r="AL486" s="76" t="b">
        <v>0</v>
      </c>
      <c r="AM486" s="78">
        <v>44888.612256944441</v>
      </c>
      <c r="AN486" s="76"/>
      <c r="AO486" s="76"/>
      <c r="AP486" s="76"/>
      <c r="AQ486" s="76"/>
      <c r="AR486" s="76"/>
      <c r="AS486" s="76"/>
      <c r="AT486" s="76"/>
      <c r="AU486" s="76"/>
      <c r="AV486" s="76"/>
      <c r="AW486" s="76"/>
      <c r="AX486" s="76" t="b">
        <v>0</v>
      </c>
      <c r="AY486" s="76"/>
      <c r="AZ486" s="76"/>
      <c r="BA486" s="76" t="b">
        <v>0</v>
      </c>
      <c r="BB486" s="76" t="b">
        <v>1</v>
      </c>
      <c r="BC486" s="76" t="b">
        <v>1</v>
      </c>
      <c r="BD486" s="76" t="b">
        <v>0</v>
      </c>
      <c r="BE486" s="76" t="b">
        <v>0</v>
      </c>
      <c r="BF486" s="76" t="b">
        <v>0</v>
      </c>
      <c r="BG486" s="76" t="b">
        <v>0</v>
      </c>
      <c r="BH486" s="76"/>
      <c r="BI486" s="76"/>
      <c r="BJ486" s="76" t="s">
        <v>19633</v>
      </c>
      <c r="BK486" s="76" t="b">
        <v>0</v>
      </c>
      <c r="BL486" s="76"/>
      <c r="BM486" s="76" t="s">
        <v>66</v>
      </c>
      <c r="BN486" s="76" t="s">
        <v>19635</v>
      </c>
      <c r="BO486" s="83" t="str">
        <f>HYPERLINK("https://twitter.com/radunz_carlos")</f>
        <v>https://twitter.com/radunz_carlos</v>
      </c>
      <c r="BP486" s="2"/>
    </row>
    <row r="487" spans="1:68" x14ac:dyDescent="0.25">
      <c r="A487" s="62" t="s">
        <v>653</v>
      </c>
      <c r="B487" s="63"/>
      <c r="C487" s="63"/>
      <c r="D487" s="64"/>
      <c r="E487" s="66"/>
      <c r="F487" s="103" t="str">
        <f>HYPERLINK("https://pbs.twimg.com/profile_images/1647612059444453381/YzD34cPk_normal.jpg")</f>
        <v>https://pbs.twimg.com/profile_images/1647612059444453381/YzD34cPk_normal.jpg</v>
      </c>
      <c r="G487" s="63"/>
      <c r="H487" s="67"/>
      <c r="I487" s="68"/>
      <c r="J487" s="68"/>
      <c r="K487" s="67" t="s">
        <v>20119</v>
      </c>
      <c r="L487" s="71"/>
      <c r="M487" s="72"/>
      <c r="N487" s="72"/>
      <c r="O487" s="73"/>
      <c r="P487" s="74"/>
      <c r="Q487" s="74"/>
      <c r="R487" s="87"/>
      <c r="S487" s="87"/>
      <c r="T487" s="87"/>
      <c r="U487" s="87"/>
      <c r="V487" s="48"/>
      <c r="W487" s="48"/>
      <c r="X487" s="47">
        <v>1.302E-3</v>
      </c>
      <c r="Y487" s="48"/>
      <c r="Z487" s="47"/>
      <c r="AA487" s="69">
        <v>487</v>
      </c>
      <c r="AB487" s="69"/>
      <c r="AC487" s="70"/>
      <c r="AD487" s="76" t="s">
        <v>17120</v>
      </c>
      <c r="AE487" s="81" t="s">
        <v>16381</v>
      </c>
      <c r="AF487" s="76">
        <v>15</v>
      </c>
      <c r="AG487" s="76">
        <v>70</v>
      </c>
      <c r="AH487" s="76">
        <v>68</v>
      </c>
      <c r="AI487" s="76">
        <v>0</v>
      </c>
      <c r="AJ487" s="76">
        <v>1</v>
      </c>
      <c r="AK487" s="76">
        <v>60</v>
      </c>
      <c r="AL487" s="76" t="b">
        <v>0</v>
      </c>
      <c r="AM487" s="78">
        <v>45032.551678240743</v>
      </c>
      <c r="AN487" s="76" t="s">
        <v>18022</v>
      </c>
      <c r="AO487" s="76" t="s">
        <v>18586</v>
      </c>
      <c r="AP487" s="83" t="str">
        <f>HYPERLINK("https://t.co/NUPiIvB864")</f>
        <v>https://t.co/NUPiIvB864</v>
      </c>
      <c r="AQ487" s="83" t="str">
        <f>HYPERLINK("http://linkme.bio/niiw.app")</f>
        <v>http://linkme.bio/niiw.app</v>
      </c>
      <c r="AR487" s="76" t="s">
        <v>19281</v>
      </c>
      <c r="AS487" s="76"/>
      <c r="AT487" s="76"/>
      <c r="AU487" s="76"/>
      <c r="AV487" s="76"/>
      <c r="AW487" s="83" t="str">
        <f>HYPERLINK("https://t.co/NUPiIvB864")</f>
        <v>https://t.co/NUPiIvB864</v>
      </c>
      <c r="AX487" s="76" t="b">
        <v>0</v>
      </c>
      <c r="AY487" s="76"/>
      <c r="AZ487" s="76"/>
      <c r="BA487" s="76" t="b">
        <v>0</v>
      </c>
      <c r="BB487" s="76" t="b">
        <v>1</v>
      </c>
      <c r="BC487" s="76" t="b">
        <v>1</v>
      </c>
      <c r="BD487" s="76" t="b">
        <v>0</v>
      </c>
      <c r="BE487" s="76" t="b">
        <v>0</v>
      </c>
      <c r="BF487" s="76" t="b">
        <v>0</v>
      </c>
      <c r="BG487" s="76" t="b">
        <v>0</v>
      </c>
      <c r="BH487" s="83" t="str">
        <f>HYPERLINK("https://pbs.twimg.com/profile_banners/1647576181808549891/1681654605")</f>
        <v>https://pbs.twimg.com/profile_banners/1647576181808549891/1681654605</v>
      </c>
      <c r="BI487" s="76"/>
      <c r="BJ487" s="76" t="s">
        <v>19633</v>
      </c>
      <c r="BK487" s="76" t="b">
        <v>0</v>
      </c>
      <c r="BL487" s="76"/>
      <c r="BM487" s="76" t="s">
        <v>66</v>
      </c>
      <c r="BN487" s="76" t="s">
        <v>19635</v>
      </c>
      <c r="BO487" s="83" t="str">
        <f>HYPERLINK("https://twitter.com/niiwopendata")</f>
        <v>https://twitter.com/niiwopendata</v>
      </c>
      <c r="BP487" s="2"/>
    </row>
    <row r="488" spans="1:68" x14ac:dyDescent="0.25">
      <c r="A488" s="62" t="s">
        <v>1089</v>
      </c>
      <c r="B488" s="63"/>
      <c r="C488" s="63"/>
      <c r="D488" s="64"/>
      <c r="E488" s="66"/>
      <c r="F488" s="103" t="str">
        <f>HYPERLINK("https://pbs.twimg.com/profile_images/22266332/___096_normal.jpg")</f>
        <v>https://pbs.twimg.com/profile_images/22266332/___096_normal.jpg</v>
      </c>
      <c r="G488" s="63"/>
      <c r="H488" s="67"/>
      <c r="I488" s="68"/>
      <c r="J488" s="68"/>
      <c r="K488" s="67" t="s">
        <v>20120</v>
      </c>
      <c r="L488" s="71"/>
      <c r="M488" s="72"/>
      <c r="N488" s="72"/>
      <c r="O488" s="73"/>
      <c r="P488" s="74"/>
      <c r="Q488" s="74"/>
      <c r="R488" s="87"/>
      <c r="S488" s="87"/>
      <c r="T488" s="87"/>
      <c r="U488" s="87"/>
      <c r="V488" s="48"/>
      <c r="W488" s="48"/>
      <c r="X488" s="47">
        <v>1.0009999999999999E-3</v>
      </c>
      <c r="Y488" s="48"/>
      <c r="Z488" s="47"/>
      <c r="AA488" s="69">
        <v>488</v>
      </c>
      <c r="AB488" s="69"/>
      <c r="AC488" s="70"/>
      <c r="AD488" s="76" t="s">
        <v>1089</v>
      </c>
      <c r="AE488" s="81" t="s">
        <v>17696</v>
      </c>
      <c r="AF488" s="76">
        <v>1082</v>
      </c>
      <c r="AG488" s="76">
        <v>128</v>
      </c>
      <c r="AH488" s="76">
        <v>22</v>
      </c>
      <c r="AI488" s="76">
        <v>6</v>
      </c>
      <c r="AJ488" s="76">
        <v>3</v>
      </c>
      <c r="AK488" s="76">
        <v>8</v>
      </c>
      <c r="AL488" s="76" t="b">
        <v>0</v>
      </c>
      <c r="AM488" s="78">
        <v>39321.056273148148</v>
      </c>
      <c r="AN488" s="76" t="s">
        <v>18023</v>
      </c>
      <c r="AO488" s="76"/>
      <c r="AP488" s="76"/>
      <c r="AQ488" s="76"/>
      <c r="AR488" s="76"/>
      <c r="AS488" s="76"/>
      <c r="AT488" s="76"/>
      <c r="AU488" s="76"/>
      <c r="AV488" s="76"/>
      <c r="AW488" s="76"/>
      <c r="AX488" s="76" t="b">
        <v>0</v>
      </c>
      <c r="AY488" s="76"/>
      <c r="AZ488" s="76"/>
      <c r="BA488" s="76" t="b">
        <v>0</v>
      </c>
      <c r="BB488" s="76" t="b">
        <v>1</v>
      </c>
      <c r="BC488" s="76" t="b">
        <v>0</v>
      </c>
      <c r="BD488" s="76" t="b">
        <v>0</v>
      </c>
      <c r="BE488" s="76" t="b">
        <v>0</v>
      </c>
      <c r="BF488" s="76" t="b">
        <v>0</v>
      </c>
      <c r="BG488" s="76" t="b">
        <v>0</v>
      </c>
      <c r="BH488" s="76"/>
      <c r="BI488" s="76"/>
      <c r="BJ488" s="76" t="s">
        <v>19633</v>
      </c>
      <c r="BK488" s="76" t="b">
        <v>0</v>
      </c>
      <c r="BL488" s="76"/>
      <c r="BM488" s="76" t="s">
        <v>65</v>
      </c>
      <c r="BN488" s="76" t="s">
        <v>19635</v>
      </c>
      <c r="BO488" s="83" t="str">
        <f>HYPERLINK("https://twitter.com/vivo")</f>
        <v>https://twitter.com/vivo</v>
      </c>
      <c r="BP488" s="2"/>
    </row>
    <row r="489" spans="1:68" x14ac:dyDescent="0.25">
      <c r="A489" s="62" t="s">
        <v>1090</v>
      </c>
      <c r="B489" s="63"/>
      <c r="C489" s="63"/>
      <c r="D489" s="64"/>
      <c r="E489" s="66"/>
      <c r="F489" s="103" t="str">
        <f>HYPERLINK("https://pbs.twimg.com/profile_images/1686859491327832064/m-i_-fZ6_normal.png")</f>
        <v>https://pbs.twimg.com/profile_images/1686859491327832064/m-i_-fZ6_normal.png</v>
      </c>
      <c r="G489" s="63"/>
      <c r="H489" s="67"/>
      <c r="I489" s="68"/>
      <c r="J489" s="68"/>
      <c r="K489" s="67" t="s">
        <v>20121</v>
      </c>
      <c r="L489" s="71"/>
      <c r="M489" s="72"/>
      <c r="N489" s="72"/>
      <c r="O489" s="73"/>
      <c r="P489" s="74"/>
      <c r="Q489" s="74"/>
      <c r="R489" s="87"/>
      <c r="S489" s="87"/>
      <c r="T489" s="87"/>
      <c r="U489" s="87"/>
      <c r="V489" s="48"/>
      <c r="W489" s="48"/>
      <c r="X489" s="47">
        <v>1.0009999999999999E-3</v>
      </c>
      <c r="Y489" s="48"/>
      <c r="Z489" s="47"/>
      <c r="AA489" s="69">
        <v>489</v>
      </c>
      <c r="AB489" s="69"/>
      <c r="AC489" s="70"/>
      <c r="AD489" s="76" t="s">
        <v>17121</v>
      </c>
      <c r="AE489" s="81" t="s">
        <v>17697</v>
      </c>
      <c r="AF489" s="76">
        <v>22203</v>
      </c>
      <c r="AG489" s="76">
        <v>950</v>
      </c>
      <c r="AH489" s="76">
        <v>6445</v>
      </c>
      <c r="AI489" s="76">
        <v>314</v>
      </c>
      <c r="AJ489" s="76">
        <v>3790</v>
      </c>
      <c r="AK489" s="76">
        <v>2018</v>
      </c>
      <c r="AL489" s="76" t="b">
        <v>0</v>
      </c>
      <c r="AM489" s="78">
        <v>39819.824016203704</v>
      </c>
      <c r="AN489" s="76" t="s">
        <v>10552</v>
      </c>
      <c r="AO489" s="76" t="s">
        <v>18587</v>
      </c>
      <c r="AP489" s="83" t="str">
        <f>HYPERLINK("https://t.co/iOnWKhNAKH")</f>
        <v>https://t.co/iOnWKhNAKH</v>
      </c>
      <c r="AQ489" s="83" t="str">
        <f>HYPERLINK("http://www.serpro.gov.br")</f>
        <v>http://www.serpro.gov.br</v>
      </c>
      <c r="AR489" s="76" t="s">
        <v>19282</v>
      </c>
      <c r="AS489" s="76"/>
      <c r="AT489" s="76"/>
      <c r="AU489" s="76"/>
      <c r="AV489" s="76"/>
      <c r="AW489" s="83" t="str">
        <f>HYPERLINK("https://t.co/iOnWKhNAKH")</f>
        <v>https://t.co/iOnWKhNAKH</v>
      </c>
      <c r="AX489" s="76" t="b">
        <v>0</v>
      </c>
      <c r="AY489" s="76"/>
      <c r="AZ489" s="76"/>
      <c r="BA489" s="76" t="b">
        <v>0</v>
      </c>
      <c r="BB489" s="76" t="b">
        <v>1</v>
      </c>
      <c r="BC489" s="76" t="b">
        <v>0</v>
      </c>
      <c r="BD489" s="76" t="b">
        <v>0</v>
      </c>
      <c r="BE489" s="76" t="b">
        <v>1</v>
      </c>
      <c r="BF489" s="76" t="b">
        <v>0</v>
      </c>
      <c r="BG489" s="76" t="b">
        <v>0</v>
      </c>
      <c r="BH489" s="83" t="str">
        <f>HYPERLINK("https://pbs.twimg.com/profile_banners/18691629/1691013543")</f>
        <v>https://pbs.twimg.com/profile_banners/18691629/1691013543</v>
      </c>
      <c r="BI489" s="76"/>
      <c r="BJ489" s="76" t="s">
        <v>19633</v>
      </c>
      <c r="BK489" s="76" t="b">
        <v>0</v>
      </c>
      <c r="BL489" s="76"/>
      <c r="BM489" s="76" t="s">
        <v>65</v>
      </c>
      <c r="BN489" s="76" t="s">
        <v>19635</v>
      </c>
      <c r="BO489" s="83" t="str">
        <f>HYPERLINK("https://twitter.com/serpro")</f>
        <v>https://twitter.com/serpro</v>
      </c>
      <c r="BP489" s="2"/>
    </row>
    <row r="490" spans="1:68" x14ac:dyDescent="0.25">
      <c r="A490" s="62" t="s">
        <v>654</v>
      </c>
      <c r="B490" s="63"/>
      <c r="C490" s="63"/>
      <c r="D490" s="64"/>
      <c r="E490" s="66"/>
      <c r="F490" s="103" t="str">
        <f>HYPERLINK("https://abs.twimg.com/sticky/default_profile_images/default_profile_normal.png")</f>
        <v>https://abs.twimg.com/sticky/default_profile_images/default_profile_normal.png</v>
      </c>
      <c r="G490" s="63"/>
      <c r="H490" s="67"/>
      <c r="I490" s="68"/>
      <c r="J490" s="68"/>
      <c r="K490" s="67" t="s">
        <v>20122</v>
      </c>
      <c r="L490" s="71"/>
      <c r="M490" s="72"/>
      <c r="N490" s="72"/>
      <c r="O490" s="73"/>
      <c r="P490" s="74"/>
      <c r="Q490" s="74"/>
      <c r="R490" s="87"/>
      <c r="S490" s="87"/>
      <c r="T490" s="87"/>
      <c r="U490" s="87"/>
      <c r="V490" s="48"/>
      <c r="W490" s="48"/>
      <c r="X490" s="47">
        <v>1.101E-3</v>
      </c>
      <c r="Y490" s="48"/>
      <c r="Z490" s="47"/>
      <c r="AA490" s="69">
        <v>490</v>
      </c>
      <c r="AB490" s="69"/>
      <c r="AC490" s="70"/>
      <c r="AD490" s="76" t="s">
        <v>17122</v>
      </c>
      <c r="AE490" s="81" t="s">
        <v>16382</v>
      </c>
      <c r="AF490" s="76">
        <v>1</v>
      </c>
      <c r="AG490" s="76">
        <v>2</v>
      </c>
      <c r="AH490" s="76">
        <v>39</v>
      </c>
      <c r="AI490" s="76">
        <v>0</v>
      </c>
      <c r="AJ490" s="76">
        <v>0</v>
      </c>
      <c r="AK490" s="76">
        <v>39</v>
      </c>
      <c r="AL490" s="76" t="b">
        <v>0</v>
      </c>
      <c r="AM490" s="78">
        <v>44990.916319444441</v>
      </c>
      <c r="AN490" s="76"/>
      <c r="AO490" s="76"/>
      <c r="AP490" s="76"/>
      <c r="AQ490" s="76"/>
      <c r="AR490" s="76"/>
      <c r="AS490" s="76"/>
      <c r="AT490" s="76"/>
      <c r="AU490" s="76"/>
      <c r="AV490" s="76"/>
      <c r="AW490" s="76"/>
      <c r="AX490" s="76" t="b">
        <v>0</v>
      </c>
      <c r="AY490" s="76"/>
      <c r="AZ490" s="76"/>
      <c r="BA490" s="76" t="b">
        <v>0</v>
      </c>
      <c r="BB490" s="76" t="b">
        <v>1</v>
      </c>
      <c r="BC490" s="76" t="b">
        <v>1</v>
      </c>
      <c r="BD490" s="76" t="b">
        <v>1</v>
      </c>
      <c r="BE490" s="76" t="b">
        <v>0</v>
      </c>
      <c r="BF490" s="76" t="b">
        <v>0</v>
      </c>
      <c r="BG490" s="76" t="b">
        <v>0</v>
      </c>
      <c r="BH490" s="76"/>
      <c r="BI490" s="76"/>
      <c r="BJ490" s="76" t="s">
        <v>19633</v>
      </c>
      <c r="BK490" s="76" t="b">
        <v>0</v>
      </c>
      <c r="BL490" s="76"/>
      <c r="BM490" s="76" t="s">
        <v>66</v>
      </c>
      <c r="BN490" s="76" t="s">
        <v>19635</v>
      </c>
      <c r="BO490" s="83" t="str">
        <f>HYPERLINK("https://twitter.com/lp4planejamento")</f>
        <v>https://twitter.com/lp4planejamento</v>
      </c>
      <c r="BP490" s="2"/>
    </row>
    <row r="491" spans="1:68" x14ac:dyDescent="0.25">
      <c r="A491" s="62" t="s">
        <v>655</v>
      </c>
      <c r="B491" s="63"/>
      <c r="C491" s="63"/>
      <c r="D491" s="64"/>
      <c r="E491" s="66"/>
      <c r="F491" s="103" t="str">
        <f>HYPERLINK("https://pbs.twimg.com/profile_images/1697656740836225024/0SMBSQrt_normal.jpg")</f>
        <v>https://pbs.twimg.com/profile_images/1697656740836225024/0SMBSQrt_normal.jpg</v>
      </c>
      <c r="G491" s="63"/>
      <c r="H491" s="67"/>
      <c r="I491" s="68"/>
      <c r="J491" s="68"/>
      <c r="K491" s="67" t="s">
        <v>20123</v>
      </c>
      <c r="L491" s="71"/>
      <c r="M491" s="72"/>
      <c r="N491" s="72"/>
      <c r="O491" s="73"/>
      <c r="P491" s="74"/>
      <c r="Q491" s="74"/>
      <c r="R491" s="87"/>
      <c r="S491" s="87"/>
      <c r="T491" s="87"/>
      <c r="U491" s="87"/>
      <c r="V491" s="48"/>
      <c r="W491" s="48"/>
      <c r="X491" s="47">
        <v>1.101E-3</v>
      </c>
      <c r="Y491" s="48"/>
      <c r="Z491" s="47"/>
      <c r="AA491" s="69">
        <v>491</v>
      </c>
      <c r="AB491" s="69"/>
      <c r="AC491" s="70"/>
      <c r="AD491" s="76" t="s">
        <v>17123</v>
      </c>
      <c r="AE491" s="81" t="s">
        <v>15743</v>
      </c>
      <c r="AF491" s="76">
        <v>110</v>
      </c>
      <c r="AG491" s="76">
        <v>40</v>
      </c>
      <c r="AH491" s="76">
        <v>975</v>
      </c>
      <c r="AI491" s="76">
        <v>1</v>
      </c>
      <c r="AJ491" s="76">
        <v>214</v>
      </c>
      <c r="AK491" s="76">
        <v>328</v>
      </c>
      <c r="AL491" s="76" t="b">
        <v>0</v>
      </c>
      <c r="AM491" s="78">
        <v>40385.814930555556</v>
      </c>
      <c r="AN491" s="76" t="s">
        <v>10571</v>
      </c>
      <c r="AO491" s="76" t="s">
        <v>18588</v>
      </c>
      <c r="AP491" s="83" t="str">
        <f>HYPERLINK("https://t.co/qf3QV0FTys")</f>
        <v>https://t.co/qf3QV0FTys</v>
      </c>
      <c r="AQ491" s="83" t="str">
        <f>HYPERLINK("https://www.bancosemear.com.br")</f>
        <v>https://www.bancosemear.com.br</v>
      </c>
      <c r="AR491" s="76" t="s">
        <v>19283</v>
      </c>
      <c r="AS491" s="76"/>
      <c r="AT491" s="76"/>
      <c r="AU491" s="76"/>
      <c r="AV491" s="76"/>
      <c r="AW491" s="83" t="str">
        <f>HYPERLINK("https://t.co/qf3QV0FTys")</f>
        <v>https://t.co/qf3QV0FTys</v>
      </c>
      <c r="AX491" s="76" t="b">
        <v>0</v>
      </c>
      <c r="AY491" s="76"/>
      <c r="AZ491" s="76"/>
      <c r="BA491" s="76" t="b">
        <v>0</v>
      </c>
      <c r="BB491" s="76" t="b">
        <v>1</v>
      </c>
      <c r="BC491" s="76" t="b">
        <v>0</v>
      </c>
      <c r="BD491" s="76" t="b">
        <v>0</v>
      </c>
      <c r="BE491" s="76" t="b">
        <v>1</v>
      </c>
      <c r="BF491" s="76" t="b">
        <v>0</v>
      </c>
      <c r="BG491" s="76" t="b">
        <v>0</v>
      </c>
      <c r="BH491" s="83" t="str">
        <f>HYPERLINK("https://pbs.twimg.com/profile_banners/171187241/1693587643")</f>
        <v>https://pbs.twimg.com/profile_banners/171187241/1693587643</v>
      </c>
      <c r="BI491" s="76"/>
      <c r="BJ491" s="76" t="s">
        <v>19633</v>
      </c>
      <c r="BK491" s="76" t="b">
        <v>0</v>
      </c>
      <c r="BL491" s="76"/>
      <c r="BM491" s="76" t="s">
        <v>66</v>
      </c>
      <c r="BN491" s="76" t="s">
        <v>19635</v>
      </c>
      <c r="BO491" s="83" t="str">
        <f>HYPERLINK("https://twitter.com/bancosemear")</f>
        <v>https://twitter.com/bancosemear</v>
      </c>
      <c r="BP491" s="2"/>
    </row>
    <row r="492" spans="1:68" x14ac:dyDescent="0.25">
      <c r="A492" s="62" t="s">
        <v>656</v>
      </c>
      <c r="B492" s="63"/>
      <c r="C492" s="63"/>
      <c r="D492" s="64"/>
      <c r="E492" s="66"/>
      <c r="F492" s="103" t="str">
        <f>HYPERLINK("https://pbs.twimg.com/profile_images/1620456712250527756/TRFXqNXe_normal.jpg")</f>
        <v>https://pbs.twimg.com/profile_images/1620456712250527756/TRFXqNXe_normal.jpg</v>
      </c>
      <c r="G492" s="63"/>
      <c r="H492" s="67"/>
      <c r="I492" s="68"/>
      <c r="J492" s="68"/>
      <c r="K492" s="67" t="s">
        <v>20124</v>
      </c>
      <c r="L492" s="71"/>
      <c r="M492" s="72"/>
      <c r="N492" s="72"/>
      <c r="O492" s="73"/>
      <c r="P492" s="74"/>
      <c r="Q492" s="74"/>
      <c r="R492" s="87"/>
      <c r="S492" s="87"/>
      <c r="T492" s="87"/>
      <c r="U492" s="87"/>
      <c r="V492" s="48"/>
      <c r="W492" s="48"/>
      <c r="X492" s="47">
        <v>1.101E-3</v>
      </c>
      <c r="Y492" s="48"/>
      <c r="Z492" s="47"/>
      <c r="AA492" s="69">
        <v>492</v>
      </c>
      <c r="AB492" s="69"/>
      <c r="AC492" s="70"/>
      <c r="AD492" s="76" t="s">
        <v>17124</v>
      </c>
      <c r="AE492" s="81" t="s">
        <v>16383</v>
      </c>
      <c r="AF492" s="76">
        <v>1</v>
      </c>
      <c r="AG492" s="76">
        <v>104</v>
      </c>
      <c r="AH492" s="76">
        <v>42</v>
      </c>
      <c r="AI492" s="76">
        <v>0</v>
      </c>
      <c r="AJ492" s="76">
        <v>756</v>
      </c>
      <c r="AK492" s="76">
        <v>11</v>
      </c>
      <c r="AL492" s="76" t="b">
        <v>0</v>
      </c>
      <c r="AM492" s="78">
        <v>43914.905034722222</v>
      </c>
      <c r="AN492" s="76"/>
      <c r="AO492" s="76" t="s">
        <v>18589</v>
      </c>
      <c r="AP492" s="76"/>
      <c r="AQ492" s="76"/>
      <c r="AR492" s="76"/>
      <c r="AS492" s="76"/>
      <c r="AT492" s="76"/>
      <c r="AU492" s="76"/>
      <c r="AV492" s="76"/>
      <c r="AW492" s="76"/>
      <c r="AX492" s="76" t="b">
        <v>0</v>
      </c>
      <c r="AY492" s="76"/>
      <c r="AZ492" s="76"/>
      <c r="BA492" s="76" t="b">
        <v>0</v>
      </c>
      <c r="BB492" s="76" t="b">
        <v>1</v>
      </c>
      <c r="BC492" s="76" t="b">
        <v>1</v>
      </c>
      <c r="BD492" s="76" t="b">
        <v>0</v>
      </c>
      <c r="BE492" s="76" t="b">
        <v>0</v>
      </c>
      <c r="BF492" s="76" t="b">
        <v>0</v>
      </c>
      <c r="BG492" s="76" t="b">
        <v>0</v>
      </c>
      <c r="BH492" s="76"/>
      <c r="BI492" s="76"/>
      <c r="BJ492" s="76" t="s">
        <v>19633</v>
      </c>
      <c r="BK492" s="76" t="b">
        <v>0</v>
      </c>
      <c r="BL492" s="76"/>
      <c r="BM492" s="76" t="s">
        <v>66</v>
      </c>
      <c r="BN492" s="76" t="s">
        <v>19635</v>
      </c>
      <c r="BO492" s="83" t="str">
        <f>HYPERLINK("https://twitter.com/pabloehtos")</f>
        <v>https://twitter.com/pabloehtos</v>
      </c>
      <c r="BP492" s="2"/>
    </row>
    <row r="493" spans="1:68" x14ac:dyDescent="0.25">
      <c r="A493" s="62" t="s">
        <v>657</v>
      </c>
      <c r="B493" s="63"/>
      <c r="C493" s="63"/>
      <c r="D493" s="64"/>
      <c r="E493" s="66"/>
      <c r="F493" s="103" t="str">
        <f>HYPERLINK("https://pbs.twimg.com/profile_images/1375185287534493703/y58nTdBQ_normal.jpg")</f>
        <v>https://pbs.twimg.com/profile_images/1375185287534493703/y58nTdBQ_normal.jpg</v>
      </c>
      <c r="G493" s="63"/>
      <c r="H493" s="67"/>
      <c r="I493" s="68"/>
      <c r="J493" s="68"/>
      <c r="K493" s="67" t="s">
        <v>20125</v>
      </c>
      <c r="L493" s="71"/>
      <c r="M493" s="72"/>
      <c r="N493" s="72"/>
      <c r="O493" s="73"/>
      <c r="P493" s="74"/>
      <c r="Q493" s="74"/>
      <c r="R493" s="87"/>
      <c r="S493" s="87"/>
      <c r="T493" s="87"/>
      <c r="U493" s="87"/>
      <c r="V493" s="48"/>
      <c r="W493" s="48"/>
      <c r="X493" s="47">
        <v>1.101E-3</v>
      </c>
      <c r="Y493" s="48"/>
      <c r="Z493" s="47"/>
      <c r="AA493" s="69">
        <v>493</v>
      </c>
      <c r="AB493" s="69"/>
      <c r="AC493" s="70"/>
      <c r="AD493" s="76" t="s">
        <v>17125</v>
      </c>
      <c r="AE493" s="81" t="s">
        <v>16384</v>
      </c>
      <c r="AF493" s="76">
        <v>20</v>
      </c>
      <c r="AG493" s="76">
        <v>100</v>
      </c>
      <c r="AH493" s="76">
        <v>1870</v>
      </c>
      <c r="AI493" s="76">
        <v>0</v>
      </c>
      <c r="AJ493" s="76">
        <v>1298</v>
      </c>
      <c r="AK493" s="76">
        <v>703</v>
      </c>
      <c r="AL493" s="76" t="b">
        <v>0</v>
      </c>
      <c r="AM493" s="78">
        <v>44280.858657407407</v>
      </c>
      <c r="AN493" s="76"/>
      <c r="AO493" s="76" t="s">
        <v>18590</v>
      </c>
      <c r="AP493" s="76"/>
      <c r="AQ493" s="76"/>
      <c r="AR493" s="76"/>
      <c r="AS493" s="76"/>
      <c r="AT493" s="76"/>
      <c r="AU493" s="76"/>
      <c r="AV493" s="76"/>
      <c r="AW493" s="76"/>
      <c r="AX493" s="76" t="b">
        <v>0</v>
      </c>
      <c r="AY493" s="76"/>
      <c r="AZ493" s="76"/>
      <c r="BA493" s="76" t="b">
        <v>0</v>
      </c>
      <c r="BB493" s="76" t="b">
        <v>1</v>
      </c>
      <c r="BC493" s="76" t="b">
        <v>1</v>
      </c>
      <c r="BD493" s="76" t="b">
        <v>0</v>
      </c>
      <c r="BE493" s="76" t="b">
        <v>0</v>
      </c>
      <c r="BF493" s="76" t="b">
        <v>0</v>
      </c>
      <c r="BG493" s="76" t="b">
        <v>0</v>
      </c>
      <c r="BH493" s="76"/>
      <c r="BI493" s="76"/>
      <c r="BJ493" s="76" t="s">
        <v>19633</v>
      </c>
      <c r="BK493" s="76" t="b">
        <v>0</v>
      </c>
      <c r="BL493" s="76"/>
      <c r="BM493" s="76" t="s">
        <v>66</v>
      </c>
      <c r="BN493" s="76" t="s">
        <v>19635</v>
      </c>
      <c r="BO493" s="83" t="str">
        <f>HYPERLINK("https://twitter.com/ferreiranews2")</f>
        <v>https://twitter.com/ferreiranews2</v>
      </c>
      <c r="BP493" s="2"/>
    </row>
    <row r="494" spans="1:68" x14ac:dyDescent="0.25">
      <c r="A494" s="62" t="s">
        <v>658</v>
      </c>
      <c r="B494" s="63"/>
      <c r="C494" s="63"/>
      <c r="D494" s="64"/>
      <c r="E494" s="66"/>
      <c r="F494" s="103" t="str">
        <f>HYPERLINK("https://pbs.twimg.com/profile_images/1699534053064499200/iKQhF6x1_normal.jpg")</f>
        <v>https://pbs.twimg.com/profile_images/1699534053064499200/iKQhF6x1_normal.jpg</v>
      </c>
      <c r="G494" s="63"/>
      <c r="H494" s="67"/>
      <c r="I494" s="68"/>
      <c r="J494" s="68"/>
      <c r="K494" s="67" t="s">
        <v>20126</v>
      </c>
      <c r="L494" s="71"/>
      <c r="M494" s="72"/>
      <c r="N494" s="72"/>
      <c r="O494" s="73"/>
      <c r="P494" s="74"/>
      <c r="Q494" s="74"/>
      <c r="R494" s="87"/>
      <c r="S494" s="87"/>
      <c r="T494" s="87"/>
      <c r="U494" s="87"/>
      <c r="V494" s="48"/>
      <c r="W494" s="48"/>
      <c r="X494" s="47">
        <v>1.101E-3</v>
      </c>
      <c r="Y494" s="48"/>
      <c r="Z494" s="47"/>
      <c r="AA494" s="69">
        <v>494</v>
      </c>
      <c r="AB494" s="69"/>
      <c r="AC494" s="70"/>
      <c r="AD494" s="76" t="s">
        <v>17126</v>
      </c>
      <c r="AE494" s="81" t="s">
        <v>17698</v>
      </c>
      <c r="AF494" s="76">
        <v>26162</v>
      </c>
      <c r="AG494" s="76">
        <v>419</v>
      </c>
      <c r="AH494" s="76">
        <v>67597</v>
      </c>
      <c r="AI494" s="76">
        <v>175</v>
      </c>
      <c r="AJ494" s="76">
        <v>5268</v>
      </c>
      <c r="AK494" s="76">
        <v>24194</v>
      </c>
      <c r="AL494" s="76" t="b">
        <v>0</v>
      </c>
      <c r="AM494" s="78">
        <v>39933.246979166666</v>
      </c>
      <c r="AN494" s="76" t="s">
        <v>18024</v>
      </c>
      <c r="AO494" s="76" t="s">
        <v>18591</v>
      </c>
      <c r="AP494" s="83" t="str">
        <f>HYPERLINK("https://t.co/82q8oZn0CN")</f>
        <v>https://t.co/82q8oZn0CN</v>
      </c>
      <c r="AQ494" s="83" t="str">
        <f>HYPERLINK("http://www.spbancarios.com.br")</f>
        <v>http://www.spbancarios.com.br</v>
      </c>
      <c r="AR494" s="76" t="s">
        <v>19284</v>
      </c>
      <c r="AS494" s="83" t="str">
        <f>HYPERLINK("https://t.co/qesliUIKTZ")</f>
        <v>https://t.co/qesliUIKTZ</v>
      </c>
      <c r="AT494" s="83" t="str">
        <f>HYPERLINK("http://ig.rdstation.com/spbancarios")</f>
        <v>http://ig.rdstation.com/spbancarios</v>
      </c>
      <c r="AU494" s="76" t="s">
        <v>19611</v>
      </c>
      <c r="AV494" s="76"/>
      <c r="AW494" s="83" t="str">
        <f>HYPERLINK("https://t.co/82q8oZn0CN")</f>
        <v>https://t.co/82q8oZn0CN</v>
      </c>
      <c r="AX494" s="76" t="b">
        <v>0</v>
      </c>
      <c r="AY494" s="76"/>
      <c r="AZ494" s="76"/>
      <c r="BA494" s="76" t="b">
        <v>1</v>
      </c>
      <c r="BB494" s="76" t="b">
        <v>1</v>
      </c>
      <c r="BC494" s="76" t="b">
        <v>0</v>
      </c>
      <c r="BD494" s="76" t="b">
        <v>0</v>
      </c>
      <c r="BE494" s="76" t="b">
        <v>1</v>
      </c>
      <c r="BF494" s="76" t="b">
        <v>0</v>
      </c>
      <c r="BG494" s="76" t="b">
        <v>0</v>
      </c>
      <c r="BH494" s="83" t="str">
        <f>HYPERLINK("https://pbs.twimg.com/profile_banners/36608122/1694035469")</f>
        <v>https://pbs.twimg.com/profile_banners/36608122/1694035469</v>
      </c>
      <c r="BI494" s="76"/>
      <c r="BJ494" s="76" t="s">
        <v>19633</v>
      </c>
      <c r="BK494" s="76" t="b">
        <v>0</v>
      </c>
      <c r="BL494" s="76"/>
      <c r="BM494" s="76" t="s">
        <v>66</v>
      </c>
      <c r="BN494" s="76" t="s">
        <v>19635</v>
      </c>
      <c r="BO494" s="83" t="str">
        <f>HYPERLINK("https://twitter.com/spbancarios")</f>
        <v>https://twitter.com/spbancarios</v>
      </c>
      <c r="BP494" s="2"/>
    </row>
    <row r="495" spans="1:68" x14ac:dyDescent="0.25">
      <c r="A495" s="62" t="s">
        <v>659</v>
      </c>
      <c r="B495" s="63"/>
      <c r="C495" s="63"/>
      <c r="D495" s="64"/>
      <c r="E495" s="66"/>
      <c r="F495" s="103" t="str">
        <f>HYPERLINK("https://pbs.twimg.com/profile_images/1576367713559134209/_x5hyY8g_normal.jpg")</f>
        <v>https://pbs.twimg.com/profile_images/1576367713559134209/_x5hyY8g_normal.jpg</v>
      </c>
      <c r="G495" s="63"/>
      <c r="H495" s="67"/>
      <c r="I495" s="68"/>
      <c r="J495" s="68"/>
      <c r="K495" s="67" t="s">
        <v>20127</v>
      </c>
      <c r="L495" s="71"/>
      <c r="M495" s="72"/>
      <c r="N495" s="72"/>
      <c r="O495" s="73"/>
      <c r="P495" s="74"/>
      <c r="Q495" s="74"/>
      <c r="R495" s="87"/>
      <c r="S495" s="87"/>
      <c r="T495" s="87"/>
      <c r="U495" s="87"/>
      <c r="V495" s="48"/>
      <c r="W495" s="48"/>
      <c r="X495" s="47">
        <v>9.6599999999999995E-4</v>
      </c>
      <c r="Y495" s="48"/>
      <c r="Z495" s="47"/>
      <c r="AA495" s="69">
        <v>495</v>
      </c>
      <c r="AB495" s="69"/>
      <c r="AC495" s="70"/>
      <c r="AD495" s="76" t="s">
        <v>17127</v>
      </c>
      <c r="AE495" s="81" t="s">
        <v>17699</v>
      </c>
      <c r="AF495" s="76">
        <v>1922</v>
      </c>
      <c r="AG495" s="76">
        <v>103</v>
      </c>
      <c r="AH495" s="76">
        <v>13872</v>
      </c>
      <c r="AI495" s="76">
        <v>2</v>
      </c>
      <c r="AJ495" s="76">
        <v>27662</v>
      </c>
      <c r="AK495" s="76">
        <v>12</v>
      </c>
      <c r="AL495" s="76" t="b">
        <v>0</v>
      </c>
      <c r="AM495" s="78">
        <v>41858.815555555557</v>
      </c>
      <c r="AN495" s="76" t="s">
        <v>18025</v>
      </c>
      <c r="AO495" s="76" t="s">
        <v>18592</v>
      </c>
      <c r="AP495" s="83" t="str">
        <f>HYPERLINK("https://t.co/xy3xdEjbob")</f>
        <v>https://t.co/xy3xdEjbob</v>
      </c>
      <c r="AQ495" s="83" t="str">
        <f>HYPERLINK("https://www.linkedin.com/in/skaylarz/")</f>
        <v>https://www.linkedin.com/in/skaylarz/</v>
      </c>
      <c r="AR495" s="76" t="s">
        <v>19285</v>
      </c>
      <c r="AS495" s="76"/>
      <c r="AT495" s="76"/>
      <c r="AU495" s="76"/>
      <c r="AV495" s="76">
        <v>1.6440492584407199E+18</v>
      </c>
      <c r="AW495" s="83" t="str">
        <f>HYPERLINK("https://t.co/xy3xdEjbob")</f>
        <v>https://t.co/xy3xdEjbob</v>
      </c>
      <c r="AX495" s="76" t="b">
        <v>0</v>
      </c>
      <c r="AY495" s="76"/>
      <c r="AZ495" s="76"/>
      <c r="BA495" s="76" t="b">
        <v>0</v>
      </c>
      <c r="BB495" s="76" t="b">
        <v>0</v>
      </c>
      <c r="BC495" s="76" t="b">
        <v>0</v>
      </c>
      <c r="BD495" s="76" t="b">
        <v>0</v>
      </c>
      <c r="BE495" s="76" t="b">
        <v>1</v>
      </c>
      <c r="BF495" s="76" t="b">
        <v>0</v>
      </c>
      <c r="BG495" s="76" t="b">
        <v>0</v>
      </c>
      <c r="BH495" s="83" t="str">
        <f>HYPERLINK("https://pbs.twimg.com/profile_banners/2715218840/1664670152")</f>
        <v>https://pbs.twimg.com/profile_banners/2715218840/1664670152</v>
      </c>
      <c r="BI495" s="76"/>
      <c r="BJ495" s="76" t="s">
        <v>19633</v>
      </c>
      <c r="BK495" s="76" t="b">
        <v>0</v>
      </c>
      <c r="BL495" s="76"/>
      <c r="BM495" s="76" t="s">
        <v>66</v>
      </c>
      <c r="BN495" s="76" t="s">
        <v>19635</v>
      </c>
      <c r="BO495" s="83" t="str">
        <f>HYPERLINK("https://twitter.com/7kaylas")</f>
        <v>https://twitter.com/7kaylas</v>
      </c>
      <c r="BP495" s="2"/>
    </row>
    <row r="496" spans="1:68" x14ac:dyDescent="0.25">
      <c r="A496" s="62" t="s">
        <v>660</v>
      </c>
      <c r="B496" s="63"/>
      <c r="C496" s="63"/>
      <c r="D496" s="64"/>
      <c r="E496" s="66"/>
      <c r="F496" s="103" t="str">
        <f>HYPERLINK("https://pbs.twimg.com/profile_images/1389467421061304323/P08rjd_e_normal.jpg")</f>
        <v>https://pbs.twimg.com/profile_images/1389467421061304323/P08rjd_e_normal.jpg</v>
      </c>
      <c r="G496" s="63"/>
      <c r="H496" s="67"/>
      <c r="I496" s="68"/>
      <c r="J496" s="68"/>
      <c r="K496" s="67" t="s">
        <v>20128</v>
      </c>
      <c r="L496" s="71"/>
      <c r="M496" s="72"/>
      <c r="N496" s="72"/>
      <c r="O496" s="73"/>
      <c r="P496" s="74"/>
      <c r="Q496" s="74"/>
      <c r="R496" s="87"/>
      <c r="S496" s="87"/>
      <c r="T496" s="87"/>
      <c r="U496" s="87"/>
      <c r="V496" s="48"/>
      <c r="W496" s="48"/>
      <c r="X496" s="47">
        <v>1.101E-3</v>
      </c>
      <c r="Y496" s="48"/>
      <c r="Z496" s="47"/>
      <c r="AA496" s="69">
        <v>496</v>
      </c>
      <c r="AB496" s="69"/>
      <c r="AC496" s="70"/>
      <c r="AD496" s="76" t="s">
        <v>17128</v>
      </c>
      <c r="AE496" s="81" t="s">
        <v>17700</v>
      </c>
      <c r="AF496" s="76">
        <v>123</v>
      </c>
      <c r="AG496" s="76">
        <v>811</v>
      </c>
      <c r="AH496" s="76">
        <v>1285</v>
      </c>
      <c r="AI496" s="76">
        <v>0</v>
      </c>
      <c r="AJ496" s="76">
        <v>118</v>
      </c>
      <c r="AK496" s="76">
        <v>869</v>
      </c>
      <c r="AL496" s="76" t="b">
        <v>0</v>
      </c>
      <c r="AM496" s="78">
        <v>41545.993611111109</v>
      </c>
      <c r="AN496" s="76" t="s">
        <v>17879</v>
      </c>
      <c r="AO496" s="76" t="s">
        <v>18593</v>
      </c>
      <c r="AP496" s="76"/>
      <c r="AQ496" s="76"/>
      <c r="AR496" s="76"/>
      <c r="AS496" s="76"/>
      <c r="AT496" s="76"/>
      <c r="AU496" s="76"/>
      <c r="AV496" s="76"/>
      <c r="AW496" s="76"/>
      <c r="AX496" s="76" t="b">
        <v>0</v>
      </c>
      <c r="AY496" s="76"/>
      <c r="AZ496" s="76"/>
      <c r="BA496" s="76" t="b">
        <v>1</v>
      </c>
      <c r="BB496" s="76" t="b">
        <v>1</v>
      </c>
      <c r="BC496" s="76" t="b">
        <v>1</v>
      </c>
      <c r="BD496" s="76" t="b">
        <v>0</v>
      </c>
      <c r="BE496" s="76" t="b">
        <v>0</v>
      </c>
      <c r="BF496" s="76" t="b">
        <v>0</v>
      </c>
      <c r="BG496" s="76" t="b">
        <v>0</v>
      </c>
      <c r="BH496" s="76"/>
      <c r="BI496" s="76"/>
      <c r="BJ496" s="76" t="s">
        <v>19633</v>
      </c>
      <c r="BK496" s="76" t="b">
        <v>0</v>
      </c>
      <c r="BL496" s="76"/>
      <c r="BM496" s="76" t="s">
        <v>66</v>
      </c>
      <c r="BN496" s="76" t="s">
        <v>19635</v>
      </c>
      <c r="BO496" s="83" t="str">
        <f>HYPERLINK("https://twitter.com/ndjizassabino")</f>
        <v>https://twitter.com/ndjizassabino</v>
      </c>
      <c r="BP496" s="2"/>
    </row>
    <row r="497" spans="1:68" x14ac:dyDescent="0.25">
      <c r="A497" s="62" t="s">
        <v>661</v>
      </c>
      <c r="B497" s="63"/>
      <c r="C497" s="63"/>
      <c r="D497" s="64"/>
      <c r="E497" s="66"/>
      <c r="F497" s="103" t="str">
        <f>HYPERLINK("https://pbs.twimg.com/profile_images/1622391863314419712/tZX2YnEP_normal.jpg")</f>
        <v>https://pbs.twimg.com/profile_images/1622391863314419712/tZX2YnEP_normal.jpg</v>
      </c>
      <c r="G497" s="63"/>
      <c r="H497" s="67"/>
      <c r="I497" s="68"/>
      <c r="J497" s="68"/>
      <c r="K497" s="67" t="s">
        <v>20129</v>
      </c>
      <c r="L497" s="71"/>
      <c r="M497" s="72"/>
      <c r="N497" s="72"/>
      <c r="O497" s="73"/>
      <c r="P497" s="74"/>
      <c r="Q497" s="74"/>
      <c r="R497" s="87"/>
      <c r="S497" s="87"/>
      <c r="T497" s="87"/>
      <c r="U497" s="87"/>
      <c r="V497" s="48"/>
      <c r="W497" s="48"/>
      <c r="X497" s="47">
        <v>1.101E-3</v>
      </c>
      <c r="Y497" s="48"/>
      <c r="Z497" s="47"/>
      <c r="AA497" s="69">
        <v>497</v>
      </c>
      <c r="AB497" s="69"/>
      <c r="AC497" s="70"/>
      <c r="AD497" s="76" t="s">
        <v>17129</v>
      </c>
      <c r="AE497" s="81" t="s">
        <v>15744</v>
      </c>
      <c r="AF497" s="76">
        <v>11</v>
      </c>
      <c r="AG497" s="76">
        <v>170</v>
      </c>
      <c r="AH497" s="76">
        <v>158</v>
      </c>
      <c r="AI497" s="76">
        <v>2</v>
      </c>
      <c r="AJ497" s="76">
        <v>184</v>
      </c>
      <c r="AK497" s="76">
        <v>44</v>
      </c>
      <c r="AL497" s="76" t="b">
        <v>0</v>
      </c>
      <c r="AM497" s="78">
        <v>44181.472372685188</v>
      </c>
      <c r="AN497" s="76" t="s">
        <v>10554</v>
      </c>
      <c r="AO497" s="76" t="s">
        <v>18594</v>
      </c>
      <c r="AP497" s="76"/>
      <c r="AQ497" s="76"/>
      <c r="AR497" s="76"/>
      <c r="AS497" s="76"/>
      <c r="AT497" s="76"/>
      <c r="AU497" s="76"/>
      <c r="AV497" s="76">
        <v>1.5314071735233101E+18</v>
      </c>
      <c r="AW497" s="76"/>
      <c r="AX497" s="76" t="b">
        <v>0</v>
      </c>
      <c r="AY497" s="76"/>
      <c r="AZ497" s="76"/>
      <c r="BA497" s="76" t="b">
        <v>0</v>
      </c>
      <c r="BB497" s="76" t="b">
        <v>1</v>
      </c>
      <c r="BC497" s="76" t="b">
        <v>1</v>
      </c>
      <c r="BD497" s="76" t="b">
        <v>0</v>
      </c>
      <c r="BE497" s="76" t="b">
        <v>1</v>
      </c>
      <c r="BF497" s="76" t="b">
        <v>0</v>
      </c>
      <c r="BG497" s="76" t="b">
        <v>0</v>
      </c>
      <c r="BH497" s="83" t="str">
        <f>HYPERLINK("https://pbs.twimg.com/profile_banners/1339168309682597892/1680166853")</f>
        <v>https://pbs.twimg.com/profile_banners/1339168309682597892/1680166853</v>
      </c>
      <c r="BI497" s="76"/>
      <c r="BJ497" s="76" t="s">
        <v>19633</v>
      </c>
      <c r="BK497" s="76" t="b">
        <v>0</v>
      </c>
      <c r="BL497" s="76"/>
      <c r="BM497" s="76" t="s">
        <v>66</v>
      </c>
      <c r="BN497" s="76" t="s">
        <v>19635</v>
      </c>
      <c r="BO497" s="83" t="str">
        <f>HYPERLINK("https://twitter.com/teofilomartinst")</f>
        <v>https://twitter.com/teofilomartinst</v>
      </c>
      <c r="BP497" s="2"/>
    </row>
    <row r="498" spans="1:68" x14ac:dyDescent="0.25">
      <c r="A498" s="62" t="s">
        <v>662</v>
      </c>
      <c r="B498" s="63"/>
      <c r="C498" s="63"/>
      <c r="D498" s="64"/>
      <c r="E498" s="66"/>
      <c r="F498" s="103" t="str">
        <f>HYPERLINK("https://pbs.twimg.com/profile_images/1198252061193854976/e2U5b9Ck_normal.jpg")</f>
        <v>https://pbs.twimg.com/profile_images/1198252061193854976/e2U5b9Ck_normal.jpg</v>
      </c>
      <c r="G498" s="63"/>
      <c r="H498" s="67"/>
      <c r="I498" s="68"/>
      <c r="J498" s="68"/>
      <c r="K498" s="67" t="s">
        <v>20130</v>
      </c>
      <c r="L498" s="71"/>
      <c r="M498" s="72"/>
      <c r="N498" s="72"/>
      <c r="O498" s="73"/>
      <c r="P498" s="74"/>
      <c r="Q498" s="74"/>
      <c r="R498" s="87"/>
      <c r="S498" s="87"/>
      <c r="T498" s="87"/>
      <c r="U498" s="87"/>
      <c r="V498" s="48"/>
      <c r="W498" s="48"/>
      <c r="X498" s="47">
        <v>1.101E-3</v>
      </c>
      <c r="Y498" s="48"/>
      <c r="Z498" s="47"/>
      <c r="AA498" s="69">
        <v>498</v>
      </c>
      <c r="AB498" s="69"/>
      <c r="AC498" s="70"/>
      <c r="AD498" s="76" t="s">
        <v>17130</v>
      </c>
      <c r="AE498" s="81" t="s">
        <v>16385</v>
      </c>
      <c r="AF498" s="76">
        <v>34</v>
      </c>
      <c r="AG498" s="76">
        <v>330</v>
      </c>
      <c r="AH498" s="76">
        <v>8692</v>
      </c>
      <c r="AI498" s="76">
        <v>1</v>
      </c>
      <c r="AJ498" s="76">
        <v>418</v>
      </c>
      <c r="AK498" s="76">
        <v>1674</v>
      </c>
      <c r="AL498" s="76" t="b">
        <v>0</v>
      </c>
      <c r="AM498" s="78">
        <v>43790.879791666666</v>
      </c>
      <c r="AN498" s="76"/>
      <c r="AO498" s="76" t="s">
        <v>18595</v>
      </c>
      <c r="AP498" s="83" t="str">
        <f>HYPERLINK("https://t.co/dWLEmK379M")</f>
        <v>https://t.co/dWLEmK379M</v>
      </c>
      <c r="AQ498" s="83" t="str">
        <f>HYPERLINK("https://www.noveen.com.br/")</f>
        <v>https://www.noveen.com.br/</v>
      </c>
      <c r="AR498" s="76" t="s">
        <v>19286</v>
      </c>
      <c r="AS498" s="76"/>
      <c r="AT498" s="76"/>
      <c r="AU498" s="76"/>
      <c r="AV498" s="76"/>
      <c r="AW498" s="83" t="str">
        <f>HYPERLINK("https://t.co/dWLEmK379M")</f>
        <v>https://t.co/dWLEmK379M</v>
      </c>
      <c r="AX498" s="76" t="b">
        <v>0</v>
      </c>
      <c r="AY498" s="76"/>
      <c r="AZ498" s="76"/>
      <c r="BA498" s="76" t="b">
        <v>0</v>
      </c>
      <c r="BB498" s="76" t="b">
        <v>1</v>
      </c>
      <c r="BC498" s="76" t="b">
        <v>1</v>
      </c>
      <c r="BD498" s="76" t="b">
        <v>0</v>
      </c>
      <c r="BE498" s="76" t="b">
        <v>0</v>
      </c>
      <c r="BF498" s="76" t="b">
        <v>0</v>
      </c>
      <c r="BG498" s="76" t="b">
        <v>0</v>
      </c>
      <c r="BH498" s="83" t="str">
        <f>HYPERLINK("https://pbs.twimg.com/profile_banners/1197622343633379338/1574371264")</f>
        <v>https://pbs.twimg.com/profile_banners/1197622343633379338/1574371264</v>
      </c>
      <c r="BI498" s="76"/>
      <c r="BJ498" s="76" t="s">
        <v>19633</v>
      </c>
      <c r="BK498" s="76" t="b">
        <v>0</v>
      </c>
      <c r="BL498" s="76"/>
      <c r="BM498" s="76" t="s">
        <v>66</v>
      </c>
      <c r="BN498" s="76" t="s">
        <v>19635</v>
      </c>
      <c r="BO498" s="83" t="str">
        <f>HYPERLINK("https://twitter.com/noveensite")</f>
        <v>https://twitter.com/noveensite</v>
      </c>
      <c r="BP498" s="2"/>
    </row>
    <row r="499" spans="1:68" x14ac:dyDescent="0.25">
      <c r="A499" s="62" t="s">
        <v>663</v>
      </c>
      <c r="B499" s="63"/>
      <c r="C499" s="63"/>
      <c r="D499" s="64"/>
      <c r="E499" s="66"/>
      <c r="F499" s="103" t="str">
        <f>HYPERLINK("https://pbs.twimg.com/profile_images/1556283132332089344/VX-pXjxx_normal.jpg")</f>
        <v>https://pbs.twimg.com/profile_images/1556283132332089344/VX-pXjxx_normal.jpg</v>
      </c>
      <c r="G499" s="63"/>
      <c r="H499" s="67"/>
      <c r="I499" s="68"/>
      <c r="J499" s="68"/>
      <c r="K499" s="67" t="s">
        <v>20131</v>
      </c>
      <c r="L499" s="71"/>
      <c r="M499" s="72"/>
      <c r="N499" s="72"/>
      <c r="O499" s="73"/>
      <c r="P499" s="74"/>
      <c r="Q499" s="74"/>
      <c r="R499" s="87"/>
      <c r="S499" s="87"/>
      <c r="T499" s="87"/>
      <c r="U499" s="87"/>
      <c r="V499" s="48"/>
      <c r="W499" s="48"/>
      <c r="X499" s="47">
        <v>1.1280000000000001E-3</v>
      </c>
      <c r="Y499" s="48"/>
      <c r="Z499" s="47"/>
      <c r="AA499" s="69">
        <v>499</v>
      </c>
      <c r="AB499" s="69"/>
      <c r="AC499" s="70"/>
      <c r="AD499" s="76" t="s">
        <v>17131</v>
      </c>
      <c r="AE499" s="81" t="s">
        <v>17701</v>
      </c>
      <c r="AF499" s="76">
        <v>141</v>
      </c>
      <c r="AG499" s="76">
        <v>159</v>
      </c>
      <c r="AH499" s="76">
        <v>1853</v>
      </c>
      <c r="AI499" s="76">
        <v>4</v>
      </c>
      <c r="AJ499" s="76">
        <v>1110</v>
      </c>
      <c r="AK499" s="76">
        <v>258</v>
      </c>
      <c r="AL499" s="76" t="b">
        <v>0</v>
      </c>
      <c r="AM499" s="78">
        <v>40315.502685185187</v>
      </c>
      <c r="AN499" s="76" t="s">
        <v>18026</v>
      </c>
      <c r="AO499" s="76" t="s">
        <v>18596</v>
      </c>
      <c r="AP499" s="83" t="str">
        <f>HYPERLINK("https://t.co/2Ziis9L4ih")</f>
        <v>https://t.co/2Ziis9L4ih</v>
      </c>
      <c r="AQ499" s="83" t="str">
        <f>HYPERLINK("https://dia30comdinheiro.com/tw")</f>
        <v>https://dia30comdinheiro.com/tw</v>
      </c>
      <c r="AR499" s="76" t="s">
        <v>19287</v>
      </c>
      <c r="AS499" s="76"/>
      <c r="AT499" s="76"/>
      <c r="AU499" s="76"/>
      <c r="AV499" s="76">
        <v>1.6566653084202501E+18</v>
      </c>
      <c r="AW499" s="83" t="str">
        <f>HYPERLINK("https://t.co/2Ziis9L4ih")</f>
        <v>https://t.co/2Ziis9L4ih</v>
      </c>
      <c r="AX499" s="76" t="b">
        <v>0</v>
      </c>
      <c r="AY499" s="76"/>
      <c r="AZ499" s="76"/>
      <c r="BA499" s="76" t="b">
        <v>0</v>
      </c>
      <c r="BB499" s="76" t="b">
        <v>1</v>
      </c>
      <c r="BC499" s="76" t="b">
        <v>0</v>
      </c>
      <c r="BD499" s="76" t="b">
        <v>0</v>
      </c>
      <c r="BE499" s="76" t="b">
        <v>1</v>
      </c>
      <c r="BF499" s="76" t="b">
        <v>0</v>
      </c>
      <c r="BG499" s="76" t="b">
        <v>0</v>
      </c>
      <c r="BH499" s="83" t="str">
        <f>HYPERLINK("https://pbs.twimg.com/profile_banners/144827153/1659881788")</f>
        <v>https://pbs.twimg.com/profile_banners/144827153/1659881788</v>
      </c>
      <c r="BI499" s="76"/>
      <c r="BJ499" s="76" t="s">
        <v>19633</v>
      </c>
      <c r="BK499" s="76" t="b">
        <v>0</v>
      </c>
      <c r="BL499" s="76"/>
      <c r="BM499" s="76" t="s">
        <v>66</v>
      </c>
      <c r="BN499" s="76" t="s">
        <v>19635</v>
      </c>
      <c r="BO499" s="83" t="str">
        <f>HYPERLINK("https://twitter.com/marcesemasch")</f>
        <v>https://twitter.com/marcesemasch</v>
      </c>
      <c r="BP499" s="2"/>
    </row>
    <row r="500" spans="1:68" x14ac:dyDescent="0.25">
      <c r="A500" s="62" t="s">
        <v>664</v>
      </c>
      <c r="B500" s="63"/>
      <c r="C500" s="63"/>
      <c r="D500" s="64"/>
      <c r="E500" s="66"/>
      <c r="F500" s="103" t="str">
        <f>HYPERLINK("https://pbs.twimg.com/profile_images/1395658961697792000/yGVYfoRc_normal.jpg")</f>
        <v>https://pbs.twimg.com/profile_images/1395658961697792000/yGVYfoRc_normal.jpg</v>
      </c>
      <c r="G500" s="63"/>
      <c r="H500" s="67"/>
      <c r="I500" s="68"/>
      <c r="J500" s="68"/>
      <c r="K500" s="67" t="s">
        <v>20132</v>
      </c>
      <c r="L500" s="71"/>
      <c r="M500" s="72"/>
      <c r="N500" s="72"/>
      <c r="O500" s="73"/>
      <c r="P500" s="74"/>
      <c r="Q500" s="74"/>
      <c r="R500" s="87"/>
      <c r="S500" s="87"/>
      <c r="T500" s="87"/>
      <c r="U500" s="87"/>
      <c r="V500" s="48"/>
      <c r="W500" s="48"/>
      <c r="X500" s="47">
        <v>1.1280000000000001E-3</v>
      </c>
      <c r="Y500" s="48"/>
      <c r="Z500" s="47"/>
      <c r="AA500" s="69">
        <v>500</v>
      </c>
      <c r="AB500" s="69"/>
      <c r="AC500" s="70"/>
      <c r="AD500" s="76" t="s">
        <v>17132</v>
      </c>
      <c r="AE500" s="81" t="s">
        <v>16386</v>
      </c>
      <c r="AF500" s="76">
        <v>2</v>
      </c>
      <c r="AG500" s="76">
        <v>1</v>
      </c>
      <c r="AH500" s="76">
        <v>12</v>
      </c>
      <c r="AI500" s="76">
        <v>0</v>
      </c>
      <c r="AJ500" s="76">
        <v>0</v>
      </c>
      <c r="AK500" s="76">
        <v>11</v>
      </c>
      <c r="AL500" s="76" t="b">
        <v>0</v>
      </c>
      <c r="AM500" s="78">
        <v>44260.039976851855</v>
      </c>
      <c r="AN500" s="76"/>
      <c r="AO500" s="76" t="s">
        <v>18597</v>
      </c>
      <c r="AP500" s="83" t="str">
        <f>HYPERLINK("https://t.co/MNYWBb3VKV")</f>
        <v>https://t.co/MNYWBb3VKV</v>
      </c>
      <c r="AQ500" s="83" t="str">
        <f>HYPERLINK("http://links.ourbooks.com.br")</f>
        <v>http://links.ourbooks.com.br</v>
      </c>
      <c r="AR500" s="76" t="s">
        <v>19288</v>
      </c>
      <c r="AS500" s="76"/>
      <c r="AT500" s="76"/>
      <c r="AU500" s="76"/>
      <c r="AV500" s="76"/>
      <c r="AW500" s="83" t="str">
        <f>HYPERLINK("https://t.co/MNYWBb3VKV")</f>
        <v>https://t.co/MNYWBb3VKV</v>
      </c>
      <c r="AX500" s="76" t="b">
        <v>0</v>
      </c>
      <c r="AY500" s="76"/>
      <c r="AZ500" s="76"/>
      <c r="BA500" s="76" t="b">
        <v>0</v>
      </c>
      <c r="BB500" s="76" t="b">
        <v>1</v>
      </c>
      <c r="BC500" s="76" t="b">
        <v>1</v>
      </c>
      <c r="BD500" s="76" t="b">
        <v>0</v>
      </c>
      <c r="BE500" s="76" t="b">
        <v>0</v>
      </c>
      <c r="BF500" s="76" t="b">
        <v>0</v>
      </c>
      <c r="BG500" s="76" t="b">
        <v>0</v>
      </c>
      <c r="BH500" s="83" t="str">
        <f>HYPERLINK("https://pbs.twimg.com/profile_banners/1367640208045461504/1621586002")</f>
        <v>https://pbs.twimg.com/profile_banners/1367640208045461504/1621586002</v>
      </c>
      <c r="BI500" s="76"/>
      <c r="BJ500" s="76" t="s">
        <v>19633</v>
      </c>
      <c r="BK500" s="76" t="b">
        <v>0</v>
      </c>
      <c r="BL500" s="76"/>
      <c r="BM500" s="76" t="s">
        <v>66</v>
      </c>
      <c r="BN500" s="76" t="s">
        <v>19635</v>
      </c>
      <c r="BO500" s="83" t="str">
        <f>HYPERLINK("https://twitter.com/ourbooksbr")</f>
        <v>https://twitter.com/ourbooksbr</v>
      </c>
      <c r="BP500" s="2"/>
    </row>
    <row r="501" spans="1:68" x14ac:dyDescent="0.25">
      <c r="A501" s="62" t="s">
        <v>665</v>
      </c>
      <c r="B501" s="63"/>
      <c r="C501" s="63"/>
      <c r="D501" s="64"/>
      <c r="E501" s="66"/>
      <c r="F501" s="103" t="str">
        <f>HYPERLINK("https://pbs.twimg.com/profile_images/1080333363909718017/WsWHKHAl_normal.jpg")</f>
        <v>https://pbs.twimg.com/profile_images/1080333363909718017/WsWHKHAl_normal.jpg</v>
      </c>
      <c r="G501" s="63"/>
      <c r="H501" s="67"/>
      <c r="I501" s="68"/>
      <c r="J501" s="68"/>
      <c r="K501" s="67" t="s">
        <v>20133</v>
      </c>
      <c r="L501" s="71"/>
      <c r="M501" s="72"/>
      <c r="N501" s="72"/>
      <c r="O501" s="73"/>
      <c r="P501" s="74"/>
      <c r="Q501" s="74"/>
      <c r="R501" s="87"/>
      <c r="S501" s="87"/>
      <c r="T501" s="87"/>
      <c r="U501" s="87"/>
      <c r="V501" s="48"/>
      <c r="W501" s="48"/>
      <c r="X501" s="47">
        <v>1.049E-3</v>
      </c>
      <c r="Y501" s="48"/>
      <c r="Z501" s="47"/>
      <c r="AA501" s="69">
        <v>501</v>
      </c>
      <c r="AB501" s="69"/>
      <c r="AC501" s="70"/>
      <c r="AD501" s="76" t="s">
        <v>17133</v>
      </c>
      <c r="AE501" s="81" t="s">
        <v>16387</v>
      </c>
      <c r="AF501" s="76">
        <v>60</v>
      </c>
      <c r="AG501" s="76">
        <v>137</v>
      </c>
      <c r="AH501" s="76">
        <v>40</v>
      </c>
      <c r="AI501" s="76">
        <v>0</v>
      </c>
      <c r="AJ501" s="76">
        <v>92</v>
      </c>
      <c r="AK501" s="76">
        <v>0</v>
      </c>
      <c r="AL501" s="76" t="b">
        <v>0</v>
      </c>
      <c r="AM501" s="78">
        <v>43118.108298611114</v>
      </c>
      <c r="AN501" s="76" t="s">
        <v>18027</v>
      </c>
      <c r="AO501" s="76"/>
      <c r="AP501" s="83" t="str">
        <f>HYPERLINK("https://t.co/vQ8O6SBDgf")</f>
        <v>https://t.co/vQ8O6SBDgf</v>
      </c>
      <c r="AQ501" s="83" t="str">
        <f>HYPERLINK("https://ourbooks.com.br/")</f>
        <v>https://ourbooks.com.br/</v>
      </c>
      <c r="AR501" s="76" t="s">
        <v>19289</v>
      </c>
      <c r="AS501" s="76"/>
      <c r="AT501" s="76"/>
      <c r="AU501" s="76"/>
      <c r="AV501" s="76"/>
      <c r="AW501" s="83" t="str">
        <f>HYPERLINK("https://t.co/vQ8O6SBDgf")</f>
        <v>https://t.co/vQ8O6SBDgf</v>
      </c>
      <c r="AX501" s="76" t="b">
        <v>0</v>
      </c>
      <c r="AY501" s="76"/>
      <c r="AZ501" s="76"/>
      <c r="BA501" s="76" t="b">
        <v>0</v>
      </c>
      <c r="BB501" s="76" t="b">
        <v>1</v>
      </c>
      <c r="BC501" s="76" t="b">
        <v>1</v>
      </c>
      <c r="BD501" s="76" t="b">
        <v>0</v>
      </c>
      <c r="BE501" s="76" t="b">
        <v>0</v>
      </c>
      <c r="BF501" s="76" t="b">
        <v>0</v>
      </c>
      <c r="BG501" s="76" t="b">
        <v>0</v>
      </c>
      <c r="BH501" s="76"/>
      <c r="BI501" s="76"/>
      <c r="BJ501" s="76" t="s">
        <v>19633</v>
      </c>
      <c r="BK501" s="76" t="b">
        <v>0</v>
      </c>
      <c r="BL501" s="76"/>
      <c r="BM501" s="76" t="s">
        <v>66</v>
      </c>
      <c r="BN501" s="76" t="s">
        <v>19635</v>
      </c>
      <c r="BO501" s="83" t="str">
        <f>HYPERLINK("https://twitter.com/cgta_carlos")</f>
        <v>https://twitter.com/cgta_carlos</v>
      </c>
      <c r="BP501" s="2"/>
    </row>
    <row r="502" spans="1:68" x14ac:dyDescent="0.25">
      <c r="A502" s="62" t="s">
        <v>666</v>
      </c>
      <c r="B502" s="63"/>
      <c r="C502" s="63"/>
      <c r="D502" s="64"/>
      <c r="E502" s="66"/>
      <c r="F502" s="103" t="str">
        <f>HYPERLINK("https://pbs.twimg.com/profile_images/1509236676157181960/7mo-3Qq-_normal.png")</f>
        <v>https://pbs.twimg.com/profile_images/1509236676157181960/7mo-3Qq-_normal.png</v>
      </c>
      <c r="G502" s="63"/>
      <c r="H502" s="67"/>
      <c r="I502" s="68"/>
      <c r="J502" s="68"/>
      <c r="K502" s="67" t="s">
        <v>20134</v>
      </c>
      <c r="L502" s="71"/>
      <c r="M502" s="72"/>
      <c r="N502" s="72"/>
      <c r="O502" s="73"/>
      <c r="P502" s="74"/>
      <c r="Q502" s="74"/>
      <c r="R502" s="87"/>
      <c r="S502" s="87"/>
      <c r="T502" s="87"/>
      <c r="U502" s="87"/>
      <c r="V502" s="48"/>
      <c r="W502" s="48"/>
      <c r="X502" s="47">
        <v>1.101E-3</v>
      </c>
      <c r="Y502" s="48"/>
      <c r="Z502" s="47"/>
      <c r="AA502" s="69">
        <v>502</v>
      </c>
      <c r="AB502" s="69"/>
      <c r="AC502" s="70"/>
      <c r="AD502" s="76" t="s">
        <v>17134</v>
      </c>
      <c r="AE502" s="81" t="s">
        <v>17702</v>
      </c>
      <c r="AF502" s="76">
        <v>1350</v>
      </c>
      <c r="AG502" s="76">
        <v>31</v>
      </c>
      <c r="AH502" s="76">
        <v>939</v>
      </c>
      <c r="AI502" s="76">
        <v>5</v>
      </c>
      <c r="AJ502" s="76">
        <v>355</v>
      </c>
      <c r="AK502" s="76">
        <v>339</v>
      </c>
      <c r="AL502" s="76" t="b">
        <v>0</v>
      </c>
      <c r="AM502" s="78">
        <v>40952.58084490741</v>
      </c>
      <c r="AN502" s="76" t="s">
        <v>18028</v>
      </c>
      <c r="AO502" s="76" t="s">
        <v>18598</v>
      </c>
      <c r="AP502" s="83" t="str">
        <f>HYPERLINK("https://t.co/PmqTVa7MfO")</f>
        <v>https://t.co/PmqTVa7MfO</v>
      </c>
      <c r="AQ502" s="83" t="str">
        <f>HYPERLINK("https://m2msaber.com.br")</f>
        <v>https://m2msaber.com.br</v>
      </c>
      <c r="AR502" s="76" t="s">
        <v>19290</v>
      </c>
      <c r="AS502" s="76"/>
      <c r="AT502" s="76"/>
      <c r="AU502" s="76"/>
      <c r="AV502" s="76">
        <v>1.5273445526122199E+18</v>
      </c>
      <c r="AW502" s="83" t="str">
        <f>HYPERLINK("https://t.co/PmqTVa7MfO")</f>
        <v>https://t.co/PmqTVa7MfO</v>
      </c>
      <c r="AX502" s="76" t="b">
        <v>0</v>
      </c>
      <c r="AY502" s="76"/>
      <c r="AZ502" s="76"/>
      <c r="BA502" s="76" t="b">
        <v>0</v>
      </c>
      <c r="BB502" s="76" t="b">
        <v>1</v>
      </c>
      <c r="BC502" s="76" t="b">
        <v>0</v>
      </c>
      <c r="BD502" s="76" t="b">
        <v>0</v>
      </c>
      <c r="BE502" s="76" t="b">
        <v>1</v>
      </c>
      <c r="BF502" s="76" t="b">
        <v>0</v>
      </c>
      <c r="BG502" s="76" t="b">
        <v>0</v>
      </c>
      <c r="BH502" s="83" t="str">
        <f>HYPERLINK("https://pbs.twimg.com/profile_banners/491308384/1654887023")</f>
        <v>https://pbs.twimg.com/profile_banners/491308384/1654887023</v>
      </c>
      <c r="BI502" s="76"/>
      <c r="BJ502" s="76" t="s">
        <v>19633</v>
      </c>
      <c r="BK502" s="76" t="b">
        <v>0</v>
      </c>
      <c r="BL502" s="76"/>
      <c r="BM502" s="76" t="s">
        <v>66</v>
      </c>
      <c r="BN502" s="76" t="s">
        <v>19635</v>
      </c>
      <c r="BO502" s="83" t="str">
        <f>HYPERLINK("https://twitter.com/m2msaber")</f>
        <v>https://twitter.com/m2msaber</v>
      </c>
      <c r="BP502" s="2"/>
    </row>
    <row r="503" spans="1:68" x14ac:dyDescent="0.25">
      <c r="A503" s="62" t="s">
        <v>667</v>
      </c>
      <c r="B503" s="63"/>
      <c r="C503" s="63"/>
      <c r="D503" s="64"/>
      <c r="E503" s="66"/>
      <c r="F503" s="103" t="str">
        <f>HYPERLINK("https://pbs.twimg.com/profile_images/1687907833109516288/7INM3SmX_normal.png")</f>
        <v>https://pbs.twimg.com/profile_images/1687907833109516288/7INM3SmX_normal.png</v>
      </c>
      <c r="G503" s="63"/>
      <c r="H503" s="67"/>
      <c r="I503" s="68"/>
      <c r="J503" s="68"/>
      <c r="K503" s="67" t="s">
        <v>20135</v>
      </c>
      <c r="L503" s="71"/>
      <c r="M503" s="72"/>
      <c r="N503" s="72"/>
      <c r="O503" s="73"/>
      <c r="P503" s="74"/>
      <c r="Q503" s="74"/>
      <c r="R503" s="87"/>
      <c r="S503" s="87"/>
      <c r="T503" s="87"/>
      <c r="U503" s="87"/>
      <c r="V503" s="48"/>
      <c r="W503" s="48"/>
      <c r="X503" s="47">
        <v>1.101E-3</v>
      </c>
      <c r="Y503" s="48"/>
      <c r="Z503" s="47"/>
      <c r="AA503" s="69">
        <v>503</v>
      </c>
      <c r="AB503" s="69"/>
      <c r="AC503" s="70"/>
      <c r="AD503" s="76" t="s">
        <v>17135</v>
      </c>
      <c r="AE503" s="81" t="s">
        <v>16388</v>
      </c>
      <c r="AF503" s="76">
        <v>0</v>
      </c>
      <c r="AG503" s="76">
        <v>11</v>
      </c>
      <c r="AH503" s="76">
        <v>30</v>
      </c>
      <c r="AI503" s="76">
        <v>0</v>
      </c>
      <c r="AJ503" s="76">
        <v>3</v>
      </c>
      <c r="AK503" s="76">
        <v>0</v>
      </c>
      <c r="AL503" s="76" t="b">
        <v>0</v>
      </c>
      <c r="AM503" s="78">
        <v>45143.787743055553</v>
      </c>
      <c r="AN503" s="76" t="s">
        <v>10622</v>
      </c>
      <c r="AO503" s="76" t="s">
        <v>18599</v>
      </c>
      <c r="AP503" s="76"/>
      <c r="AQ503" s="76"/>
      <c r="AR503" s="76"/>
      <c r="AS503" s="76"/>
      <c r="AT503" s="76"/>
      <c r="AU503" s="76"/>
      <c r="AV503" s="76"/>
      <c r="AW503" s="76"/>
      <c r="AX503" s="76" t="b">
        <v>0</v>
      </c>
      <c r="AY503" s="76"/>
      <c r="AZ503" s="76"/>
      <c r="BA503" s="76" t="b">
        <v>0</v>
      </c>
      <c r="BB503" s="76" t="b">
        <v>1</v>
      </c>
      <c r="BC503" s="76" t="b">
        <v>1</v>
      </c>
      <c r="BD503" s="76" t="b">
        <v>0</v>
      </c>
      <c r="BE503" s="76" t="b">
        <v>0</v>
      </c>
      <c r="BF503" s="76" t="b">
        <v>0</v>
      </c>
      <c r="BG503" s="76" t="b">
        <v>0</v>
      </c>
      <c r="BH503" s="76"/>
      <c r="BI503" s="76"/>
      <c r="BJ503" s="76" t="s">
        <v>19633</v>
      </c>
      <c r="BK503" s="76" t="b">
        <v>0</v>
      </c>
      <c r="BL503" s="76"/>
      <c r="BM503" s="76" t="s">
        <v>66</v>
      </c>
      <c r="BN503" s="76" t="s">
        <v>19635</v>
      </c>
      <c r="BO503" s="83" t="str">
        <f>HYPERLINK("https://twitter.com/investireviver8")</f>
        <v>https://twitter.com/investireviver8</v>
      </c>
      <c r="BP503" s="2"/>
    </row>
    <row r="504" spans="1:68" x14ac:dyDescent="0.25">
      <c r="A504" s="62" t="s">
        <v>668</v>
      </c>
      <c r="B504" s="63"/>
      <c r="C504" s="63"/>
      <c r="D504" s="64"/>
      <c r="E504" s="66"/>
      <c r="F504" s="103" t="str">
        <f>HYPERLINK("https://pbs.twimg.com/profile_images/1186680720477036545/_u0W1BQD_normal.jpg")</f>
        <v>https://pbs.twimg.com/profile_images/1186680720477036545/_u0W1BQD_normal.jpg</v>
      </c>
      <c r="G504" s="63"/>
      <c r="H504" s="67"/>
      <c r="I504" s="68"/>
      <c r="J504" s="68"/>
      <c r="K504" s="67" t="s">
        <v>20136</v>
      </c>
      <c r="L504" s="71"/>
      <c r="M504" s="72"/>
      <c r="N504" s="72"/>
      <c r="O504" s="73"/>
      <c r="P504" s="74"/>
      <c r="Q504" s="74"/>
      <c r="R504" s="87"/>
      <c r="S504" s="87"/>
      <c r="T504" s="87"/>
      <c r="U504" s="87"/>
      <c r="V504" s="48"/>
      <c r="W504" s="48"/>
      <c r="X504" s="47">
        <v>1.101E-3</v>
      </c>
      <c r="Y504" s="48"/>
      <c r="Z504" s="47"/>
      <c r="AA504" s="69">
        <v>504</v>
      </c>
      <c r="AB504" s="69"/>
      <c r="AC504" s="70"/>
      <c r="AD504" s="76" t="s">
        <v>17136</v>
      </c>
      <c r="AE504" s="81" t="s">
        <v>17703</v>
      </c>
      <c r="AF504" s="76">
        <v>3601</v>
      </c>
      <c r="AG504" s="76">
        <v>17</v>
      </c>
      <c r="AH504" s="76">
        <v>968</v>
      </c>
      <c r="AI504" s="76">
        <v>13</v>
      </c>
      <c r="AJ504" s="76">
        <v>9</v>
      </c>
      <c r="AK504" s="76">
        <v>636</v>
      </c>
      <c r="AL504" s="76" t="b">
        <v>0</v>
      </c>
      <c r="AM504" s="78">
        <v>40161.475462962961</v>
      </c>
      <c r="AN504" s="76" t="s">
        <v>10622</v>
      </c>
      <c r="AO504" s="76" t="s">
        <v>18600</v>
      </c>
      <c r="AP504" s="83" t="str">
        <f>HYPERLINK("https://t.co/tTGASZRFdg")</f>
        <v>https://t.co/tTGASZRFdg</v>
      </c>
      <c r="AQ504" s="83" t="str">
        <f>HYPERLINK("https://linktr.ee/orcosecontabilidade")</f>
        <v>https://linktr.ee/orcosecontabilidade</v>
      </c>
      <c r="AR504" s="76" t="s">
        <v>19291</v>
      </c>
      <c r="AS504" s="76"/>
      <c r="AT504" s="76"/>
      <c r="AU504" s="76"/>
      <c r="AV504" s="76"/>
      <c r="AW504" s="83" t="str">
        <f>HYPERLINK("https://t.co/tTGASZRFdg")</f>
        <v>https://t.co/tTGASZRFdg</v>
      </c>
      <c r="AX504" s="76" t="b">
        <v>0</v>
      </c>
      <c r="AY504" s="76"/>
      <c r="AZ504" s="76"/>
      <c r="BA504" s="76" t="b">
        <v>1</v>
      </c>
      <c r="BB504" s="76" t="b">
        <v>1</v>
      </c>
      <c r="BC504" s="76" t="b">
        <v>0</v>
      </c>
      <c r="BD504" s="76" t="b">
        <v>0</v>
      </c>
      <c r="BE504" s="76" t="b">
        <v>0</v>
      </c>
      <c r="BF504" s="76" t="b">
        <v>0</v>
      </c>
      <c r="BG504" s="76" t="b">
        <v>0</v>
      </c>
      <c r="BH504" s="83" t="str">
        <f>HYPERLINK("https://pbs.twimg.com/profile_banners/96743223/1631221620")</f>
        <v>https://pbs.twimg.com/profile_banners/96743223/1631221620</v>
      </c>
      <c r="BI504" s="76"/>
      <c r="BJ504" s="76" t="s">
        <v>19633</v>
      </c>
      <c r="BK504" s="76" t="b">
        <v>0</v>
      </c>
      <c r="BL504" s="76"/>
      <c r="BM504" s="76" t="s">
        <v>66</v>
      </c>
      <c r="BN504" s="76" t="s">
        <v>19635</v>
      </c>
      <c r="BO504" s="83" t="str">
        <f>HYPERLINK("https://twitter.com/orcose")</f>
        <v>https://twitter.com/orcose</v>
      </c>
      <c r="BP504" s="2"/>
    </row>
    <row r="505" spans="1:68" x14ac:dyDescent="0.25">
      <c r="A505" s="62" t="s">
        <v>669</v>
      </c>
      <c r="B505" s="63"/>
      <c r="C505" s="63"/>
      <c r="D505" s="64"/>
      <c r="E505" s="66"/>
      <c r="F505" s="103" t="str">
        <f>HYPERLINK("https://pbs.twimg.com/profile_images/1102566780340523008/QNc0CxO2_normal.png")</f>
        <v>https://pbs.twimg.com/profile_images/1102566780340523008/QNc0CxO2_normal.png</v>
      </c>
      <c r="G505" s="63"/>
      <c r="H505" s="67"/>
      <c r="I505" s="68"/>
      <c r="J505" s="68"/>
      <c r="K505" s="67" t="s">
        <v>20137</v>
      </c>
      <c r="L505" s="71"/>
      <c r="M505" s="72"/>
      <c r="N505" s="72"/>
      <c r="O505" s="73"/>
      <c r="P505" s="74"/>
      <c r="Q505" s="74"/>
      <c r="R505" s="87"/>
      <c r="S505" s="87"/>
      <c r="T505" s="87"/>
      <c r="U505" s="87"/>
      <c r="V505" s="48"/>
      <c r="W505" s="48"/>
      <c r="X505" s="47">
        <v>1.101E-3</v>
      </c>
      <c r="Y505" s="48"/>
      <c r="Z505" s="47"/>
      <c r="AA505" s="69">
        <v>505</v>
      </c>
      <c r="AB505" s="69"/>
      <c r="AC505" s="70"/>
      <c r="AD505" s="76" t="s">
        <v>17137</v>
      </c>
      <c r="AE505" s="81" t="s">
        <v>17704</v>
      </c>
      <c r="AF505" s="76">
        <v>1555</v>
      </c>
      <c r="AG505" s="76">
        <v>1190</v>
      </c>
      <c r="AH505" s="76">
        <v>31426</v>
      </c>
      <c r="AI505" s="76">
        <v>60</v>
      </c>
      <c r="AJ505" s="76">
        <v>836</v>
      </c>
      <c r="AK505" s="76">
        <v>647</v>
      </c>
      <c r="AL505" s="76" t="b">
        <v>0</v>
      </c>
      <c r="AM505" s="78">
        <v>40131.59097222222</v>
      </c>
      <c r="AN505" s="76"/>
      <c r="AO505" s="76" t="s">
        <v>18601</v>
      </c>
      <c r="AP505" s="83" t="str">
        <f>HYPERLINK("https://t.co/UX9B0ObHLP")</f>
        <v>https://t.co/UX9B0ObHLP</v>
      </c>
      <c r="AQ505" s="83" t="str">
        <f>HYPERLINK("https://ebookesolucao.blogspot.com/")</f>
        <v>https://ebookesolucao.blogspot.com/</v>
      </c>
      <c r="AR505" s="76" t="s">
        <v>19292</v>
      </c>
      <c r="AS505" s="76"/>
      <c r="AT505" s="76"/>
      <c r="AU505" s="76"/>
      <c r="AV505" s="76"/>
      <c r="AW505" s="83" t="str">
        <f>HYPERLINK("https://t.co/UX9B0ObHLP")</f>
        <v>https://t.co/UX9B0ObHLP</v>
      </c>
      <c r="AX505" s="76" t="b">
        <v>0</v>
      </c>
      <c r="AY505" s="76"/>
      <c r="AZ505" s="76"/>
      <c r="BA505" s="76" t="b">
        <v>0</v>
      </c>
      <c r="BB505" s="76" t="b">
        <v>1</v>
      </c>
      <c r="BC505" s="76" t="b">
        <v>0</v>
      </c>
      <c r="BD505" s="76" t="b">
        <v>0</v>
      </c>
      <c r="BE505" s="76" t="b">
        <v>0</v>
      </c>
      <c r="BF505" s="76" t="b">
        <v>0</v>
      </c>
      <c r="BG505" s="76" t="b">
        <v>0</v>
      </c>
      <c r="BH505" s="76"/>
      <c r="BI505" s="76"/>
      <c r="BJ505" s="76" t="s">
        <v>19633</v>
      </c>
      <c r="BK505" s="76" t="b">
        <v>0</v>
      </c>
      <c r="BL505" s="76"/>
      <c r="BM505" s="76" t="s">
        <v>66</v>
      </c>
      <c r="BN505" s="76" t="s">
        <v>19635</v>
      </c>
      <c r="BO505" s="83" t="str">
        <f>HYPERLINK("https://twitter.com/flaertes27")</f>
        <v>https://twitter.com/flaertes27</v>
      </c>
      <c r="BP505" s="2"/>
    </row>
    <row r="506" spans="1:68" x14ac:dyDescent="0.25">
      <c r="A506" s="62" t="s">
        <v>670</v>
      </c>
      <c r="B506" s="63"/>
      <c r="C506" s="63"/>
      <c r="D506" s="64"/>
      <c r="E506" s="66"/>
      <c r="F506" s="103" t="str">
        <f>HYPERLINK("https://pbs.twimg.com/profile_images/1186045460127068161/GBgiHBl0_normal.jpg")</f>
        <v>https://pbs.twimg.com/profile_images/1186045460127068161/GBgiHBl0_normal.jpg</v>
      </c>
      <c r="G506" s="63"/>
      <c r="H506" s="67"/>
      <c r="I506" s="68"/>
      <c r="J506" s="68"/>
      <c r="K506" s="67" t="s">
        <v>20138</v>
      </c>
      <c r="L506" s="71"/>
      <c r="M506" s="72"/>
      <c r="N506" s="72"/>
      <c r="O506" s="73"/>
      <c r="P506" s="74"/>
      <c r="Q506" s="74"/>
      <c r="R506" s="87"/>
      <c r="S506" s="87"/>
      <c r="T506" s="87"/>
      <c r="U506" s="87"/>
      <c r="V506" s="48"/>
      <c r="W506" s="48"/>
      <c r="X506" s="47">
        <v>1.101E-3</v>
      </c>
      <c r="Y506" s="48"/>
      <c r="Z506" s="47"/>
      <c r="AA506" s="69">
        <v>506</v>
      </c>
      <c r="AB506" s="69"/>
      <c r="AC506" s="70"/>
      <c r="AD506" s="76" t="s">
        <v>17138</v>
      </c>
      <c r="AE506" s="81" t="s">
        <v>16389</v>
      </c>
      <c r="AF506" s="76">
        <v>29</v>
      </c>
      <c r="AG506" s="76">
        <v>10</v>
      </c>
      <c r="AH506" s="76">
        <v>786</v>
      </c>
      <c r="AI506" s="76">
        <v>0</v>
      </c>
      <c r="AJ506" s="76">
        <v>65</v>
      </c>
      <c r="AK506" s="76">
        <v>771</v>
      </c>
      <c r="AL506" s="76" t="b">
        <v>0</v>
      </c>
      <c r="AM506" s="78">
        <v>43758.933310185188</v>
      </c>
      <c r="AN506" s="76" t="s">
        <v>18029</v>
      </c>
      <c r="AO506" s="76" t="s">
        <v>18602</v>
      </c>
      <c r="AP506" s="83" t="str">
        <f>HYPERLINK("https://t.co/BoKdZq5eSf")</f>
        <v>https://t.co/BoKdZq5eSf</v>
      </c>
      <c r="AQ506" s="83" t="str">
        <f>HYPERLINK("http://www.rmcnoticias.com.br")</f>
        <v>http://www.rmcnoticias.com.br</v>
      </c>
      <c r="AR506" s="76" t="s">
        <v>19293</v>
      </c>
      <c r="AS506" s="76"/>
      <c r="AT506" s="76"/>
      <c r="AU506" s="76"/>
      <c r="AV506" s="76"/>
      <c r="AW506" s="83" t="str">
        <f>HYPERLINK("https://t.co/BoKdZq5eSf")</f>
        <v>https://t.co/BoKdZq5eSf</v>
      </c>
      <c r="AX506" s="76" t="b">
        <v>0</v>
      </c>
      <c r="AY506" s="76"/>
      <c r="AZ506" s="76"/>
      <c r="BA506" s="76" t="b">
        <v>0</v>
      </c>
      <c r="BB506" s="76" t="b">
        <v>1</v>
      </c>
      <c r="BC506" s="76" t="b">
        <v>1</v>
      </c>
      <c r="BD506" s="76" t="b">
        <v>0</v>
      </c>
      <c r="BE506" s="76" t="b">
        <v>0</v>
      </c>
      <c r="BF506" s="76" t="b">
        <v>0</v>
      </c>
      <c r="BG506" s="76" t="b">
        <v>0</v>
      </c>
      <c r="BH506" s="83" t="str">
        <f>HYPERLINK("https://pbs.twimg.com/profile_banners/1186045394981130240/1571610453")</f>
        <v>https://pbs.twimg.com/profile_banners/1186045394981130240/1571610453</v>
      </c>
      <c r="BI506" s="76"/>
      <c r="BJ506" s="76" t="s">
        <v>19633</v>
      </c>
      <c r="BK506" s="76" t="b">
        <v>0</v>
      </c>
      <c r="BL506" s="76"/>
      <c r="BM506" s="76" t="s">
        <v>66</v>
      </c>
      <c r="BN506" s="76" t="s">
        <v>19635</v>
      </c>
      <c r="BO506" s="83" t="str">
        <f>HYPERLINK("https://twitter.com/rmcnoticias1")</f>
        <v>https://twitter.com/rmcnoticias1</v>
      </c>
      <c r="BP506" s="2"/>
    </row>
    <row r="507" spans="1:68" x14ac:dyDescent="0.25">
      <c r="A507" s="62" t="s">
        <v>671</v>
      </c>
      <c r="B507" s="63"/>
      <c r="C507" s="63"/>
      <c r="D507" s="64"/>
      <c r="E507" s="66"/>
      <c r="F507" s="103" t="str">
        <f>HYPERLINK("https://pbs.twimg.com/profile_images/1671615374058573826/4F9U149V_normal.png")</f>
        <v>https://pbs.twimg.com/profile_images/1671615374058573826/4F9U149V_normal.png</v>
      </c>
      <c r="G507" s="63"/>
      <c r="H507" s="67"/>
      <c r="I507" s="68"/>
      <c r="J507" s="68"/>
      <c r="K507" s="67" t="s">
        <v>20139</v>
      </c>
      <c r="L507" s="71"/>
      <c r="M507" s="72"/>
      <c r="N507" s="72"/>
      <c r="O507" s="73"/>
      <c r="P507" s="74"/>
      <c r="Q507" s="74"/>
      <c r="R507" s="87"/>
      <c r="S507" s="87"/>
      <c r="T507" s="87"/>
      <c r="U507" s="87"/>
      <c r="V507" s="48"/>
      <c r="W507" s="48"/>
      <c r="X507" s="47">
        <v>1.101E-3</v>
      </c>
      <c r="Y507" s="48"/>
      <c r="Z507" s="47"/>
      <c r="AA507" s="69">
        <v>507</v>
      </c>
      <c r="AB507" s="69"/>
      <c r="AC507" s="70"/>
      <c r="AD507" s="76" t="s">
        <v>17139</v>
      </c>
      <c r="AE507" s="81" t="s">
        <v>16390</v>
      </c>
      <c r="AF507" s="76">
        <v>4</v>
      </c>
      <c r="AG507" s="76">
        <v>5</v>
      </c>
      <c r="AH507" s="76">
        <v>22</v>
      </c>
      <c r="AI507" s="76">
        <v>0</v>
      </c>
      <c r="AJ507" s="76">
        <v>0</v>
      </c>
      <c r="AK507" s="76">
        <v>16</v>
      </c>
      <c r="AL507" s="76" t="b">
        <v>0</v>
      </c>
      <c r="AM507" s="78">
        <v>45061.496041666665</v>
      </c>
      <c r="AN507" s="76" t="s">
        <v>18030</v>
      </c>
      <c r="AO507" s="76" t="s">
        <v>18603</v>
      </c>
      <c r="AP507" s="83" t="str">
        <f>HYPERLINK("https://t.co/VWzFdap81S")</f>
        <v>https://t.co/VWzFdap81S</v>
      </c>
      <c r="AQ507" s="83" t="str">
        <f>HYPERLINK("http://www.plocplay.com.br")</f>
        <v>http://www.plocplay.com.br</v>
      </c>
      <c r="AR507" s="76" t="s">
        <v>19294</v>
      </c>
      <c r="AS507" s="76"/>
      <c r="AT507" s="76"/>
      <c r="AU507" s="76"/>
      <c r="AV507" s="76">
        <v>1.6635429017528699E+18</v>
      </c>
      <c r="AW507" s="83" t="str">
        <f>HYPERLINK("https://t.co/VWzFdap81S")</f>
        <v>https://t.co/VWzFdap81S</v>
      </c>
      <c r="AX507" s="76" t="b">
        <v>0</v>
      </c>
      <c r="AY507" s="76"/>
      <c r="AZ507" s="76"/>
      <c r="BA507" s="76" t="b">
        <v>0</v>
      </c>
      <c r="BB507" s="76" t="b">
        <v>1</v>
      </c>
      <c r="BC507" s="76" t="b">
        <v>1</v>
      </c>
      <c r="BD507" s="76" t="b">
        <v>0</v>
      </c>
      <c r="BE507" s="76" t="b">
        <v>0</v>
      </c>
      <c r="BF507" s="76" t="b">
        <v>0</v>
      </c>
      <c r="BG507" s="76" t="b">
        <v>0</v>
      </c>
      <c r="BH507" s="83" t="str">
        <f>HYPERLINK("https://pbs.twimg.com/profile_banners/1658078124544872448/1687810053")</f>
        <v>https://pbs.twimg.com/profile_banners/1658078124544872448/1687810053</v>
      </c>
      <c r="BI507" s="76"/>
      <c r="BJ507" s="76" t="s">
        <v>19633</v>
      </c>
      <c r="BK507" s="76" t="b">
        <v>0</v>
      </c>
      <c r="BL507" s="76"/>
      <c r="BM507" s="76" t="s">
        <v>66</v>
      </c>
      <c r="BN507" s="76" t="s">
        <v>19635</v>
      </c>
      <c r="BO507" s="83" t="str">
        <f>HYPERLINK("https://twitter.com/plocplay")</f>
        <v>https://twitter.com/plocplay</v>
      </c>
      <c r="BP507" s="2"/>
    </row>
    <row r="508" spans="1:68" x14ac:dyDescent="0.25">
      <c r="A508" s="62" t="s">
        <v>672</v>
      </c>
      <c r="B508" s="63"/>
      <c r="C508" s="63"/>
      <c r="D508" s="64"/>
      <c r="E508" s="66"/>
      <c r="F508" s="103" t="str">
        <f>HYPERLINK("https://pbs.twimg.com/profile_images/1543984723441098758/0Vfncazl_normal.jpg")</f>
        <v>https://pbs.twimg.com/profile_images/1543984723441098758/0Vfncazl_normal.jpg</v>
      </c>
      <c r="G508" s="63"/>
      <c r="H508" s="67"/>
      <c r="I508" s="68"/>
      <c r="J508" s="68"/>
      <c r="K508" s="67" t="s">
        <v>20140</v>
      </c>
      <c r="L508" s="71"/>
      <c r="M508" s="72"/>
      <c r="N508" s="72"/>
      <c r="O508" s="73"/>
      <c r="P508" s="74"/>
      <c r="Q508" s="74"/>
      <c r="R508" s="87"/>
      <c r="S508" s="87"/>
      <c r="T508" s="87"/>
      <c r="U508" s="87"/>
      <c r="V508" s="48"/>
      <c r="W508" s="48"/>
      <c r="X508" s="47">
        <v>1.101E-3</v>
      </c>
      <c r="Y508" s="48"/>
      <c r="Z508" s="47"/>
      <c r="AA508" s="69">
        <v>508</v>
      </c>
      <c r="AB508" s="69"/>
      <c r="AC508" s="70"/>
      <c r="AD508" s="76" t="s">
        <v>17140</v>
      </c>
      <c r="AE508" s="81" t="s">
        <v>16391</v>
      </c>
      <c r="AF508" s="76">
        <v>12</v>
      </c>
      <c r="AG508" s="76">
        <v>97</v>
      </c>
      <c r="AH508" s="76">
        <v>182</v>
      </c>
      <c r="AI508" s="76">
        <v>0</v>
      </c>
      <c r="AJ508" s="76">
        <v>356</v>
      </c>
      <c r="AK508" s="76">
        <v>13</v>
      </c>
      <c r="AL508" s="76" t="b">
        <v>0</v>
      </c>
      <c r="AM508" s="78">
        <v>44742.624259259261</v>
      </c>
      <c r="AN508" s="76"/>
      <c r="AO508" s="76" t="s">
        <v>18604</v>
      </c>
      <c r="AP508" s="76"/>
      <c r="AQ508" s="76"/>
      <c r="AR508" s="76"/>
      <c r="AS508" s="76"/>
      <c r="AT508" s="76"/>
      <c r="AU508" s="76"/>
      <c r="AV508" s="76">
        <v>1.6287380144143401E+18</v>
      </c>
      <c r="AW508" s="76"/>
      <c r="AX508" s="76" t="b">
        <v>0</v>
      </c>
      <c r="AY508" s="76"/>
      <c r="AZ508" s="76"/>
      <c r="BA508" s="76" t="b">
        <v>0</v>
      </c>
      <c r="BB508" s="76" t="b">
        <v>1</v>
      </c>
      <c r="BC508" s="76" t="b">
        <v>1</v>
      </c>
      <c r="BD508" s="76" t="b">
        <v>0</v>
      </c>
      <c r="BE508" s="76" t="b">
        <v>0</v>
      </c>
      <c r="BF508" s="76" t="b">
        <v>0</v>
      </c>
      <c r="BG508" s="76" t="b">
        <v>0</v>
      </c>
      <c r="BH508" s="83" t="str">
        <f>HYPERLINK("https://pbs.twimg.com/profile_banners/1542523046044377093/1669212265")</f>
        <v>https://pbs.twimg.com/profile_banners/1542523046044377093/1669212265</v>
      </c>
      <c r="BI508" s="76"/>
      <c r="BJ508" s="76" t="s">
        <v>19633</v>
      </c>
      <c r="BK508" s="76" t="b">
        <v>0</v>
      </c>
      <c r="BL508" s="76"/>
      <c r="BM508" s="76" t="s">
        <v>66</v>
      </c>
      <c r="BN508" s="76" t="s">
        <v>19635</v>
      </c>
      <c r="BO508" s="83" t="str">
        <f>HYPERLINK("https://twitter.com/fabianemathes")</f>
        <v>https://twitter.com/fabianemathes</v>
      </c>
      <c r="BP508" s="2"/>
    </row>
    <row r="509" spans="1:68" x14ac:dyDescent="0.25">
      <c r="A509" s="62" t="s">
        <v>673</v>
      </c>
      <c r="B509" s="63"/>
      <c r="C509" s="63"/>
      <c r="D509" s="64"/>
      <c r="E509" s="66"/>
      <c r="F509" s="103" t="str">
        <f>HYPERLINK("https://pbs.twimg.com/profile_images/1592447304933543936/1XRbIv9y_normal.jpg")</f>
        <v>https://pbs.twimg.com/profile_images/1592447304933543936/1XRbIv9y_normal.jpg</v>
      </c>
      <c r="G509" s="63"/>
      <c r="H509" s="67"/>
      <c r="I509" s="68"/>
      <c r="J509" s="68"/>
      <c r="K509" s="67" t="s">
        <v>20141</v>
      </c>
      <c r="L509" s="71"/>
      <c r="M509" s="72"/>
      <c r="N509" s="72"/>
      <c r="O509" s="73"/>
      <c r="P509" s="74"/>
      <c r="Q509" s="74"/>
      <c r="R509" s="87"/>
      <c r="S509" s="87"/>
      <c r="T509" s="87"/>
      <c r="U509" s="87"/>
      <c r="V509" s="48"/>
      <c r="W509" s="48"/>
      <c r="X509" s="47">
        <v>1.101E-3</v>
      </c>
      <c r="Y509" s="48"/>
      <c r="Z509" s="47"/>
      <c r="AA509" s="69">
        <v>509</v>
      </c>
      <c r="AB509" s="69"/>
      <c r="AC509" s="70"/>
      <c r="AD509" s="76" t="s">
        <v>17141</v>
      </c>
      <c r="AE509" s="81" t="s">
        <v>17705</v>
      </c>
      <c r="AF509" s="76">
        <v>101</v>
      </c>
      <c r="AG509" s="76">
        <v>136</v>
      </c>
      <c r="AH509" s="76">
        <v>3243</v>
      </c>
      <c r="AI509" s="76">
        <v>4</v>
      </c>
      <c r="AJ509" s="76">
        <v>1677</v>
      </c>
      <c r="AK509" s="76">
        <v>68</v>
      </c>
      <c r="AL509" s="76" t="b">
        <v>0</v>
      </c>
      <c r="AM509" s="78">
        <v>40325.508761574078</v>
      </c>
      <c r="AN509" s="76"/>
      <c r="AO509" s="76"/>
      <c r="AP509" s="76"/>
      <c r="AQ509" s="76"/>
      <c r="AR509" s="76"/>
      <c r="AS509" s="76"/>
      <c r="AT509" s="76"/>
      <c r="AU509" s="76"/>
      <c r="AV509" s="76"/>
      <c r="AW509" s="76"/>
      <c r="AX509" s="76" t="b">
        <v>0</v>
      </c>
      <c r="AY509" s="76"/>
      <c r="AZ509" s="76"/>
      <c r="BA509" s="76" t="b">
        <v>1</v>
      </c>
      <c r="BB509" s="76" t="b">
        <v>1</v>
      </c>
      <c r="BC509" s="76" t="b">
        <v>1</v>
      </c>
      <c r="BD509" s="76" t="b">
        <v>0</v>
      </c>
      <c r="BE509" s="76" t="b">
        <v>1</v>
      </c>
      <c r="BF509" s="76" t="b">
        <v>0</v>
      </c>
      <c r="BG509" s="76" t="b">
        <v>0</v>
      </c>
      <c r="BH509" s="83" t="str">
        <f>HYPERLINK("https://pbs.twimg.com/profile_banners/148712151/1646127351")</f>
        <v>https://pbs.twimg.com/profile_banners/148712151/1646127351</v>
      </c>
      <c r="BI509" s="76"/>
      <c r="BJ509" s="76" t="s">
        <v>19633</v>
      </c>
      <c r="BK509" s="76" t="b">
        <v>0</v>
      </c>
      <c r="BL509" s="76"/>
      <c r="BM509" s="76" t="s">
        <v>66</v>
      </c>
      <c r="BN509" s="76" t="s">
        <v>19635</v>
      </c>
      <c r="BO509" s="83" t="str">
        <f>HYPERLINK("https://twitter.com/marioeudes")</f>
        <v>https://twitter.com/marioeudes</v>
      </c>
      <c r="BP509" s="2"/>
    </row>
    <row r="510" spans="1:68" x14ac:dyDescent="0.25">
      <c r="A510" s="62" t="s">
        <v>674</v>
      </c>
      <c r="B510" s="63"/>
      <c r="C510" s="63"/>
      <c r="D510" s="64"/>
      <c r="E510" s="66"/>
      <c r="F510" s="103" t="str">
        <f>HYPERLINK("https://pbs.twimg.com/profile_images/1113251364556156928/dDpXSNqF_normal.jpg")</f>
        <v>https://pbs.twimg.com/profile_images/1113251364556156928/dDpXSNqF_normal.jpg</v>
      </c>
      <c r="G510" s="63"/>
      <c r="H510" s="67"/>
      <c r="I510" s="68"/>
      <c r="J510" s="68"/>
      <c r="K510" s="67" t="s">
        <v>20142</v>
      </c>
      <c r="L510" s="71"/>
      <c r="M510" s="72"/>
      <c r="N510" s="72"/>
      <c r="O510" s="73"/>
      <c r="P510" s="74"/>
      <c r="Q510" s="74"/>
      <c r="R510" s="87"/>
      <c r="S510" s="87"/>
      <c r="T510" s="87"/>
      <c r="U510" s="87"/>
      <c r="V510" s="48"/>
      <c r="W510" s="48"/>
      <c r="X510" s="47">
        <v>1E-3</v>
      </c>
      <c r="Y510" s="48"/>
      <c r="Z510" s="47"/>
      <c r="AA510" s="69">
        <v>510</v>
      </c>
      <c r="AB510" s="69"/>
      <c r="AC510" s="70"/>
      <c r="AD510" s="76" t="s">
        <v>17142</v>
      </c>
      <c r="AE510" s="81" t="s">
        <v>16392</v>
      </c>
      <c r="AF510" s="76">
        <v>26</v>
      </c>
      <c r="AG510" s="76">
        <v>41</v>
      </c>
      <c r="AH510" s="76">
        <v>1035</v>
      </c>
      <c r="AI510" s="76">
        <v>0</v>
      </c>
      <c r="AJ510" s="76">
        <v>567</v>
      </c>
      <c r="AK510" s="76">
        <v>162</v>
      </c>
      <c r="AL510" s="76" t="b">
        <v>0</v>
      </c>
      <c r="AM510" s="78">
        <v>43558.05505787037</v>
      </c>
      <c r="AN510" s="76" t="s">
        <v>10552</v>
      </c>
      <c r="AO510" s="76" t="s">
        <v>18605</v>
      </c>
      <c r="AP510" s="83" t="str">
        <f>HYPERLINK("https://t.co/Pdty774AFG")</f>
        <v>https://t.co/Pdty774AFG</v>
      </c>
      <c r="AQ510" s="83" t="str">
        <f>HYPERLINK("http://www.cdljovem.org.br")</f>
        <v>http://www.cdljovem.org.br</v>
      </c>
      <c r="AR510" s="76" t="s">
        <v>19295</v>
      </c>
      <c r="AS510" s="76"/>
      <c r="AT510" s="76"/>
      <c r="AU510" s="76"/>
      <c r="AV510" s="76"/>
      <c r="AW510" s="83" t="str">
        <f>HYPERLINK("https://t.co/Pdty774AFG")</f>
        <v>https://t.co/Pdty774AFG</v>
      </c>
      <c r="AX510" s="76" t="b">
        <v>0</v>
      </c>
      <c r="AY510" s="76"/>
      <c r="AZ510" s="76"/>
      <c r="BA510" s="76" t="b">
        <v>0</v>
      </c>
      <c r="BB510" s="76" t="b">
        <v>1</v>
      </c>
      <c r="BC510" s="76" t="b">
        <v>0</v>
      </c>
      <c r="BD510" s="76" t="b">
        <v>0</v>
      </c>
      <c r="BE510" s="76" t="b">
        <v>0</v>
      </c>
      <c r="BF510" s="76" t="b">
        <v>0</v>
      </c>
      <c r="BG510" s="76" t="b">
        <v>0</v>
      </c>
      <c r="BH510" s="83" t="str">
        <f>HYPERLINK("https://pbs.twimg.com/profile_banners/1113249580680921088/1554254847")</f>
        <v>https://pbs.twimg.com/profile_banners/1113249580680921088/1554254847</v>
      </c>
      <c r="BI510" s="76"/>
      <c r="BJ510" s="76" t="s">
        <v>19633</v>
      </c>
      <c r="BK510" s="76" t="b">
        <v>0</v>
      </c>
      <c r="BL510" s="76"/>
      <c r="BM510" s="76" t="s">
        <v>66</v>
      </c>
      <c r="BN510" s="76" t="s">
        <v>19635</v>
      </c>
      <c r="BO510" s="83" t="str">
        <f>HYPERLINK("https://twitter.com/portalcdljovem")</f>
        <v>https://twitter.com/portalcdljovem</v>
      </c>
      <c r="BP510" s="2"/>
    </row>
    <row r="511" spans="1:68" x14ac:dyDescent="0.25">
      <c r="A511" s="62" t="s">
        <v>675</v>
      </c>
      <c r="B511" s="63"/>
      <c r="C511" s="63"/>
      <c r="D511" s="64"/>
      <c r="E511" s="66"/>
      <c r="F511" s="103" t="str">
        <f>HYPERLINK("https://pbs.twimg.com/profile_images/1215808420302991365/ilDIeL-7_normal.jpg")</f>
        <v>https://pbs.twimg.com/profile_images/1215808420302991365/ilDIeL-7_normal.jpg</v>
      </c>
      <c r="G511" s="63"/>
      <c r="H511" s="67"/>
      <c r="I511" s="68"/>
      <c r="J511" s="68"/>
      <c r="K511" s="67" t="s">
        <v>20143</v>
      </c>
      <c r="L511" s="71"/>
      <c r="M511" s="72"/>
      <c r="N511" s="72"/>
      <c r="O511" s="73"/>
      <c r="P511" s="74"/>
      <c r="Q511" s="74"/>
      <c r="R511" s="87"/>
      <c r="S511" s="87"/>
      <c r="T511" s="87"/>
      <c r="U511" s="87"/>
      <c r="V511" s="48"/>
      <c r="W511" s="48"/>
      <c r="X511" s="47">
        <v>1.101E-3</v>
      </c>
      <c r="Y511" s="48"/>
      <c r="Z511" s="47"/>
      <c r="AA511" s="69">
        <v>511</v>
      </c>
      <c r="AB511" s="69"/>
      <c r="AC511" s="70"/>
      <c r="AD511" s="76" t="s">
        <v>17143</v>
      </c>
      <c r="AE511" s="81" t="s">
        <v>17706</v>
      </c>
      <c r="AF511" s="76">
        <v>45</v>
      </c>
      <c r="AG511" s="76">
        <v>100</v>
      </c>
      <c r="AH511" s="76">
        <v>2491</v>
      </c>
      <c r="AI511" s="76">
        <v>0</v>
      </c>
      <c r="AJ511" s="76">
        <v>3295</v>
      </c>
      <c r="AK511" s="76">
        <v>891</v>
      </c>
      <c r="AL511" s="76" t="b">
        <v>0</v>
      </c>
      <c r="AM511" s="78">
        <v>40986.733240740738</v>
      </c>
      <c r="AN511" s="76" t="s">
        <v>10570</v>
      </c>
      <c r="AO511" s="76" t="s">
        <v>18606</v>
      </c>
      <c r="AP511" s="76"/>
      <c r="AQ511" s="76"/>
      <c r="AR511" s="76"/>
      <c r="AS511" s="76"/>
      <c r="AT511" s="76"/>
      <c r="AU511" s="76"/>
      <c r="AV511" s="76"/>
      <c r="AW511" s="76"/>
      <c r="AX511" s="76" t="b">
        <v>0</v>
      </c>
      <c r="AY511" s="76"/>
      <c r="AZ511" s="76"/>
      <c r="BA511" s="76" t="b">
        <v>0</v>
      </c>
      <c r="BB511" s="76" t="b">
        <v>1</v>
      </c>
      <c r="BC511" s="76" t="b">
        <v>0</v>
      </c>
      <c r="BD511" s="76" t="b">
        <v>0</v>
      </c>
      <c r="BE511" s="76" t="b">
        <v>0</v>
      </c>
      <c r="BF511" s="76" t="b">
        <v>0</v>
      </c>
      <c r="BG511" s="76" t="b">
        <v>0</v>
      </c>
      <c r="BH511" s="83" t="str">
        <f>HYPERLINK("https://pbs.twimg.com/profile_banners/528695838/1578706291")</f>
        <v>https://pbs.twimg.com/profile_banners/528695838/1578706291</v>
      </c>
      <c r="BI511" s="76"/>
      <c r="BJ511" s="76" t="s">
        <v>19633</v>
      </c>
      <c r="BK511" s="76" t="b">
        <v>0</v>
      </c>
      <c r="BL511" s="76"/>
      <c r="BM511" s="76" t="s">
        <v>66</v>
      </c>
      <c r="BN511" s="76" t="s">
        <v>19635</v>
      </c>
      <c r="BO511" s="83" t="str">
        <f>HYPERLINK("https://twitter.com/kveira4ever")</f>
        <v>https://twitter.com/kveira4ever</v>
      </c>
      <c r="BP511" s="2"/>
    </row>
    <row r="512" spans="1:68" x14ac:dyDescent="0.25">
      <c r="A512" s="62" t="s">
        <v>1091</v>
      </c>
      <c r="B512" s="63"/>
      <c r="C512" s="63"/>
      <c r="D512" s="64"/>
      <c r="E512" s="66"/>
      <c r="F512" s="103" t="str">
        <f>HYPERLINK("https://pbs.twimg.com/profile_images/1589566255899500545/ciIljioY_normal.jpg")</f>
        <v>https://pbs.twimg.com/profile_images/1589566255899500545/ciIljioY_normal.jpg</v>
      </c>
      <c r="G512" s="63"/>
      <c r="H512" s="67"/>
      <c r="I512" s="68"/>
      <c r="J512" s="68"/>
      <c r="K512" s="67" t="s">
        <v>20144</v>
      </c>
      <c r="L512" s="71"/>
      <c r="M512" s="72"/>
      <c r="N512" s="72"/>
      <c r="O512" s="73"/>
      <c r="P512" s="74"/>
      <c r="Q512" s="74"/>
      <c r="R512" s="87"/>
      <c r="S512" s="87"/>
      <c r="T512" s="87"/>
      <c r="U512" s="87"/>
      <c r="V512" s="48"/>
      <c r="W512" s="48"/>
      <c r="X512" s="47">
        <v>1.101E-3</v>
      </c>
      <c r="Y512" s="48"/>
      <c r="Z512" s="47"/>
      <c r="AA512" s="69">
        <v>512</v>
      </c>
      <c r="AB512" s="69"/>
      <c r="AC512" s="70"/>
      <c r="AD512" s="76" t="s">
        <v>17144</v>
      </c>
      <c r="AE512" s="81" t="s">
        <v>15745</v>
      </c>
      <c r="AF512" s="76">
        <v>150505</v>
      </c>
      <c r="AG512" s="76">
        <v>3204</v>
      </c>
      <c r="AH512" s="76">
        <v>51946</v>
      </c>
      <c r="AI512" s="76">
        <v>709</v>
      </c>
      <c r="AJ512" s="76">
        <v>87851</v>
      </c>
      <c r="AK512" s="76">
        <v>5483</v>
      </c>
      <c r="AL512" s="76" t="b">
        <v>0</v>
      </c>
      <c r="AM512" s="78">
        <v>39978.576296296298</v>
      </c>
      <c r="AN512" s="76"/>
      <c r="AO512" s="76" t="s">
        <v>18607</v>
      </c>
      <c r="AP512" s="83" t="str">
        <f>HYPERLINK("https://t.co/3JK4iFDrdz")</f>
        <v>https://t.co/3JK4iFDrdz</v>
      </c>
      <c r="AQ512" s="83" t="str">
        <f>HYPERLINK("https://www.instagram.com/charles.wicz/")</f>
        <v>https://www.instagram.com/charles.wicz/</v>
      </c>
      <c r="AR512" s="76" t="s">
        <v>19296</v>
      </c>
      <c r="AS512" s="76"/>
      <c r="AT512" s="76"/>
      <c r="AU512" s="76"/>
      <c r="AV512" s="76">
        <v>1.6742220964219899E+18</v>
      </c>
      <c r="AW512" s="83" t="str">
        <f>HYPERLINK("https://t.co/3JK4iFDrdz")</f>
        <v>https://t.co/3JK4iFDrdz</v>
      </c>
      <c r="AX512" s="76" t="b">
        <v>1</v>
      </c>
      <c r="AY512" s="76"/>
      <c r="AZ512" s="76"/>
      <c r="BA512" s="76" t="b">
        <v>0</v>
      </c>
      <c r="BB512" s="76" t="b">
        <v>1</v>
      </c>
      <c r="BC512" s="76" t="b">
        <v>0</v>
      </c>
      <c r="BD512" s="76" t="b">
        <v>0</v>
      </c>
      <c r="BE512" s="76" t="b">
        <v>1</v>
      </c>
      <c r="BF512" s="76" t="b">
        <v>0</v>
      </c>
      <c r="BG512" s="76" t="b">
        <v>0</v>
      </c>
      <c r="BH512" s="83" t="str">
        <f>HYPERLINK("https://pbs.twimg.com/profile_banners/47094293/1692314493")</f>
        <v>https://pbs.twimg.com/profile_banners/47094293/1692314493</v>
      </c>
      <c r="BI512" s="76"/>
      <c r="BJ512" s="76" t="s">
        <v>19633</v>
      </c>
      <c r="BK512" s="76" t="b">
        <v>0</v>
      </c>
      <c r="BL512" s="76"/>
      <c r="BM512" s="76" t="s">
        <v>65</v>
      </c>
      <c r="BN512" s="76" t="s">
        <v>19635</v>
      </c>
      <c r="BO512" s="83" t="str">
        <f>HYPERLINK("https://twitter.com/mendlowicz")</f>
        <v>https://twitter.com/mendlowicz</v>
      </c>
      <c r="BP512" s="2"/>
    </row>
    <row r="513" spans="1:68" x14ac:dyDescent="0.25">
      <c r="A513" s="62" t="s">
        <v>676</v>
      </c>
      <c r="B513" s="63"/>
      <c r="C513" s="63"/>
      <c r="D513" s="64"/>
      <c r="E513" s="66"/>
      <c r="F513" s="103" t="str">
        <f>HYPERLINK("https://pbs.twimg.com/profile_images/1693760425697955840/83PZMCuN_normal.jpg")</f>
        <v>https://pbs.twimg.com/profile_images/1693760425697955840/83PZMCuN_normal.jpg</v>
      </c>
      <c r="G513" s="63"/>
      <c r="H513" s="67"/>
      <c r="I513" s="68"/>
      <c r="J513" s="68"/>
      <c r="K513" s="67" t="s">
        <v>20145</v>
      </c>
      <c r="L513" s="71"/>
      <c r="M513" s="72"/>
      <c r="N513" s="72"/>
      <c r="O513" s="73"/>
      <c r="P513" s="74"/>
      <c r="Q513" s="74"/>
      <c r="R513" s="87"/>
      <c r="S513" s="87"/>
      <c r="T513" s="87"/>
      <c r="U513" s="87"/>
      <c r="V513" s="48"/>
      <c r="W513" s="48"/>
      <c r="X513" s="47">
        <v>1.101E-3</v>
      </c>
      <c r="Y513" s="48"/>
      <c r="Z513" s="47"/>
      <c r="AA513" s="69">
        <v>513</v>
      </c>
      <c r="AB513" s="69"/>
      <c r="AC513" s="70"/>
      <c r="AD513" s="76" t="s">
        <v>17145</v>
      </c>
      <c r="AE513" s="81" t="s">
        <v>16393</v>
      </c>
      <c r="AF513" s="76">
        <v>41</v>
      </c>
      <c r="AG513" s="76">
        <v>203</v>
      </c>
      <c r="AH513" s="76">
        <v>10522</v>
      </c>
      <c r="AI513" s="76">
        <v>4</v>
      </c>
      <c r="AJ513" s="76">
        <v>10277</v>
      </c>
      <c r="AK513" s="76">
        <v>30</v>
      </c>
      <c r="AL513" s="76" t="b">
        <v>0</v>
      </c>
      <c r="AM513" s="78">
        <v>44490.71707175926</v>
      </c>
      <c r="AN513" s="76" t="s">
        <v>10568</v>
      </c>
      <c r="AO513" s="76" t="s">
        <v>18608</v>
      </c>
      <c r="AP513" s="83" t="str">
        <f>HYPERLINK("https://t.co/uroHtWh8x3")</f>
        <v>https://t.co/uroHtWh8x3</v>
      </c>
      <c r="AQ513" s="83" t="str">
        <f>HYPERLINK("https://www.youtube.com/@AlexSilva-cz7bz/featured")</f>
        <v>https://www.youtube.com/@AlexSilva-cz7bz/featured</v>
      </c>
      <c r="AR513" s="76" t="s">
        <v>19297</v>
      </c>
      <c r="AS513" s="76"/>
      <c r="AT513" s="76"/>
      <c r="AU513" s="76"/>
      <c r="AV513" s="76">
        <v>1.45162476552606E+18</v>
      </c>
      <c r="AW513" s="83" t="str">
        <f>HYPERLINK("https://t.co/uroHtWh8x3")</f>
        <v>https://t.co/uroHtWh8x3</v>
      </c>
      <c r="AX513" s="76" t="b">
        <v>0</v>
      </c>
      <c r="AY513" s="76"/>
      <c r="AZ513" s="76"/>
      <c r="BA513" s="76" t="b">
        <v>1</v>
      </c>
      <c r="BB513" s="76" t="b">
        <v>1</v>
      </c>
      <c r="BC513" s="76" t="b">
        <v>1</v>
      </c>
      <c r="BD513" s="76" t="b">
        <v>0</v>
      </c>
      <c r="BE513" s="76" t="b">
        <v>1</v>
      </c>
      <c r="BF513" s="76" t="b">
        <v>0</v>
      </c>
      <c r="BG513" s="76" t="b">
        <v>0</v>
      </c>
      <c r="BH513" s="83" t="str">
        <f>HYPERLINK("https://pbs.twimg.com/profile_banners/1451233522660913163/1691798283")</f>
        <v>https://pbs.twimg.com/profile_banners/1451233522660913163/1691798283</v>
      </c>
      <c r="BI513" s="76"/>
      <c r="BJ513" s="76" t="s">
        <v>19633</v>
      </c>
      <c r="BK513" s="76" t="b">
        <v>0</v>
      </c>
      <c r="BL513" s="76"/>
      <c r="BM513" s="76" t="s">
        <v>66</v>
      </c>
      <c r="BN513" s="76" t="s">
        <v>19635</v>
      </c>
      <c r="BO513" s="83" t="str">
        <f>HYPERLINK("https://twitter.com/alexandrecs79")</f>
        <v>https://twitter.com/alexandrecs79</v>
      </c>
      <c r="BP513" s="2"/>
    </row>
    <row r="514" spans="1:68" x14ac:dyDescent="0.25">
      <c r="A514" s="62" t="s">
        <v>677</v>
      </c>
      <c r="B514" s="63"/>
      <c r="C514" s="63"/>
      <c r="D514" s="64"/>
      <c r="E514" s="66"/>
      <c r="F514" s="103" t="str">
        <f>HYPERLINK("https://pbs.twimg.com/profile_images/1681273705614245888/cE7uMCFj_normal.jpg")</f>
        <v>https://pbs.twimg.com/profile_images/1681273705614245888/cE7uMCFj_normal.jpg</v>
      </c>
      <c r="G514" s="63"/>
      <c r="H514" s="67"/>
      <c r="I514" s="68"/>
      <c r="J514" s="68"/>
      <c r="K514" s="67" t="s">
        <v>20146</v>
      </c>
      <c r="L514" s="71"/>
      <c r="M514" s="72"/>
      <c r="N514" s="72"/>
      <c r="O514" s="73"/>
      <c r="P514" s="74"/>
      <c r="Q514" s="74"/>
      <c r="R514" s="87"/>
      <c r="S514" s="87"/>
      <c r="T514" s="87"/>
      <c r="U514" s="87"/>
      <c r="V514" s="48"/>
      <c r="W514" s="48"/>
      <c r="X514" s="47">
        <v>1.101E-3</v>
      </c>
      <c r="Y514" s="48"/>
      <c r="Z514" s="47"/>
      <c r="AA514" s="69">
        <v>514</v>
      </c>
      <c r="AB514" s="69"/>
      <c r="AC514" s="70"/>
      <c r="AD514" s="76" t="s">
        <v>17146</v>
      </c>
      <c r="AE514" s="81" t="s">
        <v>15746</v>
      </c>
      <c r="AF514" s="76">
        <v>776</v>
      </c>
      <c r="AG514" s="76">
        <v>821</v>
      </c>
      <c r="AH514" s="76">
        <v>9733</v>
      </c>
      <c r="AI514" s="76">
        <v>2</v>
      </c>
      <c r="AJ514" s="76">
        <v>39084</v>
      </c>
      <c r="AK514" s="76">
        <v>399</v>
      </c>
      <c r="AL514" s="76" t="b">
        <v>0</v>
      </c>
      <c r="AM514" s="78">
        <v>40135.684004629627</v>
      </c>
      <c r="AN514" s="76" t="s">
        <v>10552</v>
      </c>
      <c r="AO514" s="76" t="s">
        <v>18609</v>
      </c>
      <c r="AP514" s="83" t="str">
        <f>HYPERLINK("https://t.co/HJsyi4OzIo")</f>
        <v>https://t.co/HJsyi4OzIo</v>
      </c>
      <c r="AQ514" s="83" t="str">
        <f>HYPERLINK("http://www.facebook.com/flavia.pribeiro")</f>
        <v>http://www.facebook.com/flavia.pribeiro</v>
      </c>
      <c r="AR514" s="76" t="s">
        <v>19298</v>
      </c>
      <c r="AS514" s="76"/>
      <c r="AT514" s="76"/>
      <c r="AU514" s="76"/>
      <c r="AV514" s="76"/>
      <c r="AW514" s="83" t="str">
        <f>HYPERLINK("https://t.co/HJsyi4OzIo")</f>
        <v>https://t.co/HJsyi4OzIo</v>
      </c>
      <c r="AX514" s="76" t="b">
        <v>0</v>
      </c>
      <c r="AY514" s="76"/>
      <c r="AZ514" s="76"/>
      <c r="BA514" s="76" t="b">
        <v>1</v>
      </c>
      <c r="BB514" s="76" t="b">
        <v>1</v>
      </c>
      <c r="BC514" s="76" t="b">
        <v>0</v>
      </c>
      <c r="BD514" s="76" t="b">
        <v>0</v>
      </c>
      <c r="BE514" s="76" t="b">
        <v>1</v>
      </c>
      <c r="BF514" s="76" t="b">
        <v>0</v>
      </c>
      <c r="BG514" s="76" t="b">
        <v>0</v>
      </c>
      <c r="BH514" s="83" t="str">
        <f>HYPERLINK("https://pbs.twimg.com/profile_banners/90903147/1539486845")</f>
        <v>https://pbs.twimg.com/profile_banners/90903147/1539486845</v>
      </c>
      <c r="BI514" s="76"/>
      <c r="BJ514" s="76" t="s">
        <v>19633</v>
      </c>
      <c r="BK514" s="76" t="b">
        <v>0</v>
      </c>
      <c r="BL514" s="76"/>
      <c r="BM514" s="76" t="s">
        <v>66</v>
      </c>
      <c r="BN514" s="76" t="s">
        <v>19635</v>
      </c>
      <c r="BO514" s="83" t="str">
        <f>HYPERLINK("https://twitter.com/flavia_pribeiro")</f>
        <v>https://twitter.com/flavia_pribeiro</v>
      </c>
      <c r="BP514" s="2"/>
    </row>
    <row r="515" spans="1:68" x14ac:dyDescent="0.25">
      <c r="A515" s="62" t="s">
        <v>678</v>
      </c>
      <c r="B515" s="63"/>
      <c r="C515" s="63"/>
      <c r="D515" s="64"/>
      <c r="E515" s="66"/>
      <c r="F515" s="103" t="str">
        <f>HYPERLINK("https://pbs.twimg.com/profile_images/2725090237/018522894a55aca0ed6cdbc82f9eb1de_normal.png")</f>
        <v>https://pbs.twimg.com/profile_images/2725090237/018522894a55aca0ed6cdbc82f9eb1de_normal.png</v>
      </c>
      <c r="G515" s="63"/>
      <c r="H515" s="67"/>
      <c r="I515" s="68"/>
      <c r="J515" s="68"/>
      <c r="K515" s="67" t="s">
        <v>20147</v>
      </c>
      <c r="L515" s="71"/>
      <c r="M515" s="72"/>
      <c r="N515" s="72"/>
      <c r="O515" s="73"/>
      <c r="P515" s="74"/>
      <c r="Q515" s="74"/>
      <c r="R515" s="87"/>
      <c r="S515" s="87"/>
      <c r="T515" s="87"/>
      <c r="U515" s="87"/>
      <c r="V515" s="48"/>
      <c r="W515" s="48"/>
      <c r="X515" s="47">
        <v>1.101E-3</v>
      </c>
      <c r="Y515" s="48"/>
      <c r="Z515" s="47"/>
      <c r="AA515" s="69">
        <v>515</v>
      </c>
      <c r="AB515" s="69"/>
      <c r="AC515" s="70"/>
      <c r="AD515" s="76" t="s">
        <v>17147</v>
      </c>
      <c r="AE515" s="81" t="s">
        <v>17707</v>
      </c>
      <c r="AF515" s="76">
        <v>308</v>
      </c>
      <c r="AG515" s="76">
        <v>871</v>
      </c>
      <c r="AH515" s="76">
        <v>21124</v>
      </c>
      <c r="AI515" s="76">
        <v>2</v>
      </c>
      <c r="AJ515" s="76">
        <v>411</v>
      </c>
      <c r="AK515" s="76">
        <v>385</v>
      </c>
      <c r="AL515" s="76" t="b">
        <v>0</v>
      </c>
      <c r="AM515" s="78">
        <v>40778.588078703702</v>
      </c>
      <c r="AN515" s="76" t="s">
        <v>18031</v>
      </c>
      <c r="AO515" s="76" t="s">
        <v>18610</v>
      </c>
      <c r="AP515" s="76"/>
      <c r="AQ515" s="76"/>
      <c r="AR515" s="76"/>
      <c r="AS515" s="76"/>
      <c r="AT515" s="76"/>
      <c r="AU515" s="76"/>
      <c r="AV515" s="76">
        <v>1.12505539921077E+18</v>
      </c>
      <c r="AW515" s="76"/>
      <c r="AX515" s="76" t="b">
        <v>0</v>
      </c>
      <c r="AY515" s="76"/>
      <c r="AZ515" s="76"/>
      <c r="BA515" s="76" t="b">
        <v>1</v>
      </c>
      <c r="BB515" s="76" t="b">
        <v>1</v>
      </c>
      <c r="BC515" s="76" t="b">
        <v>1</v>
      </c>
      <c r="BD515" s="76" t="b">
        <v>0</v>
      </c>
      <c r="BE515" s="76" t="b">
        <v>1</v>
      </c>
      <c r="BF515" s="76" t="b">
        <v>0</v>
      </c>
      <c r="BG515" s="76" t="b">
        <v>0</v>
      </c>
      <c r="BH515" s="76"/>
      <c r="BI515" s="76"/>
      <c r="BJ515" s="76" t="s">
        <v>19633</v>
      </c>
      <c r="BK515" s="76" t="b">
        <v>0</v>
      </c>
      <c r="BL515" s="76"/>
      <c r="BM515" s="76" t="s">
        <v>66</v>
      </c>
      <c r="BN515" s="76" t="s">
        <v>19635</v>
      </c>
      <c r="BO515" s="83" t="str">
        <f>HYPERLINK("https://twitter.com/correa899")</f>
        <v>https://twitter.com/correa899</v>
      </c>
      <c r="BP515" s="2"/>
    </row>
    <row r="516" spans="1:68" x14ac:dyDescent="0.25">
      <c r="A516" s="62" t="s">
        <v>679</v>
      </c>
      <c r="B516" s="63"/>
      <c r="C516" s="63"/>
      <c r="D516" s="64"/>
      <c r="E516" s="66"/>
      <c r="F516" s="103" t="str">
        <f>HYPERLINK("https://pbs.twimg.com/profile_images/1314732896503111680/s3D1ES8y_normal.jpg")</f>
        <v>https://pbs.twimg.com/profile_images/1314732896503111680/s3D1ES8y_normal.jpg</v>
      </c>
      <c r="G516" s="63"/>
      <c r="H516" s="67"/>
      <c r="I516" s="68"/>
      <c r="J516" s="68"/>
      <c r="K516" s="67" t="s">
        <v>20148</v>
      </c>
      <c r="L516" s="71"/>
      <c r="M516" s="72"/>
      <c r="N516" s="72"/>
      <c r="O516" s="73"/>
      <c r="P516" s="74"/>
      <c r="Q516" s="74"/>
      <c r="R516" s="87"/>
      <c r="S516" s="87"/>
      <c r="T516" s="87"/>
      <c r="U516" s="87"/>
      <c r="V516" s="48"/>
      <c r="W516" s="48"/>
      <c r="X516" s="47">
        <v>1.101E-3</v>
      </c>
      <c r="Y516" s="48"/>
      <c r="Z516" s="47"/>
      <c r="AA516" s="69">
        <v>516</v>
      </c>
      <c r="AB516" s="69"/>
      <c r="AC516" s="70"/>
      <c r="AD516" s="76" t="s">
        <v>17148</v>
      </c>
      <c r="AE516" s="81" t="s">
        <v>16394</v>
      </c>
      <c r="AF516" s="76">
        <v>202</v>
      </c>
      <c r="AG516" s="76">
        <v>25</v>
      </c>
      <c r="AH516" s="76">
        <v>871</v>
      </c>
      <c r="AI516" s="76">
        <v>0</v>
      </c>
      <c r="AJ516" s="76">
        <v>467</v>
      </c>
      <c r="AK516" s="76">
        <v>738</v>
      </c>
      <c r="AL516" s="76" t="b">
        <v>0</v>
      </c>
      <c r="AM516" s="78">
        <v>44114.042824074073</v>
      </c>
      <c r="AN516" s="76" t="s">
        <v>10622</v>
      </c>
      <c r="AO516" s="76" t="s">
        <v>18611</v>
      </c>
      <c r="AP516" s="83" t="str">
        <f>HYPERLINK("https://t.co/Q3eNnDjzGq")</f>
        <v>https://t.co/Q3eNnDjzGq</v>
      </c>
      <c r="AQ516" s="83" t="str">
        <f>HYPERLINK("http://www.teatrosergiocardoso.org.br")</f>
        <v>http://www.teatrosergiocardoso.org.br</v>
      </c>
      <c r="AR516" s="76" t="s">
        <v>19299</v>
      </c>
      <c r="AS516" s="76"/>
      <c r="AT516" s="76"/>
      <c r="AU516" s="76"/>
      <c r="AV516" s="76"/>
      <c r="AW516" s="83" t="str">
        <f>HYPERLINK("https://t.co/Q3eNnDjzGq")</f>
        <v>https://t.co/Q3eNnDjzGq</v>
      </c>
      <c r="AX516" s="76" t="b">
        <v>0</v>
      </c>
      <c r="AY516" s="76"/>
      <c r="AZ516" s="76"/>
      <c r="BA516" s="76" t="b">
        <v>0</v>
      </c>
      <c r="BB516" s="76" t="b">
        <v>1</v>
      </c>
      <c r="BC516" s="76" t="b">
        <v>1</v>
      </c>
      <c r="BD516" s="76" t="b">
        <v>0</v>
      </c>
      <c r="BE516" s="76" t="b">
        <v>0</v>
      </c>
      <c r="BF516" s="76" t="b">
        <v>0</v>
      </c>
      <c r="BG516" s="76" t="b">
        <v>0</v>
      </c>
      <c r="BH516" s="83" t="str">
        <f>HYPERLINK("https://pbs.twimg.com/profile_banners/1314732721860730885/1602292713")</f>
        <v>https://pbs.twimg.com/profile_banners/1314732721860730885/1602292713</v>
      </c>
      <c r="BI516" s="76"/>
      <c r="BJ516" s="76" t="s">
        <v>19633</v>
      </c>
      <c r="BK516" s="76" t="b">
        <v>0</v>
      </c>
      <c r="BL516" s="76"/>
      <c r="BM516" s="76" t="s">
        <v>66</v>
      </c>
      <c r="BN516" s="76" t="s">
        <v>19635</v>
      </c>
      <c r="BO516" s="83" t="str">
        <f>HYPERLINK("https://twitter.com/sergioteatro")</f>
        <v>https://twitter.com/sergioteatro</v>
      </c>
      <c r="BP516" s="2"/>
    </row>
    <row r="517" spans="1:68" x14ac:dyDescent="0.25">
      <c r="A517" s="62" t="s">
        <v>680</v>
      </c>
      <c r="B517" s="63"/>
      <c r="C517" s="63"/>
      <c r="D517" s="64"/>
      <c r="E517" s="66"/>
      <c r="F517" s="103" t="str">
        <f>HYPERLINK("https://pbs.twimg.com/profile_images/1600504866731950080/zYaPmwyO_normal.jpg")</f>
        <v>https://pbs.twimg.com/profile_images/1600504866731950080/zYaPmwyO_normal.jpg</v>
      </c>
      <c r="G517" s="63"/>
      <c r="H517" s="67"/>
      <c r="I517" s="68"/>
      <c r="J517" s="68"/>
      <c r="K517" s="67" t="s">
        <v>20149</v>
      </c>
      <c r="L517" s="71"/>
      <c r="M517" s="72"/>
      <c r="N517" s="72"/>
      <c r="O517" s="73"/>
      <c r="P517" s="74"/>
      <c r="Q517" s="74"/>
      <c r="R517" s="87"/>
      <c r="S517" s="87"/>
      <c r="T517" s="87"/>
      <c r="U517" s="87"/>
      <c r="V517" s="48"/>
      <c r="W517" s="48"/>
      <c r="X517" s="47">
        <v>1.101E-3</v>
      </c>
      <c r="Y517" s="48"/>
      <c r="Z517" s="47"/>
      <c r="AA517" s="69">
        <v>517</v>
      </c>
      <c r="AB517" s="69"/>
      <c r="AC517" s="70"/>
      <c r="AD517" s="76" t="s">
        <v>17149</v>
      </c>
      <c r="AE517" s="81" t="s">
        <v>16395</v>
      </c>
      <c r="AF517" s="76">
        <v>5</v>
      </c>
      <c r="AG517" s="76">
        <v>24</v>
      </c>
      <c r="AH517" s="76">
        <v>175</v>
      </c>
      <c r="AI517" s="76">
        <v>0</v>
      </c>
      <c r="AJ517" s="76">
        <v>1</v>
      </c>
      <c r="AK517" s="76">
        <v>30</v>
      </c>
      <c r="AL517" s="76" t="b">
        <v>0</v>
      </c>
      <c r="AM517" s="78">
        <v>44902.61996527778</v>
      </c>
      <c r="AN517" s="76" t="s">
        <v>18032</v>
      </c>
      <c r="AO517" s="76" t="s">
        <v>18612</v>
      </c>
      <c r="AP517" s="76"/>
      <c r="AQ517" s="76"/>
      <c r="AR517" s="76"/>
      <c r="AS517" s="76"/>
      <c r="AT517" s="76"/>
      <c r="AU517" s="76"/>
      <c r="AV517" s="76"/>
      <c r="AW517" s="76"/>
      <c r="AX517" s="76" t="b">
        <v>0</v>
      </c>
      <c r="AY517" s="76"/>
      <c r="AZ517" s="76"/>
      <c r="BA517" s="76" t="b">
        <v>0</v>
      </c>
      <c r="BB517" s="76" t="b">
        <v>1</v>
      </c>
      <c r="BC517" s="76" t="b">
        <v>1</v>
      </c>
      <c r="BD517" s="76" t="b">
        <v>0</v>
      </c>
      <c r="BE517" s="76" t="b">
        <v>0</v>
      </c>
      <c r="BF517" s="76" t="b">
        <v>0</v>
      </c>
      <c r="BG517" s="76" t="b">
        <v>0</v>
      </c>
      <c r="BH517" s="83" t="str">
        <f>HYPERLINK("https://pbs.twimg.com/profile_banners/1600503524080713729/1670425070")</f>
        <v>https://pbs.twimg.com/profile_banners/1600503524080713729/1670425070</v>
      </c>
      <c r="BI517" s="76"/>
      <c r="BJ517" s="76" t="s">
        <v>19633</v>
      </c>
      <c r="BK517" s="76" t="b">
        <v>0</v>
      </c>
      <c r="BL517" s="76"/>
      <c r="BM517" s="76" t="s">
        <v>66</v>
      </c>
      <c r="BN517" s="76" t="s">
        <v>19635</v>
      </c>
      <c r="BO517" s="83" t="str">
        <f>HYPERLINK("https://twitter.com/haramiresearch")</f>
        <v>https://twitter.com/haramiresearch</v>
      </c>
      <c r="BP517" s="2"/>
    </row>
    <row r="518" spans="1:68" x14ac:dyDescent="0.25">
      <c r="A518" s="62" t="s">
        <v>681</v>
      </c>
      <c r="B518" s="63"/>
      <c r="C518" s="63"/>
      <c r="D518" s="64"/>
      <c r="E518" s="66"/>
      <c r="F518" s="103" t="str">
        <f>HYPERLINK("https://pbs.twimg.com/profile_images/1631818420583841792/Z78SZ1WY_normal.jpg")</f>
        <v>https://pbs.twimg.com/profile_images/1631818420583841792/Z78SZ1WY_normal.jpg</v>
      </c>
      <c r="G518" s="63"/>
      <c r="H518" s="67"/>
      <c r="I518" s="68"/>
      <c r="J518" s="68"/>
      <c r="K518" s="67" t="s">
        <v>20150</v>
      </c>
      <c r="L518" s="71"/>
      <c r="M518" s="72"/>
      <c r="N518" s="72"/>
      <c r="O518" s="73"/>
      <c r="P518" s="74"/>
      <c r="Q518" s="74"/>
      <c r="R518" s="87"/>
      <c r="S518" s="87"/>
      <c r="T518" s="87"/>
      <c r="U518" s="87"/>
      <c r="V518" s="48"/>
      <c r="W518" s="48"/>
      <c r="X518" s="47">
        <v>1.101E-3</v>
      </c>
      <c r="Y518" s="48"/>
      <c r="Z518" s="47"/>
      <c r="AA518" s="69">
        <v>518</v>
      </c>
      <c r="AB518" s="69"/>
      <c r="AC518" s="70"/>
      <c r="AD518" s="76" t="s">
        <v>17150</v>
      </c>
      <c r="AE518" s="81" t="s">
        <v>16396</v>
      </c>
      <c r="AF518" s="76">
        <v>1</v>
      </c>
      <c r="AG518" s="76">
        <v>94</v>
      </c>
      <c r="AH518" s="76">
        <v>130</v>
      </c>
      <c r="AI518" s="76">
        <v>0</v>
      </c>
      <c r="AJ518" s="76">
        <v>30</v>
      </c>
      <c r="AK518" s="76">
        <v>21</v>
      </c>
      <c r="AL518" s="76" t="b">
        <v>0</v>
      </c>
      <c r="AM518" s="78">
        <v>44831.553055555552</v>
      </c>
      <c r="AN518" s="76" t="s">
        <v>18033</v>
      </c>
      <c r="AO518" s="76" t="s">
        <v>18613</v>
      </c>
      <c r="AP518" s="76"/>
      <c r="AQ518" s="76"/>
      <c r="AR518" s="76"/>
      <c r="AS518" s="76"/>
      <c r="AT518" s="76"/>
      <c r="AU518" s="76"/>
      <c r="AV518" s="76"/>
      <c r="AW518" s="76"/>
      <c r="AX518" s="76" t="b">
        <v>0</v>
      </c>
      <c r="AY518" s="76"/>
      <c r="AZ518" s="76"/>
      <c r="BA518" s="76" t="b">
        <v>0</v>
      </c>
      <c r="BB518" s="76" t="b">
        <v>1</v>
      </c>
      <c r="BC518" s="76" t="b">
        <v>1</v>
      </c>
      <c r="BD518" s="76" t="b">
        <v>0</v>
      </c>
      <c r="BE518" s="76" t="b">
        <v>1</v>
      </c>
      <c r="BF518" s="76" t="b">
        <v>0</v>
      </c>
      <c r="BG518" s="76" t="b">
        <v>0</v>
      </c>
      <c r="BH518" s="83" t="str">
        <f>HYPERLINK("https://pbs.twimg.com/profile_banners/1574749737147928583/1668277827")</f>
        <v>https://pbs.twimg.com/profile_banners/1574749737147928583/1668277827</v>
      </c>
      <c r="BI518" s="76"/>
      <c r="BJ518" s="76" t="s">
        <v>19633</v>
      </c>
      <c r="BK518" s="76" t="b">
        <v>0</v>
      </c>
      <c r="BL518" s="76"/>
      <c r="BM518" s="76" t="s">
        <v>66</v>
      </c>
      <c r="BN518" s="76" t="s">
        <v>19635</v>
      </c>
      <c r="BO518" s="83" t="str">
        <f>HYPERLINK("https://twitter.com/tipomdistraido")</f>
        <v>https://twitter.com/tipomdistraido</v>
      </c>
      <c r="BP518" s="2"/>
    </row>
    <row r="519" spans="1:68" x14ac:dyDescent="0.25">
      <c r="A519" s="62" t="s">
        <v>682</v>
      </c>
      <c r="B519" s="63"/>
      <c r="C519" s="63"/>
      <c r="D519" s="64"/>
      <c r="E519" s="66"/>
      <c r="F519" s="103" t="str">
        <f>HYPERLINK("https://pbs.twimg.com/profile_images/1578424891409309696/RYdnUyBX_normal.jpg")</f>
        <v>https://pbs.twimg.com/profile_images/1578424891409309696/RYdnUyBX_normal.jpg</v>
      </c>
      <c r="G519" s="63"/>
      <c r="H519" s="67"/>
      <c r="I519" s="68"/>
      <c r="J519" s="68"/>
      <c r="K519" s="67" t="s">
        <v>20151</v>
      </c>
      <c r="L519" s="71"/>
      <c r="M519" s="72"/>
      <c r="N519" s="72"/>
      <c r="O519" s="73"/>
      <c r="P519" s="74"/>
      <c r="Q519" s="74"/>
      <c r="R519" s="87"/>
      <c r="S519" s="87"/>
      <c r="T519" s="87"/>
      <c r="U519" s="87"/>
      <c r="V519" s="48"/>
      <c r="W519" s="48"/>
      <c r="X519" s="47">
        <v>1.101E-3</v>
      </c>
      <c r="Y519" s="48"/>
      <c r="Z519" s="47"/>
      <c r="AA519" s="69">
        <v>519</v>
      </c>
      <c r="AB519" s="69"/>
      <c r="AC519" s="70"/>
      <c r="AD519" s="76" t="s">
        <v>17151</v>
      </c>
      <c r="AE519" s="81" t="s">
        <v>17708</v>
      </c>
      <c r="AF519" s="76">
        <v>19647</v>
      </c>
      <c r="AG519" s="76">
        <v>124</v>
      </c>
      <c r="AH519" s="76">
        <v>299</v>
      </c>
      <c r="AI519" s="76">
        <v>0</v>
      </c>
      <c r="AJ519" s="76">
        <v>2</v>
      </c>
      <c r="AK519" s="76">
        <v>208</v>
      </c>
      <c r="AL519" s="76" t="b">
        <v>0</v>
      </c>
      <c r="AM519" s="78">
        <v>41376.629212962966</v>
      </c>
      <c r="AN519" s="76" t="s">
        <v>17864</v>
      </c>
      <c r="AO519" s="76" t="s">
        <v>18614</v>
      </c>
      <c r="AP519" s="76"/>
      <c r="AQ519" s="76"/>
      <c r="AR519" s="76"/>
      <c r="AS519" s="76"/>
      <c r="AT519" s="76"/>
      <c r="AU519" s="76"/>
      <c r="AV519" s="76"/>
      <c r="AW519" s="76"/>
      <c r="AX519" s="76" t="b">
        <v>0</v>
      </c>
      <c r="AY519" s="76"/>
      <c r="AZ519" s="76"/>
      <c r="BA519" s="76" t="b">
        <v>0</v>
      </c>
      <c r="BB519" s="76" t="b">
        <v>1</v>
      </c>
      <c r="BC519" s="76" t="b">
        <v>0</v>
      </c>
      <c r="BD519" s="76" t="b">
        <v>0</v>
      </c>
      <c r="BE519" s="76" t="b">
        <v>0</v>
      </c>
      <c r="BF519" s="76" t="b">
        <v>0</v>
      </c>
      <c r="BG519" s="76" t="b">
        <v>0</v>
      </c>
      <c r="BH519" s="83" t="str">
        <f>HYPERLINK("https://pbs.twimg.com/profile_banners/1347015354/1512548190")</f>
        <v>https://pbs.twimg.com/profile_banners/1347015354/1512548190</v>
      </c>
      <c r="BI519" s="76"/>
      <c r="BJ519" s="76" t="s">
        <v>19633</v>
      </c>
      <c r="BK519" s="76" t="b">
        <v>0</v>
      </c>
      <c r="BL519" s="76"/>
      <c r="BM519" s="76" t="s">
        <v>66</v>
      </c>
      <c r="BN519" s="76" t="s">
        <v>19635</v>
      </c>
      <c r="BO519" s="83" t="str">
        <f>HYPERLINK("https://twitter.com/pinto_matamba")</f>
        <v>https://twitter.com/pinto_matamba</v>
      </c>
      <c r="BP519" s="2"/>
    </row>
    <row r="520" spans="1:68" x14ac:dyDescent="0.25">
      <c r="A520" s="62" t="s">
        <v>683</v>
      </c>
      <c r="B520" s="63"/>
      <c r="C520" s="63"/>
      <c r="D520" s="64"/>
      <c r="E520" s="66"/>
      <c r="F520" s="103" t="str">
        <f>HYPERLINK("https://pbs.twimg.com/profile_images/1584558018234126338/HxMLfGWe_normal.jpg")</f>
        <v>https://pbs.twimg.com/profile_images/1584558018234126338/HxMLfGWe_normal.jpg</v>
      </c>
      <c r="G520" s="63"/>
      <c r="H520" s="67"/>
      <c r="I520" s="68"/>
      <c r="J520" s="68"/>
      <c r="K520" s="67" t="s">
        <v>20152</v>
      </c>
      <c r="L520" s="71"/>
      <c r="M520" s="72"/>
      <c r="N520" s="72"/>
      <c r="O520" s="73"/>
      <c r="P520" s="74"/>
      <c r="Q520" s="74"/>
      <c r="R520" s="87"/>
      <c r="S520" s="87"/>
      <c r="T520" s="87"/>
      <c r="U520" s="87"/>
      <c r="V520" s="48"/>
      <c r="W520" s="48"/>
      <c r="X520" s="47">
        <v>1.101E-3</v>
      </c>
      <c r="Y520" s="48"/>
      <c r="Z520" s="47"/>
      <c r="AA520" s="69">
        <v>520</v>
      </c>
      <c r="AB520" s="69"/>
      <c r="AC520" s="70"/>
      <c r="AD520" s="76" t="s">
        <v>17152</v>
      </c>
      <c r="AE520" s="81" t="s">
        <v>16397</v>
      </c>
      <c r="AF520" s="76">
        <v>84191</v>
      </c>
      <c r="AG520" s="76">
        <v>328</v>
      </c>
      <c r="AH520" s="76">
        <v>18295</v>
      </c>
      <c r="AI520" s="76">
        <v>973</v>
      </c>
      <c r="AJ520" s="76">
        <v>31437</v>
      </c>
      <c r="AK520" s="76">
        <v>1978</v>
      </c>
      <c r="AL520" s="76" t="b">
        <v>0</v>
      </c>
      <c r="AM520" s="78">
        <v>42662.691099537034</v>
      </c>
      <c r="AN520" s="76" t="s">
        <v>10561</v>
      </c>
      <c r="AO520" s="76" t="s">
        <v>18615</v>
      </c>
      <c r="AP520" s="83" t="str">
        <f>HYPERLINK("https://t.co/frPuuEpJRq")</f>
        <v>https://t.co/frPuuEpJRq</v>
      </c>
      <c r="AQ520" s="83" t="str">
        <f>HYPERLINK("https://linktr.ee/ricardoschweitzer")</f>
        <v>https://linktr.ee/ricardoschweitzer</v>
      </c>
      <c r="AR520" s="76" t="s">
        <v>19300</v>
      </c>
      <c r="AS520" s="76"/>
      <c r="AT520" s="76"/>
      <c r="AU520" s="76"/>
      <c r="AV520" s="76"/>
      <c r="AW520" s="83" t="str">
        <f>HYPERLINK("https://t.co/frPuuEpJRq")</f>
        <v>https://t.co/frPuuEpJRq</v>
      </c>
      <c r="AX520" s="76" t="b">
        <v>1</v>
      </c>
      <c r="AY520" s="76"/>
      <c r="AZ520" s="76"/>
      <c r="BA520" s="76" t="b">
        <v>0</v>
      </c>
      <c r="BB520" s="76" t="b">
        <v>0</v>
      </c>
      <c r="BC520" s="76" t="b">
        <v>0</v>
      </c>
      <c r="BD520" s="76" t="b">
        <v>0</v>
      </c>
      <c r="BE520" s="76" t="b">
        <v>1</v>
      </c>
      <c r="BF520" s="76" t="b">
        <v>0</v>
      </c>
      <c r="BG520" s="76" t="b">
        <v>0</v>
      </c>
      <c r="BH520" s="83" t="str">
        <f>HYPERLINK("https://pbs.twimg.com/profile_banners/788780542749794304/1632455636")</f>
        <v>https://pbs.twimg.com/profile_banners/788780542749794304/1632455636</v>
      </c>
      <c r="BI520" s="76"/>
      <c r="BJ520" s="76" t="s">
        <v>19633</v>
      </c>
      <c r="BK520" s="76" t="b">
        <v>0</v>
      </c>
      <c r="BL520" s="76"/>
      <c r="BM520" s="76" t="s">
        <v>66</v>
      </c>
      <c r="BN520" s="76" t="s">
        <v>19635</v>
      </c>
      <c r="BO520" s="83" t="str">
        <f>HYPERLINK("https://twitter.com/_rschweitzer")</f>
        <v>https://twitter.com/_rschweitzer</v>
      </c>
      <c r="BP520" s="2"/>
    </row>
    <row r="521" spans="1:68" x14ac:dyDescent="0.25">
      <c r="A521" s="62" t="s">
        <v>684</v>
      </c>
      <c r="B521" s="63"/>
      <c r="C521" s="63"/>
      <c r="D521" s="64"/>
      <c r="E521" s="66"/>
      <c r="F521" s="103" t="str">
        <f>HYPERLINK("https://pbs.twimg.com/profile_images/1181220544785584128/YUICrsyV_normal.jpg")</f>
        <v>https://pbs.twimg.com/profile_images/1181220544785584128/YUICrsyV_normal.jpg</v>
      </c>
      <c r="G521" s="63"/>
      <c r="H521" s="67"/>
      <c r="I521" s="68"/>
      <c r="J521" s="68"/>
      <c r="K521" s="67" t="s">
        <v>20153</v>
      </c>
      <c r="L521" s="71"/>
      <c r="M521" s="72"/>
      <c r="N521" s="72"/>
      <c r="O521" s="73"/>
      <c r="P521" s="74"/>
      <c r="Q521" s="74"/>
      <c r="R521" s="87"/>
      <c r="S521" s="87"/>
      <c r="T521" s="87"/>
      <c r="U521" s="87"/>
      <c r="V521" s="48"/>
      <c r="W521" s="48"/>
      <c r="X521" s="47">
        <v>1.0430000000000001E-3</v>
      </c>
      <c r="Y521" s="48"/>
      <c r="Z521" s="47"/>
      <c r="AA521" s="69">
        <v>521</v>
      </c>
      <c r="AB521" s="69"/>
      <c r="AC521" s="70"/>
      <c r="AD521" s="76" t="s">
        <v>17153</v>
      </c>
      <c r="AE521" s="81" t="s">
        <v>17709</v>
      </c>
      <c r="AF521" s="76">
        <v>31787</v>
      </c>
      <c r="AG521" s="76">
        <v>9</v>
      </c>
      <c r="AH521" s="76">
        <v>21120</v>
      </c>
      <c r="AI521" s="76">
        <v>617</v>
      </c>
      <c r="AJ521" s="76">
        <v>111</v>
      </c>
      <c r="AK521" s="76">
        <v>606</v>
      </c>
      <c r="AL521" s="76" t="b">
        <v>0</v>
      </c>
      <c r="AM521" s="78">
        <v>39875.475370370368</v>
      </c>
      <c r="AN521" s="76" t="s">
        <v>10552</v>
      </c>
      <c r="AO521" s="76" t="s">
        <v>18616</v>
      </c>
      <c r="AP521" s="83" t="str">
        <f>HYPERLINK("https://t.co/LFeUI3dgIe")</f>
        <v>https://t.co/LFeUI3dgIe</v>
      </c>
      <c r="AQ521" s="83" t="str">
        <f>HYPERLINK("https://linktr.ee/agorainvestimentos")</f>
        <v>https://linktr.ee/agorainvestimentos</v>
      </c>
      <c r="AR521" s="76" t="s">
        <v>19301</v>
      </c>
      <c r="AS521" s="76"/>
      <c r="AT521" s="76"/>
      <c r="AU521" s="76"/>
      <c r="AV521" s="76">
        <v>1.6890188366016699E+18</v>
      </c>
      <c r="AW521" s="83" t="str">
        <f>HYPERLINK("https://t.co/LFeUI3dgIe")</f>
        <v>https://t.co/LFeUI3dgIe</v>
      </c>
      <c r="AX521" s="76" t="b">
        <v>0</v>
      </c>
      <c r="AY521" s="76"/>
      <c r="AZ521" s="76"/>
      <c r="BA521" s="76" t="b">
        <v>1</v>
      </c>
      <c r="BB521" s="76" t="b">
        <v>1</v>
      </c>
      <c r="BC521" s="76" t="b">
        <v>0</v>
      </c>
      <c r="BD521" s="76" t="b">
        <v>0</v>
      </c>
      <c r="BE521" s="76" t="b">
        <v>1</v>
      </c>
      <c r="BF521" s="76" t="b">
        <v>0</v>
      </c>
      <c r="BG521" s="76" t="b">
        <v>0</v>
      </c>
      <c r="BH521" s="83" t="str">
        <f>HYPERLINK("https://pbs.twimg.com/profile_banners/22611794/1691527154")</f>
        <v>https://pbs.twimg.com/profile_banners/22611794/1691527154</v>
      </c>
      <c r="BI521" s="76"/>
      <c r="BJ521" s="76" t="s">
        <v>19633</v>
      </c>
      <c r="BK521" s="76" t="b">
        <v>0</v>
      </c>
      <c r="BL521" s="76"/>
      <c r="BM521" s="76" t="s">
        <v>66</v>
      </c>
      <c r="BN521" s="76" t="s">
        <v>19635</v>
      </c>
      <c r="BO521" s="83" t="str">
        <f>HYPERLINK("https://twitter.com/agoracorretora")</f>
        <v>https://twitter.com/agoracorretora</v>
      </c>
      <c r="BP521" s="2"/>
    </row>
    <row r="522" spans="1:68" x14ac:dyDescent="0.25">
      <c r="A522" s="62" t="s">
        <v>685</v>
      </c>
      <c r="B522" s="63"/>
      <c r="C522" s="63"/>
      <c r="D522" s="64"/>
      <c r="E522" s="66"/>
      <c r="F522" s="103" t="str">
        <f>HYPERLINK("https://pbs.twimg.com/profile_images/1639344097834983435/vC5Fb0qP_normal.jpg")</f>
        <v>https://pbs.twimg.com/profile_images/1639344097834983435/vC5Fb0qP_normal.jpg</v>
      </c>
      <c r="G522" s="63"/>
      <c r="H522" s="67"/>
      <c r="I522" s="68"/>
      <c r="J522" s="68"/>
      <c r="K522" s="67" t="s">
        <v>20154</v>
      </c>
      <c r="L522" s="71"/>
      <c r="M522" s="72"/>
      <c r="N522" s="72"/>
      <c r="O522" s="73"/>
      <c r="P522" s="74"/>
      <c r="Q522" s="74"/>
      <c r="R522" s="87"/>
      <c r="S522" s="87"/>
      <c r="T522" s="87"/>
      <c r="U522" s="87"/>
      <c r="V522" s="48"/>
      <c r="W522" s="48"/>
      <c r="X522" s="47">
        <v>1.101E-3</v>
      </c>
      <c r="Y522" s="48"/>
      <c r="Z522" s="47"/>
      <c r="AA522" s="69">
        <v>522</v>
      </c>
      <c r="AB522" s="69"/>
      <c r="AC522" s="70"/>
      <c r="AD522" s="76" t="s">
        <v>17154</v>
      </c>
      <c r="AE522" s="81" t="s">
        <v>16398</v>
      </c>
      <c r="AF522" s="76">
        <v>3</v>
      </c>
      <c r="AG522" s="76">
        <v>0</v>
      </c>
      <c r="AH522" s="76">
        <v>19</v>
      </c>
      <c r="AI522" s="76">
        <v>0</v>
      </c>
      <c r="AJ522" s="76">
        <v>18</v>
      </c>
      <c r="AK522" s="76">
        <v>0</v>
      </c>
      <c r="AL522" s="76" t="b">
        <v>0</v>
      </c>
      <c r="AM522" s="78">
        <v>45008.894965277781</v>
      </c>
      <c r="AN522" s="76"/>
      <c r="AO522" s="76" t="s">
        <v>18617</v>
      </c>
      <c r="AP522" s="76"/>
      <c r="AQ522" s="76"/>
      <c r="AR522" s="76"/>
      <c r="AS522" s="76"/>
      <c r="AT522" s="76"/>
      <c r="AU522" s="76"/>
      <c r="AV522" s="76">
        <v>1.66647911745634E+18</v>
      </c>
      <c r="AW522" s="76"/>
      <c r="AX522" s="76" t="b">
        <v>0</v>
      </c>
      <c r="AY522" s="76"/>
      <c r="AZ522" s="76"/>
      <c r="BA522" s="76" t="b">
        <v>0</v>
      </c>
      <c r="BB522" s="76" t="b">
        <v>1</v>
      </c>
      <c r="BC522" s="76" t="b">
        <v>1</v>
      </c>
      <c r="BD522" s="76" t="b">
        <v>0</v>
      </c>
      <c r="BE522" s="76" t="b">
        <v>0</v>
      </c>
      <c r="BF522" s="76" t="b">
        <v>0</v>
      </c>
      <c r="BG522" s="76" t="b">
        <v>0</v>
      </c>
      <c r="BH522" s="83" t="str">
        <f>HYPERLINK("https://pbs.twimg.com/profile_banners/1639016251438645248/1681870618")</f>
        <v>https://pbs.twimg.com/profile_banners/1639016251438645248/1681870618</v>
      </c>
      <c r="BI522" s="76"/>
      <c r="BJ522" s="76" t="s">
        <v>19633</v>
      </c>
      <c r="BK522" s="76" t="b">
        <v>0</v>
      </c>
      <c r="BL522" s="76"/>
      <c r="BM522" s="76" t="s">
        <v>66</v>
      </c>
      <c r="BN522" s="76" t="s">
        <v>19635</v>
      </c>
      <c r="BO522" s="83" t="str">
        <f>HYPERLINK("https://twitter.com/xzibank")</f>
        <v>https://twitter.com/xzibank</v>
      </c>
      <c r="BP522" s="2"/>
    </row>
    <row r="523" spans="1:68" x14ac:dyDescent="0.25">
      <c r="A523" s="62" t="s">
        <v>686</v>
      </c>
      <c r="B523" s="63"/>
      <c r="C523" s="63"/>
      <c r="D523" s="64"/>
      <c r="E523" s="66"/>
      <c r="F523" s="103" t="str">
        <f>HYPERLINK("https://pbs.twimg.com/profile_images/1093983783483785217/TWZqG3VS_normal.jpg")</f>
        <v>https://pbs.twimg.com/profile_images/1093983783483785217/TWZqG3VS_normal.jpg</v>
      </c>
      <c r="G523" s="63"/>
      <c r="H523" s="67"/>
      <c r="I523" s="68"/>
      <c r="J523" s="68"/>
      <c r="K523" s="67" t="s">
        <v>20155</v>
      </c>
      <c r="L523" s="71"/>
      <c r="M523" s="72"/>
      <c r="N523" s="72"/>
      <c r="O523" s="73"/>
      <c r="P523" s="74"/>
      <c r="Q523" s="74"/>
      <c r="R523" s="87"/>
      <c r="S523" s="87"/>
      <c r="T523" s="87"/>
      <c r="U523" s="87"/>
      <c r="V523" s="48"/>
      <c r="W523" s="48"/>
      <c r="X523" s="47">
        <v>1.101E-3</v>
      </c>
      <c r="Y523" s="48"/>
      <c r="Z523" s="47"/>
      <c r="AA523" s="69">
        <v>523</v>
      </c>
      <c r="AB523" s="69"/>
      <c r="AC523" s="70"/>
      <c r="AD523" s="76" t="s">
        <v>17155</v>
      </c>
      <c r="AE523" s="81" t="s">
        <v>16399</v>
      </c>
      <c r="AF523" s="76">
        <v>52</v>
      </c>
      <c r="AG523" s="76">
        <v>23</v>
      </c>
      <c r="AH523" s="76">
        <v>331</v>
      </c>
      <c r="AI523" s="76">
        <v>0</v>
      </c>
      <c r="AJ523" s="76">
        <v>29</v>
      </c>
      <c r="AK523" s="76">
        <v>171</v>
      </c>
      <c r="AL523" s="76" t="b">
        <v>0</v>
      </c>
      <c r="AM523" s="78">
        <v>43456.895011574074</v>
      </c>
      <c r="AN523" s="76"/>
      <c r="AO523" s="76" t="s">
        <v>18618</v>
      </c>
      <c r="AP523" s="83" t="str">
        <f>HYPERLINK("https://t.co/eEydKHNJOU")</f>
        <v>https://t.co/eEydKHNJOU</v>
      </c>
      <c r="AQ523" s="83" t="str">
        <f>HYPERLINK("https://girofinanceiro.com.br/")</f>
        <v>https://girofinanceiro.com.br/</v>
      </c>
      <c r="AR523" s="76" t="s">
        <v>19302</v>
      </c>
      <c r="AS523" s="76"/>
      <c r="AT523" s="76"/>
      <c r="AU523" s="76"/>
      <c r="AV523" s="76"/>
      <c r="AW523" s="83" t="str">
        <f>HYPERLINK("https://t.co/eEydKHNJOU")</f>
        <v>https://t.co/eEydKHNJOU</v>
      </c>
      <c r="AX523" s="76" t="b">
        <v>0</v>
      </c>
      <c r="AY523" s="76"/>
      <c r="AZ523" s="76"/>
      <c r="BA523" s="76" t="b">
        <v>0</v>
      </c>
      <c r="BB523" s="76" t="b">
        <v>1</v>
      </c>
      <c r="BC523" s="76" t="b">
        <v>1</v>
      </c>
      <c r="BD523" s="76" t="b">
        <v>0</v>
      </c>
      <c r="BE523" s="76" t="b">
        <v>0</v>
      </c>
      <c r="BF523" s="76" t="b">
        <v>0</v>
      </c>
      <c r="BG523" s="76" t="b">
        <v>0</v>
      </c>
      <c r="BH523" s="83" t="str">
        <f>HYPERLINK("https://pbs.twimg.com/profile_banners/1076590404819189766/1549661077")</f>
        <v>https://pbs.twimg.com/profile_banners/1076590404819189766/1549661077</v>
      </c>
      <c r="BI523" s="76"/>
      <c r="BJ523" s="76" t="s">
        <v>19633</v>
      </c>
      <c r="BK523" s="76" t="b">
        <v>0</v>
      </c>
      <c r="BL523" s="76"/>
      <c r="BM523" s="76" t="s">
        <v>66</v>
      </c>
      <c r="BN523" s="76" t="s">
        <v>19635</v>
      </c>
      <c r="BO523" s="83" t="str">
        <f>HYPERLINK("https://twitter.com/girofinanceiro")</f>
        <v>https://twitter.com/girofinanceiro</v>
      </c>
      <c r="BP523" s="2"/>
    </row>
    <row r="524" spans="1:68" x14ac:dyDescent="0.25">
      <c r="A524" s="62" t="s">
        <v>687</v>
      </c>
      <c r="B524" s="63"/>
      <c r="C524" s="63"/>
      <c r="D524" s="64"/>
      <c r="E524" s="66"/>
      <c r="F524" s="103" t="str">
        <f>HYPERLINK("https://pbs.twimg.com/profile_images/1411753289448931331/4WbSiBSs_normal.jpg")</f>
        <v>https://pbs.twimg.com/profile_images/1411753289448931331/4WbSiBSs_normal.jpg</v>
      </c>
      <c r="G524" s="63"/>
      <c r="H524" s="67"/>
      <c r="I524" s="68"/>
      <c r="J524" s="68"/>
      <c r="K524" s="67" t="s">
        <v>20156</v>
      </c>
      <c r="L524" s="71"/>
      <c r="M524" s="72"/>
      <c r="N524" s="72"/>
      <c r="O524" s="73"/>
      <c r="P524" s="74"/>
      <c r="Q524" s="74"/>
      <c r="R524" s="87"/>
      <c r="S524" s="87"/>
      <c r="T524" s="87"/>
      <c r="U524" s="87"/>
      <c r="V524" s="48"/>
      <c r="W524" s="48"/>
      <c r="X524" s="47">
        <v>1.101E-3</v>
      </c>
      <c r="Y524" s="48"/>
      <c r="Z524" s="47"/>
      <c r="AA524" s="69">
        <v>524</v>
      </c>
      <c r="AB524" s="69"/>
      <c r="AC524" s="70"/>
      <c r="AD524" s="76" t="s">
        <v>17156</v>
      </c>
      <c r="AE524" s="81" t="s">
        <v>15747</v>
      </c>
      <c r="AF524" s="76">
        <v>16202</v>
      </c>
      <c r="AG524" s="76">
        <v>43</v>
      </c>
      <c r="AH524" s="76">
        <v>5173</v>
      </c>
      <c r="AI524" s="76">
        <v>211</v>
      </c>
      <c r="AJ524" s="76">
        <v>117</v>
      </c>
      <c r="AK524" s="76">
        <v>2698</v>
      </c>
      <c r="AL524" s="76" t="b">
        <v>0</v>
      </c>
      <c r="AM524" s="78">
        <v>40044.589687500003</v>
      </c>
      <c r="AN524" s="76" t="s">
        <v>17867</v>
      </c>
      <c r="AO524" s="76" t="s">
        <v>18619</v>
      </c>
      <c r="AP524" s="83" t="str">
        <f>HYPERLINK("https://t.co/0pOsltarvZ")</f>
        <v>https://t.co/0pOsltarvZ</v>
      </c>
      <c r="AQ524" s="83" t="str">
        <f>HYPERLINK("https://www.gov.br/investidor")</f>
        <v>https://www.gov.br/investidor</v>
      </c>
      <c r="AR524" s="76" t="s">
        <v>19303</v>
      </c>
      <c r="AS524" s="83" t="str">
        <f>HYPERLINK("https://t.co/aDqo0I6UqJ")</f>
        <v>https://t.co/aDqo0I6UqJ</v>
      </c>
      <c r="AT524" s="83" t="str">
        <f>HYPERLINK("http://gov.br/cvm/pt-br")</f>
        <v>http://gov.br/cvm/pt-br</v>
      </c>
      <c r="AU524" s="76" t="s">
        <v>19612</v>
      </c>
      <c r="AV524" s="76"/>
      <c r="AW524" s="83" t="str">
        <f>HYPERLINK("https://t.co/0pOsltarvZ")</f>
        <v>https://t.co/0pOsltarvZ</v>
      </c>
      <c r="AX524" s="76" t="b">
        <v>0</v>
      </c>
      <c r="AY524" s="76"/>
      <c r="AZ524" s="76"/>
      <c r="BA524" s="76" t="b">
        <v>1</v>
      </c>
      <c r="BB524" s="76" t="b">
        <v>0</v>
      </c>
      <c r="BC524" s="76" t="b">
        <v>0</v>
      </c>
      <c r="BD524" s="76" t="b">
        <v>0</v>
      </c>
      <c r="BE524" s="76" t="b">
        <v>1</v>
      </c>
      <c r="BF524" s="76" t="b">
        <v>0</v>
      </c>
      <c r="BG524" s="76" t="b">
        <v>0</v>
      </c>
      <c r="BH524" s="83" t="str">
        <f>HYPERLINK("https://pbs.twimg.com/profile_banners/67008859/1675209712")</f>
        <v>https://pbs.twimg.com/profile_banners/67008859/1675209712</v>
      </c>
      <c r="BI524" s="76"/>
      <c r="BJ524" s="76" t="s">
        <v>19633</v>
      </c>
      <c r="BK524" s="76" t="b">
        <v>0</v>
      </c>
      <c r="BL524" s="76"/>
      <c r="BM524" s="76" t="s">
        <v>66</v>
      </c>
      <c r="BN524" s="76" t="s">
        <v>19635</v>
      </c>
      <c r="BO524" s="83" t="str">
        <f>HYPERLINK("https://twitter.com/cvmeducacional")</f>
        <v>https://twitter.com/cvmeducacional</v>
      </c>
      <c r="BP524" s="2"/>
    </row>
    <row r="525" spans="1:68" x14ac:dyDescent="0.25">
      <c r="A525" s="62" t="s">
        <v>688</v>
      </c>
      <c r="B525" s="63"/>
      <c r="C525" s="63"/>
      <c r="D525" s="64"/>
      <c r="E525" s="66"/>
      <c r="F525" s="103" t="str">
        <f>HYPERLINK("https://abs.twimg.com/sticky/default_profile_images/default_profile_normal.png")</f>
        <v>https://abs.twimg.com/sticky/default_profile_images/default_profile_normal.png</v>
      </c>
      <c r="G525" s="63"/>
      <c r="H525" s="67"/>
      <c r="I525" s="68"/>
      <c r="J525" s="68"/>
      <c r="K525" s="67" t="s">
        <v>20157</v>
      </c>
      <c r="L525" s="71"/>
      <c r="M525" s="72"/>
      <c r="N525" s="72"/>
      <c r="O525" s="73"/>
      <c r="P525" s="74"/>
      <c r="Q525" s="74"/>
      <c r="R525" s="87"/>
      <c r="S525" s="87"/>
      <c r="T525" s="87"/>
      <c r="U525" s="87"/>
      <c r="V525" s="48"/>
      <c r="W525" s="48"/>
      <c r="X525" s="47">
        <v>1.101E-3</v>
      </c>
      <c r="Y525" s="48"/>
      <c r="Z525" s="47"/>
      <c r="AA525" s="69">
        <v>525</v>
      </c>
      <c r="AB525" s="69"/>
      <c r="AC525" s="70"/>
      <c r="AD525" s="76" t="s">
        <v>17157</v>
      </c>
      <c r="AE525" s="81" t="s">
        <v>16400</v>
      </c>
      <c r="AF525" s="76">
        <v>0</v>
      </c>
      <c r="AG525" s="76">
        <v>3</v>
      </c>
      <c r="AH525" s="76">
        <v>111</v>
      </c>
      <c r="AI525" s="76">
        <v>0</v>
      </c>
      <c r="AJ525" s="76">
        <v>0</v>
      </c>
      <c r="AK525" s="76">
        <v>111</v>
      </c>
      <c r="AL525" s="76" t="b">
        <v>0</v>
      </c>
      <c r="AM525" s="78">
        <v>43203.508981481478</v>
      </c>
      <c r="AN525" s="76"/>
      <c r="AO525" s="76"/>
      <c r="AP525" s="76"/>
      <c r="AQ525" s="76"/>
      <c r="AR525" s="76"/>
      <c r="AS525" s="76"/>
      <c r="AT525" s="76"/>
      <c r="AU525" s="76"/>
      <c r="AV525" s="76"/>
      <c r="AW525" s="76"/>
      <c r="AX525" s="76" t="b">
        <v>0</v>
      </c>
      <c r="AY525" s="76"/>
      <c r="AZ525" s="76"/>
      <c r="BA525" s="76" t="b">
        <v>0</v>
      </c>
      <c r="BB525" s="76" t="b">
        <v>1</v>
      </c>
      <c r="BC525" s="76" t="b">
        <v>1</v>
      </c>
      <c r="BD525" s="76" t="b">
        <v>1</v>
      </c>
      <c r="BE525" s="76" t="b">
        <v>0</v>
      </c>
      <c r="BF525" s="76" t="b">
        <v>0</v>
      </c>
      <c r="BG525" s="76" t="b">
        <v>0</v>
      </c>
      <c r="BH525" s="76"/>
      <c r="BI525" s="76"/>
      <c r="BJ525" s="76" t="s">
        <v>19633</v>
      </c>
      <c r="BK525" s="76" t="b">
        <v>0</v>
      </c>
      <c r="BL525" s="76"/>
      <c r="BM525" s="76" t="s">
        <v>66</v>
      </c>
      <c r="BN525" s="76" t="s">
        <v>19635</v>
      </c>
      <c r="BO525" s="83" t="str">
        <f>HYPERLINK("https://twitter.com/hermilton5")</f>
        <v>https://twitter.com/hermilton5</v>
      </c>
      <c r="BP525" s="2"/>
    </row>
    <row r="526" spans="1:68" x14ac:dyDescent="0.25">
      <c r="A526" s="62" t="s">
        <v>689</v>
      </c>
      <c r="B526" s="63"/>
      <c r="C526" s="63"/>
      <c r="D526" s="64"/>
      <c r="E526" s="66"/>
      <c r="F526" s="103" t="str">
        <f>HYPERLINK("https://pbs.twimg.com/profile_images/1150785055729471488/qYsxrPuN_normal.png")</f>
        <v>https://pbs.twimg.com/profile_images/1150785055729471488/qYsxrPuN_normal.png</v>
      </c>
      <c r="G526" s="63"/>
      <c r="H526" s="67"/>
      <c r="I526" s="68"/>
      <c r="J526" s="68"/>
      <c r="K526" s="67" t="s">
        <v>20158</v>
      </c>
      <c r="L526" s="71"/>
      <c r="M526" s="72"/>
      <c r="N526" s="72"/>
      <c r="O526" s="73"/>
      <c r="P526" s="74"/>
      <c r="Q526" s="74"/>
      <c r="R526" s="87"/>
      <c r="S526" s="87"/>
      <c r="T526" s="87"/>
      <c r="U526" s="87"/>
      <c r="V526" s="48"/>
      <c r="W526" s="48"/>
      <c r="X526" s="47">
        <v>1.101E-3</v>
      </c>
      <c r="Y526" s="48"/>
      <c r="Z526" s="47"/>
      <c r="AA526" s="69">
        <v>526</v>
      </c>
      <c r="AB526" s="69"/>
      <c r="AC526" s="70"/>
      <c r="AD526" s="76" t="s">
        <v>17158</v>
      </c>
      <c r="AE526" s="81" t="s">
        <v>16401</v>
      </c>
      <c r="AF526" s="76">
        <v>14</v>
      </c>
      <c r="AG526" s="76">
        <v>43</v>
      </c>
      <c r="AH526" s="76">
        <v>232</v>
      </c>
      <c r="AI526" s="76">
        <v>0</v>
      </c>
      <c r="AJ526" s="76">
        <v>6</v>
      </c>
      <c r="AK526" s="76">
        <v>210</v>
      </c>
      <c r="AL526" s="76" t="b">
        <v>0</v>
      </c>
      <c r="AM526" s="78">
        <v>43661.632939814815</v>
      </c>
      <c r="AN526" s="76" t="s">
        <v>18034</v>
      </c>
      <c r="AO526" s="76" t="s">
        <v>18620</v>
      </c>
      <c r="AP526" s="83" t="str">
        <f>HYPERLINK("https://t.co/cXWRoNPMqh")</f>
        <v>https://t.co/cXWRoNPMqh</v>
      </c>
      <c r="AQ526" s="83" t="str">
        <f>HYPERLINK("http://www.prospergroup.co.in")</f>
        <v>http://www.prospergroup.co.in</v>
      </c>
      <c r="AR526" s="76" t="s">
        <v>19304</v>
      </c>
      <c r="AS526" s="76"/>
      <c r="AT526" s="76"/>
      <c r="AU526" s="76"/>
      <c r="AV526" s="76"/>
      <c r="AW526" s="83" t="str">
        <f>HYPERLINK("https://t.co/cXWRoNPMqh")</f>
        <v>https://t.co/cXWRoNPMqh</v>
      </c>
      <c r="AX526" s="76" t="b">
        <v>0</v>
      </c>
      <c r="AY526" s="76"/>
      <c r="AZ526" s="76"/>
      <c r="BA526" s="76" t="b">
        <v>0</v>
      </c>
      <c r="BB526" s="76" t="b">
        <v>1</v>
      </c>
      <c r="BC526" s="76" t="b">
        <v>1</v>
      </c>
      <c r="BD526" s="76" t="b">
        <v>0</v>
      </c>
      <c r="BE526" s="76" t="b">
        <v>0</v>
      </c>
      <c r="BF526" s="76" t="b">
        <v>0</v>
      </c>
      <c r="BG526" s="76" t="b">
        <v>0</v>
      </c>
      <c r="BH526" s="83" t="str">
        <f>HYPERLINK("https://pbs.twimg.com/profile_banners/1150784944420970497/1622699964")</f>
        <v>https://pbs.twimg.com/profile_banners/1150784944420970497/1622699964</v>
      </c>
      <c r="BI526" s="76"/>
      <c r="BJ526" s="76" t="s">
        <v>19633</v>
      </c>
      <c r="BK526" s="76" t="b">
        <v>0</v>
      </c>
      <c r="BL526" s="76"/>
      <c r="BM526" s="76" t="s">
        <v>66</v>
      </c>
      <c r="BN526" s="76" t="s">
        <v>19635</v>
      </c>
      <c r="BO526" s="83" t="str">
        <f>HYPERLINK("https://twitter.com/milan_prosper")</f>
        <v>https://twitter.com/milan_prosper</v>
      </c>
      <c r="BP526" s="2"/>
    </row>
    <row r="527" spans="1:68" x14ac:dyDescent="0.25">
      <c r="A527" s="62" t="s">
        <v>690</v>
      </c>
      <c r="B527" s="63"/>
      <c r="C527" s="63"/>
      <c r="D527" s="64"/>
      <c r="E527" s="66"/>
      <c r="F527" s="103" t="str">
        <f>HYPERLINK("https://pbs.twimg.com/profile_images/1595465759035211778/gwp3Mwa9_normal.jpg")</f>
        <v>https://pbs.twimg.com/profile_images/1595465759035211778/gwp3Mwa9_normal.jpg</v>
      </c>
      <c r="G527" s="63"/>
      <c r="H527" s="67"/>
      <c r="I527" s="68"/>
      <c r="J527" s="68"/>
      <c r="K527" s="67" t="s">
        <v>20159</v>
      </c>
      <c r="L527" s="71"/>
      <c r="M527" s="72"/>
      <c r="N527" s="72"/>
      <c r="O527" s="73"/>
      <c r="P527" s="74"/>
      <c r="Q527" s="74"/>
      <c r="R527" s="87"/>
      <c r="S527" s="87"/>
      <c r="T527" s="87"/>
      <c r="U527" s="87"/>
      <c r="V527" s="48"/>
      <c r="W527" s="48"/>
      <c r="X527" s="47">
        <v>1.302E-3</v>
      </c>
      <c r="Y527" s="48"/>
      <c r="Z527" s="47"/>
      <c r="AA527" s="69">
        <v>527</v>
      </c>
      <c r="AB527" s="69"/>
      <c r="AC527" s="70"/>
      <c r="AD527" s="76" t="s">
        <v>17159</v>
      </c>
      <c r="AE527" s="81" t="s">
        <v>15748</v>
      </c>
      <c r="AF527" s="76">
        <v>100</v>
      </c>
      <c r="AG527" s="76">
        <v>14</v>
      </c>
      <c r="AH527" s="76">
        <v>94</v>
      </c>
      <c r="AI527" s="76">
        <v>0</v>
      </c>
      <c r="AJ527" s="76">
        <v>17</v>
      </c>
      <c r="AK527" s="76">
        <v>72</v>
      </c>
      <c r="AL527" s="76" t="b">
        <v>0</v>
      </c>
      <c r="AM527" s="78">
        <v>44595.443298611113</v>
      </c>
      <c r="AN527" s="76"/>
      <c r="AO527" s="76" t="s">
        <v>18621</v>
      </c>
      <c r="AP527" s="76"/>
      <c r="AQ527" s="76"/>
      <c r="AR527" s="76"/>
      <c r="AS527" s="83" t="str">
        <f>HYPERLINK("https://t.co/WkCFrvKI1k")</f>
        <v>https://t.co/WkCFrvKI1k</v>
      </c>
      <c r="AT527" s="83" t="str">
        <f>HYPERLINK("http://bit.ly/3yKMszL")</f>
        <v>http://bit.ly/3yKMszL</v>
      </c>
      <c r="AU527" s="76" t="s">
        <v>19613</v>
      </c>
      <c r="AV527" s="76">
        <v>1.59552772974258E+18</v>
      </c>
      <c r="AW527" s="76"/>
      <c r="AX527" s="76" t="b">
        <v>0</v>
      </c>
      <c r="AY527" s="76"/>
      <c r="AZ527" s="76"/>
      <c r="BA527" s="76" t="b">
        <v>0</v>
      </c>
      <c r="BB527" s="76" t="b">
        <v>1</v>
      </c>
      <c r="BC527" s="76" t="b">
        <v>1</v>
      </c>
      <c r="BD527" s="76" t="b">
        <v>0</v>
      </c>
      <c r="BE527" s="76" t="b">
        <v>0</v>
      </c>
      <c r="BF527" s="76" t="b">
        <v>0</v>
      </c>
      <c r="BG527" s="76" t="b">
        <v>0</v>
      </c>
      <c r="BH527" s="83" t="str">
        <f>HYPERLINK("https://pbs.twimg.com/profile_banners/1489186316495503361/1669223398")</f>
        <v>https://pbs.twimg.com/profile_banners/1489186316495503361/1669223398</v>
      </c>
      <c r="BI527" s="76"/>
      <c r="BJ527" s="76" t="s">
        <v>19633</v>
      </c>
      <c r="BK527" s="76" t="b">
        <v>0</v>
      </c>
      <c r="BL527" s="76"/>
      <c r="BM527" s="76" t="s">
        <v>66</v>
      </c>
      <c r="BN527" s="76" t="s">
        <v>19635</v>
      </c>
      <c r="BO527" s="83" t="str">
        <f>HYPERLINK("https://twitter.com/conciergebtc")</f>
        <v>https://twitter.com/conciergebtc</v>
      </c>
      <c r="BP527" s="2"/>
    </row>
    <row r="528" spans="1:68" x14ac:dyDescent="0.25">
      <c r="A528" s="62" t="s">
        <v>1092</v>
      </c>
      <c r="B528" s="63"/>
      <c r="C528" s="63"/>
      <c r="D528" s="64"/>
      <c r="E528" s="66"/>
      <c r="F528" s="103" t="str">
        <f>HYPERLINK("https://pbs.twimg.com/profile_images/1532152913585373184/xlUtnbne_normal.jpg")</f>
        <v>https://pbs.twimg.com/profile_images/1532152913585373184/xlUtnbne_normal.jpg</v>
      </c>
      <c r="G528" s="63"/>
      <c r="H528" s="67"/>
      <c r="I528" s="68"/>
      <c r="J528" s="68"/>
      <c r="K528" s="67" t="s">
        <v>20160</v>
      </c>
      <c r="L528" s="71"/>
      <c r="M528" s="72"/>
      <c r="N528" s="72"/>
      <c r="O528" s="73"/>
      <c r="P528" s="74"/>
      <c r="Q528" s="74"/>
      <c r="R528" s="87"/>
      <c r="S528" s="87"/>
      <c r="T528" s="87"/>
      <c r="U528" s="87"/>
      <c r="V528" s="48"/>
      <c r="W528" s="48"/>
      <c r="X528" s="47">
        <v>1.0009999999999999E-3</v>
      </c>
      <c r="Y528" s="48"/>
      <c r="Z528" s="47"/>
      <c r="AA528" s="69">
        <v>528</v>
      </c>
      <c r="AB528" s="69"/>
      <c r="AC528" s="70"/>
      <c r="AD528" s="76" t="s">
        <v>17160</v>
      </c>
      <c r="AE528" s="81" t="s">
        <v>17710</v>
      </c>
      <c r="AF528" s="76">
        <v>49</v>
      </c>
      <c r="AG528" s="76">
        <v>269</v>
      </c>
      <c r="AH528" s="76">
        <v>2</v>
      </c>
      <c r="AI528" s="76">
        <v>0</v>
      </c>
      <c r="AJ528" s="76">
        <v>65</v>
      </c>
      <c r="AK528" s="76">
        <v>1</v>
      </c>
      <c r="AL528" s="76" t="b">
        <v>0</v>
      </c>
      <c r="AM528" s="78">
        <v>44396.479189814818</v>
      </c>
      <c r="AN528" s="76" t="s">
        <v>18035</v>
      </c>
      <c r="AO528" s="76" t="s">
        <v>18622</v>
      </c>
      <c r="AP528" s="83" t="str">
        <f>HYPERLINK("https://t.co/RwBdYKuuvk")</f>
        <v>https://t.co/RwBdYKuuvk</v>
      </c>
      <c r="AQ528" s="83" t="str">
        <f>HYPERLINK("http://www.thelittlehodler.com")</f>
        <v>http://www.thelittlehodler.com</v>
      </c>
      <c r="AR528" s="76" t="s">
        <v>19305</v>
      </c>
      <c r="AS528" s="76"/>
      <c r="AT528" s="76"/>
      <c r="AU528" s="76"/>
      <c r="AV528" s="76">
        <v>1.4969218623997299E+18</v>
      </c>
      <c r="AW528" s="83" t="str">
        <f>HYPERLINK("https://t.co/RwBdYKuuvk")</f>
        <v>https://t.co/RwBdYKuuvk</v>
      </c>
      <c r="AX528" s="76" t="b">
        <v>0</v>
      </c>
      <c r="AY528" s="76"/>
      <c r="AZ528" s="76"/>
      <c r="BA528" s="76" t="b">
        <v>0</v>
      </c>
      <c r="BB528" s="76" t="b">
        <v>1</v>
      </c>
      <c r="BC528" s="76" t="b">
        <v>1</v>
      </c>
      <c r="BD528" s="76" t="b">
        <v>0</v>
      </c>
      <c r="BE528" s="76" t="b">
        <v>0</v>
      </c>
      <c r="BF528" s="76" t="b">
        <v>0</v>
      </c>
      <c r="BG528" s="76" t="b">
        <v>0</v>
      </c>
      <c r="BH528" s="83" t="str">
        <f>HYPERLINK("https://pbs.twimg.com/profile_banners/1417084260754677761/1654128759")</f>
        <v>https://pbs.twimg.com/profile_banners/1417084260754677761/1654128759</v>
      </c>
      <c r="BI528" s="76"/>
      <c r="BJ528" s="76" t="s">
        <v>19633</v>
      </c>
      <c r="BK528" s="76" t="b">
        <v>0</v>
      </c>
      <c r="BL528" s="76"/>
      <c r="BM528" s="76" t="s">
        <v>65</v>
      </c>
      <c r="BN528" s="76" t="s">
        <v>19635</v>
      </c>
      <c r="BO528" s="83" t="str">
        <f>HYPERLINK("https://twitter.com/linaseiche_dm")</f>
        <v>https://twitter.com/linaseiche_dm</v>
      </c>
      <c r="BP528" s="2"/>
    </row>
    <row r="529" spans="1:68" x14ac:dyDescent="0.25">
      <c r="A529" s="62" t="s">
        <v>1093</v>
      </c>
      <c r="B529" s="63"/>
      <c r="C529" s="63"/>
      <c r="D529" s="64"/>
      <c r="E529" s="66"/>
      <c r="F529" s="103" t="str">
        <f>HYPERLINK("https://pbs.twimg.com/profile_images/1641266822694445057/JqXj_O5m_normal.jpg")</f>
        <v>https://pbs.twimg.com/profile_images/1641266822694445057/JqXj_O5m_normal.jpg</v>
      </c>
      <c r="G529" s="63"/>
      <c r="H529" s="67"/>
      <c r="I529" s="68"/>
      <c r="J529" s="68"/>
      <c r="K529" s="67" t="s">
        <v>20161</v>
      </c>
      <c r="L529" s="71"/>
      <c r="M529" s="72"/>
      <c r="N529" s="72"/>
      <c r="O529" s="73"/>
      <c r="P529" s="74"/>
      <c r="Q529" s="74"/>
      <c r="R529" s="87"/>
      <c r="S529" s="87"/>
      <c r="T529" s="87"/>
      <c r="U529" s="87"/>
      <c r="V529" s="48"/>
      <c r="W529" s="48"/>
      <c r="X529" s="47">
        <v>1.0009999999999999E-3</v>
      </c>
      <c r="Y529" s="48"/>
      <c r="Z529" s="47"/>
      <c r="AA529" s="69">
        <v>529</v>
      </c>
      <c r="AB529" s="69"/>
      <c r="AC529" s="70"/>
      <c r="AD529" s="76" t="s">
        <v>17160</v>
      </c>
      <c r="AE529" s="81" t="s">
        <v>17711</v>
      </c>
      <c r="AF529" s="76">
        <v>91066</v>
      </c>
      <c r="AG529" s="76">
        <v>993</v>
      </c>
      <c r="AH529" s="76">
        <v>7800</v>
      </c>
      <c r="AI529" s="76">
        <v>699</v>
      </c>
      <c r="AJ529" s="76">
        <v>35865</v>
      </c>
      <c r="AK529" s="76">
        <v>783</v>
      </c>
      <c r="AL529" s="76" t="b">
        <v>0</v>
      </c>
      <c r="AM529" s="78">
        <v>43473.070289351854</v>
      </c>
      <c r="AN529" s="76" t="s">
        <v>18035</v>
      </c>
      <c r="AO529" s="76" t="s">
        <v>18623</v>
      </c>
      <c r="AP529" s="83" t="str">
        <f>HYPERLINK("https://t.co/cWTinIK5Dl")</f>
        <v>https://t.co/cWTinIK5Dl</v>
      </c>
      <c r="AQ529" s="83" t="str">
        <f>HYPERLINK("https://thelittlehodler.com")</f>
        <v>https://thelittlehodler.com</v>
      </c>
      <c r="AR529" s="76" t="s">
        <v>19305</v>
      </c>
      <c r="AS529" s="76"/>
      <c r="AT529" s="76"/>
      <c r="AU529" s="76"/>
      <c r="AV529" s="76">
        <v>1.6943448739045701E+18</v>
      </c>
      <c r="AW529" s="83" t="str">
        <f>HYPERLINK("https://t.co/cWTinIK5Dl")</f>
        <v>https://t.co/cWTinIK5Dl</v>
      </c>
      <c r="AX529" s="76" t="b">
        <v>1</v>
      </c>
      <c r="AY529" s="76"/>
      <c r="AZ529" s="76"/>
      <c r="BA529" s="76" t="b">
        <v>1</v>
      </c>
      <c r="BB529" s="76" t="b">
        <v>1</v>
      </c>
      <c r="BC529" s="76" t="b">
        <v>0</v>
      </c>
      <c r="BD529" s="76" t="b">
        <v>0</v>
      </c>
      <c r="BE529" s="76" t="b">
        <v>1</v>
      </c>
      <c r="BF529" s="76" t="b">
        <v>0</v>
      </c>
      <c r="BG529" s="76" t="b">
        <v>0</v>
      </c>
      <c r="BH529" s="83" t="str">
        <f>HYPERLINK("https://pbs.twimg.com/profile_banners/1082452128235311105/1690876094")</f>
        <v>https://pbs.twimg.com/profile_banners/1082452128235311105/1690876094</v>
      </c>
      <c r="BI529" s="76"/>
      <c r="BJ529" s="76" t="s">
        <v>19633</v>
      </c>
      <c r="BK529" s="76" t="b">
        <v>0</v>
      </c>
      <c r="BL529" s="76"/>
      <c r="BM529" s="76" t="s">
        <v>65</v>
      </c>
      <c r="BN529" s="76" t="s">
        <v>19635</v>
      </c>
      <c r="BO529" s="83" t="str">
        <f>HYPERLINK("https://twitter.com/linaseiche")</f>
        <v>https://twitter.com/linaseiche</v>
      </c>
      <c r="BP529" s="2"/>
    </row>
    <row r="530" spans="1:68" x14ac:dyDescent="0.25">
      <c r="A530" s="62" t="s">
        <v>691</v>
      </c>
      <c r="B530" s="63"/>
      <c r="C530" s="63"/>
      <c r="D530" s="64"/>
      <c r="E530" s="66"/>
      <c r="F530" s="103" t="str">
        <f>HYPERLINK("https://pbs.twimg.com/profile_images/1700222685584801792/3Y04rIwE_normal.jpg")</f>
        <v>https://pbs.twimg.com/profile_images/1700222685584801792/3Y04rIwE_normal.jpg</v>
      </c>
      <c r="G530" s="63"/>
      <c r="H530" s="67"/>
      <c r="I530" s="68"/>
      <c r="J530" s="68"/>
      <c r="K530" s="67" t="s">
        <v>20162</v>
      </c>
      <c r="L530" s="71"/>
      <c r="M530" s="72"/>
      <c r="N530" s="72"/>
      <c r="O530" s="73"/>
      <c r="P530" s="74"/>
      <c r="Q530" s="74"/>
      <c r="R530" s="87"/>
      <c r="S530" s="87"/>
      <c r="T530" s="87"/>
      <c r="U530" s="87"/>
      <c r="V530" s="48"/>
      <c r="W530" s="48"/>
      <c r="X530" s="47">
        <v>1.101E-3</v>
      </c>
      <c r="Y530" s="48"/>
      <c r="Z530" s="47"/>
      <c r="AA530" s="69">
        <v>530</v>
      </c>
      <c r="AB530" s="69"/>
      <c r="AC530" s="70"/>
      <c r="AD530" s="76" t="s">
        <v>17161</v>
      </c>
      <c r="AE530" s="81" t="s">
        <v>16402</v>
      </c>
      <c r="AF530" s="76">
        <v>815</v>
      </c>
      <c r="AG530" s="76">
        <v>1245</v>
      </c>
      <c r="AH530" s="76">
        <v>2068</v>
      </c>
      <c r="AI530" s="76">
        <v>0</v>
      </c>
      <c r="AJ530" s="76">
        <v>252</v>
      </c>
      <c r="AK530" s="76">
        <v>1688</v>
      </c>
      <c r="AL530" s="76" t="b">
        <v>0</v>
      </c>
      <c r="AM530" s="78">
        <v>44918.729791666665</v>
      </c>
      <c r="AN530" s="76" t="s">
        <v>18036</v>
      </c>
      <c r="AO530" s="76" t="s">
        <v>18624</v>
      </c>
      <c r="AP530" s="83" t="str">
        <f>HYPERLINK("https://t.co/lnHVwo0msD")</f>
        <v>https://t.co/lnHVwo0msD</v>
      </c>
      <c r="AQ530" s="83" t="str">
        <f>HYPERLINK("https://www.esmaelmorais.com.br/")</f>
        <v>https://www.esmaelmorais.com.br/</v>
      </c>
      <c r="AR530" s="76" t="s">
        <v>19306</v>
      </c>
      <c r="AS530" s="76"/>
      <c r="AT530" s="76"/>
      <c r="AU530" s="76"/>
      <c r="AV530" s="76">
        <v>1.6929680164162401E+18</v>
      </c>
      <c r="AW530" s="83" t="str">
        <f>HYPERLINK("https://t.co/lnHVwo0msD")</f>
        <v>https://t.co/lnHVwo0msD</v>
      </c>
      <c r="AX530" s="76" t="b">
        <v>0</v>
      </c>
      <c r="AY530" s="76"/>
      <c r="AZ530" s="76"/>
      <c r="BA530" s="76" t="b">
        <v>0</v>
      </c>
      <c r="BB530" s="76" t="b">
        <v>1</v>
      </c>
      <c r="BC530" s="76" t="b">
        <v>1</v>
      </c>
      <c r="BD530" s="76" t="b">
        <v>0</v>
      </c>
      <c r="BE530" s="76" t="b">
        <v>0</v>
      </c>
      <c r="BF530" s="76" t="b">
        <v>0</v>
      </c>
      <c r="BG530" s="76" t="b">
        <v>0</v>
      </c>
      <c r="BH530" s="83" t="str">
        <f>HYPERLINK("https://pbs.twimg.com/profile_banners/1606341456519729152/1686180586")</f>
        <v>https://pbs.twimg.com/profile_banners/1606341456519729152/1686180586</v>
      </c>
      <c r="BI530" s="76"/>
      <c r="BJ530" s="76" t="s">
        <v>19633</v>
      </c>
      <c r="BK530" s="76" t="b">
        <v>0</v>
      </c>
      <c r="BL530" s="76"/>
      <c r="BM530" s="76" t="s">
        <v>66</v>
      </c>
      <c r="BN530" s="76" t="s">
        <v>19635</v>
      </c>
      <c r="BO530" s="83" t="str">
        <f>HYPERLINK("https://twitter.com/esmaelmorais")</f>
        <v>https://twitter.com/esmaelmorais</v>
      </c>
      <c r="BP530" s="2"/>
    </row>
    <row r="531" spans="1:68" x14ac:dyDescent="0.25">
      <c r="A531" s="62" t="s">
        <v>692</v>
      </c>
      <c r="B531" s="63"/>
      <c r="C531" s="63"/>
      <c r="D531" s="64"/>
      <c r="E531" s="66"/>
      <c r="F531" s="103" t="str">
        <f>HYPERLINK("https://pbs.twimg.com/profile_images/1646946483545972752/5tg02Q_Z_normal.jpg")</f>
        <v>https://pbs.twimg.com/profile_images/1646946483545972752/5tg02Q_Z_normal.jpg</v>
      </c>
      <c r="G531" s="63"/>
      <c r="H531" s="67"/>
      <c r="I531" s="68"/>
      <c r="J531" s="68"/>
      <c r="K531" s="67" t="s">
        <v>20163</v>
      </c>
      <c r="L531" s="71"/>
      <c r="M531" s="72"/>
      <c r="N531" s="72"/>
      <c r="O531" s="73"/>
      <c r="P531" s="74"/>
      <c r="Q531" s="74"/>
      <c r="R531" s="87"/>
      <c r="S531" s="87"/>
      <c r="T531" s="87"/>
      <c r="U531" s="87"/>
      <c r="V531" s="48"/>
      <c r="W531" s="48"/>
      <c r="X531" s="47">
        <v>1.101E-3</v>
      </c>
      <c r="Y531" s="48"/>
      <c r="Z531" s="47"/>
      <c r="AA531" s="69">
        <v>531</v>
      </c>
      <c r="AB531" s="69"/>
      <c r="AC531" s="70"/>
      <c r="AD531" s="76" t="s">
        <v>17162</v>
      </c>
      <c r="AE531" s="81" t="s">
        <v>16403</v>
      </c>
      <c r="AF531" s="76">
        <v>40</v>
      </c>
      <c r="AG531" s="76">
        <v>148</v>
      </c>
      <c r="AH531" s="76">
        <v>2869</v>
      </c>
      <c r="AI531" s="76">
        <v>1</v>
      </c>
      <c r="AJ531" s="76">
        <v>144</v>
      </c>
      <c r="AK531" s="76">
        <v>1147</v>
      </c>
      <c r="AL531" s="76" t="b">
        <v>0</v>
      </c>
      <c r="AM531" s="78">
        <v>42824.555</v>
      </c>
      <c r="AN531" s="76" t="s">
        <v>10572</v>
      </c>
      <c r="AO531" s="76" t="s">
        <v>18625</v>
      </c>
      <c r="AP531" s="83" t="str">
        <f>HYPERLINK("https://t.co/ZKWzWkY2mr")</f>
        <v>https://t.co/ZKWzWkY2mr</v>
      </c>
      <c r="AQ531" s="83" t="str">
        <f>HYPERLINK("http://rosiellepegado.com.br")</f>
        <v>http://rosiellepegado.com.br</v>
      </c>
      <c r="AR531" s="76" t="s">
        <v>19307</v>
      </c>
      <c r="AS531" s="76"/>
      <c r="AT531" s="76"/>
      <c r="AU531" s="76"/>
      <c r="AV531" s="76"/>
      <c r="AW531" s="83" t="str">
        <f>HYPERLINK("https://t.co/ZKWzWkY2mr")</f>
        <v>https://t.co/ZKWzWkY2mr</v>
      </c>
      <c r="AX531" s="76" t="b">
        <v>0</v>
      </c>
      <c r="AY531" s="76"/>
      <c r="AZ531" s="76"/>
      <c r="BA531" s="76" t="b">
        <v>0</v>
      </c>
      <c r="BB531" s="76" t="b">
        <v>1</v>
      </c>
      <c r="BC531" s="76" t="b">
        <v>0</v>
      </c>
      <c r="BD531" s="76" t="b">
        <v>0</v>
      </c>
      <c r="BE531" s="76" t="b">
        <v>1</v>
      </c>
      <c r="BF531" s="76" t="b">
        <v>0</v>
      </c>
      <c r="BG531" s="76" t="b">
        <v>0</v>
      </c>
      <c r="BH531" s="83" t="str">
        <f>HYPERLINK("https://pbs.twimg.com/profile_banners/847438059054391298/1681497616")</f>
        <v>https://pbs.twimg.com/profile_banners/847438059054391298/1681497616</v>
      </c>
      <c r="BI531" s="76"/>
      <c r="BJ531" s="76" t="s">
        <v>19633</v>
      </c>
      <c r="BK531" s="76" t="b">
        <v>0</v>
      </c>
      <c r="BL531" s="76"/>
      <c r="BM531" s="76" t="s">
        <v>66</v>
      </c>
      <c r="BN531" s="76" t="s">
        <v>19635</v>
      </c>
      <c r="BO531" s="83" t="str">
        <f>HYPERLINK("https://twitter.com/rosiellepegado")</f>
        <v>https://twitter.com/rosiellepegado</v>
      </c>
      <c r="BP531" s="2"/>
    </row>
    <row r="532" spans="1:68" x14ac:dyDescent="0.25">
      <c r="A532" s="62" t="s">
        <v>1094</v>
      </c>
      <c r="B532" s="63"/>
      <c r="C532" s="63"/>
      <c r="D532" s="64"/>
      <c r="E532" s="66"/>
      <c r="F532" s="103" t="str">
        <f>HYPERLINK("https://pbs.twimg.com/profile_images/1676695162834018305/PrIoslTC_normal.jpg")</f>
        <v>https://pbs.twimg.com/profile_images/1676695162834018305/PrIoslTC_normal.jpg</v>
      </c>
      <c r="G532" s="63"/>
      <c r="H532" s="67"/>
      <c r="I532" s="68"/>
      <c r="J532" s="68"/>
      <c r="K532" s="67" t="s">
        <v>20164</v>
      </c>
      <c r="L532" s="71"/>
      <c r="M532" s="72"/>
      <c r="N532" s="72"/>
      <c r="O532" s="73"/>
      <c r="P532" s="74"/>
      <c r="Q532" s="74"/>
      <c r="R532" s="87"/>
      <c r="S532" s="87"/>
      <c r="T532" s="87"/>
      <c r="U532" s="87"/>
      <c r="V532" s="48"/>
      <c r="W532" s="48"/>
      <c r="X532" s="47">
        <v>1.101E-3</v>
      </c>
      <c r="Y532" s="48"/>
      <c r="Z532" s="47"/>
      <c r="AA532" s="69">
        <v>532</v>
      </c>
      <c r="AB532" s="69"/>
      <c r="AC532" s="70"/>
      <c r="AD532" s="76" t="s">
        <v>17163</v>
      </c>
      <c r="AE532" s="81" t="s">
        <v>17712</v>
      </c>
      <c r="AF532" s="76">
        <v>375</v>
      </c>
      <c r="AG532" s="76">
        <v>75</v>
      </c>
      <c r="AH532" s="76">
        <v>517</v>
      </c>
      <c r="AI532" s="76">
        <v>1</v>
      </c>
      <c r="AJ532" s="76">
        <v>883</v>
      </c>
      <c r="AK532" s="76">
        <v>127</v>
      </c>
      <c r="AL532" s="76" t="b">
        <v>0</v>
      </c>
      <c r="AM532" s="78">
        <v>44270.94767361111</v>
      </c>
      <c r="AN532" s="76"/>
      <c r="AO532" s="76" t="s">
        <v>18626</v>
      </c>
      <c r="AP532" s="83" t="str">
        <f>HYPERLINK("https://t.co/HpcoEmgQ2Z")</f>
        <v>https://t.co/HpcoEmgQ2Z</v>
      </c>
      <c r="AQ532" s="83" t="str">
        <f>HYPERLINK("https://www.flyve.com.br/")</f>
        <v>https://www.flyve.com.br/</v>
      </c>
      <c r="AR532" s="76" t="s">
        <v>19308</v>
      </c>
      <c r="AS532" s="76"/>
      <c r="AT532" s="76"/>
      <c r="AU532" s="76"/>
      <c r="AV532" s="76">
        <v>1.5042088423217999E+18</v>
      </c>
      <c r="AW532" s="83" t="str">
        <f>HYPERLINK("https://t.co/HpcoEmgQ2Z")</f>
        <v>https://t.co/HpcoEmgQ2Z</v>
      </c>
      <c r="AX532" s="76" t="b">
        <v>0</v>
      </c>
      <c r="AY532" s="76"/>
      <c r="AZ532" s="76"/>
      <c r="BA532" s="76" t="b">
        <v>0</v>
      </c>
      <c r="BB532" s="76" t="b">
        <v>1</v>
      </c>
      <c r="BC532" s="76" t="b">
        <v>1</v>
      </c>
      <c r="BD532" s="76" t="b">
        <v>0</v>
      </c>
      <c r="BE532" s="76" t="b">
        <v>0</v>
      </c>
      <c r="BF532" s="76" t="b">
        <v>0</v>
      </c>
      <c r="BG532" s="76" t="b">
        <v>0</v>
      </c>
      <c r="BH532" s="83" t="str">
        <f>HYPERLINK("https://pbs.twimg.com/profile_banners/1371593170501439494/1676382395")</f>
        <v>https://pbs.twimg.com/profile_banners/1371593170501439494/1676382395</v>
      </c>
      <c r="BI532" s="76"/>
      <c r="BJ532" s="76" t="s">
        <v>19633</v>
      </c>
      <c r="BK532" s="76" t="b">
        <v>0</v>
      </c>
      <c r="BL532" s="76"/>
      <c r="BM532" s="76" t="s">
        <v>65</v>
      </c>
      <c r="BN532" s="76" t="s">
        <v>19635</v>
      </c>
      <c r="BO532" s="83" t="str">
        <f>HYPERLINK("https://twitter.com/editoraflyve")</f>
        <v>https://twitter.com/editoraflyve</v>
      </c>
      <c r="BP532" s="2"/>
    </row>
    <row r="533" spans="1:68" x14ac:dyDescent="0.25">
      <c r="A533" s="62" t="s">
        <v>694</v>
      </c>
      <c r="B533" s="63"/>
      <c r="C533" s="63"/>
      <c r="D533" s="64"/>
      <c r="E533" s="66"/>
      <c r="F533" s="103" t="str">
        <f>HYPERLINK("https://pbs.twimg.com/profile_images/1613155298176376832/P7fLPxWH_normal.jpg")</f>
        <v>https://pbs.twimg.com/profile_images/1613155298176376832/P7fLPxWH_normal.jpg</v>
      </c>
      <c r="G533" s="63"/>
      <c r="H533" s="67"/>
      <c r="I533" s="68"/>
      <c r="J533" s="68"/>
      <c r="K533" s="67" t="s">
        <v>20165</v>
      </c>
      <c r="L533" s="71"/>
      <c r="M533" s="72"/>
      <c r="N533" s="72"/>
      <c r="O533" s="73"/>
      <c r="P533" s="74"/>
      <c r="Q533" s="74"/>
      <c r="R533" s="87"/>
      <c r="S533" s="87"/>
      <c r="T533" s="87"/>
      <c r="U533" s="87"/>
      <c r="V533" s="48"/>
      <c r="W533" s="48"/>
      <c r="X533" s="47">
        <v>1.101E-3</v>
      </c>
      <c r="Y533" s="48"/>
      <c r="Z533" s="47"/>
      <c r="AA533" s="69">
        <v>533</v>
      </c>
      <c r="AB533" s="69"/>
      <c r="AC533" s="70"/>
      <c r="AD533" s="76" t="s">
        <v>17164</v>
      </c>
      <c r="AE533" s="81" t="s">
        <v>15749</v>
      </c>
      <c r="AF533" s="76">
        <v>375</v>
      </c>
      <c r="AG533" s="76">
        <v>213</v>
      </c>
      <c r="AH533" s="76">
        <v>13709</v>
      </c>
      <c r="AI533" s="76">
        <v>41</v>
      </c>
      <c r="AJ533" s="76">
        <v>871</v>
      </c>
      <c r="AK533" s="76">
        <v>153</v>
      </c>
      <c r="AL533" s="76" t="b">
        <v>0</v>
      </c>
      <c r="AM533" s="78">
        <v>39937.976585648146</v>
      </c>
      <c r="AN533" s="76" t="s">
        <v>10552</v>
      </c>
      <c r="AO533" s="76"/>
      <c r="AP533" s="76"/>
      <c r="AQ533" s="76"/>
      <c r="AR533" s="76"/>
      <c r="AS533" s="76"/>
      <c r="AT533" s="76"/>
      <c r="AU533" s="76"/>
      <c r="AV533" s="76"/>
      <c r="AW533" s="76"/>
      <c r="AX533" s="76" t="b">
        <v>0</v>
      </c>
      <c r="AY533" s="76"/>
      <c r="AZ533" s="76"/>
      <c r="BA533" s="76" t="b">
        <v>0</v>
      </c>
      <c r="BB533" s="76" t="b">
        <v>1</v>
      </c>
      <c r="BC533" s="76" t="b">
        <v>0</v>
      </c>
      <c r="BD533" s="76" t="b">
        <v>0</v>
      </c>
      <c r="BE533" s="76" t="b">
        <v>1</v>
      </c>
      <c r="BF533" s="76" t="b">
        <v>0</v>
      </c>
      <c r="BG533" s="76" t="b">
        <v>0</v>
      </c>
      <c r="BH533" s="83" t="str">
        <f>HYPERLINK("https://pbs.twimg.com/profile_banners/37792011/1620580092")</f>
        <v>https://pbs.twimg.com/profile_banners/37792011/1620580092</v>
      </c>
      <c r="BI533" s="76"/>
      <c r="BJ533" s="76" t="s">
        <v>19633</v>
      </c>
      <c r="BK533" s="76" t="b">
        <v>0</v>
      </c>
      <c r="BL533" s="76"/>
      <c r="BM533" s="76" t="s">
        <v>66</v>
      </c>
      <c r="BN533" s="76" t="s">
        <v>19635</v>
      </c>
      <c r="BO533" s="83" t="str">
        <f>HYPERLINK("https://twitter.com/diogocavalcante")</f>
        <v>https://twitter.com/diogocavalcante</v>
      </c>
      <c r="BP533" s="2"/>
    </row>
    <row r="534" spans="1:68" x14ac:dyDescent="0.25">
      <c r="A534" s="62" t="s">
        <v>695</v>
      </c>
      <c r="B534" s="63"/>
      <c r="C534" s="63"/>
      <c r="D534" s="64"/>
      <c r="E534" s="66"/>
      <c r="F534" s="103" t="str">
        <f>HYPERLINK("https://pbs.twimg.com/profile_images/1575508449437556738/NzhyUA9S_normal.jpg")</f>
        <v>https://pbs.twimg.com/profile_images/1575508449437556738/NzhyUA9S_normal.jpg</v>
      </c>
      <c r="G534" s="63"/>
      <c r="H534" s="67"/>
      <c r="I534" s="68"/>
      <c r="J534" s="68"/>
      <c r="K534" s="67" t="s">
        <v>20166</v>
      </c>
      <c r="L534" s="71"/>
      <c r="M534" s="72"/>
      <c r="N534" s="72"/>
      <c r="O534" s="73"/>
      <c r="P534" s="74"/>
      <c r="Q534" s="74"/>
      <c r="R534" s="87"/>
      <c r="S534" s="87"/>
      <c r="T534" s="87"/>
      <c r="U534" s="87"/>
      <c r="V534" s="48"/>
      <c r="W534" s="48"/>
      <c r="X534" s="47">
        <v>1.101E-3</v>
      </c>
      <c r="Y534" s="48"/>
      <c r="Z534" s="47"/>
      <c r="AA534" s="69">
        <v>534</v>
      </c>
      <c r="AB534" s="69"/>
      <c r="AC534" s="70"/>
      <c r="AD534" s="76" t="s">
        <v>17165</v>
      </c>
      <c r="AE534" s="81" t="s">
        <v>16404</v>
      </c>
      <c r="AF534" s="76">
        <v>0</v>
      </c>
      <c r="AG534" s="76">
        <v>30</v>
      </c>
      <c r="AH534" s="76">
        <v>4</v>
      </c>
      <c r="AI534" s="76">
        <v>0</v>
      </c>
      <c r="AJ534" s="76">
        <v>0</v>
      </c>
      <c r="AK534" s="76">
        <v>4</v>
      </c>
      <c r="AL534" s="76" t="b">
        <v>0</v>
      </c>
      <c r="AM534" s="78">
        <v>44833.638333333336</v>
      </c>
      <c r="AN534" s="76"/>
      <c r="AO534" s="76"/>
      <c r="AP534" s="76"/>
      <c r="AQ534" s="76"/>
      <c r="AR534" s="76"/>
      <c r="AS534" s="76"/>
      <c r="AT534" s="76"/>
      <c r="AU534" s="76"/>
      <c r="AV534" s="76"/>
      <c r="AW534" s="76"/>
      <c r="AX534" s="76" t="b">
        <v>0</v>
      </c>
      <c r="AY534" s="76"/>
      <c r="AZ534" s="76"/>
      <c r="BA534" s="76" t="b">
        <v>0</v>
      </c>
      <c r="BB534" s="76" t="b">
        <v>1</v>
      </c>
      <c r="BC534" s="76" t="b">
        <v>1</v>
      </c>
      <c r="BD534" s="76" t="b">
        <v>0</v>
      </c>
      <c r="BE534" s="76" t="b">
        <v>0</v>
      </c>
      <c r="BF534" s="76" t="b">
        <v>0</v>
      </c>
      <c r="BG534" s="76" t="b">
        <v>0</v>
      </c>
      <c r="BH534" s="76"/>
      <c r="BI534" s="76"/>
      <c r="BJ534" s="76" t="s">
        <v>19633</v>
      </c>
      <c r="BK534" s="76" t="b">
        <v>0</v>
      </c>
      <c r="BL534" s="76"/>
      <c r="BM534" s="76" t="s">
        <v>66</v>
      </c>
      <c r="BN534" s="76" t="s">
        <v>19635</v>
      </c>
      <c r="BO534" s="83" t="str">
        <f>HYPERLINK("https://twitter.com/micpodcastmedia")</f>
        <v>https://twitter.com/micpodcastmedia</v>
      </c>
      <c r="BP534" s="2"/>
    </row>
    <row r="535" spans="1:68" x14ac:dyDescent="0.25">
      <c r="A535" s="62" t="s">
        <v>696</v>
      </c>
      <c r="B535" s="63"/>
      <c r="C535" s="63"/>
      <c r="D535" s="64"/>
      <c r="E535" s="66"/>
      <c r="F535" s="103" t="str">
        <f>HYPERLINK("https://pbs.twimg.com/profile_images/1599747375333089280/JPc_rGdW_normal.jpg")</f>
        <v>https://pbs.twimg.com/profile_images/1599747375333089280/JPc_rGdW_normal.jpg</v>
      </c>
      <c r="G535" s="63"/>
      <c r="H535" s="67"/>
      <c r="I535" s="68"/>
      <c r="J535" s="68"/>
      <c r="K535" s="67" t="s">
        <v>20167</v>
      </c>
      <c r="L535" s="71"/>
      <c r="M535" s="72"/>
      <c r="N535" s="72"/>
      <c r="O535" s="73"/>
      <c r="P535" s="74"/>
      <c r="Q535" s="74"/>
      <c r="R535" s="87"/>
      <c r="S535" s="87"/>
      <c r="T535" s="87"/>
      <c r="U535" s="87"/>
      <c r="V535" s="48"/>
      <c r="W535" s="48"/>
      <c r="X535" s="47">
        <v>1.101E-3</v>
      </c>
      <c r="Y535" s="48"/>
      <c r="Z535" s="47"/>
      <c r="AA535" s="69">
        <v>535</v>
      </c>
      <c r="AB535" s="69"/>
      <c r="AC535" s="70"/>
      <c r="AD535" s="76" t="s">
        <v>17166</v>
      </c>
      <c r="AE535" s="81" t="s">
        <v>15750</v>
      </c>
      <c r="AF535" s="76">
        <v>130</v>
      </c>
      <c r="AG535" s="76">
        <v>153</v>
      </c>
      <c r="AH535" s="76">
        <v>873</v>
      </c>
      <c r="AI535" s="76">
        <v>1</v>
      </c>
      <c r="AJ535" s="76">
        <v>100</v>
      </c>
      <c r="AK535" s="76">
        <v>174</v>
      </c>
      <c r="AL535" s="76" t="b">
        <v>0</v>
      </c>
      <c r="AM535" s="78">
        <v>40255.599942129629</v>
      </c>
      <c r="AN535" s="76" t="s">
        <v>18037</v>
      </c>
      <c r="AO535" s="76" t="s">
        <v>18627</v>
      </c>
      <c r="AP535" s="83" t="str">
        <f>HYPERLINK("https://t.co/LpCRL6cpsH")</f>
        <v>https://t.co/LpCRL6cpsH</v>
      </c>
      <c r="AQ535" s="83" t="str">
        <f>HYPERLINK("https://www.coletiva.org")</f>
        <v>https://www.coletiva.org</v>
      </c>
      <c r="AR535" s="76" t="s">
        <v>19309</v>
      </c>
      <c r="AS535" s="83" t="str">
        <f>HYPERLINK("https://t.co/fNxUavVE7F")</f>
        <v>https://t.co/fNxUavVE7F</v>
      </c>
      <c r="AT535" s="83" t="str">
        <f>HYPERLINK("http://linktr.ee/revistacoletiva")</f>
        <v>http://linktr.ee/revistacoletiva</v>
      </c>
      <c r="AU535" s="76" t="s">
        <v>19614</v>
      </c>
      <c r="AV535" s="76"/>
      <c r="AW535" s="83" t="str">
        <f>HYPERLINK("https://t.co/LpCRL6cpsH")</f>
        <v>https://t.co/LpCRL6cpsH</v>
      </c>
      <c r="AX535" s="76" t="b">
        <v>0</v>
      </c>
      <c r="AY535" s="76"/>
      <c r="AZ535" s="76"/>
      <c r="BA535" s="76" t="b">
        <v>0</v>
      </c>
      <c r="BB535" s="76" t="b">
        <v>1</v>
      </c>
      <c r="BC535" s="76" t="b">
        <v>0</v>
      </c>
      <c r="BD535" s="76" t="b">
        <v>0</v>
      </c>
      <c r="BE535" s="76" t="b">
        <v>0</v>
      </c>
      <c r="BF535" s="76" t="b">
        <v>0</v>
      </c>
      <c r="BG535" s="76" t="b">
        <v>0</v>
      </c>
      <c r="BH535" s="83" t="str">
        <f>HYPERLINK("https://pbs.twimg.com/profile_banners/124178356/1689776822")</f>
        <v>https://pbs.twimg.com/profile_banners/124178356/1689776822</v>
      </c>
      <c r="BI535" s="76"/>
      <c r="BJ535" s="76" t="s">
        <v>19633</v>
      </c>
      <c r="BK535" s="76" t="b">
        <v>0</v>
      </c>
      <c r="BL535" s="76"/>
      <c r="BM535" s="76" t="s">
        <v>66</v>
      </c>
      <c r="BN535" s="76" t="s">
        <v>19635</v>
      </c>
      <c r="BO535" s="83" t="str">
        <f>HYPERLINK("https://twitter.com/revistacoletiva")</f>
        <v>https://twitter.com/revistacoletiva</v>
      </c>
      <c r="BP535" s="2"/>
    </row>
    <row r="536" spans="1:68" x14ac:dyDescent="0.25">
      <c r="A536" s="62" t="s">
        <v>697</v>
      </c>
      <c r="B536" s="63"/>
      <c r="C536" s="63"/>
      <c r="D536" s="64"/>
      <c r="E536" s="66"/>
      <c r="F536" s="103" t="str">
        <f>HYPERLINK("https://pbs.twimg.com/profile_images/1632915350860750848/jE2NQ40h_normal.jpg")</f>
        <v>https://pbs.twimg.com/profile_images/1632915350860750848/jE2NQ40h_normal.jpg</v>
      </c>
      <c r="G536" s="63"/>
      <c r="H536" s="67"/>
      <c r="I536" s="68"/>
      <c r="J536" s="68"/>
      <c r="K536" s="67" t="s">
        <v>20168</v>
      </c>
      <c r="L536" s="71"/>
      <c r="M536" s="72"/>
      <c r="N536" s="72"/>
      <c r="O536" s="73"/>
      <c r="P536" s="74"/>
      <c r="Q536" s="74"/>
      <c r="R536" s="87"/>
      <c r="S536" s="87"/>
      <c r="T536" s="87"/>
      <c r="U536" s="87"/>
      <c r="V536" s="48"/>
      <c r="W536" s="48"/>
      <c r="X536" s="47">
        <v>9.6599999999999995E-4</v>
      </c>
      <c r="Y536" s="48"/>
      <c r="Z536" s="47"/>
      <c r="AA536" s="69">
        <v>536</v>
      </c>
      <c r="AB536" s="69"/>
      <c r="AC536" s="70"/>
      <c r="AD536" s="76" t="s">
        <v>17167</v>
      </c>
      <c r="AE536" s="81" t="s">
        <v>17713</v>
      </c>
      <c r="AF536" s="76">
        <v>174</v>
      </c>
      <c r="AG536" s="76">
        <v>670</v>
      </c>
      <c r="AH536" s="76">
        <v>54437</v>
      </c>
      <c r="AI536" s="76">
        <v>2</v>
      </c>
      <c r="AJ536" s="76">
        <v>57841</v>
      </c>
      <c r="AK536" s="76">
        <v>77</v>
      </c>
      <c r="AL536" s="76" t="b">
        <v>0</v>
      </c>
      <c r="AM536" s="78">
        <v>40702.051608796297</v>
      </c>
      <c r="AN536" s="76"/>
      <c r="AO536" s="76" t="s">
        <v>18628</v>
      </c>
      <c r="AP536" s="76"/>
      <c r="AQ536" s="76"/>
      <c r="AR536" s="76"/>
      <c r="AS536" s="76"/>
      <c r="AT536" s="76"/>
      <c r="AU536" s="76"/>
      <c r="AV536" s="76"/>
      <c r="AW536" s="76"/>
      <c r="AX536" s="76" t="b">
        <v>0</v>
      </c>
      <c r="AY536" s="76"/>
      <c r="AZ536" s="76"/>
      <c r="BA536" s="76" t="b">
        <v>0</v>
      </c>
      <c r="BB536" s="76" t="b">
        <v>0</v>
      </c>
      <c r="BC536" s="76" t="b">
        <v>0</v>
      </c>
      <c r="BD536" s="76" t="b">
        <v>0</v>
      </c>
      <c r="BE536" s="76" t="b">
        <v>1</v>
      </c>
      <c r="BF536" s="76" t="b">
        <v>0</v>
      </c>
      <c r="BG536" s="76" t="b">
        <v>0</v>
      </c>
      <c r="BH536" s="76"/>
      <c r="BI536" s="76"/>
      <c r="BJ536" s="76" t="s">
        <v>19633</v>
      </c>
      <c r="BK536" s="76" t="b">
        <v>0</v>
      </c>
      <c r="BL536" s="76"/>
      <c r="BM536" s="76" t="s">
        <v>66</v>
      </c>
      <c r="BN536" s="76" t="s">
        <v>19635</v>
      </c>
      <c r="BO536" s="83" t="str">
        <f>HYPERLINK("https://twitter.com/nomenascimento")</f>
        <v>https://twitter.com/nomenascimento</v>
      </c>
      <c r="BP536" s="2"/>
    </row>
    <row r="537" spans="1:68" x14ac:dyDescent="0.25">
      <c r="A537" s="62" t="s">
        <v>698</v>
      </c>
      <c r="B537" s="63"/>
      <c r="C537" s="63"/>
      <c r="D537" s="64"/>
      <c r="E537" s="66"/>
      <c r="F537" s="103" t="str">
        <f>HYPERLINK("https://pbs.twimg.com/profile_images/1649923906227126273/JTSk0ERO_normal.jpg")</f>
        <v>https://pbs.twimg.com/profile_images/1649923906227126273/JTSk0ERO_normal.jpg</v>
      </c>
      <c r="G537" s="63"/>
      <c r="H537" s="67"/>
      <c r="I537" s="68"/>
      <c r="J537" s="68"/>
      <c r="K537" s="67" t="s">
        <v>20169</v>
      </c>
      <c r="L537" s="71"/>
      <c r="M537" s="72"/>
      <c r="N537" s="72"/>
      <c r="O537" s="73"/>
      <c r="P537" s="74"/>
      <c r="Q537" s="74"/>
      <c r="R537" s="87"/>
      <c r="S537" s="87"/>
      <c r="T537" s="87"/>
      <c r="U537" s="87"/>
      <c r="V537" s="48"/>
      <c r="W537" s="48"/>
      <c r="X537" s="47">
        <v>9.6599999999999995E-4</v>
      </c>
      <c r="Y537" s="48"/>
      <c r="Z537" s="47"/>
      <c r="AA537" s="69">
        <v>537</v>
      </c>
      <c r="AB537" s="69"/>
      <c r="AC537" s="70"/>
      <c r="AD537" s="76" t="s">
        <v>17168</v>
      </c>
      <c r="AE537" s="81" t="s">
        <v>16405</v>
      </c>
      <c r="AF537" s="76">
        <v>47</v>
      </c>
      <c r="AG537" s="76">
        <v>858</v>
      </c>
      <c r="AH537" s="76">
        <v>4816</v>
      </c>
      <c r="AI537" s="76">
        <v>3</v>
      </c>
      <c r="AJ537" s="76">
        <v>29404</v>
      </c>
      <c r="AK537" s="76">
        <v>36</v>
      </c>
      <c r="AL537" s="76" t="b">
        <v>0</v>
      </c>
      <c r="AM537" s="78">
        <v>43930.729016203702</v>
      </c>
      <c r="AN537" s="76" t="s">
        <v>18038</v>
      </c>
      <c r="AO537" s="76" t="s">
        <v>18629</v>
      </c>
      <c r="AP537" s="76"/>
      <c r="AQ537" s="76"/>
      <c r="AR537" s="76"/>
      <c r="AS537" s="76"/>
      <c r="AT537" s="76"/>
      <c r="AU537" s="76"/>
      <c r="AV537" s="76">
        <v>1.6121811176285599E+18</v>
      </c>
      <c r="AW537" s="76"/>
      <c r="AX537" s="76" t="b">
        <v>0</v>
      </c>
      <c r="AY537" s="76"/>
      <c r="AZ537" s="76"/>
      <c r="BA537" s="76" t="b">
        <v>0</v>
      </c>
      <c r="BB537" s="76" t="b">
        <v>0</v>
      </c>
      <c r="BC537" s="76" t="b">
        <v>1</v>
      </c>
      <c r="BD537" s="76" t="b">
        <v>0</v>
      </c>
      <c r="BE537" s="76" t="b">
        <v>0</v>
      </c>
      <c r="BF537" s="76" t="b">
        <v>0</v>
      </c>
      <c r="BG537" s="76" t="b">
        <v>0</v>
      </c>
      <c r="BH537" s="83" t="str">
        <f>HYPERLINK("https://pbs.twimg.com/profile_banners/1248301765243613187/1673960488")</f>
        <v>https://pbs.twimg.com/profile_banners/1248301765243613187/1673960488</v>
      </c>
      <c r="BI537" s="76"/>
      <c r="BJ537" s="76" t="s">
        <v>19633</v>
      </c>
      <c r="BK537" s="76" t="b">
        <v>0</v>
      </c>
      <c r="BL537" s="76"/>
      <c r="BM537" s="76" t="s">
        <v>66</v>
      </c>
      <c r="BN537" s="76" t="s">
        <v>19635</v>
      </c>
      <c r="BO537" s="83" t="str">
        <f>HYPERLINK("https://twitter.com/profandersonmat")</f>
        <v>https://twitter.com/profandersonmat</v>
      </c>
      <c r="BP537" s="2"/>
    </row>
    <row r="538" spans="1:68" x14ac:dyDescent="0.25">
      <c r="A538" s="62" t="s">
        <v>699</v>
      </c>
      <c r="B538" s="63"/>
      <c r="C538" s="63"/>
      <c r="D538" s="64"/>
      <c r="E538" s="66"/>
      <c r="F538" s="103" t="str">
        <f>HYPERLINK("https://pbs.twimg.com/profile_images/1634373755383291904/PKS6Ou4z_normal.jpg")</f>
        <v>https://pbs.twimg.com/profile_images/1634373755383291904/PKS6Ou4z_normal.jpg</v>
      </c>
      <c r="G538" s="63"/>
      <c r="H538" s="67"/>
      <c r="I538" s="68"/>
      <c r="J538" s="68"/>
      <c r="K538" s="67" t="s">
        <v>20170</v>
      </c>
      <c r="L538" s="71"/>
      <c r="M538" s="72"/>
      <c r="N538" s="72"/>
      <c r="O538" s="73"/>
      <c r="P538" s="74"/>
      <c r="Q538" s="74"/>
      <c r="R538" s="87"/>
      <c r="S538" s="87"/>
      <c r="T538" s="87"/>
      <c r="U538" s="87"/>
      <c r="V538" s="48"/>
      <c r="W538" s="48"/>
      <c r="X538" s="47">
        <v>1.101E-3</v>
      </c>
      <c r="Y538" s="48"/>
      <c r="Z538" s="47"/>
      <c r="AA538" s="69">
        <v>538</v>
      </c>
      <c r="AB538" s="69"/>
      <c r="AC538" s="70"/>
      <c r="AD538" s="76" t="s">
        <v>17169</v>
      </c>
      <c r="AE538" s="81" t="s">
        <v>16406</v>
      </c>
      <c r="AF538" s="76">
        <v>0</v>
      </c>
      <c r="AG538" s="76">
        <v>5</v>
      </c>
      <c r="AH538" s="76">
        <v>3</v>
      </c>
      <c r="AI538" s="76">
        <v>0</v>
      </c>
      <c r="AJ538" s="76">
        <v>4</v>
      </c>
      <c r="AK538" s="76">
        <v>0</v>
      </c>
      <c r="AL538" s="76" t="b">
        <v>0</v>
      </c>
      <c r="AM538" s="78">
        <v>44994.68949074074</v>
      </c>
      <c r="AN538" s="76"/>
      <c r="AO538" s="76" t="s">
        <v>18630</v>
      </c>
      <c r="AP538" s="76"/>
      <c r="AQ538" s="76"/>
      <c r="AR538" s="76"/>
      <c r="AS538" s="76"/>
      <c r="AT538" s="76"/>
      <c r="AU538" s="76"/>
      <c r="AV538" s="76"/>
      <c r="AW538" s="76"/>
      <c r="AX538" s="76" t="b">
        <v>0</v>
      </c>
      <c r="AY538" s="76"/>
      <c r="AZ538" s="76"/>
      <c r="BA538" s="76" t="b">
        <v>0</v>
      </c>
      <c r="BB538" s="76" t="b">
        <v>1</v>
      </c>
      <c r="BC538" s="76" t="b">
        <v>1</v>
      </c>
      <c r="BD538" s="76" t="b">
        <v>0</v>
      </c>
      <c r="BE538" s="76" t="b">
        <v>0</v>
      </c>
      <c r="BF538" s="76" t="b">
        <v>0</v>
      </c>
      <c r="BG538" s="76" t="b">
        <v>0</v>
      </c>
      <c r="BH538" s="83" t="str">
        <f>HYPERLINK("https://pbs.twimg.com/profile_banners/1633868234339254272/1678504384")</f>
        <v>https://pbs.twimg.com/profile_banners/1633868234339254272/1678504384</v>
      </c>
      <c r="BI538" s="76"/>
      <c r="BJ538" s="76" t="s">
        <v>19633</v>
      </c>
      <c r="BK538" s="76" t="b">
        <v>0</v>
      </c>
      <c r="BL538" s="76"/>
      <c r="BM538" s="76" t="s">
        <v>66</v>
      </c>
      <c r="BN538" s="76" t="s">
        <v>19635</v>
      </c>
      <c r="BO538" s="83" t="str">
        <f>HYPERLINK("https://twitter.com/saosonegocios")</f>
        <v>https://twitter.com/saosonegocios</v>
      </c>
      <c r="BP538" s="2"/>
    </row>
    <row r="539" spans="1:68" x14ac:dyDescent="0.25">
      <c r="A539" s="62" t="s">
        <v>700</v>
      </c>
      <c r="B539" s="63"/>
      <c r="C539" s="63"/>
      <c r="D539" s="64"/>
      <c r="E539" s="66"/>
      <c r="F539" s="103" t="str">
        <f>HYPERLINK("https://pbs.twimg.com/profile_images/1671186672438898690/SeudNhaj_normal.jpg")</f>
        <v>https://pbs.twimg.com/profile_images/1671186672438898690/SeudNhaj_normal.jpg</v>
      </c>
      <c r="G539" s="63"/>
      <c r="H539" s="67"/>
      <c r="I539" s="68"/>
      <c r="J539" s="68"/>
      <c r="K539" s="67" t="s">
        <v>20171</v>
      </c>
      <c r="L539" s="71"/>
      <c r="M539" s="72"/>
      <c r="N539" s="72"/>
      <c r="O539" s="73"/>
      <c r="P539" s="74"/>
      <c r="Q539" s="74"/>
      <c r="R539" s="87"/>
      <c r="S539" s="87"/>
      <c r="T539" s="87"/>
      <c r="U539" s="87"/>
      <c r="V539" s="48"/>
      <c r="W539" s="48"/>
      <c r="X539" s="47">
        <v>1.101E-3</v>
      </c>
      <c r="Y539" s="48"/>
      <c r="Z539" s="47"/>
      <c r="AA539" s="69">
        <v>539</v>
      </c>
      <c r="AB539" s="69"/>
      <c r="AC539" s="70"/>
      <c r="AD539" s="76" t="s">
        <v>17170</v>
      </c>
      <c r="AE539" s="81" t="s">
        <v>16407</v>
      </c>
      <c r="AF539" s="76">
        <v>1</v>
      </c>
      <c r="AG539" s="76">
        <v>15</v>
      </c>
      <c r="AH539" s="76">
        <v>19</v>
      </c>
      <c r="AI539" s="76">
        <v>0</v>
      </c>
      <c r="AJ539" s="76">
        <v>0</v>
      </c>
      <c r="AK539" s="76">
        <v>12</v>
      </c>
      <c r="AL539" s="76" t="b">
        <v>0</v>
      </c>
      <c r="AM539" s="78">
        <v>45052.846898148149</v>
      </c>
      <c r="AN539" s="76"/>
      <c r="AO539" s="76" t="s">
        <v>18631</v>
      </c>
      <c r="AP539" s="83" t="str">
        <f>HYPERLINK("https://t.co/QAlNnIB5Jj")</f>
        <v>https://t.co/QAlNnIB5Jj</v>
      </c>
      <c r="AQ539" s="83" t="str">
        <f>HYPERLINK("http://economiacompleta.com")</f>
        <v>http://economiacompleta.com</v>
      </c>
      <c r="AR539" s="76" t="s">
        <v>19310</v>
      </c>
      <c r="AS539" s="76"/>
      <c r="AT539" s="76"/>
      <c r="AU539" s="76"/>
      <c r="AV539" s="76"/>
      <c r="AW539" s="83" t="str">
        <f>HYPERLINK("https://t.co/QAlNnIB5Jj")</f>
        <v>https://t.co/QAlNnIB5Jj</v>
      </c>
      <c r="AX539" s="76" t="b">
        <v>0</v>
      </c>
      <c r="AY539" s="76"/>
      <c r="AZ539" s="76"/>
      <c r="BA539" s="76" t="b">
        <v>0</v>
      </c>
      <c r="BB539" s="76" t="b">
        <v>1</v>
      </c>
      <c r="BC539" s="76" t="b">
        <v>1</v>
      </c>
      <c r="BD539" s="76" t="b">
        <v>0</v>
      </c>
      <c r="BE539" s="76" t="b">
        <v>0</v>
      </c>
      <c r="BF539" s="76" t="b">
        <v>0</v>
      </c>
      <c r="BG539" s="76" t="b">
        <v>0</v>
      </c>
      <c r="BH539" s="83" t="str">
        <f>HYPERLINK("https://pbs.twimg.com/profile_banners/1654943846348861442/1687276937")</f>
        <v>https://pbs.twimg.com/profile_banners/1654943846348861442/1687276937</v>
      </c>
      <c r="BI539" s="76"/>
      <c r="BJ539" s="76" t="s">
        <v>19633</v>
      </c>
      <c r="BK539" s="76" t="b">
        <v>0</v>
      </c>
      <c r="BL539" s="76"/>
      <c r="BM539" s="76" t="s">
        <v>66</v>
      </c>
      <c r="BN539" s="76" t="s">
        <v>19635</v>
      </c>
      <c r="BO539" s="83" t="str">
        <f>HYPERLINK("https://twitter.com/econcompleta")</f>
        <v>https://twitter.com/econcompleta</v>
      </c>
      <c r="BP539" s="2"/>
    </row>
    <row r="540" spans="1:68" x14ac:dyDescent="0.25">
      <c r="A540" s="62" t="s">
        <v>701</v>
      </c>
      <c r="B540" s="63"/>
      <c r="C540" s="63"/>
      <c r="D540" s="64"/>
      <c r="E540" s="66"/>
      <c r="F540" s="103" t="str">
        <f>HYPERLINK("https://pbs.twimg.com/profile_images/1258464586426200064/qUXK11xT_normal.jpg")</f>
        <v>https://pbs.twimg.com/profile_images/1258464586426200064/qUXK11xT_normal.jpg</v>
      </c>
      <c r="G540" s="63"/>
      <c r="H540" s="67"/>
      <c r="I540" s="68"/>
      <c r="J540" s="68"/>
      <c r="K540" s="67" t="s">
        <v>20172</v>
      </c>
      <c r="L540" s="71"/>
      <c r="M540" s="72"/>
      <c r="N540" s="72"/>
      <c r="O540" s="73"/>
      <c r="P540" s="74"/>
      <c r="Q540" s="74"/>
      <c r="R540" s="87"/>
      <c r="S540" s="87"/>
      <c r="T540" s="87"/>
      <c r="U540" s="87"/>
      <c r="V540" s="48"/>
      <c r="W540" s="48"/>
      <c r="X540" s="47">
        <v>1.101E-3</v>
      </c>
      <c r="Y540" s="48"/>
      <c r="Z540" s="47"/>
      <c r="AA540" s="69">
        <v>540</v>
      </c>
      <c r="AB540" s="69"/>
      <c r="AC540" s="70"/>
      <c r="AD540" s="76" t="s">
        <v>17171</v>
      </c>
      <c r="AE540" s="81" t="s">
        <v>17714</v>
      </c>
      <c r="AF540" s="76">
        <v>173</v>
      </c>
      <c r="AG540" s="76">
        <v>315</v>
      </c>
      <c r="AH540" s="76">
        <v>1272</v>
      </c>
      <c r="AI540" s="76">
        <v>3</v>
      </c>
      <c r="AJ540" s="76">
        <v>229</v>
      </c>
      <c r="AK540" s="76">
        <v>279</v>
      </c>
      <c r="AL540" s="76" t="b">
        <v>0</v>
      </c>
      <c r="AM540" s="78">
        <v>39962.652685185189</v>
      </c>
      <c r="AN540" s="76" t="s">
        <v>18039</v>
      </c>
      <c r="AO540" s="76" t="s">
        <v>18632</v>
      </c>
      <c r="AP540" s="83" t="str">
        <f>HYPERLINK("https://t.co/QWiFSfXTWZ")</f>
        <v>https://t.co/QWiFSfXTWZ</v>
      </c>
      <c r="AQ540" s="83" t="str">
        <f>HYPERLINK("https://www.paivapiovesan.com/")</f>
        <v>https://www.paivapiovesan.com/</v>
      </c>
      <c r="AR540" s="76" t="s">
        <v>6076</v>
      </c>
      <c r="AS540" s="76"/>
      <c r="AT540" s="76"/>
      <c r="AU540" s="76"/>
      <c r="AV540" s="76"/>
      <c r="AW540" s="83" t="str">
        <f>HYPERLINK("https://t.co/QWiFSfXTWZ")</f>
        <v>https://t.co/QWiFSfXTWZ</v>
      </c>
      <c r="AX540" s="76" t="b">
        <v>0</v>
      </c>
      <c r="AY540" s="76"/>
      <c r="AZ540" s="76"/>
      <c r="BA540" s="76" t="b">
        <v>0</v>
      </c>
      <c r="BB540" s="76" t="b">
        <v>1</v>
      </c>
      <c r="BC540" s="76" t="b">
        <v>0</v>
      </c>
      <c r="BD540" s="76" t="b">
        <v>0</v>
      </c>
      <c r="BE540" s="76" t="b">
        <v>1</v>
      </c>
      <c r="BF540" s="76" t="b">
        <v>0</v>
      </c>
      <c r="BG540" s="76" t="b">
        <v>0</v>
      </c>
      <c r="BH540" s="83" t="str">
        <f>HYPERLINK("https://pbs.twimg.com/profile_banners/43351877/1619465579")</f>
        <v>https://pbs.twimg.com/profile_banners/43351877/1619465579</v>
      </c>
      <c r="BI540" s="76"/>
      <c r="BJ540" s="76" t="s">
        <v>19633</v>
      </c>
      <c r="BK540" s="76" t="b">
        <v>0</v>
      </c>
      <c r="BL540" s="76"/>
      <c r="BM540" s="76" t="s">
        <v>66</v>
      </c>
      <c r="BN540" s="76" t="s">
        <v>19635</v>
      </c>
      <c r="BO540" s="83" t="str">
        <f>HYPERLINK("https://twitter.com/paivapiovesan")</f>
        <v>https://twitter.com/paivapiovesan</v>
      </c>
      <c r="BP540" s="2"/>
    </row>
    <row r="541" spans="1:68" x14ac:dyDescent="0.25">
      <c r="A541" s="62" t="s">
        <v>702</v>
      </c>
      <c r="B541" s="63"/>
      <c r="C541" s="63"/>
      <c r="D541" s="64"/>
      <c r="E541" s="66"/>
      <c r="F541" s="103" t="str">
        <f>HYPERLINK("https://pbs.twimg.com/profile_images/1601752653381386246/NiU8X6t__normal.jpg")</f>
        <v>https://pbs.twimg.com/profile_images/1601752653381386246/NiU8X6t__normal.jpg</v>
      </c>
      <c r="G541" s="63"/>
      <c r="H541" s="67"/>
      <c r="I541" s="68"/>
      <c r="J541" s="68"/>
      <c r="K541" s="67" t="s">
        <v>20173</v>
      </c>
      <c r="L541" s="71"/>
      <c r="M541" s="72"/>
      <c r="N541" s="72"/>
      <c r="O541" s="73"/>
      <c r="P541" s="74"/>
      <c r="Q541" s="74"/>
      <c r="R541" s="87"/>
      <c r="S541" s="87"/>
      <c r="T541" s="87"/>
      <c r="U541" s="87"/>
      <c r="V541" s="48"/>
      <c r="W541" s="48"/>
      <c r="X541" s="47">
        <v>1.101E-3</v>
      </c>
      <c r="Y541" s="48"/>
      <c r="Z541" s="47"/>
      <c r="AA541" s="69">
        <v>541</v>
      </c>
      <c r="AB541" s="69"/>
      <c r="AC541" s="70"/>
      <c r="AD541" s="76" t="s">
        <v>17172</v>
      </c>
      <c r="AE541" s="81" t="s">
        <v>16408</v>
      </c>
      <c r="AF541" s="76">
        <v>37</v>
      </c>
      <c r="AG541" s="76">
        <v>185</v>
      </c>
      <c r="AH541" s="76">
        <v>433</v>
      </c>
      <c r="AI541" s="76">
        <v>0</v>
      </c>
      <c r="AJ541" s="76">
        <v>4626</v>
      </c>
      <c r="AK541" s="76">
        <v>84</v>
      </c>
      <c r="AL541" s="76" t="b">
        <v>0</v>
      </c>
      <c r="AM541" s="78">
        <v>42406.978958333333</v>
      </c>
      <c r="AN541" s="76" t="s">
        <v>18002</v>
      </c>
      <c r="AO541" s="76" t="s">
        <v>18633</v>
      </c>
      <c r="AP541" s="76"/>
      <c r="AQ541" s="76"/>
      <c r="AR541" s="76"/>
      <c r="AS541" s="76"/>
      <c r="AT541" s="76"/>
      <c r="AU541" s="76"/>
      <c r="AV541" s="76"/>
      <c r="AW541" s="76"/>
      <c r="AX541" s="76" t="b">
        <v>0</v>
      </c>
      <c r="AY541" s="76"/>
      <c r="AZ541" s="76"/>
      <c r="BA541" s="76" t="b">
        <v>0</v>
      </c>
      <c r="BB541" s="76" t="b">
        <v>1</v>
      </c>
      <c r="BC541" s="76" t="b">
        <v>1</v>
      </c>
      <c r="BD541" s="76" t="b">
        <v>0</v>
      </c>
      <c r="BE541" s="76" t="b">
        <v>0</v>
      </c>
      <c r="BF541" s="76" t="b">
        <v>0</v>
      </c>
      <c r="BG541" s="76" t="b">
        <v>0</v>
      </c>
      <c r="BH541" s="83" t="str">
        <f>HYPERLINK("https://pbs.twimg.com/profile_banners/696113568790482945/1609684860")</f>
        <v>https://pbs.twimg.com/profile_banners/696113568790482945/1609684860</v>
      </c>
      <c r="BI541" s="76"/>
      <c r="BJ541" s="76" t="s">
        <v>19633</v>
      </c>
      <c r="BK541" s="76" t="b">
        <v>0</v>
      </c>
      <c r="BL541" s="76"/>
      <c r="BM541" s="76" t="s">
        <v>66</v>
      </c>
      <c r="BN541" s="76" t="s">
        <v>19635</v>
      </c>
      <c r="BO541" s="83" t="str">
        <f>HYPERLINK("https://twitter.com/viscondesd")</f>
        <v>https://twitter.com/viscondesd</v>
      </c>
      <c r="BP541" s="2"/>
    </row>
    <row r="542" spans="1:68" x14ac:dyDescent="0.25">
      <c r="A542" s="62" t="s">
        <v>703</v>
      </c>
      <c r="B542" s="63"/>
      <c r="C542" s="63"/>
      <c r="D542" s="64"/>
      <c r="E542" s="66"/>
      <c r="F542" s="103" t="str">
        <f>HYPERLINK("https://pbs.twimg.com/profile_images/1232518826866155525/uMW_Km2P_normal.jpg")</f>
        <v>https://pbs.twimg.com/profile_images/1232518826866155525/uMW_Km2P_normal.jpg</v>
      </c>
      <c r="G542" s="63"/>
      <c r="H542" s="67"/>
      <c r="I542" s="68"/>
      <c r="J542" s="68"/>
      <c r="K542" s="67" t="s">
        <v>20174</v>
      </c>
      <c r="L542" s="71"/>
      <c r="M542" s="72"/>
      <c r="N542" s="72"/>
      <c r="O542" s="73"/>
      <c r="P542" s="74"/>
      <c r="Q542" s="74"/>
      <c r="R542" s="87"/>
      <c r="S542" s="87"/>
      <c r="T542" s="87"/>
      <c r="U542" s="87"/>
      <c r="V542" s="48"/>
      <c r="W542" s="48"/>
      <c r="X542" s="47">
        <v>1.173E-3</v>
      </c>
      <c r="Y542" s="48"/>
      <c r="Z542" s="47"/>
      <c r="AA542" s="69">
        <v>542</v>
      </c>
      <c r="AB542" s="69"/>
      <c r="AC542" s="70"/>
      <c r="AD542" s="76" t="s">
        <v>17173</v>
      </c>
      <c r="AE542" s="81" t="s">
        <v>17715</v>
      </c>
      <c r="AF542" s="76">
        <v>35410</v>
      </c>
      <c r="AG542" s="76">
        <v>1615</v>
      </c>
      <c r="AH542" s="76">
        <v>19928</v>
      </c>
      <c r="AI542" s="76">
        <v>167</v>
      </c>
      <c r="AJ542" s="76">
        <v>9286</v>
      </c>
      <c r="AK542" s="76">
        <v>3115</v>
      </c>
      <c r="AL542" s="76" t="b">
        <v>0</v>
      </c>
      <c r="AM542" s="78">
        <v>41842.845729166664</v>
      </c>
      <c r="AN542" s="76" t="s">
        <v>10561</v>
      </c>
      <c r="AO542" s="76" t="s">
        <v>18634</v>
      </c>
      <c r="AP542" s="76"/>
      <c r="AQ542" s="76"/>
      <c r="AR542" s="76"/>
      <c r="AS542" s="76"/>
      <c r="AT542" s="76"/>
      <c r="AU542" s="76"/>
      <c r="AV542" s="76"/>
      <c r="AW542" s="76"/>
      <c r="AX542" s="76" t="b">
        <v>0</v>
      </c>
      <c r="AY542" s="76"/>
      <c r="AZ542" s="76"/>
      <c r="BA542" s="76" t="b">
        <v>1</v>
      </c>
      <c r="BB542" s="76" t="b">
        <v>1</v>
      </c>
      <c r="BC542" s="76" t="b">
        <v>1</v>
      </c>
      <c r="BD542" s="76" t="b">
        <v>0</v>
      </c>
      <c r="BE542" s="76" t="b">
        <v>1</v>
      </c>
      <c r="BF542" s="76" t="b">
        <v>0</v>
      </c>
      <c r="BG542" s="76" t="b">
        <v>0</v>
      </c>
      <c r="BH542" s="83" t="str">
        <f>HYPERLINK("https://pbs.twimg.com/profile_banners/2670530420/1582689907")</f>
        <v>https://pbs.twimg.com/profile_banners/2670530420/1582689907</v>
      </c>
      <c r="BI542" s="76"/>
      <c r="BJ542" s="76" t="s">
        <v>19633</v>
      </c>
      <c r="BK542" s="76" t="b">
        <v>0</v>
      </c>
      <c r="BL542" s="76"/>
      <c r="BM542" s="76" t="s">
        <v>66</v>
      </c>
      <c r="BN542" s="76" t="s">
        <v>19635</v>
      </c>
      <c r="BO542" s="83" t="str">
        <f>HYPERLINK("https://twitter.com/denisectoledo8")</f>
        <v>https://twitter.com/denisectoledo8</v>
      </c>
      <c r="BP542" s="2"/>
    </row>
    <row r="543" spans="1:68" x14ac:dyDescent="0.25">
      <c r="A543" s="62" t="s">
        <v>1095</v>
      </c>
      <c r="B543" s="63"/>
      <c r="C543" s="63"/>
      <c r="D543" s="64"/>
      <c r="E543" s="66"/>
      <c r="F543" s="103" t="str">
        <f>HYPERLINK("https://pbs.twimg.com/profile_images/1225547492445519874/a8ce3z7B_normal.jpg")</f>
        <v>https://pbs.twimg.com/profile_images/1225547492445519874/a8ce3z7B_normal.jpg</v>
      </c>
      <c r="G543" s="63"/>
      <c r="H543" s="67"/>
      <c r="I543" s="68"/>
      <c r="J543" s="68"/>
      <c r="K543" s="67" t="s">
        <v>20175</v>
      </c>
      <c r="L543" s="71"/>
      <c r="M543" s="72"/>
      <c r="N543" s="72"/>
      <c r="O543" s="73"/>
      <c r="P543" s="74"/>
      <c r="Q543" s="74"/>
      <c r="R543" s="87"/>
      <c r="S543" s="87"/>
      <c r="T543" s="87"/>
      <c r="U543" s="87"/>
      <c r="V543" s="48"/>
      <c r="W543" s="48"/>
      <c r="X543" s="47">
        <v>1.024E-3</v>
      </c>
      <c r="Y543" s="48"/>
      <c r="Z543" s="47"/>
      <c r="AA543" s="69">
        <v>543</v>
      </c>
      <c r="AB543" s="69"/>
      <c r="AC543" s="70"/>
      <c r="AD543" s="76" t="s">
        <v>17174</v>
      </c>
      <c r="AE543" s="81" t="s">
        <v>17716</v>
      </c>
      <c r="AF543" s="76">
        <v>69731</v>
      </c>
      <c r="AG543" s="76">
        <v>92</v>
      </c>
      <c r="AH543" s="76">
        <v>32410</v>
      </c>
      <c r="AI543" s="76">
        <v>172</v>
      </c>
      <c r="AJ543" s="76">
        <v>14988</v>
      </c>
      <c r="AK543" s="76">
        <v>4561</v>
      </c>
      <c r="AL543" s="76" t="b">
        <v>0</v>
      </c>
      <c r="AM543" s="78">
        <v>40240.623287037037</v>
      </c>
      <c r="AN543" s="76" t="s">
        <v>18040</v>
      </c>
      <c r="AO543" s="76" t="s">
        <v>18635</v>
      </c>
      <c r="AP543" s="83" t="str">
        <f>HYPERLINK("https://t.co/ua6813q4Ix")</f>
        <v>https://t.co/ua6813q4Ix</v>
      </c>
      <c r="AQ543" s="83" t="str">
        <f>HYPERLINK("http://www.tvgazeta.com.br")</f>
        <v>http://www.tvgazeta.com.br</v>
      </c>
      <c r="AR543" s="76" t="s">
        <v>19311</v>
      </c>
      <c r="AS543" s="76"/>
      <c r="AT543" s="76"/>
      <c r="AU543" s="76"/>
      <c r="AV543" s="76">
        <v>1.6758548374543401E+18</v>
      </c>
      <c r="AW543" s="83" t="str">
        <f>HYPERLINK("https://t.co/ua6813q4Ix")</f>
        <v>https://t.co/ua6813q4Ix</v>
      </c>
      <c r="AX543" s="76" t="b">
        <v>0</v>
      </c>
      <c r="AY543" s="76"/>
      <c r="AZ543" s="76"/>
      <c r="BA543" s="76" t="b">
        <v>0</v>
      </c>
      <c r="BB543" s="76" t="b">
        <v>1</v>
      </c>
      <c r="BC543" s="76" t="b">
        <v>0</v>
      </c>
      <c r="BD543" s="76" t="b">
        <v>0</v>
      </c>
      <c r="BE543" s="76" t="b">
        <v>1</v>
      </c>
      <c r="BF543" s="76" t="b">
        <v>0</v>
      </c>
      <c r="BG543" s="76" t="b">
        <v>0</v>
      </c>
      <c r="BH543" s="83" t="str">
        <f>HYPERLINK("https://pbs.twimg.com/profile_banners/119403684/1638803134")</f>
        <v>https://pbs.twimg.com/profile_banners/119403684/1638803134</v>
      </c>
      <c r="BI543" s="76"/>
      <c r="BJ543" s="76" t="s">
        <v>19633</v>
      </c>
      <c r="BK543" s="76" t="b">
        <v>0</v>
      </c>
      <c r="BL543" s="76"/>
      <c r="BM543" s="76" t="s">
        <v>65</v>
      </c>
      <c r="BN543" s="76" t="s">
        <v>19635</v>
      </c>
      <c r="BO543" s="83" t="str">
        <f>HYPERLINK("https://twitter.com/tvgazetaoficial")</f>
        <v>https://twitter.com/tvgazetaoficial</v>
      </c>
      <c r="BP543" s="2"/>
    </row>
    <row r="544" spans="1:68" x14ac:dyDescent="0.25">
      <c r="A544" s="62" t="s">
        <v>704</v>
      </c>
      <c r="B544" s="63"/>
      <c r="C544" s="63"/>
      <c r="D544" s="64"/>
      <c r="E544" s="66"/>
      <c r="F544" s="103" t="str">
        <f>HYPERLINK("https://pbs.twimg.com/profile_images/1237007250377621505/jTkI_qs3_normal.jpg")</f>
        <v>https://pbs.twimg.com/profile_images/1237007250377621505/jTkI_qs3_normal.jpg</v>
      </c>
      <c r="G544" s="63"/>
      <c r="H544" s="67"/>
      <c r="I544" s="68"/>
      <c r="J544" s="68"/>
      <c r="K544" s="67" t="s">
        <v>20176</v>
      </c>
      <c r="L544" s="71"/>
      <c r="M544" s="72"/>
      <c r="N544" s="72"/>
      <c r="O544" s="73"/>
      <c r="P544" s="74"/>
      <c r="Q544" s="74"/>
      <c r="R544" s="87"/>
      <c r="S544" s="87"/>
      <c r="T544" s="87"/>
      <c r="U544" s="87"/>
      <c r="V544" s="48"/>
      <c r="W544" s="48"/>
      <c r="X544" s="47">
        <v>1.1069999999999999E-3</v>
      </c>
      <c r="Y544" s="48"/>
      <c r="Z544" s="47"/>
      <c r="AA544" s="69">
        <v>544</v>
      </c>
      <c r="AB544" s="69"/>
      <c r="AC544" s="70"/>
      <c r="AD544" s="76" t="s">
        <v>17175</v>
      </c>
      <c r="AE544" s="81" t="s">
        <v>17717</v>
      </c>
      <c r="AF544" s="76">
        <v>14353</v>
      </c>
      <c r="AG544" s="76">
        <v>69</v>
      </c>
      <c r="AH544" s="76">
        <v>23372</v>
      </c>
      <c r="AI544" s="76">
        <v>172</v>
      </c>
      <c r="AJ544" s="76">
        <v>377</v>
      </c>
      <c r="AK544" s="76">
        <v>17665</v>
      </c>
      <c r="AL544" s="76" t="b">
        <v>0</v>
      </c>
      <c r="AM544" s="78">
        <v>39927.789780092593</v>
      </c>
      <c r="AN544" s="76" t="s">
        <v>17999</v>
      </c>
      <c r="AO544" s="76" t="s">
        <v>18636</v>
      </c>
      <c r="AP544" s="83" t="str">
        <f>HYPERLINK("https://t.co/EinuQSYKTr")</f>
        <v>https://t.co/EinuQSYKTr</v>
      </c>
      <c r="AQ544" s="83" t="str">
        <f>HYPERLINK("http://www.tvgazeta.com.br/jornaldagazeta")</f>
        <v>http://www.tvgazeta.com.br/jornaldagazeta</v>
      </c>
      <c r="AR544" s="76" t="s">
        <v>19312</v>
      </c>
      <c r="AS544" s="76"/>
      <c r="AT544" s="76"/>
      <c r="AU544" s="76"/>
      <c r="AV544" s="76">
        <v>1.2739471498819999E+18</v>
      </c>
      <c r="AW544" s="83" t="str">
        <f>HYPERLINK("https://t.co/EinuQSYKTr")</f>
        <v>https://t.co/EinuQSYKTr</v>
      </c>
      <c r="AX544" s="76" t="b">
        <v>0</v>
      </c>
      <c r="AY544" s="76"/>
      <c r="AZ544" s="76"/>
      <c r="BA544" s="76" t="b">
        <v>0</v>
      </c>
      <c r="BB544" s="76" t="b">
        <v>1</v>
      </c>
      <c r="BC544" s="76" t="b">
        <v>0</v>
      </c>
      <c r="BD544" s="76" t="b">
        <v>0</v>
      </c>
      <c r="BE544" s="76" t="b">
        <v>1</v>
      </c>
      <c r="BF544" s="76" t="b">
        <v>0</v>
      </c>
      <c r="BG544" s="76" t="b">
        <v>0</v>
      </c>
      <c r="BH544" s="83" t="str">
        <f>HYPERLINK("https://pbs.twimg.com/profile_banners/35005785/1638378784")</f>
        <v>https://pbs.twimg.com/profile_banners/35005785/1638378784</v>
      </c>
      <c r="BI544" s="76"/>
      <c r="BJ544" s="76" t="s">
        <v>19633</v>
      </c>
      <c r="BK544" s="76" t="b">
        <v>0</v>
      </c>
      <c r="BL544" s="76"/>
      <c r="BM544" s="76" t="s">
        <v>66</v>
      </c>
      <c r="BN544" s="76" t="s">
        <v>19635</v>
      </c>
      <c r="BO544" s="83" t="str">
        <f>HYPERLINK("https://twitter.com/jornaldagazeta")</f>
        <v>https://twitter.com/jornaldagazeta</v>
      </c>
      <c r="BP544" s="2"/>
    </row>
    <row r="545" spans="1:68" x14ac:dyDescent="0.25">
      <c r="A545" s="62" t="s">
        <v>705</v>
      </c>
      <c r="B545" s="63"/>
      <c r="C545" s="63"/>
      <c r="D545" s="64"/>
      <c r="E545" s="66"/>
      <c r="F545" s="103" t="str">
        <f>HYPERLINK("https://pbs.twimg.com/profile_images/1460727419829116929/1hfB_OTD_normal.jpg")</f>
        <v>https://pbs.twimg.com/profile_images/1460727419829116929/1hfB_OTD_normal.jpg</v>
      </c>
      <c r="G545" s="63"/>
      <c r="H545" s="67"/>
      <c r="I545" s="68"/>
      <c r="J545" s="68"/>
      <c r="K545" s="67" t="s">
        <v>20177</v>
      </c>
      <c r="L545" s="71"/>
      <c r="M545" s="72"/>
      <c r="N545" s="72"/>
      <c r="O545" s="73"/>
      <c r="P545" s="74"/>
      <c r="Q545" s="74"/>
      <c r="R545" s="87"/>
      <c r="S545" s="87"/>
      <c r="T545" s="87"/>
      <c r="U545" s="87"/>
      <c r="V545" s="48"/>
      <c r="W545" s="48"/>
      <c r="X545" s="47">
        <v>1.101E-3</v>
      </c>
      <c r="Y545" s="48"/>
      <c r="Z545" s="47"/>
      <c r="AA545" s="69">
        <v>545</v>
      </c>
      <c r="AB545" s="69"/>
      <c r="AC545" s="70"/>
      <c r="AD545" s="76" t="s">
        <v>17176</v>
      </c>
      <c r="AE545" s="81" t="s">
        <v>15751</v>
      </c>
      <c r="AF545" s="76">
        <v>125</v>
      </c>
      <c r="AG545" s="76">
        <v>77</v>
      </c>
      <c r="AH545" s="76">
        <v>3100</v>
      </c>
      <c r="AI545" s="76">
        <v>1</v>
      </c>
      <c r="AJ545" s="76">
        <v>811</v>
      </c>
      <c r="AK545" s="76">
        <v>1355</v>
      </c>
      <c r="AL545" s="76" t="b">
        <v>0</v>
      </c>
      <c r="AM545" s="78">
        <v>44337.031539351854</v>
      </c>
      <c r="AN545" s="76"/>
      <c r="AO545" s="76" t="s">
        <v>18637</v>
      </c>
      <c r="AP545" s="76"/>
      <c r="AQ545" s="76"/>
      <c r="AR545" s="76"/>
      <c r="AS545" s="76"/>
      <c r="AT545" s="76"/>
      <c r="AU545" s="76"/>
      <c r="AV545" s="76"/>
      <c r="AW545" s="76"/>
      <c r="AX545" s="76" t="b">
        <v>0</v>
      </c>
      <c r="AY545" s="76"/>
      <c r="AZ545" s="76"/>
      <c r="BA545" s="76" t="b">
        <v>0</v>
      </c>
      <c r="BB545" s="76" t="b">
        <v>1</v>
      </c>
      <c r="BC545" s="76" t="b">
        <v>1</v>
      </c>
      <c r="BD545" s="76" t="b">
        <v>0</v>
      </c>
      <c r="BE545" s="76" t="b">
        <v>1</v>
      </c>
      <c r="BF545" s="76" t="b">
        <v>0</v>
      </c>
      <c r="BG545" s="76" t="b">
        <v>0</v>
      </c>
      <c r="BH545" s="76"/>
      <c r="BI545" s="76"/>
      <c r="BJ545" s="76" t="s">
        <v>19633</v>
      </c>
      <c r="BK545" s="76" t="b">
        <v>0</v>
      </c>
      <c r="BL545" s="76"/>
      <c r="BM545" s="76" t="s">
        <v>66</v>
      </c>
      <c r="BN545" s="76" t="s">
        <v>19635</v>
      </c>
      <c r="BO545" s="83" t="str">
        <f>HYPERLINK("https://twitter.com/rafael__costa__")</f>
        <v>https://twitter.com/rafael__costa__</v>
      </c>
      <c r="BP545" s="2"/>
    </row>
    <row r="546" spans="1:68" x14ac:dyDescent="0.25">
      <c r="A546" s="62" t="s">
        <v>706</v>
      </c>
      <c r="B546" s="63"/>
      <c r="C546" s="63"/>
      <c r="D546" s="64"/>
      <c r="E546" s="66"/>
      <c r="F546" s="103" t="str">
        <f>HYPERLINK("https://pbs.twimg.com/profile_images/1656856449551564801/yWnByCAX_normal.jpg")</f>
        <v>https://pbs.twimg.com/profile_images/1656856449551564801/yWnByCAX_normal.jpg</v>
      </c>
      <c r="G546" s="63"/>
      <c r="H546" s="67"/>
      <c r="I546" s="68"/>
      <c r="J546" s="68"/>
      <c r="K546" s="67" t="s">
        <v>20178</v>
      </c>
      <c r="L546" s="71"/>
      <c r="M546" s="72"/>
      <c r="N546" s="72"/>
      <c r="O546" s="73"/>
      <c r="P546" s="74"/>
      <c r="Q546" s="74"/>
      <c r="R546" s="87"/>
      <c r="S546" s="87"/>
      <c r="T546" s="87"/>
      <c r="U546" s="87"/>
      <c r="V546" s="48"/>
      <c r="W546" s="48"/>
      <c r="X546" s="47">
        <v>1.101E-3</v>
      </c>
      <c r="Y546" s="48"/>
      <c r="Z546" s="47"/>
      <c r="AA546" s="69">
        <v>546</v>
      </c>
      <c r="AB546" s="69"/>
      <c r="AC546" s="70"/>
      <c r="AD546" s="76" t="s">
        <v>17177</v>
      </c>
      <c r="AE546" s="81" t="s">
        <v>16409</v>
      </c>
      <c r="AF546" s="76">
        <v>46341</v>
      </c>
      <c r="AG546" s="76">
        <v>498</v>
      </c>
      <c r="AH546" s="76">
        <v>57778</v>
      </c>
      <c r="AI546" s="76">
        <v>104</v>
      </c>
      <c r="AJ546" s="76">
        <v>94346</v>
      </c>
      <c r="AK546" s="76">
        <v>4089</v>
      </c>
      <c r="AL546" s="76" t="b">
        <v>0</v>
      </c>
      <c r="AM546" s="78">
        <v>43824.951168981483</v>
      </c>
      <c r="AN546" s="76" t="s">
        <v>18041</v>
      </c>
      <c r="AO546" s="76" t="s">
        <v>18638</v>
      </c>
      <c r="AP546" s="83" t="str">
        <f>HYPERLINK("https://t.co/mKqVDacJIj")</f>
        <v>https://t.co/mKqVDacJIj</v>
      </c>
      <c r="AQ546" s="83" t="str">
        <f>HYPERLINK("https://linktr.ee/Luizpersechini")</f>
        <v>https://linktr.ee/Luizpersechini</v>
      </c>
      <c r="AR546" s="76" t="s">
        <v>19313</v>
      </c>
      <c r="AS546" s="76"/>
      <c r="AT546" s="76"/>
      <c r="AU546" s="76"/>
      <c r="AV546" s="76">
        <v>1.6901209095318001E+18</v>
      </c>
      <c r="AW546" s="83" t="str">
        <f>HYPERLINK("https://t.co/mKqVDacJIj")</f>
        <v>https://t.co/mKqVDacJIj</v>
      </c>
      <c r="AX546" s="76" t="b">
        <v>1</v>
      </c>
      <c r="AY546" s="76"/>
      <c r="AZ546" s="76"/>
      <c r="BA546" s="76" t="b">
        <v>1</v>
      </c>
      <c r="BB546" s="76" t="b">
        <v>1</v>
      </c>
      <c r="BC546" s="76" t="b">
        <v>1</v>
      </c>
      <c r="BD546" s="76" t="b">
        <v>0</v>
      </c>
      <c r="BE546" s="76" t="b">
        <v>1</v>
      </c>
      <c r="BF546" s="76" t="b">
        <v>0</v>
      </c>
      <c r="BG546" s="76" t="b">
        <v>0</v>
      </c>
      <c r="BH546" s="83" t="str">
        <f>HYPERLINK("https://pbs.twimg.com/profile_banners/1209969409265192962/1683860465")</f>
        <v>https://pbs.twimg.com/profile_banners/1209969409265192962/1683860465</v>
      </c>
      <c r="BI546" s="76"/>
      <c r="BJ546" s="76" t="s">
        <v>19633</v>
      </c>
      <c r="BK546" s="76" t="b">
        <v>0</v>
      </c>
      <c r="BL546" s="76"/>
      <c r="BM546" s="76" t="s">
        <v>66</v>
      </c>
      <c r="BN546" s="76" t="s">
        <v>19635</v>
      </c>
      <c r="BO546" s="83" t="str">
        <f>HYPERLINK("https://twitter.com/luizpersechini")</f>
        <v>https://twitter.com/luizpersechini</v>
      </c>
      <c r="BP546" s="2"/>
    </row>
    <row r="547" spans="1:68" x14ac:dyDescent="0.25">
      <c r="A547" s="62" t="s">
        <v>707</v>
      </c>
      <c r="B547" s="63"/>
      <c r="C547" s="63"/>
      <c r="D547" s="64"/>
      <c r="E547" s="66"/>
      <c r="F547" s="103" t="str">
        <f>HYPERLINK("https://pbs.twimg.com/profile_images/1466162389225807880/ilB2ixsU_normal.jpg")</f>
        <v>https://pbs.twimg.com/profile_images/1466162389225807880/ilB2ixsU_normal.jpg</v>
      </c>
      <c r="G547" s="63"/>
      <c r="H547" s="67"/>
      <c r="I547" s="68"/>
      <c r="J547" s="68"/>
      <c r="K547" s="67" t="s">
        <v>20179</v>
      </c>
      <c r="L547" s="71"/>
      <c r="M547" s="72"/>
      <c r="N547" s="72"/>
      <c r="O547" s="73"/>
      <c r="P547" s="74"/>
      <c r="Q547" s="74"/>
      <c r="R547" s="87"/>
      <c r="S547" s="87"/>
      <c r="T547" s="87"/>
      <c r="U547" s="87"/>
      <c r="V547" s="48"/>
      <c r="W547" s="48"/>
      <c r="X547" s="47">
        <v>9.6599999999999995E-4</v>
      </c>
      <c r="Y547" s="48"/>
      <c r="Z547" s="47"/>
      <c r="AA547" s="69">
        <v>547</v>
      </c>
      <c r="AB547" s="69"/>
      <c r="AC547" s="70"/>
      <c r="AD547" s="76" t="s">
        <v>17178</v>
      </c>
      <c r="AE547" s="81" t="s">
        <v>16410</v>
      </c>
      <c r="AF547" s="76">
        <v>3</v>
      </c>
      <c r="AG547" s="76">
        <v>48</v>
      </c>
      <c r="AH547" s="76">
        <v>267</v>
      </c>
      <c r="AI547" s="76">
        <v>0</v>
      </c>
      <c r="AJ547" s="76">
        <v>751</v>
      </c>
      <c r="AK547" s="76">
        <v>45</v>
      </c>
      <c r="AL547" s="76" t="b">
        <v>0</v>
      </c>
      <c r="AM547" s="78">
        <v>44531.908877314818</v>
      </c>
      <c r="AN547" s="76" t="s">
        <v>18042</v>
      </c>
      <c r="AO547" s="76" t="s">
        <v>18639</v>
      </c>
      <c r="AP547" s="76"/>
      <c r="AQ547" s="76"/>
      <c r="AR547" s="76"/>
      <c r="AS547" s="76"/>
      <c r="AT547" s="76"/>
      <c r="AU547" s="76"/>
      <c r="AV547" s="76"/>
      <c r="AW547" s="76"/>
      <c r="AX547" s="76" t="b">
        <v>0</v>
      </c>
      <c r="AY547" s="76"/>
      <c r="AZ547" s="76"/>
      <c r="BA547" s="76" t="b">
        <v>0</v>
      </c>
      <c r="BB547" s="76" t="b">
        <v>1</v>
      </c>
      <c r="BC547" s="76" t="b">
        <v>1</v>
      </c>
      <c r="BD547" s="76" t="b">
        <v>0</v>
      </c>
      <c r="BE547" s="76" t="b">
        <v>0</v>
      </c>
      <c r="BF547" s="76" t="b">
        <v>0</v>
      </c>
      <c r="BG547" s="76" t="b">
        <v>0</v>
      </c>
      <c r="BH547" s="83" t="str">
        <f>HYPERLINK("https://pbs.twimg.com/profile_banners/1466162156613873664/1638447561")</f>
        <v>https://pbs.twimg.com/profile_banners/1466162156613873664/1638447561</v>
      </c>
      <c r="BI547" s="76"/>
      <c r="BJ547" s="76" t="s">
        <v>19633</v>
      </c>
      <c r="BK547" s="76" t="b">
        <v>0</v>
      </c>
      <c r="BL547" s="76"/>
      <c r="BM547" s="76" t="s">
        <v>66</v>
      </c>
      <c r="BN547" s="76" t="s">
        <v>19635</v>
      </c>
      <c r="BO547" s="83" t="str">
        <f>HYPERLINK("https://twitter.com/mariade80544716")</f>
        <v>https://twitter.com/mariade80544716</v>
      </c>
      <c r="BP547" s="2"/>
    </row>
    <row r="548" spans="1:68" x14ac:dyDescent="0.25">
      <c r="A548" s="62" t="s">
        <v>708</v>
      </c>
      <c r="B548" s="63"/>
      <c r="C548" s="63"/>
      <c r="D548" s="64"/>
      <c r="E548" s="66"/>
      <c r="F548" s="103" t="str">
        <f>HYPERLINK("https://pbs.twimg.com/profile_images/1576536135282688002/Hiw460nK_normal.jpg")</f>
        <v>https://pbs.twimg.com/profile_images/1576536135282688002/Hiw460nK_normal.jpg</v>
      </c>
      <c r="G548" s="63"/>
      <c r="H548" s="67"/>
      <c r="I548" s="68"/>
      <c r="J548" s="68"/>
      <c r="K548" s="67" t="s">
        <v>20180</v>
      </c>
      <c r="L548" s="71"/>
      <c r="M548" s="72"/>
      <c r="N548" s="72"/>
      <c r="O548" s="73"/>
      <c r="P548" s="74"/>
      <c r="Q548" s="74"/>
      <c r="R548" s="87"/>
      <c r="S548" s="87"/>
      <c r="T548" s="87"/>
      <c r="U548" s="87"/>
      <c r="V548" s="48"/>
      <c r="W548" s="48"/>
      <c r="X548" s="47">
        <v>1.101E-3</v>
      </c>
      <c r="Y548" s="48"/>
      <c r="Z548" s="47"/>
      <c r="AA548" s="69">
        <v>548</v>
      </c>
      <c r="AB548" s="69"/>
      <c r="AC548" s="70"/>
      <c r="AD548" s="76" t="s">
        <v>17179</v>
      </c>
      <c r="AE548" s="81" t="s">
        <v>17718</v>
      </c>
      <c r="AF548" s="76">
        <v>31</v>
      </c>
      <c r="AG548" s="76">
        <v>52</v>
      </c>
      <c r="AH548" s="76">
        <v>105</v>
      </c>
      <c r="AI548" s="76">
        <v>0</v>
      </c>
      <c r="AJ548" s="76">
        <v>23</v>
      </c>
      <c r="AK548" s="76">
        <v>10</v>
      </c>
      <c r="AL548" s="76" t="b">
        <v>0</v>
      </c>
      <c r="AM548" s="78">
        <v>40782.565486111111</v>
      </c>
      <c r="AN548" s="76" t="s">
        <v>18043</v>
      </c>
      <c r="AO548" s="76" t="s">
        <v>18640</v>
      </c>
      <c r="AP548" s="76"/>
      <c r="AQ548" s="76"/>
      <c r="AR548" s="76"/>
      <c r="AS548" s="76"/>
      <c r="AT548" s="76"/>
      <c r="AU548" s="76"/>
      <c r="AV548" s="76"/>
      <c r="AW548" s="76"/>
      <c r="AX548" s="76" t="b">
        <v>0</v>
      </c>
      <c r="AY548" s="76"/>
      <c r="AZ548" s="76"/>
      <c r="BA548" s="76" t="b">
        <v>0</v>
      </c>
      <c r="BB548" s="76" t="b">
        <v>1</v>
      </c>
      <c r="BC548" s="76" t="b">
        <v>1</v>
      </c>
      <c r="BD548" s="76" t="b">
        <v>0</v>
      </c>
      <c r="BE548" s="76" t="b">
        <v>0</v>
      </c>
      <c r="BF548" s="76" t="b">
        <v>0</v>
      </c>
      <c r="BG548" s="76" t="b">
        <v>0</v>
      </c>
      <c r="BH548" s="83" t="str">
        <f>HYPERLINK("https://pbs.twimg.com/profile_banners/363065411/1613854004")</f>
        <v>https://pbs.twimg.com/profile_banners/363065411/1613854004</v>
      </c>
      <c r="BI548" s="76"/>
      <c r="BJ548" s="76" t="s">
        <v>19633</v>
      </c>
      <c r="BK548" s="76" t="b">
        <v>0</v>
      </c>
      <c r="BL548" s="76"/>
      <c r="BM548" s="76" t="s">
        <v>66</v>
      </c>
      <c r="BN548" s="76" t="s">
        <v>19635</v>
      </c>
      <c r="BO548" s="83" t="str">
        <f>HYPERLINK("https://twitter.com/oalissonpatrick")</f>
        <v>https://twitter.com/oalissonpatrick</v>
      </c>
      <c r="BP548" s="2"/>
    </row>
    <row r="549" spans="1:68" x14ac:dyDescent="0.25">
      <c r="A549" s="62" t="s">
        <v>709</v>
      </c>
      <c r="B549" s="63"/>
      <c r="C549" s="63"/>
      <c r="D549" s="64"/>
      <c r="E549" s="66"/>
      <c r="F549" s="103" t="str">
        <f>HYPERLINK("https://pbs.twimg.com/profile_images/1377341061174079499/SxtxEITG_normal.jpg")</f>
        <v>https://pbs.twimg.com/profile_images/1377341061174079499/SxtxEITG_normal.jpg</v>
      </c>
      <c r="G549" s="63"/>
      <c r="H549" s="67"/>
      <c r="I549" s="68"/>
      <c r="J549" s="68"/>
      <c r="K549" s="67" t="s">
        <v>20181</v>
      </c>
      <c r="L549" s="71"/>
      <c r="M549" s="72"/>
      <c r="N549" s="72"/>
      <c r="O549" s="73"/>
      <c r="P549" s="74"/>
      <c r="Q549" s="74"/>
      <c r="R549" s="87"/>
      <c r="S549" s="87"/>
      <c r="T549" s="87"/>
      <c r="U549" s="87"/>
      <c r="V549" s="48"/>
      <c r="W549" s="48"/>
      <c r="X549" s="47">
        <v>1.101E-3</v>
      </c>
      <c r="Y549" s="48"/>
      <c r="Z549" s="47"/>
      <c r="AA549" s="69">
        <v>549</v>
      </c>
      <c r="AB549" s="69"/>
      <c r="AC549" s="70"/>
      <c r="AD549" s="76" t="s">
        <v>17180</v>
      </c>
      <c r="AE549" s="81" t="s">
        <v>15752</v>
      </c>
      <c r="AF549" s="76">
        <v>7</v>
      </c>
      <c r="AG549" s="76">
        <v>31</v>
      </c>
      <c r="AH549" s="76">
        <v>71</v>
      </c>
      <c r="AI549" s="76">
        <v>1</v>
      </c>
      <c r="AJ549" s="76">
        <v>16</v>
      </c>
      <c r="AK549" s="76">
        <v>2</v>
      </c>
      <c r="AL549" s="76" t="b">
        <v>0</v>
      </c>
      <c r="AM549" s="78">
        <v>44286.808194444442</v>
      </c>
      <c r="AN549" s="76"/>
      <c r="AO549" s="76" t="s">
        <v>18641</v>
      </c>
      <c r="AP549" s="76"/>
      <c r="AQ549" s="76"/>
      <c r="AR549" s="76"/>
      <c r="AS549" s="76"/>
      <c r="AT549" s="76"/>
      <c r="AU549" s="76"/>
      <c r="AV549" s="76"/>
      <c r="AW549" s="76"/>
      <c r="AX549" s="76" t="b">
        <v>0</v>
      </c>
      <c r="AY549" s="76"/>
      <c r="AZ549" s="76"/>
      <c r="BA549" s="76" t="b">
        <v>0</v>
      </c>
      <c r="BB549" s="76" t="b">
        <v>1</v>
      </c>
      <c r="BC549" s="76" t="b">
        <v>1</v>
      </c>
      <c r="BD549" s="76" t="b">
        <v>0</v>
      </c>
      <c r="BE549" s="76" t="b">
        <v>1</v>
      </c>
      <c r="BF549" s="76" t="b">
        <v>0</v>
      </c>
      <c r="BG549" s="76" t="b">
        <v>0</v>
      </c>
      <c r="BH549" s="76"/>
      <c r="BI549" s="76"/>
      <c r="BJ549" s="76" t="s">
        <v>19633</v>
      </c>
      <c r="BK549" s="76" t="b">
        <v>0</v>
      </c>
      <c r="BL549" s="76"/>
      <c r="BM549" s="76" t="s">
        <v>66</v>
      </c>
      <c r="BN549" s="76" t="s">
        <v>19635</v>
      </c>
      <c r="BO549" s="83" t="str">
        <f>HYPERLINK("https://twitter.com/tiagokeilerr")</f>
        <v>https://twitter.com/tiagokeilerr</v>
      </c>
      <c r="BP549" s="2"/>
    </row>
    <row r="550" spans="1:68" x14ac:dyDescent="0.25">
      <c r="A550" s="62" t="s">
        <v>710</v>
      </c>
      <c r="B550" s="63"/>
      <c r="C550" s="63"/>
      <c r="D550" s="64"/>
      <c r="E550" s="66"/>
      <c r="F550" s="103" t="str">
        <f>HYPERLINK("https://pbs.twimg.com/profile_images/1466025574212714497/_HwNJwD9_normal.jpg")</f>
        <v>https://pbs.twimg.com/profile_images/1466025574212714497/_HwNJwD9_normal.jpg</v>
      </c>
      <c r="G550" s="63"/>
      <c r="H550" s="67"/>
      <c r="I550" s="68"/>
      <c r="J550" s="68"/>
      <c r="K550" s="67" t="s">
        <v>20182</v>
      </c>
      <c r="L550" s="71"/>
      <c r="M550" s="72"/>
      <c r="N550" s="72"/>
      <c r="O550" s="73"/>
      <c r="P550" s="74"/>
      <c r="Q550" s="74"/>
      <c r="R550" s="87"/>
      <c r="S550" s="87"/>
      <c r="T550" s="87"/>
      <c r="U550" s="87"/>
      <c r="V550" s="48"/>
      <c r="W550" s="48"/>
      <c r="X550" s="47">
        <v>1E-3</v>
      </c>
      <c r="Y550" s="48"/>
      <c r="Z550" s="47"/>
      <c r="AA550" s="69">
        <v>550</v>
      </c>
      <c r="AB550" s="69"/>
      <c r="AC550" s="70"/>
      <c r="AD550" s="76" t="s">
        <v>17181</v>
      </c>
      <c r="AE550" s="81" t="s">
        <v>17719</v>
      </c>
      <c r="AF550" s="76">
        <v>8377</v>
      </c>
      <c r="AG550" s="76">
        <v>399</v>
      </c>
      <c r="AH550" s="76">
        <v>23557</v>
      </c>
      <c r="AI550" s="76">
        <v>0</v>
      </c>
      <c r="AJ550" s="76">
        <v>8101</v>
      </c>
      <c r="AK550" s="76">
        <v>5025</v>
      </c>
      <c r="AL550" s="76" t="b">
        <v>0</v>
      </c>
      <c r="AM550" s="78">
        <v>40032.907476851855</v>
      </c>
      <c r="AN550" s="76" t="s">
        <v>10558</v>
      </c>
      <c r="AO550" s="76" t="s">
        <v>18642</v>
      </c>
      <c r="AP550" s="83" t="str">
        <f>HYPERLINK("https://t.co/b9QEqdMpeX")</f>
        <v>https://t.co/b9QEqdMpeX</v>
      </c>
      <c r="AQ550" s="83" t="str">
        <f>HYPERLINK("http://www.cndl.org.br")</f>
        <v>http://www.cndl.org.br</v>
      </c>
      <c r="AR550" s="76" t="s">
        <v>19314</v>
      </c>
      <c r="AS550" s="76"/>
      <c r="AT550" s="76"/>
      <c r="AU550" s="76"/>
      <c r="AV550" s="76">
        <v>1.37406981336302E+18</v>
      </c>
      <c r="AW550" s="83" t="str">
        <f>HYPERLINK("https://t.co/b9QEqdMpeX")</f>
        <v>https://t.co/b9QEqdMpeX</v>
      </c>
      <c r="AX550" s="76" t="b">
        <v>1</v>
      </c>
      <c r="AY550" s="76"/>
      <c r="AZ550" s="76"/>
      <c r="BA550" s="76" t="b">
        <v>0</v>
      </c>
      <c r="BB550" s="76" t="b">
        <v>1</v>
      </c>
      <c r="BC550" s="76" t="b">
        <v>0</v>
      </c>
      <c r="BD550" s="76" t="b">
        <v>0</v>
      </c>
      <c r="BE550" s="76" t="b">
        <v>0</v>
      </c>
      <c r="BF550" s="76" t="b">
        <v>0</v>
      </c>
      <c r="BG550" s="76" t="b">
        <v>0</v>
      </c>
      <c r="BH550" s="83" t="str">
        <f>HYPERLINK("https://pbs.twimg.com/profile_banners/63834444/1625153503")</f>
        <v>https://pbs.twimg.com/profile_banners/63834444/1625153503</v>
      </c>
      <c r="BI550" s="76"/>
      <c r="BJ550" s="76" t="s">
        <v>19633</v>
      </c>
      <c r="BK550" s="76" t="b">
        <v>0</v>
      </c>
      <c r="BL550" s="76"/>
      <c r="BM550" s="76" t="s">
        <v>66</v>
      </c>
      <c r="BN550" s="76" t="s">
        <v>19635</v>
      </c>
      <c r="BO550" s="83" t="str">
        <f>HYPERLINK("https://twitter.com/sistemacndl")</f>
        <v>https://twitter.com/sistemacndl</v>
      </c>
      <c r="BP550" s="2"/>
    </row>
    <row r="551" spans="1:68" x14ac:dyDescent="0.25">
      <c r="A551" s="62" t="s">
        <v>711</v>
      </c>
      <c r="B551" s="63"/>
      <c r="C551" s="63"/>
      <c r="D551" s="64"/>
      <c r="E551" s="66"/>
      <c r="F551" s="103" t="str">
        <f>HYPERLINK("https://pbs.twimg.com/profile_images/1404755042750537730/S3rQyPr9_normal.jpg")</f>
        <v>https://pbs.twimg.com/profile_images/1404755042750537730/S3rQyPr9_normal.jpg</v>
      </c>
      <c r="G551" s="63"/>
      <c r="H551" s="67"/>
      <c r="I551" s="68"/>
      <c r="J551" s="68"/>
      <c r="K551" s="67" t="s">
        <v>20183</v>
      </c>
      <c r="L551" s="71"/>
      <c r="M551" s="72"/>
      <c r="N551" s="72"/>
      <c r="O551" s="73"/>
      <c r="P551" s="74"/>
      <c r="Q551" s="74"/>
      <c r="R551" s="87"/>
      <c r="S551" s="87"/>
      <c r="T551" s="87"/>
      <c r="U551" s="87"/>
      <c r="V551" s="48"/>
      <c r="W551" s="48"/>
      <c r="X551" s="47">
        <v>1.101E-3</v>
      </c>
      <c r="Y551" s="48"/>
      <c r="Z551" s="47"/>
      <c r="AA551" s="69">
        <v>551</v>
      </c>
      <c r="AB551" s="69"/>
      <c r="AC551" s="70"/>
      <c r="AD551" s="76" t="s">
        <v>17182</v>
      </c>
      <c r="AE551" s="81" t="s">
        <v>15753</v>
      </c>
      <c r="AF551" s="76">
        <v>374947</v>
      </c>
      <c r="AG551" s="76">
        <v>57</v>
      </c>
      <c r="AH551" s="76">
        <v>8942</v>
      </c>
      <c r="AI551" s="76">
        <v>991</v>
      </c>
      <c r="AJ551" s="76">
        <v>2066</v>
      </c>
      <c r="AK551" s="76">
        <v>4083</v>
      </c>
      <c r="AL551" s="76" t="b">
        <v>0</v>
      </c>
      <c r="AM551" s="78">
        <v>39820.488229166665</v>
      </c>
      <c r="AN551" s="76" t="s">
        <v>10552</v>
      </c>
      <c r="AO551" s="76" t="s">
        <v>18643</v>
      </c>
      <c r="AP551" s="83" t="str">
        <f>HYPERLINK("https://t.co/SDsVQSueCO")</f>
        <v>https://t.co/SDsVQSueCO</v>
      </c>
      <c r="AQ551" s="83" t="str">
        <f>HYPERLINK("https://www.gov.br/receitafederal/pt-br")</f>
        <v>https://www.gov.br/receitafederal/pt-br</v>
      </c>
      <c r="AR551" s="76" t="s">
        <v>19315</v>
      </c>
      <c r="AS551" s="76"/>
      <c r="AT551" s="76"/>
      <c r="AU551" s="76"/>
      <c r="AV551" s="76"/>
      <c r="AW551" s="83" t="str">
        <f>HYPERLINK("https://t.co/SDsVQSueCO")</f>
        <v>https://t.co/SDsVQSueCO</v>
      </c>
      <c r="AX551" s="76" t="b">
        <v>0</v>
      </c>
      <c r="AY551" s="76"/>
      <c r="AZ551" s="76"/>
      <c r="BA551" s="76" t="b">
        <v>0</v>
      </c>
      <c r="BB551" s="76" t="b">
        <v>0</v>
      </c>
      <c r="BC551" s="76" t="b">
        <v>0</v>
      </c>
      <c r="BD551" s="76" t="b">
        <v>0</v>
      </c>
      <c r="BE551" s="76" t="b">
        <v>0</v>
      </c>
      <c r="BF551" s="76" t="b">
        <v>0</v>
      </c>
      <c r="BG551" s="76" t="b">
        <v>0</v>
      </c>
      <c r="BH551" s="83" t="str">
        <f>HYPERLINK("https://pbs.twimg.com/profile_banners/18718638/1689627448")</f>
        <v>https://pbs.twimg.com/profile_banners/18718638/1689627448</v>
      </c>
      <c r="BI551" s="76"/>
      <c r="BJ551" s="76" t="s">
        <v>19633</v>
      </c>
      <c r="BK551" s="76" t="b">
        <v>0</v>
      </c>
      <c r="BL551" s="76"/>
      <c r="BM551" s="76" t="s">
        <v>66</v>
      </c>
      <c r="BN551" s="76" t="s">
        <v>19635</v>
      </c>
      <c r="BO551" s="83" t="str">
        <f>HYPERLINK("https://twitter.com/receitafederal")</f>
        <v>https://twitter.com/receitafederal</v>
      </c>
      <c r="BP551" s="2"/>
    </row>
    <row r="552" spans="1:68" x14ac:dyDescent="0.25">
      <c r="A552" s="62" t="s">
        <v>712</v>
      </c>
      <c r="B552" s="63"/>
      <c r="C552" s="63"/>
      <c r="D552" s="64"/>
      <c r="E552" s="66"/>
      <c r="F552" s="103" t="str">
        <f>HYPERLINK("https://pbs.twimg.com/profile_images/1585206485218467840/kBjO1S7j_normal.jpg")</f>
        <v>https://pbs.twimg.com/profile_images/1585206485218467840/kBjO1S7j_normal.jpg</v>
      </c>
      <c r="G552" s="63"/>
      <c r="H552" s="67"/>
      <c r="I552" s="68"/>
      <c r="J552" s="68"/>
      <c r="K552" s="67" t="s">
        <v>20184</v>
      </c>
      <c r="L552" s="71"/>
      <c r="M552" s="72"/>
      <c r="N552" s="72"/>
      <c r="O552" s="73"/>
      <c r="P552" s="74"/>
      <c r="Q552" s="74"/>
      <c r="R552" s="87"/>
      <c r="S552" s="87"/>
      <c r="T552" s="87"/>
      <c r="U552" s="87"/>
      <c r="V552" s="48"/>
      <c r="W552" s="48"/>
      <c r="X552" s="47">
        <v>1.101E-3</v>
      </c>
      <c r="Y552" s="48"/>
      <c r="Z552" s="47"/>
      <c r="AA552" s="69">
        <v>552</v>
      </c>
      <c r="AB552" s="69"/>
      <c r="AC552" s="70"/>
      <c r="AD552" s="76" t="s">
        <v>17183</v>
      </c>
      <c r="AE552" s="81" t="s">
        <v>16411</v>
      </c>
      <c r="AF552" s="76">
        <v>63</v>
      </c>
      <c r="AG552" s="76">
        <v>206</v>
      </c>
      <c r="AH552" s="76">
        <v>341</v>
      </c>
      <c r="AI552" s="76">
        <v>0</v>
      </c>
      <c r="AJ552" s="76">
        <v>102</v>
      </c>
      <c r="AK552" s="76">
        <v>54</v>
      </c>
      <c r="AL552" s="76" t="b">
        <v>0</v>
      </c>
      <c r="AM552" s="78">
        <v>44860.405486111114</v>
      </c>
      <c r="AN552" s="76" t="s">
        <v>18044</v>
      </c>
      <c r="AO552" s="76" t="s">
        <v>18644</v>
      </c>
      <c r="AP552" s="83" t="str">
        <f>HYPERLINK("https://t.co/B9aFBcTMNu")</f>
        <v>https://t.co/B9aFBcTMNu</v>
      </c>
      <c r="AQ552" s="83" t="str">
        <f>HYPERLINK("http://investoom.com")</f>
        <v>http://investoom.com</v>
      </c>
      <c r="AR552" s="76" t="s">
        <v>19316</v>
      </c>
      <c r="AS552" s="76"/>
      <c r="AT552" s="76"/>
      <c r="AU552" s="76"/>
      <c r="AV552" s="76"/>
      <c r="AW552" s="83" t="str">
        <f>HYPERLINK("https://t.co/B9aFBcTMNu")</f>
        <v>https://t.co/B9aFBcTMNu</v>
      </c>
      <c r="AX552" s="76" t="b">
        <v>0</v>
      </c>
      <c r="AY552" s="76"/>
      <c r="AZ552" s="76"/>
      <c r="BA552" s="76" t="b">
        <v>0</v>
      </c>
      <c r="BB552" s="76" t="b">
        <v>1</v>
      </c>
      <c r="BC552" s="76" t="b">
        <v>1</v>
      </c>
      <c r="BD552" s="76" t="b">
        <v>0</v>
      </c>
      <c r="BE552" s="76" t="b">
        <v>1</v>
      </c>
      <c r="BF552" s="76" t="b">
        <v>0</v>
      </c>
      <c r="BG552" s="76" t="b">
        <v>0</v>
      </c>
      <c r="BH552" s="76"/>
      <c r="BI552" s="76"/>
      <c r="BJ552" s="76" t="s">
        <v>19633</v>
      </c>
      <c r="BK552" s="76" t="b">
        <v>0</v>
      </c>
      <c r="BL552" s="76"/>
      <c r="BM552" s="76" t="s">
        <v>66</v>
      </c>
      <c r="BN552" s="76" t="s">
        <v>19635</v>
      </c>
      <c r="BO552" s="83" t="str">
        <f>HYPERLINK("https://twitter.com/investoom_com")</f>
        <v>https://twitter.com/investoom_com</v>
      </c>
      <c r="BP552" s="2"/>
    </row>
    <row r="553" spans="1:68" x14ac:dyDescent="0.25">
      <c r="A553" s="62" t="s">
        <v>713</v>
      </c>
      <c r="B553" s="63"/>
      <c r="C553" s="63"/>
      <c r="D553" s="64"/>
      <c r="E553" s="66"/>
      <c r="F553" s="103" t="str">
        <f>HYPERLINK("https://pbs.twimg.com/profile_images/1243516459118211077/HXWOZM9m_normal.png")</f>
        <v>https://pbs.twimg.com/profile_images/1243516459118211077/HXWOZM9m_normal.png</v>
      </c>
      <c r="G553" s="63"/>
      <c r="H553" s="67"/>
      <c r="I553" s="68"/>
      <c r="J553" s="68"/>
      <c r="K553" s="67" t="s">
        <v>20185</v>
      </c>
      <c r="L553" s="71"/>
      <c r="M553" s="72"/>
      <c r="N553" s="72"/>
      <c r="O553" s="73"/>
      <c r="P553" s="74"/>
      <c r="Q553" s="74"/>
      <c r="R553" s="87"/>
      <c r="S553" s="87"/>
      <c r="T553" s="87"/>
      <c r="U553" s="87"/>
      <c r="V553" s="48"/>
      <c r="W553" s="48"/>
      <c r="X553" s="47">
        <v>1.101E-3</v>
      </c>
      <c r="Y553" s="48"/>
      <c r="Z553" s="47"/>
      <c r="AA553" s="69">
        <v>553</v>
      </c>
      <c r="AB553" s="69"/>
      <c r="AC553" s="70"/>
      <c r="AD553" s="76" t="s">
        <v>17184</v>
      </c>
      <c r="AE553" s="81" t="s">
        <v>17720</v>
      </c>
      <c r="AF553" s="76">
        <v>117</v>
      </c>
      <c r="AG553" s="76">
        <v>51</v>
      </c>
      <c r="AH553" s="76">
        <v>623</v>
      </c>
      <c r="AI553" s="76">
        <v>2</v>
      </c>
      <c r="AJ553" s="76">
        <v>86</v>
      </c>
      <c r="AK553" s="76">
        <v>423</v>
      </c>
      <c r="AL553" s="76" t="b">
        <v>0</v>
      </c>
      <c r="AM553" s="78">
        <v>40056.747094907405</v>
      </c>
      <c r="AN553" s="76" t="s">
        <v>18045</v>
      </c>
      <c r="AO553" s="76" t="s">
        <v>18645</v>
      </c>
      <c r="AP553" s="83" t="str">
        <f>HYPERLINK("http://t.co/BGPKfCjL6W")</f>
        <v>http://t.co/BGPKfCjL6W</v>
      </c>
      <c r="AQ553" s="83" t="str">
        <f>HYPERLINK("http://www.teiadigital.com.br/")</f>
        <v>http://www.teiadigital.com.br/</v>
      </c>
      <c r="AR553" s="76" t="s">
        <v>19317</v>
      </c>
      <c r="AS553" s="76"/>
      <c r="AT553" s="76"/>
      <c r="AU553" s="76"/>
      <c r="AV553" s="76"/>
      <c r="AW553" s="83" t="str">
        <f>HYPERLINK("http://t.co/BGPKfCjL6W")</f>
        <v>http://t.co/BGPKfCjL6W</v>
      </c>
      <c r="AX553" s="76" t="b">
        <v>0</v>
      </c>
      <c r="AY553" s="76"/>
      <c r="AZ553" s="76"/>
      <c r="BA553" s="76" t="b">
        <v>0</v>
      </c>
      <c r="BB553" s="76" t="b">
        <v>1</v>
      </c>
      <c r="BC553" s="76" t="b">
        <v>0</v>
      </c>
      <c r="BD553" s="76" t="b">
        <v>0</v>
      </c>
      <c r="BE553" s="76" t="b">
        <v>0</v>
      </c>
      <c r="BF553" s="76" t="b">
        <v>0</v>
      </c>
      <c r="BG553" s="76" t="b">
        <v>0</v>
      </c>
      <c r="BH553" s="83" t="str">
        <f>HYPERLINK("https://pbs.twimg.com/profile_banners/70455289/1585312403")</f>
        <v>https://pbs.twimg.com/profile_banners/70455289/1585312403</v>
      </c>
      <c r="BI553" s="76"/>
      <c r="BJ553" s="76" t="s">
        <v>19633</v>
      </c>
      <c r="BK553" s="76" t="b">
        <v>0</v>
      </c>
      <c r="BL553" s="76"/>
      <c r="BM553" s="76" t="s">
        <v>66</v>
      </c>
      <c r="BN553" s="76" t="s">
        <v>19635</v>
      </c>
      <c r="BO553" s="83" t="str">
        <f>HYPERLINK("https://twitter.com/teiadigital")</f>
        <v>https://twitter.com/teiadigital</v>
      </c>
      <c r="BP553" s="2"/>
    </row>
    <row r="554" spans="1:68" x14ac:dyDescent="0.25">
      <c r="A554" s="62" t="s">
        <v>714</v>
      </c>
      <c r="B554" s="63"/>
      <c r="C554" s="63"/>
      <c r="D554" s="64"/>
      <c r="E554" s="66"/>
      <c r="F554" s="103" t="str">
        <f>HYPERLINK("https://pbs.twimg.com/profile_images/1480545415552540677/ApxUKv5q_normal.png")</f>
        <v>https://pbs.twimg.com/profile_images/1480545415552540677/ApxUKv5q_normal.png</v>
      </c>
      <c r="G554" s="63"/>
      <c r="H554" s="67"/>
      <c r="I554" s="68"/>
      <c r="J554" s="68"/>
      <c r="K554" s="67" t="s">
        <v>20186</v>
      </c>
      <c r="L554" s="71"/>
      <c r="M554" s="72"/>
      <c r="N554" s="72"/>
      <c r="O554" s="73"/>
      <c r="P554" s="74"/>
      <c r="Q554" s="74"/>
      <c r="R554" s="87"/>
      <c r="S554" s="87"/>
      <c r="T554" s="87"/>
      <c r="U554" s="87"/>
      <c r="V554" s="48"/>
      <c r="W554" s="48"/>
      <c r="X554" s="47">
        <v>1.101E-3</v>
      </c>
      <c r="Y554" s="48"/>
      <c r="Z554" s="47"/>
      <c r="AA554" s="69">
        <v>554</v>
      </c>
      <c r="AB554" s="69"/>
      <c r="AC554" s="70"/>
      <c r="AD554" s="76" t="s">
        <v>17185</v>
      </c>
      <c r="AE554" s="81" t="s">
        <v>16412</v>
      </c>
      <c r="AF554" s="76">
        <v>19</v>
      </c>
      <c r="AG554" s="76">
        <v>2</v>
      </c>
      <c r="AH554" s="76">
        <v>163</v>
      </c>
      <c r="AI554" s="76">
        <v>0</v>
      </c>
      <c r="AJ554" s="76">
        <v>0</v>
      </c>
      <c r="AK554" s="76">
        <v>163</v>
      </c>
      <c r="AL554" s="76" t="b">
        <v>0</v>
      </c>
      <c r="AM554" s="78">
        <v>44202.565324074072</v>
      </c>
      <c r="AN554" s="76"/>
      <c r="AO554" s="76" t="s">
        <v>18646</v>
      </c>
      <c r="AP554" s="83" t="str">
        <f>HYPERLINK("https://t.co/OD8cMAcqSc")</f>
        <v>https://t.co/OD8cMAcqSc</v>
      </c>
      <c r="AQ554" s="83" t="str">
        <f>HYPERLINK("https://www.cgd.com.br/")</f>
        <v>https://www.cgd.com.br/</v>
      </c>
      <c r="AR554" s="76" t="s">
        <v>19318</v>
      </c>
      <c r="AS554" s="76"/>
      <c r="AT554" s="76"/>
      <c r="AU554" s="76"/>
      <c r="AV554" s="76"/>
      <c r="AW554" s="83" t="str">
        <f>HYPERLINK("https://t.co/OD8cMAcqSc")</f>
        <v>https://t.co/OD8cMAcqSc</v>
      </c>
      <c r="AX554" s="76" t="b">
        <v>0</v>
      </c>
      <c r="AY554" s="76"/>
      <c r="AZ554" s="76"/>
      <c r="BA554" s="76" t="b">
        <v>0</v>
      </c>
      <c r="BB554" s="76" t="b">
        <v>1</v>
      </c>
      <c r="BC554" s="76" t="b">
        <v>1</v>
      </c>
      <c r="BD554" s="76" t="b">
        <v>0</v>
      </c>
      <c r="BE554" s="76" t="b">
        <v>0</v>
      </c>
      <c r="BF554" s="76" t="b">
        <v>0</v>
      </c>
      <c r="BG554" s="76" t="b">
        <v>0</v>
      </c>
      <c r="BH554" s="83" t="str">
        <f>HYPERLINK("https://pbs.twimg.com/profile_banners/1346812127772889091/1677597147")</f>
        <v>https://pbs.twimg.com/profile_banners/1346812127772889091/1677597147</v>
      </c>
      <c r="BI554" s="76"/>
      <c r="BJ554" s="76" t="s">
        <v>19633</v>
      </c>
      <c r="BK554" s="76" t="b">
        <v>0</v>
      </c>
      <c r="BL554" s="76"/>
      <c r="BM554" s="76" t="s">
        <v>66</v>
      </c>
      <c r="BN554" s="76" t="s">
        <v>19635</v>
      </c>
      <c r="BO554" s="83" t="str">
        <f>HYPERLINK("https://twitter.com/cgdcursos")</f>
        <v>https://twitter.com/cgdcursos</v>
      </c>
      <c r="BP554" s="2"/>
    </row>
    <row r="555" spans="1:68" x14ac:dyDescent="0.25">
      <c r="A555" s="62" t="s">
        <v>715</v>
      </c>
      <c r="B555" s="63"/>
      <c r="C555" s="63"/>
      <c r="D555" s="64"/>
      <c r="E555" s="66"/>
      <c r="F555" s="103" t="str">
        <f>HYPERLINK("https://pbs.twimg.com/profile_images/1654158973719703554/i35irQdO_normal.jpg")</f>
        <v>https://pbs.twimg.com/profile_images/1654158973719703554/i35irQdO_normal.jpg</v>
      </c>
      <c r="G555" s="63"/>
      <c r="H555" s="67"/>
      <c r="I555" s="68"/>
      <c r="J555" s="68"/>
      <c r="K555" s="67" t="s">
        <v>20187</v>
      </c>
      <c r="L555" s="71"/>
      <c r="M555" s="72"/>
      <c r="N555" s="72"/>
      <c r="O555" s="73"/>
      <c r="P555" s="74"/>
      <c r="Q555" s="74"/>
      <c r="R555" s="87"/>
      <c r="S555" s="87"/>
      <c r="T555" s="87"/>
      <c r="U555" s="87"/>
      <c r="V555" s="48"/>
      <c r="W555" s="48"/>
      <c r="X555" s="47">
        <v>1.101E-3</v>
      </c>
      <c r="Y555" s="48"/>
      <c r="Z555" s="47"/>
      <c r="AA555" s="69">
        <v>555</v>
      </c>
      <c r="AB555" s="69"/>
      <c r="AC555" s="70"/>
      <c r="AD555" s="76" t="s">
        <v>17186</v>
      </c>
      <c r="AE555" s="81" t="s">
        <v>17721</v>
      </c>
      <c r="AF555" s="76">
        <v>9</v>
      </c>
      <c r="AG555" s="76">
        <v>10</v>
      </c>
      <c r="AH555" s="76">
        <v>19</v>
      </c>
      <c r="AI555" s="76">
        <v>0</v>
      </c>
      <c r="AJ555" s="76">
        <v>11</v>
      </c>
      <c r="AK555" s="76">
        <v>0</v>
      </c>
      <c r="AL555" s="76" t="b">
        <v>0</v>
      </c>
      <c r="AM555" s="78">
        <v>40574.976412037038</v>
      </c>
      <c r="AN555" s="76"/>
      <c r="AO555" s="76" t="s">
        <v>18647</v>
      </c>
      <c r="AP555" s="83" t="str">
        <f>HYPERLINK("https://t.co/zNaOO8T7Jn")</f>
        <v>https://t.co/zNaOO8T7Jn</v>
      </c>
      <c r="AQ555" s="83" t="str">
        <f>HYPERLINK("http://www.diegohenrique.com.br")</f>
        <v>http://www.diegohenrique.com.br</v>
      </c>
      <c r="AR555" s="76" t="s">
        <v>19319</v>
      </c>
      <c r="AS555" s="76"/>
      <c r="AT555" s="76"/>
      <c r="AU555" s="76"/>
      <c r="AV555" s="76"/>
      <c r="AW555" s="83" t="str">
        <f>HYPERLINK("https://t.co/zNaOO8T7Jn")</f>
        <v>https://t.co/zNaOO8T7Jn</v>
      </c>
      <c r="AX555" s="76" t="b">
        <v>0</v>
      </c>
      <c r="AY555" s="76"/>
      <c r="AZ555" s="76"/>
      <c r="BA555" s="76" t="b">
        <v>0</v>
      </c>
      <c r="BB555" s="76" t="b">
        <v>1</v>
      </c>
      <c r="BC555" s="76" t="b">
        <v>1</v>
      </c>
      <c r="BD555" s="76" t="b">
        <v>0</v>
      </c>
      <c r="BE555" s="76" t="b">
        <v>0</v>
      </c>
      <c r="BF555" s="76" t="b">
        <v>0</v>
      </c>
      <c r="BG555" s="76" t="b">
        <v>0</v>
      </c>
      <c r="BH555" s="83" t="str">
        <f>HYPERLINK("https://pbs.twimg.com/profile_banners/245551895/1462978447")</f>
        <v>https://pbs.twimg.com/profile_banners/245551895/1462978447</v>
      </c>
      <c r="BI555" s="76"/>
      <c r="BJ555" s="76" t="s">
        <v>19633</v>
      </c>
      <c r="BK555" s="76" t="b">
        <v>0</v>
      </c>
      <c r="BL555" s="76"/>
      <c r="BM555" s="76" t="s">
        <v>66</v>
      </c>
      <c r="BN555" s="76" t="s">
        <v>19635</v>
      </c>
      <c r="BO555" s="83" t="str">
        <f>HYPERLINK("https://twitter.com/diegohenrique_i")</f>
        <v>https://twitter.com/diegohenrique_i</v>
      </c>
      <c r="BP555" s="2"/>
    </row>
    <row r="556" spans="1:68" x14ac:dyDescent="0.25">
      <c r="A556" s="62" t="s">
        <v>716</v>
      </c>
      <c r="B556" s="63"/>
      <c r="C556" s="63"/>
      <c r="D556" s="64"/>
      <c r="E556" s="66"/>
      <c r="F556" s="103" t="str">
        <f>HYPERLINK("https://pbs.twimg.com/profile_images/1294227120659603456/oO4LaG8b_normal.jpg")</f>
        <v>https://pbs.twimg.com/profile_images/1294227120659603456/oO4LaG8b_normal.jpg</v>
      </c>
      <c r="G556" s="63"/>
      <c r="H556" s="67"/>
      <c r="I556" s="68"/>
      <c r="J556" s="68"/>
      <c r="K556" s="67" t="s">
        <v>20188</v>
      </c>
      <c r="L556" s="71"/>
      <c r="M556" s="72"/>
      <c r="N556" s="72"/>
      <c r="O556" s="73"/>
      <c r="P556" s="74"/>
      <c r="Q556" s="74"/>
      <c r="R556" s="87"/>
      <c r="S556" s="87"/>
      <c r="T556" s="87"/>
      <c r="U556" s="87"/>
      <c r="V556" s="48"/>
      <c r="W556" s="48"/>
      <c r="X556" s="47">
        <v>1.101E-3</v>
      </c>
      <c r="Y556" s="48"/>
      <c r="Z556" s="47"/>
      <c r="AA556" s="69">
        <v>556</v>
      </c>
      <c r="AB556" s="69"/>
      <c r="AC556" s="70"/>
      <c r="AD556" s="76" t="s">
        <v>17187</v>
      </c>
      <c r="AE556" s="81" t="s">
        <v>16413</v>
      </c>
      <c r="AF556" s="76">
        <v>10669</v>
      </c>
      <c r="AG556" s="76">
        <v>247</v>
      </c>
      <c r="AH556" s="76">
        <v>5517</v>
      </c>
      <c r="AI556" s="76">
        <v>48</v>
      </c>
      <c r="AJ556" s="76">
        <v>4336</v>
      </c>
      <c r="AK556" s="76">
        <v>4150</v>
      </c>
      <c r="AL556" s="76" t="b">
        <v>0</v>
      </c>
      <c r="AM556" s="78">
        <v>43288.536099537036</v>
      </c>
      <c r="AN556" s="76" t="s">
        <v>10561</v>
      </c>
      <c r="AO556" s="76" t="s">
        <v>18648</v>
      </c>
      <c r="AP556" s="83" t="str">
        <f>HYPERLINK("https://t.co/EHQsjwFowf")</f>
        <v>https://t.co/EHQsjwFowf</v>
      </c>
      <c r="AQ556" s="83" t="str">
        <f>HYPERLINK("http://www.unifesp.br")</f>
        <v>http://www.unifesp.br</v>
      </c>
      <c r="AR556" s="76" t="s">
        <v>19320</v>
      </c>
      <c r="AS556" s="76"/>
      <c r="AT556" s="76"/>
      <c r="AU556" s="76"/>
      <c r="AV556" s="76">
        <v>1.60083760475618E+18</v>
      </c>
      <c r="AW556" s="83" t="str">
        <f>HYPERLINK("https://t.co/EHQsjwFowf")</f>
        <v>https://t.co/EHQsjwFowf</v>
      </c>
      <c r="AX556" s="76" t="b">
        <v>0</v>
      </c>
      <c r="AY556" s="76"/>
      <c r="AZ556" s="76"/>
      <c r="BA556" s="76" t="b">
        <v>0</v>
      </c>
      <c r="BB556" s="76" t="b">
        <v>1</v>
      </c>
      <c r="BC556" s="76" t="b">
        <v>0</v>
      </c>
      <c r="BD556" s="76" t="b">
        <v>0</v>
      </c>
      <c r="BE556" s="76" t="b">
        <v>0</v>
      </c>
      <c r="BF556" s="76" t="b">
        <v>0</v>
      </c>
      <c r="BG556" s="76" t="b">
        <v>0</v>
      </c>
      <c r="BH556" s="83" t="str">
        <f>HYPERLINK("https://pbs.twimg.com/profile_banners/1015579177704181762/1614959504")</f>
        <v>https://pbs.twimg.com/profile_banners/1015579177704181762/1614959504</v>
      </c>
      <c r="BI556" s="76"/>
      <c r="BJ556" s="76" t="s">
        <v>19633</v>
      </c>
      <c r="BK556" s="76" t="b">
        <v>0</v>
      </c>
      <c r="BL556" s="76"/>
      <c r="BM556" s="76" t="s">
        <v>66</v>
      </c>
      <c r="BN556" s="76" t="s">
        <v>19635</v>
      </c>
      <c r="BO556" s="83" t="str">
        <f>HYPERLINK("https://twitter.com/unifesp")</f>
        <v>https://twitter.com/unifesp</v>
      </c>
      <c r="BP556" s="2"/>
    </row>
    <row r="557" spans="1:68" x14ac:dyDescent="0.25">
      <c r="A557" s="62" t="s">
        <v>717</v>
      </c>
      <c r="B557" s="63"/>
      <c r="C557" s="63"/>
      <c r="D557" s="64"/>
      <c r="E557" s="66"/>
      <c r="F557" s="103" t="str">
        <f>HYPERLINK("https://pbs.twimg.com/profile_images/479627480429379584/MYB86Obg_normal.jpeg")</f>
        <v>https://pbs.twimg.com/profile_images/479627480429379584/MYB86Obg_normal.jpeg</v>
      </c>
      <c r="G557" s="63"/>
      <c r="H557" s="67"/>
      <c r="I557" s="68"/>
      <c r="J557" s="68"/>
      <c r="K557" s="67" t="s">
        <v>20189</v>
      </c>
      <c r="L557" s="71"/>
      <c r="M557" s="72"/>
      <c r="N557" s="72"/>
      <c r="O557" s="73"/>
      <c r="P557" s="74"/>
      <c r="Q557" s="74"/>
      <c r="R557" s="87"/>
      <c r="S557" s="87"/>
      <c r="T557" s="87"/>
      <c r="U557" s="87"/>
      <c r="V557" s="48"/>
      <c r="W557" s="48"/>
      <c r="X557" s="47">
        <v>1.101E-3</v>
      </c>
      <c r="Y557" s="48"/>
      <c r="Z557" s="47"/>
      <c r="AA557" s="69">
        <v>557</v>
      </c>
      <c r="AB557" s="69"/>
      <c r="AC557" s="70"/>
      <c r="AD557" s="76" t="s">
        <v>17188</v>
      </c>
      <c r="AE557" s="81" t="s">
        <v>17722</v>
      </c>
      <c r="AF557" s="76">
        <v>51</v>
      </c>
      <c r="AG557" s="76">
        <v>101</v>
      </c>
      <c r="AH557" s="76">
        <v>9</v>
      </c>
      <c r="AI557" s="76">
        <v>0</v>
      </c>
      <c r="AJ557" s="76">
        <v>11</v>
      </c>
      <c r="AK557" s="76">
        <v>6</v>
      </c>
      <c r="AL557" s="76" t="b">
        <v>0</v>
      </c>
      <c r="AM557" s="78">
        <v>40392.843518518515</v>
      </c>
      <c r="AN557" s="76" t="s">
        <v>10622</v>
      </c>
      <c r="AO557" s="76" t="s">
        <v>18649</v>
      </c>
      <c r="AP557" s="83" t="str">
        <f>HYPERLINK("https://t.co/nq30NU1G2F")</f>
        <v>https://t.co/nq30NU1G2F</v>
      </c>
      <c r="AQ557" s="83" t="str">
        <f>HYPERLINK("https://findocs.com.br")</f>
        <v>https://findocs.com.br</v>
      </c>
      <c r="AR557" s="76" t="s">
        <v>19321</v>
      </c>
      <c r="AS557" s="76"/>
      <c r="AT557" s="76"/>
      <c r="AU557" s="76"/>
      <c r="AV557" s="76"/>
      <c r="AW557" s="83" t="str">
        <f>HYPERLINK("https://t.co/nq30NU1G2F")</f>
        <v>https://t.co/nq30NU1G2F</v>
      </c>
      <c r="AX557" s="76" t="b">
        <v>0</v>
      </c>
      <c r="AY557" s="76"/>
      <c r="AZ557" s="76"/>
      <c r="BA557" s="76" t="b">
        <v>0</v>
      </c>
      <c r="BB557" s="76" t="b">
        <v>1</v>
      </c>
      <c r="BC557" s="76" t="b">
        <v>0</v>
      </c>
      <c r="BD557" s="76" t="b">
        <v>0</v>
      </c>
      <c r="BE557" s="76" t="b">
        <v>0</v>
      </c>
      <c r="BF557" s="76" t="b">
        <v>0</v>
      </c>
      <c r="BG557" s="76" t="b">
        <v>0</v>
      </c>
      <c r="BH557" s="76"/>
      <c r="BI557" s="76"/>
      <c r="BJ557" s="76" t="s">
        <v>19633</v>
      </c>
      <c r="BK557" s="76" t="b">
        <v>0</v>
      </c>
      <c r="BL557" s="76"/>
      <c r="BM557" s="76" t="s">
        <v>66</v>
      </c>
      <c r="BN557" s="76" t="s">
        <v>19635</v>
      </c>
      <c r="BO557" s="83" t="str">
        <f>HYPERLINK("https://twitter.com/rodtogneri")</f>
        <v>https://twitter.com/rodtogneri</v>
      </c>
      <c r="BP557" s="2"/>
    </row>
    <row r="558" spans="1:68" x14ac:dyDescent="0.25">
      <c r="A558" s="62" t="s">
        <v>718</v>
      </c>
      <c r="B558" s="63"/>
      <c r="C558" s="63"/>
      <c r="D558" s="64"/>
      <c r="E558" s="66"/>
      <c r="F558" s="103" t="str">
        <f>HYPERLINK("https://pbs.twimg.com/profile_images/1281160374142803968/BSr5Ucpb_normal.jpg")</f>
        <v>https://pbs.twimg.com/profile_images/1281160374142803968/BSr5Ucpb_normal.jpg</v>
      </c>
      <c r="G558" s="63"/>
      <c r="H558" s="67"/>
      <c r="I558" s="68"/>
      <c r="J558" s="68"/>
      <c r="K558" s="67" t="s">
        <v>20190</v>
      </c>
      <c r="L558" s="71"/>
      <c r="M558" s="72"/>
      <c r="N558" s="72"/>
      <c r="O558" s="73"/>
      <c r="P558" s="74"/>
      <c r="Q558" s="74"/>
      <c r="R558" s="87"/>
      <c r="S558" s="87"/>
      <c r="T558" s="87"/>
      <c r="U558" s="87"/>
      <c r="V558" s="48"/>
      <c r="W558" s="48"/>
      <c r="X558" s="47">
        <v>1.101E-3</v>
      </c>
      <c r="Y558" s="48"/>
      <c r="Z558" s="47"/>
      <c r="AA558" s="69">
        <v>558</v>
      </c>
      <c r="AB558" s="69"/>
      <c r="AC558" s="70"/>
      <c r="AD558" s="76" t="s">
        <v>17189</v>
      </c>
      <c r="AE558" s="81" t="s">
        <v>17723</v>
      </c>
      <c r="AF558" s="76">
        <v>93</v>
      </c>
      <c r="AG558" s="76">
        <v>438</v>
      </c>
      <c r="AH558" s="76">
        <v>206</v>
      </c>
      <c r="AI558" s="76">
        <v>0</v>
      </c>
      <c r="AJ558" s="76">
        <v>822</v>
      </c>
      <c r="AK558" s="76">
        <v>2</v>
      </c>
      <c r="AL558" s="76" t="b">
        <v>0</v>
      </c>
      <c r="AM558" s="78">
        <v>41969.88208333333</v>
      </c>
      <c r="AN558" s="76"/>
      <c r="AO558" s="76" t="s">
        <v>18650</v>
      </c>
      <c r="AP558" s="76"/>
      <c r="AQ558" s="76"/>
      <c r="AR558" s="76"/>
      <c r="AS558" s="76"/>
      <c r="AT558" s="76"/>
      <c r="AU558" s="76"/>
      <c r="AV558" s="76">
        <v>1.5189779465051599E+18</v>
      </c>
      <c r="AW558" s="76"/>
      <c r="AX558" s="76" t="b">
        <v>0</v>
      </c>
      <c r="AY558" s="76"/>
      <c r="AZ558" s="76"/>
      <c r="BA558" s="76" t="b">
        <v>0</v>
      </c>
      <c r="BB558" s="76" t="b">
        <v>0</v>
      </c>
      <c r="BC558" s="76" t="b">
        <v>1</v>
      </c>
      <c r="BD558" s="76" t="b">
        <v>0</v>
      </c>
      <c r="BE558" s="76" t="b">
        <v>1</v>
      </c>
      <c r="BF558" s="76" t="b">
        <v>0</v>
      </c>
      <c r="BG558" s="76" t="b">
        <v>0</v>
      </c>
      <c r="BH558" s="76"/>
      <c r="BI558" s="76"/>
      <c r="BJ558" s="76" t="s">
        <v>19633</v>
      </c>
      <c r="BK558" s="76" t="b">
        <v>0</v>
      </c>
      <c r="BL558" s="76"/>
      <c r="BM558" s="76" t="s">
        <v>66</v>
      </c>
      <c r="BN558" s="76" t="s">
        <v>19635</v>
      </c>
      <c r="BO558" s="83" t="str">
        <f>HYPERLINK("https://twitter.com/mcovesa")</f>
        <v>https://twitter.com/mcovesa</v>
      </c>
      <c r="BP558" s="2"/>
    </row>
    <row r="559" spans="1:68" x14ac:dyDescent="0.25">
      <c r="A559" s="62" t="s">
        <v>719</v>
      </c>
      <c r="B559" s="63"/>
      <c r="C559" s="63"/>
      <c r="D559" s="64"/>
      <c r="E559" s="66"/>
      <c r="F559" s="103" t="str">
        <f>HYPERLINK("https://pbs.twimg.com/profile_images/1664650435515351042/bZqhBtCq_normal.jpg")</f>
        <v>https://pbs.twimg.com/profile_images/1664650435515351042/bZqhBtCq_normal.jpg</v>
      </c>
      <c r="G559" s="63"/>
      <c r="H559" s="67"/>
      <c r="I559" s="68"/>
      <c r="J559" s="68"/>
      <c r="K559" s="67" t="s">
        <v>20191</v>
      </c>
      <c r="L559" s="71"/>
      <c r="M559" s="72"/>
      <c r="N559" s="72"/>
      <c r="O559" s="73"/>
      <c r="P559" s="74"/>
      <c r="Q559" s="74"/>
      <c r="R559" s="87"/>
      <c r="S559" s="87"/>
      <c r="T559" s="87"/>
      <c r="U559" s="87"/>
      <c r="V559" s="48"/>
      <c r="W559" s="48"/>
      <c r="X559" s="47">
        <v>1.101E-3</v>
      </c>
      <c r="Y559" s="48"/>
      <c r="Z559" s="47"/>
      <c r="AA559" s="69">
        <v>559</v>
      </c>
      <c r="AB559" s="69"/>
      <c r="AC559" s="70"/>
      <c r="AD559" s="76" t="s">
        <v>17190</v>
      </c>
      <c r="AE559" s="81" t="s">
        <v>16414</v>
      </c>
      <c r="AF559" s="76">
        <v>1</v>
      </c>
      <c r="AG559" s="76">
        <v>51</v>
      </c>
      <c r="AH559" s="76">
        <v>341</v>
      </c>
      <c r="AI559" s="76">
        <v>0</v>
      </c>
      <c r="AJ559" s="76">
        <v>11</v>
      </c>
      <c r="AK559" s="76">
        <v>279</v>
      </c>
      <c r="AL559" s="76" t="b">
        <v>0</v>
      </c>
      <c r="AM559" s="78">
        <v>44353.781354166669</v>
      </c>
      <c r="AN559" s="76" t="s">
        <v>10561</v>
      </c>
      <c r="AO559" s="76" t="s">
        <v>18651</v>
      </c>
      <c r="AP559" s="83" t="str">
        <f>HYPERLINK("https://t.co/GNfEJaAznV")</f>
        <v>https://t.co/GNfEJaAznV</v>
      </c>
      <c r="AQ559" s="83" t="str">
        <f>HYPERLINK("https://instagram.com/alineamaral.tarologa")</f>
        <v>https://instagram.com/alineamaral.tarologa</v>
      </c>
      <c r="AR559" s="76" t="s">
        <v>19322</v>
      </c>
      <c r="AS559" s="76"/>
      <c r="AT559" s="76"/>
      <c r="AU559" s="76"/>
      <c r="AV559" s="76">
        <v>1.4048146768322701E+18</v>
      </c>
      <c r="AW559" s="83" t="str">
        <f>HYPERLINK("https://t.co/GNfEJaAznV")</f>
        <v>https://t.co/GNfEJaAznV</v>
      </c>
      <c r="AX559" s="76" t="b">
        <v>0</v>
      </c>
      <c r="AY559" s="76"/>
      <c r="AZ559" s="76"/>
      <c r="BA559" s="76" t="b">
        <v>0</v>
      </c>
      <c r="BB559" s="76" t="b">
        <v>1</v>
      </c>
      <c r="BC559" s="76" t="b">
        <v>1</v>
      </c>
      <c r="BD559" s="76" t="b">
        <v>0</v>
      </c>
      <c r="BE559" s="76" t="b">
        <v>0</v>
      </c>
      <c r="BF559" s="76" t="b">
        <v>0</v>
      </c>
      <c r="BG559" s="76" t="b">
        <v>0</v>
      </c>
      <c r="BH559" s="83" t="str">
        <f>HYPERLINK("https://pbs.twimg.com/profile_banners/1401611054069784581/1691023629")</f>
        <v>https://pbs.twimg.com/profile_banners/1401611054069784581/1691023629</v>
      </c>
      <c r="BI559" s="76"/>
      <c r="BJ559" s="76" t="s">
        <v>19633</v>
      </c>
      <c r="BK559" s="76" t="b">
        <v>0</v>
      </c>
      <c r="BL559" s="76"/>
      <c r="BM559" s="76" t="s">
        <v>66</v>
      </c>
      <c r="BN559" s="76" t="s">
        <v>19635</v>
      </c>
      <c r="BO559" s="83" t="str">
        <f>HYPERLINK("https://twitter.com/aline_tarot")</f>
        <v>https://twitter.com/aline_tarot</v>
      </c>
      <c r="BP559" s="2"/>
    </row>
    <row r="560" spans="1:68" x14ac:dyDescent="0.25">
      <c r="A560" s="62" t="s">
        <v>720</v>
      </c>
      <c r="B560" s="63"/>
      <c r="C560" s="63"/>
      <c r="D560" s="64"/>
      <c r="E560" s="66"/>
      <c r="F560" s="103" t="str">
        <f>HYPERLINK("https://pbs.twimg.com/profile_images/1581782703648768000/wNCFNRjF_normal.png")</f>
        <v>https://pbs.twimg.com/profile_images/1581782703648768000/wNCFNRjF_normal.png</v>
      </c>
      <c r="G560" s="63"/>
      <c r="H560" s="67"/>
      <c r="I560" s="68"/>
      <c r="J560" s="68"/>
      <c r="K560" s="67" t="s">
        <v>20192</v>
      </c>
      <c r="L560" s="71"/>
      <c r="M560" s="72"/>
      <c r="N560" s="72"/>
      <c r="O560" s="73"/>
      <c r="P560" s="74"/>
      <c r="Q560" s="74"/>
      <c r="R560" s="87"/>
      <c r="S560" s="87"/>
      <c r="T560" s="87"/>
      <c r="U560" s="87"/>
      <c r="V560" s="48"/>
      <c r="W560" s="48"/>
      <c r="X560" s="47">
        <v>1.101E-3</v>
      </c>
      <c r="Y560" s="48"/>
      <c r="Z560" s="47"/>
      <c r="AA560" s="69">
        <v>560</v>
      </c>
      <c r="AB560" s="69"/>
      <c r="AC560" s="70"/>
      <c r="AD560" s="76" t="s">
        <v>17191</v>
      </c>
      <c r="AE560" s="81" t="s">
        <v>16415</v>
      </c>
      <c r="AF560" s="76">
        <v>2</v>
      </c>
      <c r="AG560" s="76">
        <v>8</v>
      </c>
      <c r="AH560" s="76">
        <v>12</v>
      </c>
      <c r="AI560" s="76">
        <v>0</v>
      </c>
      <c r="AJ560" s="76">
        <v>11</v>
      </c>
      <c r="AK560" s="76">
        <v>0</v>
      </c>
      <c r="AL560" s="76" t="b">
        <v>0</v>
      </c>
      <c r="AM560" s="78">
        <v>44850.960173611114</v>
      </c>
      <c r="AN560" s="76"/>
      <c r="AO560" s="76"/>
      <c r="AP560" s="76"/>
      <c r="AQ560" s="76"/>
      <c r="AR560" s="76"/>
      <c r="AS560" s="76"/>
      <c r="AT560" s="76"/>
      <c r="AU560" s="76"/>
      <c r="AV560" s="76"/>
      <c r="AW560" s="76"/>
      <c r="AX560" s="76" t="b">
        <v>0</v>
      </c>
      <c r="AY560" s="76"/>
      <c r="AZ560" s="76"/>
      <c r="BA560" s="76" t="b">
        <v>1</v>
      </c>
      <c r="BB560" s="76" t="b">
        <v>1</v>
      </c>
      <c r="BC560" s="76" t="b">
        <v>1</v>
      </c>
      <c r="BD560" s="76" t="b">
        <v>0</v>
      </c>
      <c r="BE560" s="76" t="b">
        <v>0</v>
      </c>
      <c r="BF560" s="76" t="b">
        <v>0</v>
      </c>
      <c r="BG560" s="76" t="b">
        <v>0</v>
      </c>
      <c r="BH560" s="83" t="str">
        <f>HYPERLINK("https://pbs.twimg.com/profile_banners/1581782589110718465/1672655416")</f>
        <v>https://pbs.twimg.com/profile_banners/1581782589110718465/1672655416</v>
      </c>
      <c r="BI560" s="76"/>
      <c r="BJ560" s="76" t="s">
        <v>19633</v>
      </c>
      <c r="BK560" s="76" t="b">
        <v>0</v>
      </c>
      <c r="BL560" s="76"/>
      <c r="BM560" s="76" t="s">
        <v>66</v>
      </c>
      <c r="BN560" s="76" t="s">
        <v>19635</v>
      </c>
      <c r="BO560" s="83" t="str">
        <f>HYPERLINK("https://twitter.com/soutosistina")</f>
        <v>https://twitter.com/soutosistina</v>
      </c>
      <c r="BP560" s="2"/>
    </row>
    <row r="561" spans="1:68" x14ac:dyDescent="0.25">
      <c r="A561" s="62" t="s">
        <v>721</v>
      </c>
      <c r="B561" s="63"/>
      <c r="C561" s="63"/>
      <c r="D561" s="64"/>
      <c r="E561" s="66"/>
      <c r="F561" s="103" t="str">
        <f>HYPERLINK("https://pbs.twimg.com/profile_images/1635339386563731466/B0cAkPp-_normal.jpg")</f>
        <v>https://pbs.twimg.com/profile_images/1635339386563731466/B0cAkPp-_normal.jpg</v>
      </c>
      <c r="G561" s="63"/>
      <c r="H561" s="67"/>
      <c r="I561" s="68"/>
      <c r="J561" s="68"/>
      <c r="K561" s="67" t="s">
        <v>20193</v>
      </c>
      <c r="L561" s="71"/>
      <c r="M561" s="72"/>
      <c r="N561" s="72"/>
      <c r="O561" s="73"/>
      <c r="P561" s="74"/>
      <c r="Q561" s="74"/>
      <c r="R561" s="87"/>
      <c r="S561" s="87"/>
      <c r="T561" s="87"/>
      <c r="U561" s="87"/>
      <c r="V561" s="48"/>
      <c r="W561" s="48"/>
      <c r="X561" s="47">
        <v>1.0349999999999999E-3</v>
      </c>
      <c r="Y561" s="48"/>
      <c r="Z561" s="47"/>
      <c r="AA561" s="69">
        <v>561</v>
      </c>
      <c r="AB561" s="69"/>
      <c r="AC561" s="70"/>
      <c r="AD561" s="76" t="s">
        <v>17192</v>
      </c>
      <c r="AE561" s="81" t="s">
        <v>16416</v>
      </c>
      <c r="AF561" s="76">
        <v>199441</v>
      </c>
      <c r="AG561" s="76">
        <v>26</v>
      </c>
      <c r="AH561" s="76">
        <v>45520</v>
      </c>
      <c r="AI561" s="76">
        <v>868</v>
      </c>
      <c r="AJ561" s="76">
        <v>0</v>
      </c>
      <c r="AK561" s="76">
        <v>9640</v>
      </c>
      <c r="AL561" s="76" t="b">
        <v>0</v>
      </c>
      <c r="AM561" s="78">
        <v>43746.746574074074</v>
      </c>
      <c r="AN561" s="76" t="s">
        <v>10622</v>
      </c>
      <c r="AO561" s="76" t="s">
        <v>18652</v>
      </c>
      <c r="AP561" s="83" t="str">
        <f>HYPERLINK("https://t.co/bbF3qh5Vy6")</f>
        <v>https://t.co/bbF3qh5Vy6</v>
      </c>
      <c r="AQ561" s="83" t="str">
        <f>HYPERLINK("https://www.cnnbrasil.com.br/economia/")</f>
        <v>https://www.cnnbrasil.com.br/economia/</v>
      </c>
      <c r="AR561" s="76" t="s">
        <v>19323</v>
      </c>
      <c r="AS561" s="76"/>
      <c r="AT561" s="76"/>
      <c r="AU561" s="76"/>
      <c r="AV561" s="76"/>
      <c r="AW561" s="83" t="str">
        <f>HYPERLINK("https://t.co/bbF3qh5Vy6")</f>
        <v>https://t.co/bbF3qh5Vy6</v>
      </c>
      <c r="AX561" s="76" t="b">
        <v>1</v>
      </c>
      <c r="AY561" s="76"/>
      <c r="AZ561" s="76"/>
      <c r="BA561" s="76" t="b">
        <v>0</v>
      </c>
      <c r="BB561" s="76" t="b">
        <v>1</v>
      </c>
      <c r="BC561" s="76" t="b">
        <v>1</v>
      </c>
      <c r="BD561" s="76" t="b">
        <v>0</v>
      </c>
      <c r="BE561" s="76" t="b">
        <v>1</v>
      </c>
      <c r="BF561" s="76" t="b">
        <v>0</v>
      </c>
      <c r="BG561" s="76" t="b">
        <v>0</v>
      </c>
      <c r="BH561" s="83" t="str">
        <f>HYPERLINK("https://pbs.twimg.com/profile_banners/1181629051309572096/1678730268")</f>
        <v>https://pbs.twimg.com/profile_banners/1181629051309572096/1678730268</v>
      </c>
      <c r="BI561" s="76"/>
      <c r="BJ561" s="76" t="s">
        <v>19633</v>
      </c>
      <c r="BK561" s="76" t="b">
        <v>0</v>
      </c>
      <c r="BL561" s="76"/>
      <c r="BM561" s="76" t="s">
        <v>66</v>
      </c>
      <c r="BN561" s="76" t="s">
        <v>19635</v>
      </c>
      <c r="BO561" s="83" t="str">
        <f>HYPERLINK("https://twitter.com/cnneconomia")</f>
        <v>https://twitter.com/cnneconomia</v>
      </c>
      <c r="BP561" s="2"/>
    </row>
    <row r="562" spans="1:68" x14ac:dyDescent="0.25">
      <c r="A562" s="62" t="s">
        <v>722</v>
      </c>
      <c r="B562" s="63"/>
      <c r="C562" s="63"/>
      <c r="D562" s="64"/>
      <c r="E562" s="66"/>
      <c r="F562" s="103" t="str">
        <f>HYPERLINK("https://pbs.twimg.com/profile_images/1641396253903683585/H2hUe8ZN_normal.jpg")</f>
        <v>https://pbs.twimg.com/profile_images/1641396253903683585/H2hUe8ZN_normal.jpg</v>
      </c>
      <c r="G562" s="63"/>
      <c r="H562" s="67"/>
      <c r="I562" s="68"/>
      <c r="J562" s="68"/>
      <c r="K562" s="67" t="s">
        <v>20194</v>
      </c>
      <c r="L562" s="71"/>
      <c r="M562" s="72"/>
      <c r="N562" s="72"/>
      <c r="O562" s="73"/>
      <c r="P562" s="74"/>
      <c r="Q562" s="74"/>
      <c r="R562" s="87"/>
      <c r="S562" s="87"/>
      <c r="T562" s="87"/>
      <c r="U562" s="87"/>
      <c r="V562" s="48"/>
      <c r="W562" s="48"/>
      <c r="X562" s="47">
        <v>2.3019999999999998E-3</v>
      </c>
      <c r="Y562" s="48"/>
      <c r="Z562" s="47"/>
      <c r="AA562" s="69">
        <v>562</v>
      </c>
      <c r="AB562" s="69"/>
      <c r="AC562" s="70"/>
      <c r="AD562" s="76" t="s">
        <v>17193</v>
      </c>
      <c r="AE562" s="81" t="s">
        <v>17724</v>
      </c>
      <c r="AF562" s="76">
        <v>201</v>
      </c>
      <c r="AG562" s="76">
        <v>191</v>
      </c>
      <c r="AH562" s="76">
        <v>16094</v>
      </c>
      <c r="AI562" s="76">
        <v>0</v>
      </c>
      <c r="AJ562" s="76">
        <v>18876</v>
      </c>
      <c r="AK562" s="76">
        <v>1619</v>
      </c>
      <c r="AL562" s="76" t="b">
        <v>0</v>
      </c>
      <c r="AM562" s="78">
        <v>40563.919108796297</v>
      </c>
      <c r="AN562" s="76"/>
      <c r="AO562" s="76" t="s">
        <v>18653</v>
      </c>
      <c r="AP562" s="83" t="str">
        <f>HYPERLINK("https://t.co/kMpNTosFrv")</f>
        <v>https://t.co/kMpNTosFrv</v>
      </c>
      <c r="AQ562" s="83" t="str">
        <f>HYPERLINK("https://www.youtube.com/watch?v=mPr-CBQ77bM")</f>
        <v>https://www.youtube.com/watch?v=mPr-CBQ77bM</v>
      </c>
      <c r="AR562" s="76" t="s">
        <v>19324</v>
      </c>
      <c r="AS562" s="76"/>
      <c r="AT562" s="76"/>
      <c r="AU562" s="76"/>
      <c r="AV562" s="76">
        <v>1.3482799703727099E+18</v>
      </c>
      <c r="AW562" s="83" t="str">
        <f>HYPERLINK("https://t.co/kMpNTosFrv")</f>
        <v>https://t.co/kMpNTosFrv</v>
      </c>
      <c r="AX562" s="76" t="b">
        <v>0</v>
      </c>
      <c r="AY562" s="76"/>
      <c r="AZ562" s="76"/>
      <c r="BA562" s="76" t="b">
        <v>1</v>
      </c>
      <c r="BB562" s="76" t="b">
        <v>1</v>
      </c>
      <c r="BC562" s="76" t="b">
        <v>1</v>
      </c>
      <c r="BD562" s="76" t="b">
        <v>0</v>
      </c>
      <c r="BE562" s="76" t="b">
        <v>1</v>
      </c>
      <c r="BF562" s="76" t="b">
        <v>0</v>
      </c>
      <c r="BG562" s="76" t="b">
        <v>0</v>
      </c>
      <c r="BH562" s="83" t="str">
        <f>HYPERLINK("https://pbs.twimg.com/profile_banners/240849616/1574942398")</f>
        <v>https://pbs.twimg.com/profile_banners/240849616/1574942398</v>
      </c>
      <c r="BI562" s="76"/>
      <c r="BJ562" s="76" t="s">
        <v>19633</v>
      </c>
      <c r="BK562" s="76" t="b">
        <v>0</v>
      </c>
      <c r="BL562" s="76"/>
      <c r="BM562" s="76" t="s">
        <v>66</v>
      </c>
      <c r="BN562" s="76" t="s">
        <v>19635</v>
      </c>
      <c r="BO562" s="83" t="str">
        <f>HYPERLINK("https://twitter.com/pedromestr")</f>
        <v>https://twitter.com/pedromestr</v>
      </c>
      <c r="BP562" s="2"/>
    </row>
    <row r="563" spans="1:68" x14ac:dyDescent="0.25">
      <c r="A563" s="62" t="s">
        <v>723</v>
      </c>
      <c r="B563" s="63"/>
      <c r="C563" s="63"/>
      <c r="D563" s="64"/>
      <c r="E563" s="66"/>
      <c r="F563" s="103" t="str">
        <f>HYPERLINK("https://pbs.twimg.com/profile_images/1618704448913645585/SRa-pW4s_normal.jpg")</f>
        <v>https://pbs.twimg.com/profile_images/1618704448913645585/SRa-pW4s_normal.jpg</v>
      </c>
      <c r="G563" s="63"/>
      <c r="H563" s="67"/>
      <c r="I563" s="68"/>
      <c r="J563" s="68"/>
      <c r="K563" s="67" t="s">
        <v>20195</v>
      </c>
      <c r="L563" s="71"/>
      <c r="M563" s="72"/>
      <c r="N563" s="72"/>
      <c r="O563" s="73"/>
      <c r="P563" s="74"/>
      <c r="Q563" s="74"/>
      <c r="R563" s="87"/>
      <c r="S563" s="87"/>
      <c r="T563" s="87"/>
      <c r="U563" s="87"/>
      <c r="V563" s="48"/>
      <c r="W563" s="48"/>
      <c r="X563" s="47">
        <v>1.0349999999999999E-3</v>
      </c>
      <c r="Y563" s="48"/>
      <c r="Z563" s="47"/>
      <c r="AA563" s="69">
        <v>563</v>
      </c>
      <c r="AB563" s="69"/>
      <c r="AC563" s="70"/>
      <c r="AD563" s="76" t="s">
        <v>17194</v>
      </c>
      <c r="AE563" s="81" t="s">
        <v>17725</v>
      </c>
      <c r="AF563" s="76">
        <v>14737</v>
      </c>
      <c r="AG563" s="76">
        <v>270</v>
      </c>
      <c r="AH563" s="76">
        <v>46972</v>
      </c>
      <c r="AI563" s="76">
        <v>44</v>
      </c>
      <c r="AJ563" s="76">
        <v>143</v>
      </c>
      <c r="AK563" s="76">
        <v>14373</v>
      </c>
      <c r="AL563" s="76" t="b">
        <v>0</v>
      </c>
      <c r="AM563" s="78">
        <v>40489.528587962966</v>
      </c>
      <c r="AN563" s="76" t="s">
        <v>10552</v>
      </c>
      <c r="AO563" s="83" t="str">
        <f>HYPERLINK("https://t.co/qlnZ5UsZ7Y")</f>
        <v>https://t.co/qlnZ5UsZ7Y</v>
      </c>
      <c r="AP563" s="83" t="str">
        <f>HYPERLINK("https://t.co/3JGflcEKcN")</f>
        <v>https://t.co/3JGflcEKcN</v>
      </c>
      <c r="AQ563" s="83" t="str">
        <f>HYPERLINK("http://www.jornalcontabil.com.br")</f>
        <v>http://www.jornalcontabil.com.br</v>
      </c>
      <c r="AR563" s="76" t="s">
        <v>19325</v>
      </c>
      <c r="AS563" s="83" t="str">
        <f>HYPERLINK("https://t.co/qlnZ5UsZ7Y")</f>
        <v>https://t.co/qlnZ5UsZ7Y</v>
      </c>
      <c r="AT563" s="83" t="str">
        <f>HYPERLINK("http://jornalcontabil.com.br")</f>
        <v>http://jornalcontabil.com.br</v>
      </c>
      <c r="AU563" s="76" t="s">
        <v>19325</v>
      </c>
      <c r="AV563" s="76"/>
      <c r="AW563" s="83" t="str">
        <f>HYPERLINK("https://t.co/3JGflcEKcN")</f>
        <v>https://t.co/3JGflcEKcN</v>
      </c>
      <c r="AX563" s="76" t="b">
        <v>0</v>
      </c>
      <c r="AY563" s="76"/>
      <c r="AZ563" s="76"/>
      <c r="BA563" s="76" t="b">
        <v>0</v>
      </c>
      <c r="BB563" s="76" t="b">
        <v>1</v>
      </c>
      <c r="BC563" s="76" t="b">
        <v>0</v>
      </c>
      <c r="BD563" s="76" t="b">
        <v>0</v>
      </c>
      <c r="BE563" s="76" t="b">
        <v>1</v>
      </c>
      <c r="BF563" s="76" t="b">
        <v>0</v>
      </c>
      <c r="BG563" s="76" t="b">
        <v>0</v>
      </c>
      <c r="BH563" s="83" t="str">
        <f>HYPERLINK("https://pbs.twimg.com/profile_banners/212916157/1666613705")</f>
        <v>https://pbs.twimg.com/profile_banners/212916157/1666613705</v>
      </c>
      <c r="BI563" s="76"/>
      <c r="BJ563" s="76" t="s">
        <v>19633</v>
      </c>
      <c r="BK563" s="76" t="b">
        <v>0</v>
      </c>
      <c r="BL563" s="76"/>
      <c r="BM563" s="76" t="s">
        <v>66</v>
      </c>
      <c r="BN563" s="76" t="s">
        <v>19635</v>
      </c>
      <c r="BO563" s="83" t="str">
        <f>HYPERLINK("https://twitter.com/jornalcontabil_")</f>
        <v>https://twitter.com/jornalcontabil_</v>
      </c>
      <c r="BP563" s="2"/>
    </row>
    <row r="564" spans="1:68" x14ac:dyDescent="0.25">
      <c r="A564" s="62" t="s">
        <v>1096</v>
      </c>
      <c r="B564" s="63"/>
      <c r="C564" s="63"/>
      <c r="D564" s="64"/>
      <c r="E564" s="66"/>
      <c r="F564" s="103" t="str">
        <f>HYPERLINK("https://pbs.twimg.com/profile_images/1689991871358021633/8kBgHOk-_normal.jpg")</f>
        <v>https://pbs.twimg.com/profile_images/1689991871358021633/8kBgHOk-_normal.jpg</v>
      </c>
      <c r="G564" s="63"/>
      <c r="H564" s="67"/>
      <c r="I564" s="68"/>
      <c r="J564" s="68"/>
      <c r="K564" s="67" t="s">
        <v>20196</v>
      </c>
      <c r="L564" s="71"/>
      <c r="M564" s="72"/>
      <c r="N564" s="72"/>
      <c r="O564" s="73"/>
      <c r="P564" s="74"/>
      <c r="Q564" s="74"/>
      <c r="R564" s="87"/>
      <c r="S564" s="87"/>
      <c r="T564" s="87"/>
      <c r="U564" s="87"/>
      <c r="V564" s="48"/>
      <c r="W564" s="48"/>
      <c r="X564" s="47">
        <v>9.5799999999999998E-4</v>
      </c>
      <c r="Y564" s="48"/>
      <c r="Z564" s="47"/>
      <c r="AA564" s="69">
        <v>564</v>
      </c>
      <c r="AB564" s="69"/>
      <c r="AC564" s="70"/>
      <c r="AD564" s="76" t="s">
        <v>17195</v>
      </c>
      <c r="AE564" s="81" t="s">
        <v>17726</v>
      </c>
      <c r="AF564" s="76">
        <v>1261</v>
      </c>
      <c r="AG564" s="76">
        <v>4790</v>
      </c>
      <c r="AH564" s="76">
        <v>65204</v>
      </c>
      <c r="AI564" s="76">
        <v>0</v>
      </c>
      <c r="AJ564" s="76">
        <v>118947</v>
      </c>
      <c r="AK564" s="76">
        <v>443</v>
      </c>
      <c r="AL564" s="76" t="b">
        <v>0</v>
      </c>
      <c r="AM564" s="78">
        <v>43837.781111111108</v>
      </c>
      <c r="AN564" s="76" t="s">
        <v>17982</v>
      </c>
      <c r="AO564" s="76" t="s">
        <v>18654</v>
      </c>
      <c r="AP564" s="83" t="str">
        <f>HYPERLINK("https://t.co/FQslCPgVl8")</f>
        <v>https://t.co/FQslCPgVl8</v>
      </c>
      <c r="AQ564" s="83" t="str">
        <f>HYPERLINK("https://www.instagram.com/darlantd/")</f>
        <v>https://www.instagram.com/darlantd/</v>
      </c>
      <c r="AR564" s="76" t="s">
        <v>19326</v>
      </c>
      <c r="AS564" s="76"/>
      <c r="AT564" s="76"/>
      <c r="AU564" s="76"/>
      <c r="AV564" s="76">
        <v>1.61591031615966E+18</v>
      </c>
      <c r="AW564" s="83" t="str">
        <f>HYPERLINK("https://t.co/FQslCPgVl8")</f>
        <v>https://t.co/FQslCPgVl8</v>
      </c>
      <c r="AX564" s="76" t="b">
        <v>0</v>
      </c>
      <c r="AY564" s="76"/>
      <c r="AZ564" s="76"/>
      <c r="BA564" s="76" t="b">
        <v>1</v>
      </c>
      <c r="BB564" s="76" t="b">
        <v>1</v>
      </c>
      <c r="BC564" s="76" t="b">
        <v>1</v>
      </c>
      <c r="BD564" s="76" t="b">
        <v>0</v>
      </c>
      <c r="BE564" s="76" t="b">
        <v>1</v>
      </c>
      <c r="BF564" s="76" t="b">
        <v>0</v>
      </c>
      <c r="BG564" s="76" t="b">
        <v>0</v>
      </c>
      <c r="BH564" s="83" t="str">
        <f>HYPERLINK("https://pbs.twimg.com/profile_banners/1214618844993597441/1653759341")</f>
        <v>https://pbs.twimg.com/profile_banners/1214618844993597441/1653759341</v>
      </c>
      <c r="BI564" s="76"/>
      <c r="BJ564" s="76" t="s">
        <v>19633</v>
      </c>
      <c r="BK564" s="76" t="b">
        <v>0</v>
      </c>
      <c r="BL564" s="76"/>
      <c r="BM564" s="76" t="s">
        <v>65</v>
      </c>
      <c r="BN564" s="76" t="s">
        <v>19635</v>
      </c>
      <c r="BO564" s="83" t="str">
        <f>HYPERLINK("https://twitter.com/darlantd")</f>
        <v>https://twitter.com/darlantd</v>
      </c>
      <c r="BP564" s="2"/>
    </row>
    <row r="565" spans="1:68" x14ac:dyDescent="0.25">
      <c r="A565" s="62" t="s">
        <v>1097</v>
      </c>
      <c r="B565" s="63"/>
      <c r="C565" s="63"/>
      <c r="D565" s="64"/>
      <c r="E565" s="66"/>
      <c r="F565" s="103" t="str">
        <f>HYPERLINK("https://pbs.twimg.com/profile_images/1624042710037299200/_wiCdKIW_normal.jpg")</f>
        <v>https://pbs.twimg.com/profile_images/1624042710037299200/_wiCdKIW_normal.jpg</v>
      </c>
      <c r="G565" s="63"/>
      <c r="H565" s="67"/>
      <c r="I565" s="68"/>
      <c r="J565" s="68"/>
      <c r="K565" s="67" t="s">
        <v>20197</v>
      </c>
      <c r="L565" s="71"/>
      <c r="M565" s="72"/>
      <c r="N565" s="72"/>
      <c r="O565" s="73"/>
      <c r="P565" s="74"/>
      <c r="Q565" s="74"/>
      <c r="R565" s="87"/>
      <c r="S565" s="87"/>
      <c r="T565" s="87"/>
      <c r="U565" s="87"/>
      <c r="V565" s="48"/>
      <c r="W565" s="48"/>
      <c r="X565" s="47">
        <v>9.5799999999999998E-4</v>
      </c>
      <c r="Y565" s="48"/>
      <c r="Z565" s="47"/>
      <c r="AA565" s="69">
        <v>565</v>
      </c>
      <c r="AB565" s="69"/>
      <c r="AC565" s="70"/>
      <c r="AD565" s="76" t="s">
        <v>17196</v>
      </c>
      <c r="AE565" s="81" t="s">
        <v>15754</v>
      </c>
      <c r="AF565" s="76">
        <v>6353562</v>
      </c>
      <c r="AG565" s="76">
        <v>7662</v>
      </c>
      <c r="AH565" s="76">
        <v>47704</v>
      </c>
      <c r="AI565" s="76">
        <v>2434</v>
      </c>
      <c r="AJ565" s="76">
        <v>2285</v>
      </c>
      <c r="AK565" s="76">
        <v>33819</v>
      </c>
      <c r="AL565" s="76" t="b">
        <v>0</v>
      </c>
      <c r="AM565" s="78">
        <v>43116.893935185188</v>
      </c>
      <c r="AN565" s="76"/>
      <c r="AO565" s="76" t="s">
        <v>18655</v>
      </c>
      <c r="AP565" s="76"/>
      <c r="AQ565" s="76"/>
      <c r="AR565" s="76"/>
      <c r="AS565" s="76"/>
      <c r="AT565" s="76"/>
      <c r="AU565" s="76"/>
      <c r="AV565" s="76"/>
      <c r="AW565" s="76"/>
      <c r="AX565" s="76" t="b">
        <v>1</v>
      </c>
      <c r="AY565" s="76"/>
      <c r="AZ565" s="76"/>
      <c r="BA565" s="76" t="b">
        <v>1</v>
      </c>
      <c r="BB565" s="76" t="b">
        <v>0</v>
      </c>
      <c r="BC565" s="76" t="b">
        <v>1</v>
      </c>
      <c r="BD565" s="76" t="b">
        <v>0</v>
      </c>
      <c r="BE565" s="76" t="b">
        <v>1</v>
      </c>
      <c r="BF565" s="76" t="b">
        <v>0</v>
      </c>
      <c r="BG565" s="76" t="b">
        <v>0</v>
      </c>
      <c r="BH565" s="83" t="str">
        <f>HYPERLINK("https://pbs.twimg.com/profile_banners/953378142198161409/1676134162")</f>
        <v>https://pbs.twimg.com/profile_banners/953378142198161409/1676134162</v>
      </c>
      <c r="BI565" s="76"/>
      <c r="BJ565" s="76" t="s">
        <v>19633</v>
      </c>
      <c r="BK565" s="76" t="b">
        <v>0</v>
      </c>
      <c r="BL565" s="76"/>
      <c r="BM565" s="76" t="s">
        <v>65</v>
      </c>
      <c r="BN565" s="76" t="s">
        <v>19635</v>
      </c>
      <c r="BO565" s="83" t="str">
        <f>HYPERLINK("https://twitter.com/choquei")</f>
        <v>https://twitter.com/choquei</v>
      </c>
      <c r="BP565" s="2"/>
    </row>
    <row r="566" spans="1:68" x14ac:dyDescent="0.25">
      <c r="A566" s="62" t="s">
        <v>1098</v>
      </c>
      <c r="B566" s="63"/>
      <c r="C566" s="63"/>
      <c r="D566" s="64"/>
      <c r="E566" s="66"/>
      <c r="F566" s="103" t="str">
        <f>HYPERLINK("https://pbs.twimg.com/profile_images/1669809103491792897/uxllLRks_normal.jpg")</f>
        <v>https://pbs.twimg.com/profile_images/1669809103491792897/uxllLRks_normal.jpg</v>
      </c>
      <c r="G566" s="63"/>
      <c r="H566" s="67"/>
      <c r="I566" s="68"/>
      <c r="J566" s="68"/>
      <c r="K566" s="67" t="s">
        <v>20198</v>
      </c>
      <c r="L566" s="71"/>
      <c r="M566" s="72"/>
      <c r="N566" s="72"/>
      <c r="O566" s="73"/>
      <c r="P566" s="74"/>
      <c r="Q566" s="74"/>
      <c r="R566" s="87"/>
      <c r="S566" s="87"/>
      <c r="T566" s="87"/>
      <c r="U566" s="87"/>
      <c r="V566" s="48"/>
      <c r="W566" s="48"/>
      <c r="X566" s="47">
        <v>9.5799999999999998E-4</v>
      </c>
      <c r="Y566" s="48"/>
      <c r="Z566" s="47"/>
      <c r="AA566" s="69">
        <v>566</v>
      </c>
      <c r="AB566" s="69"/>
      <c r="AC566" s="70"/>
      <c r="AD566" s="76" t="s">
        <v>17197</v>
      </c>
      <c r="AE566" s="81" t="s">
        <v>17727</v>
      </c>
      <c r="AF566" s="76">
        <v>74918</v>
      </c>
      <c r="AG566" s="76">
        <v>742</v>
      </c>
      <c r="AH566" s="76">
        <v>17426</v>
      </c>
      <c r="AI566" s="76">
        <v>281</v>
      </c>
      <c r="AJ566" s="76">
        <v>10968</v>
      </c>
      <c r="AK566" s="76">
        <v>615</v>
      </c>
      <c r="AL566" s="76" t="b">
        <v>0</v>
      </c>
      <c r="AM566" s="78">
        <v>40139.927407407406</v>
      </c>
      <c r="AN566" s="76" t="s">
        <v>10631</v>
      </c>
      <c r="AO566" s="76" t="s">
        <v>18656</v>
      </c>
      <c r="AP566" s="76"/>
      <c r="AQ566" s="76"/>
      <c r="AR566" s="76"/>
      <c r="AS566" s="76"/>
      <c r="AT566" s="76"/>
      <c r="AU566" s="76"/>
      <c r="AV566" s="76">
        <v>1.6705761003285801E+18</v>
      </c>
      <c r="AW566" s="76"/>
      <c r="AX566" s="76" t="b">
        <v>0</v>
      </c>
      <c r="AY566" s="76"/>
      <c r="AZ566" s="76"/>
      <c r="BA566" s="76" t="b">
        <v>1</v>
      </c>
      <c r="BB566" s="76" t="b">
        <v>1</v>
      </c>
      <c r="BC566" s="76" t="b">
        <v>1</v>
      </c>
      <c r="BD566" s="76" t="b">
        <v>0</v>
      </c>
      <c r="BE566" s="76" t="b">
        <v>1</v>
      </c>
      <c r="BF566" s="76" t="b">
        <v>0</v>
      </c>
      <c r="BG566" s="76" t="b">
        <v>0</v>
      </c>
      <c r="BH566" s="83" t="str">
        <f>HYPERLINK("https://pbs.twimg.com/profile_banners/91879809/1686948761")</f>
        <v>https://pbs.twimg.com/profile_banners/91879809/1686948761</v>
      </c>
      <c r="BI566" s="76"/>
      <c r="BJ566" s="76" t="s">
        <v>19633</v>
      </c>
      <c r="BK566" s="76" t="b">
        <v>0</v>
      </c>
      <c r="BL566" s="76"/>
      <c r="BM566" s="76" t="s">
        <v>65</v>
      </c>
      <c r="BN566" s="76" t="s">
        <v>19635</v>
      </c>
      <c r="BO566" s="83" t="str">
        <f>HYPERLINK("https://twitter.com/ceciliaflesch")</f>
        <v>https://twitter.com/ceciliaflesch</v>
      </c>
      <c r="BP566" s="2"/>
    </row>
    <row r="567" spans="1:68" x14ac:dyDescent="0.25">
      <c r="A567" s="62" t="s">
        <v>1099</v>
      </c>
      <c r="B567" s="63"/>
      <c r="C567" s="63"/>
      <c r="D567" s="64"/>
      <c r="E567" s="66"/>
      <c r="F567" s="103" t="str">
        <f>HYPERLINK("https://pbs.twimg.com/profile_images/1595385301953912836/P2QrZ0Lu_normal.jpg")</f>
        <v>https://pbs.twimg.com/profile_images/1595385301953912836/P2QrZ0Lu_normal.jpg</v>
      </c>
      <c r="G567" s="63"/>
      <c r="H567" s="67"/>
      <c r="I567" s="68"/>
      <c r="J567" s="68"/>
      <c r="K567" s="67" t="s">
        <v>20199</v>
      </c>
      <c r="L567" s="71"/>
      <c r="M567" s="72"/>
      <c r="N567" s="72"/>
      <c r="O567" s="73"/>
      <c r="P567" s="74"/>
      <c r="Q567" s="74"/>
      <c r="R567" s="87"/>
      <c r="S567" s="87"/>
      <c r="T567" s="87"/>
      <c r="U567" s="87"/>
      <c r="V567" s="48"/>
      <c r="W567" s="48"/>
      <c r="X567" s="47">
        <v>9.5799999999999998E-4</v>
      </c>
      <c r="Y567" s="48"/>
      <c r="Z567" s="47"/>
      <c r="AA567" s="69">
        <v>567</v>
      </c>
      <c r="AB567" s="69"/>
      <c r="AC567" s="70"/>
      <c r="AD567" s="76" t="s">
        <v>17198</v>
      </c>
      <c r="AE567" s="81" t="s">
        <v>17728</v>
      </c>
      <c r="AF567" s="76">
        <v>76223</v>
      </c>
      <c r="AG567" s="76">
        <v>2934</v>
      </c>
      <c r="AH567" s="76">
        <v>23495</v>
      </c>
      <c r="AI567" s="76">
        <v>671</v>
      </c>
      <c r="AJ567" s="76">
        <v>63027</v>
      </c>
      <c r="AK567" s="76">
        <v>1281</v>
      </c>
      <c r="AL567" s="76" t="b">
        <v>0</v>
      </c>
      <c r="AM567" s="78">
        <v>42984.69458333333</v>
      </c>
      <c r="AN567" s="76" t="s">
        <v>10619</v>
      </c>
      <c r="AO567" s="76" t="s">
        <v>18657</v>
      </c>
      <c r="AP567" s="83" t="str">
        <f>HYPERLINK("https://t.co/YmhqxkBV84")</f>
        <v>https://t.co/YmhqxkBV84</v>
      </c>
      <c r="AQ567" s="83" t="str">
        <f>HYPERLINK("http://www.pedrofernandonery.com")</f>
        <v>http://www.pedrofernandonery.com</v>
      </c>
      <c r="AR567" s="76" t="s">
        <v>19327</v>
      </c>
      <c r="AS567" s="76"/>
      <c r="AT567" s="76"/>
      <c r="AU567" s="76"/>
      <c r="AV567" s="76"/>
      <c r="AW567" s="83" t="str">
        <f>HYPERLINK("https://t.co/YmhqxkBV84")</f>
        <v>https://t.co/YmhqxkBV84</v>
      </c>
      <c r="AX567" s="76" t="b">
        <v>0</v>
      </c>
      <c r="AY567" s="76"/>
      <c r="AZ567" s="76"/>
      <c r="BA567" s="76" t="b">
        <v>1</v>
      </c>
      <c r="BB567" s="76" t="b">
        <v>0</v>
      </c>
      <c r="BC567" s="76" t="b">
        <v>1</v>
      </c>
      <c r="BD567" s="76" t="b">
        <v>0</v>
      </c>
      <c r="BE567" s="76" t="b">
        <v>1</v>
      </c>
      <c r="BF567" s="76" t="b">
        <v>0</v>
      </c>
      <c r="BG567" s="76" t="b">
        <v>0</v>
      </c>
      <c r="BH567" s="83" t="str">
        <f>HYPERLINK("https://pbs.twimg.com/profile_banners/905470700038668288/1683113954")</f>
        <v>https://pbs.twimg.com/profile_banners/905470700038668288/1683113954</v>
      </c>
      <c r="BI567" s="76"/>
      <c r="BJ567" s="76" t="s">
        <v>19633</v>
      </c>
      <c r="BK567" s="76" t="b">
        <v>0</v>
      </c>
      <c r="BL567" s="76"/>
      <c r="BM567" s="76" t="s">
        <v>65</v>
      </c>
      <c r="BN567" s="76" t="s">
        <v>19635</v>
      </c>
      <c r="BO567" s="83" t="str">
        <f>HYPERLINK("https://twitter.com/pfnery")</f>
        <v>https://twitter.com/pfnery</v>
      </c>
      <c r="BP567" s="2"/>
    </row>
    <row r="568" spans="1:68" x14ac:dyDescent="0.25">
      <c r="A568" s="62" t="s">
        <v>1100</v>
      </c>
      <c r="B568" s="63"/>
      <c r="C568" s="63"/>
      <c r="D568" s="64"/>
      <c r="E568" s="66"/>
      <c r="F568" s="103" t="str">
        <f>HYPERLINK("https://pbs.twimg.com/profile_images/1257426215889178625/XxSmWJjb_normal.jpg")</f>
        <v>https://pbs.twimg.com/profile_images/1257426215889178625/XxSmWJjb_normal.jpg</v>
      </c>
      <c r="G568" s="63"/>
      <c r="H568" s="67"/>
      <c r="I568" s="68"/>
      <c r="J568" s="68"/>
      <c r="K568" s="67" t="s">
        <v>20200</v>
      </c>
      <c r="L568" s="71"/>
      <c r="M568" s="72"/>
      <c r="N568" s="72"/>
      <c r="O568" s="73"/>
      <c r="P568" s="74"/>
      <c r="Q568" s="74"/>
      <c r="R568" s="87"/>
      <c r="S568" s="87"/>
      <c r="T568" s="87"/>
      <c r="U568" s="87"/>
      <c r="V568" s="48"/>
      <c r="W568" s="48"/>
      <c r="X568" s="47">
        <v>9.5799999999999998E-4</v>
      </c>
      <c r="Y568" s="48"/>
      <c r="Z568" s="47"/>
      <c r="AA568" s="69">
        <v>568</v>
      </c>
      <c r="AB568" s="69"/>
      <c r="AC568" s="70"/>
      <c r="AD568" s="76" t="s">
        <v>17199</v>
      </c>
      <c r="AE568" s="81" t="s">
        <v>15755</v>
      </c>
      <c r="AF568" s="76">
        <v>18863</v>
      </c>
      <c r="AG568" s="76">
        <v>679</v>
      </c>
      <c r="AH568" s="76">
        <v>6878</v>
      </c>
      <c r="AI568" s="76">
        <v>129</v>
      </c>
      <c r="AJ568" s="76">
        <v>5156</v>
      </c>
      <c r="AK568" s="76">
        <v>234</v>
      </c>
      <c r="AL568" s="76" t="b">
        <v>0</v>
      </c>
      <c r="AM568" s="78">
        <v>42244.775127314817</v>
      </c>
      <c r="AN568" s="76" t="s">
        <v>10561</v>
      </c>
      <c r="AO568" s="76" t="s">
        <v>18658</v>
      </c>
      <c r="AP568" s="76"/>
      <c r="AQ568" s="76"/>
      <c r="AR568" s="76"/>
      <c r="AS568" s="76"/>
      <c r="AT568" s="76"/>
      <c r="AU568" s="76"/>
      <c r="AV568" s="76"/>
      <c r="AW568" s="76"/>
      <c r="AX568" s="76" t="b">
        <v>0</v>
      </c>
      <c r="AY568" s="76"/>
      <c r="AZ568" s="76"/>
      <c r="BA568" s="76" t="b">
        <v>1</v>
      </c>
      <c r="BB568" s="76" t="b">
        <v>1</v>
      </c>
      <c r="BC568" s="76" t="b">
        <v>1</v>
      </c>
      <c r="BD568" s="76" t="b">
        <v>0</v>
      </c>
      <c r="BE568" s="76" t="b">
        <v>0</v>
      </c>
      <c r="BF568" s="76" t="b">
        <v>0</v>
      </c>
      <c r="BG568" s="76" t="b">
        <v>0</v>
      </c>
      <c r="BH568" s="83" t="str">
        <f>HYPERLINK("https://pbs.twimg.com/profile_banners/3472239557/1595994713")</f>
        <v>https://pbs.twimg.com/profile_banners/3472239557/1595994713</v>
      </c>
      <c r="BI568" s="76"/>
      <c r="BJ568" s="76" t="s">
        <v>19633</v>
      </c>
      <c r="BK568" s="76" t="b">
        <v>0</v>
      </c>
      <c r="BL568" s="76"/>
      <c r="BM568" s="76" t="s">
        <v>65</v>
      </c>
      <c r="BN568" s="76" t="s">
        <v>19635</v>
      </c>
      <c r="BO568" s="83" t="str">
        <f>HYPERLINK("https://twitter.com/aod_cunha")</f>
        <v>https://twitter.com/aod_cunha</v>
      </c>
      <c r="BP568" s="2"/>
    </row>
    <row r="569" spans="1:68" x14ac:dyDescent="0.25">
      <c r="A569" s="62" t="s">
        <v>935</v>
      </c>
      <c r="B569" s="63"/>
      <c r="C569" s="63"/>
      <c r="D569" s="64"/>
      <c r="E569" s="66"/>
      <c r="F569" s="103" t="str">
        <f>HYPERLINK("https://pbs.twimg.com/profile_images/1297827081791905795/H4qtFpQ-_normal.jpg")</f>
        <v>https://pbs.twimg.com/profile_images/1297827081791905795/H4qtFpQ-_normal.jpg</v>
      </c>
      <c r="G569" s="63"/>
      <c r="H569" s="67"/>
      <c r="I569" s="68"/>
      <c r="J569" s="68"/>
      <c r="K569" s="67" t="s">
        <v>20201</v>
      </c>
      <c r="L569" s="71"/>
      <c r="M569" s="72"/>
      <c r="N569" s="72"/>
      <c r="O569" s="73"/>
      <c r="P569" s="74"/>
      <c r="Q569" s="74"/>
      <c r="R569" s="87"/>
      <c r="S569" s="87"/>
      <c r="T569" s="87"/>
      <c r="U569" s="87"/>
      <c r="V569" s="48"/>
      <c r="W569" s="48"/>
      <c r="X569" s="47">
        <v>1.188E-3</v>
      </c>
      <c r="Y569" s="48"/>
      <c r="Z569" s="47"/>
      <c r="AA569" s="69">
        <v>569</v>
      </c>
      <c r="AB569" s="69"/>
      <c r="AC569" s="70"/>
      <c r="AD569" s="76" t="s">
        <v>17200</v>
      </c>
      <c r="AE569" s="81" t="s">
        <v>17729</v>
      </c>
      <c r="AF569" s="76">
        <v>7576346</v>
      </c>
      <c r="AG569" s="76">
        <v>334</v>
      </c>
      <c r="AH569" s="76">
        <v>540987</v>
      </c>
      <c r="AI569" s="76">
        <v>13650</v>
      </c>
      <c r="AJ569" s="76">
        <v>574</v>
      </c>
      <c r="AK569" s="76">
        <v>174146</v>
      </c>
      <c r="AL569" s="76" t="b">
        <v>0</v>
      </c>
      <c r="AM569" s="78">
        <v>39363.922476851854</v>
      </c>
      <c r="AN569" s="76" t="s">
        <v>10622</v>
      </c>
      <c r="AO569" s="76" t="s">
        <v>18659</v>
      </c>
      <c r="AP569" s="83" t="str">
        <f>HYPERLINK("https://t.co/81yLl1VOb5")</f>
        <v>https://t.co/81yLl1VOb5</v>
      </c>
      <c r="AQ569" s="83" t="str">
        <f>HYPERLINK("http://www.estadao.com.br")</f>
        <v>http://www.estadao.com.br</v>
      </c>
      <c r="AR569" s="76" t="s">
        <v>19328</v>
      </c>
      <c r="AS569" s="83" t="str">
        <f>HYPERLINK("https://t.co/hGsLKgFw9w")</f>
        <v>https://t.co/hGsLKgFw9w</v>
      </c>
      <c r="AT569" s="83" t="str">
        <f>HYPERLINK("http://instagram.com/estadao/")</f>
        <v>http://instagram.com/estadao/</v>
      </c>
      <c r="AU569" s="76" t="s">
        <v>19615</v>
      </c>
      <c r="AV569" s="76">
        <v>1.7019438245436101E+18</v>
      </c>
      <c r="AW569" s="83" t="str">
        <f>HYPERLINK("https://t.co/81yLl1VOb5")</f>
        <v>https://t.co/81yLl1VOb5</v>
      </c>
      <c r="AX569" s="76" t="b">
        <v>1</v>
      </c>
      <c r="AY569" s="76"/>
      <c r="AZ569" s="76"/>
      <c r="BA569" s="76" t="b">
        <v>0</v>
      </c>
      <c r="BB569" s="76" t="b">
        <v>1</v>
      </c>
      <c r="BC569" s="76" t="b">
        <v>0</v>
      </c>
      <c r="BD569" s="76" t="b">
        <v>0</v>
      </c>
      <c r="BE569" s="76" t="b">
        <v>1</v>
      </c>
      <c r="BF569" s="76" t="b">
        <v>0</v>
      </c>
      <c r="BG569" s="76" t="b">
        <v>0</v>
      </c>
      <c r="BH569" s="83" t="str">
        <f>HYPERLINK("https://pbs.twimg.com/profile_banners/9317502/1642016302")</f>
        <v>https://pbs.twimg.com/profile_banners/9317502/1642016302</v>
      </c>
      <c r="BI569" s="76"/>
      <c r="BJ569" s="76" t="s">
        <v>19633</v>
      </c>
      <c r="BK569" s="76" t="b">
        <v>0</v>
      </c>
      <c r="BL569" s="76"/>
      <c r="BM569" s="76" t="s">
        <v>66</v>
      </c>
      <c r="BN569" s="76" t="s">
        <v>19635</v>
      </c>
      <c r="BO569" s="83" t="str">
        <f>HYPERLINK("https://twitter.com/estadao")</f>
        <v>https://twitter.com/estadao</v>
      </c>
      <c r="BP569" s="2"/>
    </row>
    <row r="570" spans="1:68" x14ac:dyDescent="0.25">
      <c r="A570" s="62" t="s">
        <v>1101</v>
      </c>
      <c r="B570" s="63"/>
      <c r="C570" s="63"/>
      <c r="D570" s="64"/>
      <c r="E570" s="66"/>
      <c r="F570" s="103" t="str">
        <f>HYPERLINK("https://pbs.twimg.com/profile_images/1663152146907295746/M5WFm9h8_normal.jpg")</f>
        <v>https://pbs.twimg.com/profile_images/1663152146907295746/M5WFm9h8_normal.jpg</v>
      </c>
      <c r="G570" s="63"/>
      <c r="H570" s="67"/>
      <c r="I570" s="68"/>
      <c r="J570" s="68"/>
      <c r="K570" s="67" t="s">
        <v>20202</v>
      </c>
      <c r="L570" s="71"/>
      <c r="M570" s="72"/>
      <c r="N570" s="72"/>
      <c r="O570" s="73"/>
      <c r="P570" s="74"/>
      <c r="Q570" s="74"/>
      <c r="R570" s="87"/>
      <c r="S570" s="87"/>
      <c r="T570" s="87"/>
      <c r="U570" s="87"/>
      <c r="V570" s="48"/>
      <c r="W570" s="48"/>
      <c r="X570" s="47">
        <v>9.9299999999999996E-4</v>
      </c>
      <c r="Y570" s="48"/>
      <c r="Z570" s="47"/>
      <c r="AA570" s="69">
        <v>570</v>
      </c>
      <c r="AB570" s="69"/>
      <c r="AC570" s="70"/>
      <c r="AD570" s="76" t="s">
        <v>17201</v>
      </c>
      <c r="AE570" s="81" t="s">
        <v>15757</v>
      </c>
      <c r="AF570" s="76">
        <v>193565</v>
      </c>
      <c r="AG570" s="76">
        <v>201</v>
      </c>
      <c r="AH570" s="76">
        <v>22427</v>
      </c>
      <c r="AI570" s="76">
        <v>1098</v>
      </c>
      <c r="AJ570" s="76">
        <v>2373</v>
      </c>
      <c r="AK570" s="76">
        <v>6057</v>
      </c>
      <c r="AL570" s="76" t="b">
        <v>0</v>
      </c>
      <c r="AM570" s="78">
        <v>40368.78628472222</v>
      </c>
      <c r="AN570" s="76"/>
      <c r="AO570" s="76" t="s">
        <v>18660</v>
      </c>
      <c r="AP570" s="83" t="str">
        <f>HYPERLINK("https://t.co/zknxoM7VQ4")</f>
        <v>https://t.co/zknxoM7VQ4</v>
      </c>
      <c r="AQ570" s="83" t="str">
        <f>HYPERLINK("https://www.ibge.gov.br/")</f>
        <v>https://www.ibge.gov.br/</v>
      </c>
      <c r="AR570" s="76" t="s">
        <v>19329</v>
      </c>
      <c r="AS570" s="76"/>
      <c r="AT570" s="76"/>
      <c r="AU570" s="76"/>
      <c r="AV570" s="76"/>
      <c r="AW570" s="83" t="str">
        <f>HYPERLINK("https://t.co/zknxoM7VQ4")</f>
        <v>https://t.co/zknxoM7VQ4</v>
      </c>
      <c r="AX570" s="76" t="b">
        <v>0</v>
      </c>
      <c r="AY570" s="76"/>
      <c r="AZ570" s="76"/>
      <c r="BA570" s="76" t="b">
        <v>1</v>
      </c>
      <c r="BB570" s="76" t="b">
        <v>0</v>
      </c>
      <c r="BC570" s="76" t="b">
        <v>0</v>
      </c>
      <c r="BD570" s="76" t="b">
        <v>0</v>
      </c>
      <c r="BE570" s="76" t="b">
        <v>1</v>
      </c>
      <c r="BF570" s="76" t="b">
        <v>0</v>
      </c>
      <c r="BG570" s="76" t="b">
        <v>0</v>
      </c>
      <c r="BH570" s="83" t="str">
        <f>HYPERLINK("https://pbs.twimg.com/profile_banners/164779867/1687978484")</f>
        <v>https://pbs.twimg.com/profile_banners/164779867/1687978484</v>
      </c>
      <c r="BI570" s="76"/>
      <c r="BJ570" s="76" t="s">
        <v>19633</v>
      </c>
      <c r="BK570" s="76" t="b">
        <v>0</v>
      </c>
      <c r="BL570" s="76"/>
      <c r="BM570" s="76" t="s">
        <v>65</v>
      </c>
      <c r="BN570" s="76" t="s">
        <v>19635</v>
      </c>
      <c r="BO570" s="83" t="str">
        <f>HYPERLINK("https://twitter.com/ibgecomunica")</f>
        <v>https://twitter.com/ibgecomunica</v>
      </c>
      <c r="BP570" s="2"/>
    </row>
    <row r="571" spans="1:68" x14ac:dyDescent="0.25">
      <c r="A571" s="62" t="s">
        <v>769</v>
      </c>
      <c r="B571" s="63"/>
      <c r="C571" s="63"/>
      <c r="D571" s="64"/>
      <c r="E571" s="66"/>
      <c r="F571" s="103" t="str">
        <f>HYPERLINK("https://pbs.twimg.com/profile_images/1542328100159102978/TY95Pzzw_normal.jpg")</f>
        <v>https://pbs.twimg.com/profile_images/1542328100159102978/TY95Pzzw_normal.jpg</v>
      </c>
      <c r="G571" s="63"/>
      <c r="H571" s="67"/>
      <c r="I571" s="68"/>
      <c r="J571" s="68"/>
      <c r="K571" s="67" t="s">
        <v>20203</v>
      </c>
      <c r="L571" s="71"/>
      <c r="M571" s="72"/>
      <c r="N571" s="72"/>
      <c r="O571" s="73"/>
      <c r="P571" s="74"/>
      <c r="Q571" s="74"/>
      <c r="R571" s="87"/>
      <c r="S571" s="87"/>
      <c r="T571" s="87"/>
      <c r="U571" s="87"/>
      <c r="V571" s="48"/>
      <c r="W571" s="48"/>
      <c r="X571" s="47">
        <v>1.0349999999999999E-3</v>
      </c>
      <c r="Y571" s="48"/>
      <c r="Z571" s="47"/>
      <c r="AA571" s="69">
        <v>571</v>
      </c>
      <c r="AB571" s="69"/>
      <c r="AC571" s="70"/>
      <c r="AD571" s="76" t="s">
        <v>17202</v>
      </c>
      <c r="AE571" s="81" t="s">
        <v>17730</v>
      </c>
      <c r="AF571" s="76">
        <v>8886150</v>
      </c>
      <c r="AG571" s="76">
        <v>168522</v>
      </c>
      <c r="AH571" s="76">
        <v>682064</v>
      </c>
      <c r="AI571" s="76">
        <v>14189</v>
      </c>
      <c r="AJ571" s="76">
        <v>46</v>
      </c>
      <c r="AK571" s="76">
        <v>122898</v>
      </c>
      <c r="AL571" s="76" t="b">
        <v>0</v>
      </c>
      <c r="AM571" s="78">
        <v>39568.10670138889</v>
      </c>
      <c r="AN571" s="76" t="s">
        <v>18011</v>
      </c>
      <c r="AO571" s="76" t="s">
        <v>18661</v>
      </c>
      <c r="AP571" s="83" t="str">
        <f>HYPERLINK("https://t.co/uhZvE5yacH")</f>
        <v>https://t.co/uhZvE5yacH</v>
      </c>
      <c r="AQ571" s="83" t="str">
        <f>HYPERLINK("http://www.folha.com.br")</f>
        <v>http://www.folha.com.br</v>
      </c>
      <c r="AR571" s="76" t="s">
        <v>19330</v>
      </c>
      <c r="AS571" s="76" t="s">
        <v>19561</v>
      </c>
      <c r="AT571" s="76" t="s">
        <v>19569</v>
      </c>
      <c r="AU571" s="76" t="s">
        <v>19616</v>
      </c>
      <c r="AV571" s="76">
        <v>1.08386201273049E+18</v>
      </c>
      <c r="AW571" s="83" t="str">
        <f>HYPERLINK("https://t.co/uhZvE5yacH")</f>
        <v>https://t.co/uhZvE5yacH</v>
      </c>
      <c r="AX571" s="76" t="b">
        <v>1</v>
      </c>
      <c r="AY571" s="76"/>
      <c r="AZ571" s="76"/>
      <c r="BA571" s="76" t="b">
        <v>0</v>
      </c>
      <c r="BB571" s="76" t="b">
        <v>1</v>
      </c>
      <c r="BC571" s="76" t="b">
        <v>0</v>
      </c>
      <c r="BD571" s="76" t="b">
        <v>0</v>
      </c>
      <c r="BE571" s="76" t="b">
        <v>1</v>
      </c>
      <c r="BF571" s="76" t="b">
        <v>0</v>
      </c>
      <c r="BG571" s="76" t="b">
        <v>0</v>
      </c>
      <c r="BH571" s="83" t="str">
        <f>HYPERLINK("https://pbs.twimg.com/profile_banners/14594813/1651254420")</f>
        <v>https://pbs.twimg.com/profile_banners/14594813/1651254420</v>
      </c>
      <c r="BI571" s="76"/>
      <c r="BJ571" s="76" t="s">
        <v>19633</v>
      </c>
      <c r="BK571" s="76" t="b">
        <v>0</v>
      </c>
      <c r="BL571" s="76"/>
      <c r="BM571" s="76" t="s">
        <v>66</v>
      </c>
      <c r="BN571" s="76" t="s">
        <v>19635</v>
      </c>
      <c r="BO571" s="83" t="str">
        <f>HYPERLINK("https://twitter.com/folha")</f>
        <v>https://twitter.com/folha</v>
      </c>
      <c r="BP571" s="2"/>
    </row>
    <row r="572" spans="1:68" x14ac:dyDescent="0.25">
      <c r="A572" s="62" t="s">
        <v>1102</v>
      </c>
      <c r="B572" s="63"/>
      <c r="C572" s="63"/>
      <c r="D572" s="64"/>
      <c r="E572" s="66"/>
      <c r="F572" s="103" t="str">
        <f>HYPERLINK("https://pbs.twimg.com/profile_images/808404276158545920/_IIpS4I2_normal.jpg")</f>
        <v>https://pbs.twimg.com/profile_images/808404276158545920/_IIpS4I2_normal.jpg</v>
      </c>
      <c r="G572" s="63"/>
      <c r="H572" s="67"/>
      <c r="I572" s="68"/>
      <c r="J572" s="68"/>
      <c r="K572" s="67" t="s">
        <v>20204</v>
      </c>
      <c r="L572" s="71"/>
      <c r="M572" s="72"/>
      <c r="N572" s="72"/>
      <c r="O572" s="73"/>
      <c r="P572" s="74"/>
      <c r="Q572" s="74"/>
      <c r="R572" s="87"/>
      <c r="S572" s="87"/>
      <c r="T572" s="87"/>
      <c r="U572" s="87"/>
      <c r="V572" s="48"/>
      <c r="W572" s="48"/>
      <c r="X572" s="47">
        <v>1.111E-3</v>
      </c>
      <c r="Y572" s="48"/>
      <c r="Z572" s="47"/>
      <c r="AA572" s="69">
        <v>572</v>
      </c>
      <c r="AB572" s="69"/>
      <c r="AC572" s="70"/>
      <c r="AD572" s="76" t="s">
        <v>17203</v>
      </c>
      <c r="AE572" s="81" t="s">
        <v>17731</v>
      </c>
      <c r="AF572" s="76">
        <v>2615878</v>
      </c>
      <c r="AG572" s="76">
        <v>147</v>
      </c>
      <c r="AH572" s="76">
        <v>219038</v>
      </c>
      <c r="AI572" s="76">
        <v>8490</v>
      </c>
      <c r="AJ572" s="76">
        <v>0</v>
      </c>
      <c r="AK572" s="76">
        <v>3309</v>
      </c>
      <c r="AL572" s="76" t="b">
        <v>0</v>
      </c>
      <c r="AM572" s="78">
        <v>39920.80296296296</v>
      </c>
      <c r="AN572" s="76" t="s">
        <v>10552</v>
      </c>
      <c r="AO572" s="76" t="s">
        <v>18662</v>
      </c>
      <c r="AP572" s="83" t="str">
        <f>HYPERLINK("https://t.co/g6RlNmCczX")</f>
        <v>https://t.co/g6RlNmCczX</v>
      </c>
      <c r="AQ572" s="83" t="str">
        <f>HYPERLINK("http://valor.globo.com")</f>
        <v>http://valor.globo.com</v>
      </c>
      <c r="AR572" s="76" t="s">
        <v>19331</v>
      </c>
      <c r="AS572" s="76"/>
      <c r="AT572" s="76"/>
      <c r="AU572" s="76"/>
      <c r="AV572" s="76"/>
      <c r="AW572" s="83" t="str">
        <f>HYPERLINK("https://t.co/g6RlNmCczX")</f>
        <v>https://t.co/g6RlNmCczX</v>
      </c>
      <c r="AX572" s="76" t="b">
        <v>1</v>
      </c>
      <c r="AY572" s="76"/>
      <c r="AZ572" s="76"/>
      <c r="BA572" s="76" t="b">
        <v>0</v>
      </c>
      <c r="BB572" s="76" t="b">
        <v>1</v>
      </c>
      <c r="BC572" s="76" t="b">
        <v>0</v>
      </c>
      <c r="BD572" s="76" t="b">
        <v>0</v>
      </c>
      <c r="BE572" s="76" t="b">
        <v>1</v>
      </c>
      <c r="BF572" s="76" t="b">
        <v>0</v>
      </c>
      <c r="BG572" s="76" t="b">
        <v>0</v>
      </c>
      <c r="BH572" s="83" t="str">
        <f>HYPERLINK("https://pbs.twimg.com/profile_banners/32529120/1476886249")</f>
        <v>https://pbs.twimg.com/profile_banners/32529120/1476886249</v>
      </c>
      <c r="BI572" s="76"/>
      <c r="BJ572" s="76" t="s">
        <v>19633</v>
      </c>
      <c r="BK572" s="76" t="b">
        <v>0</v>
      </c>
      <c r="BL572" s="76"/>
      <c r="BM572" s="76" t="s">
        <v>65</v>
      </c>
      <c r="BN572" s="76" t="s">
        <v>19635</v>
      </c>
      <c r="BO572" s="83" t="str">
        <f>HYPERLINK("https://twitter.com/valoreconomico")</f>
        <v>https://twitter.com/valoreconomico</v>
      </c>
      <c r="BP572" s="2"/>
    </row>
    <row r="573" spans="1:68" x14ac:dyDescent="0.25">
      <c r="A573" s="62" t="s">
        <v>724</v>
      </c>
      <c r="B573" s="63"/>
      <c r="C573" s="63"/>
      <c r="D573" s="64"/>
      <c r="E573" s="66"/>
      <c r="F573" s="103" t="str">
        <f>HYPERLINK("https://pbs.twimg.com/profile_images/1619071603245043713/zU_g7StY_normal.jpg")</f>
        <v>https://pbs.twimg.com/profile_images/1619071603245043713/zU_g7StY_normal.jpg</v>
      </c>
      <c r="G573" s="63"/>
      <c r="H573" s="67"/>
      <c r="I573" s="68"/>
      <c r="J573" s="68"/>
      <c r="K573" s="67" t="s">
        <v>20205</v>
      </c>
      <c r="L573" s="71"/>
      <c r="M573" s="72"/>
      <c r="N573" s="72"/>
      <c r="O573" s="73"/>
      <c r="P573" s="74"/>
      <c r="Q573" s="74"/>
      <c r="R573" s="87"/>
      <c r="S573" s="87"/>
      <c r="T573" s="87"/>
      <c r="U573" s="87"/>
      <c r="V573" s="48"/>
      <c r="W573" s="48"/>
      <c r="X573" s="47">
        <v>1.101E-3</v>
      </c>
      <c r="Y573" s="48"/>
      <c r="Z573" s="47"/>
      <c r="AA573" s="69">
        <v>573</v>
      </c>
      <c r="AB573" s="69"/>
      <c r="AC573" s="70"/>
      <c r="AD573" s="76" t="s">
        <v>17204</v>
      </c>
      <c r="AE573" s="81" t="s">
        <v>16417</v>
      </c>
      <c r="AF573" s="76">
        <v>478</v>
      </c>
      <c r="AG573" s="76">
        <v>1284</v>
      </c>
      <c r="AH573" s="76">
        <v>543</v>
      </c>
      <c r="AI573" s="76">
        <v>0</v>
      </c>
      <c r="AJ573" s="76">
        <v>109</v>
      </c>
      <c r="AK573" s="76">
        <v>520</v>
      </c>
      <c r="AL573" s="76" t="b">
        <v>0</v>
      </c>
      <c r="AM573" s="78">
        <v>44952.448159722226</v>
      </c>
      <c r="AN573" s="76" t="s">
        <v>10637</v>
      </c>
      <c r="AO573" s="76" t="s">
        <v>18663</v>
      </c>
      <c r="AP573" s="83" t="str">
        <f>HYPERLINK("https://t.co/6CwrwcTPux")</f>
        <v>https://t.co/6CwrwcTPux</v>
      </c>
      <c r="AQ573" s="83" t="str">
        <f>HYPERLINK("https://linktr.ee/livrosextraordinarios")</f>
        <v>https://linktr.ee/livrosextraordinarios</v>
      </c>
      <c r="AR573" s="76" t="s">
        <v>19332</v>
      </c>
      <c r="AS573" s="76"/>
      <c r="AT573" s="76"/>
      <c r="AU573" s="76"/>
      <c r="AV573" s="76"/>
      <c r="AW573" s="83" t="str">
        <f>HYPERLINK("https://t.co/6CwrwcTPux")</f>
        <v>https://t.co/6CwrwcTPux</v>
      </c>
      <c r="AX573" s="76" t="b">
        <v>0</v>
      </c>
      <c r="AY573" s="76"/>
      <c r="AZ573" s="76"/>
      <c r="BA573" s="76" t="b">
        <v>0</v>
      </c>
      <c r="BB573" s="76" t="b">
        <v>1</v>
      </c>
      <c r="BC573" s="76" t="b">
        <v>1</v>
      </c>
      <c r="BD573" s="76" t="b">
        <v>0</v>
      </c>
      <c r="BE573" s="76" t="b">
        <v>0</v>
      </c>
      <c r="BF573" s="76" t="b">
        <v>0</v>
      </c>
      <c r="BG573" s="76" t="b">
        <v>0</v>
      </c>
      <c r="BH573" s="83" t="str">
        <f>HYPERLINK("https://pbs.twimg.com/profile_banners/1618560588757475328/1674857489")</f>
        <v>https://pbs.twimg.com/profile_banners/1618560588757475328/1674857489</v>
      </c>
      <c r="BI573" s="76"/>
      <c r="BJ573" s="76" t="s">
        <v>19633</v>
      </c>
      <c r="BK573" s="76" t="b">
        <v>0</v>
      </c>
      <c r="BL573" s="76"/>
      <c r="BM573" s="76" t="s">
        <v>66</v>
      </c>
      <c r="BN573" s="76" t="s">
        <v>19635</v>
      </c>
      <c r="BO573" s="83" t="str">
        <f>HYPERLINK("https://twitter.com/livrosextraordi")</f>
        <v>https://twitter.com/livrosextraordi</v>
      </c>
      <c r="BP573" s="2"/>
    </row>
    <row r="574" spans="1:68" x14ac:dyDescent="0.25">
      <c r="A574" s="62" t="s">
        <v>725</v>
      </c>
      <c r="B574" s="63"/>
      <c r="C574" s="63"/>
      <c r="D574" s="64"/>
      <c r="E574" s="66"/>
      <c r="F574" s="103" t="str">
        <f>HYPERLINK("https://pbs.twimg.com/profile_images/1588192067943075840/TEHgjkq5_normal.jpg")</f>
        <v>https://pbs.twimg.com/profile_images/1588192067943075840/TEHgjkq5_normal.jpg</v>
      </c>
      <c r="G574" s="63"/>
      <c r="H574" s="67"/>
      <c r="I574" s="68"/>
      <c r="J574" s="68"/>
      <c r="K574" s="67" t="s">
        <v>20206</v>
      </c>
      <c r="L574" s="71"/>
      <c r="M574" s="72"/>
      <c r="N574" s="72"/>
      <c r="O574" s="73"/>
      <c r="P574" s="74"/>
      <c r="Q574" s="74"/>
      <c r="R574" s="87"/>
      <c r="S574" s="87"/>
      <c r="T574" s="87"/>
      <c r="U574" s="87"/>
      <c r="V574" s="48"/>
      <c r="W574" s="48"/>
      <c r="X574" s="47">
        <v>1.101E-3</v>
      </c>
      <c r="Y574" s="48"/>
      <c r="Z574" s="47"/>
      <c r="AA574" s="69">
        <v>574</v>
      </c>
      <c r="AB574" s="69"/>
      <c r="AC574" s="70"/>
      <c r="AD574" s="76" t="s">
        <v>17205</v>
      </c>
      <c r="AE574" s="81" t="s">
        <v>16418</v>
      </c>
      <c r="AF574" s="76">
        <v>35</v>
      </c>
      <c r="AG574" s="76">
        <v>7</v>
      </c>
      <c r="AH574" s="76">
        <v>105</v>
      </c>
      <c r="AI574" s="76">
        <v>1</v>
      </c>
      <c r="AJ574" s="76">
        <v>13</v>
      </c>
      <c r="AK574" s="76">
        <v>91</v>
      </c>
      <c r="AL574" s="76" t="b">
        <v>0</v>
      </c>
      <c r="AM574" s="78">
        <v>44868.617893518516</v>
      </c>
      <c r="AN574" s="76" t="s">
        <v>18046</v>
      </c>
      <c r="AO574" s="76" t="s">
        <v>18664</v>
      </c>
      <c r="AP574" s="83" t="str">
        <f>HYPERLINK("https://t.co/prqFMcXbx3")</f>
        <v>https://t.co/prqFMcXbx3</v>
      </c>
      <c r="AQ574" s="83" t="str">
        <f>HYPERLINK("http://amazonprev.am.gov.br")</f>
        <v>http://amazonprev.am.gov.br</v>
      </c>
      <c r="AR574" s="76" t="s">
        <v>19333</v>
      </c>
      <c r="AS574" s="76"/>
      <c r="AT574" s="76"/>
      <c r="AU574" s="76"/>
      <c r="AV574" s="76">
        <v>1.6874319716333199E+18</v>
      </c>
      <c r="AW574" s="83" t="str">
        <f>HYPERLINK("https://t.co/prqFMcXbx3")</f>
        <v>https://t.co/prqFMcXbx3</v>
      </c>
      <c r="AX574" s="76" t="b">
        <v>0</v>
      </c>
      <c r="AY574" s="76"/>
      <c r="AZ574" s="76"/>
      <c r="BA574" s="76" t="b">
        <v>0</v>
      </c>
      <c r="BB574" s="76" t="b">
        <v>1</v>
      </c>
      <c r="BC574" s="76" t="b">
        <v>1</v>
      </c>
      <c r="BD574" s="76" t="b">
        <v>0</v>
      </c>
      <c r="BE574" s="76" t="b">
        <v>1</v>
      </c>
      <c r="BF574" s="76" t="b">
        <v>0</v>
      </c>
      <c r="BG574" s="76" t="b">
        <v>0</v>
      </c>
      <c r="BH574" s="83" t="str">
        <f>HYPERLINK("https://pbs.twimg.com/profile_banners/1588181509386768384/1688665130")</f>
        <v>https://pbs.twimg.com/profile_banners/1588181509386768384/1688665130</v>
      </c>
      <c r="BI574" s="76"/>
      <c r="BJ574" s="76" t="s">
        <v>19633</v>
      </c>
      <c r="BK574" s="76" t="b">
        <v>0</v>
      </c>
      <c r="BL574" s="76"/>
      <c r="BM574" s="76" t="s">
        <v>66</v>
      </c>
      <c r="BN574" s="76" t="s">
        <v>19635</v>
      </c>
      <c r="BO574" s="83" t="str">
        <f>HYPERLINK("https://twitter.com/amazonprev_")</f>
        <v>https://twitter.com/amazonprev_</v>
      </c>
      <c r="BP574" s="2"/>
    </row>
    <row r="575" spans="1:68" x14ac:dyDescent="0.25">
      <c r="A575" s="62" t="s">
        <v>726</v>
      </c>
      <c r="B575" s="63"/>
      <c r="C575" s="63"/>
      <c r="D575" s="64"/>
      <c r="E575" s="66"/>
      <c r="F575" s="103" t="str">
        <f>HYPERLINK("https://pbs.twimg.com/profile_images/1665176242650324993/eTXbiRhr_normal.jpg")</f>
        <v>https://pbs.twimg.com/profile_images/1665176242650324993/eTXbiRhr_normal.jpg</v>
      </c>
      <c r="G575" s="63"/>
      <c r="H575" s="67"/>
      <c r="I575" s="68"/>
      <c r="J575" s="68"/>
      <c r="K575" s="67" t="s">
        <v>20207</v>
      </c>
      <c r="L575" s="71"/>
      <c r="M575" s="72"/>
      <c r="N575" s="72"/>
      <c r="O575" s="73"/>
      <c r="P575" s="74"/>
      <c r="Q575" s="74"/>
      <c r="R575" s="87"/>
      <c r="S575" s="87"/>
      <c r="T575" s="87"/>
      <c r="U575" s="87"/>
      <c r="V575" s="48"/>
      <c r="W575" s="48"/>
      <c r="X575" s="47">
        <v>1.101E-3</v>
      </c>
      <c r="Y575" s="48"/>
      <c r="Z575" s="47"/>
      <c r="AA575" s="69">
        <v>575</v>
      </c>
      <c r="AB575" s="69"/>
      <c r="AC575" s="70"/>
      <c r="AD575" s="76" t="s">
        <v>17206</v>
      </c>
      <c r="AE575" s="81" t="s">
        <v>16419</v>
      </c>
      <c r="AF575" s="76">
        <v>2</v>
      </c>
      <c r="AG575" s="76">
        <v>59</v>
      </c>
      <c r="AH575" s="76">
        <v>18</v>
      </c>
      <c r="AI575" s="76">
        <v>0</v>
      </c>
      <c r="AJ575" s="76">
        <v>66</v>
      </c>
      <c r="AK575" s="76">
        <v>1</v>
      </c>
      <c r="AL575" s="76" t="b">
        <v>0</v>
      </c>
      <c r="AM575" s="78">
        <v>44473.88685185185</v>
      </c>
      <c r="AN575" s="76" t="s">
        <v>10569</v>
      </c>
      <c r="AO575" s="76" t="s">
        <v>18665</v>
      </c>
      <c r="AP575" s="76"/>
      <c r="AQ575" s="76"/>
      <c r="AR575" s="76"/>
      <c r="AS575" s="76"/>
      <c r="AT575" s="76"/>
      <c r="AU575" s="76"/>
      <c r="AV575" s="76"/>
      <c r="AW575" s="76"/>
      <c r="AX575" s="76" t="b">
        <v>0</v>
      </c>
      <c r="AY575" s="76"/>
      <c r="AZ575" s="76"/>
      <c r="BA575" s="76" t="b">
        <v>0</v>
      </c>
      <c r="BB575" s="76" t="b">
        <v>1</v>
      </c>
      <c r="BC575" s="76" t="b">
        <v>1</v>
      </c>
      <c r="BD575" s="76" t="b">
        <v>0</v>
      </c>
      <c r="BE575" s="76" t="b">
        <v>0</v>
      </c>
      <c r="BF575" s="76" t="b">
        <v>0</v>
      </c>
      <c r="BG575" s="76" t="b">
        <v>0</v>
      </c>
      <c r="BH575" s="83" t="str">
        <f>HYPERLINK("https://pbs.twimg.com/profile_banners/1445135827605073929/1685843965")</f>
        <v>https://pbs.twimg.com/profile_banners/1445135827605073929/1685843965</v>
      </c>
      <c r="BI575" s="76"/>
      <c r="BJ575" s="76" t="s">
        <v>19633</v>
      </c>
      <c r="BK575" s="76" t="b">
        <v>0</v>
      </c>
      <c r="BL575" s="76"/>
      <c r="BM575" s="76" t="s">
        <v>66</v>
      </c>
      <c r="BN575" s="76" t="s">
        <v>19635</v>
      </c>
      <c r="BO575" s="83" t="str">
        <f>HYPERLINK("https://twitter.com/gaby_nunes142")</f>
        <v>https://twitter.com/gaby_nunes142</v>
      </c>
      <c r="BP575" s="2"/>
    </row>
    <row r="576" spans="1:68" x14ac:dyDescent="0.25">
      <c r="A576" s="62" t="s">
        <v>727</v>
      </c>
      <c r="B576" s="63"/>
      <c r="C576" s="63"/>
      <c r="D576" s="64"/>
      <c r="E576" s="66"/>
      <c r="F576" s="103" t="str">
        <f>HYPERLINK("https://pbs.twimg.com/profile_images/1587058602585595905/UY93Au9-_normal.jpg")</f>
        <v>https://pbs.twimg.com/profile_images/1587058602585595905/UY93Au9-_normal.jpg</v>
      </c>
      <c r="G576" s="63"/>
      <c r="H576" s="67"/>
      <c r="I576" s="68"/>
      <c r="J576" s="68"/>
      <c r="K576" s="67" t="s">
        <v>20208</v>
      </c>
      <c r="L576" s="71"/>
      <c r="M576" s="72"/>
      <c r="N576" s="72"/>
      <c r="O576" s="73"/>
      <c r="P576" s="74"/>
      <c r="Q576" s="74"/>
      <c r="R576" s="87"/>
      <c r="S576" s="87"/>
      <c r="T576" s="87"/>
      <c r="U576" s="87"/>
      <c r="V576" s="48"/>
      <c r="W576" s="48"/>
      <c r="X576" s="47">
        <v>1.101E-3</v>
      </c>
      <c r="Y576" s="48"/>
      <c r="Z576" s="47"/>
      <c r="AA576" s="69">
        <v>576</v>
      </c>
      <c r="AB576" s="69"/>
      <c r="AC576" s="70"/>
      <c r="AD576" s="76" t="s">
        <v>17207</v>
      </c>
      <c r="AE576" s="81" t="s">
        <v>16420</v>
      </c>
      <c r="AF576" s="76">
        <v>2380</v>
      </c>
      <c r="AG576" s="76">
        <v>4063</v>
      </c>
      <c r="AH576" s="76">
        <v>599</v>
      </c>
      <c r="AI576" s="76">
        <v>1</v>
      </c>
      <c r="AJ576" s="76">
        <v>265</v>
      </c>
      <c r="AK576" s="76">
        <v>37</v>
      </c>
      <c r="AL576" s="76" t="b">
        <v>0</v>
      </c>
      <c r="AM576" s="78">
        <v>44431.090358796297</v>
      </c>
      <c r="AN576" s="76" t="s">
        <v>18047</v>
      </c>
      <c r="AO576" s="76" t="s">
        <v>18666</v>
      </c>
      <c r="AP576" s="83" t="str">
        <f>HYPERLINK("https://t.co/v4IIMMcwH8")</f>
        <v>https://t.co/v4IIMMcwH8</v>
      </c>
      <c r="AQ576" s="83" t="str">
        <f>HYPERLINK("https://suplecred.com.br/")</f>
        <v>https://suplecred.com.br/</v>
      </c>
      <c r="AR576" s="76" t="s">
        <v>19334</v>
      </c>
      <c r="AS576" s="76"/>
      <c r="AT576" s="76"/>
      <c r="AU576" s="76"/>
      <c r="AV576" s="76">
        <v>1.6961136772192901E+18</v>
      </c>
      <c r="AW576" s="83" t="str">
        <f>HYPERLINK("https://t.co/v4IIMMcwH8")</f>
        <v>https://t.co/v4IIMMcwH8</v>
      </c>
      <c r="AX576" s="76" t="b">
        <v>1</v>
      </c>
      <c r="AY576" s="76"/>
      <c r="AZ576" s="76"/>
      <c r="BA576" s="76" t="b">
        <v>1</v>
      </c>
      <c r="BB576" s="76" t="b">
        <v>1</v>
      </c>
      <c r="BC576" s="76" t="b">
        <v>1</v>
      </c>
      <c r="BD576" s="76" t="b">
        <v>0</v>
      </c>
      <c r="BE576" s="76" t="b">
        <v>0</v>
      </c>
      <c r="BF576" s="76" t="b">
        <v>0</v>
      </c>
      <c r="BG576" s="76" t="b">
        <v>0</v>
      </c>
      <c r="BH576" s="83" t="str">
        <f>HYPERLINK("https://pbs.twimg.com/profile_banners/1429626838721208320/1667219235")</f>
        <v>https://pbs.twimg.com/profile_banners/1429626838721208320/1667219235</v>
      </c>
      <c r="BI576" s="76"/>
      <c r="BJ576" s="76" t="s">
        <v>19633</v>
      </c>
      <c r="BK576" s="76" t="b">
        <v>0</v>
      </c>
      <c r="BL576" s="76"/>
      <c r="BM576" s="76" t="s">
        <v>66</v>
      </c>
      <c r="BN576" s="76" t="s">
        <v>19635</v>
      </c>
      <c r="BO576" s="83" t="str">
        <f>HYPERLINK("https://twitter.com/adilson900")</f>
        <v>https://twitter.com/adilson900</v>
      </c>
      <c r="BP576" s="2"/>
    </row>
    <row r="577" spans="1:68" x14ac:dyDescent="0.25">
      <c r="A577" s="62" t="s">
        <v>728</v>
      </c>
      <c r="B577" s="63"/>
      <c r="C577" s="63"/>
      <c r="D577" s="64"/>
      <c r="E577" s="66"/>
      <c r="F577" s="103" t="str">
        <f>HYPERLINK("https://pbs.twimg.com/profile_images/1242214599144898561/kA-kBcl5_normal.jpg")</f>
        <v>https://pbs.twimg.com/profile_images/1242214599144898561/kA-kBcl5_normal.jpg</v>
      </c>
      <c r="G577" s="63"/>
      <c r="H577" s="67"/>
      <c r="I577" s="68"/>
      <c r="J577" s="68"/>
      <c r="K577" s="67" t="s">
        <v>20209</v>
      </c>
      <c r="L577" s="71"/>
      <c r="M577" s="72"/>
      <c r="N577" s="72"/>
      <c r="O577" s="73"/>
      <c r="P577" s="74"/>
      <c r="Q577" s="74"/>
      <c r="R577" s="87"/>
      <c r="S577" s="87"/>
      <c r="T577" s="87"/>
      <c r="U577" s="87"/>
      <c r="V577" s="48"/>
      <c r="W577" s="48"/>
      <c r="X577" s="47">
        <v>1.101E-3</v>
      </c>
      <c r="Y577" s="48"/>
      <c r="Z577" s="47"/>
      <c r="AA577" s="69">
        <v>577</v>
      </c>
      <c r="AB577" s="69"/>
      <c r="AC577" s="70"/>
      <c r="AD577" s="76" t="s">
        <v>17208</v>
      </c>
      <c r="AE577" s="81" t="s">
        <v>17732</v>
      </c>
      <c r="AF577" s="76">
        <v>493</v>
      </c>
      <c r="AG577" s="76">
        <v>243</v>
      </c>
      <c r="AH577" s="76">
        <v>3411</v>
      </c>
      <c r="AI577" s="76">
        <v>9</v>
      </c>
      <c r="AJ577" s="76">
        <v>44</v>
      </c>
      <c r="AK577" s="76">
        <v>236</v>
      </c>
      <c r="AL577" s="76" t="b">
        <v>0</v>
      </c>
      <c r="AM577" s="78">
        <v>40042.087372685186</v>
      </c>
      <c r="AN577" s="76" t="s">
        <v>18048</v>
      </c>
      <c r="AO577" s="76" t="s">
        <v>18667</v>
      </c>
      <c r="AP577" s="83" t="str">
        <f>HYPERLINK("https://t.co/hvI5GWqS4a")</f>
        <v>https://t.co/hvI5GWqS4a</v>
      </c>
      <c r="AQ577" s="83" t="str">
        <f>HYPERLINK("http://www.altemirfarinhas.com.br/")</f>
        <v>http://www.altemirfarinhas.com.br/</v>
      </c>
      <c r="AR577" s="76" t="s">
        <v>19335</v>
      </c>
      <c r="AS577" s="76"/>
      <c r="AT577" s="76"/>
      <c r="AU577" s="76"/>
      <c r="AV577" s="76"/>
      <c r="AW577" s="83" t="str">
        <f>HYPERLINK("https://t.co/hvI5GWqS4a")</f>
        <v>https://t.co/hvI5GWqS4a</v>
      </c>
      <c r="AX577" s="76" t="b">
        <v>0</v>
      </c>
      <c r="AY577" s="76"/>
      <c r="AZ577" s="76"/>
      <c r="BA577" s="76" t="b">
        <v>1</v>
      </c>
      <c r="BB577" s="76" t="b">
        <v>1</v>
      </c>
      <c r="BC577" s="76" t="b">
        <v>0</v>
      </c>
      <c r="BD577" s="76" t="b">
        <v>0</v>
      </c>
      <c r="BE577" s="76" t="b">
        <v>1</v>
      </c>
      <c r="BF577" s="76" t="b">
        <v>0</v>
      </c>
      <c r="BG577" s="76" t="b">
        <v>1</v>
      </c>
      <c r="BH577" s="83" t="str">
        <f>HYPERLINK("https://pbs.twimg.com/profile_banners/66249054/1632882018")</f>
        <v>https://pbs.twimg.com/profile_banners/66249054/1632882018</v>
      </c>
      <c r="BI577" s="76"/>
      <c r="BJ577" s="76" t="s">
        <v>19633</v>
      </c>
      <c r="BK577" s="76" t="b">
        <v>0</v>
      </c>
      <c r="BL577" s="76"/>
      <c r="BM577" s="76" t="s">
        <v>66</v>
      </c>
      <c r="BN577" s="76" t="s">
        <v>19635</v>
      </c>
      <c r="BO577" s="83" t="str">
        <f>HYPERLINK("https://twitter.com/proffarinhas")</f>
        <v>https://twitter.com/proffarinhas</v>
      </c>
      <c r="BP577" s="2"/>
    </row>
    <row r="578" spans="1:68" x14ac:dyDescent="0.25">
      <c r="A578" s="62" t="s">
        <v>729</v>
      </c>
      <c r="B578" s="63"/>
      <c r="C578" s="63"/>
      <c r="D578" s="64"/>
      <c r="E578" s="66"/>
      <c r="F578" s="103" t="str">
        <f>HYPERLINK("https://pbs.twimg.com/profile_images/1663499860383870979/w1GeMuhK_normal.jpg")</f>
        <v>https://pbs.twimg.com/profile_images/1663499860383870979/w1GeMuhK_normal.jpg</v>
      </c>
      <c r="G578" s="63"/>
      <c r="H578" s="67"/>
      <c r="I578" s="68"/>
      <c r="J578" s="68"/>
      <c r="K578" s="67" t="s">
        <v>20210</v>
      </c>
      <c r="L578" s="71"/>
      <c r="M578" s="72"/>
      <c r="N578" s="72"/>
      <c r="O578" s="73"/>
      <c r="P578" s="74"/>
      <c r="Q578" s="74"/>
      <c r="R578" s="87"/>
      <c r="S578" s="87"/>
      <c r="T578" s="87"/>
      <c r="U578" s="87"/>
      <c r="V578" s="48"/>
      <c r="W578" s="48"/>
      <c r="X578" s="47">
        <v>1.101E-3</v>
      </c>
      <c r="Y578" s="48"/>
      <c r="Z578" s="47"/>
      <c r="AA578" s="69">
        <v>578</v>
      </c>
      <c r="AB578" s="69"/>
      <c r="AC578" s="70"/>
      <c r="AD578" s="76" t="s">
        <v>17209</v>
      </c>
      <c r="AE578" s="81" t="s">
        <v>15758</v>
      </c>
      <c r="AF578" s="76">
        <v>23</v>
      </c>
      <c r="AG578" s="76">
        <v>74</v>
      </c>
      <c r="AH578" s="76">
        <v>51</v>
      </c>
      <c r="AI578" s="76">
        <v>0</v>
      </c>
      <c r="AJ578" s="76">
        <v>947</v>
      </c>
      <c r="AK578" s="76">
        <v>0</v>
      </c>
      <c r="AL578" s="76" t="b">
        <v>0</v>
      </c>
      <c r="AM578" s="78">
        <v>45050.721608796295</v>
      </c>
      <c r="AN578" s="76"/>
      <c r="AO578" s="76"/>
      <c r="AP578" s="76"/>
      <c r="AQ578" s="76"/>
      <c r="AR578" s="76"/>
      <c r="AS578" s="76"/>
      <c r="AT578" s="76"/>
      <c r="AU578" s="76"/>
      <c r="AV578" s="76"/>
      <c r="AW578" s="76"/>
      <c r="AX578" s="76" t="b">
        <v>0</v>
      </c>
      <c r="AY578" s="76"/>
      <c r="AZ578" s="76"/>
      <c r="BA578" s="76" t="b">
        <v>0</v>
      </c>
      <c r="BB578" s="76" t="b">
        <v>1</v>
      </c>
      <c r="BC578" s="76" t="b">
        <v>1</v>
      </c>
      <c r="BD578" s="76" t="b">
        <v>0</v>
      </c>
      <c r="BE578" s="76" t="b">
        <v>0</v>
      </c>
      <c r="BF578" s="76" t="b">
        <v>0</v>
      </c>
      <c r="BG578" s="76" t="b">
        <v>0</v>
      </c>
      <c r="BH578" s="83" t="str">
        <f>HYPERLINK("https://pbs.twimg.com/profile_banners/1654173779524714514/1685485459")</f>
        <v>https://pbs.twimg.com/profile_banners/1654173779524714514/1685485459</v>
      </c>
      <c r="BI578" s="76"/>
      <c r="BJ578" s="76" t="s">
        <v>19633</v>
      </c>
      <c r="BK578" s="76" t="b">
        <v>0</v>
      </c>
      <c r="BL578" s="76"/>
      <c r="BM578" s="76" t="s">
        <v>66</v>
      </c>
      <c r="BN578" s="76" t="s">
        <v>19635</v>
      </c>
      <c r="BO578" s="83" t="str">
        <f>HYPERLINK("https://twitter.com/manoeldelpiero")</f>
        <v>https://twitter.com/manoeldelpiero</v>
      </c>
      <c r="BP578" s="2"/>
    </row>
    <row r="579" spans="1:68" x14ac:dyDescent="0.25">
      <c r="A579" s="62" t="s">
        <v>730</v>
      </c>
      <c r="B579" s="63"/>
      <c r="C579" s="63"/>
      <c r="D579" s="64"/>
      <c r="E579" s="66"/>
      <c r="F579" s="103" t="str">
        <f>HYPERLINK("https://pbs.twimg.com/profile_images/1410269030183747592/u4r7C5Zt_normal.jpg")</f>
        <v>https://pbs.twimg.com/profile_images/1410269030183747592/u4r7C5Zt_normal.jpg</v>
      </c>
      <c r="G579" s="63"/>
      <c r="H579" s="67"/>
      <c r="I579" s="68"/>
      <c r="J579" s="68"/>
      <c r="K579" s="67" t="s">
        <v>20211</v>
      </c>
      <c r="L579" s="71"/>
      <c r="M579" s="72"/>
      <c r="N579" s="72"/>
      <c r="O579" s="73"/>
      <c r="P579" s="74"/>
      <c r="Q579" s="74"/>
      <c r="R579" s="87"/>
      <c r="S579" s="87"/>
      <c r="T579" s="87"/>
      <c r="U579" s="87"/>
      <c r="V579" s="48"/>
      <c r="W579" s="48"/>
      <c r="X579" s="47">
        <v>1.101E-3</v>
      </c>
      <c r="Y579" s="48"/>
      <c r="Z579" s="47"/>
      <c r="AA579" s="69">
        <v>579</v>
      </c>
      <c r="AB579" s="69"/>
      <c r="AC579" s="70"/>
      <c r="AD579" s="76" t="s">
        <v>17210</v>
      </c>
      <c r="AE579" s="81" t="s">
        <v>16421</v>
      </c>
      <c r="AF579" s="76">
        <v>667</v>
      </c>
      <c r="AG579" s="76">
        <v>153</v>
      </c>
      <c r="AH579" s="76">
        <v>5045</v>
      </c>
      <c r="AI579" s="76">
        <v>4</v>
      </c>
      <c r="AJ579" s="76">
        <v>122</v>
      </c>
      <c r="AK579" s="76">
        <v>855</v>
      </c>
      <c r="AL579" s="76" t="b">
        <v>0</v>
      </c>
      <c r="AM579" s="78">
        <v>43683.578715277778</v>
      </c>
      <c r="AN579" s="76" t="s">
        <v>18049</v>
      </c>
      <c r="AO579" s="76" t="s">
        <v>18668</v>
      </c>
      <c r="AP579" s="83" t="str">
        <f>HYPERLINK("https://t.co/4MFlTVNeyT")</f>
        <v>https://t.co/4MFlTVNeyT</v>
      </c>
      <c r="AQ579" s="83" t="str">
        <f>HYPERLINK("https://linktr.ee/portalbelem.com.br")</f>
        <v>https://linktr.ee/portalbelem.com.br</v>
      </c>
      <c r="AR579" s="76" t="s">
        <v>19336</v>
      </c>
      <c r="AS579" s="76"/>
      <c r="AT579" s="76"/>
      <c r="AU579" s="76"/>
      <c r="AV579" s="76">
        <v>1.64287017915873E+18</v>
      </c>
      <c r="AW579" s="83" t="str">
        <f>HYPERLINK("https://t.co/4MFlTVNeyT")</f>
        <v>https://t.co/4MFlTVNeyT</v>
      </c>
      <c r="AX579" s="76" t="b">
        <v>0</v>
      </c>
      <c r="AY579" s="76"/>
      <c r="AZ579" s="76"/>
      <c r="BA579" s="76" t="b">
        <v>0</v>
      </c>
      <c r="BB579" s="76" t="b">
        <v>1</v>
      </c>
      <c r="BC579" s="76" t="b">
        <v>1</v>
      </c>
      <c r="BD579" s="76" t="b">
        <v>0</v>
      </c>
      <c r="BE579" s="76" t="b">
        <v>1</v>
      </c>
      <c r="BF579" s="76" t="b">
        <v>0</v>
      </c>
      <c r="BG579" s="76" t="b">
        <v>0</v>
      </c>
      <c r="BH579" s="83" t="str">
        <f>HYPERLINK("https://pbs.twimg.com/profile_banners/1158737830472015872/1679931080")</f>
        <v>https://pbs.twimg.com/profile_banners/1158737830472015872/1679931080</v>
      </c>
      <c r="BI579" s="76"/>
      <c r="BJ579" s="76" t="s">
        <v>19633</v>
      </c>
      <c r="BK579" s="76" t="b">
        <v>0</v>
      </c>
      <c r="BL579" s="76"/>
      <c r="BM579" s="76" t="s">
        <v>66</v>
      </c>
      <c r="BN579" s="76" t="s">
        <v>19635</v>
      </c>
      <c r="BO579" s="83" t="str">
        <f>HYPERLINK("https://twitter.com/belem_com_br")</f>
        <v>https://twitter.com/belem_com_br</v>
      </c>
      <c r="BP579" s="2"/>
    </row>
    <row r="580" spans="1:68" x14ac:dyDescent="0.25">
      <c r="A580" s="62" t="s">
        <v>731</v>
      </c>
      <c r="B580" s="63"/>
      <c r="C580" s="63"/>
      <c r="D580" s="64"/>
      <c r="E580" s="66"/>
      <c r="F580" s="103" t="str">
        <f>HYPERLINK("https://pbs.twimg.com/profile_images/1334211682235768834/iQOE8aBe_normal.jpg")</f>
        <v>https://pbs.twimg.com/profile_images/1334211682235768834/iQOE8aBe_normal.jpg</v>
      </c>
      <c r="G580" s="63"/>
      <c r="H580" s="67"/>
      <c r="I580" s="68"/>
      <c r="J580" s="68"/>
      <c r="K580" s="67" t="s">
        <v>20212</v>
      </c>
      <c r="L580" s="71"/>
      <c r="M580" s="72"/>
      <c r="N580" s="72"/>
      <c r="O580" s="73"/>
      <c r="P580" s="74"/>
      <c r="Q580" s="74"/>
      <c r="R580" s="87"/>
      <c r="S580" s="87"/>
      <c r="T580" s="87"/>
      <c r="U580" s="87"/>
      <c r="V580" s="48"/>
      <c r="W580" s="48"/>
      <c r="X580" s="47">
        <v>9.6900000000000003E-4</v>
      </c>
      <c r="Y580" s="48"/>
      <c r="Z580" s="47"/>
      <c r="AA580" s="69">
        <v>580</v>
      </c>
      <c r="AB580" s="69"/>
      <c r="AC580" s="70"/>
      <c r="AD580" s="76" t="s">
        <v>17211</v>
      </c>
      <c r="AE580" s="81" t="s">
        <v>17733</v>
      </c>
      <c r="AF580" s="76">
        <v>83608</v>
      </c>
      <c r="AG580" s="76">
        <v>330</v>
      </c>
      <c r="AH580" s="76">
        <v>46982</v>
      </c>
      <c r="AI580" s="76">
        <v>410</v>
      </c>
      <c r="AJ580" s="76">
        <v>248</v>
      </c>
      <c r="AK580" s="76">
        <v>31977</v>
      </c>
      <c r="AL580" s="76" t="b">
        <v>0</v>
      </c>
      <c r="AM580" s="78">
        <v>40969.578483796293</v>
      </c>
      <c r="AN580" s="76"/>
      <c r="AO580" s="76" t="s">
        <v>18669</v>
      </c>
      <c r="AP580" s="83" t="str">
        <f>HYPERLINK("https://t.co/jDvoGHSjb7")</f>
        <v>https://t.co/jDvoGHSjb7</v>
      </c>
      <c r="AQ580" s="83" t="str">
        <f>HYPERLINK("http://www.forbes.com.br")</f>
        <v>http://www.forbes.com.br</v>
      </c>
      <c r="AR580" s="76" t="s">
        <v>19337</v>
      </c>
      <c r="AS580" s="76"/>
      <c r="AT580" s="76"/>
      <c r="AU580" s="76"/>
      <c r="AV580" s="76"/>
      <c r="AW580" s="83" t="str">
        <f>HYPERLINK("https://t.co/jDvoGHSjb7")</f>
        <v>https://t.co/jDvoGHSjb7</v>
      </c>
      <c r="AX580" s="76" t="b">
        <v>1</v>
      </c>
      <c r="AY580" s="76"/>
      <c r="AZ580" s="76"/>
      <c r="BA580" s="76" t="b">
        <v>0</v>
      </c>
      <c r="BB580" s="76" t="b">
        <v>1</v>
      </c>
      <c r="BC580" s="76" t="b">
        <v>0</v>
      </c>
      <c r="BD580" s="76" t="b">
        <v>0</v>
      </c>
      <c r="BE580" s="76" t="b">
        <v>0</v>
      </c>
      <c r="BF580" s="76" t="b">
        <v>0</v>
      </c>
      <c r="BG580" s="76" t="b">
        <v>0</v>
      </c>
      <c r="BH580" s="83" t="str">
        <f>HYPERLINK("https://pbs.twimg.com/profile_banners/510272910/1626215556")</f>
        <v>https://pbs.twimg.com/profile_banners/510272910/1626215556</v>
      </c>
      <c r="BI580" s="76"/>
      <c r="BJ580" s="76" t="s">
        <v>19633</v>
      </c>
      <c r="BK580" s="76" t="b">
        <v>0</v>
      </c>
      <c r="BL580" s="76"/>
      <c r="BM580" s="76" t="s">
        <v>66</v>
      </c>
      <c r="BN580" s="76" t="s">
        <v>19635</v>
      </c>
      <c r="BO580" s="83" t="str">
        <f>HYPERLINK("https://twitter.com/forbesbr")</f>
        <v>https://twitter.com/forbesbr</v>
      </c>
      <c r="BP580" s="2"/>
    </row>
    <row r="581" spans="1:68" x14ac:dyDescent="0.25">
      <c r="A581" s="62" t="s">
        <v>733</v>
      </c>
      <c r="B581" s="63"/>
      <c r="C581" s="63"/>
      <c r="D581" s="64"/>
      <c r="E581" s="66"/>
      <c r="F581" s="103" t="str">
        <f>HYPERLINK("https://pbs.twimg.com/profile_images/1697293481880748032/AmsX3uEN_normal.jpg")</f>
        <v>https://pbs.twimg.com/profile_images/1697293481880748032/AmsX3uEN_normal.jpg</v>
      </c>
      <c r="G581" s="63"/>
      <c r="H581" s="67"/>
      <c r="I581" s="68"/>
      <c r="J581" s="68"/>
      <c r="K581" s="67" t="s">
        <v>20213</v>
      </c>
      <c r="L581" s="71"/>
      <c r="M581" s="72"/>
      <c r="N581" s="72"/>
      <c r="O581" s="73"/>
      <c r="P581" s="74"/>
      <c r="Q581" s="74"/>
      <c r="R581" s="87"/>
      <c r="S581" s="87"/>
      <c r="T581" s="87"/>
      <c r="U581" s="87"/>
      <c r="V581" s="48"/>
      <c r="W581" s="48"/>
      <c r="X581" s="47">
        <v>1.0529999999999999E-3</v>
      </c>
      <c r="Y581" s="48"/>
      <c r="Z581" s="47"/>
      <c r="AA581" s="69">
        <v>581</v>
      </c>
      <c r="AB581" s="69"/>
      <c r="AC581" s="70"/>
      <c r="AD581" s="76" t="s">
        <v>17212</v>
      </c>
      <c r="AE581" s="81" t="s">
        <v>15759</v>
      </c>
      <c r="AF581" s="76">
        <v>16260</v>
      </c>
      <c r="AG581" s="76">
        <v>23</v>
      </c>
      <c r="AH581" s="76">
        <v>3015</v>
      </c>
      <c r="AI581" s="76">
        <v>124</v>
      </c>
      <c r="AJ581" s="76">
        <v>350</v>
      </c>
      <c r="AK581" s="76">
        <v>1959</v>
      </c>
      <c r="AL581" s="76" t="b">
        <v>0</v>
      </c>
      <c r="AM581" s="78">
        <v>43332.914895833332</v>
      </c>
      <c r="AN581" s="76" t="s">
        <v>10631</v>
      </c>
      <c r="AO581" s="76" t="s">
        <v>18670</v>
      </c>
      <c r="AP581" s="83" t="str">
        <f>HYPERLINK("https://t.co/0PKgl1RNTL")</f>
        <v>https://t.co/0PKgl1RNTL</v>
      </c>
      <c r="AQ581" s="83" t="str">
        <f>HYPERLINK("http://www.gov.br/cvm")</f>
        <v>http://www.gov.br/cvm</v>
      </c>
      <c r="AR581" s="76" t="s">
        <v>19338</v>
      </c>
      <c r="AS581" s="83" t="str">
        <f>HYPERLINK("https://t.co/BCxcyxjPFR")</f>
        <v>https://t.co/BCxcyxjPFR</v>
      </c>
      <c r="AT581" s="83" t="str">
        <f>HYPERLINK("http://sistemas.cvm.gov.br/?SAC")</f>
        <v>http://sistemas.cvm.gov.br/?SAC</v>
      </c>
      <c r="AU581" s="76" t="s">
        <v>19617</v>
      </c>
      <c r="AV581" s="76"/>
      <c r="AW581" s="83" t="str">
        <f>HYPERLINK("https://t.co/0PKgl1RNTL")</f>
        <v>https://t.co/0PKgl1RNTL</v>
      </c>
      <c r="AX581" s="76" t="b">
        <v>0</v>
      </c>
      <c r="AY581" s="76"/>
      <c r="AZ581" s="76"/>
      <c r="BA581" s="76" t="b">
        <v>1</v>
      </c>
      <c r="BB581" s="76" t="b">
        <v>0</v>
      </c>
      <c r="BC581" s="76" t="b">
        <v>1</v>
      </c>
      <c r="BD581" s="76" t="b">
        <v>0</v>
      </c>
      <c r="BE581" s="76" t="b">
        <v>1</v>
      </c>
      <c r="BF581" s="76" t="b">
        <v>0</v>
      </c>
      <c r="BG581" s="76" t="b">
        <v>0</v>
      </c>
      <c r="BH581" s="83" t="str">
        <f>HYPERLINK("https://pbs.twimg.com/profile_banners/1031661514644770816/1692803273")</f>
        <v>https://pbs.twimg.com/profile_banners/1031661514644770816/1692803273</v>
      </c>
      <c r="BI581" s="76"/>
      <c r="BJ581" s="76" t="s">
        <v>19633</v>
      </c>
      <c r="BK581" s="76" t="b">
        <v>0</v>
      </c>
      <c r="BL581" s="76"/>
      <c r="BM581" s="76" t="s">
        <v>66</v>
      </c>
      <c r="BN581" s="76" t="s">
        <v>19635</v>
      </c>
      <c r="BO581" s="83" t="str">
        <f>HYPERLINK("https://twitter.com/cvmgovbr")</f>
        <v>https://twitter.com/cvmgovbr</v>
      </c>
      <c r="BP581" s="2"/>
    </row>
    <row r="582" spans="1:68" x14ac:dyDescent="0.25">
      <c r="A582" s="62" t="s">
        <v>734</v>
      </c>
      <c r="B582" s="63"/>
      <c r="C582" s="63"/>
      <c r="D582" s="64"/>
      <c r="E582" s="66"/>
      <c r="F582" s="103" t="str">
        <f>HYPERLINK("https://pbs.twimg.com/profile_images/1505968327499436049/Ivkcir3F_normal.jpg")</f>
        <v>https://pbs.twimg.com/profile_images/1505968327499436049/Ivkcir3F_normal.jpg</v>
      </c>
      <c r="G582" s="63"/>
      <c r="H582" s="67"/>
      <c r="I582" s="68"/>
      <c r="J582" s="68"/>
      <c r="K582" s="67" t="s">
        <v>20214</v>
      </c>
      <c r="L582" s="71"/>
      <c r="M582" s="72"/>
      <c r="N582" s="72"/>
      <c r="O582" s="73"/>
      <c r="P582" s="74"/>
      <c r="Q582" s="74"/>
      <c r="R582" s="87"/>
      <c r="S582" s="87"/>
      <c r="T582" s="87"/>
      <c r="U582" s="87"/>
      <c r="V582" s="48"/>
      <c r="W582" s="48"/>
      <c r="X582" s="47">
        <v>1.784E-3</v>
      </c>
      <c r="Y582" s="48"/>
      <c r="Z582" s="47"/>
      <c r="AA582" s="69">
        <v>582</v>
      </c>
      <c r="AB582" s="69"/>
      <c r="AC582" s="70"/>
      <c r="AD582" s="76" t="s">
        <v>17213</v>
      </c>
      <c r="AE582" s="81" t="s">
        <v>15797</v>
      </c>
      <c r="AF582" s="76">
        <v>280799</v>
      </c>
      <c r="AG582" s="76">
        <v>99</v>
      </c>
      <c r="AH582" s="76">
        <v>17655</v>
      </c>
      <c r="AI582" s="76">
        <v>2291</v>
      </c>
      <c r="AJ582" s="76">
        <v>1177</v>
      </c>
      <c r="AK582" s="76">
        <v>1814</v>
      </c>
      <c r="AL582" s="76" t="b">
        <v>0</v>
      </c>
      <c r="AM582" s="78">
        <v>40071.863125000003</v>
      </c>
      <c r="AN582" s="76" t="s">
        <v>10622</v>
      </c>
      <c r="AO582" s="76" t="s">
        <v>18671</v>
      </c>
      <c r="AP582" s="83" t="str">
        <f>HYPERLINK("https://t.co/3B5Z3vtAJh")</f>
        <v>https://t.co/3B5Z3vtAJh</v>
      </c>
      <c r="AQ582" s="83" t="str">
        <f>HYPERLINK("http://B3.com.br")</f>
        <v>http://B3.com.br</v>
      </c>
      <c r="AR582" s="76" t="s">
        <v>19339</v>
      </c>
      <c r="AS582" s="76"/>
      <c r="AT582" s="76"/>
      <c r="AU582" s="76"/>
      <c r="AV582" s="76">
        <v>1.53237900071423E+18</v>
      </c>
      <c r="AW582" s="83" t="str">
        <f>HYPERLINK("https://t.co/3B5Z3vtAJh")</f>
        <v>https://t.co/3B5Z3vtAJh</v>
      </c>
      <c r="AX582" s="76" t="b">
        <v>1</v>
      </c>
      <c r="AY582" s="76"/>
      <c r="AZ582" s="76"/>
      <c r="BA582" s="76" t="b">
        <v>1</v>
      </c>
      <c r="BB582" s="76" t="b">
        <v>1</v>
      </c>
      <c r="BC582" s="76" t="b">
        <v>0</v>
      </c>
      <c r="BD582" s="76" t="b">
        <v>0</v>
      </c>
      <c r="BE582" s="76" t="b">
        <v>1</v>
      </c>
      <c r="BF582" s="76" t="b">
        <v>0</v>
      </c>
      <c r="BG582" s="76" t="b">
        <v>0</v>
      </c>
      <c r="BH582" s="83" t="str">
        <f>HYPERLINK("https://pbs.twimg.com/profile_banners/74550038/1691693788")</f>
        <v>https://pbs.twimg.com/profile_banners/74550038/1691693788</v>
      </c>
      <c r="BI582" s="76"/>
      <c r="BJ582" s="76" t="s">
        <v>19633</v>
      </c>
      <c r="BK582" s="76" t="b">
        <v>0</v>
      </c>
      <c r="BL582" s="76"/>
      <c r="BM582" s="76" t="s">
        <v>66</v>
      </c>
      <c r="BN582" s="76" t="s">
        <v>19635</v>
      </c>
      <c r="BO582" s="83" t="str">
        <f>HYPERLINK("https://twitter.com/b3_oficial")</f>
        <v>https://twitter.com/b3_oficial</v>
      </c>
      <c r="BP582" s="2"/>
    </row>
    <row r="583" spans="1:68" x14ac:dyDescent="0.25">
      <c r="A583" s="62" t="s">
        <v>1103</v>
      </c>
      <c r="B583" s="63"/>
      <c r="C583" s="63"/>
      <c r="D583" s="64"/>
      <c r="E583" s="66"/>
      <c r="F583" s="103" t="str">
        <f>HYPERLINK("https://pbs.twimg.com/profile_images/1367930018207330307/EkpWdsYr_normal.jpg")</f>
        <v>https://pbs.twimg.com/profile_images/1367930018207330307/EkpWdsYr_normal.jpg</v>
      </c>
      <c r="G583" s="63"/>
      <c r="H583" s="67"/>
      <c r="I583" s="68"/>
      <c r="J583" s="68"/>
      <c r="K583" s="67" t="s">
        <v>20215</v>
      </c>
      <c r="L583" s="71"/>
      <c r="M583" s="72"/>
      <c r="N583" s="72"/>
      <c r="O583" s="73"/>
      <c r="P583" s="74"/>
      <c r="Q583" s="74"/>
      <c r="R583" s="87"/>
      <c r="S583" s="87"/>
      <c r="T583" s="87"/>
      <c r="U583" s="87"/>
      <c r="V583" s="48"/>
      <c r="W583" s="48"/>
      <c r="X583" s="47">
        <v>9.7400000000000004E-4</v>
      </c>
      <c r="Y583" s="48"/>
      <c r="Z583" s="47"/>
      <c r="AA583" s="69">
        <v>583</v>
      </c>
      <c r="AB583" s="69"/>
      <c r="AC583" s="70"/>
      <c r="AD583" s="76" t="s">
        <v>17214</v>
      </c>
      <c r="AE583" s="81" t="s">
        <v>17734</v>
      </c>
      <c r="AF583" s="76">
        <v>4857</v>
      </c>
      <c r="AG583" s="76">
        <v>13</v>
      </c>
      <c r="AH583" s="76">
        <v>403</v>
      </c>
      <c r="AI583" s="76">
        <v>77</v>
      </c>
      <c r="AJ583" s="76">
        <v>196</v>
      </c>
      <c r="AK583" s="76">
        <v>121</v>
      </c>
      <c r="AL583" s="76" t="b">
        <v>0</v>
      </c>
      <c r="AM583" s="78">
        <v>44134.717199074075</v>
      </c>
      <c r="AN583" s="76"/>
      <c r="AO583" s="76" t="s">
        <v>18672</v>
      </c>
      <c r="AP583" s="83" t="str">
        <f>HYPERLINK("https://t.co/TGEuTVzRTG")</f>
        <v>https://t.co/TGEuTVzRTG</v>
      </c>
      <c r="AQ583" s="83" t="str">
        <f>HYPERLINK("http://linktr.ee/sunoasset")</f>
        <v>http://linktr.ee/sunoasset</v>
      </c>
      <c r="AR583" s="76" t="s">
        <v>19340</v>
      </c>
      <c r="AS583" s="76"/>
      <c r="AT583" s="76"/>
      <c r="AU583" s="76"/>
      <c r="AV583" s="76"/>
      <c r="AW583" s="83" t="str">
        <f>HYPERLINK("https://t.co/TGEuTVzRTG")</f>
        <v>https://t.co/TGEuTVzRTG</v>
      </c>
      <c r="AX583" s="76" t="b">
        <v>1</v>
      </c>
      <c r="AY583" s="76"/>
      <c r="AZ583" s="76"/>
      <c r="BA583" s="76" t="b">
        <v>0</v>
      </c>
      <c r="BB583" s="76" t="b">
        <v>1</v>
      </c>
      <c r="BC583" s="76" t="b">
        <v>1</v>
      </c>
      <c r="BD583" s="76" t="b">
        <v>0</v>
      </c>
      <c r="BE583" s="76" t="b">
        <v>0</v>
      </c>
      <c r="BF583" s="76" t="b">
        <v>0</v>
      </c>
      <c r="BG583" s="76" t="b">
        <v>0</v>
      </c>
      <c r="BH583" s="83" t="str">
        <f>HYPERLINK("https://pbs.twimg.com/profile_banners/1322224888967548928/1614976131")</f>
        <v>https://pbs.twimg.com/profile_banners/1322224888967548928/1614976131</v>
      </c>
      <c r="BI583" s="76"/>
      <c r="BJ583" s="76" t="s">
        <v>19633</v>
      </c>
      <c r="BK583" s="76" t="b">
        <v>0</v>
      </c>
      <c r="BL583" s="76"/>
      <c r="BM583" s="76" t="s">
        <v>65</v>
      </c>
      <c r="BN583" s="76" t="s">
        <v>19635</v>
      </c>
      <c r="BO583" s="83" t="str">
        <f>HYPERLINK("https://twitter.com/sunoasset")</f>
        <v>https://twitter.com/sunoasset</v>
      </c>
      <c r="BP583" s="2"/>
    </row>
    <row r="584" spans="1:68" x14ac:dyDescent="0.25">
      <c r="A584" s="62" t="s">
        <v>1104</v>
      </c>
      <c r="B584" s="63"/>
      <c r="C584" s="63"/>
      <c r="D584" s="64"/>
      <c r="E584" s="66"/>
      <c r="F584" s="103" t="str">
        <f>HYPERLINK("https://pbs.twimg.com/profile_images/1404557950853726213/UC_PYXxq_normal.jpg")</f>
        <v>https://pbs.twimg.com/profile_images/1404557950853726213/UC_PYXxq_normal.jpg</v>
      </c>
      <c r="G584" s="63"/>
      <c r="H584" s="67"/>
      <c r="I584" s="68"/>
      <c r="J584" s="68"/>
      <c r="K584" s="67" t="s">
        <v>20216</v>
      </c>
      <c r="L584" s="71"/>
      <c r="M584" s="72"/>
      <c r="N584" s="72"/>
      <c r="O584" s="73"/>
      <c r="P584" s="74"/>
      <c r="Q584" s="74"/>
      <c r="R584" s="87"/>
      <c r="S584" s="87"/>
      <c r="T584" s="87"/>
      <c r="U584" s="87"/>
      <c r="V584" s="48"/>
      <c r="W584" s="48"/>
      <c r="X584" s="47">
        <v>9.7400000000000004E-4</v>
      </c>
      <c r="Y584" s="48"/>
      <c r="Z584" s="47"/>
      <c r="AA584" s="69">
        <v>584</v>
      </c>
      <c r="AB584" s="69"/>
      <c r="AC584" s="70"/>
      <c r="AD584" s="76" t="s">
        <v>17215</v>
      </c>
      <c r="AE584" s="81" t="s">
        <v>17735</v>
      </c>
      <c r="AF584" s="76">
        <v>9053</v>
      </c>
      <c r="AG584" s="76">
        <v>82</v>
      </c>
      <c r="AH584" s="76">
        <v>1760</v>
      </c>
      <c r="AI584" s="76">
        <v>85</v>
      </c>
      <c r="AJ584" s="76">
        <v>124</v>
      </c>
      <c r="AK584" s="76">
        <v>182</v>
      </c>
      <c r="AL584" s="76" t="b">
        <v>0</v>
      </c>
      <c r="AM584" s="78">
        <v>43327.649178240739</v>
      </c>
      <c r="AN584" s="76" t="s">
        <v>10561</v>
      </c>
      <c r="AO584" s="76" t="s">
        <v>18673</v>
      </c>
      <c r="AP584" s="83" t="str">
        <f>HYPERLINK("https://t.co/ysc5DqJP19")</f>
        <v>https://t.co/ysc5DqJP19</v>
      </c>
      <c r="AQ584" s="83" t="str">
        <f>HYPERLINK("http://linktr.ee/humana.org")</f>
        <v>http://linktr.ee/humana.org</v>
      </c>
      <c r="AR584" s="76" t="s">
        <v>19341</v>
      </c>
      <c r="AS584" s="76"/>
      <c r="AT584" s="76"/>
      <c r="AU584" s="76"/>
      <c r="AV584" s="76">
        <v>1.3461547302303201E+18</v>
      </c>
      <c r="AW584" s="83" t="str">
        <f>HYPERLINK("https://t.co/ysc5DqJP19")</f>
        <v>https://t.co/ysc5DqJP19</v>
      </c>
      <c r="AX584" s="76" t="b">
        <v>0</v>
      </c>
      <c r="AY584" s="76"/>
      <c r="AZ584" s="76"/>
      <c r="BA584" s="76" t="b">
        <v>0</v>
      </c>
      <c r="BB584" s="76" t="b">
        <v>1</v>
      </c>
      <c r="BC584" s="76" t="b">
        <v>1</v>
      </c>
      <c r="BD584" s="76" t="b">
        <v>0</v>
      </c>
      <c r="BE584" s="76" t="b">
        <v>0</v>
      </c>
      <c r="BF584" s="76" t="b">
        <v>0</v>
      </c>
      <c r="BG584" s="76" t="b">
        <v>0</v>
      </c>
      <c r="BH584" s="76"/>
      <c r="BI584" s="76"/>
      <c r="BJ584" s="76" t="s">
        <v>19633</v>
      </c>
      <c r="BK584" s="76" t="b">
        <v>0</v>
      </c>
      <c r="BL584" s="76"/>
      <c r="BM584" s="76" t="s">
        <v>65</v>
      </c>
      <c r="BN584" s="76" t="s">
        <v>19635</v>
      </c>
      <c r="BO584" s="83" t="str">
        <f>HYPERLINK("https://twitter.com/amagalhaesana")</f>
        <v>https://twitter.com/amagalhaesana</v>
      </c>
      <c r="BP584" s="2"/>
    </row>
    <row r="585" spans="1:68" x14ac:dyDescent="0.25">
      <c r="A585" s="62" t="s">
        <v>1105</v>
      </c>
      <c r="B585" s="63"/>
      <c r="C585" s="63"/>
      <c r="D585" s="64"/>
      <c r="E585" s="66"/>
      <c r="F585" s="103" t="str">
        <f>HYPERLINK("https://pbs.twimg.com/profile_images/1369715839562350596/Hu_BLQR7_normal.jpg")</f>
        <v>https://pbs.twimg.com/profile_images/1369715839562350596/Hu_BLQR7_normal.jpg</v>
      </c>
      <c r="G585" s="63"/>
      <c r="H585" s="67"/>
      <c r="I585" s="68"/>
      <c r="J585" s="68"/>
      <c r="K585" s="67" t="s">
        <v>20217</v>
      </c>
      <c r="L585" s="71"/>
      <c r="M585" s="72"/>
      <c r="N585" s="72"/>
      <c r="O585" s="73"/>
      <c r="P585" s="74"/>
      <c r="Q585" s="74"/>
      <c r="R585" s="87"/>
      <c r="S585" s="87"/>
      <c r="T585" s="87"/>
      <c r="U585" s="87"/>
      <c r="V585" s="48"/>
      <c r="W585" s="48"/>
      <c r="X585" s="47">
        <v>9.7400000000000004E-4</v>
      </c>
      <c r="Y585" s="48"/>
      <c r="Z585" s="47"/>
      <c r="AA585" s="69">
        <v>585</v>
      </c>
      <c r="AB585" s="69"/>
      <c r="AC585" s="70"/>
      <c r="AD585" s="76" t="s">
        <v>17216</v>
      </c>
      <c r="AE585" s="81" t="s">
        <v>17736</v>
      </c>
      <c r="AF585" s="76">
        <v>6823</v>
      </c>
      <c r="AG585" s="76">
        <v>781</v>
      </c>
      <c r="AH585" s="76">
        <v>7146</v>
      </c>
      <c r="AI585" s="76">
        <v>12</v>
      </c>
      <c r="AJ585" s="76">
        <v>1110</v>
      </c>
      <c r="AK585" s="76">
        <v>3230</v>
      </c>
      <c r="AL585" s="76" t="b">
        <v>0</v>
      </c>
      <c r="AM585" s="78">
        <v>41009.701180555552</v>
      </c>
      <c r="AN585" s="76" t="s">
        <v>10561</v>
      </c>
      <c r="AO585" s="76" t="s">
        <v>18674</v>
      </c>
      <c r="AP585" s="83" t="str">
        <f>HYPERLINK("https://t.co/ySsC2uEMVc")</f>
        <v>https://t.co/ySsC2uEMVc</v>
      </c>
      <c r="AQ585" s="83" t="str">
        <f>HYPERLINK("http://www.stealthelook.com.br")</f>
        <v>http://www.stealthelook.com.br</v>
      </c>
      <c r="AR585" s="76" t="s">
        <v>19342</v>
      </c>
      <c r="AS585" s="76"/>
      <c r="AT585" s="76"/>
      <c r="AU585" s="76"/>
      <c r="AV585" s="76"/>
      <c r="AW585" s="83" t="str">
        <f>HYPERLINK("https://t.co/ySsC2uEMVc")</f>
        <v>https://t.co/ySsC2uEMVc</v>
      </c>
      <c r="AX585" s="76" t="b">
        <v>0</v>
      </c>
      <c r="AY585" s="76"/>
      <c r="AZ585" s="76"/>
      <c r="BA585" s="76" t="b">
        <v>0</v>
      </c>
      <c r="BB585" s="76" t="b">
        <v>1</v>
      </c>
      <c r="BC585" s="76" t="b">
        <v>0</v>
      </c>
      <c r="BD585" s="76" t="b">
        <v>0</v>
      </c>
      <c r="BE585" s="76" t="b">
        <v>1</v>
      </c>
      <c r="BF585" s="76" t="b">
        <v>0</v>
      </c>
      <c r="BG585" s="76" t="b">
        <v>0</v>
      </c>
      <c r="BH585" s="83" t="str">
        <f>HYPERLINK("https://pbs.twimg.com/profile_banners/550263001/1615482509")</f>
        <v>https://pbs.twimg.com/profile_banners/550263001/1615482509</v>
      </c>
      <c r="BI585" s="76"/>
      <c r="BJ585" s="76" t="s">
        <v>19633</v>
      </c>
      <c r="BK585" s="76" t="b">
        <v>0</v>
      </c>
      <c r="BL585" s="76"/>
      <c r="BM585" s="76" t="s">
        <v>65</v>
      </c>
      <c r="BN585" s="76" t="s">
        <v>19635</v>
      </c>
      <c r="BO585" s="83" t="str">
        <f>HYPERLINK("https://twitter.com/stealthelook")</f>
        <v>https://twitter.com/stealthelook</v>
      </c>
      <c r="BP585" s="2"/>
    </row>
    <row r="586" spans="1:68" x14ac:dyDescent="0.25">
      <c r="A586" s="62" t="s">
        <v>735</v>
      </c>
      <c r="B586" s="63"/>
      <c r="C586" s="63"/>
      <c r="D586" s="64"/>
      <c r="E586" s="66"/>
      <c r="F586" s="103" t="str">
        <f>HYPERLINK("https://pbs.twimg.com/profile_images/1545919625816334336/T7sn7q1L_normal.jpg")</f>
        <v>https://pbs.twimg.com/profile_images/1545919625816334336/T7sn7q1L_normal.jpg</v>
      </c>
      <c r="G586" s="63"/>
      <c r="H586" s="67"/>
      <c r="I586" s="68"/>
      <c r="J586" s="68"/>
      <c r="K586" s="67" t="s">
        <v>20218</v>
      </c>
      <c r="L586" s="71"/>
      <c r="M586" s="72"/>
      <c r="N586" s="72"/>
      <c r="O586" s="73"/>
      <c r="P586" s="74"/>
      <c r="Q586" s="74"/>
      <c r="R586" s="87"/>
      <c r="S586" s="87"/>
      <c r="T586" s="87"/>
      <c r="U586" s="87"/>
      <c r="V586" s="48"/>
      <c r="W586" s="48"/>
      <c r="X586" s="47">
        <v>1.101E-3</v>
      </c>
      <c r="Y586" s="48"/>
      <c r="Z586" s="47"/>
      <c r="AA586" s="69">
        <v>586</v>
      </c>
      <c r="AB586" s="69"/>
      <c r="AC586" s="70"/>
      <c r="AD586" s="76" t="s">
        <v>17217</v>
      </c>
      <c r="AE586" s="81" t="s">
        <v>16423</v>
      </c>
      <c r="AF586" s="76">
        <v>277</v>
      </c>
      <c r="AG586" s="76">
        <v>5</v>
      </c>
      <c r="AH586" s="76">
        <v>2759</v>
      </c>
      <c r="AI586" s="76">
        <v>1</v>
      </c>
      <c r="AJ586" s="76">
        <v>12</v>
      </c>
      <c r="AK586" s="76">
        <v>2386</v>
      </c>
      <c r="AL586" s="76" t="b">
        <v>0</v>
      </c>
      <c r="AM586" s="78">
        <v>44743.937708333331</v>
      </c>
      <c r="AN586" s="76" t="s">
        <v>18050</v>
      </c>
      <c r="AO586" s="76" t="s">
        <v>18675</v>
      </c>
      <c r="AP586" s="83" t="str">
        <f>HYPERLINK("https://t.co/sQlyuU6zLI")</f>
        <v>https://t.co/sQlyuU6zLI</v>
      </c>
      <c r="AQ586" s="83" t="str">
        <f>HYPERLINK("https://t.me/devinformado")</f>
        <v>https://t.me/devinformado</v>
      </c>
      <c r="AR586" s="76" t="s">
        <v>19343</v>
      </c>
      <c r="AS586" s="76"/>
      <c r="AT586" s="76"/>
      <c r="AU586" s="76"/>
      <c r="AV586" s="76">
        <v>1.54771568128976E+18</v>
      </c>
      <c r="AW586" s="83" t="str">
        <f>HYPERLINK("https://t.co/sQlyuU6zLI")</f>
        <v>https://t.co/sQlyuU6zLI</v>
      </c>
      <c r="AX586" s="76" t="b">
        <v>0</v>
      </c>
      <c r="AY586" s="76"/>
      <c r="AZ586" s="76"/>
      <c r="BA586" s="76" t="b">
        <v>0</v>
      </c>
      <c r="BB586" s="76" t="b">
        <v>1</v>
      </c>
      <c r="BC586" s="76" t="b">
        <v>1</v>
      </c>
      <c r="BD586" s="76" t="b">
        <v>0</v>
      </c>
      <c r="BE586" s="76" t="b">
        <v>0</v>
      </c>
      <c r="BF586" s="76" t="b">
        <v>0</v>
      </c>
      <c r="BG586" s="76" t="b">
        <v>0</v>
      </c>
      <c r="BH586" s="83" t="str">
        <f>HYPERLINK("https://pbs.twimg.com/profile_banners/1542999035275100160/1657671188")</f>
        <v>https://pbs.twimg.com/profile_banners/1542999035275100160/1657671188</v>
      </c>
      <c r="BI586" s="76"/>
      <c r="BJ586" s="76" t="s">
        <v>19633</v>
      </c>
      <c r="BK586" s="76" t="b">
        <v>0</v>
      </c>
      <c r="BL586" s="76"/>
      <c r="BM586" s="76" t="s">
        <v>66</v>
      </c>
      <c r="BN586" s="76" t="s">
        <v>19635</v>
      </c>
      <c r="BO586" s="83" t="str">
        <f>HYPERLINK("https://twitter.com/devinformado")</f>
        <v>https://twitter.com/devinformado</v>
      </c>
      <c r="BP586" s="2"/>
    </row>
    <row r="587" spans="1:68" x14ac:dyDescent="0.25">
      <c r="A587" s="62" t="s">
        <v>736</v>
      </c>
      <c r="B587" s="63"/>
      <c r="C587" s="63"/>
      <c r="D587" s="64"/>
      <c r="E587" s="66"/>
      <c r="F587" s="103" t="str">
        <f>HYPERLINK("https://pbs.twimg.com/profile_images/1655587423248588801/84LcAF2r_normal.jpg")</f>
        <v>https://pbs.twimg.com/profile_images/1655587423248588801/84LcAF2r_normal.jpg</v>
      </c>
      <c r="G587" s="63"/>
      <c r="H587" s="67"/>
      <c r="I587" s="68"/>
      <c r="J587" s="68"/>
      <c r="K587" s="67" t="s">
        <v>20219</v>
      </c>
      <c r="L587" s="71"/>
      <c r="M587" s="72"/>
      <c r="N587" s="72"/>
      <c r="O587" s="73"/>
      <c r="P587" s="74"/>
      <c r="Q587" s="74"/>
      <c r="R587" s="87"/>
      <c r="S587" s="87"/>
      <c r="T587" s="87"/>
      <c r="U587" s="87"/>
      <c r="V587" s="48"/>
      <c r="W587" s="48"/>
      <c r="X587" s="47">
        <v>1.101E-3</v>
      </c>
      <c r="Y587" s="48"/>
      <c r="Z587" s="47"/>
      <c r="AA587" s="69">
        <v>587</v>
      </c>
      <c r="AB587" s="69"/>
      <c r="AC587" s="70"/>
      <c r="AD587" s="76" t="s">
        <v>17218</v>
      </c>
      <c r="AE587" s="81" t="s">
        <v>17737</v>
      </c>
      <c r="AF587" s="76">
        <v>480</v>
      </c>
      <c r="AG587" s="76">
        <v>73</v>
      </c>
      <c r="AH587" s="76">
        <v>750</v>
      </c>
      <c r="AI587" s="76">
        <v>9</v>
      </c>
      <c r="AJ587" s="76">
        <v>198</v>
      </c>
      <c r="AK587" s="76">
        <v>99</v>
      </c>
      <c r="AL587" s="76" t="b">
        <v>0</v>
      </c>
      <c r="AM587" s="78">
        <v>42411.642905092594</v>
      </c>
      <c r="AN587" s="76" t="s">
        <v>17879</v>
      </c>
      <c r="AO587" s="76" t="s">
        <v>18676</v>
      </c>
      <c r="AP587" s="83" t="str">
        <f>HYPERLINK("https://t.co/f3eMN4l2GT")</f>
        <v>https://t.co/f3eMN4l2GT</v>
      </c>
      <c r="AQ587" s="83" t="str">
        <f>HYPERLINK("https://lnk.bio/doutorfinancas.pt")</f>
        <v>https://lnk.bio/doutorfinancas.pt</v>
      </c>
      <c r="AR587" s="76" t="s">
        <v>19344</v>
      </c>
      <c r="AS587" s="76"/>
      <c r="AT587" s="76"/>
      <c r="AU587" s="76"/>
      <c r="AV587" s="76"/>
      <c r="AW587" s="83" t="str">
        <f>HYPERLINK("https://t.co/f3eMN4l2GT")</f>
        <v>https://t.co/f3eMN4l2GT</v>
      </c>
      <c r="AX587" s="76" t="b">
        <v>0</v>
      </c>
      <c r="AY587" s="76"/>
      <c r="AZ587" s="76"/>
      <c r="BA587" s="76" t="b">
        <v>0</v>
      </c>
      <c r="BB587" s="76" t="b">
        <v>1</v>
      </c>
      <c r="BC587" s="76" t="b">
        <v>1</v>
      </c>
      <c r="BD587" s="76" t="b">
        <v>0</v>
      </c>
      <c r="BE587" s="76" t="b">
        <v>0</v>
      </c>
      <c r="BF587" s="76" t="b">
        <v>0</v>
      </c>
      <c r="BG587" s="76" t="b">
        <v>0</v>
      </c>
      <c r="BH587" s="83" t="str">
        <f>HYPERLINK("https://pbs.twimg.com/profile_banners/4898300219/1683557777")</f>
        <v>https://pbs.twimg.com/profile_banners/4898300219/1683557777</v>
      </c>
      <c r="BI587" s="76"/>
      <c r="BJ587" s="76" t="s">
        <v>19633</v>
      </c>
      <c r="BK587" s="76" t="b">
        <v>0</v>
      </c>
      <c r="BL587" s="76"/>
      <c r="BM587" s="76" t="s">
        <v>66</v>
      </c>
      <c r="BN587" s="76" t="s">
        <v>19635</v>
      </c>
      <c r="BO587" s="83" t="str">
        <f>HYPERLINK("https://twitter.com/doutor_financas")</f>
        <v>https://twitter.com/doutor_financas</v>
      </c>
      <c r="BP587" s="2"/>
    </row>
    <row r="588" spans="1:68" x14ac:dyDescent="0.25">
      <c r="A588" s="62" t="s">
        <v>737</v>
      </c>
      <c r="B588" s="63"/>
      <c r="C588" s="63"/>
      <c r="D588" s="64"/>
      <c r="E588" s="66"/>
      <c r="F588" s="103" t="str">
        <f>HYPERLINK("https://pbs.twimg.com/profile_images/1588887514357587968/F_hZwx8v_normal.jpg")</f>
        <v>https://pbs.twimg.com/profile_images/1588887514357587968/F_hZwx8v_normal.jpg</v>
      </c>
      <c r="G588" s="63"/>
      <c r="H588" s="67"/>
      <c r="I588" s="68"/>
      <c r="J588" s="68"/>
      <c r="K588" s="67" t="s">
        <v>20220</v>
      </c>
      <c r="L588" s="71"/>
      <c r="M588" s="72"/>
      <c r="N588" s="72"/>
      <c r="O588" s="73"/>
      <c r="P588" s="74"/>
      <c r="Q588" s="74"/>
      <c r="R588" s="87"/>
      <c r="S588" s="87"/>
      <c r="T588" s="87"/>
      <c r="U588" s="87"/>
      <c r="V588" s="48"/>
      <c r="W588" s="48"/>
      <c r="X588" s="47">
        <v>1.101E-3</v>
      </c>
      <c r="Y588" s="48"/>
      <c r="Z588" s="47"/>
      <c r="AA588" s="69">
        <v>588</v>
      </c>
      <c r="AB588" s="69"/>
      <c r="AC588" s="70"/>
      <c r="AD588" s="76" t="s">
        <v>17219</v>
      </c>
      <c r="AE588" s="81" t="s">
        <v>16424</v>
      </c>
      <c r="AF588" s="76">
        <v>55</v>
      </c>
      <c r="AG588" s="76">
        <v>270</v>
      </c>
      <c r="AH588" s="76">
        <v>122</v>
      </c>
      <c r="AI588" s="76">
        <v>3</v>
      </c>
      <c r="AJ588" s="76">
        <v>10</v>
      </c>
      <c r="AK588" s="76">
        <v>45</v>
      </c>
      <c r="AL588" s="76" t="b">
        <v>0</v>
      </c>
      <c r="AM588" s="78">
        <v>44859.887094907404</v>
      </c>
      <c r="AN588" s="76" t="s">
        <v>18051</v>
      </c>
      <c r="AO588" s="76" t="s">
        <v>18677</v>
      </c>
      <c r="AP588" s="76"/>
      <c r="AQ588" s="76"/>
      <c r="AR588" s="76"/>
      <c r="AS588" s="76"/>
      <c r="AT588" s="76"/>
      <c r="AU588" s="76"/>
      <c r="AV588" s="76"/>
      <c r="AW588" s="76"/>
      <c r="AX588" s="76" t="b">
        <v>0</v>
      </c>
      <c r="AY588" s="76"/>
      <c r="AZ588" s="76"/>
      <c r="BA588" s="76" t="b">
        <v>0</v>
      </c>
      <c r="BB588" s="76" t="b">
        <v>1</v>
      </c>
      <c r="BC588" s="76" t="b">
        <v>1</v>
      </c>
      <c r="BD588" s="76" t="b">
        <v>0</v>
      </c>
      <c r="BE588" s="76" t="b">
        <v>0</v>
      </c>
      <c r="BF588" s="76" t="b">
        <v>0</v>
      </c>
      <c r="BG588" s="76" t="b">
        <v>0</v>
      </c>
      <c r="BH588" s="83" t="str">
        <f>HYPERLINK("https://pbs.twimg.com/profile_banners/1585017675901706263/1667655290")</f>
        <v>https://pbs.twimg.com/profile_banners/1585017675901706263/1667655290</v>
      </c>
      <c r="BI588" s="76"/>
      <c r="BJ588" s="76" t="s">
        <v>19633</v>
      </c>
      <c r="BK588" s="76" t="b">
        <v>0</v>
      </c>
      <c r="BL588" s="76"/>
      <c r="BM588" s="76" t="s">
        <v>66</v>
      </c>
      <c r="BN588" s="76" t="s">
        <v>19635</v>
      </c>
      <c r="BO588" s="83" t="str">
        <f>HYPERLINK("https://twitter.com/geckocripto")</f>
        <v>https://twitter.com/geckocripto</v>
      </c>
      <c r="BP588" s="2"/>
    </row>
    <row r="589" spans="1:68" x14ac:dyDescent="0.25">
      <c r="A589" s="62" t="s">
        <v>738</v>
      </c>
      <c r="B589" s="63"/>
      <c r="C589" s="63"/>
      <c r="D589" s="64"/>
      <c r="E589" s="66"/>
      <c r="F589" s="103" t="str">
        <f>HYPERLINK("https://pbs.twimg.com/profile_images/1555518662320295936/ZwBz_esM_normal.png")</f>
        <v>https://pbs.twimg.com/profile_images/1555518662320295936/ZwBz_esM_normal.png</v>
      </c>
      <c r="G589" s="63"/>
      <c r="H589" s="67"/>
      <c r="I589" s="68"/>
      <c r="J589" s="68"/>
      <c r="K589" s="67" t="s">
        <v>20221</v>
      </c>
      <c r="L589" s="71"/>
      <c r="M589" s="72"/>
      <c r="N589" s="72"/>
      <c r="O589" s="73"/>
      <c r="P589" s="74"/>
      <c r="Q589" s="74"/>
      <c r="R589" s="87"/>
      <c r="S589" s="87"/>
      <c r="T589" s="87"/>
      <c r="U589" s="87"/>
      <c r="V589" s="48"/>
      <c r="W589" s="48"/>
      <c r="X589" s="47">
        <v>1.101E-3</v>
      </c>
      <c r="Y589" s="48"/>
      <c r="Z589" s="47"/>
      <c r="AA589" s="69">
        <v>589</v>
      </c>
      <c r="AB589" s="69"/>
      <c r="AC589" s="70"/>
      <c r="AD589" s="76" t="s">
        <v>17220</v>
      </c>
      <c r="AE589" s="81" t="s">
        <v>16425</v>
      </c>
      <c r="AF589" s="76">
        <v>5</v>
      </c>
      <c r="AG589" s="76">
        <v>16</v>
      </c>
      <c r="AH589" s="76">
        <v>7</v>
      </c>
      <c r="AI589" s="76">
        <v>0</v>
      </c>
      <c r="AJ589" s="76">
        <v>7</v>
      </c>
      <c r="AK589" s="76">
        <v>5</v>
      </c>
      <c r="AL589" s="76" t="b">
        <v>0</v>
      </c>
      <c r="AM589" s="78">
        <v>44778.485219907408</v>
      </c>
      <c r="AN589" s="76"/>
      <c r="AO589" s="76" t="s">
        <v>18678</v>
      </c>
      <c r="AP589" s="83" t="str">
        <f>HYPERLINK("https://t.co/CesD7cNvc7")</f>
        <v>https://t.co/CesD7cNvc7</v>
      </c>
      <c r="AQ589" s="83" t="str">
        <f>HYPERLINK("https://linktr.ee/hydrainveste")</f>
        <v>https://linktr.ee/hydrainveste</v>
      </c>
      <c r="AR589" s="76" t="s">
        <v>19345</v>
      </c>
      <c r="AS589" s="76"/>
      <c r="AT589" s="76"/>
      <c r="AU589" s="76"/>
      <c r="AV589" s="76"/>
      <c r="AW589" s="83" t="str">
        <f>HYPERLINK("https://t.co/CesD7cNvc7")</f>
        <v>https://t.co/CesD7cNvc7</v>
      </c>
      <c r="AX589" s="76" t="b">
        <v>0</v>
      </c>
      <c r="AY589" s="76"/>
      <c r="AZ589" s="76"/>
      <c r="BA589" s="76" t="b">
        <v>0</v>
      </c>
      <c r="BB589" s="76" t="b">
        <v>1</v>
      </c>
      <c r="BC589" s="76" t="b">
        <v>1</v>
      </c>
      <c r="BD589" s="76" t="b">
        <v>0</v>
      </c>
      <c r="BE589" s="76" t="b">
        <v>0</v>
      </c>
      <c r="BF589" s="76" t="b">
        <v>0</v>
      </c>
      <c r="BG589" s="76" t="b">
        <v>0</v>
      </c>
      <c r="BH589" s="83" t="str">
        <f>HYPERLINK("https://pbs.twimg.com/profile_banners/1555518586403405825/1659708346")</f>
        <v>https://pbs.twimg.com/profile_banners/1555518586403405825/1659708346</v>
      </c>
      <c r="BI589" s="76"/>
      <c r="BJ589" s="76" t="s">
        <v>19633</v>
      </c>
      <c r="BK589" s="76" t="b">
        <v>0</v>
      </c>
      <c r="BL589" s="76"/>
      <c r="BM589" s="76" t="s">
        <v>66</v>
      </c>
      <c r="BN589" s="76" t="s">
        <v>19635</v>
      </c>
      <c r="BO589" s="83" t="str">
        <f>HYPERLINK("https://twitter.com/hydrainveste")</f>
        <v>https://twitter.com/hydrainveste</v>
      </c>
      <c r="BP589" s="2"/>
    </row>
    <row r="590" spans="1:68" x14ac:dyDescent="0.25">
      <c r="A590" s="62" t="s">
        <v>739</v>
      </c>
      <c r="B590" s="63"/>
      <c r="C590" s="63"/>
      <c r="D590" s="64"/>
      <c r="E590" s="66"/>
      <c r="F590" s="103" t="str">
        <f>HYPERLINK("https://pbs.twimg.com/profile_images/1239475147939155969/i-NbYZNr_normal.jpg")</f>
        <v>https://pbs.twimg.com/profile_images/1239475147939155969/i-NbYZNr_normal.jpg</v>
      </c>
      <c r="G590" s="63"/>
      <c r="H590" s="67"/>
      <c r="I590" s="68"/>
      <c r="J590" s="68"/>
      <c r="K590" s="67" t="s">
        <v>20222</v>
      </c>
      <c r="L590" s="71"/>
      <c r="M590" s="72"/>
      <c r="N590" s="72"/>
      <c r="O590" s="73"/>
      <c r="P590" s="74"/>
      <c r="Q590" s="74"/>
      <c r="R590" s="87"/>
      <c r="S590" s="87"/>
      <c r="T590" s="87"/>
      <c r="U590" s="87"/>
      <c r="V590" s="48"/>
      <c r="W590" s="48"/>
      <c r="X590" s="47">
        <v>1.101E-3</v>
      </c>
      <c r="Y590" s="48"/>
      <c r="Z590" s="47"/>
      <c r="AA590" s="69">
        <v>590</v>
      </c>
      <c r="AB590" s="69"/>
      <c r="AC590" s="70"/>
      <c r="AD590" s="76" t="s">
        <v>17221</v>
      </c>
      <c r="AE590" s="81" t="s">
        <v>17738</v>
      </c>
      <c r="AF590" s="76">
        <v>21</v>
      </c>
      <c r="AG590" s="76">
        <v>49</v>
      </c>
      <c r="AH590" s="76">
        <v>20</v>
      </c>
      <c r="AI590" s="76">
        <v>1</v>
      </c>
      <c r="AJ590" s="76">
        <v>8</v>
      </c>
      <c r="AK590" s="76">
        <v>0</v>
      </c>
      <c r="AL590" s="76" t="b">
        <v>0</v>
      </c>
      <c r="AM590" s="78">
        <v>41207.024178240739</v>
      </c>
      <c r="AN590" s="76" t="s">
        <v>18052</v>
      </c>
      <c r="AO590" s="76" t="s">
        <v>18679</v>
      </c>
      <c r="AP590" s="83" t="str">
        <f>HYPERLINK("https://t.co/dJzGk8bTGr")</f>
        <v>https://t.co/dJzGk8bTGr</v>
      </c>
      <c r="AQ590" s="83" t="str">
        <f>HYPERLINK("https://instagram.com/investidor_ne?igshid=1aiz0jbzt79l0")</f>
        <v>https://instagram.com/investidor_ne?igshid=1aiz0jbzt79l0</v>
      </c>
      <c r="AR590" s="76" t="s">
        <v>19346</v>
      </c>
      <c r="AS590" s="76"/>
      <c r="AT590" s="76"/>
      <c r="AU590" s="76"/>
      <c r="AV590" s="76"/>
      <c r="AW590" s="83" t="str">
        <f>HYPERLINK("https://t.co/dJzGk8bTGr")</f>
        <v>https://t.co/dJzGk8bTGr</v>
      </c>
      <c r="AX590" s="76" t="b">
        <v>0</v>
      </c>
      <c r="AY590" s="76"/>
      <c r="AZ590" s="76"/>
      <c r="BA590" s="76" t="b">
        <v>0</v>
      </c>
      <c r="BB590" s="76" t="b">
        <v>1</v>
      </c>
      <c r="BC590" s="76" t="b">
        <v>0</v>
      </c>
      <c r="BD590" s="76" t="b">
        <v>0</v>
      </c>
      <c r="BE590" s="76" t="b">
        <v>0</v>
      </c>
      <c r="BF590" s="76" t="b">
        <v>0</v>
      </c>
      <c r="BG590" s="76" t="b">
        <v>0</v>
      </c>
      <c r="BH590" s="83" t="str">
        <f>HYPERLINK("https://pbs.twimg.com/profile_banners/902902700/1436310856")</f>
        <v>https://pbs.twimg.com/profile_banners/902902700/1436310856</v>
      </c>
      <c r="BI590" s="76"/>
      <c r="BJ590" s="76" t="s">
        <v>19633</v>
      </c>
      <c r="BK590" s="76" t="b">
        <v>0</v>
      </c>
      <c r="BL590" s="76"/>
      <c r="BM590" s="76" t="s">
        <v>66</v>
      </c>
      <c r="BN590" s="76" t="s">
        <v>19635</v>
      </c>
      <c r="BO590" s="83" t="str">
        <f>HYPERLINK("https://twitter.com/possasmarcelo")</f>
        <v>https://twitter.com/possasmarcelo</v>
      </c>
      <c r="BP590" s="2"/>
    </row>
    <row r="591" spans="1:68" x14ac:dyDescent="0.25">
      <c r="A591" s="62" t="s">
        <v>740</v>
      </c>
      <c r="B591" s="63"/>
      <c r="C591" s="63"/>
      <c r="D591" s="64"/>
      <c r="E591" s="66"/>
      <c r="F591" s="103" t="str">
        <f>HYPERLINK("https://pbs.twimg.com/profile_images/1593076677403459585/MkgIbXGg_normal.jpg")</f>
        <v>https://pbs.twimg.com/profile_images/1593076677403459585/MkgIbXGg_normal.jpg</v>
      </c>
      <c r="G591" s="63"/>
      <c r="H591" s="67"/>
      <c r="I591" s="68"/>
      <c r="J591" s="68"/>
      <c r="K591" s="67" t="s">
        <v>20223</v>
      </c>
      <c r="L591" s="71"/>
      <c r="M591" s="72"/>
      <c r="N591" s="72"/>
      <c r="O591" s="73"/>
      <c r="P591" s="74"/>
      <c r="Q591" s="74"/>
      <c r="R591" s="87"/>
      <c r="S591" s="87"/>
      <c r="T591" s="87"/>
      <c r="U591" s="87"/>
      <c r="V591" s="48"/>
      <c r="W591" s="48"/>
      <c r="X591" s="47">
        <v>1.101E-3</v>
      </c>
      <c r="Y591" s="48"/>
      <c r="Z591" s="47"/>
      <c r="AA591" s="69">
        <v>591</v>
      </c>
      <c r="AB591" s="69"/>
      <c r="AC591" s="70"/>
      <c r="AD591" s="76" t="s">
        <v>17222</v>
      </c>
      <c r="AE591" s="81" t="s">
        <v>16426</v>
      </c>
      <c r="AF591" s="76">
        <v>0</v>
      </c>
      <c r="AG591" s="76">
        <v>3</v>
      </c>
      <c r="AH591" s="76">
        <v>16</v>
      </c>
      <c r="AI591" s="76">
        <v>0</v>
      </c>
      <c r="AJ591" s="76">
        <v>400</v>
      </c>
      <c r="AK591" s="76">
        <v>9</v>
      </c>
      <c r="AL591" s="76" t="b">
        <v>0</v>
      </c>
      <c r="AM591" s="78">
        <v>44850.848321759258</v>
      </c>
      <c r="AN591" s="76"/>
      <c r="AO591" s="76" t="s">
        <v>18680</v>
      </c>
      <c r="AP591" s="76"/>
      <c r="AQ591" s="76"/>
      <c r="AR591" s="76"/>
      <c r="AS591" s="76"/>
      <c r="AT591" s="76"/>
      <c r="AU591" s="76"/>
      <c r="AV591" s="76"/>
      <c r="AW591" s="76"/>
      <c r="AX591" s="76" t="b">
        <v>0</v>
      </c>
      <c r="AY591" s="76"/>
      <c r="AZ591" s="76"/>
      <c r="BA591" s="76" t="b">
        <v>0</v>
      </c>
      <c r="BB591" s="76" t="b">
        <v>1</v>
      </c>
      <c r="BC591" s="76" t="b">
        <v>1</v>
      </c>
      <c r="BD591" s="76" t="b">
        <v>0</v>
      </c>
      <c r="BE591" s="76" t="b">
        <v>0</v>
      </c>
      <c r="BF591" s="76" t="b">
        <v>0</v>
      </c>
      <c r="BG591" s="76" t="b">
        <v>0</v>
      </c>
      <c r="BH591" s="83" t="str">
        <f>HYPERLINK("https://pbs.twimg.com/profile_banners/1581741621456130049/1668654053")</f>
        <v>https://pbs.twimg.com/profile_banners/1581741621456130049/1668654053</v>
      </c>
      <c r="BI591" s="76"/>
      <c r="BJ591" s="76" t="s">
        <v>19633</v>
      </c>
      <c r="BK591" s="76" t="b">
        <v>0</v>
      </c>
      <c r="BL591" s="76"/>
      <c r="BM591" s="76" t="s">
        <v>66</v>
      </c>
      <c r="BN591" s="76" t="s">
        <v>19635</v>
      </c>
      <c r="BO591" s="83" t="str">
        <f>HYPERLINK("https://twitter.com/vozdavan")</f>
        <v>https://twitter.com/vozdavan</v>
      </c>
      <c r="BP591" s="2"/>
    </row>
    <row r="592" spans="1:68" x14ac:dyDescent="0.25">
      <c r="A592" s="62" t="s">
        <v>741</v>
      </c>
      <c r="B592" s="63"/>
      <c r="C592" s="63"/>
      <c r="D592" s="64"/>
      <c r="E592" s="66"/>
      <c r="F592" s="103" t="str">
        <f>HYPERLINK("https://pbs.twimg.com/profile_images/1622408838652502017/fF8bB4ax_normal.jpg")</f>
        <v>https://pbs.twimg.com/profile_images/1622408838652502017/fF8bB4ax_normal.jpg</v>
      </c>
      <c r="G592" s="63"/>
      <c r="H592" s="67"/>
      <c r="I592" s="68"/>
      <c r="J592" s="68"/>
      <c r="K592" s="67" t="s">
        <v>20224</v>
      </c>
      <c r="L592" s="71"/>
      <c r="M592" s="72"/>
      <c r="N592" s="72"/>
      <c r="O592" s="73"/>
      <c r="P592" s="74"/>
      <c r="Q592" s="74"/>
      <c r="R592" s="87"/>
      <c r="S592" s="87"/>
      <c r="T592" s="87"/>
      <c r="U592" s="87"/>
      <c r="V592" s="48"/>
      <c r="W592" s="48"/>
      <c r="X592" s="47">
        <v>1.101E-3</v>
      </c>
      <c r="Y592" s="48"/>
      <c r="Z592" s="47"/>
      <c r="AA592" s="69">
        <v>592</v>
      </c>
      <c r="AB592" s="69"/>
      <c r="AC592" s="70"/>
      <c r="AD592" s="76" t="s">
        <v>17223</v>
      </c>
      <c r="AE592" s="81" t="s">
        <v>17739</v>
      </c>
      <c r="AF592" s="76">
        <v>555</v>
      </c>
      <c r="AG592" s="76">
        <v>136</v>
      </c>
      <c r="AH592" s="76">
        <v>47538</v>
      </c>
      <c r="AI592" s="76">
        <v>6</v>
      </c>
      <c r="AJ592" s="76">
        <v>49</v>
      </c>
      <c r="AK592" s="76">
        <v>9012</v>
      </c>
      <c r="AL592" s="76" t="b">
        <v>0</v>
      </c>
      <c r="AM592" s="78">
        <v>39982.946400462963</v>
      </c>
      <c r="AN592" s="76" t="s">
        <v>10552</v>
      </c>
      <c r="AO592" s="76" t="s">
        <v>18681</v>
      </c>
      <c r="AP592" s="83" t="str">
        <f>HYPERLINK("https://t.co/RfVitWPUcd")</f>
        <v>https://t.co/RfVitWPUcd</v>
      </c>
      <c r="AQ592" s="83" t="str">
        <f>HYPERLINK("http://www.momentoverdadeiro.com")</f>
        <v>http://www.momentoverdadeiro.com</v>
      </c>
      <c r="AR592" s="76" t="s">
        <v>19347</v>
      </c>
      <c r="AS592" s="76"/>
      <c r="AT592" s="76"/>
      <c r="AU592" s="76"/>
      <c r="AV592" s="76"/>
      <c r="AW592" s="83" t="str">
        <f>HYPERLINK("https://t.co/RfVitWPUcd")</f>
        <v>https://t.co/RfVitWPUcd</v>
      </c>
      <c r="AX592" s="76" t="b">
        <v>0</v>
      </c>
      <c r="AY592" s="76"/>
      <c r="AZ592" s="76"/>
      <c r="BA592" s="76" t="b">
        <v>0</v>
      </c>
      <c r="BB592" s="76" t="b">
        <v>1</v>
      </c>
      <c r="BC592" s="76" t="b">
        <v>0</v>
      </c>
      <c r="BD592" s="76" t="b">
        <v>0</v>
      </c>
      <c r="BE592" s="76" t="b">
        <v>1</v>
      </c>
      <c r="BF592" s="76" t="b">
        <v>0</v>
      </c>
      <c r="BG592" s="76" t="b">
        <v>0</v>
      </c>
      <c r="BH592" s="83" t="str">
        <f>HYPERLINK("https://pbs.twimg.com/profile_banners/48518838/1692017772")</f>
        <v>https://pbs.twimg.com/profile_banners/48518838/1692017772</v>
      </c>
      <c r="BI592" s="76"/>
      <c r="BJ592" s="76" t="s">
        <v>19633</v>
      </c>
      <c r="BK592" s="76" t="b">
        <v>0</v>
      </c>
      <c r="BL592" s="76"/>
      <c r="BM592" s="76" t="s">
        <v>66</v>
      </c>
      <c r="BN592" s="76" t="s">
        <v>19635</v>
      </c>
      <c r="BO592" s="83" t="str">
        <f>HYPERLINK("https://twitter.com/momentoverdade")</f>
        <v>https://twitter.com/momentoverdade</v>
      </c>
      <c r="BP592" s="2"/>
    </row>
    <row r="593" spans="1:68" x14ac:dyDescent="0.25">
      <c r="A593" s="62" t="s">
        <v>1106</v>
      </c>
      <c r="B593" s="63"/>
      <c r="C593" s="63"/>
      <c r="D593" s="64"/>
      <c r="E593" s="66"/>
      <c r="F593" s="103" t="str">
        <f>HYPERLINK("https://pbs.twimg.com/profile_images/1330794469428486144/w3Fuu1mn_normal.jpg")</f>
        <v>https://pbs.twimg.com/profile_images/1330794469428486144/w3Fuu1mn_normal.jpg</v>
      </c>
      <c r="G593" s="63"/>
      <c r="H593" s="67"/>
      <c r="I593" s="68"/>
      <c r="J593" s="68"/>
      <c r="K593" s="67" t="s">
        <v>20225</v>
      </c>
      <c r="L593" s="71"/>
      <c r="M593" s="72"/>
      <c r="N593" s="72"/>
      <c r="O593" s="73"/>
      <c r="P593" s="74"/>
      <c r="Q593" s="74"/>
      <c r="R593" s="87"/>
      <c r="S593" s="87"/>
      <c r="T593" s="87"/>
      <c r="U593" s="87"/>
      <c r="V593" s="48"/>
      <c r="W593" s="48"/>
      <c r="X593" s="47">
        <v>1.1180000000000001E-3</v>
      </c>
      <c r="Y593" s="48"/>
      <c r="Z593" s="47"/>
      <c r="AA593" s="69">
        <v>593</v>
      </c>
      <c r="AB593" s="69"/>
      <c r="AC593" s="70"/>
      <c r="AD593" s="76" t="s">
        <v>17224</v>
      </c>
      <c r="AE593" s="81" t="s">
        <v>17740</v>
      </c>
      <c r="AF593" s="76">
        <v>3193</v>
      </c>
      <c r="AG593" s="76">
        <v>34</v>
      </c>
      <c r="AH593" s="76">
        <v>372</v>
      </c>
      <c r="AI593" s="76">
        <v>24</v>
      </c>
      <c r="AJ593" s="76">
        <v>48</v>
      </c>
      <c r="AK593" s="76">
        <v>33</v>
      </c>
      <c r="AL593" s="76" t="b">
        <v>0</v>
      </c>
      <c r="AM593" s="78">
        <v>43862.730949074074</v>
      </c>
      <c r="AN593" s="76" t="s">
        <v>10561</v>
      </c>
      <c r="AO593" s="76" t="s">
        <v>18682</v>
      </c>
      <c r="AP593" s="76"/>
      <c r="AQ593" s="76"/>
      <c r="AR593" s="76"/>
      <c r="AS593" s="76"/>
      <c r="AT593" s="76"/>
      <c r="AU593" s="76"/>
      <c r="AV593" s="76"/>
      <c r="AW593" s="76"/>
      <c r="AX593" s="76" t="b">
        <v>0</v>
      </c>
      <c r="AY593" s="76"/>
      <c r="AZ593" s="76"/>
      <c r="BA593" s="76" t="b">
        <v>0</v>
      </c>
      <c r="BB593" s="76" t="b">
        <v>1</v>
      </c>
      <c r="BC593" s="76" t="b">
        <v>1</v>
      </c>
      <c r="BD593" s="76" t="b">
        <v>0</v>
      </c>
      <c r="BE593" s="76" t="b">
        <v>0</v>
      </c>
      <c r="BF593" s="76" t="b">
        <v>0</v>
      </c>
      <c r="BG593" s="76" t="b">
        <v>0</v>
      </c>
      <c r="BH593" s="83" t="str">
        <f>HYPERLINK("https://pbs.twimg.com/profile_banners/1223660386689470465/1680553808")</f>
        <v>https://pbs.twimg.com/profile_banners/1223660386689470465/1680553808</v>
      </c>
      <c r="BI593" s="76"/>
      <c r="BJ593" s="76" t="s">
        <v>19633</v>
      </c>
      <c r="BK593" s="76" t="b">
        <v>0</v>
      </c>
      <c r="BL593" s="76"/>
      <c r="BM593" s="76" t="s">
        <v>65</v>
      </c>
      <c r="BN593" s="76" t="s">
        <v>19635</v>
      </c>
      <c r="BO593" s="83" t="str">
        <f>HYPERLINK("https://twitter.com/professormira1")</f>
        <v>https://twitter.com/professormira1</v>
      </c>
      <c r="BP593" s="2"/>
    </row>
    <row r="594" spans="1:68" x14ac:dyDescent="0.25">
      <c r="A594" s="62" t="s">
        <v>742</v>
      </c>
      <c r="B594" s="63"/>
      <c r="C594" s="63"/>
      <c r="D594" s="64"/>
      <c r="E594" s="66"/>
      <c r="F594" s="103" t="str">
        <f>HYPERLINK("https://pbs.twimg.com/profile_images/1415832029162258433/6sru8bxk_normal.jpg")</f>
        <v>https://pbs.twimg.com/profile_images/1415832029162258433/6sru8bxk_normal.jpg</v>
      </c>
      <c r="G594" s="63"/>
      <c r="H594" s="67"/>
      <c r="I594" s="68"/>
      <c r="J594" s="68"/>
      <c r="K594" s="67" t="s">
        <v>20226</v>
      </c>
      <c r="L594" s="71"/>
      <c r="M594" s="72"/>
      <c r="N594" s="72"/>
      <c r="O594" s="73"/>
      <c r="P594" s="74"/>
      <c r="Q594" s="74"/>
      <c r="R594" s="87"/>
      <c r="S594" s="87"/>
      <c r="T594" s="87"/>
      <c r="U594" s="87"/>
      <c r="V594" s="48"/>
      <c r="W594" s="48"/>
      <c r="X594" s="47">
        <v>9.6500000000000004E-4</v>
      </c>
      <c r="Y594" s="48"/>
      <c r="Z594" s="47"/>
      <c r="AA594" s="69">
        <v>594</v>
      </c>
      <c r="AB594" s="69"/>
      <c r="AC594" s="70"/>
      <c r="AD594" s="76" t="s">
        <v>17225</v>
      </c>
      <c r="AE594" s="81" t="s">
        <v>17741</v>
      </c>
      <c r="AF594" s="76">
        <v>757</v>
      </c>
      <c r="AG594" s="76">
        <v>660</v>
      </c>
      <c r="AH594" s="76">
        <v>1113</v>
      </c>
      <c r="AI594" s="76">
        <v>5</v>
      </c>
      <c r="AJ594" s="76">
        <v>2117</v>
      </c>
      <c r="AK594" s="76">
        <v>69</v>
      </c>
      <c r="AL594" s="76" t="b">
        <v>0</v>
      </c>
      <c r="AM594" s="78">
        <v>41269.654861111114</v>
      </c>
      <c r="AN594" s="76" t="s">
        <v>10561</v>
      </c>
      <c r="AO594" s="76" t="s">
        <v>18683</v>
      </c>
      <c r="AP594" s="83" t="str">
        <f>HYPERLINK("https://t.co/QPlekRdmuW")</f>
        <v>https://t.co/QPlekRdmuW</v>
      </c>
      <c r="AQ594" s="83" t="str">
        <f>HYPERLINK("https://noticiasdatv.uol.com.br/")</f>
        <v>https://noticiasdatv.uol.com.br/</v>
      </c>
      <c r="AR594" s="76" t="s">
        <v>19348</v>
      </c>
      <c r="AS594" s="76"/>
      <c r="AT594" s="76"/>
      <c r="AU594" s="76"/>
      <c r="AV594" s="76"/>
      <c r="AW594" s="83" t="str">
        <f>HYPERLINK("https://t.co/QPlekRdmuW")</f>
        <v>https://t.co/QPlekRdmuW</v>
      </c>
      <c r="AX594" s="76" t="b">
        <v>0</v>
      </c>
      <c r="AY594" s="76"/>
      <c r="AZ594" s="76"/>
      <c r="BA594" s="76" t="b">
        <v>1</v>
      </c>
      <c r="BB594" s="76" t="b">
        <v>0</v>
      </c>
      <c r="BC594" s="76" t="b">
        <v>0</v>
      </c>
      <c r="BD594" s="76" t="b">
        <v>0</v>
      </c>
      <c r="BE594" s="76" t="b">
        <v>1</v>
      </c>
      <c r="BF594" s="76" t="b">
        <v>0</v>
      </c>
      <c r="BG594" s="76" t="b">
        <v>0</v>
      </c>
      <c r="BH594" s="83" t="str">
        <f>HYPERLINK("https://pbs.twimg.com/profile_banners/1037421877/1579834077")</f>
        <v>https://pbs.twimg.com/profile_banners/1037421877/1579834077</v>
      </c>
      <c r="BI594" s="76"/>
      <c r="BJ594" s="76" t="s">
        <v>19633</v>
      </c>
      <c r="BK594" s="76" t="b">
        <v>0</v>
      </c>
      <c r="BL594" s="76"/>
      <c r="BM594" s="76" t="s">
        <v>66</v>
      </c>
      <c r="BN594" s="76" t="s">
        <v>19635</v>
      </c>
      <c r="BO594" s="83" t="str">
        <f>HYPERLINK("https://twitter.com/luizamrl")</f>
        <v>https://twitter.com/luizamrl</v>
      </c>
      <c r="BP594" s="2"/>
    </row>
    <row r="595" spans="1:68" x14ac:dyDescent="0.25">
      <c r="A595" s="62" t="s">
        <v>743</v>
      </c>
      <c r="B595" s="63"/>
      <c r="C595" s="63"/>
      <c r="D595" s="64"/>
      <c r="E595" s="66"/>
      <c r="F595" s="103" t="str">
        <f>HYPERLINK("https://pbs.twimg.com/profile_images/1502637570357932038/UInPCr2M_normal.jpg")</f>
        <v>https://pbs.twimg.com/profile_images/1502637570357932038/UInPCr2M_normal.jpg</v>
      </c>
      <c r="G595" s="63"/>
      <c r="H595" s="67"/>
      <c r="I595" s="68"/>
      <c r="J595" s="68"/>
      <c r="K595" s="67" t="s">
        <v>20227</v>
      </c>
      <c r="L595" s="71"/>
      <c r="M595" s="72"/>
      <c r="N595" s="72"/>
      <c r="O595" s="73"/>
      <c r="P595" s="74"/>
      <c r="Q595" s="74"/>
      <c r="R595" s="87"/>
      <c r="S595" s="87"/>
      <c r="T595" s="87"/>
      <c r="U595" s="87"/>
      <c r="V595" s="48"/>
      <c r="W595" s="48"/>
      <c r="X595" s="47">
        <v>1.101E-3</v>
      </c>
      <c r="Y595" s="48"/>
      <c r="Z595" s="47"/>
      <c r="AA595" s="69">
        <v>595</v>
      </c>
      <c r="AB595" s="69"/>
      <c r="AC595" s="70"/>
      <c r="AD595" s="76" t="s">
        <v>17226</v>
      </c>
      <c r="AE595" s="81" t="s">
        <v>17742</v>
      </c>
      <c r="AF595" s="76">
        <v>35</v>
      </c>
      <c r="AG595" s="76">
        <v>19</v>
      </c>
      <c r="AH595" s="76">
        <v>116</v>
      </c>
      <c r="AI595" s="76">
        <v>0</v>
      </c>
      <c r="AJ595" s="76">
        <v>11</v>
      </c>
      <c r="AK595" s="76">
        <v>72</v>
      </c>
      <c r="AL595" s="76" t="b">
        <v>0</v>
      </c>
      <c r="AM595" s="78">
        <v>40947.892280092594</v>
      </c>
      <c r="AN595" s="76" t="s">
        <v>10554</v>
      </c>
      <c r="AO595" s="76" t="s">
        <v>18684</v>
      </c>
      <c r="AP595" s="76"/>
      <c r="AQ595" s="76"/>
      <c r="AR595" s="76"/>
      <c r="AS595" s="76"/>
      <c r="AT595" s="76"/>
      <c r="AU595" s="76"/>
      <c r="AV595" s="76">
        <v>6.9785558862623104E+17</v>
      </c>
      <c r="AW595" s="76"/>
      <c r="AX595" s="76" t="b">
        <v>0</v>
      </c>
      <c r="AY595" s="76"/>
      <c r="AZ595" s="76"/>
      <c r="BA595" s="76" t="b">
        <v>0</v>
      </c>
      <c r="BB595" s="76" t="b">
        <v>1</v>
      </c>
      <c r="BC595" s="76" t="b">
        <v>0</v>
      </c>
      <c r="BD595" s="76" t="b">
        <v>0</v>
      </c>
      <c r="BE595" s="76" t="b">
        <v>0</v>
      </c>
      <c r="BF595" s="76" t="b">
        <v>0</v>
      </c>
      <c r="BG595" s="76" t="b">
        <v>0</v>
      </c>
      <c r="BH595" s="83" t="str">
        <f>HYPERLINK("https://pbs.twimg.com/profile_banners/486965693/1647091591")</f>
        <v>https://pbs.twimg.com/profile_banners/486965693/1647091591</v>
      </c>
      <c r="BI595" s="76"/>
      <c r="BJ595" s="76" t="s">
        <v>19633</v>
      </c>
      <c r="BK595" s="76" t="b">
        <v>0</v>
      </c>
      <c r="BL595" s="76"/>
      <c r="BM595" s="76" t="s">
        <v>66</v>
      </c>
      <c r="BN595" s="76" t="s">
        <v>19635</v>
      </c>
      <c r="BO595" s="83" t="str">
        <f>HYPERLINK("https://twitter.com/algarveiberica")</f>
        <v>https://twitter.com/algarveiberica</v>
      </c>
      <c r="BP595" s="2"/>
    </row>
    <row r="596" spans="1:68" x14ac:dyDescent="0.25">
      <c r="A596" s="62" t="s">
        <v>744</v>
      </c>
      <c r="B596" s="63"/>
      <c r="C596" s="63"/>
      <c r="D596" s="64"/>
      <c r="E596" s="66"/>
      <c r="F596" s="103" t="str">
        <f>HYPERLINK("https://pbs.twimg.com/profile_images/1587403317038178304/F9_mfPbp_normal.jpg")</f>
        <v>https://pbs.twimg.com/profile_images/1587403317038178304/F9_mfPbp_normal.jpg</v>
      </c>
      <c r="G596" s="63"/>
      <c r="H596" s="67"/>
      <c r="I596" s="68"/>
      <c r="J596" s="68"/>
      <c r="K596" s="67" t="s">
        <v>20228</v>
      </c>
      <c r="L596" s="71"/>
      <c r="M596" s="72"/>
      <c r="N596" s="72"/>
      <c r="O596" s="73"/>
      <c r="P596" s="74"/>
      <c r="Q596" s="74"/>
      <c r="R596" s="87"/>
      <c r="S596" s="87"/>
      <c r="T596" s="87"/>
      <c r="U596" s="87"/>
      <c r="V596" s="48"/>
      <c r="W596" s="48"/>
      <c r="X596" s="47">
        <v>1.101E-3</v>
      </c>
      <c r="Y596" s="48"/>
      <c r="Z596" s="47"/>
      <c r="AA596" s="69">
        <v>596</v>
      </c>
      <c r="AB596" s="69"/>
      <c r="AC596" s="70"/>
      <c r="AD596" s="76" t="s">
        <v>17227</v>
      </c>
      <c r="AE596" s="81" t="s">
        <v>17743</v>
      </c>
      <c r="AF596" s="76">
        <v>44</v>
      </c>
      <c r="AG596" s="76">
        <v>273</v>
      </c>
      <c r="AH596" s="76">
        <v>403</v>
      </c>
      <c r="AI596" s="76">
        <v>3</v>
      </c>
      <c r="AJ596" s="76">
        <v>666</v>
      </c>
      <c r="AK596" s="76">
        <v>23</v>
      </c>
      <c r="AL596" s="76" t="b">
        <v>0</v>
      </c>
      <c r="AM596" s="78">
        <v>42008.853541666664</v>
      </c>
      <c r="AN596" s="76"/>
      <c r="AO596" s="76" t="s">
        <v>18685</v>
      </c>
      <c r="AP596" s="76"/>
      <c r="AQ596" s="76"/>
      <c r="AR596" s="76"/>
      <c r="AS596" s="76"/>
      <c r="AT596" s="76"/>
      <c r="AU596" s="76"/>
      <c r="AV596" s="76"/>
      <c r="AW596" s="76"/>
      <c r="AX596" s="76" t="b">
        <v>0</v>
      </c>
      <c r="AY596" s="76"/>
      <c r="AZ596" s="76"/>
      <c r="BA596" s="76" t="b">
        <v>0</v>
      </c>
      <c r="BB596" s="76" t="b">
        <v>1</v>
      </c>
      <c r="BC596" s="76" t="b">
        <v>1</v>
      </c>
      <c r="BD596" s="76" t="b">
        <v>0</v>
      </c>
      <c r="BE596" s="76" t="b">
        <v>1</v>
      </c>
      <c r="BF596" s="76" t="b">
        <v>0</v>
      </c>
      <c r="BG596" s="76" t="b">
        <v>0</v>
      </c>
      <c r="BH596" s="76"/>
      <c r="BI596" s="76"/>
      <c r="BJ596" s="76" t="s">
        <v>19633</v>
      </c>
      <c r="BK596" s="76" t="b">
        <v>0</v>
      </c>
      <c r="BL596" s="76"/>
      <c r="BM596" s="76" t="s">
        <v>66</v>
      </c>
      <c r="BN596" s="76" t="s">
        <v>19635</v>
      </c>
      <c r="BO596" s="83" t="str">
        <f>HYPERLINK("https://twitter.com/7c631721bedd411")</f>
        <v>https://twitter.com/7c631721bedd411</v>
      </c>
      <c r="BP596" s="2"/>
    </row>
    <row r="597" spans="1:68" x14ac:dyDescent="0.25">
      <c r="A597" s="62" t="s">
        <v>745</v>
      </c>
      <c r="B597" s="63"/>
      <c r="C597" s="63"/>
      <c r="D597" s="64"/>
      <c r="E597" s="66"/>
      <c r="F597" s="103" t="str">
        <f>HYPERLINK("https://pbs.twimg.com/profile_images/1594732407848144899/xb1Y4Q8f_normal.jpg")</f>
        <v>https://pbs.twimg.com/profile_images/1594732407848144899/xb1Y4Q8f_normal.jpg</v>
      </c>
      <c r="G597" s="63"/>
      <c r="H597" s="67"/>
      <c r="I597" s="68"/>
      <c r="J597" s="68"/>
      <c r="K597" s="67" t="s">
        <v>20229</v>
      </c>
      <c r="L597" s="71"/>
      <c r="M597" s="72"/>
      <c r="N597" s="72"/>
      <c r="O597" s="73"/>
      <c r="P597" s="74"/>
      <c r="Q597" s="74"/>
      <c r="R597" s="87"/>
      <c r="S597" s="87"/>
      <c r="T597" s="87"/>
      <c r="U597" s="87"/>
      <c r="V597" s="48"/>
      <c r="W597" s="48"/>
      <c r="X597" s="47">
        <v>1.0740000000000001E-3</v>
      </c>
      <c r="Y597" s="48"/>
      <c r="Z597" s="47"/>
      <c r="AA597" s="69">
        <v>597</v>
      </c>
      <c r="AB597" s="69"/>
      <c r="AC597" s="70"/>
      <c r="AD597" s="76" t="s">
        <v>7738</v>
      </c>
      <c r="AE597" s="81" t="s">
        <v>17744</v>
      </c>
      <c r="AF597" s="76">
        <v>206317</v>
      </c>
      <c r="AG597" s="76">
        <v>0</v>
      </c>
      <c r="AH597" s="76">
        <v>229001</v>
      </c>
      <c r="AI597" s="76">
        <v>1157</v>
      </c>
      <c r="AJ597" s="76">
        <v>185</v>
      </c>
      <c r="AK597" s="76">
        <v>31917</v>
      </c>
      <c r="AL597" s="76" t="b">
        <v>0</v>
      </c>
      <c r="AM597" s="78">
        <v>39787.005439814813</v>
      </c>
      <c r="AN597" s="76" t="s">
        <v>17938</v>
      </c>
      <c r="AO597" s="76" t="s">
        <v>18686</v>
      </c>
      <c r="AP597" s="83" t="str">
        <f>HYPERLINK("https://t.co/dNAFE3RmU9")</f>
        <v>https://t.co/dNAFE3RmU9</v>
      </c>
      <c r="AQ597" s="83" t="str">
        <f>HYPERLINK("https://www.jornaldenegocios.pt/assinaturas")</f>
        <v>https://www.jornaldenegocios.pt/assinaturas</v>
      </c>
      <c r="AR597" s="76" t="s">
        <v>19349</v>
      </c>
      <c r="AS597" s="76"/>
      <c r="AT597" s="76"/>
      <c r="AU597" s="76"/>
      <c r="AV597" s="76">
        <v>1.70188792375742E+18</v>
      </c>
      <c r="AW597" s="83" t="str">
        <f>HYPERLINK("https://t.co/dNAFE3RmU9")</f>
        <v>https://t.co/dNAFE3RmU9</v>
      </c>
      <c r="AX597" s="76" t="b">
        <v>0</v>
      </c>
      <c r="AY597" s="76"/>
      <c r="AZ597" s="76"/>
      <c r="BA597" s="76" t="b">
        <v>1</v>
      </c>
      <c r="BB597" s="76" t="b">
        <v>1</v>
      </c>
      <c r="BC597" s="76" t="b">
        <v>0</v>
      </c>
      <c r="BD597" s="76" t="b">
        <v>0</v>
      </c>
      <c r="BE597" s="76" t="b">
        <v>1</v>
      </c>
      <c r="BF597" s="76" t="b">
        <v>0</v>
      </c>
      <c r="BG597" s="76" t="b">
        <v>0</v>
      </c>
      <c r="BH597" s="83" t="str">
        <f>HYPERLINK("https://pbs.twimg.com/profile_banners/17884125/1452188020")</f>
        <v>https://pbs.twimg.com/profile_banners/17884125/1452188020</v>
      </c>
      <c r="BI597" s="76"/>
      <c r="BJ597" s="76" t="s">
        <v>19633</v>
      </c>
      <c r="BK597" s="76" t="b">
        <v>0</v>
      </c>
      <c r="BL597" s="76"/>
      <c r="BM597" s="76" t="s">
        <v>66</v>
      </c>
      <c r="BN597" s="76" t="s">
        <v>19635</v>
      </c>
      <c r="BO597" s="83" t="str">
        <f>HYPERLINK("https://twitter.com/jnegocios")</f>
        <v>https://twitter.com/jnegocios</v>
      </c>
      <c r="BP597" s="2"/>
    </row>
    <row r="598" spans="1:68" x14ac:dyDescent="0.25">
      <c r="A598" s="62" t="s">
        <v>746</v>
      </c>
      <c r="B598" s="63"/>
      <c r="C598" s="63"/>
      <c r="D598" s="64"/>
      <c r="E598" s="66"/>
      <c r="F598" s="103" t="str">
        <f>HYPERLINK("https://pbs.twimg.com/profile_images/1494034280338571265/5HQ_Gu6j_normal.jpg")</f>
        <v>https://pbs.twimg.com/profile_images/1494034280338571265/5HQ_Gu6j_normal.jpg</v>
      </c>
      <c r="G598" s="63"/>
      <c r="H598" s="67"/>
      <c r="I598" s="68"/>
      <c r="J598" s="68"/>
      <c r="K598" s="67" t="s">
        <v>20230</v>
      </c>
      <c r="L598" s="71"/>
      <c r="M598" s="72"/>
      <c r="N598" s="72"/>
      <c r="O598" s="73"/>
      <c r="P598" s="74"/>
      <c r="Q598" s="74"/>
      <c r="R598" s="87"/>
      <c r="S598" s="87"/>
      <c r="T598" s="87"/>
      <c r="U598" s="87"/>
      <c r="V598" s="48"/>
      <c r="W598" s="48"/>
      <c r="X598" s="47">
        <v>1.155E-3</v>
      </c>
      <c r="Y598" s="48"/>
      <c r="Z598" s="47"/>
      <c r="AA598" s="69">
        <v>598</v>
      </c>
      <c r="AB598" s="69"/>
      <c r="AC598" s="70"/>
      <c r="AD598" s="76" t="s">
        <v>17228</v>
      </c>
      <c r="AE598" s="81" t="s">
        <v>16427</v>
      </c>
      <c r="AF598" s="76">
        <v>40</v>
      </c>
      <c r="AG598" s="76">
        <v>92</v>
      </c>
      <c r="AH598" s="76">
        <v>2143</v>
      </c>
      <c r="AI598" s="76">
        <v>0</v>
      </c>
      <c r="AJ598" s="76">
        <v>663</v>
      </c>
      <c r="AK598" s="76">
        <v>50</v>
      </c>
      <c r="AL598" s="76" t="b">
        <v>0</v>
      </c>
      <c r="AM598" s="78">
        <v>44608.8202662037</v>
      </c>
      <c r="AN598" s="76" t="s">
        <v>18053</v>
      </c>
      <c r="AO598" s="76" t="s">
        <v>18687</v>
      </c>
      <c r="AP598" s="83" t="str">
        <f>HYPERLINK("https://t.co/yIPLP8RErk")</f>
        <v>https://t.co/yIPLP8RErk</v>
      </c>
      <c r="AQ598" s="83" t="str">
        <f>HYPERLINK("https://linktr.ee/caminhodoinvestimento")</f>
        <v>https://linktr.ee/caminhodoinvestimento</v>
      </c>
      <c r="AR598" s="76" t="s">
        <v>19350</v>
      </c>
      <c r="AS598" s="76"/>
      <c r="AT598" s="76"/>
      <c r="AU598" s="76"/>
      <c r="AV598" s="76"/>
      <c r="AW598" s="83" t="str">
        <f>HYPERLINK("https://t.co/yIPLP8RErk")</f>
        <v>https://t.co/yIPLP8RErk</v>
      </c>
      <c r="AX598" s="76" t="b">
        <v>0</v>
      </c>
      <c r="AY598" s="76"/>
      <c r="AZ598" s="76"/>
      <c r="BA598" s="76" t="b">
        <v>0</v>
      </c>
      <c r="BB598" s="76" t="b">
        <v>1</v>
      </c>
      <c r="BC598" s="76" t="b">
        <v>1</v>
      </c>
      <c r="BD598" s="76" t="b">
        <v>0</v>
      </c>
      <c r="BE598" s="76" t="b">
        <v>1</v>
      </c>
      <c r="BF598" s="76" t="b">
        <v>0</v>
      </c>
      <c r="BG598" s="76" t="b">
        <v>0</v>
      </c>
      <c r="BH598" s="83" t="str">
        <f>HYPERLINK("https://pbs.twimg.com/profile_banners/1494033577427849218/1646679519")</f>
        <v>https://pbs.twimg.com/profile_banners/1494033577427849218/1646679519</v>
      </c>
      <c r="BI598" s="76"/>
      <c r="BJ598" s="76" t="s">
        <v>19633</v>
      </c>
      <c r="BK598" s="76" t="b">
        <v>0</v>
      </c>
      <c r="BL598" s="76"/>
      <c r="BM598" s="76" t="s">
        <v>66</v>
      </c>
      <c r="BN598" s="76" t="s">
        <v>19635</v>
      </c>
      <c r="BO598" s="83" t="str">
        <f>HYPERLINK("https://twitter.com/caminhodoinves1")</f>
        <v>https://twitter.com/caminhodoinves1</v>
      </c>
      <c r="BP598" s="2"/>
    </row>
    <row r="599" spans="1:68" x14ac:dyDescent="0.25">
      <c r="A599" s="62" t="s">
        <v>825</v>
      </c>
      <c r="B599" s="63"/>
      <c r="C599" s="63"/>
      <c r="D599" s="64"/>
      <c r="E599" s="66"/>
      <c r="F599" s="103" t="str">
        <f>HYPERLINK("https://pbs.twimg.com/profile_images/1346051709643186176/a4XPfLCj_normal.jpg")</f>
        <v>https://pbs.twimg.com/profile_images/1346051709643186176/a4XPfLCj_normal.jpg</v>
      </c>
      <c r="G599" s="63"/>
      <c r="H599" s="67"/>
      <c r="I599" s="68"/>
      <c r="J599" s="68"/>
      <c r="K599" s="67" t="s">
        <v>20231</v>
      </c>
      <c r="L599" s="71"/>
      <c r="M599" s="72"/>
      <c r="N599" s="72"/>
      <c r="O599" s="73"/>
      <c r="P599" s="74"/>
      <c r="Q599" s="74"/>
      <c r="R599" s="87"/>
      <c r="S599" s="87"/>
      <c r="T599" s="87"/>
      <c r="U599" s="87"/>
      <c r="V599" s="48"/>
      <c r="W599" s="48"/>
      <c r="X599" s="47">
        <v>1.0740000000000001E-3</v>
      </c>
      <c r="Y599" s="48"/>
      <c r="Z599" s="47"/>
      <c r="AA599" s="69">
        <v>599</v>
      </c>
      <c r="AB599" s="69"/>
      <c r="AC599" s="70"/>
      <c r="AD599" s="76" t="s">
        <v>17229</v>
      </c>
      <c r="AE599" s="81" t="s">
        <v>17745</v>
      </c>
      <c r="AF599" s="76">
        <v>1043189</v>
      </c>
      <c r="AG599" s="76">
        <v>51</v>
      </c>
      <c r="AH599" s="76">
        <v>440083</v>
      </c>
      <c r="AI599" s="76">
        <v>2315</v>
      </c>
      <c r="AJ599" s="76">
        <v>108</v>
      </c>
      <c r="AK599" s="76">
        <v>47310</v>
      </c>
      <c r="AL599" s="76" t="b">
        <v>0</v>
      </c>
      <c r="AM599" s="78">
        <v>39756.765740740739</v>
      </c>
      <c r="AN599" s="76" t="s">
        <v>10554</v>
      </c>
      <c r="AO599" s="76" t="s">
        <v>18688</v>
      </c>
      <c r="AP599" s="83" t="str">
        <f>HYPERLINK("https://t.co/lIgExDvGpU")</f>
        <v>https://t.co/lIgExDvGpU</v>
      </c>
      <c r="AQ599" s="83" t="str">
        <f>HYPERLINK("https://sicnoticias.pt")</f>
        <v>https://sicnoticias.pt</v>
      </c>
      <c r="AR599" s="76" t="s">
        <v>19351</v>
      </c>
      <c r="AS599" s="76"/>
      <c r="AT599" s="76"/>
      <c r="AU599" s="76"/>
      <c r="AV599" s="76"/>
      <c r="AW599" s="83" t="str">
        <f>HYPERLINK("https://t.co/lIgExDvGpU")</f>
        <v>https://t.co/lIgExDvGpU</v>
      </c>
      <c r="AX599" s="76" t="b">
        <v>1</v>
      </c>
      <c r="AY599" s="76"/>
      <c r="AZ599" s="76"/>
      <c r="BA599" s="76" t="b">
        <v>0</v>
      </c>
      <c r="BB599" s="76" t="b">
        <v>1</v>
      </c>
      <c r="BC599" s="76" t="b">
        <v>0</v>
      </c>
      <c r="BD599" s="76" t="b">
        <v>0</v>
      </c>
      <c r="BE599" s="76" t="b">
        <v>0</v>
      </c>
      <c r="BF599" s="76" t="b">
        <v>0</v>
      </c>
      <c r="BG599" s="76" t="b">
        <v>0</v>
      </c>
      <c r="BH599" s="83" t="str">
        <f>HYPERLINK("https://pbs.twimg.com/profile_banners/17163446/1635876538")</f>
        <v>https://pbs.twimg.com/profile_banners/17163446/1635876538</v>
      </c>
      <c r="BI599" s="76"/>
      <c r="BJ599" s="76" t="s">
        <v>19633</v>
      </c>
      <c r="BK599" s="76" t="b">
        <v>0</v>
      </c>
      <c r="BL599" s="76"/>
      <c r="BM599" s="76" t="s">
        <v>66</v>
      </c>
      <c r="BN599" s="76" t="s">
        <v>19635</v>
      </c>
      <c r="BO599" s="83" t="str">
        <f>HYPERLINK("https://twitter.com/sicnoticias")</f>
        <v>https://twitter.com/sicnoticias</v>
      </c>
      <c r="BP599" s="2"/>
    </row>
    <row r="600" spans="1:68" x14ac:dyDescent="0.25">
      <c r="A600" s="62" t="s">
        <v>747</v>
      </c>
      <c r="B600" s="63"/>
      <c r="C600" s="63"/>
      <c r="D600" s="64"/>
      <c r="E600" s="66"/>
      <c r="F600" s="103" t="str">
        <f>HYPERLINK("https://pbs.twimg.com/profile_images/1652358141210763265/earuXguj_normal.jpg")</f>
        <v>https://pbs.twimg.com/profile_images/1652358141210763265/earuXguj_normal.jpg</v>
      </c>
      <c r="G600" s="63"/>
      <c r="H600" s="67"/>
      <c r="I600" s="68"/>
      <c r="J600" s="68"/>
      <c r="K600" s="67" t="s">
        <v>20232</v>
      </c>
      <c r="L600" s="71"/>
      <c r="M600" s="72"/>
      <c r="N600" s="72"/>
      <c r="O600" s="73"/>
      <c r="P600" s="74"/>
      <c r="Q600" s="74"/>
      <c r="R600" s="87"/>
      <c r="S600" s="87"/>
      <c r="T600" s="87"/>
      <c r="U600" s="87"/>
      <c r="V600" s="48"/>
      <c r="W600" s="48"/>
      <c r="X600" s="47">
        <v>1.101E-3</v>
      </c>
      <c r="Y600" s="48"/>
      <c r="Z600" s="47"/>
      <c r="AA600" s="69">
        <v>600</v>
      </c>
      <c r="AB600" s="69"/>
      <c r="AC600" s="70"/>
      <c r="AD600" s="76" t="s">
        <v>17230</v>
      </c>
      <c r="AE600" s="81" t="s">
        <v>16428</v>
      </c>
      <c r="AF600" s="76">
        <v>5</v>
      </c>
      <c r="AG600" s="76">
        <v>6</v>
      </c>
      <c r="AH600" s="76">
        <v>95</v>
      </c>
      <c r="AI600" s="76">
        <v>0</v>
      </c>
      <c r="AJ600" s="76">
        <v>1</v>
      </c>
      <c r="AK600" s="76">
        <v>91</v>
      </c>
      <c r="AL600" s="76" t="b">
        <v>0</v>
      </c>
      <c r="AM600" s="78">
        <v>44937.812280092592</v>
      </c>
      <c r="AN600" s="76" t="s">
        <v>10552</v>
      </c>
      <c r="AO600" s="76" t="s">
        <v>18689</v>
      </c>
      <c r="AP600" s="83" t="str">
        <f>HYPERLINK("https://t.co/fAIpDCHnpN")</f>
        <v>https://t.co/fAIpDCHnpN</v>
      </c>
      <c r="AQ600" s="83" t="str">
        <f>HYPERLINK("https://linktr.ee/_active_money")</f>
        <v>https://linktr.ee/_active_money</v>
      </c>
      <c r="AR600" s="76" t="s">
        <v>19352</v>
      </c>
      <c r="AS600" s="76"/>
      <c r="AT600" s="76"/>
      <c r="AU600" s="76"/>
      <c r="AV600" s="76">
        <v>1.67169908553379E+18</v>
      </c>
      <c r="AW600" s="83" t="str">
        <f>HYPERLINK("https://t.co/fAIpDCHnpN")</f>
        <v>https://t.co/fAIpDCHnpN</v>
      </c>
      <c r="AX600" s="76" t="b">
        <v>0</v>
      </c>
      <c r="AY600" s="76"/>
      <c r="AZ600" s="76"/>
      <c r="BA600" s="76" t="b">
        <v>1</v>
      </c>
      <c r="BB600" s="76" t="b">
        <v>0</v>
      </c>
      <c r="BC600" s="76" t="b">
        <v>1</v>
      </c>
      <c r="BD600" s="76" t="b">
        <v>0</v>
      </c>
      <c r="BE600" s="76" t="b">
        <v>0</v>
      </c>
      <c r="BF600" s="76" t="b">
        <v>0</v>
      </c>
      <c r="BG600" s="76" t="b">
        <v>0</v>
      </c>
      <c r="BH600" s="83" t="str">
        <f>HYPERLINK("https://pbs.twimg.com/profile_banners/1613256360438779905/1682786891")</f>
        <v>https://pbs.twimg.com/profile_banners/1613256360438779905/1682786891</v>
      </c>
      <c r="BI600" s="76"/>
      <c r="BJ600" s="76" t="s">
        <v>19633</v>
      </c>
      <c r="BK600" s="76" t="b">
        <v>0</v>
      </c>
      <c r="BL600" s="76"/>
      <c r="BM600" s="76" t="s">
        <v>66</v>
      </c>
      <c r="BN600" s="76" t="s">
        <v>19635</v>
      </c>
      <c r="BO600" s="83" t="str">
        <f>HYPERLINK("https://twitter.com/_active_money")</f>
        <v>https://twitter.com/_active_money</v>
      </c>
      <c r="BP600" s="2"/>
    </row>
    <row r="601" spans="1:68" x14ac:dyDescent="0.25">
      <c r="A601" s="62" t="s">
        <v>748</v>
      </c>
      <c r="B601" s="63"/>
      <c r="C601" s="63"/>
      <c r="D601" s="64"/>
      <c r="E601" s="66"/>
      <c r="F601" s="103" t="str">
        <f>HYPERLINK("https://pbs.twimg.com/profile_images/1652461514815680512/glO8tog0_normal.jpg")</f>
        <v>https://pbs.twimg.com/profile_images/1652461514815680512/glO8tog0_normal.jpg</v>
      </c>
      <c r="G601" s="63"/>
      <c r="H601" s="67"/>
      <c r="I601" s="68"/>
      <c r="J601" s="68"/>
      <c r="K601" s="67" t="s">
        <v>20233</v>
      </c>
      <c r="L601" s="71"/>
      <c r="M601" s="72"/>
      <c r="N601" s="72"/>
      <c r="O601" s="73"/>
      <c r="P601" s="74"/>
      <c r="Q601" s="74"/>
      <c r="R601" s="87"/>
      <c r="S601" s="87"/>
      <c r="T601" s="87"/>
      <c r="U601" s="87"/>
      <c r="V601" s="48"/>
      <c r="W601" s="48"/>
      <c r="X601" s="47">
        <v>1.101E-3</v>
      </c>
      <c r="Y601" s="48"/>
      <c r="Z601" s="47"/>
      <c r="AA601" s="69">
        <v>601</v>
      </c>
      <c r="AB601" s="69"/>
      <c r="AC601" s="70"/>
      <c r="AD601" s="76" t="s">
        <v>17231</v>
      </c>
      <c r="AE601" s="81" t="s">
        <v>16429</v>
      </c>
      <c r="AF601" s="76">
        <v>0</v>
      </c>
      <c r="AG601" s="76">
        <v>4</v>
      </c>
      <c r="AH601" s="76">
        <v>13</v>
      </c>
      <c r="AI601" s="76">
        <v>0</v>
      </c>
      <c r="AJ601" s="76">
        <v>1</v>
      </c>
      <c r="AK601" s="76">
        <v>6</v>
      </c>
      <c r="AL601" s="76" t="b">
        <v>0</v>
      </c>
      <c r="AM601" s="78">
        <v>45045.994664351849</v>
      </c>
      <c r="AN601" s="76"/>
      <c r="AO601" s="76" t="s">
        <v>18690</v>
      </c>
      <c r="AP601" s="83" t="str">
        <f>HYPERLINK("https://t.co/q4xLhWy11P")</f>
        <v>https://t.co/q4xLhWy11P</v>
      </c>
      <c r="AQ601" s="83" t="str">
        <f>HYPERLINK("http://instagram.com/leooomoraes")</f>
        <v>http://instagram.com/leooomoraes</v>
      </c>
      <c r="AR601" s="76" t="s">
        <v>19353</v>
      </c>
      <c r="AS601" s="76"/>
      <c r="AT601" s="76"/>
      <c r="AU601" s="76"/>
      <c r="AV601" s="76"/>
      <c r="AW601" s="83" t="str">
        <f>HYPERLINK("https://t.co/q4xLhWy11P")</f>
        <v>https://t.co/q4xLhWy11P</v>
      </c>
      <c r="AX601" s="76" t="b">
        <v>0</v>
      </c>
      <c r="AY601" s="76"/>
      <c r="AZ601" s="76"/>
      <c r="BA601" s="76" t="b">
        <v>0</v>
      </c>
      <c r="BB601" s="76" t="b">
        <v>1</v>
      </c>
      <c r="BC601" s="76" t="b">
        <v>1</v>
      </c>
      <c r="BD601" s="76" t="b">
        <v>0</v>
      </c>
      <c r="BE601" s="76" t="b">
        <v>0</v>
      </c>
      <c r="BF601" s="76" t="b">
        <v>0</v>
      </c>
      <c r="BG601" s="76" t="b">
        <v>0</v>
      </c>
      <c r="BH601" s="83" t="str">
        <f>HYPERLINK("https://pbs.twimg.com/profile_banners/1652460764211421184/1682812969")</f>
        <v>https://pbs.twimg.com/profile_banners/1652460764211421184/1682812969</v>
      </c>
      <c r="BI601" s="76"/>
      <c r="BJ601" s="76" t="s">
        <v>19633</v>
      </c>
      <c r="BK601" s="76" t="b">
        <v>0</v>
      </c>
      <c r="BL601" s="76"/>
      <c r="BM601" s="76" t="s">
        <v>66</v>
      </c>
      <c r="BN601" s="76" t="s">
        <v>19635</v>
      </c>
      <c r="BO601" s="83" t="str">
        <f>HYPERLINK("https://twitter.com/leormoraess")</f>
        <v>https://twitter.com/leormoraess</v>
      </c>
      <c r="BP601" s="2"/>
    </row>
    <row r="602" spans="1:68" x14ac:dyDescent="0.25">
      <c r="A602" s="62" t="s">
        <v>749</v>
      </c>
      <c r="B602" s="63"/>
      <c r="C602" s="63"/>
      <c r="D602" s="64"/>
      <c r="E602" s="66"/>
      <c r="F602" s="103" t="str">
        <f>HYPERLINK("https://pbs.twimg.com/profile_images/1558947921827184642/pT07OI6D_normal.jpg")</f>
        <v>https://pbs.twimg.com/profile_images/1558947921827184642/pT07OI6D_normal.jpg</v>
      </c>
      <c r="G602" s="63"/>
      <c r="H602" s="67"/>
      <c r="I602" s="68"/>
      <c r="J602" s="68"/>
      <c r="K602" s="67" t="s">
        <v>20234</v>
      </c>
      <c r="L602" s="71"/>
      <c r="M602" s="72"/>
      <c r="N602" s="72"/>
      <c r="O602" s="73"/>
      <c r="P602" s="74"/>
      <c r="Q602" s="74"/>
      <c r="R602" s="87"/>
      <c r="S602" s="87"/>
      <c r="T602" s="87"/>
      <c r="U602" s="87"/>
      <c r="V602" s="48"/>
      <c r="W602" s="48"/>
      <c r="X602" s="47">
        <v>1.101E-3</v>
      </c>
      <c r="Y602" s="48"/>
      <c r="Z602" s="47"/>
      <c r="AA602" s="69">
        <v>602</v>
      </c>
      <c r="AB602" s="69"/>
      <c r="AC602" s="70"/>
      <c r="AD602" s="76" t="s">
        <v>17232</v>
      </c>
      <c r="AE602" s="81" t="s">
        <v>15760</v>
      </c>
      <c r="AF602" s="76">
        <v>272</v>
      </c>
      <c r="AG602" s="76">
        <v>107</v>
      </c>
      <c r="AH602" s="76">
        <v>8123</v>
      </c>
      <c r="AI602" s="76">
        <v>4</v>
      </c>
      <c r="AJ602" s="76">
        <v>682</v>
      </c>
      <c r="AK602" s="76">
        <v>615</v>
      </c>
      <c r="AL602" s="76" t="b">
        <v>0</v>
      </c>
      <c r="AM602" s="78">
        <v>40034.879340277781</v>
      </c>
      <c r="AN602" s="76" t="s">
        <v>18054</v>
      </c>
      <c r="AO602" s="76" t="s">
        <v>18691</v>
      </c>
      <c r="AP602" s="83" t="str">
        <f>HYPERLINK("https://t.co/5ns7xMppFj")</f>
        <v>https://t.co/5ns7xMppFj</v>
      </c>
      <c r="AQ602" s="83" t="str">
        <f>HYPERLINK("http://advwesleycesar.com")</f>
        <v>http://advwesleycesar.com</v>
      </c>
      <c r="AR602" s="76" t="s">
        <v>19354</v>
      </c>
      <c r="AS602" s="76"/>
      <c r="AT602" s="76"/>
      <c r="AU602" s="76"/>
      <c r="AV602" s="76"/>
      <c r="AW602" s="83" t="str">
        <f>HYPERLINK("https://t.co/5ns7xMppFj")</f>
        <v>https://t.co/5ns7xMppFj</v>
      </c>
      <c r="AX602" s="76" t="b">
        <v>0</v>
      </c>
      <c r="AY602" s="76"/>
      <c r="AZ602" s="76"/>
      <c r="BA602" s="76" t="b">
        <v>0</v>
      </c>
      <c r="BB602" s="76" t="b">
        <v>1</v>
      </c>
      <c r="BC602" s="76" t="b">
        <v>0</v>
      </c>
      <c r="BD602" s="76" t="b">
        <v>0</v>
      </c>
      <c r="BE602" s="76" t="b">
        <v>1</v>
      </c>
      <c r="BF602" s="76" t="b">
        <v>0</v>
      </c>
      <c r="BG602" s="76" t="b">
        <v>0</v>
      </c>
      <c r="BH602" s="83" t="str">
        <f>HYPERLINK("https://pbs.twimg.com/profile_banners/64254244/1653086245")</f>
        <v>https://pbs.twimg.com/profile_banners/64254244/1653086245</v>
      </c>
      <c r="BI602" s="76"/>
      <c r="BJ602" s="76" t="s">
        <v>19633</v>
      </c>
      <c r="BK602" s="76" t="b">
        <v>0</v>
      </c>
      <c r="BL602" s="76"/>
      <c r="BM602" s="76" t="s">
        <v>66</v>
      </c>
      <c r="BN602" s="76" t="s">
        <v>19635</v>
      </c>
      <c r="BO602" s="83" t="str">
        <f>HYPERLINK("https://twitter.com/adv_wesleycesar")</f>
        <v>https://twitter.com/adv_wesleycesar</v>
      </c>
      <c r="BP602" s="2"/>
    </row>
    <row r="603" spans="1:68" x14ac:dyDescent="0.25">
      <c r="A603" s="62" t="s">
        <v>750</v>
      </c>
      <c r="B603" s="63"/>
      <c r="C603" s="63"/>
      <c r="D603" s="64"/>
      <c r="E603" s="66"/>
      <c r="F603" s="103" t="str">
        <f>HYPERLINK("https://pbs.twimg.com/profile_images/1655940071198011392/EtMo_FJZ_normal.jpg")</f>
        <v>https://pbs.twimg.com/profile_images/1655940071198011392/EtMo_FJZ_normal.jpg</v>
      </c>
      <c r="G603" s="63"/>
      <c r="H603" s="67"/>
      <c r="I603" s="68"/>
      <c r="J603" s="68"/>
      <c r="K603" s="67" t="s">
        <v>20235</v>
      </c>
      <c r="L603" s="71"/>
      <c r="M603" s="72"/>
      <c r="N603" s="72"/>
      <c r="O603" s="73"/>
      <c r="P603" s="74"/>
      <c r="Q603" s="74"/>
      <c r="R603" s="87"/>
      <c r="S603" s="87"/>
      <c r="T603" s="87"/>
      <c r="U603" s="87"/>
      <c r="V603" s="48"/>
      <c r="W603" s="48"/>
      <c r="X603" s="47">
        <v>1.101E-3</v>
      </c>
      <c r="Y603" s="48"/>
      <c r="Z603" s="47"/>
      <c r="AA603" s="69">
        <v>603</v>
      </c>
      <c r="AB603" s="69"/>
      <c r="AC603" s="70"/>
      <c r="AD603" s="76" t="s">
        <v>17233</v>
      </c>
      <c r="AE603" s="81" t="s">
        <v>17746</v>
      </c>
      <c r="AF603" s="76">
        <v>1173</v>
      </c>
      <c r="AG603" s="76">
        <v>478</v>
      </c>
      <c r="AH603" s="76">
        <v>3121</v>
      </c>
      <c r="AI603" s="76">
        <v>25</v>
      </c>
      <c r="AJ603" s="76">
        <v>50</v>
      </c>
      <c r="AK603" s="76">
        <v>722</v>
      </c>
      <c r="AL603" s="76" t="b">
        <v>0</v>
      </c>
      <c r="AM603" s="78">
        <v>40234.114710648151</v>
      </c>
      <c r="AN603" s="76" t="s">
        <v>10552</v>
      </c>
      <c r="AO603" s="76" t="s">
        <v>18692</v>
      </c>
      <c r="AP603" s="83" t="str">
        <f>HYPERLINK("https://t.co/bEZ6XG2rAR")</f>
        <v>https://t.co/bEZ6XG2rAR</v>
      </c>
      <c r="AQ603" s="83" t="str">
        <f>HYPERLINK("https://bio.profissaomedica.com.br/")</f>
        <v>https://bio.profissaomedica.com.br/</v>
      </c>
      <c r="AR603" s="76" t="s">
        <v>19355</v>
      </c>
      <c r="AS603" s="76"/>
      <c r="AT603" s="76"/>
      <c r="AU603" s="76"/>
      <c r="AV603" s="76">
        <v>1.32323930822513E+18</v>
      </c>
      <c r="AW603" s="83" t="str">
        <f>HYPERLINK("https://t.co/bEZ6XG2rAR")</f>
        <v>https://t.co/bEZ6XG2rAR</v>
      </c>
      <c r="AX603" s="76" t="b">
        <v>0</v>
      </c>
      <c r="AY603" s="76"/>
      <c r="AZ603" s="76"/>
      <c r="BA603" s="76" t="b">
        <v>0</v>
      </c>
      <c r="BB603" s="76" t="b">
        <v>1</v>
      </c>
      <c r="BC603" s="76" t="b">
        <v>0</v>
      </c>
      <c r="BD603" s="76" t="b">
        <v>0</v>
      </c>
      <c r="BE603" s="76" t="b">
        <v>1</v>
      </c>
      <c r="BF603" s="76" t="b">
        <v>0</v>
      </c>
      <c r="BG603" s="76" t="b">
        <v>0</v>
      </c>
      <c r="BH603" s="83" t="str">
        <f>HYPERLINK("https://pbs.twimg.com/profile_banners/117273618/1683641787")</f>
        <v>https://pbs.twimg.com/profile_banners/117273618/1683641787</v>
      </c>
      <c r="BI603" s="76"/>
      <c r="BJ603" s="76" t="s">
        <v>19633</v>
      </c>
      <c r="BK603" s="76" t="b">
        <v>0</v>
      </c>
      <c r="BL603" s="76"/>
      <c r="BM603" s="76" t="s">
        <v>66</v>
      </c>
      <c r="BN603" s="76" t="s">
        <v>19635</v>
      </c>
      <c r="BO603" s="83" t="str">
        <f>HYPERLINK("https://twitter.com/danielcoriolano")</f>
        <v>https://twitter.com/danielcoriolano</v>
      </c>
      <c r="BP603" s="2"/>
    </row>
    <row r="604" spans="1:68" x14ac:dyDescent="0.25">
      <c r="A604" s="62" t="s">
        <v>751</v>
      </c>
      <c r="B604" s="63"/>
      <c r="C604" s="63"/>
      <c r="D604" s="64"/>
      <c r="E604" s="66"/>
      <c r="F604" s="103" t="str">
        <f>HYPERLINK("https://pbs.twimg.com/profile_images/1126558090571276288/qnfdKR_c_normal.jpg")</f>
        <v>https://pbs.twimg.com/profile_images/1126558090571276288/qnfdKR_c_normal.jpg</v>
      </c>
      <c r="G604" s="63"/>
      <c r="H604" s="67"/>
      <c r="I604" s="68"/>
      <c r="J604" s="68"/>
      <c r="K604" s="67" t="s">
        <v>20236</v>
      </c>
      <c r="L604" s="71"/>
      <c r="M604" s="72"/>
      <c r="N604" s="72"/>
      <c r="O604" s="73"/>
      <c r="P604" s="74"/>
      <c r="Q604" s="74"/>
      <c r="R604" s="87"/>
      <c r="S604" s="87"/>
      <c r="T604" s="87"/>
      <c r="U604" s="87"/>
      <c r="V604" s="48"/>
      <c r="W604" s="48"/>
      <c r="X604" s="47">
        <v>1.101E-3</v>
      </c>
      <c r="Y604" s="48"/>
      <c r="Z604" s="47"/>
      <c r="AA604" s="69">
        <v>604</v>
      </c>
      <c r="AB604" s="69"/>
      <c r="AC604" s="70"/>
      <c r="AD604" s="76" t="s">
        <v>17234</v>
      </c>
      <c r="AE604" s="81" t="s">
        <v>16430</v>
      </c>
      <c r="AF604" s="76">
        <v>1869</v>
      </c>
      <c r="AG604" s="76">
        <v>28</v>
      </c>
      <c r="AH604" s="76">
        <v>916</v>
      </c>
      <c r="AI604" s="76">
        <v>2</v>
      </c>
      <c r="AJ604" s="76">
        <v>30</v>
      </c>
      <c r="AK604" s="76">
        <v>245</v>
      </c>
      <c r="AL604" s="76" t="b">
        <v>0</v>
      </c>
      <c r="AM604" s="78">
        <v>43579.943078703705</v>
      </c>
      <c r="AN604" s="76"/>
      <c r="AO604" s="76" t="s">
        <v>18693</v>
      </c>
      <c r="AP604" s="83" t="str">
        <f>HYPERLINK("https://t.co/xVJbDvUnMS")</f>
        <v>https://t.co/xVJbDvUnMS</v>
      </c>
      <c r="AQ604" s="83" t="str">
        <f>HYPERLINK("http://www.trilhacerta.com")</f>
        <v>http://www.trilhacerta.com</v>
      </c>
      <c r="AR604" s="76" t="s">
        <v>6081</v>
      </c>
      <c r="AS604" s="76"/>
      <c r="AT604" s="76"/>
      <c r="AU604" s="76"/>
      <c r="AV604" s="76"/>
      <c r="AW604" s="83" t="str">
        <f>HYPERLINK("https://t.co/xVJbDvUnMS")</f>
        <v>https://t.co/xVJbDvUnMS</v>
      </c>
      <c r="AX604" s="76" t="b">
        <v>0</v>
      </c>
      <c r="AY604" s="76"/>
      <c r="AZ604" s="76"/>
      <c r="BA604" s="76" t="b">
        <v>0</v>
      </c>
      <c r="BB604" s="76" t="b">
        <v>1</v>
      </c>
      <c r="BC604" s="76" t="b">
        <v>1</v>
      </c>
      <c r="BD604" s="76" t="b">
        <v>0</v>
      </c>
      <c r="BE604" s="76" t="b">
        <v>1</v>
      </c>
      <c r="BF604" s="76" t="b">
        <v>0</v>
      </c>
      <c r="BG604" s="76" t="b">
        <v>0</v>
      </c>
      <c r="BH604" s="83" t="str">
        <f>HYPERLINK("https://pbs.twimg.com/profile_banners/1121181531593113601/1557427355")</f>
        <v>https://pbs.twimg.com/profile_banners/1121181531593113601/1557427355</v>
      </c>
      <c r="BI604" s="76"/>
      <c r="BJ604" s="76" t="s">
        <v>19633</v>
      </c>
      <c r="BK604" s="76" t="b">
        <v>0</v>
      </c>
      <c r="BL604" s="76"/>
      <c r="BM604" s="76" t="s">
        <v>66</v>
      </c>
      <c r="BN604" s="76" t="s">
        <v>19635</v>
      </c>
      <c r="BO604" s="83" t="str">
        <f>HYPERLINK("https://twitter.com/santoscancio")</f>
        <v>https://twitter.com/santoscancio</v>
      </c>
      <c r="BP604" s="2"/>
    </row>
    <row r="605" spans="1:68" x14ac:dyDescent="0.25">
      <c r="A605" s="62" t="s">
        <v>752</v>
      </c>
      <c r="B605" s="63"/>
      <c r="C605" s="63"/>
      <c r="D605" s="64"/>
      <c r="E605" s="66"/>
      <c r="F605" s="103" t="str">
        <f>HYPERLINK("https://pbs.twimg.com/profile_images/1643308215424131097/i5FnHjz8_normal.jpg")</f>
        <v>https://pbs.twimg.com/profile_images/1643308215424131097/i5FnHjz8_normal.jpg</v>
      </c>
      <c r="G605" s="63"/>
      <c r="H605" s="67"/>
      <c r="I605" s="68"/>
      <c r="J605" s="68"/>
      <c r="K605" s="67" t="s">
        <v>20237</v>
      </c>
      <c r="L605" s="71"/>
      <c r="M605" s="72"/>
      <c r="N605" s="72"/>
      <c r="O605" s="73"/>
      <c r="P605" s="74"/>
      <c r="Q605" s="74"/>
      <c r="R605" s="87"/>
      <c r="S605" s="87"/>
      <c r="T605" s="87"/>
      <c r="U605" s="87"/>
      <c r="V605" s="48"/>
      <c r="W605" s="48"/>
      <c r="X605" s="47">
        <v>1.101E-3</v>
      </c>
      <c r="Y605" s="48"/>
      <c r="Z605" s="47"/>
      <c r="AA605" s="69">
        <v>605</v>
      </c>
      <c r="AB605" s="69"/>
      <c r="AC605" s="70"/>
      <c r="AD605" s="76" t="s">
        <v>752</v>
      </c>
      <c r="AE605" s="81" t="s">
        <v>16431</v>
      </c>
      <c r="AF605" s="76">
        <v>6</v>
      </c>
      <c r="AG605" s="76">
        <v>94</v>
      </c>
      <c r="AH605" s="76">
        <v>22</v>
      </c>
      <c r="AI605" s="76">
        <v>0</v>
      </c>
      <c r="AJ605" s="76">
        <v>169</v>
      </c>
      <c r="AK605" s="76">
        <v>5</v>
      </c>
      <c r="AL605" s="76" t="b">
        <v>0</v>
      </c>
      <c r="AM605" s="78">
        <v>45020.730439814812</v>
      </c>
      <c r="AN605" s="76" t="s">
        <v>10561</v>
      </c>
      <c r="AO605" s="76" t="s">
        <v>18694</v>
      </c>
      <c r="AP605" s="76"/>
      <c r="AQ605" s="76"/>
      <c r="AR605" s="76"/>
      <c r="AS605" s="76"/>
      <c r="AT605" s="76"/>
      <c r="AU605" s="76"/>
      <c r="AV605" s="76">
        <v>1.6437322840448901E+18</v>
      </c>
      <c r="AW605" s="76"/>
      <c r="AX605" s="76" t="b">
        <v>0</v>
      </c>
      <c r="AY605" s="76"/>
      <c r="AZ605" s="76"/>
      <c r="BA605" s="76" t="b">
        <v>0</v>
      </c>
      <c r="BB605" s="76" t="b">
        <v>1</v>
      </c>
      <c r="BC605" s="76" t="b">
        <v>1</v>
      </c>
      <c r="BD605" s="76" t="b">
        <v>0</v>
      </c>
      <c r="BE605" s="76" t="b">
        <v>0</v>
      </c>
      <c r="BF605" s="76" t="b">
        <v>0</v>
      </c>
      <c r="BG605" s="76" t="b">
        <v>0</v>
      </c>
      <c r="BH605" s="83" t="str">
        <f>HYPERLINK("https://pbs.twimg.com/profile_banners/1643305349540110369/1680630213")</f>
        <v>https://pbs.twimg.com/profile_banners/1643305349540110369/1680630213</v>
      </c>
      <c r="BI605" s="76"/>
      <c r="BJ605" s="76" t="s">
        <v>19633</v>
      </c>
      <c r="BK605" s="76" t="b">
        <v>0</v>
      </c>
      <c r="BL605" s="76"/>
      <c r="BM605" s="76" t="s">
        <v>66</v>
      </c>
      <c r="BN605" s="76" t="s">
        <v>19635</v>
      </c>
      <c r="BO605" s="83" t="str">
        <f>HYPERLINK("https://twitter.com/bragaeconomics")</f>
        <v>https://twitter.com/bragaeconomics</v>
      </c>
      <c r="BP605" s="2"/>
    </row>
    <row r="606" spans="1:68" x14ac:dyDescent="0.25">
      <c r="A606" s="62" t="s">
        <v>753</v>
      </c>
      <c r="B606" s="63"/>
      <c r="C606" s="63"/>
      <c r="D606" s="64"/>
      <c r="E606" s="66"/>
      <c r="F606" s="103" t="str">
        <f>HYPERLINK("https://pbs.twimg.com/profile_images/1606148736283021312/i6NMdhHe_normal.jpg")</f>
        <v>https://pbs.twimg.com/profile_images/1606148736283021312/i6NMdhHe_normal.jpg</v>
      </c>
      <c r="G606" s="63"/>
      <c r="H606" s="67"/>
      <c r="I606" s="68"/>
      <c r="J606" s="68"/>
      <c r="K606" s="67" t="s">
        <v>20238</v>
      </c>
      <c r="L606" s="71"/>
      <c r="M606" s="72"/>
      <c r="N606" s="72"/>
      <c r="O606" s="73"/>
      <c r="P606" s="74"/>
      <c r="Q606" s="74"/>
      <c r="R606" s="87"/>
      <c r="S606" s="87"/>
      <c r="T606" s="87"/>
      <c r="U606" s="87"/>
      <c r="V606" s="48"/>
      <c r="W606" s="48"/>
      <c r="X606" s="47">
        <v>1.101E-3</v>
      </c>
      <c r="Y606" s="48"/>
      <c r="Z606" s="47"/>
      <c r="AA606" s="69">
        <v>606</v>
      </c>
      <c r="AB606" s="69"/>
      <c r="AC606" s="70"/>
      <c r="AD606" s="76" t="s">
        <v>17235</v>
      </c>
      <c r="AE606" s="81" t="s">
        <v>16432</v>
      </c>
      <c r="AF606" s="76">
        <v>83</v>
      </c>
      <c r="AG606" s="76">
        <v>231</v>
      </c>
      <c r="AH606" s="76">
        <v>293</v>
      </c>
      <c r="AI606" s="76">
        <v>1</v>
      </c>
      <c r="AJ606" s="76">
        <v>599</v>
      </c>
      <c r="AK606" s="76">
        <v>4</v>
      </c>
      <c r="AL606" s="76" t="b">
        <v>0</v>
      </c>
      <c r="AM606" s="78">
        <v>44450.248877314814</v>
      </c>
      <c r="AN606" s="76" t="s">
        <v>18055</v>
      </c>
      <c r="AO606" s="76" t="s">
        <v>18695</v>
      </c>
      <c r="AP606" s="83" t="str">
        <f>HYPERLINK("https://t.co/IYBiX7yfhT")</f>
        <v>https://t.co/IYBiX7yfhT</v>
      </c>
      <c r="AQ606" s="83" t="str">
        <f>HYPERLINK("https://leofinance.io/profile/lipe100dedos")</f>
        <v>https://leofinance.io/profile/lipe100dedos</v>
      </c>
      <c r="AR606" s="76" t="s">
        <v>19356</v>
      </c>
      <c r="AS606" s="83" t="str">
        <f>HYPERLINK("https://t.co/RMsZC8gL2V")</f>
        <v>https://t.co/RMsZC8gL2V</v>
      </c>
      <c r="AT606" s="83" t="str">
        <f>HYPERLINK("http://Leofinance.io")</f>
        <v>http://Leofinance.io</v>
      </c>
      <c r="AU606" s="76" t="s">
        <v>19618</v>
      </c>
      <c r="AV606" s="76"/>
      <c r="AW606" s="83" t="str">
        <f>HYPERLINK("https://t.co/IYBiX7yfhT")</f>
        <v>https://t.co/IYBiX7yfhT</v>
      </c>
      <c r="AX606" s="76" t="b">
        <v>0</v>
      </c>
      <c r="AY606" s="76"/>
      <c r="AZ606" s="76"/>
      <c r="BA606" s="76" t="b">
        <v>0</v>
      </c>
      <c r="BB606" s="76" t="b">
        <v>1</v>
      </c>
      <c r="BC606" s="76" t="b">
        <v>1</v>
      </c>
      <c r="BD606" s="76" t="b">
        <v>0</v>
      </c>
      <c r="BE606" s="76" t="b">
        <v>0</v>
      </c>
      <c r="BF606" s="76" t="b">
        <v>0</v>
      </c>
      <c r="BG606" s="76" t="b">
        <v>0</v>
      </c>
      <c r="BH606" s="83" t="str">
        <f>HYPERLINK("https://pbs.twimg.com/profile_banners/1436569655901102081/1671770676")</f>
        <v>https://pbs.twimg.com/profile_banners/1436569655901102081/1671770676</v>
      </c>
      <c r="BI606" s="76"/>
      <c r="BJ606" s="76" t="s">
        <v>19633</v>
      </c>
      <c r="BK606" s="76" t="b">
        <v>0</v>
      </c>
      <c r="BL606" s="76"/>
      <c r="BM606" s="76" t="s">
        <v>66</v>
      </c>
      <c r="BN606" s="76" t="s">
        <v>19635</v>
      </c>
      <c r="BO606" s="83" t="str">
        <f>HYPERLINK("https://twitter.com/lipe100dedos")</f>
        <v>https://twitter.com/lipe100dedos</v>
      </c>
      <c r="BP606" s="2"/>
    </row>
    <row r="607" spans="1:68" x14ac:dyDescent="0.25">
      <c r="A607" s="62" t="s">
        <v>754</v>
      </c>
      <c r="B607" s="63"/>
      <c r="C607" s="63"/>
      <c r="D607" s="64"/>
      <c r="E607" s="66"/>
      <c r="F607" s="103" t="str">
        <f>HYPERLINK("https://pbs.twimg.com/profile_images/1581326166509625344/yjhUC37z_normal.jpg")</f>
        <v>https://pbs.twimg.com/profile_images/1581326166509625344/yjhUC37z_normal.jpg</v>
      </c>
      <c r="G607" s="63"/>
      <c r="H607" s="67"/>
      <c r="I607" s="68"/>
      <c r="J607" s="68"/>
      <c r="K607" s="67" t="s">
        <v>20239</v>
      </c>
      <c r="L607" s="71"/>
      <c r="M607" s="72"/>
      <c r="N607" s="72"/>
      <c r="O607" s="73"/>
      <c r="P607" s="74"/>
      <c r="Q607" s="74"/>
      <c r="R607" s="87"/>
      <c r="S607" s="87"/>
      <c r="T607" s="87"/>
      <c r="U607" s="87"/>
      <c r="V607" s="48"/>
      <c r="W607" s="48"/>
      <c r="X607" s="47">
        <v>1.101E-3</v>
      </c>
      <c r="Y607" s="48"/>
      <c r="Z607" s="47"/>
      <c r="AA607" s="69">
        <v>607</v>
      </c>
      <c r="AB607" s="69"/>
      <c r="AC607" s="70"/>
      <c r="AD607" s="76" t="s">
        <v>17236</v>
      </c>
      <c r="AE607" s="81" t="s">
        <v>16433</v>
      </c>
      <c r="AF607" s="76">
        <v>126</v>
      </c>
      <c r="AG607" s="76">
        <v>94</v>
      </c>
      <c r="AH607" s="76">
        <v>1911</v>
      </c>
      <c r="AI607" s="76">
        <v>0</v>
      </c>
      <c r="AJ607" s="76">
        <v>1027</v>
      </c>
      <c r="AK607" s="76">
        <v>52</v>
      </c>
      <c r="AL607" s="76" t="b">
        <v>0</v>
      </c>
      <c r="AM607" s="78">
        <v>43616.629120370373</v>
      </c>
      <c r="AN607" s="76"/>
      <c r="AO607" s="76" t="s">
        <v>18696</v>
      </c>
      <c r="AP607" s="76"/>
      <c r="AQ607" s="76"/>
      <c r="AR607" s="76"/>
      <c r="AS607" s="76"/>
      <c r="AT607" s="76"/>
      <c r="AU607" s="76"/>
      <c r="AV607" s="76"/>
      <c r="AW607" s="76"/>
      <c r="AX607" s="76" t="b">
        <v>0</v>
      </c>
      <c r="AY607" s="76"/>
      <c r="AZ607" s="76"/>
      <c r="BA607" s="76" t="b">
        <v>1</v>
      </c>
      <c r="BB607" s="76" t="b">
        <v>1</v>
      </c>
      <c r="BC607" s="76" t="b">
        <v>0</v>
      </c>
      <c r="BD607" s="76" t="b">
        <v>0</v>
      </c>
      <c r="BE607" s="76" t="b">
        <v>0</v>
      </c>
      <c r="BF607" s="76" t="b">
        <v>0</v>
      </c>
      <c r="BG607" s="76" t="b">
        <v>0</v>
      </c>
      <c r="BH607" s="83" t="str">
        <f>HYPERLINK("https://pbs.twimg.com/profile_banners/1134476106042609665/1638794891")</f>
        <v>https://pbs.twimg.com/profile_banners/1134476106042609665/1638794891</v>
      </c>
      <c r="BI607" s="76"/>
      <c r="BJ607" s="76" t="s">
        <v>19633</v>
      </c>
      <c r="BK607" s="76" t="b">
        <v>0</v>
      </c>
      <c r="BL607" s="76"/>
      <c r="BM607" s="76" t="s">
        <v>66</v>
      </c>
      <c r="BN607" s="76" t="s">
        <v>19635</v>
      </c>
      <c r="BO607" s="83" t="str">
        <f>HYPERLINK("https://twitter.com/03oativ")</f>
        <v>https://twitter.com/03oativ</v>
      </c>
      <c r="BP607" s="2"/>
    </row>
    <row r="608" spans="1:68" x14ac:dyDescent="0.25">
      <c r="A608" s="62" t="s">
        <v>755</v>
      </c>
      <c r="B608" s="63"/>
      <c r="C608" s="63"/>
      <c r="D608" s="64"/>
      <c r="E608" s="66"/>
      <c r="F608" s="103" t="str">
        <f>HYPERLINK("https://pbs.twimg.com/profile_images/1519870586440359936/eTHZuGqz_normal.jpg")</f>
        <v>https://pbs.twimg.com/profile_images/1519870586440359936/eTHZuGqz_normal.jpg</v>
      </c>
      <c r="G608" s="63"/>
      <c r="H608" s="67"/>
      <c r="I608" s="68"/>
      <c r="J608" s="68"/>
      <c r="K608" s="67" t="s">
        <v>20240</v>
      </c>
      <c r="L608" s="71"/>
      <c r="M608" s="72"/>
      <c r="N608" s="72"/>
      <c r="O608" s="73"/>
      <c r="P608" s="74"/>
      <c r="Q608" s="74"/>
      <c r="R608" s="87"/>
      <c r="S608" s="87"/>
      <c r="T608" s="87"/>
      <c r="U608" s="87"/>
      <c r="V608" s="48"/>
      <c r="W608" s="48"/>
      <c r="X608" s="47">
        <v>1.101E-3</v>
      </c>
      <c r="Y608" s="48"/>
      <c r="Z608" s="47"/>
      <c r="AA608" s="69">
        <v>608</v>
      </c>
      <c r="AB608" s="69"/>
      <c r="AC608" s="70"/>
      <c r="AD608" s="76" t="s">
        <v>17237</v>
      </c>
      <c r="AE608" s="81" t="s">
        <v>16434</v>
      </c>
      <c r="AF608" s="76">
        <v>509</v>
      </c>
      <c r="AG608" s="76">
        <v>5000</v>
      </c>
      <c r="AH608" s="76">
        <v>65405</v>
      </c>
      <c r="AI608" s="76">
        <v>7</v>
      </c>
      <c r="AJ608" s="76">
        <v>38380</v>
      </c>
      <c r="AK608" s="76">
        <v>547</v>
      </c>
      <c r="AL608" s="76" t="b">
        <v>0</v>
      </c>
      <c r="AM608" s="78">
        <v>44680.115277777775</v>
      </c>
      <c r="AN608" s="76" t="s">
        <v>18056</v>
      </c>
      <c r="AO608" s="76" t="s">
        <v>18697</v>
      </c>
      <c r="AP608" s="76"/>
      <c r="AQ608" s="76"/>
      <c r="AR608" s="76"/>
      <c r="AS608" s="76"/>
      <c r="AT608" s="76"/>
      <c r="AU608" s="76"/>
      <c r="AV608" s="76"/>
      <c r="AW608" s="76"/>
      <c r="AX608" s="76" t="b">
        <v>0</v>
      </c>
      <c r="AY608" s="76"/>
      <c r="AZ608" s="76"/>
      <c r="BA608" s="76" t="b">
        <v>0</v>
      </c>
      <c r="BB608" s="76" t="b">
        <v>1</v>
      </c>
      <c r="BC608" s="76" t="b">
        <v>1</v>
      </c>
      <c r="BD608" s="76" t="b">
        <v>0</v>
      </c>
      <c r="BE608" s="76" t="b">
        <v>1</v>
      </c>
      <c r="BF608" s="76" t="b">
        <v>0</v>
      </c>
      <c r="BG608" s="76" t="b">
        <v>0</v>
      </c>
      <c r="BH608" s="76"/>
      <c r="BI608" s="76"/>
      <c r="BJ608" s="76" t="s">
        <v>19633</v>
      </c>
      <c r="BK608" s="76" t="b">
        <v>0</v>
      </c>
      <c r="BL608" s="76"/>
      <c r="BM608" s="76" t="s">
        <v>66</v>
      </c>
      <c r="BN608" s="76" t="s">
        <v>19635</v>
      </c>
      <c r="BO608" s="83" t="str">
        <f>HYPERLINK("https://twitter.com/natanfernandop1")</f>
        <v>https://twitter.com/natanfernandop1</v>
      </c>
      <c r="BP608" s="2"/>
    </row>
    <row r="609" spans="1:68" x14ac:dyDescent="0.25">
      <c r="A609" s="62" t="s">
        <v>756</v>
      </c>
      <c r="B609" s="63"/>
      <c r="C609" s="63"/>
      <c r="D609" s="64"/>
      <c r="E609" s="66"/>
      <c r="F609" s="103" t="str">
        <f>HYPERLINK("https://pbs.twimg.com/profile_images/1645454153576071168/iMBsDOeR_normal.jpg")</f>
        <v>https://pbs.twimg.com/profile_images/1645454153576071168/iMBsDOeR_normal.jpg</v>
      </c>
      <c r="G609" s="63"/>
      <c r="H609" s="67"/>
      <c r="I609" s="68"/>
      <c r="J609" s="68"/>
      <c r="K609" s="67" t="s">
        <v>20241</v>
      </c>
      <c r="L609" s="71"/>
      <c r="M609" s="72"/>
      <c r="N609" s="72"/>
      <c r="O609" s="73"/>
      <c r="P609" s="74"/>
      <c r="Q609" s="74"/>
      <c r="R609" s="87"/>
      <c r="S609" s="87"/>
      <c r="T609" s="87"/>
      <c r="U609" s="87"/>
      <c r="V609" s="48"/>
      <c r="W609" s="48"/>
      <c r="X609" s="47">
        <v>1.101E-3</v>
      </c>
      <c r="Y609" s="48"/>
      <c r="Z609" s="47"/>
      <c r="AA609" s="69">
        <v>609</v>
      </c>
      <c r="AB609" s="69"/>
      <c r="AC609" s="70"/>
      <c r="AD609" s="76" t="s">
        <v>17238</v>
      </c>
      <c r="AE609" s="81" t="s">
        <v>16435</v>
      </c>
      <c r="AF609" s="76">
        <v>415</v>
      </c>
      <c r="AG609" s="76">
        <v>20</v>
      </c>
      <c r="AH609" s="76">
        <v>174</v>
      </c>
      <c r="AI609" s="76">
        <v>6</v>
      </c>
      <c r="AJ609" s="76">
        <v>145</v>
      </c>
      <c r="AK609" s="76">
        <v>122</v>
      </c>
      <c r="AL609" s="76" t="b">
        <v>0</v>
      </c>
      <c r="AM609" s="78">
        <v>44329.819780092592</v>
      </c>
      <c r="AN609" s="76"/>
      <c r="AO609" s="76" t="s">
        <v>18698</v>
      </c>
      <c r="AP609" s="83" t="str">
        <f>HYPERLINK("https://t.co/nWNxAiLF4U")</f>
        <v>https://t.co/nWNxAiLF4U</v>
      </c>
      <c r="AQ609" s="83" t="str">
        <f>HYPERLINK("https://linktr.ee/invistamonett")</f>
        <v>https://linktr.ee/invistamonett</v>
      </c>
      <c r="AR609" s="76" t="s">
        <v>19357</v>
      </c>
      <c r="AS609" s="83" t="str">
        <f>HYPERLINK("https://t.co/IaToZv4G9C")</f>
        <v>https://t.co/IaToZv4G9C</v>
      </c>
      <c r="AT609" s="83" t="str">
        <f>HYPERLINK("http://t.me/invistamonett")</f>
        <v>http://t.me/invistamonett</v>
      </c>
      <c r="AU609" s="76" t="s">
        <v>19619</v>
      </c>
      <c r="AV609" s="76"/>
      <c r="AW609" s="83" t="str">
        <f>HYPERLINK("https://t.co/nWNxAiLF4U")</f>
        <v>https://t.co/nWNxAiLF4U</v>
      </c>
      <c r="AX609" s="76" t="b">
        <v>0</v>
      </c>
      <c r="AY609" s="76"/>
      <c r="AZ609" s="76"/>
      <c r="BA609" s="76" t="b">
        <v>0</v>
      </c>
      <c r="BB609" s="76" t="b">
        <v>1</v>
      </c>
      <c r="BC609" s="76" t="b">
        <v>1</v>
      </c>
      <c r="BD609" s="76" t="b">
        <v>0</v>
      </c>
      <c r="BE609" s="76" t="b">
        <v>0</v>
      </c>
      <c r="BF609" s="76" t="b">
        <v>0</v>
      </c>
      <c r="BG609" s="76" t="b">
        <v>0</v>
      </c>
      <c r="BH609" s="83" t="str">
        <f>HYPERLINK("https://pbs.twimg.com/profile_banners/1392927588893474818/1681141817")</f>
        <v>https://pbs.twimg.com/profile_banners/1392927588893474818/1681141817</v>
      </c>
      <c r="BI609" s="76"/>
      <c r="BJ609" s="76" t="s">
        <v>19633</v>
      </c>
      <c r="BK609" s="76" t="b">
        <v>0</v>
      </c>
      <c r="BL609" s="76"/>
      <c r="BM609" s="76" t="s">
        <v>66</v>
      </c>
      <c r="BN609" s="76" t="s">
        <v>19635</v>
      </c>
      <c r="BO609" s="83" t="str">
        <f>HYPERLINK("https://twitter.com/invistamonett")</f>
        <v>https://twitter.com/invistamonett</v>
      </c>
      <c r="BP609" s="2"/>
    </row>
    <row r="610" spans="1:68" x14ac:dyDescent="0.25">
      <c r="A610" s="62" t="s">
        <v>757</v>
      </c>
      <c r="B610" s="63"/>
      <c r="C610" s="63"/>
      <c r="D610" s="64"/>
      <c r="E610" s="66"/>
      <c r="F610" s="103" t="str">
        <f>HYPERLINK("https://pbs.twimg.com/profile_images/1428428579885486081/0Mg8DapI_normal.jpg")</f>
        <v>https://pbs.twimg.com/profile_images/1428428579885486081/0Mg8DapI_normal.jpg</v>
      </c>
      <c r="G610" s="63"/>
      <c r="H610" s="67"/>
      <c r="I610" s="68"/>
      <c r="J610" s="68"/>
      <c r="K610" s="67" t="s">
        <v>20242</v>
      </c>
      <c r="L610" s="71"/>
      <c r="M610" s="72"/>
      <c r="N610" s="72"/>
      <c r="O610" s="73"/>
      <c r="P610" s="74"/>
      <c r="Q610" s="74"/>
      <c r="R610" s="87"/>
      <c r="S610" s="87"/>
      <c r="T610" s="87"/>
      <c r="U610" s="87"/>
      <c r="V610" s="48"/>
      <c r="W610" s="48"/>
      <c r="X610" s="47">
        <v>1.101E-3</v>
      </c>
      <c r="Y610" s="48"/>
      <c r="Z610" s="47"/>
      <c r="AA610" s="69">
        <v>610</v>
      </c>
      <c r="AB610" s="69"/>
      <c r="AC610" s="70"/>
      <c r="AD610" s="76" t="s">
        <v>17239</v>
      </c>
      <c r="AE610" s="81" t="s">
        <v>16436</v>
      </c>
      <c r="AF610" s="76">
        <v>631</v>
      </c>
      <c r="AG610" s="76">
        <v>659</v>
      </c>
      <c r="AH610" s="76">
        <v>7240</v>
      </c>
      <c r="AI610" s="76">
        <v>5</v>
      </c>
      <c r="AJ610" s="76">
        <v>1</v>
      </c>
      <c r="AK610" s="76">
        <v>2162</v>
      </c>
      <c r="AL610" s="76" t="b">
        <v>0</v>
      </c>
      <c r="AM610" s="78">
        <v>44427.78020833333</v>
      </c>
      <c r="AN610" s="76" t="s">
        <v>18057</v>
      </c>
      <c r="AO610" s="76" t="s">
        <v>18699</v>
      </c>
      <c r="AP610" s="83" t="str">
        <f>HYPERLINK("https://t.co/6zb3bfNhtx")</f>
        <v>https://t.co/6zb3bfNhtx</v>
      </c>
      <c r="AQ610" s="83" t="str">
        <f>HYPERLINK("https://blogdohiellevy.com.br/")</f>
        <v>https://blogdohiellevy.com.br/</v>
      </c>
      <c r="AR610" s="76" t="s">
        <v>19358</v>
      </c>
      <c r="AS610" s="76"/>
      <c r="AT610" s="76"/>
      <c r="AU610" s="76"/>
      <c r="AV610" s="76"/>
      <c r="AW610" s="83" t="str">
        <f>HYPERLINK("https://t.co/6zb3bfNhtx")</f>
        <v>https://t.co/6zb3bfNhtx</v>
      </c>
      <c r="AX610" s="76" t="b">
        <v>0</v>
      </c>
      <c r="AY610" s="76"/>
      <c r="AZ610" s="76"/>
      <c r="BA610" s="76" t="b">
        <v>0</v>
      </c>
      <c r="BB610" s="76" t="b">
        <v>1</v>
      </c>
      <c r="BC610" s="76" t="b">
        <v>1</v>
      </c>
      <c r="BD610" s="76" t="b">
        <v>0</v>
      </c>
      <c r="BE610" s="76" t="b">
        <v>0</v>
      </c>
      <c r="BF610" s="76" t="b">
        <v>0</v>
      </c>
      <c r="BG610" s="76" t="b">
        <v>0</v>
      </c>
      <c r="BH610" s="83" t="str">
        <f>HYPERLINK("https://pbs.twimg.com/profile_banners/1428427211028287489/1629399004")</f>
        <v>https://pbs.twimg.com/profile_banners/1428427211028287489/1629399004</v>
      </c>
      <c r="BI610" s="76"/>
      <c r="BJ610" s="76" t="s">
        <v>19633</v>
      </c>
      <c r="BK610" s="76" t="b">
        <v>0</v>
      </c>
      <c r="BL610" s="76"/>
      <c r="BM610" s="76" t="s">
        <v>66</v>
      </c>
      <c r="BN610" s="76" t="s">
        <v>19635</v>
      </c>
      <c r="BO610" s="83" t="str">
        <f>HYPERLINK("https://twitter.com/blogdohiel")</f>
        <v>https://twitter.com/blogdohiel</v>
      </c>
      <c r="BP610" s="2"/>
    </row>
    <row r="611" spans="1:68" x14ac:dyDescent="0.25">
      <c r="A611" s="62" t="s">
        <v>758</v>
      </c>
      <c r="B611" s="63"/>
      <c r="C611" s="63"/>
      <c r="D611" s="64"/>
      <c r="E611" s="66"/>
      <c r="F611" s="103" t="str">
        <f>HYPERLINK("https://pbs.twimg.com/profile_images/1593658813252608000/iYhVTEOd_normal.jpg")</f>
        <v>https://pbs.twimg.com/profile_images/1593658813252608000/iYhVTEOd_normal.jpg</v>
      </c>
      <c r="G611" s="63"/>
      <c r="H611" s="67"/>
      <c r="I611" s="68"/>
      <c r="J611" s="68"/>
      <c r="K611" s="67" t="s">
        <v>20243</v>
      </c>
      <c r="L611" s="71"/>
      <c r="M611" s="72"/>
      <c r="N611" s="72"/>
      <c r="O611" s="73"/>
      <c r="P611" s="74"/>
      <c r="Q611" s="74"/>
      <c r="R611" s="87"/>
      <c r="S611" s="87"/>
      <c r="T611" s="87"/>
      <c r="U611" s="87"/>
      <c r="V611" s="48"/>
      <c r="W611" s="48"/>
      <c r="X611" s="47">
        <v>1.101E-3</v>
      </c>
      <c r="Y611" s="48"/>
      <c r="Z611" s="47"/>
      <c r="AA611" s="69">
        <v>611</v>
      </c>
      <c r="AB611" s="69"/>
      <c r="AC611" s="70"/>
      <c r="AD611" s="76" t="s">
        <v>17240</v>
      </c>
      <c r="AE611" s="81" t="s">
        <v>16437</v>
      </c>
      <c r="AF611" s="76">
        <v>214</v>
      </c>
      <c r="AG611" s="76">
        <v>38</v>
      </c>
      <c r="AH611" s="76">
        <v>134</v>
      </c>
      <c r="AI611" s="76">
        <v>0</v>
      </c>
      <c r="AJ611" s="76">
        <v>0</v>
      </c>
      <c r="AK611" s="76">
        <v>122</v>
      </c>
      <c r="AL611" s="76" t="b">
        <v>0</v>
      </c>
      <c r="AM611" s="78">
        <v>44883.72315972222</v>
      </c>
      <c r="AN611" s="76" t="s">
        <v>10552</v>
      </c>
      <c r="AO611" s="76" t="s">
        <v>18700</v>
      </c>
      <c r="AP611" s="83" t="str">
        <f>HYPERLINK("https://t.co/hFHnsVlZOv")</f>
        <v>https://t.co/hFHnsVlZOv</v>
      </c>
      <c r="AQ611" s="83" t="str">
        <f>HYPERLINK("http://investedigital.com.br")</f>
        <v>http://investedigital.com.br</v>
      </c>
      <c r="AR611" s="76" t="s">
        <v>19359</v>
      </c>
      <c r="AS611" s="76"/>
      <c r="AT611" s="76"/>
      <c r="AU611" s="76"/>
      <c r="AV611" s="76"/>
      <c r="AW611" s="83" t="str">
        <f>HYPERLINK("https://t.co/hFHnsVlZOv")</f>
        <v>https://t.co/hFHnsVlZOv</v>
      </c>
      <c r="AX611" s="76" t="b">
        <v>0</v>
      </c>
      <c r="AY611" s="76"/>
      <c r="AZ611" s="76"/>
      <c r="BA611" s="76" t="b">
        <v>0</v>
      </c>
      <c r="BB611" s="76" t="b">
        <v>1</v>
      </c>
      <c r="BC611" s="76" t="b">
        <v>1</v>
      </c>
      <c r="BD611" s="76" t="b">
        <v>0</v>
      </c>
      <c r="BE611" s="76" t="b">
        <v>0</v>
      </c>
      <c r="BF611" s="76" t="b">
        <v>0</v>
      </c>
      <c r="BG611" s="76" t="b">
        <v>0</v>
      </c>
      <c r="BH611" s="83" t="str">
        <f>HYPERLINK("https://pbs.twimg.com/profile_banners/1593655516890284033/1668792845")</f>
        <v>https://pbs.twimg.com/profile_banners/1593655516890284033/1668792845</v>
      </c>
      <c r="BI611" s="76"/>
      <c r="BJ611" s="76" t="s">
        <v>19633</v>
      </c>
      <c r="BK611" s="76" t="b">
        <v>0</v>
      </c>
      <c r="BL611" s="76"/>
      <c r="BM611" s="76" t="s">
        <v>66</v>
      </c>
      <c r="BN611" s="76" t="s">
        <v>19635</v>
      </c>
      <c r="BO611" s="83" t="str">
        <f>HYPERLINK("https://twitter.com/investedigitall")</f>
        <v>https://twitter.com/investedigitall</v>
      </c>
      <c r="BP611" s="2"/>
    </row>
    <row r="612" spans="1:68" x14ac:dyDescent="0.25">
      <c r="A612" s="62" t="s">
        <v>759</v>
      </c>
      <c r="B612" s="63"/>
      <c r="C612" s="63"/>
      <c r="D612" s="64"/>
      <c r="E612" s="66"/>
      <c r="F612" s="103" t="str">
        <f>HYPERLINK("https://pbs.twimg.com/profile_images/887620484321468416/C4E9L9B7_normal.jpg")</f>
        <v>https://pbs.twimg.com/profile_images/887620484321468416/C4E9L9B7_normal.jpg</v>
      </c>
      <c r="G612" s="63"/>
      <c r="H612" s="67"/>
      <c r="I612" s="68"/>
      <c r="J612" s="68"/>
      <c r="K612" s="67" t="s">
        <v>20244</v>
      </c>
      <c r="L612" s="71"/>
      <c r="M612" s="72"/>
      <c r="N612" s="72"/>
      <c r="O612" s="73"/>
      <c r="P612" s="74"/>
      <c r="Q612" s="74"/>
      <c r="R612" s="87"/>
      <c r="S612" s="87"/>
      <c r="T612" s="87"/>
      <c r="U612" s="87"/>
      <c r="V612" s="48"/>
      <c r="W612" s="48"/>
      <c r="X612" s="47">
        <v>1.101E-3</v>
      </c>
      <c r="Y612" s="48"/>
      <c r="Z612" s="47"/>
      <c r="AA612" s="69">
        <v>612</v>
      </c>
      <c r="AB612" s="69"/>
      <c r="AC612" s="70"/>
      <c r="AD612" s="76" t="s">
        <v>17241</v>
      </c>
      <c r="AE612" s="81" t="s">
        <v>16438</v>
      </c>
      <c r="AF612" s="76">
        <v>5</v>
      </c>
      <c r="AG612" s="76">
        <v>37</v>
      </c>
      <c r="AH612" s="76">
        <v>60</v>
      </c>
      <c r="AI612" s="76">
        <v>0</v>
      </c>
      <c r="AJ612" s="76">
        <v>90</v>
      </c>
      <c r="AK612" s="76">
        <v>48</v>
      </c>
      <c r="AL612" s="76" t="b">
        <v>0</v>
      </c>
      <c r="AM612" s="78">
        <v>42915.45412037037</v>
      </c>
      <c r="AN612" s="76"/>
      <c r="AO612" s="76" t="s">
        <v>18701</v>
      </c>
      <c r="AP612" s="83" t="str">
        <f>HYPERLINK("https://t.co/VMtbRMAxhS")</f>
        <v>https://t.co/VMtbRMAxhS</v>
      </c>
      <c r="AQ612" s="83" t="str">
        <f>HYPERLINK("https://josecredito.com.br/")</f>
        <v>https://josecredito.com.br/</v>
      </c>
      <c r="AR612" s="76" t="s">
        <v>19360</v>
      </c>
      <c r="AS612" s="76"/>
      <c r="AT612" s="76"/>
      <c r="AU612" s="76"/>
      <c r="AV612" s="76"/>
      <c r="AW612" s="83" t="str">
        <f>HYPERLINK("https://t.co/VMtbRMAxhS")</f>
        <v>https://t.co/VMtbRMAxhS</v>
      </c>
      <c r="AX612" s="76" t="b">
        <v>0</v>
      </c>
      <c r="AY612" s="76"/>
      <c r="AZ612" s="76"/>
      <c r="BA612" s="76" t="b">
        <v>0</v>
      </c>
      <c r="BB612" s="76" t="b">
        <v>1</v>
      </c>
      <c r="BC612" s="76" t="b">
        <v>1</v>
      </c>
      <c r="BD612" s="76" t="b">
        <v>0</v>
      </c>
      <c r="BE612" s="76" t="b">
        <v>0</v>
      </c>
      <c r="BF612" s="76" t="b">
        <v>0</v>
      </c>
      <c r="BG612" s="76" t="b">
        <v>0</v>
      </c>
      <c r="BH612" s="83" t="str">
        <f>HYPERLINK("https://pbs.twimg.com/profile_banners/880378794758074368/1500460222")</f>
        <v>https://pbs.twimg.com/profile_banners/880378794758074368/1500460222</v>
      </c>
      <c r="BI612" s="76"/>
      <c r="BJ612" s="76" t="s">
        <v>19633</v>
      </c>
      <c r="BK612" s="76" t="b">
        <v>0</v>
      </c>
      <c r="BL612" s="76"/>
      <c r="BM612" s="76" t="s">
        <v>66</v>
      </c>
      <c r="BN612" s="76" t="s">
        <v>19635</v>
      </c>
      <c r="BO612" s="83" t="str">
        <f>HYPERLINK("https://twitter.com/credito_jose")</f>
        <v>https://twitter.com/credito_jose</v>
      </c>
      <c r="BP612" s="2"/>
    </row>
    <row r="613" spans="1:68" x14ac:dyDescent="0.25">
      <c r="A613" s="62" t="s">
        <v>760</v>
      </c>
      <c r="B613" s="63"/>
      <c r="C613" s="63"/>
      <c r="D613" s="64"/>
      <c r="E613" s="66"/>
      <c r="F613" s="103" t="str">
        <f>HYPERLINK("https://pbs.twimg.com/profile_images/1647753701946277888/dbam6fPm_normal.jpg")</f>
        <v>https://pbs.twimg.com/profile_images/1647753701946277888/dbam6fPm_normal.jpg</v>
      </c>
      <c r="G613" s="63"/>
      <c r="H613" s="67"/>
      <c r="I613" s="68"/>
      <c r="J613" s="68"/>
      <c r="K613" s="67" t="s">
        <v>20245</v>
      </c>
      <c r="L613" s="71"/>
      <c r="M613" s="72"/>
      <c r="N613" s="72"/>
      <c r="O613" s="73"/>
      <c r="P613" s="74"/>
      <c r="Q613" s="74"/>
      <c r="R613" s="87"/>
      <c r="S613" s="87"/>
      <c r="T613" s="87"/>
      <c r="U613" s="87"/>
      <c r="V613" s="48"/>
      <c r="W613" s="48"/>
      <c r="X613" s="47">
        <v>9.6599999999999995E-4</v>
      </c>
      <c r="Y613" s="48"/>
      <c r="Z613" s="47"/>
      <c r="AA613" s="69">
        <v>613</v>
      </c>
      <c r="AB613" s="69"/>
      <c r="AC613" s="70"/>
      <c r="AD613" s="76" t="s">
        <v>17242</v>
      </c>
      <c r="AE613" s="81" t="s">
        <v>17747</v>
      </c>
      <c r="AF613" s="76">
        <v>649</v>
      </c>
      <c r="AG613" s="76">
        <v>1516</v>
      </c>
      <c r="AH613" s="76">
        <v>27116</v>
      </c>
      <c r="AI613" s="76">
        <v>9</v>
      </c>
      <c r="AJ613" s="76">
        <v>2044</v>
      </c>
      <c r="AK613" s="76">
        <v>6747</v>
      </c>
      <c r="AL613" s="76" t="b">
        <v>0</v>
      </c>
      <c r="AM613" s="78">
        <v>40083.967118055552</v>
      </c>
      <c r="AN613" s="76" t="s">
        <v>18058</v>
      </c>
      <c r="AO613" s="76" t="s">
        <v>18702</v>
      </c>
      <c r="AP613" s="76"/>
      <c r="AQ613" s="76"/>
      <c r="AR613" s="76"/>
      <c r="AS613" s="76"/>
      <c r="AT613" s="76"/>
      <c r="AU613" s="76"/>
      <c r="AV613" s="76">
        <v>1.59344300753297E+18</v>
      </c>
      <c r="AW613" s="76"/>
      <c r="AX613" s="76" t="b">
        <v>0</v>
      </c>
      <c r="AY613" s="76"/>
      <c r="AZ613" s="76"/>
      <c r="BA613" s="76" t="b">
        <v>0</v>
      </c>
      <c r="BB613" s="76" t="b">
        <v>1</v>
      </c>
      <c r="BC613" s="76" t="b">
        <v>0</v>
      </c>
      <c r="BD613" s="76" t="b">
        <v>0</v>
      </c>
      <c r="BE613" s="76" t="b">
        <v>1</v>
      </c>
      <c r="BF613" s="76" t="b">
        <v>0</v>
      </c>
      <c r="BG613" s="76" t="b">
        <v>0</v>
      </c>
      <c r="BH613" s="83" t="str">
        <f>HYPERLINK("https://pbs.twimg.com/profile_banners/77860052/1681690070")</f>
        <v>https://pbs.twimg.com/profile_banners/77860052/1681690070</v>
      </c>
      <c r="BI613" s="76"/>
      <c r="BJ613" s="76" t="s">
        <v>19633</v>
      </c>
      <c r="BK613" s="76" t="b">
        <v>0</v>
      </c>
      <c r="BL613" s="76"/>
      <c r="BM613" s="76" t="s">
        <v>66</v>
      </c>
      <c r="BN613" s="76" t="s">
        <v>19635</v>
      </c>
      <c r="BO613" s="83" t="str">
        <f>HYPERLINK("https://twitter.com/globo_cancer_br")</f>
        <v>https://twitter.com/globo_cancer_br</v>
      </c>
      <c r="BP613" s="2"/>
    </row>
    <row r="614" spans="1:68" x14ac:dyDescent="0.25">
      <c r="A614" s="62" t="s">
        <v>761</v>
      </c>
      <c r="B614" s="63"/>
      <c r="C614" s="63"/>
      <c r="D614" s="64"/>
      <c r="E614" s="66"/>
      <c r="F614" s="103" t="str">
        <f>HYPERLINK("https://pbs.twimg.com/profile_images/1671151788102406150/vz7XS52M_normal.jpg")</f>
        <v>https://pbs.twimg.com/profile_images/1671151788102406150/vz7XS52M_normal.jpg</v>
      </c>
      <c r="G614" s="63"/>
      <c r="H614" s="67"/>
      <c r="I614" s="68"/>
      <c r="J614" s="68"/>
      <c r="K614" s="67" t="s">
        <v>20246</v>
      </c>
      <c r="L614" s="71"/>
      <c r="M614" s="72"/>
      <c r="N614" s="72"/>
      <c r="O614" s="73"/>
      <c r="P614" s="74"/>
      <c r="Q614" s="74"/>
      <c r="R614" s="87"/>
      <c r="S614" s="87"/>
      <c r="T614" s="87"/>
      <c r="U614" s="87"/>
      <c r="V614" s="48"/>
      <c r="W614" s="48"/>
      <c r="X614" s="47">
        <v>1.101E-3</v>
      </c>
      <c r="Y614" s="48"/>
      <c r="Z614" s="47"/>
      <c r="AA614" s="69">
        <v>614</v>
      </c>
      <c r="AB614" s="69"/>
      <c r="AC614" s="70"/>
      <c r="AD614" s="76" t="s">
        <v>17243</v>
      </c>
      <c r="AE614" s="81" t="s">
        <v>16439</v>
      </c>
      <c r="AF614" s="76">
        <v>454</v>
      </c>
      <c r="AG614" s="76">
        <v>539</v>
      </c>
      <c r="AH614" s="76">
        <v>155</v>
      </c>
      <c r="AI614" s="76">
        <v>0</v>
      </c>
      <c r="AJ614" s="76">
        <v>75</v>
      </c>
      <c r="AK614" s="76">
        <v>136</v>
      </c>
      <c r="AL614" s="76" t="b">
        <v>0</v>
      </c>
      <c r="AM614" s="78">
        <v>44994.763425925928</v>
      </c>
      <c r="AN614" s="76"/>
      <c r="AO614" s="76" t="s">
        <v>18703</v>
      </c>
      <c r="AP614" s="83" t="str">
        <f>HYPERLINK("https://t.co/Z3yGglJti3")</f>
        <v>https://t.co/Z3yGglJti3</v>
      </c>
      <c r="AQ614" s="83" t="str">
        <f>HYPERLINK("https://linktr.ee/ravenort")</f>
        <v>https://linktr.ee/ravenort</v>
      </c>
      <c r="AR614" s="76" t="s">
        <v>19361</v>
      </c>
      <c r="AS614" s="76"/>
      <c r="AT614" s="76"/>
      <c r="AU614" s="76"/>
      <c r="AV614" s="76"/>
      <c r="AW614" s="83" t="str">
        <f>HYPERLINK("https://t.co/Z3yGglJti3")</f>
        <v>https://t.co/Z3yGglJti3</v>
      </c>
      <c r="AX614" s="76" t="b">
        <v>0</v>
      </c>
      <c r="AY614" s="76"/>
      <c r="AZ614" s="76"/>
      <c r="BA614" s="76" t="b">
        <v>0</v>
      </c>
      <c r="BB614" s="76" t="b">
        <v>1</v>
      </c>
      <c r="BC614" s="76" t="b">
        <v>1</v>
      </c>
      <c r="BD614" s="76" t="b">
        <v>0</v>
      </c>
      <c r="BE614" s="76" t="b">
        <v>0</v>
      </c>
      <c r="BF614" s="76" t="b">
        <v>0</v>
      </c>
      <c r="BG614" s="76" t="b">
        <v>0</v>
      </c>
      <c r="BH614" s="83" t="str">
        <f>HYPERLINK("https://pbs.twimg.com/profile_banners/1633895182549635073/1688086038")</f>
        <v>https://pbs.twimg.com/profile_banners/1633895182549635073/1688086038</v>
      </c>
      <c r="BI614" s="76"/>
      <c r="BJ614" s="76" t="s">
        <v>19633</v>
      </c>
      <c r="BK614" s="76" t="b">
        <v>0</v>
      </c>
      <c r="BL614" s="76"/>
      <c r="BM614" s="76" t="s">
        <v>66</v>
      </c>
      <c r="BN614" s="76" t="s">
        <v>19635</v>
      </c>
      <c r="BO614" s="83" t="str">
        <f>HYPERLINK("https://twitter.com/ravenort_links")</f>
        <v>https://twitter.com/ravenort_links</v>
      </c>
      <c r="BP614" s="2"/>
    </row>
    <row r="615" spans="1:68" x14ac:dyDescent="0.25">
      <c r="A615" s="62" t="s">
        <v>762</v>
      </c>
      <c r="B615" s="63"/>
      <c r="C615" s="63"/>
      <c r="D615" s="64"/>
      <c r="E615" s="66"/>
      <c r="F615" s="103" t="str">
        <f>HYPERLINK("https://pbs.twimg.com/profile_images/1419995425491333120/wGuKJNby_normal.jpg")</f>
        <v>https://pbs.twimg.com/profile_images/1419995425491333120/wGuKJNby_normal.jpg</v>
      </c>
      <c r="G615" s="63"/>
      <c r="H615" s="67"/>
      <c r="I615" s="68"/>
      <c r="J615" s="68"/>
      <c r="K615" s="67" t="s">
        <v>20247</v>
      </c>
      <c r="L615" s="71"/>
      <c r="M615" s="72"/>
      <c r="N615" s="72"/>
      <c r="O615" s="73"/>
      <c r="P615" s="74"/>
      <c r="Q615" s="74"/>
      <c r="R615" s="87"/>
      <c r="S615" s="87"/>
      <c r="T615" s="87"/>
      <c r="U615" s="87"/>
      <c r="V615" s="48"/>
      <c r="W615" s="48"/>
      <c r="X615" s="47">
        <v>1.101E-3</v>
      </c>
      <c r="Y615" s="48"/>
      <c r="Z615" s="47"/>
      <c r="AA615" s="69">
        <v>615</v>
      </c>
      <c r="AB615" s="69"/>
      <c r="AC615" s="70"/>
      <c r="AD615" s="76" t="s">
        <v>17244</v>
      </c>
      <c r="AE615" s="81" t="s">
        <v>16440</v>
      </c>
      <c r="AF615" s="76">
        <v>5</v>
      </c>
      <c r="AG615" s="76">
        <v>67</v>
      </c>
      <c r="AH615" s="76">
        <v>76</v>
      </c>
      <c r="AI615" s="76">
        <v>1</v>
      </c>
      <c r="AJ615" s="76">
        <v>117</v>
      </c>
      <c r="AK615" s="76">
        <v>21</v>
      </c>
      <c r="AL615" s="76" t="b">
        <v>0</v>
      </c>
      <c r="AM615" s="78">
        <v>42786.798483796294</v>
      </c>
      <c r="AN615" s="76"/>
      <c r="AO615" s="76" t="s">
        <v>18704</v>
      </c>
      <c r="AP615" s="83" t="str">
        <f>HYPERLINK("https://t.co/icND2e3gEh")</f>
        <v>https://t.co/icND2e3gEh</v>
      </c>
      <c r="AQ615" s="83" t="str">
        <f>HYPERLINK("http://beacons.ai/misaelnascimentofinancas")</f>
        <v>http://beacons.ai/misaelnascimentofinancas</v>
      </c>
      <c r="AR615" s="76" t="s">
        <v>19362</v>
      </c>
      <c r="AS615" s="76"/>
      <c r="AT615" s="76"/>
      <c r="AU615" s="76"/>
      <c r="AV615" s="76"/>
      <c r="AW615" s="83" t="str">
        <f>HYPERLINK("https://t.co/icND2e3gEh")</f>
        <v>https://t.co/icND2e3gEh</v>
      </c>
      <c r="AX615" s="76" t="b">
        <v>0</v>
      </c>
      <c r="AY615" s="76"/>
      <c r="AZ615" s="76"/>
      <c r="BA615" s="76" t="b">
        <v>0</v>
      </c>
      <c r="BB615" s="76" t="b">
        <v>1</v>
      </c>
      <c r="BC615" s="76" t="b">
        <v>1</v>
      </c>
      <c r="BD615" s="76" t="b">
        <v>0</v>
      </c>
      <c r="BE615" s="76" t="b">
        <v>0</v>
      </c>
      <c r="BF615" s="76" t="b">
        <v>0</v>
      </c>
      <c r="BG615" s="76" t="b">
        <v>0</v>
      </c>
      <c r="BH615" s="83" t="str">
        <f>HYPERLINK("https://pbs.twimg.com/profile_banners/833755553620959234/1627388337")</f>
        <v>https://pbs.twimg.com/profile_banners/833755553620959234/1627388337</v>
      </c>
      <c r="BI615" s="76"/>
      <c r="BJ615" s="76" t="s">
        <v>19633</v>
      </c>
      <c r="BK615" s="76" t="b">
        <v>0</v>
      </c>
      <c r="BL615" s="76"/>
      <c r="BM615" s="76" t="s">
        <v>66</v>
      </c>
      <c r="BN615" s="76" t="s">
        <v>19635</v>
      </c>
      <c r="BO615" s="83" t="str">
        <f>HYPERLINK("https://twitter.com/nascimentomma")</f>
        <v>https://twitter.com/nascimentomma</v>
      </c>
      <c r="BP615" s="2"/>
    </row>
    <row r="616" spans="1:68" x14ac:dyDescent="0.25">
      <c r="A616" s="62" t="s">
        <v>763</v>
      </c>
      <c r="B616" s="63"/>
      <c r="C616" s="63"/>
      <c r="D616" s="64"/>
      <c r="E616" s="66"/>
      <c r="F616" s="103" t="str">
        <f>HYPERLINK("https://pbs.twimg.com/profile_images/461230549260980224/nTweues0_normal.png")</f>
        <v>https://pbs.twimg.com/profile_images/461230549260980224/nTweues0_normal.png</v>
      </c>
      <c r="G616" s="63"/>
      <c r="H616" s="67"/>
      <c r="I616" s="68"/>
      <c r="J616" s="68"/>
      <c r="K616" s="67" t="s">
        <v>20248</v>
      </c>
      <c r="L616" s="71"/>
      <c r="M616" s="72"/>
      <c r="N616" s="72"/>
      <c r="O616" s="73"/>
      <c r="P616" s="74"/>
      <c r="Q616" s="74"/>
      <c r="R616" s="87"/>
      <c r="S616" s="87"/>
      <c r="T616" s="87"/>
      <c r="U616" s="87"/>
      <c r="V616" s="48"/>
      <c r="W616" s="48"/>
      <c r="X616" s="47">
        <v>1.101E-3</v>
      </c>
      <c r="Y616" s="48"/>
      <c r="Z616" s="47"/>
      <c r="AA616" s="69">
        <v>616</v>
      </c>
      <c r="AB616" s="69"/>
      <c r="AC616" s="70"/>
      <c r="AD616" s="76" t="s">
        <v>17245</v>
      </c>
      <c r="AE616" s="81" t="s">
        <v>17748</v>
      </c>
      <c r="AF616" s="76">
        <v>11159</v>
      </c>
      <c r="AG616" s="76">
        <v>69</v>
      </c>
      <c r="AH616" s="76">
        <v>16205</v>
      </c>
      <c r="AI616" s="76">
        <v>227</v>
      </c>
      <c r="AJ616" s="76">
        <v>1749</v>
      </c>
      <c r="AK616" s="76">
        <v>6231</v>
      </c>
      <c r="AL616" s="76" t="b">
        <v>0</v>
      </c>
      <c r="AM616" s="78">
        <v>40014.782534722224</v>
      </c>
      <c r="AN616" s="76" t="s">
        <v>10552</v>
      </c>
      <c r="AO616" s="76" t="s">
        <v>18705</v>
      </c>
      <c r="AP616" s="83" t="str">
        <f>HYPERLINK("https://t.co/SxIvToyzOb")</f>
        <v>https://t.co/SxIvToyzOb</v>
      </c>
      <c r="AQ616" s="83" t="str">
        <f>HYPERLINK("http://portalibre.fgv.br/")</f>
        <v>http://portalibre.fgv.br/</v>
      </c>
      <c r="AR616" s="76" t="s">
        <v>19363</v>
      </c>
      <c r="AS616" s="83" t="str">
        <f>HYPERLINK("https://t.co/G7wTvTsFqd")</f>
        <v>https://t.co/G7wTvTsFqd</v>
      </c>
      <c r="AT616" s="83" t="str">
        <f>HYPERLINK("http://linktr.ee/fgvibre")</f>
        <v>http://linktr.ee/fgvibre</v>
      </c>
      <c r="AU616" s="76" t="s">
        <v>19620</v>
      </c>
      <c r="AV616" s="76">
        <v>1.7011891928463099E+18</v>
      </c>
      <c r="AW616" s="83" t="str">
        <f>HYPERLINK("https://t.co/SxIvToyzOb")</f>
        <v>https://t.co/SxIvToyzOb</v>
      </c>
      <c r="AX616" s="76" t="b">
        <v>0</v>
      </c>
      <c r="AY616" s="76"/>
      <c r="AZ616" s="76"/>
      <c r="BA616" s="76" t="b">
        <v>0</v>
      </c>
      <c r="BB616" s="76" t="b">
        <v>1</v>
      </c>
      <c r="BC616" s="76" t="b">
        <v>0</v>
      </c>
      <c r="BD616" s="76" t="b">
        <v>0</v>
      </c>
      <c r="BE616" s="76" t="b">
        <v>1</v>
      </c>
      <c r="BF616" s="76" t="b">
        <v>0</v>
      </c>
      <c r="BG616" s="76" t="b">
        <v>0</v>
      </c>
      <c r="BH616" s="83" t="str">
        <f>HYPERLINK("https://pbs.twimg.com/profile_banners/58553533/1651256127")</f>
        <v>https://pbs.twimg.com/profile_banners/58553533/1651256127</v>
      </c>
      <c r="BI616" s="76"/>
      <c r="BJ616" s="76" t="s">
        <v>19633</v>
      </c>
      <c r="BK616" s="76" t="b">
        <v>0</v>
      </c>
      <c r="BL616" s="76"/>
      <c r="BM616" s="76" t="s">
        <v>66</v>
      </c>
      <c r="BN616" s="76" t="s">
        <v>19635</v>
      </c>
      <c r="BO616" s="83" t="str">
        <f>HYPERLINK("https://twitter.com/fgvibre")</f>
        <v>https://twitter.com/fgvibre</v>
      </c>
      <c r="BP616" s="2"/>
    </row>
    <row r="617" spans="1:68" x14ac:dyDescent="0.25">
      <c r="A617" s="62" t="s">
        <v>764</v>
      </c>
      <c r="B617" s="63"/>
      <c r="C617" s="63"/>
      <c r="D617" s="64"/>
      <c r="E617" s="66"/>
      <c r="F617" s="103" t="str">
        <f>HYPERLINK("https://pbs.twimg.com/profile_images/1688718609936265216/uDkQgPk6_normal.jpg")</f>
        <v>https://pbs.twimg.com/profile_images/1688718609936265216/uDkQgPk6_normal.jpg</v>
      </c>
      <c r="G617" s="63"/>
      <c r="H617" s="67"/>
      <c r="I617" s="68"/>
      <c r="J617" s="68"/>
      <c r="K617" s="67" t="s">
        <v>20249</v>
      </c>
      <c r="L617" s="71"/>
      <c r="M617" s="72"/>
      <c r="N617" s="72"/>
      <c r="O617" s="73"/>
      <c r="P617" s="74"/>
      <c r="Q617" s="74"/>
      <c r="R617" s="87"/>
      <c r="S617" s="87"/>
      <c r="T617" s="87"/>
      <c r="U617" s="87"/>
      <c r="V617" s="48"/>
      <c r="W617" s="48"/>
      <c r="X617" s="47">
        <v>1.101E-3</v>
      </c>
      <c r="Y617" s="48"/>
      <c r="Z617" s="47"/>
      <c r="AA617" s="69">
        <v>617</v>
      </c>
      <c r="AB617" s="69"/>
      <c r="AC617" s="70"/>
      <c r="AD617" s="76" t="s">
        <v>17246</v>
      </c>
      <c r="AE617" s="81" t="s">
        <v>16441</v>
      </c>
      <c r="AF617" s="76">
        <v>2</v>
      </c>
      <c r="AG617" s="76">
        <v>21</v>
      </c>
      <c r="AH617" s="76">
        <v>34</v>
      </c>
      <c r="AI617" s="76">
        <v>0</v>
      </c>
      <c r="AJ617" s="76">
        <v>31</v>
      </c>
      <c r="AK617" s="76">
        <v>5</v>
      </c>
      <c r="AL617" s="76" t="b">
        <v>0</v>
      </c>
      <c r="AM617" s="78">
        <v>45092.59752314815</v>
      </c>
      <c r="AN617" s="76" t="s">
        <v>18059</v>
      </c>
      <c r="AO617" s="76" t="s">
        <v>18706</v>
      </c>
      <c r="AP617" s="76"/>
      <c r="AQ617" s="76"/>
      <c r="AR617" s="76"/>
      <c r="AS617" s="76"/>
      <c r="AT617" s="76"/>
      <c r="AU617" s="76"/>
      <c r="AV617" s="76">
        <v>1.6823497750546601E+18</v>
      </c>
      <c r="AW617" s="76"/>
      <c r="AX617" s="76" t="b">
        <v>0</v>
      </c>
      <c r="AY617" s="76"/>
      <c r="AZ617" s="76"/>
      <c r="BA617" s="76" t="b">
        <v>0</v>
      </c>
      <c r="BB617" s="76" t="b">
        <v>1</v>
      </c>
      <c r="BC617" s="76" t="b">
        <v>1</v>
      </c>
      <c r="BD617" s="76" t="b">
        <v>0</v>
      </c>
      <c r="BE617" s="76" t="b">
        <v>0</v>
      </c>
      <c r="BF617" s="76" t="b">
        <v>0</v>
      </c>
      <c r="BG617" s="76" t="b">
        <v>0</v>
      </c>
      <c r="BH617" s="83" t="str">
        <f>HYPERLINK("https://pbs.twimg.com/profile_banners/1669349116185579522/1691457729")</f>
        <v>https://pbs.twimg.com/profile_banners/1669349116185579522/1691457729</v>
      </c>
      <c r="BI617" s="76"/>
      <c r="BJ617" s="76" t="s">
        <v>19633</v>
      </c>
      <c r="BK617" s="76" t="b">
        <v>0</v>
      </c>
      <c r="BL617" s="76"/>
      <c r="BM617" s="76" t="s">
        <v>66</v>
      </c>
      <c r="BN617" s="76" t="s">
        <v>19635</v>
      </c>
      <c r="BO617" s="83" t="str">
        <f>HYPERLINK("https://twitter.com/charlesrduarte")</f>
        <v>https://twitter.com/charlesrduarte</v>
      </c>
      <c r="BP617" s="2"/>
    </row>
    <row r="618" spans="1:68" x14ac:dyDescent="0.25">
      <c r="A618" s="62" t="s">
        <v>765</v>
      </c>
      <c r="B618" s="63"/>
      <c r="C618" s="63"/>
      <c r="D618" s="64"/>
      <c r="E618" s="66"/>
      <c r="F618" s="103" t="str">
        <f>HYPERLINK("https://pbs.twimg.com/profile_images/1507084958590029825/A0zYOuAD_normal.jpg")</f>
        <v>https://pbs.twimg.com/profile_images/1507084958590029825/A0zYOuAD_normal.jpg</v>
      </c>
      <c r="G618" s="63"/>
      <c r="H618" s="67"/>
      <c r="I618" s="68"/>
      <c r="J618" s="68"/>
      <c r="K618" s="67" t="s">
        <v>20250</v>
      </c>
      <c r="L618" s="71"/>
      <c r="M618" s="72"/>
      <c r="N618" s="72"/>
      <c r="O618" s="73"/>
      <c r="P618" s="74"/>
      <c r="Q618" s="74"/>
      <c r="R618" s="87"/>
      <c r="S618" s="87"/>
      <c r="T618" s="87"/>
      <c r="U618" s="87"/>
      <c r="V618" s="48"/>
      <c r="W618" s="48"/>
      <c r="X618" s="47">
        <v>1.101E-3</v>
      </c>
      <c r="Y618" s="48"/>
      <c r="Z618" s="47"/>
      <c r="AA618" s="69">
        <v>618</v>
      </c>
      <c r="AB618" s="69"/>
      <c r="AC618" s="70"/>
      <c r="AD618" s="76" t="s">
        <v>17247</v>
      </c>
      <c r="AE618" s="81" t="s">
        <v>16442</v>
      </c>
      <c r="AF618" s="76">
        <v>4</v>
      </c>
      <c r="AG618" s="76">
        <v>7</v>
      </c>
      <c r="AH618" s="76">
        <v>316</v>
      </c>
      <c r="AI618" s="76">
        <v>0</v>
      </c>
      <c r="AJ618" s="76">
        <v>0</v>
      </c>
      <c r="AK618" s="76">
        <v>230</v>
      </c>
      <c r="AL618" s="76" t="b">
        <v>0</v>
      </c>
      <c r="AM618" s="78">
        <v>44644.831157407411</v>
      </c>
      <c r="AN618" s="76"/>
      <c r="AO618" s="76" t="s">
        <v>18707</v>
      </c>
      <c r="AP618" s="83" t="str">
        <f>HYPERLINK("https://t.co/uJpPSHrzat")</f>
        <v>https://t.co/uJpPSHrzat</v>
      </c>
      <c r="AQ618" s="83" t="str">
        <f>HYPERLINK("https://emoneybrasil.com.br/")</f>
        <v>https://emoneybrasil.com.br/</v>
      </c>
      <c r="AR618" s="76" t="s">
        <v>19364</v>
      </c>
      <c r="AS618" s="76"/>
      <c r="AT618" s="76"/>
      <c r="AU618" s="76"/>
      <c r="AV618" s="76"/>
      <c r="AW618" s="83" t="str">
        <f>HYPERLINK("https://t.co/uJpPSHrzat")</f>
        <v>https://t.co/uJpPSHrzat</v>
      </c>
      <c r="AX618" s="76" t="b">
        <v>0</v>
      </c>
      <c r="AY618" s="76"/>
      <c r="AZ618" s="76"/>
      <c r="BA618" s="76" t="b">
        <v>0</v>
      </c>
      <c r="BB618" s="76" t="b">
        <v>1</v>
      </c>
      <c r="BC618" s="76" t="b">
        <v>1</v>
      </c>
      <c r="BD618" s="76" t="b">
        <v>0</v>
      </c>
      <c r="BE618" s="76" t="b">
        <v>0</v>
      </c>
      <c r="BF618" s="76" t="b">
        <v>0</v>
      </c>
      <c r="BG618" s="76" t="b">
        <v>0</v>
      </c>
      <c r="BH618" s="83" t="str">
        <f>HYPERLINK("https://pbs.twimg.com/profile_banners/1507083919111434240/1648152030")</f>
        <v>https://pbs.twimg.com/profile_banners/1507083919111434240/1648152030</v>
      </c>
      <c r="BI618" s="76"/>
      <c r="BJ618" s="76" t="s">
        <v>19633</v>
      </c>
      <c r="BK618" s="76" t="b">
        <v>0</v>
      </c>
      <c r="BL618" s="76"/>
      <c r="BM618" s="76" t="s">
        <v>66</v>
      </c>
      <c r="BN618" s="76" t="s">
        <v>19635</v>
      </c>
      <c r="BO618" s="83" t="str">
        <f>HYPERLINK("https://twitter.com/emoneybrasil")</f>
        <v>https://twitter.com/emoneybrasil</v>
      </c>
      <c r="BP618" s="2"/>
    </row>
    <row r="619" spans="1:68" x14ac:dyDescent="0.25">
      <c r="A619" s="62" t="s">
        <v>766</v>
      </c>
      <c r="B619" s="63"/>
      <c r="C619" s="63"/>
      <c r="D619" s="64"/>
      <c r="E619" s="66"/>
      <c r="F619" s="103" t="str">
        <f>HYPERLINK("https://pbs.twimg.com/profile_images/1664856716012290062/vaZKd63i_normal.jpg")</f>
        <v>https://pbs.twimg.com/profile_images/1664856716012290062/vaZKd63i_normal.jpg</v>
      </c>
      <c r="G619" s="63"/>
      <c r="H619" s="67"/>
      <c r="I619" s="68"/>
      <c r="J619" s="68"/>
      <c r="K619" s="67" t="s">
        <v>20251</v>
      </c>
      <c r="L619" s="71"/>
      <c r="M619" s="72"/>
      <c r="N619" s="72"/>
      <c r="O619" s="73"/>
      <c r="P619" s="74"/>
      <c r="Q619" s="74"/>
      <c r="R619" s="87"/>
      <c r="S619" s="87"/>
      <c r="T619" s="87"/>
      <c r="U619" s="87"/>
      <c r="V619" s="48"/>
      <c r="W619" s="48"/>
      <c r="X619" s="47">
        <v>1.101E-3</v>
      </c>
      <c r="Y619" s="48"/>
      <c r="Z619" s="47"/>
      <c r="AA619" s="69">
        <v>619</v>
      </c>
      <c r="AB619" s="69"/>
      <c r="AC619" s="70"/>
      <c r="AD619" s="76" t="s">
        <v>17248</v>
      </c>
      <c r="AE619" s="81" t="s">
        <v>17749</v>
      </c>
      <c r="AF619" s="76">
        <v>38</v>
      </c>
      <c r="AG619" s="76">
        <v>261</v>
      </c>
      <c r="AH619" s="76">
        <v>2619</v>
      </c>
      <c r="AI619" s="76">
        <v>1</v>
      </c>
      <c r="AJ619" s="76">
        <v>2004</v>
      </c>
      <c r="AK619" s="76">
        <v>272</v>
      </c>
      <c r="AL619" s="76" t="b">
        <v>0</v>
      </c>
      <c r="AM619" s="78">
        <v>42079.101342592592</v>
      </c>
      <c r="AN619" s="76" t="s">
        <v>18060</v>
      </c>
      <c r="AO619" s="76" t="s">
        <v>18708</v>
      </c>
      <c r="AP619" s="76"/>
      <c r="AQ619" s="76"/>
      <c r="AR619" s="76"/>
      <c r="AS619" s="76"/>
      <c r="AT619" s="76"/>
      <c r="AU619" s="76"/>
      <c r="AV619" s="76"/>
      <c r="AW619" s="76"/>
      <c r="AX619" s="76" t="b">
        <v>0</v>
      </c>
      <c r="AY619" s="76"/>
      <c r="AZ619" s="76"/>
      <c r="BA619" s="76" t="b">
        <v>0</v>
      </c>
      <c r="BB619" s="76" t="b">
        <v>0</v>
      </c>
      <c r="BC619" s="76" t="b">
        <v>1</v>
      </c>
      <c r="BD619" s="76" t="b">
        <v>0</v>
      </c>
      <c r="BE619" s="76" t="b">
        <v>1</v>
      </c>
      <c r="BF619" s="76" t="b">
        <v>0</v>
      </c>
      <c r="BG619" s="76" t="b">
        <v>0</v>
      </c>
      <c r="BH619" s="83" t="str">
        <f>HYPERLINK("https://pbs.twimg.com/profile_banners/3087590120/1467939461")</f>
        <v>https://pbs.twimg.com/profile_banners/3087590120/1467939461</v>
      </c>
      <c r="BI619" s="76"/>
      <c r="BJ619" s="76" t="s">
        <v>19633</v>
      </c>
      <c r="BK619" s="76" t="b">
        <v>0</v>
      </c>
      <c r="BL619" s="76"/>
      <c r="BM619" s="76" t="s">
        <v>66</v>
      </c>
      <c r="BN619" s="76" t="s">
        <v>19635</v>
      </c>
      <c r="BO619" s="83" t="str">
        <f>HYPERLINK("https://twitter.com/valentim01julho")</f>
        <v>https://twitter.com/valentim01julho</v>
      </c>
      <c r="BP619" s="2"/>
    </row>
    <row r="620" spans="1:68" x14ac:dyDescent="0.25">
      <c r="A620" s="62" t="s">
        <v>767</v>
      </c>
      <c r="B620" s="63"/>
      <c r="C620" s="63"/>
      <c r="D620" s="64"/>
      <c r="E620" s="66"/>
      <c r="F620" s="103" t="str">
        <f>HYPERLINK("https://pbs.twimg.com/profile_images/1211027151870402560/9JIqaKmf_normal.jpg")</f>
        <v>https://pbs.twimg.com/profile_images/1211027151870402560/9JIqaKmf_normal.jpg</v>
      </c>
      <c r="G620" s="63"/>
      <c r="H620" s="67"/>
      <c r="I620" s="68"/>
      <c r="J620" s="68"/>
      <c r="K620" s="67" t="s">
        <v>20252</v>
      </c>
      <c r="L620" s="71"/>
      <c r="M620" s="72"/>
      <c r="N620" s="72"/>
      <c r="O620" s="73"/>
      <c r="P620" s="74"/>
      <c r="Q620" s="74"/>
      <c r="R620" s="87"/>
      <c r="S620" s="87"/>
      <c r="T620" s="87"/>
      <c r="U620" s="87"/>
      <c r="V620" s="48"/>
      <c r="W620" s="48"/>
      <c r="X620" s="47">
        <v>1.101E-3</v>
      </c>
      <c r="Y620" s="48"/>
      <c r="Z620" s="47"/>
      <c r="AA620" s="69">
        <v>620</v>
      </c>
      <c r="AB620" s="69"/>
      <c r="AC620" s="70"/>
      <c r="AD620" s="76" t="s">
        <v>7739</v>
      </c>
      <c r="AE620" s="81" t="s">
        <v>16443</v>
      </c>
      <c r="AF620" s="76">
        <v>214</v>
      </c>
      <c r="AG620" s="76">
        <v>4</v>
      </c>
      <c r="AH620" s="76">
        <v>10698</v>
      </c>
      <c r="AI620" s="76">
        <v>4</v>
      </c>
      <c r="AJ620" s="76">
        <v>617</v>
      </c>
      <c r="AK620" s="76">
        <v>3576</v>
      </c>
      <c r="AL620" s="76" t="b">
        <v>0</v>
      </c>
      <c r="AM620" s="78">
        <v>42812.901909722219</v>
      </c>
      <c r="AN620" s="76" t="s">
        <v>10552</v>
      </c>
      <c r="AO620" s="76" t="s">
        <v>18709</v>
      </c>
      <c r="AP620" s="83" t="str">
        <f>HYPERLINK("https://t.co/QCMImeye1K")</f>
        <v>https://t.co/QCMImeye1K</v>
      </c>
      <c r="AQ620" s="83" t="str">
        <f>HYPERLINK("https://www.economicnewsbrasil.com.br/")</f>
        <v>https://www.economicnewsbrasil.com.br/</v>
      </c>
      <c r="AR620" s="76" t="s">
        <v>19365</v>
      </c>
      <c r="AS620" s="76"/>
      <c r="AT620" s="76"/>
      <c r="AU620" s="76"/>
      <c r="AV620" s="76"/>
      <c r="AW620" s="83" t="str">
        <f>HYPERLINK("https://t.co/QCMImeye1K")</f>
        <v>https://t.co/QCMImeye1K</v>
      </c>
      <c r="AX620" s="76" t="b">
        <v>0</v>
      </c>
      <c r="AY620" s="76"/>
      <c r="AZ620" s="76"/>
      <c r="BA620" s="76" t="b">
        <v>1</v>
      </c>
      <c r="BB620" s="76" t="b">
        <v>0</v>
      </c>
      <c r="BC620" s="76" t="b">
        <v>1</v>
      </c>
      <c r="BD620" s="76" t="b">
        <v>0</v>
      </c>
      <c r="BE620" s="76" t="b">
        <v>0</v>
      </c>
      <c r="BF620" s="76" t="b">
        <v>0</v>
      </c>
      <c r="BG620" s="76" t="b">
        <v>0</v>
      </c>
      <c r="BH620" s="83" t="str">
        <f>HYPERLINK("https://pbs.twimg.com/profile_banners/843215121505816576/1626615287")</f>
        <v>https://pbs.twimg.com/profile_banners/843215121505816576/1626615287</v>
      </c>
      <c r="BI620" s="76"/>
      <c r="BJ620" s="76" t="s">
        <v>19633</v>
      </c>
      <c r="BK620" s="76" t="b">
        <v>0</v>
      </c>
      <c r="BL620" s="76"/>
      <c r="BM620" s="76" t="s">
        <v>66</v>
      </c>
      <c r="BN620" s="76" t="s">
        <v>19635</v>
      </c>
      <c r="BO620" s="83" t="str">
        <f>HYPERLINK("https://twitter.com/economicnewsbr")</f>
        <v>https://twitter.com/economicnewsbr</v>
      </c>
      <c r="BP620" s="2"/>
    </row>
    <row r="621" spans="1:68" x14ac:dyDescent="0.25">
      <c r="A621" s="62" t="s">
        <v>768</v>
      </c>
      <c r="B621" s="63"/>
      <c r="C621" s="63"/>
      <c r="D621" s="64"/>
      <c r="E621" s="66"/>
      <c r="F621" s="103" t="str">
        <f>HYPERLINK("https://pbs.twimg.com/profile_images/1633896603005141000/0_NlXxC__normal.jpg")</f>
        <v>https://pbs.twimg.com/profile_images/1633896603005141000/0_NlXxC__normal.jpg</v>
      </c>
      <c r="G621" s="63"/>
      <c r="H621" s="67"/>
      <c r="I621" s="68"/>
      <c r="J621" s="68"/>
      <c r="K621" s="67" t="s">
        <v>20253</v>
      </c>
      <c r="L621" s="71"/>
      <c r="M621" s="72"/>
      <c r="N621" s="72"/>
      <c r="O621" s="73"/>
      <c r="P621" s="74"/>
      <c r="Q621" s="74"/>
      <c r="R621" s="87"/>
      <c r="S621" s="87"/>
      <c r="T621" s="87"/>
      <c r="U621" s="87"/>
      <c r="V621" s="48"/>
      <c r="W621" s="48"/>
      <c r="X621" s="47">
        <v>1.101E-3</v>
      </c>
      <c r="Y621" s="48"/>
      <c r="Z621" s="47"/>
      <c r="AA621" s="69">
        <v>621</v>
      </c>
      <c r="AB621" s="69"/>
      <c r="AC621" s="70"/>
      <c r="AD621" s="76" t="s">
        <v>17249</v>
      </c>
      <c r="AE621" s="81" t="s">
        <v>15761</v>
      </c>
      <c r="AF621" s="76">
        <v>3712</v>
      </c>
      <c r="AG621" s="76">
        <v>245</v>
      </c>
      <c r="AH621" s="76">
        <v>8330</v>
      </c>
      <c r="AI621" s="76">
        <v>16</v>
      </c>
      <c r="AJ621" s="76">
        <v>894</v>
      </c>
      <c r="AK621" s="76">
        <v>794</v>
      </c>
      <c r="AL621" s="76" t="b">
        <v>0</v>
      </c>
      <c r="AM621" s="78">
        <v>39825.489340277774</v>
      </c>
      <c r="AN621" s="76" t="s">
        <v>10552</v>
      </c>
      <c r="AO621" s="76" t="s">
        <v>18710</v>
      </c>
      <c r="AP621" s="83" t="str">
        <f>HYPERLINK("https://t.co/1cZDDdLsul")</f>
        <v>https://t.co/1cZDDdLsul</v>
      </c>
      <c r="AQ621" s="83" t="str">
        <f>HYPERLINK("https://linktr.ee/creditopravaler")</f>
        <v>https://linktr.ee/creditopravaler</v>
      </c>
      <c r="AR621" s="76" t="s">
        <v>19366</v>
      </c>
      <c r="AS621" s="76"/>
      <c r="AT621" s="76"/>
      <c r="AU621" s="76"/>
      <c r="AV621" s="76">
        <v>1.6791615762536801E+18</v>
      </c>
      <c r="AW621" s="83" t="str">
        <f>HYPERLINK("https://t.co/1cZDDdLsul")</f>
        <v>https://t.co/1cZDDdLsul</v>
      </c>
      <c r="AX621" s="76" t="b">
        <v>0</v>
      </c>
      <c r="AY621" s="76"/>
      <c r="AZ621" s="76"/>
      <c r="BA621" s="76" t="b">
        <v>1</v>
      </c>
      <c r="BB621" s="76" t="b">
        <v>1</v>
      </c>
      <c r="BC621" s="76" t="b">
        <v>0</v>
      </c>
      <c r="BD621" s="76" t="b">
        <v>0</v>
      </c>
      <c r="BE621" s="76" t="b">
        <v>1</v>
      </c>
      <c r="BF621" s="76" t="b">
        <v>0</v>
      </c>
      <c r="BG621" s="76" t="b">
        <v>0</v>
      </c>
      <c r="BH621" s="83" t="str">
        <f>HYPERLINK("https://pbs.twimg.com/profile_banners/18898473/1678739057")</f>
        <v>https://pbs.twimg.com/profile_banners/18898473/1678739057</v>
      </c>
      <c r="BI621" s="76"/>
      <c r="BJ621" s="76" t="s">
        <v>19633</v>
      </c>
      <c r="BK621" s="76" t="b">
        <v>0</v>
      </c>
      <c r="BL621" s="76"/>
      <c r="BM621" s="76" t="s">
        <v>66</v>
      </c>
      <c r="BN621" s="76" t="s">
        <v>19635</v>
      </c>
      <c r="BO621" s="83" t="str">
        <f>HYPERLINK("https://twitter.com/pravaler")</f>
        <v>https://twitter.com/pravaler</v>
      </c>
      <c r="BP621" s="2"/>
    </row>
    <row r="622" spans="1:68" x14ac:dyDescent="0.25">
      <c r="A622" s="62" t="s">
        <v>770</v>
      </c>
      <c r="B622" s="63"/>
      <c r="C622" s="63"/>
      <c r="D622" s="64"/>
      <c r="E622" s="66"/>
      <c r="F622" s="103" t="str">
        <f>HYPERLINK("https://pbs.twimg.com/profile_images/1674985553408786438/jalEz_nQ_normal.jpg")</f>
        <v>https://pbs.twimg.com/profile_images/1674985553408786438/jalEz_nQ_normal.jpg</v>
      </c>
      <c r="G622" s="63"/>
      <c r="H622" s="67"/>
      <c r="I622" s="68"/>
      <c r="J622" s="68"/>
      <c r="K622" s="67" t="s">
        <v>20254</v>
      </c>
      <c r="L622" s="71"/>
      <c r="M622" s="72"/>
      <c r="N622" s="72"/>
      <c r="O622" s="73"/>
      <c r="P622" s="74"/>
      <c r="Q622" s="74"/>
      <c r="R622" s="87"/>
      <c r="S622" s="87"/>
      <c r="T622" s="87"/>
      <c r="U622" s="87"/>
      <c r="V622" s="48"/>
      <c r="W622" s="48"/>
      <c r="X622" s="47">
        <v>1.101E-3</v>
      </c>
      <c r="Y622" s="48"/>
      <c r="Z622" s="47"/>
      <c r="AA622" s="69">
        <v>622</v>
      </c>
      <c r="AB622" s="69"/>
      <c r="AC622" s="70"/>
      <c r="AD622" s="76" t="s">
        <v>17250</v>
      </c>
      <c r="AE622" s="81" t="s">
        <v>17750</v>
      </c>
      <c r="AF622" s="76">
        <v>23</v>
      </c>
      <c r="AG622" s="76">
        <v>4</v>
      </c>
      <c r="AH622" s="76">
        <v>3</v>
      </c>
      <c r="AI622" s="76">
        <v>0</v>
      </c>
      <c r="AJ622" s="76">
        <v>1</v>
      </c>
      <c r="AK622" s="76">
        <v>2</v>
      </c>
      <c r="AL622" s="76" t="b">
        <v>0</v>
      </c>
      <c r="AM622" s="78">
        <v>41960.174710648149</v>
      </c>
      <c r="AN622" s="76"/>
      <c r="AO622" s="76" t="s">
        <v>18711</v>
      </c>
      <c r="AP622" s="76"/>
      <c r="AQ622" s="76"/>
      <c r="AR622" s="76"/>
      <c r="AS622" s="76"/>
      <c r="AT622" s="76"/>
      <c r="AU622" s="76"/>
      <c r="AV622" s="76"/>
      <c r="AW622" s="76"/>
      <c r="AX622" s="76" t="b">
        <v>0</v>
      </c>
      <c r="AY622" s="76"/>
      <c r="AZ622" s="76"/>
      <c r="BA622" s="76" t="b">
        <v>0</v>
      </c>
      <c r="BB622" s="76" t="b">
        <v>1</v>
      </c>
      <c r="BC622" s="76" t="b">
        <v>1</v>
      </c>
      <c r="BD622" s="76" t="b">
        <v>0</v>
      </c>
      <c r="BE622" s="76" t="b">
        <v>0</v>
      </c>
      <c r="BF622" s="76" t="b">
        <v>0</v>
      </c>
      <c r="BG622" s="76" t="b">
        <v>0</v>
      </c>
      <c r="BH622" s="76"/>
      <c r="BI622" s="76"/>
      <c r="BJ622" s="76" t="s">
        <v>19633</v>
      </c>
      <c r="BK622" s="76" t="b">
        <v>0</v>
      </c>
      <c r="BL622" s="76"/>
      <c r="BM622" s="76" t="s">
        <v>66</v>
      </c>
      <c r="BN622" s="76" t="s">
        <v>19635</v>
      </c>
      <c r="BO622" s="83" t="str">
        <f>HYPERLINK("https://twitter.com/investidorcltt")</f>
        <v>https://twitter.com/investidorcltt</v>
      </c>
      <c r="BP622" s="2"/>
    </row>
    <row r="623" spans="1:68" x14ac:dyDescent="0.25">
      <c r="A623" s="62" t="s">
        <v>771</v>
      </c>
      <c r="B623" s="63"/>
      <c r="C623" s="63"/>
      <c r="D623" s="64"/>
      <c r="E623" s="66"/>
      <c r="F623" s="103" t="str">
        <f>HYPERLINK("https://pbs.twimg.com/profile_images/1424303059493130242/Gf23pYMp_normal.jpg")</f>
        <v>https://pbs.twimg.com/profile_images/1424303059493130242/Gf23pYMp_normal.jpg</v>
      </c>
      <c r="G623" s="63"/>
      <c r="H623" s="67"/>
      <c r="I623" s="68"/>
      <c r="J623" s="68"/>
      <c r="K623" s="67" t="s">
        <v>20255</v>
      </c>
      <c r="L623" s="71"/>
      <c r="M623" s="72"/>
      <c r="N623" s="72"/>
      <c r="O623" s="73"/>
      <c r="P623" s="74"/>
      <c r="Q623" s="74"/>
      <c r="R623" s="87"/>
      <c r="S623" s="87"/>
      <c r="T623" s="87"/>
      <c r="U623" s="87"/>
      <c r="V623" s="48"/>
      <c r="W623" s="48"/>
      <c r="X623" s="47">
        <v>1.101E-3</v>
      </c>
      <c r="Y623" s="48"/>
      <c r="Z623" s="47"/>
      <c r="AA623" s="69">
        <v>623</v>
      </c>
      <c r="AB623" s="69"/>
      <c r="AC623" s="70"/>
      <c r="AD623" s="76" t="s">
        <v>771</v>
      </c>
      <c r="AE623" s="81" t="s">
        <v>16444</v>
      </c>
      <c r="AF623" s="76">
        <v>43</v>
      </c>
      <c r="AG623" s="76">
        <v>360</v>
      </c>
      <c r="AH623" s="76">
        <v>1671</v>
      </c>
      <c r="AI623" s="76">
        <v>6</v>
      </c>
      <c r="AJ623" s="76">
        <v>14895</v>
      </c>
      <c r="AK623" s="76">
        <v>21</v>
      </c>
      <c r="AL623" s="76" t="b">
        <v>0</v>
      </c>
      <c r="AM623" s="78">
        <v>43735.636192129627</v>
      </c>
      <c r="AN623" s="76" t="s">
        <v>18061</v>
      </c>
      <c r="AO623" s="76" t="s">
        <v>18712</v>
      </c>
      <c r="AP623" s="76"/>
      <c r="AQ623" s="76"/>
      <c r="AR623" s="76"/>
      <c r="AS623" s="76"/>
      <c r="AT623" s="76"/>
      <c r="AU623" s="76"/>
      <c r="AV623" s="76"/>
      <c r="AW623" s="76"/>
      <c r="AX623" s="76" t="b">
        <v>0</v>
      </c>
      <c r="AY623" s="76"/>
      <c r="AZ623" s="76"/>
      <c r="BA623" s="76" t="b">
        <v>0</v>
      </c>
      <c r="BB623" s="76" t="b">
        <v>1</v>
      </c>
      <c r="BC623" s="76" t="b">
        <v>1</v>
      </c>
      <c r="BD623" s="76" t="b">
        <v>0</v>
      </c>
      <c r="BE623" s="76" t="b">
        <v>0</v>
      </c>
      <c r="BF623" s="76" t="b">
        <v>0</v>
      </c>
      <c r="BG623" s="76" t="b">
        <v>0</v>
      </c>
      <c r="BH623" s="83" t="str">
        <f>HYPERLINK("https://pbs.twimg.com/profile_banners/1177602791596072960/1569599026")</f>
        <v>https://pbs.twimg.com/profile_banners/1177602791596072960/1569599026</v>
      </c>
      <c r="BI623" s="76"/>
      <c r="BJ623" s="76" t="s">
        <v>19633</v>
      </c>
      <c r="BK623" s="76" t="b">
        <v>0</v>
      </c>
      <c r="BL623" s="76"/>
      <c r="BM623" s="76" t="s">
        <v>66</v>
      </c>
      <c r="BN623" s="76" t="s">
        <v>19635</v>
      </c>
      <c r="BO623" s="83" t="str">
        <f>HYPERLINK("https://twitter.com/ssfilhorp")</f>
        <v>https://twitter.com/ssfilhorp</v>
      </c>
      <c r="BP623" s="2"/>
    </row>
    <row r="624" spans="1:68" x14ac:dyDescent="0.25">
      <c r="A624" s="62" t="s">
        <v>772</v>
      </c>
      <c r="B624" s="63"/>
      <c r="C624" s="63"/>
      <c r="D624" s="64"/>
      <c r="E624" s="66"/>
      <c r="F624" s="103" t="str">
        <f>HYPERLINK("https://pbs.twimg.com/profile_images/1490672746594029570/BCprx0aO_normal.jpg")</f>
        <v>https://pbs.twimg.com/profile_images/1490672746594029570/BCprx0aO_normal.jpg</v>
      </c>
      <c r="G624" s="63"/>
      <c r="H624" s="67"/>
      <c r="I624" s="68"/>
      <c r="J624" s="68"/>
      <c r="K624" s="67" t="s">
        <v>20256</v>
      </c>
      <c r="L624" s="71"/>
      <c r="M624" s="72"/>
      <c r="N624" s="72"/>
      <c r="O624" s="73"/>
      <c r="P624" s="74"/>
      <c r="Q624" s="74"/>
      <c r="R624" s="87"/>
      <c r="S624" s="87"/>
      <c r="T624" s="87"/>
      <c r="U624" s="87"/>
      <c r="V624" s="48"/>
      <c r="W624" s="48"/>
      <c r="X624" s="47">
        <v>9.7400000000000004E-4</v>
      </c>
      <c r="Y624" s="48"/>
      <c r="Z624" s="47"/>
      <c r="AA624" s="69">
        <v>624</v>
      </c>
      <c r="AB624" s="69"/>
      <c r="AC624" s="70"/>
      <c r="AD624" s="76" t="s">
        <v>17251</v>
      </c>
      <c r="AE624" s="81" t="s">
        <v>17751</v>
      </c>
      <c r="AF624" s="76">
        <v>57</v>
      </c>
      <c r="AG624" s="76">
        <v>487</v>
      </c>
      <c r="AH624" s="76">
        <v>1097</v>
      </c>
      <c r="AI624" s="76">
        <v>6</v>
      </c>
      <c r="AJ624" s="76">
        <v>2679</v>
      </c>
      <c r="AK624" s="76">
        <v>1</v>
      </c>
      <c r="AL624" s="76" t="b">
        <v>0</v>
      </c>
      <c r="AM624" s="78">
        <v>40786.041365740741</v>
      </c>
      <c r="AN624" s="76" t="s">
        <v>18062</v>
      </c>
      <c r="AO624" s="76" t="s">
        <v>18713</v>
      </c>
      <c r="AP624" s="76"/>
      <c r="AQ624" s="76"/>
      <c r="AR624" s="76"/>
      <c r="AS624" s="76"/>
      <c r="AT624" s="76"/>
      <c r="AU624" s="76"/>
      <c r="AV624" s="76"/>
      <c r="AW624" s="76"/>
      <c r="AX624" s="76" t="b">
        <v>0</v>
      </c>
      <c r="AY624" s="76"/>
      <c r="AZ624" s="76"/>
      <c r="BA624" s="76" t="b">
        <v>1</v>
      </c>
      <c r="BB624" s="76" t="b">
        <v>0</v>
      </c>
      <c r="BC624" s="76" t="b">
        <v>0</v>
      </c>
      <c r="BD624" s="76" t="b">
        <v>0</v>
      </c>
      <c r="BE624" s="76" t="b">
        <v>1</v>
      </c>
      <c r="BF624" s="76" t="b">
        <v>0</v>
      </c>
      <c r="BG624" s="76" t="b">
        <v>0</v>
      </c>
      <c r="BH624" s="83" t="str">
        <f>HYPERLINK("https://pbs.twimg.com/profile_banners/365195870/1644239151")</f>
        <v>https://pbs.twimg.com/profile_banners/365195870/1644239151</v>
      </c>
      <c r="BI624" s="76"/>
      <c r="BJ624" s="76" t="s">
        <v>19633</v>
      </c>
      <c r="BK624" s="76" t="b">
        <v>0</v>
      </c>
      <c r="BL624" s="76"/>
      <c r="BM624" s="76" t="s">
        <v>66</v>
      </c>
      <c r="BN624" s="76" t="s">
        <v>19635</v>
      </c>
      <c r="BO624" s="83" t="str">
        <f>HYPERLINK("https://twitter.com/criptoislife")</f>
        <v>https://twitter.com/criptoislife</v>
      </c>
      <c r="BP624" s="2"/>
    </row>
    <row r="625" spans="1:68" x14ac:dyDescent="0.25">
      <c r="A625" s="62" t="s">
        <v>773</v>
      </c>
      <c r="B625" s="63"/>
      <c r="C625" s="63"/>
      <c r="D625" s="64"/>
      <c r="E625" s="66"/>
      <c r="F625" s="103" t="str">
        <f>HYPERLINK("https://pbs.twimg.com/profile_images/1699875269673177089/3FMItdPS_normal.jpg")</f>
        <v>https://pbs.twimg.com/profile_images/1699875269673177089/3FMItdPS_normal.jpg</v>
      </c>
      <c r="G625" s="63"/>
      <c r="H625" s="67"/>
      <c r="I625" s="68"/>
      <c r="J625" s="68"/>
      <c r="K625" s="67" t="s">
        <v>20257</v>
      </c>
      <c r="L625" s="71"/>
      <c r="M625" s="72"/>
      <c r="N625" s="72"/>
      <c r="O625" s="73"/>
      <c r="P625" s="74"/>
      <c r="Q625" s="74"/>
      <c r="R625" s="87"/>
      <c r="S625" s="87"/>
      <c r="T625" s="87"/>
      <c r="U625" s="87"/>
      <c r="V625" s="48"/>
      <c r="W625" s="48"/>
      <c r="X625" s="47">
        <v>9.6900000000000003E-4</v>
      </c>
      <c r="Y625" s="48"/>
      <c r="Z625" s="47"/>
      <c r="AA625" s="69">
        <v>625</v>
      </c>
      <c r="AB625" s="69"/>
      <c r="AC625" s="70"/>
      <c r="AD625" s="76" t="s">
        <v>17252</v>
      </c>
      <c r="AE625" s="81" t="s">
        <v>17752</v>
      </c>
      <c r="AF625" s="76">
        <v>28639</v>
      </c>
      <c r="AG625" s="76">
        <v>98</v>
      </c>
      <c r="AH625" s="76">
        <v>18107</v>
      </c>
      <c r="AI625" s="76">
        <v>334</v>
      </c>
      <c r="AJ625" s="76">
        <v>446</v>
      </c>
      <c r="AK625" s="76">
        <v>2758</v>
      </c>
      <c r="AL625" s="76" t="b">
        <v>0</v>
      </c>
      <c r="AM625" s="78">
        <v>40385.745983796296</v>
      </c>
      <c r="AN625" s="76" t="s">
        <v>18011</v>
      </c>
      <c r="AO625" s="76" t="s">
        <v>18714</v>
      </c>
      <c r="AP625" s="83" t="str">
        <f>HYPERLINK("https://t.co/HiHFAAKUZ9")</f>
        <v>https://t.co/HiHFAAKUZ9</v>
      </c>
      <c r="AQ625" s="83" t="str">
        <f>HYPERLINK("http://www.vidasimples.co")</f>
        <v>http://www.vidasimples.co</v>
      </c>
      <c r="AR625" s="76" t="s">
        <v>19367</v>
      </c>
      <c r="AS625" s="76"/>
      <c r="AT625" s="76"/>
      <c r="AU625" s="76"/>
      <c r="AV625" s="76">
        <v>1.69950146946707E+18</v>
      </c>
      <c r="AW625" s="83" t="str">
        <f>HYPERLINK("https://t.co/HiHFAAKUZ9")</f>
        <v>https://t.co/HiHFAAKUZ9</v>
      </c>
      <c r="AX625" s="76" t="b">
        <v>0</v>
      </c>
      <c r="AY625" s="76"/>
      <c r="AZ625" s="76"/>
      <c r="BA625" s="76" t="b">
        <v>1</v>
      </c>
      <c r="BB625" s="76" t="b">
        <v>1</v>
      </c>
      <c r="BC625" s="76" t="b">
        <v>0</v>
      </c>
      <c r="BD625" s="76" t="b">
        <v>0</v>
      </c>
      <c r="BE625" s="76" t="b">
        <v>0</v>
      </c>
      <c r="BF625" s="76" t="b">
        <v>0</v>
      </c>
      <c r="BG625" s="76" t="b">
        <v>0</v>
      </c>
      <c r="BH625" s="83" t="str">
        <f>HYPERLINK("https://pbs.twimg.com/profile_banners/171153968/1619546101")</f>
        <v>https://pbs.twimg.com/profile_banners/171153968/1619546101</v>
      </c>
      <c r="BI625" s="76"/>
      <c r="BJ625" s="76" t="s">
        <v>19633</v>
      </c>
      <c r="BK625" s="76" t="b">
        <v>0</v>
      </c>
      <c r="BL625" s="76"/>
      <c r="BM625" s="76" t="s">
        <v>66</v>
      </c>
      <c r="BN625" s="76" t="s">
        <v>19635</v>
      </c>
      <c r="BO625" s="83" t="str">
        <f>HYPERLINK("https://twitter.com/vidasimples")</f>
        <v>https://twitter.com/vidasimples</v>
      </c>
      <c r="BP625" s="2"/>
    </row>
    <row r="626" spans="1:68" x14ac:dyDescent="0.25">
      <c r="A626" s="62" t="s">
        <v>774</v>
      </c>
      <c r="B626" s="63"/>
      <c r="C626" s="63"/>
      <c r="D626" s="64"/>
      <c r="E626" s="66"/>
      <c r="F626" s="103" t="str">
        <f>HYPERLINK("https://pbs.twimg.com/profile_images/1522776226322128896/bui42ybA_normal.jpg")</f>
        <v>https://pbs.twimg.com/profile_images/1522776226322128896/bui42ybA_normal.jpg</v>
      </c>
      <c r="G626" s="63"/>
      <c r="H626" s="67"/>
      <c r="I626" s="68"/>
      <c r="J626" s="68"/>
      <c r="K626" s="67" t="s">
        <v>20258</v>
      </c>
      <c r="L626" s="71"/>
      <c r="M626" s="72"/>
      <c r="N626" s="72"/>
      <c r="O626" s="73"/>
      <c r="P626" s="74"/>
      <c r="Q626" s="74"/>
      <c r="R626" s="87"/>
      <c r="S626" s="87"/>
      <c r="T626" s="87"/>
      <c r="U626" s="87"/>
      <c r="V626" s="48"/>
      <c r="W626" s="48"/>
      <c r="X626" s="47">
        <v>1.101E-3</v>
      </c>
      <c r="Y626" s="48"/>
      <c r="Z626" s="47"/>
      <c r="AA626" s="69">
        <v>626</v>
      </c>
      <c r="AB626" s="69"/>
      <c r="AC626" s="70"/>
      <c r="AD626" s="76" t="s">
        <v>17253</v>
      </c>
      <c r="AE626" s="81" t="s">
        <v>16445</v>
      </c>
      <c r="AF626" s="76">
        <v>4025</v>
      </c>
      <c r="AG626" s="76">
        <v>40</v>
      </c>
      <c r="AH626" s="76">
        <v>376</v>
      </c>
      <c r="AI626" s="76">
        <v>7</v>
      </c>
      <c r="AJ626" s="76">
        <v>896</v>
      </c>
      <c r="AK626" s="76">
        <v>102</v>
      </c>
      <c r="AL626" s="76" t="b">
        <v>0</v>
      </c>
      <c r="AM626" s="78">
        <v>44684.163101851853</v>
      </c>
      <c r="AN626" s="76"/>
      <c r="AO626" s="76" t="s">
        <v>18715</v>
      </c>
      <c r="AP626" s="76"/>
      <c r="AQ626" s="76"/>
      <c r="AR626" s="76"/>
      <c r="AS626" s="83" t="str">
        <f>HYPERLINK("https://t.co/wXVnhqYPqL")</f>
        <v>https://t.co/wXVnhqYPqL</v>
      </c>
      <c r="AT626" s="83" t="str">
        <f>HYPERLINK("http://keepbored.carrd.co")</f>
        <v>http://keepbored.carrd.co</v>
      </c>
      <c r="AU626" s="76" t="s">
        <v>19621</v>
      </c>
      <c r="AV626" s="76">
        <v>1.5274086469672499E+18</v>
      </c>
      <c r="AW626" s="76"/>
      <c r="AX626" s="76" t="b">
        <v>1</v>
      </c>
      <c r="AY626" s="76"/>
      <c r="AZ626" s="76"/>
      <c r="BA626" s="76" t="b">
        <v>1</v>
      </c>
      <c r="BB626" s="76" t="b">
        <v>1</v>
      </c>
      <c r="BC626" s="76" t="b">
        <v>1</v>
      </c>
      <c r="BD626" s="76" t="b">
        <v>0</v>
      </c>
      <c r="BE626" s="76" t="b">
        <v>0</v>
      </c>
      <c r="BF626" s="76" t="b">
        <v>0</v>
      </c>
      <c r="BG626" s="76" t="b">
        <v>0</v>
      </c>
      <c r="BH626" s="83" t="str">
        <f>HYPERLINK("https://pbs.twimg.com/profile_banners/1521337097663168514/1657564354")</f>
        <v>https://pbs.twimg.com/profile_banners/1521337097663168514/1657564354</v>
      </c>
      <c r="BI626" s="76"/>
      <c r="BJ626" s="76" t="s">
        <v>19633</v>
      </c>
      <c r="BK626" s="76" t="b">
        <v>0</v>
      </c>
      <c r="BL626" s="76"/>
      <c r="BM626" s="76" t="s">
        <v>66</v>
      </c>
      <c r="BN626" s="76" t="s">
        <v>19635</v>
      </c>
      <c r="BO626" s="83" t="str">
        <f>HYPERLINK("https://twitter.com/keepboredbr")</f>
        <v>https://twitter.com/keepboredbr</v>
      </c>
      <c r="BP626" s="2"/>
    </row>
    <row r="627" spans="1:68" x14ac:dyDescent="0.25">
      <c r="A627" s="62" t="s">
        <v>775</v>
      </c>
      <c r="B627" s="63"/>
      <c r="C627" s="63"/>
      <c r="D627" s="64"/>
      <c r="E627" s="66"/>
      <c r="F627" s="103" t="str">
        <f>HYPERLINK("https://pbs.twimg.com/profile_images/1692311451933736960/mHyPThud_normal.jpg")</f>
        <v>https://pbs.twimg.com/profile_images/1692311451933736960/mHyPThud_normal.jpg</v>
      </c>
      <c r="G627" s="63"/>
      <c r="H627" s="67"/>
      <c r="I627" s="68"/>
      <c r="J627" s="68"/>
      <c r="K627" s="67" t="s">
        <v>20259</v>
      </c>
      <c r="L627" s="71"/>
      <c r="M627" s="72"/>
      <c r="N627" s="72"/>
      <c r="O627" s="73"/>
      <c r="P627" s="74"/>
      <c r="Q627" s="74"/>
      <c r="R627" s="87"/>
      <c r="S627" s="87"/>
      <c r="T627" s="87"/>
      <c r="U627" s="87"/>
      <c r="V627" s="48"/>
      <c r="W627" s="48"/>
      <c r="X627" s="47">
        <v>9.6500000000000004E-4</v>
      </c>
      <c r="Y627" s="48"/>
      <c r="Z627" s="47"/>
      <c r="AA627" s="69">
        <v>627</v>
      </c>
      <c r="AB627" s="69"/>
      <c r="AC627" s="70"/>
      <c r="AD627" s="76" t="s">
        <v>17254</v>
      </c>
      <c r="AE627" s="81" t="s">
        <v>17753</v>
      </c>
      <c r="AF627" s="76">
        <v>17</v>
      </c>
      <c r="AG627" s="76">
        <v>34</v>
      </c>
      <c r="AH627" s="76">
        <v>224</v>
      </c>
      <c r="AI627" s="76">
        <v>0</v>
      </c>
      <c r="AJ627" s="76">
        <v>6972</v>
      </c>
      <c r="AK627" s="76">
        <v>69</v>
      </c>
      <c r="AL627" s="76" t="b">
        <v>0</v>
      </c>
      <c r="AM627" s="78">
        <v>40359.756944444445</v>
      </c>
      <c r="AN627" s="76" t="s">
        <v>17868</v>
      </c>
      <c r="AO627" s="76" t="s">
        <v>18716</v>
      </c>
      <c r="AP627" s="83" t="str">
        <f>HYPERLINK("https://t.co/2SyohmaJ7U")</f>
        <v>https://t.co/2SyohmaJ7U</v>
      </c>
      <c r="AQ627" s="83" t="str">
        <f>HYPERLINK("http://www.instagram.com/luamedeiros92")</f>
        <v>http://www.instagram.com/luamedeiros92</v>
      </c>
      <c r="AR627" s="76" t="s">
        <v>19368</v>
      </c>
      <c r="AS627" s="76"/>
      <c r="AT627" s="76"/>
      <c r="AU627" s="76"/>
      <c r="AV627" s="76"/>
      <c r="AW627" s="83" t="str">
        <f>HYPERLINK("https://t.co/2SyohmaJ7U")</f>
        <v>https://t.co/2SyohmaJ7U</v>
      </c>
      <c r="AX627" s="76" t="b">
        <v>0</v>
      </c>
      <c r="AY627" s="76"/>
      <c r="AZ627" s="76"/>
      <c r="BA627" s="76" t="b">
        <v>0</v>
      </c>
      <c r="BB627" s="76" t="b">
        <v>1</v>
      </c>
      <c r="BC627" s="76" t="b">
        <v>1</v>
      </c>
      <c r="BD627" s="76" t="b">
        <v>0</v>
      </c>
      <c r="BE627" s="76" t="b">
        <v>1</v>
      </c>
      <c r="BF627" s="76" t="b">
        <v>0</v>
      </c>
      <c r="BG627" s="76" t="b">
        <v>0</v>
      </c>
      <c r="BH627" s="83" t="str">
        <f>HYPERLINK("https://pbs.twimg.com/profile_banners/161380515/1589367767")</f>
        <v>https://pbs.twimg.com/profile_banners/161380515/1589367767</v>
      </c>
      <c r="BI627" s="76"/>
      <c r="BJ627" s="76" t="s">
        <v>19633</v>
      </c>
      <c r="BK627" s="76" t="b">
        <v>0</v>
      </c>
      <c r="BL627" s="76"/>
      <c r="BM627" s="76" t="s">
        <v>66</v>
      </c>
      <c r="BN627" s="76" t="s">
        <v>19635</v>
      </c>
      <c r="BO627" s="83" t="str">
        <f>HYPERLINK("https://twitter.com/luamedeiross")</f>
        <v>https://twitter.com/luamedeiross</v>
      </c>
      <c r="BP627" s="2"/>
    </row>
    <row r="628" spans="1:68" x14ac:dyDescent="0.25">
      <c r="A628" s="62" t="s">
        <v>776</v>
      </c>
      <c r="B628" s="63"/>
      <c r="C628" s="63"/>
      <c r="D628" s="64"/>
      <c r="E628" s="66"/>
      <c r="F628" s="103" t="str">
        <f>HYPERLINK("https://pbs.twimg.com/profile_images/1665040579703590912/ZR_86Zcn_normal.jpg")</f>
        <v>https://pbs.twimg.com/profile_images/1665040579703590912/ZR_86Zcn_normal.jpg</v>
      </c>
      <c r="G628" s="63"/>
      <c r="H628" s="67"/>
      <c r="I628" s="68"/>
      <c r="J628" s="68"/>
      <c r="K628" s="67" t="s">
        <v>20260</v>
      </c>
      <c r="L628" s="71"/>
      <c r="M628" s="72"/>
      <c r="N628" s="72"/>
      <c r="O628" s="73"/>
      <c r="P628" s="74"/>
      <c r="Q628" s="74"/>
      <c r="R628" s="87"/>
      <c r="S628" s="87"/>
      <c r="T628" s="87"/>
      <c r="U628" s="87"/>
      <c r="V628" s="48"/>
      <c r="W628" s="48"/>
      <c r="X628" s="47">
        <v>1.101E-3</v>
      </c>
      <c r="Y628" s="48"/>
      <c r="Z628" s="47"/>
      <c r="AA628" s="69">
        <v>628</v>
      </c>
      <c r="AB628" s="69"/>
      <c r="AC628" s="70"/>
      <c r="AD628" s="76" t="s">
        <v>17255</v>
      </c>
      <c r="AE628" s="81" t="s">
        <v>16446</v>
      </c>
      <c r="AF628" s="76">
        <v>52</v>
      </c>
      <c r="AG628" s="76">
        <v>245</v>
      </c>
      <c r="AH628" s="76">
        <v>412</v>
      </c>
      <c r="AI628" s="76">
        <v>1</v>
      </c>
      <c r="AJ628" s="76">
        <v>399</v>
      </c>
      <c r="AK628" s="76">
        <v>93</v>
      </c>
      <c r="AL628" s="76" t="b">
        <v>0</v>
      </c>
      <c r="AM628" s="78">
        <v>44955.618194444447</v>
      </c>
      <c r="AN628" s="76"/>
      <c r="AO628" s="76" t="s">
        <v>18717</v>
      </c>
      <c r="AP628" s="76"/>
      <c r="AQ628" s="76"/>
      <c r="AR628" s="76"/>
      <c r="AS628" s="76"/>
      <c r="AT628" s="76"/>
      <c r="AU628" s="76"/>
      <c r="AV628" s="76">
        <v>1.6990531287404201E+18</v>
      </c>
      <c r="AW628" s="76"/>
      <c r="AX628" s="76" t="b">
        <v>0</v>
      </c>
      <c r="AY628" s="76"/>
      <c r="AZ628" s="76"/>
      <c r="BA628" s="76" t="b">
        <v>0</v>
      </c>
      <c r="BB628" s="76" t="b">
        <v>1</v>
      </c>
      <c r="BC628" s="76" t="b">
        <v>1</v>
      </c>
      <c r="BD628" s="76" t="b">
        <v>0</v>
      </c>
      <c r="BE628" s="76" t="b">
        <v>0</v>
      </c>
      <c r="BF628" s="76" t="b">
        <v>0</v>
      </c>
      <c r="BG628" s="76" t="b">
        <v>0</v>
      </c>
      <c r="BH628" s="83" t="str">
        <f>HYPERLINK("https://pbs.twimg.com/profile_banners/1619709450993934336/1678970926")</f>
        <v>https://pbs.twimg.com/profile_banners/1619709450993934336/1678970926</v>
      </c>
      <c r="BI628" s="76"/>
      <c r="BJ628" s="76" t="s">
        <v>19633</v>
      </c>
      <c r="BK628" s="76" t="b">
        <v>0</v>
      </c>
      <c r="BL628" s="76"/>
      <c r="BM628" s="76" t="s">
        <v>66</v>
      </c>
      <c r="BN628" s="76" t="s">
        <v>19635</v>
      </c>
      <c r="BO628" s="83" t="str">
        <f>HYPERLINK("https://twitter.com/jeffao_brabo")</f>
        <v>https://twitter.com/jeffao_brabo</v>
      </c>
      <c r="BP628" s="2"/>
    </row>
    <row r="629" spans="1:68" x14ac:dyDescent="0.25">
      <c r="A629" s="62" t="s">
        <v>777</v>
      </c>
      <c r="B629" s="63"/>
      <c r="C629" s="63"/>
      <c r="D629" s="64"/>
      <c r="E629" s="66"/>
      <c r="F629" s="103" t="str">
        <f>HYPERLINK("https://pbs.twimg.com/profile_images/1677866281788137477/l_cQ9XVz_normal.jpg")</f>
        <v>https://pbs.twimg.com/profile_images/1677866281788137477/l_cQ9XVz_normal.jpg</v>
      </c>
      <c r="G629" s="63"/>
      <c r="H629" s="67"/>
      <c r="I629" s="68"/>
      <c r="J629" s="68"/>
      <c r="K629" s="67" t="s">
        <v>20261</v>
      </c>
      <c r="L629" s="71"/>
      <c r="M629" s="72"/>
      <c r="N629" s="72"/>
      <c r="O629" s="73"/>
      <c r="P629" s="74"/>
      <c r="Q629" s="74"/>
      <c r="R629" s="87"/>
      <c r="S629" s="87"/>
      <c r="T629" s="87"/>
      <c r="U629" s="87"/>
      <c r="V629" s="48"/>
      <c r="W629" s="48"/>
      <c r="X629" s="47">
        <v>1.101E-3</v>
      </c>
      <c r="Y629" s="48"/>
      <c r="Z629" s="47"/>
      <c r="AA629" s="69">
        <v>629</v>
      </c>
      <c r="AB629" s="69"/>
      <c r="AC629" s="70"/>
      <c r="AD629" s="76" t="s">
        <v>17256</v>
      </c>
      <c r="AE629" s="81" t="s">
        <v>16447</v>
      </c>
      <c r="AF629" s="76">
        <v>0</v>
      </c>
      <c r="AG629" s="76">
        <v>11</v>
      </c>
      <c r="AH629" s="76">
        <v>34</v>
      </c>
      <c r="AI629" s="76">
        <v>0</v>
      </c>
      <c r="AJ629" s="76">
        <v>31</v>
      </c>
      <c r="AK629" s="76">
        <v>34</v>
      </c>
      <c r="AL629" s="76" t="b">
        <v>0</v>
      </c>
      <c r="AM629" s="78">
        <v>45100.814456018517</v>
      </c>
      <c r="AN629" s="76" t="s">
        <v>18063</v>
      </c>
      <c r="AO629" s="76"/>
      <c r="AP629" s="76"/>
      <c r="AQ629" s="76"/>
      <c r="AR629" s="76"/>
      <c r="AS629" s="76"/>
      <c r="AT629" s="76"/>
      <c r="AU629" s="76"/>
      <c r="AV629" s="76"/>
      <c r="AW629" s="76"/>
      <c r="AX629" s="76" t="b">
        <v>0</v>
      </c>
      <c r="AY629" s="76"/>
      <c r="AZ629" s="76"/>
      <c r="BA629" s="76" t="b">
        <v>0</v>
      </c>
      <c r="BB629" s="76" t="b">
        <v>1</v>
      </c>
      <c r="BC629" s="76" t="b">
        <v>1</v>
      </c>
      <c r="BD629" s="76" t="b">
        <v>0</v>
      </c>
      <c r="BE629" s="76" t="b">
        <v>0</v>
      </c>
      <c r="BF629" s="76" t="b">
        <v>0</v>
      </c>
      <c r="BG629" s="76" t="b">
        <v>0</v>
      </c>
      <c r="BH629" s="83" t="str">
        <f>HYPERLINK("https://pbs.twimg.com/profile_banners/1672326542846832640/1687958662")</f>
        <v>https://pbs.twimg.com/profile_banners/1672326542846832640/1687958662</v>
      </c>
      <c r="BI629" s="76"/>
      <c r="BJ629" s="76" t="s">
        <v>19633</v>
      </c>
      <c r="BK629" s="76" t="b">
        <v>0</v>
      </c>
      <c r="BL629" s="76"/>
      <c r="BM629" s="76" t="s">
        <v>66</v>
      </c>
      <c r="BN629" s="76" t="s">
        <v>19635</v>
      </c>
      <c r="BO629" s="83" t="str">
        <f>HYPERLINK("https://twitter.com/aureliova813892")</f>
        <v>https://twitter.com/aureliova813892</v>
      </c>
      <c r="BP629" s="2"/>
    </row>
    <row r="630" spans="1:68" x14ac:dyDescent="0.25">
      <c r="A630" s="62" t="s">
        <v>778</v>
      </c>
      <c r="B630" s="63"/>
      <c r="C630" s="63"/>
      <c r="D630" s="64"/>
      <c r="E630" s="66"/>
      <c r="F630" s="103" t="str">
        <f>HYPERLINK("https://pbs.twimg.com/profile_images/1672174112683302912/4N_TINbB_normal.jpg")</f>
        <v>https://pbs.twimg.com/profile_images/1672174112683302912/4N_TINbB_normal.jpg</v>
      </c>
      <c r="G630" s="63"/>
      <c r="H630" s="67"/>
      <c r="I630" s="68"/>
      <c r="J630" s="68"/>
      <c r="K630" s="67" t="s">
        <v>20262</v>
      </c>
      <c r="L630" s="71"/>
      <c r="M630" s="72"/>
      <c r="N630" s="72"/>
      <c r="O630" s="73"/>
      <c r="P630" s="74"/>
      <c r="Q630" s="74"/>
      <c r="R630" s="87"/>
      <c r="S630" s="87"/>
      <c r="T630" s="87"/>
      <c r="U630" s="87"/>
      <c r="V630" s="48"/>
      <c r="W630" s="48"/>
      <c r="X630" s="47">
        <v>1.101E-3</v>
      </c>
      <c r="Y630" s="48"/>
      <c r="Z630" s="47"/>
      <c r="AA630" s="69">
        <v>630</v>
      </c>
      <c r="AB630" s="69"/>
      <c r="AC630" s="70"/>
      <c r="AD630" s="76" t="s">
        <v>17257</v>
      </c>
      <c r="AE630" s="81" t="s">
        <v>17754</v>
      </c>
      <c r="AF630" s="76">
        <v>767</v>
      </c>
      <c r="AG630" s="76">
        <v>553</v>
      </c>
      <c r="AH630" s="76">
        <v>7137</v>
      </c>
      <c r="AI630" s="76">
        <v>1</v>
      </c>
      <c r="AJ630" s="76">
        <v>7766</v>
      </c>
      <c r="AK630" s="76">
        <v>756</v>
      </c>
      <c r="AL630" s="76" t="b">
        <v>0</v>
      </c>
      <c r="AM630" s="78">
        <v>40590.120625000003</v>
      </c>
      <c r="AN630" s="76" t="s">
        <v>18064</v>
      </c>
      <c r="AO630" s="76" t="s">
        <v>18718</v>
      </c>
      <c r="AP630" s="83" t="str">
        <f>HYPERLINK("https://t.co/tFgbpRgnYT")</f>
        <v>https://t.co/tFgbpRgnYT</v>
      </c>
      <c r="AQ630" s="83" t="str">
        <f>HYPERLINK("http://wa.me/244951668548")</f>
        <v>http://wa.me/244951668548</v>
      </c>
      <c r="AR630" s="76" t="s">
        <v>19369</v>
      </c>
      <c r="AS630" s="76"/>
      <c r="AT630" s="76"/>
      <c r="AU630" s="76"/>
      <c r="AV630" s="76"/>
      <c r="AW630" s="83" t="str">
        <f>HYPERLINK("https://t.co/tFgbpRgnYT")</f>
        <v>https://t.co/tFgbpRgnYT</v>
      </c>
      <c r="AX630" s="76" t="b">
        <v>0</v>
      </c>
      <c r="AY630" s="76"/>
      <c r="AZ630" s="76"/>
      <c r="BA630" s="76" t="b">
        <v>1</v>
      </c>
      <c r="BB630" s="76" t="b">
        <v>0</v>
      </c>
      <c r="BC630" s="76" t="b">
        <v>0</v>
      </c>
      <c r="BD630" s="76" t="b">
        <v>0</v>
      </c>
      <c r="BE630" s="76" t="b">
        <v>1</v>
      </c>
      <c r="BF630" s="76" t="b">
        <v>0</v>
      </c>
      <c r="BG630" s="76" t="b">
        <v>0</v>
      </c>
      <c r="BH630" s="83" t="str">
        <f>HYPERLINK("https://pbs.twimg.com/profile_banners/252876002/1687512362")</f>
        <v>https://pbs.twimg.com/profile_banners/252876002/1687512362</v>
      </c>
      <c r="BI630" s="76"/>
      <c r="BJ630" s="76" t="s">
        <v>19633</v>
      </c>
      <c r="BK630" s="76" t="b">
        <v>0</v>
      </c>
      <c r="BL630" s="76"/>
      <c r="BM630" s="76" t="s">
        <v>66</v>
      </c>
      <c r="BN630" s="76" t="s">
        <v>19635</v>
      </c>
      <c r="BO630" s="83" t="str">
        <f>HYPERLINK("https://twitter.com/dj_elmar_")</f>
        <v>https://twitter.com/dj_elmar_</v>
      </c>
      <c r="BP630" s="2"/>
    </row>
    <row r="631" spans="1:68" x14ac:dyDescent="0.25">
      <c r="A631" s="62" t="s">
        <v>779</v>
      </c>
      <c r="B631" s="63"/>
      <c r="C631" s="63"/>
      <c r="D631" s="64"/>
      <c r="E631" s="66"/>
      <c r="F631" s="103" t="str">
        <f>HYPERLINK("https://pbs.twimg.com/profile_images/1691937102152265728/YIiJB_wu_normal.jpg")</f>
        <v>https://pbs.twimg.com/profile_images/1691937102152265728/YIiJB_wu_normal.jpg</v>
      </c>
      <c r="G631" s="63"/>
      <c r="H631" s="67"/>
      <c r="I631" s="68"/>
      <c r="J631" s="68"/>
      <c r="K631" s="67" t="s">
        <v>20263</v>
      </c>
      <c r="L631" s="71"/>
      <c r="M631" s="72"/>
      <c r="N631" s="72"/>
      <c r="O631" s="73"/>
      <c r="P631" s="74"/>
      <c r="Q631" s="74"/>
      <c r="R631" s="87"/>
      <c r="S631" s="87"/>
      <c r="T631" s="87"/>
      <c r="U631" s="87"/>
      <c r="V631" s="48"/>
      <c r="W631" s="48"/>
      <c r="X631" s="47">
        <v>1.101E-3</v>
      </c>
      <c r="Y631" s="48"/>
      <c r="Z631" s="47"/>
      <c r="AA631" s="69">
        <v>631</v>
      </c>
      <c r="AB631" s="69"/>
      <c r="AC631" s="70"/>
      <c r="AD631" s="76" t="s">
        <v>17258</v>
      </c>
      <c r="AE631" s="81" t="s">
        <v>15762</v>
      </c>
      <c r="AF631" s="76">
        <v>0</v>
      </c>
      <c r="AG631" s="76">
        <v>22</v>
      </c>
      <c r="AH631" s="76">
        <v>29</v>
      </c>
      <c r="AI631" s="76">
        <v>0</v>
      </c>
      <c r="AJ631" s="76">
        <v>0</v>
      </c>
      <c r="AK631" s="76">
        <v>3</v>
      </c>
      <c r="AL631" s="76" t="b">
        <v>0</v>
      </c>
      <c r="AM631" s="78">
        <v>45154.918298611112</v>
      </c>
      <c r="AN631" s="76"/>
      <c r="AO631" s="76" t="s">
        <v>18719</v>
      </c>
      <c r="AP631" s="76"/>
      <c r="AQ631" s="76"/>
      <c r="AR631" s="76"/>
      <c r="AS631" s="76"/>
      <c r="AT631" s="76"/>
      <c r="AU631" s="76"/>
      <c r="AV631" s="76"/>
      <c r="AW631" s="76"/>
      <c r="AX631" s="76" t="b">
        <v>0</v>
      </c>
      <c r="AY631" s="76"/>
      <c r="AZ631" s="76"/>
      <c r="BA631" s="76" t="b">
        <v>0</v>
      </c>
      <c r="BB631" s="76" t="b">
        <v>1</v>
      </c>
      <c r="BC631" s="76" t="b">
        <v>1</v>
      </c>
      <c r="BD631" s="76" t="b">
        <v>0</v>
      </c>
      <c r="BE631" s="76" t="b">
        <v>0</v>
      </c>
      <c r="BF631" s="76" t="b">
        <v>0</v>
      </c>
      <c r="BG631" s="76" t="b">
        <v>0</v>
      </c>
      <c r="BH631" s="83" t="str">
        <f>HYPERLINK("https://pbs.twimg.com/profile_banners/1691933346077786118/1692311073")</f>
        <v>https://pbs.twimg.com/profile_banners/1691933346077786118/1692311073</v>
      </c>
      <c r="BI631" s="76"/>
      <c r="BJ631" s="76" t="s">
        <v>19633</v>
      </c>
      <c r="BK631" s="76" t="b">
        <v>0</v>
      </c>
      <c r="BL631" s="76"/>
      <c r="BM631" s="76" t="s">
        <v>66</v>
      </c>
      <c r="BN631" s="76" t="s">
        <v>19635</v>
      </c>
      <c r="BO631" s="83" t="str">
        <f>HYPERLINK("https://twitter.com/livrosemresumo")</f>
        <v>https://twitter.com/livrosemresumo</v>
      </c>
      <c r="BP631" s="2"/>
    </row>
    <row r="632" spans="1:68" x14ac:dyDescent="0.25">
      <c r="A632" s="62" t="s">
        <v>780</v>
      </c>
      <c r="B632" s="63"/>
      <c r="C632" s="63"/>
      <c r="D632" s="64"/>
      <c r="E632" s="66"/>
      <c r="F632" s="103" t="str">
        <f>HYPERLINK("https://pbs.twimg.com/profile_images/1620237219343568899/9RDdbmx8_normal.jpg")</f>
        <v>https://pbs.twimg.com/profile_images/1620237219343568899/9RDdbmx8_normal.jpg</v>
      </c>
      <c r="G632" s="63"/>
      <c r="H632" s="67"/>
      <c r="I632" s="68"/>
      <c r="J632" s="68"/>
      <c r="K632" s="67" t="s">
        <v>20264</v>
      </c>
      <c r="L632" s="71"/>
      <c r="M632" s="72"/>
      <c r="N632" s="72"/>
      <c r="O632" s="73"/>
      <c r="P632" s="74"/>
      <c r="Q632" s="74"/>
      <c r="R632" s="87"/>
      <c r="S632" s="87"/>
      <c r="T632" s="87"/>
      <c r="U632" s="87"/>
      <c r="V632" s="48"/>
      <c r="W632" s="48"/>
      <c r="X632" s="47">
        <v>1.101E-3</v>
      </c>
      <c r="Y632" s="48"/>
      <c r="Z632" s="47"/>
      <c r="AA632" s="69">
        <v>632</v>
      </c>
      <c r="AB632" s="69"/>
      <c r="AC632" s="70"/>
      <c r="AD632" s="76" t="s">
        <v>17259</v>
      </c>
      <c r="AE632" s="81" t="s">
        <v>16448</v>
      </c>
      <c r="AF632" s="76">
        <v>0</v>
      </c>
      <c r="AG632" s="76">
        <v>11</v>
      </c>
      <c r="AH632" s="76">
        <v>21</v>
      </c>
      <c r="AI632" s="76">
        <v>0</v>
      </c>
      <c r="AJ632" s="76">
        <v>33</v>
      </c>
      <c r="AK632" s="76">
        <v>1</v>
      </c>
      <c r="AL632" s="76" t="b">
        <v>0</v>
      </c>
      <c r="AM632" s="78">
        <v>44957.068449074075</v>
      </c>
      <c r="AN632" s="76" t="s">
        <v>10561</v>
      </c>
      <c r="AO632" s="76" t="s">
        <v>18720</v>
      </c>
      <c r="AP632" s="76"/>
      <c r="AQ632" s="76"/>
      <c r="AR632" s="76"/>
      <c r="AS632" s="76"/>
      <c r="AT632" s="76"/>
      <c r="AU632" s="76"/>
      <c r="AV632" s="76"/>
      <c r="AW632" s="76"/>
      <c r="AX632" s="76" t="b">
        <v>0</v>
      </c>
      <c r="AY632" s="76"/>
      <c r="AZ632" s="76"/>
      <c r="BA632" s="76" t="b">
        <v>0</v>
      </c>
      <c r="BB632" s="76" t="b">
        <v>1</v>
      </c>
      <c r="BC632" s="76" t="b">
        <v>1</v>
      </c>
      <c r="BD632" s="76" t="b">
        <v>0</v>
      </c>
      <c r="BE632" s="76" t="b">
        <v>0</v>
      </c>
      <c r="BF632" s="76" t="b">
        <v>0</v>
      </c>
      <c r="BG632" s="76" t="b">
        <v>0</v>
      </c>
      <c r="BH632" s="76"/>
      <c r="BI632" s="76"/>
      <c r="BJ632" s="76" t="s">
        <v>19633</v>
      </c>
      <c r="BK632" s="76" t="b">
        <v>0</v>
      </c>
      <c r="BL632" s="76"/>
      <c r="BM632" s="76" t="s">
        <v>66</v>
      </c>
      <c r="BN632" s="76" t="s">
        <v>19635</v>
      </c>
      <c r="BO632" s="83" t="str">
        <f>HYPERLINK("https://twitter.com/economistamay")</f>
        <v>https://twitter.com/economistamay</v>
      </c>
      <c r="BP632" s="2"/>
    </row>
    <row r="633" spans="1:68" x14ac:dyDescent="0.25">
      <c r="A633" s="62" t="s">
        <v>781</v>
      </c>
      <c r="B633" s="63"/>
      <c r="C633" s="63"/>
      <c r="D633" s="64"/>
      <c r="E633" s="66"/>
      <c r="F633" s="103" t="str">
        <f>HYPERLINK("https://pbs.twimg.com/profile_images/767807730740592640/fMtON0Ve_normal.jpg")</f>
        <v>https://pbs.twimg.com/profile_images/767807730740592640/fMtON0Ve_normal.jpg</v>
      </c>
      <c r="G633" s="63"/>
      <c r="H633" s="67"/>
      <c r="I633" s="68"/>
      <c r="J633" s="68"/>
      <c r="K633" s="67" t="s">
        <v>20265</v>
      </c>
      <c r="L633" s="71"/>
      <c r="M633" s="72"/>
      <c r="N633" s="72"/>
      <c r="O633" s="73"/>
      <c r="P633" s="74"/>
      <c r="Q633" s="74"/>
      <c r="R633" s="87"/>
      <c r="S633" s="87"/>
      <c r="T633" s="87"/>
      <c r="U633" s="87"/>
      <c r="V633" s="48"/>
      <c r="W633" s="48"/>
      <c r="X633" s="47">
        <v>9.6500000000000004E-4</v>
      </c>
      <c r="Y633" s="48"/>
      <c r="Z633" s="47"/>
      <c r="AA633" s="69">
        <v>633</v>
      </c>
      <c r="AB633" s="69"/>
      <c r="AC633" s="70"/>
      <c r="AD633" s="76" t="s">
        <v>17260</v>
      </c>
      <c r="AE633" s="81" t="s">
        <v>16449</v>
      </c>
      <c r="AF633" s="76">
        <v>20</v>
      </c>
      <c r="AG633" s="76">
        <v>133</v>
      </c>
      <c r="AH633" s="76">
        <v>519</v>
      </c>
      <c r="AI633" s="76">
        <v>0</v>
      </c>
      <c r="AJ633" s="76">
        <v>103</v>
      </c>
      <c r="AK633" s="76">
        <v>84</v>
      </c>
      <c r="AL633" s="76" t="b">
        <v>0</v>
      </c>
      <c r="AM633" s="78">
        <v>42602.06925925926</v>
      </c>
      <c r="AN633" s="76" t="s">
        <v>17868</v>
      </c>
      <c r="AO633" s="76" t="s">
        <v>18721</v>
      </c>
      <c r="AP633" s="76"/>
      <c r="AQ633" s="76"/>
      <c r="AR633" s="76"/>
      <c r="AS633" s="76"/>
      <c r="AT633" s="76"/>
      <c r="AU633" s="76"/>
      <c r="AV633" s="76"/>
      <c r="AW633" s="76"/>
      <c r="AX633" s="76" t="b">
        <v>0</v>
      </c>
      <c r="AY633" s="76"/>
      <c r="AZ633" s="76"/>
      <c r="BA633" s="76" t="b">
        <v>0</v>
      </c>
      <c r="BB633" s="76" t="b">
        <v>1</v>
      </c>
      <c r="BC633" s="76" t="b">
        <v>1</v>
      </c>
      <c r="BD633" s="76" t="b">
        <v>0</v>
      </c>
      <c r="BE633" s="76" t="b">
        <v>0</v>
      </c>
      <c r="BF633" s="76" t="b">
        <v>0</v>
      </c>
      <c r="BG633" s="76" t="b">
        <v>0</v>
      </c>
      <c r="BH633" s="83" t="str">
        <f>HYPERLINK("https://pbs.twimg.com/profile_banners/766811927356043264/1471894601")</f>
        <v>https://pbs.twimg.com/profile_banners/766811927356043264/1471894601</v>
      </c>
      <c r="BI633" s="76"/>
      <c r="BJ633" s="76" t="s">
        <v>19633</v>
      </c>
      <c r="BK633" s="76" t="b">
        <v>0</v>
      </c>
      <c r="BL633" s="76"/>
      <c r="BM633" s="76" t="s">
        <v>66</v>
      </c>
      <c r="BN633" s="76" t="s">
        <v>19635</v>
      </c>
      <c r="BO633" s="83" t="str">
        <f>HYPERLINK("https://twitter.com/djandriooficial")</f>
        <v>https://twitter.com/djandriooficial</v>
      </c>
      <c r="BP633" s="2"/>
    </row>
    <row r="634" spans="1:68" x14ac:dyDescent="0.25">
      <c r="A634" s="62" t="s">
        <v>782</v>
      </c>
      <c r="B634" s="63"/>
      <c r="C634" s="63"/>
      <c r="D634" s="64"/>
      <c r="E634" s="66"/>
      <c r="F634" s="103" t="str">
        <f>HYPERLINK("https://pbs.twimg.com/profile_images/1358155775252791303/jd7qCS6S_normal.jpg")</f>
        <v>https://pbs.twimg.com/profile_images/1358155775252791303/jd7qCS6S_normal.jpg</v>
      </c>
      <c r="G634" s="63"/>
      <c r="H634" s="67"/>
      <c r="I634" s="68"/>
      <c r="J634" s="68"/>
      <c r="K634" s="67" t="s">
        <v>20266</v>
      </c>
      <c r="L634" s="71"/>
      <c r="M634" s="72"/>
      <c r="N634" s="72"/>
      <c r="O634" s="73"/>
      <c r="P634" s="74"/>
      <c r="Q634" s="74"/>
      <c r="R634" s="87"/>
      <c r="S634" s="87"/>
      <c r="T634" s="87"/>
      <c r="U634" s="87"/>
      <c r="V634" s="48"/>
      <c r="W634" s="48"/>
      <c r="X634" s="47">
        <v>1.101E-3</v>
      </c>
      <c r="Y634" s="48"/>
      <c r="Z634" s="47"/>
      <c r="AA634" s="69">
        <v>634</v>
      </c>
      <c r="AB634" s="69"/>
      <c r="AC634" s="70"/>
      <c r="AD634" s="76" t="s">
        <v>17261</v>
      </c>
      <c r="AE634" s="81" t="s">
        <v>17755</v>
      </c>
      <c r="AF634" s="76">
        <v>1974</v>
      </c>
      <c r="AG634" s="76">
        <v>373</v>
      </c>
      <c r="AH634" s="76">
        <v>25409</v>
      </c>
      <c r="AI634" s="76">
        <v>6</v>
      </c>
      <c r="AJ634" s="76">
        <v>2285</v>
      </c>
      <c r="AK634" s="76">
        <v>2520</v>
      </c>
      <c r="AL634" s="76" t="b">
        <v>0</v>
      </c>
      <c r="AM634" s="78">
        <v>40101.464305555557</v>
      </c>
      <c r="AN634" s="76" t="s">
        <v>18065</v>
      </c>
      <c r="AO634" s="76" t="s">
        <v>18722</v>
      </c>
      <c r="AP634" s="83" t="str">
        <f>HYPERLINK("https://t.co/T85IBzKfCy")</f>
        <v>https://t.co/T85IBzKfCy</v>
      </c>
      <c r="AQ634" s="83" t="str">
        <f>HYPERLINK("https://www.atilalemos.com.br")</f>
        <v>https://www.atilalemos.com.br</v>
      </c>
      <c r="AR634" s="76" t="s">
        <v>19370</v>
      </c>
      <c r="AS634" s="83" t="str">
        <f>HYPERLINK("https://t.co/UAKet1PKBW")</f>
        <v>https://t.co/UAKet1PKBW</v>
      </c>
      <c r="AT634" s="83" t="str">
        <f>HYPERLINK("http://atilalemos.com.br")</f>
        <v>http://atilalemos.com.br</v>
      </c>
      <c r="AU634" s="76" t="s">
        <v>19370</v>
      </c>
      <c r="AV634" s="76"/>
      <c r="AW634" s="83" t="str">
        <f>HYPERLINK("https://t.co/T85IBzKfCy")</f>
        <v>https://t.co/T85IBzKfCy</v>
      </c>
      <c r="AX634" s="76" t="b">
        <v>0</v>
      </c>
      <c r="AY634" s="76"/>
      <c r="AZ634" s="76"/>
      <c r="BA634" s="76" t="b">
        <v>0</v>
      </c>
      <c r="BB634" s="76" t="b">
        <v>1</v>
      </c>
      <c r="BC634" s="76" t="b">
        <v>0</v>
      </c>
      <c r="BD634" s="76" t="b">
        <v>0</v>
      </c>
      <c r="BE634" s="76" t="b">
        <v>0</v>
      </c>
      <c r="BF634" s="76" t="b">
        <v>0</v>
      </c>
      <c r="BG634" s="76" t="b">
        <v>0</v>
      </c>
      <c r="BH634" s="83" t="str">
        <f>HYPERLINK("https://pbs.twimg.com/profile_banners/82592371/1671068187")</f>
        <v>https://pbs.twimg.com/profile_banners/82592371/1671068187</v>
      </c>
      <c r="BI634" s="76"/>
      <c r="BJ634" s="76" t="s">
        <v>19633</v>
      </c>
      <c r="BK634" s="76" t="b">
        <v>0</v>
      </c>
      <c r="BL634" s="76"/>
      <c r="BM634" s="76" t="s">
        <v>66</v>
      </c>
      <c r="BN634" s="76" t="s">
        <v>19635</v>
      </c>
      <c r="BO634" s="83" t="str">
        <f>HYPERLINK("https://twitter.com/atilalemos10")</f>
        <v>https://twitter.com/atilalemos10</v>
      </c>
      <c r="BP634" s="2"/>
    </row>
    <row r="635" spans="1:68" x14ac:dyDescent="0.25">
      <c r="A635" s="62" t="s">
        <v>783</v>
      </c>
      <c r="B635" s="63"/>
      <c r="C635" s="63"/>
      <c r="D635" s="64"/>
      <c r="E635" s="66"/>
      <c r="F635" s="103" t="str">
        <f>HYPERLINK("https://pbs.twimg.com/profile_images/1382017656103002114/Z5GVr1b4_normal.jpg")</f>
        <v>https://pbs.twimg.com/profile_images/1382017656103002114/Z5GVr1b4_normal.jpg</v>
      </c>
      <c r="G635" s="63"/>
      <c r="H635" s="67"/>
      <c r="I635" s="68"/>
      <c r="J635" s="68"/>
      <c r="K635" s="67" t="s">
        <v>20267</v>
      </c>
      <c r="L635" s="71"/>
      <c r="M635" s="72"/>
      <c r="N635" s="72"/>
      <c r="O635" s="73"/>
      <c r="P635" s="74"/>
      <c r="Q635" s="74"/>
      <c r="R635" s="87"/>
      <c r="S635" s="87"/>
      <c r="T635" s="87"/>
      <c r="U635" s="87"/>
      <c r="V635" s="48"/>
      <c r="W635" s="48"/>
      <c r="X635" s="47">
        <v>1.101E-3</v>
      </c>
      <c r="Y635" s="48"/>
      <c r="Z635" s="47"/>
      <c r="AA635" s="69">
        <v>635</v>
      </c>
      <c r="AB635" s="69"/>
      <c r="AC635" s="70"/>
      <c r="AD635" s="76" t="s">
        <v>17262</v>
      </c>
      <c r="AE635" s="81" t="s">
        <v>16450</v>
      </c>
      <c r="AF635" s="76">
        <v>18</v>
      </c>
      <c r="AG635" s="76">
        <v>4</v>
      </c>
      <c r="AH635" s="76">
        <v>2091</v>
      </c>
      <c r="AI635" s="76">
        <v>0</v>
      </c>
      <c r="AJ635" s="76">
        <v>151</v>
      </c>
      <c r="AK635" s="76">
        <v>1</v>
      </c>
      <c r="AL635" s="76" t="b">
        <v>0</v>
      </c>
      <c r="AM635" s="78">
        <v>44299.712627314817</v>
      </c>
      <c r="AN635" s="76"/>
      <c r="AO635" s="76" t="s">
        <v>18723</v>
      </c>
      <c r="AP635" s="76"/>
      <c r="AQ635" s="76"/>
      <c r="AR635" s="76"/>
      <c r="AS635" s="76"/>
      <c r="AT635" s="76"/>
      <c r="AU635" s="76"/>
      <c r="AV635" s="76">
        <v>1.4377817661237901E+18</v>
      </c>
      <c r="AW635" s="76"/>
      <c r="AX635" s="76" t="b">
        <v>0</v>
      </c>
      <c r="AY635" s="76"/>
      <c r="AZ635" s="76"/>
      <c r="BA635" s="76" t="b">
        <v>0</v>
      </c>
      <c r="BB635" s="76" t="b">
        <v>1</v>
      </c>
      <c r="BC635" s="76" t="b">
        <v>1</v>
      </c>
      <c r="BD635" s="76" t="b">
        <v>0</v>
      </c>
      <c r="BE635" s="76" t="b">
        <v>0</v>
      </c>
      <c r="BF635" s="76" t="b">
        <v>0</v>
      </c>
      <c r="BG635" s="76" t="b">
        <v>0</v>
      </c>
      <c r="BH635" s="76"/>
      <c r="BI635" s="76"/>
      <c r="BJ635" s="76" t="s">
        <v>19633</v>
      </c>
      <c r="BK635" s="76" t="b">
        <v>0</v>
      </c>
      <c r="BL635" s="76"/>
      <c r="BM635" s="76" t="s">
        <v>66</v>
      </c>
      <c r="BN635" s="76" t="s">
        <v>19635</v>
      </c>
      <c r="BO635" s="83" t="str">
        <f>HYPERLINK("https://twitter.com/empresasjornal")</f>
        <v>https://twitter.com/empresasjornal</v>
      </c>
      <c r="BP635" s="2"/>
    </row>
    <row r="636" spans="1:68" x14ac:dyDescent="0.25">
      <c r="A636" s="62" t="s">
        <v>784</v>
      </c>
      <c r="B636" s="63"/>
      <c r="C636" s="63"/>
      <c r="D636" s="64"/>
      <c r="E636" s="66"/>
      <c r="F636" s="103" t="str">
        <f>HYPERLINK("https://pbs.twimg.com/profile_images/1462935370341838850/HAQ4CnG1_normal.png")</f>
        <v>https://pbs.twimg.com/profile_images/1462935370341838850/HAQ4CnG1_normal.png</v>
      </c>
      <c r="G636" s="63"/>
      <c r="H636" s="67"/>
      <c r="I636" s="68"/>
      <c r="J636" s="68"/>
      <c r="K636" s="67" t="s">
        <v>20268</v>
      </c>
      <c r="L636" s="71"/>
      <c r="M636" s="72"/>
      <c r="N636" s="72"/>
      <c r="O636" s="73"/>
      <c r="P636" s="74"/>
      <c r="Q636" s="74"/>
      <c r="R636" s="87"/>
      <c r="S636" s="87"/>
      <c r="T636" s="87"/>
      <c r="U636" s="87"/>
      <c r="V636" s="48"/>
      <c r="W636" s="48"/>
      <c r="X636" s="47">
        <v>9.6599999999999995E-4</v>
      </c>
      <c r="Y636" s="48"/>
      <c r="Z636" s="47"/>
      <c r="AA636" s="69">
        <v>636</v>
      </c>
      <c r="AB636" s="69"/>
      <c r="AC636" s="70"/>
      <c r="AD636" s="76" t="s">
        <v>17263</v>
      </c>
      <c r="AE636" s="81" t="s">
        <v>16451</v>
      </c>
      <c r="AF636" s="76">
        <v>12</v>
      </c>
      <c r="AG636" s="76">
        <v>412</v>
      </c>
      <c r="AH636" s="76">
        <v>1988</v>
      </c>
      <c r="AI636" s="76">
        <v>0</v>
      </c>
      <c r="AJ636" s="76">
        <v>10629</v>
      </c>
      <c r="AK636" s="76">
        <v>6</v>
      </c>
      <c r="AL636" s="76" t="b">
        <v>0</v>
      </c>
      <c r="AM636" s="78">
        <v>44523.004004629627</v>
      </c>
      <c r="AN636" s="76"/>
      <c r="AO636" s="76"/>
      <c r="AP636" s="76"/>
      <c r="AQ636" s="76"/>
      <c r="AR636" s="76"/>
      <c r="AS636" s="76"/>
      <c r="AT636" s="76"/>
      <c r="AU636" s="76"/>
      <c r="AV636" s="76"/>
      <c r="AW636" s="76"/>
      <c r="AX636" s="76" t="b">
        <v>0</v>
      </c>
      <c r="AY636" s="76"/>
      <c r="AZ636" s="76"/>
      <c r="BA636" s="76" t="b">
        <v>0</v>
      </c>
      <c r="BB636" s="76" t="b">
        <v>1</v>
      </c>
      <c r="BC636" s="76" t="b">
        <v>1</v>
      </c>
      <c r="BD636" s="76" t="b">
        <v>0</v>
      </c>
      <c r="BE636" s="76" t="b">
        <v>0</v>
      </c>
      <c r="BF636" s="76" t="b">
        <v>0</v>
      </c>
      <c r="BG636" s="76" t="b">
        <v>0</v>
      </c>
      <c r="BH636" s="76"/>
      <c r="BI636" s="76"/>
      <c r="BJ636" s="76" t="s">
        <v>19633</v>
      </c>
      <c r="BK636" s="76" t="b">
        <v>0</v>
      </c>
      <c r="BL636" s="76"/>
      <c r="BM636" s="76" t="s">
        <v>66</v>
      </c>
      <c r="BN636" s="76" t="s">
        <v>19635</v>
      </c>
      <c r="BO636" s="83" t="str">
        <f>HYPERLINK("https://twitter.com/lenick2008")</f>
        <v>https://twitter.com/lenick2008</v>
      </c>
      <c r="BP636" s="2"/>
    </row>
    <row r="637" spans="1:68" x14ac:dyDescent="0.25">
      <c r="A637" s="62" t="s">
        <v>785</v>
      </c>
      <c r="B637" s="63"/>
      <c r="C637" s="63"/>
      <c r="D637" s="64"/>
      <c r="E637" s="66"/>
      <c r="F637" s="103" t="str">
        <f>HYPERLINK("https://pbs.twimg.com/profile_images/611613248920637440/iOw4oAaz_normal.jpg")</f>
        <v>https://pbs.twimg.com/profile_images/611613248920637440/iOw4oAaz_normal.jpg</v>
      </c>
      <c r="G637" s="63"/>
      <c r="H637" s="67"/>
      <c r="I637" s="68"/>
      <c r="J637" s="68"/>
      <c r="K637" s="67" t="s">
        <v>20269</v>
      </c>
      <c r="L637" s="71"/>
      <c r="M637" s="72"/>
      <c r="N637" s="72"/>
      <c r="O637" s="73"/>
      <c r="P637" s="74"/>
      <c r="Q637" s="74"/>
      <c r="R637" s="87"/>
      <c r="S637" s="87"/>
      <c r="T637" s="87"/>
      <c r="U637" s="87"/>
      <c r="V637" s="48"/>
      <c r="W637" s="48"/>
      <c r="X637" s="47">
        <v>1.101E-3</v>
      </c>
      <c r="Y637" s="48"/>
      <c r="Z637" s="47"/>
      <c r="AA637" s="69">
        <v>637</v>
      </c>
      <c r="AB637" s="69"/>
      <c r="AC637" s="70"/>
      <c r="AD637" s="76" t="s">
        <v>17264</v>
      </c>
      <c r="AE637" s="81" t="s">
        <v>17756</v>
      </c>
      <c r="AF637" s="76">
        <v>76</v>
      </c>
      <c r="AG637" s="76">
        <v>66</v>
      </c>
      <c r="AH637" s="76">
        <v>79</v>
      </c>
      <c r="AI637" s="76">
        <v>1</v>
      </c>
      <c r="AJ637" s="76">
        <v>2</v>
      </c>
      <c r="AK637" s="76">
        <v>5</v>
      </c>
      <c r="AL637" s="76" t="b">
        <v>0</v>
      </c>
      <c r="AM637" s="78">
        <v>40552.881956018522</v>
      </c>
      <c r="AN637" s="76" t="s">
        <v>10622</v>
      </c>
      <c r="AO637" s="76" t="s">
        <v>18724</v>
      </c>
      <c r="AP637" s="83" t="str">
        <f>HYPERLINK("https://t.co/ImEf6f8MqQ")</f>
        <v>https://t.co/ImEf6f8MqQ</v>
      </c>
      <c r="AQ637" s="83" t="str">
        <f>HYPERLINK("http://www.cantarescorretora.com.br")</f>
        <v>http://www.cantarescorretora.com.br</v>
      </c>
      <c r="AR637" s="76" t="s">
        <v>19371</v>
      </c>
      <c r="AS637" s="76"/>
      <c r="AT637" s="76"/>
      <c r="AU637" s="76"/>
      <c r="AV637" s="76"/>
      <c r="AW637" s="83" t="str">
        <f>HYPERLINK("https://t.co/ImEf6f8MqQ")</f>
        <v>https://t.co/ImEf6f8MqQ</v>
      </c>
      <c r="AX637" s="76" t="b">
        <v>0</v>
      </c>
      <c r="AY637" s="76"/>
      <c r="AZ637" s="76"/>
      <c r="BA637" s="76" t="b">
        <v>0</v>
      </c>
      <c r="BB637" s="76" t="b">
        <v>1</v>
      </c>
      <c r="BC637" s="76" t="b">
        <v>1</v>
      </c>
      <c r="BD637" s="76" t="b">
        <v>0</v>
      </c>
      <c r="BE637" s="76" t="b">
        <v>0</v>
      </c>
      <c r="BF637" s="76" t="b">
        <v>0</v>
      </c>
      <c r="BG637" s="76" t="b">
        <v>0</v>
      </c>
      <c r="BH637" s="83" t="str">
        <f>HYPERLINK("https://pbs.twimg.com/profile_banners/236118324/1434654936")</f>
        <v>https://pbs.twimg.com/profile_banners/236118324/1434654936</v>
      </c>
      <c r="BI637" s="76"/>
      <c r="BJ637" s="76" t="s">
        <v>19633</v>
      </c>
      <c r="BK637" s="76" t="b">
        <v>0</v>
      </c>
      <c r="BL637" s="76"/>
      <c r="BM637" s="76" t="s">
        <v>66</v>
      </c>
      <c r="BN637" s="76" t="s">
        <v>19635</v>
      </c>
      <c r="BO637" s="83" t="str">
        <f>HYPERLINK("https://twitter.com/robsonantenor")</f>
        <v>https://twitter.com/robsonantenor</v>
      </c>
      <c r="BP637" s="2"/>
    </row>
    <row r="638" spans="1:68" x14ac:dyDescent="0.25">
      <c r="A638" s="62" t="s">
        <v>786</v>
      </c>
      <c r="B638" s="63"/>
      <c r="C638" s="63"/>
      <c r="D638" s="64"/>
      <c r="E638" s="66"/>
      <c r="F638" s="103" t="str">
        <f>HYPERLINK("https://pbs.twimg.com/profile_images/1654049369186861057/RuDhHhUO_normal.jpg")</f>
        <v>https://pbs.twimg.com/profile_images/1654049369186861057/RuDhHhUO_normal.jpg</v>
      </c>
      <c r="G638" s="63"/>
      <c r="H638" s="67"/>
      <c r="I638" s="68"/>
      <c r="J638" s="68"/>
      <c r="K638" s="67" t="s">
        <v>20270</v>
      </c>
      <c r="L638" s="71"/>
      <c r="M638" s="72"/>
      <c r="N638" s="72"/>
      <c r="O638" s="73"/>
      <c r="P638" s="74"/>
      <c r="Q638" s="74"/>
      <c r="R638" s="87"/>
      <c r="S638" s="87"/>
      <c r="T638" s="87"/>
      <c r="U638" s="87"/>
      <c r="V638" s="48"/>
      <c r="W638" s="48"/>
      <c r="X638" s="47">
        <v>1.101E-3</v>
      </c>
      <c r="Y638" s="48"/>
      <c r="Z638" s="47"/>
      <c r="AA638" s="69">
        <v>638</v>
      </c>
      <c r="AB638" s="69"/>
      <c r="AC638" s="70"/>
      <c r="AD638" s="76" t="s">
        <v>17265</v>
      </c>
      <c r="AE638" s="81" t="s">
        <v>16452</v>
      </c>
      <c r="AF638" s="76">
        <v>1</v>
      </c>
      <c r="AG638" s="76">
        <v>5</v>
      </c>
      <c r="AH638" s="76">
        <v>8</v>
      </c>
      <c r="AI638" s="76">
        <v>0</v>
      </c>
      <c r="AJ638" s="76">
        <v>0</v>
      </c>
      <c r="AK638" s="76">
        <v>0</v>
      </c>
      <c r="AL638" s="76" t="b">
        <v>0</v>
      </c>
      <c r="AM638" s="78">
        <v>45050.377430555556</v>
      </c>
      <c r="AN638" s="76"/>
      <c r="AO638" s="76"/>
      <c r="AP638" s="76"/>
      <c r="AQ638" s="76"/>
      <c r="AR638" s="76"/>
      <c r="AS638" s="76"/>
      <c r="AT638" s="76"/>
      <c r="AU638" s="76"/>
      <c r="AV638" s="76"/>
      <c r="AW638" s="76"/>
      <c r="AX638" s="76" t="b">
        <v>0</v>
      </c>
      <c r="AY638" s="76"/>
      <c r="AZ638" s="76"/>
      <c r="BA638" s="76" t="b">
        <v>0</v>
      </c>
      <c r="BB638" s="76" t="b">
        <v>1</v>
      </c>
      <c r="BC638" s="76" t="b">
        <v>1</v>
      </c>
      <c r="BD638" s="76" t="b">
        <v>0</v>
      </c>
      <c r="BE638" s="76" t="b">
        <v>0</v>
      </c>
      <c r="BF638" s="76" t="b">
        <v>0</v>
      </c>
      <c r="BG638" s="76" t="b">
        <v>0</v>
      </c>
      <c r="BH638" s="83" t="str">
        <f>HYPERLINK("https://pbs.twimg.com/profile_banners/1654049027120418830/1685280840")</f>
        <v>https://pbs.twimg.com/profile_banners/1654049027120418830/1685280840</v>
      </c>
      <c r="BI638" s="76"/>
      <c r="BJ638" s="76" t="s">
        <v>19633</v>
      </c>
      <c r="BK638" s="76" t="b">
        <v>0</v>
      </c>
      <c r="BL638" s="76"/>
      <c r="BM638" s="76" t="s">
        <v>66</v>
      </c>
      <c r="BN638" s="76" t="s">
        <v>19635</v>
      </c>
      <c r="BO638" s="83" t="str">
        <f>HYPERLINK("https://twitter.com/financaslucra")</f>
        <v>https://twitter.com/financaslucra</v>
      </c>
      <c r="BP638" s="2"/>
    </row>
    <row r="639" spans="1:68" x14ac:dyDescent="0.25">
      <c r="A639" s="62" t="s">
        <v>787</v>
      </c>
      <c r="B639" s="63"/>
      <c r="C639" s="63"/>
      <c r="D639" s="64"/>
      <c r="E639" s="66"/>
      <c r="F639" s="103" t="str">
        <f>HYPERLINK("https://pbs.twimg.com/profile_images/1616617540058324993/S6lJdCfI_normal.jpg")</f>
        <v>https://pbs.twimg.com/profile_images/1616617540058324993/S6lJdCfI_normal.jpg</v>
      </c>
      <c r="G639" s="63"/>
      <c r="H639" s="67"/>
      <c r="I639" s="68"/>
      <c r="J639" s="68"/>
      <c r="K639" s="67" t="s">
        <v>20271</v>
      </c>
      <c r="L639" s="71"/>
      <c r="M639" s="72"/>
      <c r="N639" s="72"/>
      <c r="O639" s="73"/>
      <c r="P639" s="74"/>
      <c r="Q639" s="74"/>
      <c r="R639" s="87"/>
      <c r="S639" s="87"/>
      <c r="T639" s="87"/>
      <c r="U639" s="87"/>
      <c r="V639" s="48"/>
      <c r="W639" s="48"/>
      <c r="X639" s="47">
        <v>1.101E-3</v>
      </c>
      <c r="Y639" s="48"/>
      <c r="Z639" s="47"/>
      <c r="AA639" s="69">
        <v>639</v>
      </c>
      <c r="AB639" s="69"/>
      <c r="AC639" s="70"/>
      <c r="AD639" s="76" t="s">
        <v>17266</v>
      </c>
      <c r="AE639" s="81" t="s">
        <v>16453</v>
      </c>
      <c r="AF639" s="76">
        <v>4</v>
      </c>
      <c r="AG639" s="76">
        <v>112</v>
      </c>
      <c r="AH639" s="76">
        <v>419</v>
      </c>
      <c r="AI639" s="76">
        <v>0</v>
      </c>
      <c r="AJ639" s="76">
        <v>399</v>
      </c>
      <c r="AK639" s="76">
        <v>7</v>
      </c>
      <c r="AL639" s="76" t="b">
        <v>0</v>
      </c>
      <c r="AM639" s="78">
        <v>44403.213750000003</v>
      </c>
      <c r="AN639" s="76"/>
      <c r="AO639" s="76" t="s">
        <v>18725</v>
      </c>
      <c r="AP639" s="76"/>
      <c r="AQ639" s="76"/>
      <c r="AR639" s="76"/>
      <c r="AS639" s="76"/>
      <c r="AT639" s="76"/>
      <c r="AU639" s="76"/>
      <c r="AV639" s="76"/>
      <c r="AW639" s="76"/>
      <c r="AX639" s="76" t="b">
        <v>0</v>
      </c>
      <c r="AY639" s="76"/>
      <c r="AZ639" s="76"/>
      <c r="BA639" s="76" t="b">
        <v>0</v>
      </c>
      <c r="BB639" s="76" t="b">
        <v>1</v>
      </c>
      <c r="BC639" s="76" t="b">
        <v>1</v>
      </c>
      <c r="BD639" s="76" t="b">
        <v>0</v>
      </c>
      <c r="BE639" s="76" t="b">
        <v>0</v>
      </c>
      <c r="BF639" s="76" t="b">
        <v>0</v>
      </c>
      <c r="BG639" s="76" t="b">
        <v>0</v>
      </c>
      <c r="BH639" s="76"/>
      <c r="BI639" s="76"/>
      <c r="BJ639" s="76" t="s">
        <v>19633</v>
      </c>
      <c r="BK639" s="76" t="b">
        <v>0</v>
      </c>
      <c r="BL639" s="76"/>
      <c r="BM639" s="76" t="s">
        <v>66</v>
      </c>
      <c r="BN639" s="76" t="s">
        <v>19635</v>
      </c>
      <c r="BO639" s="83" t="str">
        <f>HYPERLINK("https://twitter.com/thiagofm88")</f>
        <v>https://twitter.com/thiagofm88</v>
      </c>
      <c r="BP639" s="2"/>
    </row>
    <row r="640" spans="1:68" x14ac:dyDescent="0.25">
      <c r="A640" s="62" t="s">
        <v>788</v>
      </c>
      <c r="B640" s="63"/>
      <c r="C640" s="63"/>
      <c r="D640" s="64"/>
      <c r="E640" s="66"/>
      <c r="F640" s="103" t="str">
        <f>HYPERLINK("https://pbs.twimg.com/profile_images/1620068456165933060/TShADQck_normal.jpg")</f>
        <v>https://pbs.twimg.com/profile_images/1620068456165933060/TShADQck_normal.jpg</v>
      </c>
      <c r="G640" s="63"/>
      <c r="H640" s="67"/>
      <c r="I640" s="68"/>
      <c r="J640" s="68"/>
      <c r="K640" s="67" t="s">
        <v>20272</v>
      </c>
      <c r="L640" s="71"/>
      <c r="M640" s="72"/>
      <c r="N640" s="72"/>
      <c r="O640" s="73"/>
      <c r="P640" s="74"/>
      <c r="Q640" s="74"/>
      <c r="R640" s="87"/>
      <c r="S640" s="87"/>
      <c r="T640" s="87"/>
      <c r="U640" s="87"/>
      <c r="V640" s="48"/>
      <c r="W640" s="48"/>
      <c r="X640" s="47">
        <v>1.101E-3</v>
      </c>
      <c r="Y640" s="48"/>
      <c r="Z640" s="47"/>
      <c r="AA640" s="69">
        <v>640</v>
      </c>
      <c r="AB640" s="69"/>
      <c r="AC640" s="70"/>
      <c r="AD640" s="76" t="s">
        <v>17267</v>
      </c>
      <c r="AE640" s="81" t="s">
        <v>16454</v>
      </c>
      <c r="AF640" s="76">
        <v>2335</v>
      </c>
      <c r="AG640" s="76">
        <v>0</v>
      </c>
      <c r="AH640" s="76">
        <v>3558</v>
      </c>
      <c r="AI640" s="76">
        <v>34</v>
      </c>
      <c r="AJ640" s="76">
        <v>27</v>
      </c>
      <c r="AK640" s="76">
        <v>216</v>
      </c>
      <c r="AL640" s="76" t="b">
        <v>0</v>
      </c>
      <c r="AM640" s="78">
        <v>44154.484259259261</v>
      </c>
      <c r="AN640" s="76"/>
      <c r="AO640" s="76" t="s">
        <v>18726</v>
      </c>
      <c r="AP640" s="83" t="str">
        <f>HYPERLINK("https://t.co/0uJ9BYJxkN")</f>
        <v>https://t.co/0uJ9BYJxkN</v>
      </c>
      <c r="AQ640" s="83" t="str">
        <f>HYPERLINK("http://flj.com.br")</f>
        <v>http://flj.com.br</v>
      </c>
      <c r="AR640" s="76" t="s">
        <v>19372</v>
      </c>
      <c r="AS640" s="76"/>
      <c r="AT640" s="76"/>
      <c r="AU640" s="76"/>
      <c r="AV640" s="76">
        <v>1.6201214122154099E+18</v>
      </c>
      <c r="AW640" s="83" t="str">
        <f>HYPERLINK("https://t.co/0uJ9BYJxkN")</f>
        <v>https://t.co/0uJ9BYJxkN</v>
      </c>
      <c r="AX640" s="76" t="b">
        <v>1</v>
      </c>
      <c r="AY640" s="76"/>
      <c r="AZ640" s="76"/>
      <c r="BA640" s="76" t="b">
        <v>1</v>
      </c>
      <c r="BB640" s="76" t="b">
        <v>1</v>
      </c>
      <c r="BC640" s="76" t="b">
        <v>1</v>
      </c>
      <c r="BD640" s="76" t="b">
        <v>0</v>
      </c>
      <c r="BE640" s="76" t="b">
        <v>0</v>
      </c>
      <c r="BF640" s="76" t="b">
        <v>0</v>
      </c>
      <c r="BG640" s="76" t="b">
        <v>0</v>
      </c>
      <c r="BH640" s="83" t="str">
        <f>HYPERLINK("https://pbs.twimg.com/profile_banners/1329388236519727105/1675271884")</f>
        <v>https://pbs.twimg.com/profile_banners/1329388236519727105/1675271884</v>
      </c>
      <c r="BI640" s="76"/>
      <c r="BJ640" s="76" t="s">
        <v>19633</v>
      </c>
      <c r="BK640" s="76" t="b">
        <v>0</v>
      </c>
      <c r="BL640" s="76"/>
      <c r="BM640" s="76" t="s">
        <v>66</v>
      </c>
      <c r="BN640" s="76" t="s">
        <v>19635</v>
      </c>
      <c r="BO640" s="83" t="str">
        <f>HYPERLINK("https://twitter.com/leiaflj")</f>
        <v>https://twitter.com/leiaflj</v>
      </c>
      <c r="BP640" s="2"/>
    </row>
    <row r="641" spans="1:68" x14ac:dyDescent="0.25">
      <c r="A641" s="62" t="s">
        <v>789</v>
      </c>
      <c r="B641" s="63"/>
      <c r="C641" s="63"/>
      <c r="D641" s="64"/>
      <c r="E641" s="66"/>
      <c r="F641" s="103" t="str">
        <f>HYPERLINK("https://pbs.twimg.com/profile_images/1686157531486244866/HBYoJLYu_normal.jpg")</f>
        <v>https://pbs.twimg.com/profile_images/1686157531486244866/HBYoJLYu_normal.jpg</v>
      </c>
      <c r="G641" s="63"/>
      <c r="H641" s="67"/>
      <c r="I641" s="68"/>
      <c r="J641" s="68"/>
      <c r="K641" s="67" t="s">
        <v>20273</v>
      </c>
      <c r="L641" s="71"/>
      <c r="M641" s="72"/>
      <c r="N641" s="72"/>
      <c r="O641" s="73"/>
      <c r="P641" s="74"/>
      <c r="Q641" s="74"/>
      <c r="R641" s="87"/>
      <c r="S641" s="87"/>
      <c r="T641" s="87"/>
      <c r="U641" s="87"/>
      <c r="V641" s="48"/>
      <c r="W641" s="48"/>
      <c r="X641" s="47">
        <v>1.178E-3</v>
      </c>
      <c r="Y641" s="48"/>
      <c r="Z641" s="47"/>
      <c r="AA641" s="69">
        <v>641</v>
      </c>
      <c r="AB641" s="69"/>
      <c r="AC641" s="70"/>
      <c r="AD641" s="76" t="s">
        <v>17268</v>
      </c>
      <c r="AE641" s="81" t="s">
        <v>17757</v>
      </c>
      <c r="AF641" s="76">
        <v>2286</v>
      </c>
      <c r="AG641" s="76">
        <v>457</v>
      </c>
      <c r="AH641" s="76">
        <v>4524</v>
      </c>
      <c r="AI641" s="76">
        <v>15</v>
      </c>
      <c r="AJ641" s="76">
        <v>3792</v>
      </c>
      <c r="AK641" s="76">
        <v>662</v>
      </c>
      <c r="AL641" s="76" t="b">
        <v>0</v>
      </c>
      <c r="AM641" s="78">
        <v>39856.45685185185</v>
      </c>
      <c r="AN641" s="76" t="s">
        <v>18066</v>
      </c>
      <c r="AO641" s="76" t="s">
        <v>18727</v>
      </c>
      <c r="AP641" s="83" t="str">
        <f>HYPERLINK("https://t.co/4PqGUcoVMb")</f>
        <v>https://t.co/4PqGUcoVMb</v>
      </c>
      <c r="AQ641" s="83" t="str">
        <f>HYPERLINK("https://inovaflix.com/")</f>
        <v>https://inovaflix.com/</v>
      </c>
      <c r="AR641" s="76" t="s">
        <v>19373</v>
      </c>
      <c r="AS641" s="76"/>
      <c r="AT641" s="76"/>
      <c r="AU641" s="76"/>
      <c r="AV641" s="76">
        <v>1.45587513984176E+18</v>
      </c>
      <c r="AW641" s="83" t="str">
        <f>HYPERLINK("https://t.co/4PqGUcoVMb")</f>
        <v>https://t.co/4PqGUcoVMb</v>
      </c>
      <c r="AX641" s="76" t="b">
        <v>0</v>
      </c>
      <c r="AY641" s="76"/>
      <c r="AZ641" s="76"/>
      <c r="BA641" s="76" t="b">
        <v>0</v>
      </c>
      <c r="BB641" s="76" t="b">
        <v>1</v>
      </c>
      <c r="BC641" s="76" t="b">
        <v>0</v>
      </c>
      <c r="BD641" s="76" t="b">
        <v>0</v>
      </c>
      <c r="BE641" s="76" t="b">
        <v>1</v>
      </c>
      <c r="BF641" s="76" t="b">
        <v>0</v>
      </c>
      <c r="BG641" s="76" t="b">
        <v>0</v>
      </c>
      <c r="BH641" s="83" t="str">
        <f>HYPERLINK("https://pbs.twimg.com/profile_banners/20667807/1617070162")</f>
        <v>https://pbs.twimg.com/profile_banners/20667807/1617070162</v>
      </c>
      <c r="BI641" s="76"/>
      <c r="BJ641" s="76" t="s">
        <v>19633</v>
      </c>
      <c r="BK641" s="76" t="b">
        <v>0</v>
      </c>
      <c r="BL641" s="76"/>
      <c r="BM641" s="76" t="s">
        <v>66</v>
      </c>
      <c r="BN641" s="76" t="s">
        <v>19635</v>
      </c>
      <c r="BO641" s="83" t="str">
        <f>HYPERLINK("https://twitter.com/robertopantojax")</f>
        <v>https://twitter.com/robertopantojax</v>
      </c>
      <c r="BP641" s="2"/>
    </row>
    <row r="642" spans="1:68" x14ac:dyDescent="0.25">
      <c r="A642" s="62" t="s">
        <v>790</v>
      </c>
      <c r="B642" s="63"/>
      <c r="C642" s="63"/>
      <c r="D642" s="64"/>
      <c r="E642" s="66"/>
      <c r="F642" s="103" t="str">
        <f>HYPERLINK("https://pbs.twimg.com/profile_images/1635789664853319683/BStZZr6Z_normal.jpg")</f>
        <v>https://pbs.twimg.com/profile_images/1635789664853319683/BStZZr6Z_normal.jpg</v>
      </c>
      <c r="G642" s="63"/>
      <c r="H642" s="67"/>
      <c r="I642" s="68"/>
      <c r="J642" s="68"/>
      <c r="K642" s="67" t="s">
        <v>20274</v>
      </c>
      <c r="L642" s="71"/>
      <c r="M642" s="72"/>
      <c r="N642" s="72"/>
      <c r="O642" s="73"/>
      <c r="P642" s="74"/>
      <c r="Q642" s="74"/>
      <c r="R642" s="87"/>
      <c r="S642" s="87"/>
      <c r="T642" s="87"/>
      <c r="U642" s="87"/>
      <c r="V642" s="48"/>
      <c r="W642" s="48"/>
      <c r="X642" s="47">
        <v>1.024E-3</v>
      </c>
      <c r="Y642" s="48"/>
      <c r="Z642" s="47"/>
      <c r="AA642" s="69">
        <v>642</v>
      </c>
      <c r="AB642" s="69"/>
      <c r="AC642" s="70"/>
      <c r="AD642" s="76" t="s">
        <v>17269</v>
      </c>
      <c r="AE642" s="81" t="s">
        <v>16455</v>
      </c>
      <c r="AF642" s="76">
        <v>88</v>
      </c>
      <c r="AG642" s="76">
        <v>170</v>
      </c>
      <c r="AH642" s="76">
        <v>2236</v>
      </c>
      <c r="AI642" s="76">
        <v>1</v>
      </c>
      <c r="AJ642" s="76">
        <v>12024</v>
      </c>
      <c r="AK642" s="76">
        <v>129</v>
      </c>
      <c r="AL642" s="76" t="b">
        <v>0</v>
      </c>
      <c r="AM642" s="78">
        <v>44676.809155092589</v>
      </c>
      <c r="AN642" s="76" t="s">
        <v>10570</v>
      </c>
      <c r="AO642" s="76" t="s">
        <v>18728</v>
      </c>
      <c r="AP642" s="76"/>
      <c r="AQ642" s="76"/>
      <c r="AR642" s="76"/>
      <c r="AS642" s="76"/>
      <c r="AT642" s="76"/>
      <c r="AU642" s="76"/>
      <c r="AV642" s="76"/>
      <c r="AW642" s="76"/>
      <c r="AX642" s="76" t="b">
        <v>0</v>
      </c>
      <c r="AY642" s="76"/>
      <c r="AZ642" s="76"/>
      <c r="BA642" s="76" t="b">
        <v>1</v>
      </c>
      <c r="BB642" s="76" t="b">
        <v>0</v>
      </c>
      <c r="BC642" s="76" t="b">
        <v>1</v>
      </c>
      <c r="BD642" s="76" t="b">
        <v>0</v>
      </c>
      <c r="BE642" s="76" t="b">
        <v>1</v>
      </c>
      <c r="BF642" s="76" t="b">
        <v>0</v>
      </c>
      <c r="BG642" s="76" t="b">
        <v>0</v>
      </c>
      <c r="BH642" s="83" t="str">
        <f>HYPERLINK("https://pbs.twimg.com/profile_banners/1518672391647416321/1677891326")</f>
        <v>https://pbs.twimg.com/profile_banners/1518672391647416321/1677891326</v>
      </c>
      <c r="BI642" s="76"/>
      <c r="BJ642" s="76" t="s">
        <v>19633</v>
      </c>
      <c r="BK642" s="76" t="b">
        <v>0</v>
      </c>
      <c r="BL642" s="76"/>
      <c r="BM642" s="76" t="s">
        <v>66</v>
      </c>
      <c r="BN642" s="76" t="s">
        <v>19635</v>
      </c>
      <c r="BO642" s="83" t="str">
        <f>HYPERLINK("https://twitter.com/ye__exe")</f>
        <v>https://twitter.com/ye__exe</v>
      </c>
      <c r="BP642" s="2"/>
    </row>
    <row r="643" spans="1:68" x14ac:dyDescent="0.25">
      <c r="A643" s="62" t="s">
        <v>791</v>
      </c>
      <c r="B643" s="63"/>
      <c r="C643" s="63"/>
      <c r="D643" s="64"/>
      <c r="E643" s="66"/>
      <c r="F643" s="103" t="str">
        <f>HYPERLINK("https://pbs.twimg.com/profile_images/1699544066575241216/wPGEyNxc_normal.jpg")</f>
        <v>https://pbs.twimg.com/profile_images/1699544066575241216/wPGEyNxc_normal.jpg</v>
      </c>
      <c r="G643" s="63"/>
      <c r="H643" s="67"/>
      <c r="I643" s="68"/>
      <c r="J643" s="68"/>
      <c r="K643" s="67" t="s">
        <v>20275</v>
      </c>
      <c r="L643" s="71"/>
      <c r="M643" s="72"/>
      <c r="N643" s="72"/>
      <c r="O643" s="73"/>
      <c r="P643" s="74"/>
      <c r="Q643" s="74"/>
      <c r="R643" s="87"/>
      <c r="S643" s="87"/>
      <c r="T643" s="87"/>
      <c r="U643" s="87"/>
      <c r="V643" s="48"/>
      <c r="W643" s="48"/>
      <c r="X643" s="47">
        <v>1.101E-3</v>
      </c>
      <c r="Y643" s="48"/>
      <c r="Z643" s="47"/>
      <c r="AA643" s="69">
        <v>643</v>
      </c>
      <c r="AB643" s="69"/>
      <c r="AC643" s="70"/>
      <c r="AD643" s="76" t="s">
        <v>17270</v>
      </c>
      <c r="AE643" s="81" t="s">
        <v>16456</v>
      </c>
      <c r="AF643" s="76">
        <v>76</v>
      </c>
      <c r="AG643" s="76">
        <v>17</v>
      </c>
      <c r="AH643" s="76">
        <v>499</v>
      </c>
      <c r="AI643" s="76">
        <v>0</v>
      </c>
      <c r="AJ643" s="76">
        <v>1449</v>
      </c>
      <c r="AK643" s="76">
        <v>118</v>
      </c>
      <c r="AL643" s="76" t="b">
        <v>0</v>
      </c>
      <c r="AM643" s="78">
        <v>42581.756307870368</v>
      </c>
      <c r="AN643" s="76" t="s">
        <v>17882</v>
      </c>
      <c r="AO643" s="76" t="s">
        <v>18729</v>
      </c>
      <c r="AP643" s="83" t="str">
        <f>HYPERLINK("https://t.co/rdvLek6F1F")</f>
        <v>https://t.co/rdvLek6F1F</v>
      </c>
      <c r="AQ643" s="83" t="str">
        <f>HYPERLINK("https://instabio.cc/britzztheking")</f>
        <v>https://instabio.cc/britzztheking</v>
      </c>
      <c r="AR643" s="76" t="s">
        <v>19374</v>
      </c>
      <c r="AS643" s="76"/>
      <c r="AT643" s="76"/>
      <c r="AU643" s="76"/>
      <c r="AV643" s="76"/>
      <c r="AW643" s="83" t="str">
        <f>HYPERLINK("https://t.co/rdvLek6F1F")</f>
        <v>https://t.co/rdvLek6F1F</v>
      </c>
      <c r="AX643" s="76" t="b">
        <v>0</v>
      </c>
      <c r="AY643" s="76"/>
      <c r="AZ643" s="76"/>
      <c r="BA643" s="76" t="b">
        <v>0</v>
      </c>
      <c r="BB643" s="76" t="b">
        <v>1</v>
      </c>
      <c r="BC643" s="76" t="b">
        <v>1</v>
      </c>
      <c r="BD643" s="76" t="b">
        <v>0</v>
      </c>
      <c r="BE643" s="76" t="b">
        <v>1</v>
      </c>
      <c r="BF643" s="76" t="b">
        <v>0</v>
      </c>
      <c r="BG643" s="76" t="b">
        <v>0</v>
      </c>
      <c r="BH643" s="83" t="str">
        <f>HYPERLINK("https://pbs.twimg.com/profile_banners/759450760023252992/1684097397")</f>
        <v>https://pbs.twimg.com/profile_banners/759450760023252992/1684097397</v>
      </c>
      <c r="BI643" s="76"/>
      <c r="BJ643" s="76" t="s">
        <v>19633</v>
      </c>
      <c r="BK643" s="76" t="b">
        <v>0</v>
      </c>
      <c r="BL643" s="76"/>
      <c r="BM643" s="76" t="s">
        <v>66</v>
      </c>
      <c r="BN643" s="76" t="s">
        <v>19635</v>
      </c>
      <c r="BO643" s="83" t="str">
        <f>HYPERLINK("https://twitter.com/britzztheking")</f>
        <v>https://twitter.com/britzztheking</v>
      </c>
      <c r="BP643" s="2"/>
    </row>
    <row r="644" spans="1:68" x14ac:dyDescent="0.25">
      <c r="A644" s="62" t="s">
        <v>792</v>
      </c>
      <c r="B644" s="63"/>
      <c r="C644" s="63"/>
      <c r="D644" s="64"/>
      <c r="E644" s="66"/>
      <c r="F644" s="103" t="str">
        <f>HYPERLINK("https://pbs.twimg.com/profile_images/1666814261744766979/Z3Vpdskg_normal.jpg")</f>
        <v>https://pbs.twimg.com/profile_images/1666814261744766979/Z3Vpdskg_normal.jpg</v>
      </c>
      <c r="G644" s="63"/>
      <c r="H644" s="67"/>
      <c r="I644" s="68"/>
      <c r="J644" s="68"/>
      <c r="K644" s="67" t="s">
        <v>20276</v>
      </c>
      <c r="L644" s="71"/>
      <c r="M644" s="72"/>
      <c r="N644" s="72"/>
      <c r="O644" s="73"/>
      <c r="P644" s="74"/>
      <c r="Q644" s="74"/>
      <c r="R644" s="87"/>
      <c r="S644" s="87"/>
      <c r="T644" s="87"/>
      <c r="U644" s="87"/>
      <c r="V644" s="48"/>
      <c r="W644" s="48"/>
      <c r="X644" s="47">
        <v>1.101E-3</v>
      </c>
      <c r="Y644" s="48"/>
      <c r="Z644" s="47"/>
      <c r="AA644" s="69">
        <v>644</v>
      </c>
      <c r="AB644" s="69"/>
      <c r="AC644" s="70"/>
      <c r="AD644" s="76" t="s">
        <v>17271</v>
      </c>
      <c r="AE644" s="81" t="s">
        <v>17758</v>
      </c>
      <c r="AF644" s="76">
        <v>335</v>
      </c>
      <c r="AG644" s="76">
        <v>732</v>
      </c>
      <c r="AH644" s="76">
        <v>880</v>
      </c>
      <c r="AI644" s="76">
        <v>2</v>
      </c>
      <c r="AJ644" s="76">
        <v>362</v>
      </c>
      <c r="AK644" s="76">
        <v>699</v>
      </c>
      <c r="AL644" s="76" t="b">
        <v>0</v>
      </c>
      <c r="AM644" s="78">
        <v>40053.701979166668</v>
      </c>
      <c r="AN644" s="76" t="s">
        <v>10552</v>
      </c>
      <c r="AO644" s="76" t="s">
        <v>18730</v>
      </c>
      <c r="AP644" s="83" t="str">
        <f>HYPERLINK("https://t.co/1xWXdwfb9T")</f>
        <v>https://t.co/1xWXdwfb9T</v>
      </c>
      <c r="AQ644" s="83" t="str">
        <f>HYPERLINK("https://www.kakoramos.com/")</f>
        <v>https://www.kakoramos.com/</v>
      </c>
      <c r="AR644" s="76" t="s">
        <v>19375</v>
      </c>
      <c r="AS644" s="76"/>
      <c r="AT644" s="76"/>
      <c r="AU644" s="76"/>
      <c r="AV644" s="76"/>
      <c r="AW644" s="83" t="str">
        <f>HYPERLINK("https://t.co/1xWXdwfb9T")</f>
        <v>https://t.co/1xWXdwfb9T</v>
      </c>
      <c r="AX644" s="76" t="b">
        <v>0</v>
      </c>
      <c r="AY644" s="76"/>
      <c r="AZ644" s="76"/>
      <c r="BA644" s="76" t="b">
        <v>1</v>
      </c>
      <c r="BB644" s="76" t="b">
        <v>1</v>
      </c>
      <c r="BC644" s="76" t="b">
        <v>0</v>
      </c>
      <c r="BD644" s="76" t="b">
        <v>0</v>
      </c>
      <c r="BE644" s="76" t="b">
        <v>0</v>
      </c>
      <c r="BF644" s="76" t="b">
        <v>0</v>
      </c>
      <c r="BG644" s="76" t="b">
        <v>0</v>
      </c>
      <c r="BH644" s="83" t="str">
        <f>HYPERLINK("https://pbs.twimg.com/profile_banners/69634735/1686234463")</f>
        <v>https://pbs.twimg.com/profile_banners/69634735/1686234463</v>
      </c>
      <c r="BI644" s="76"/>
      <c r="BJ644" s="76" t="s">
        <v>19633</v>
      </c>
      <c r="BK644" s="76" t="b">
        <v>0</v>
      </c>
      <c r="BL644" s="76"/>
      <c r="BM644" s="76" t="s">
        <v>66</v>
      </c>
      <c r="BN644" s="76" t="s">
        <v>19635</v>
      </c>
      <c r="BO644" s="83" t="str">
        <f>HYPERLINK("https://twitter.com/kakoramos")</f>
        <v>https://twitter.com/kakoramos</v>
      </c>
      <c r="BP644" s="2"/>
    </row>
    <row r="645" spans="1:68" x14ac:dyDescent="0.25">
      <c r="A645" s="62" t="s">
        <v>793</v>
      </c>
      <c r="B645" s="63"/>
      <c r="C645" s="63"/>
      <c r="D645" s="64"/>
      <c r="E645" s="66"/>
      <c r="F645" s="103" t="str">
        <f>HYPERLINK("https://pbs.twimg.com/profile_images/1687092080907370496/9BhikrKi_normal.jpg")</f>
        <v>https://pbs.twimg.com/profile_images/1687092080907370496/9BhikrKi_normal.jpg</v>
      </c>
      <c r="G645" s="63"/>
      <c r="H645" s="67"/>
      <c r="I645" s="68"/>
      <c r="J645" s="68"/>
      <c r="K645" s="67" t="s">
        <v>20277</v>
      </c>
      <c r="L645" s="71"/>
      <c r="M645" s="72"/>
      <c r="N645" s="72"/>
      <c r="O645" s="73"/>
      <c r="P645" s="74"/>
      <c r="Q645" s="74"/>
      <c r="R645" s="87"/>
      <c r="S645" s="87"/>
      <c r="T645" s="87"/>
      <c r="U645" s="87"/>
      <c r="V645" s="48"/>
      <c r="W645" s="48"/>
      <c r="X645" s="47">
        <v>1.101E-3</v>
      </c>
      <c r="Y645" s="48"/>
      <c r="Z645" s="47"/>
      <c r="AA645" s="69">
        <v>645</v>
      </c>
      <c r="AB645" s="69"/>
      <c r="AC645" s="70"/>
      <c r="AD645" s="76" t="s">
        <v>17272</v>
      </c>
      <c r="AE645" s="81" t="s">
        <v>16457</v>
      </c>
      <c r="AF645" s="76">
        <v>720</v>
      </c>
      <c r="AG645" s="76">
        <v>266</v>
      </c>
      <c r="AH645" s="76">
        <v>4636</v>
      </c>
      <c r="AI645" s="76">
        <v>15</v>
      </c>
      <c r="AJ645" s="76">
        <v>3462</v>
      </c>
      <c r="AK645" s="76">
        <v>1391</v>
      </c>
      <c r="AL645" s="76" t="b">
        <v>0</v>
      </c>
      <c r="AM645" s="78">
        <v>43670.842233796298</v>
      </c>
      <c r="AN645" s="76" t="s">
        <v>10552</v>
      </c>
      <c r="AO645" s="76" t="s">
        <v>18731</v>
      </c>
      <c r="AP645" s="83" t="str">
        <f>HYPERLINK("https://t.co/uhhE7iZcm2")</f>
        <v>https://t.co/uhhE7iZcm2</v>
      </c>
      <c r="AQ645" s="83" t="str">
        <f>HYPERLINK("https://produtiveme.club/link/")</f>
        <v>https://produtiveme.club/link/</v>
      </c>
      <c r="AR645" s="76" t="s">
        <v>19376</v>
      </c>
      <c r="AS645" s="76"/>
      <c r="AT645" s="76"/>
      <c r="AU645" s="76"/>
      <c r="AV645" s="76">
        <v>1.6359893662909299E+18</v>
      </c>
      <c r="AW645" s="83" t="str">
        <f>HYPERLINK("https://t.co/uhhE7iZcm2")</f>
        <v>https://t.co/uhhE7iZcm2</v>
      </c>
      <c r="AX645" s="76" t="b">
        <v>0</v>
      </c>
      <c r="AY645" s="76"/>
      <c r="AZ645" s="76"/>
      <c r="BA645" s="76" t="b">
        <v>0</v>
      </c>
      <c r="BB645" s="76" t="b">
        <v>1</v>
      </c>
      <c r="BC645" s="76" t="b">
        <v>1</v>
      </c>
      <c r="BD645" s="76" t="b">
        <v>0</v>
      </c>
      <c r="BE645" s="76" t="b">
        <v>1</v>
      </c>
      <c r="BF645" s="76" t="b">
        <v>0</v>
      </c>
      <c r="BG645" s="76" t="b">
        <v>0</v>
      </c>
      <c r="BH645" s="83" t="str">
        <f>HYPERLINK("https://pbs.twimg.com/profile_banners/1154122283688058881/1691069073")</f>
        <v>https://pbs.twimg.com/profile_banners/1154122283688058881/1691069073</v>
      </c>
      <c r="BI645" s="76"/>
      <c r="BJ645" s="76" t="s">
        <v>19633</v>
      </c>
      <c r="BK645" s="76" t="b">
        <v>0</v>
      </c>
      <c r="BL645" s="76"/>
      <c r="BM645" s="76" t="s">
        <v>66</v>
      </c>
      <c r="BN645" s="76" t="s">
        <v>19635</v>
      </c>
      <c r="BO645" s="83" t="str">
        <f>HYPERLINK("https://twitter.com/produtiveme")</f>
        <v>https://twitter.com/produtiveme</v>
      </c>
      <c r="BP645" s="2"/>
    </row>
    <row r="646" spans="1:68" x14ac:dyDescent="0.25">
      <c r="A646" s="62" t="s">
        <v>794</v>
      </c>
      <c r="B646" s="63"/>
      <c r="C646" s="63"/>
      <c r="D646" s="64"/>
      <c r="E646" s="66"/>
      <c r="F646" s="103" t="str">
        <f>HYPERLINK("https://pbs.twimg.com/profile_images/1638372597984272385/zovjXtAN_normal.jpg")</f>
        <v>https://pbs.twimg.com/profile_images/1638372597984272385/zovjXtAN_normal.jpg</v>
      </c>
      <c r="G646" s="63"/>
      <c r="H646" s="67"/>
      <c r="I646" s="68"/>
      <c r="J646" s="68"/>
      <c r="K646" s="67" t="s">
        <v>20278</v>
      </c>
      <c r="L646" s="71"/>
      <c r="M646" s="72"/>
      <c r="N646" s="72"/>
      <c r="O646" s="73"/>
      <c r="P646" s="74"/>
      <c r="Q646" s="74"/>
      <c r="R646" s="87"/>
      <c r="S646" s="87"/>
      <c r="T646" s="87"/>
      <c r="U646" s="87"/>
      <c r="V646" s="48"/>
      <c r="W646" s="48"/>
      <c r="X646" s="47">
        <v>1.101E-3</v>
      </c>
      <c r="Y646" s="48"/>
      <c r="Z646" s="47"/>
      <c r="AA646" s="69">
        <v>646</v>
      </c>
      <c r="AB646" s="69"/>
      <c r="AC646" s="70"/>
      <c r="AD646" s="76" t="s">
        <v>17273</v>
      </c>
      <c r="AE646" s="81" t="s">
        <v>16458</v>
      </c>
      <c r="AF646" s="76">
        <v>0</v>
      </c>
      <c r="AG646" s="76">
        <v>14</v>
      </c>
      <c r="AH646" s="76">
        <v>42</v>
      </c>
      <c r="AI646" s="76">
        <v>0</v>
      </c>
      <c r="AJ646" s="76">
        <v>1</v>
      </c>
      <c r="AK646" s="76">
        <v>0</v>
      </c>
      <c r="AL646" s="76" t="b">
        <v>0</v>
      </c>
      <c r="AM646" s="78">
        <v>45007.118530092594</v>
      </c>
      <c r="AN646" s="76" t="s">
        <v>10568</v>
      </c>
      <c r="AO646" s="76" t="s">
        <v>18732</v>
      </c>
      <c r="AP646" s="83" t="str">
        <f>HYPERLINK("https://t.co/iiZL83ZLYo")</f>
        <v>https://t.co/iiZL83ZLYo</v>
      </c>
      <c r="AQ646" s="83" t="str">
        <f>HYPERLINK("https://www.youtube.com/@guiftmottin")</f>
        <v>https://www.youtube.com/@guiftmottin</v>
      </c>
      <c r="AR646" s="76" t="s">
        <v>19377</v>
      </c>
      <c r="AS646" s="76"/>
      <c r="AT646" s="76"/>
      <c r="AU646" s="76"/>
      <c r="AV646" s="76"/>
      <c r="AW646" s="83" t="str">
        <f>HYPERLINK("https://t.co/iiZL83ZLYo")</f>
        <v>https://t.co/iiZL83ZLYo</v>
      </c>
      <c r="AX646" s="76" t="b">
        <v>0</v>
      </c>
      <c r="AY646" s="76"/>
      <c r="AZ646" s="76"/>
      <c r="BA646" s="76" t="b">
        <v>0</v>
      </c>
      <c r="BB646" s="76" t="b">
        <v>1</v>
      </c>
      <c r="BC646" s="76" t="b">
        <v>1</v>
      </c>
      <c r="BD646" s="76" t="b">
        <v>0</v>
      </c>
      <c r="BE646" s="76" t="b">
        <v>0</v>
      </c>
      <c r="BF646" s="76" t="b">
        <v>0</v>
      </c>
      <c r="BG646" s="76" t="b">
        <v>0</v>
      </c>
      <c r="BH646" s="76"/>
      <c r="BI646" s="76"/>
      <c r="BJ646" s="76" t="s">
        <v>19633</v>
      </c>
      <c r="BK646" s="76" t="b">
        <v>0</v>
      </c>
      <c r="BL646" s="76"/>
      <c r="BM646" s="76" t="s">
        <v>66</v>
      </c>
      <c r="BN646" s="76" t="s">
        <v>19635</v>
      </c>
      <c r="BO646" s="83" t="str">
        <f>HYPERLINK("https://twitter.com/guiftmottin7")</f>
        <v>https://twitter.com/guiftmottin7</v>
      </c>
      <c r="BP646" s="2"/>
    </row>
    <row r="647" spans="1:68" x14ac:dyDescent="0.25">
      <c r="A647" s="62" t="s">
        <v>795</v>
      </c>
      <c r="B647" s="63"/>
      <c r="C647" s="63"/>
      <c r="D647" s="64"/>
      <c r="E647" s="66"/>
      <c r="F647" s="103" t="str">
        <f>HYPERLINK("https://pbs.twimg.com/profile_images/1665776370172022786/liySln4O_normal.jpg")</f>
        <v>https://pbs.twimg.com/profile_images/1665776370172022786/liySln4O_normal.jpg</v>
      </c>
      <c r="G647" s="63"/>
      <c r="H647" s="67"/>
      <c r="I647" s="68"/>
      <c r="J647" s="68"/>
      <c r="K647" s="67" t="s">
        <v>20279</v>
      </c>
      <c r="L647" s="71"/>
      <c r="M647" s="72"/>
      <c r="N647" s="72"/>
      <c r="O647" s="73"/>
      <c r="P647" s="74"/>
      <c r="Q647" s="74"/>
      <c r="R647" s="87"/>
      <c r="S647" s="87"/>
      <c r="T647" s="87"/>
      <c r="U647" s="87"/>
      <c r="V647" s="48"/>
      <c r="W647" s="48"/>
      <c r="X647" s="47">
        <v>9.7400000000000004E-4</v>
      </c>
      <c r="Y647" s="48"/>
      <c r="Z647" s="47"/>
      <c r="AA647" s="69">
        <v>647</v>
      </c>
      <c r="AB647" s="69"/>
      <c r="AC647" s="70"/>
      <c r="AD647" s="76" t="s">
        <v>17274</v>
      </c>
      <c r="AE647" s="81" t="s">
        <v>16459</v>
      </c>
      <c r="AF647" s="76">
        <v>239</v>
      </c>
      <c r="AG647" s="76">
        <v>543</v>
      </c>
      <c r="AH647" s="76">
        <v>8566</v>
      </c>
      <c r="AI647" s="76">
        <v>5</v>
      </c>
      <c r="AJ647" s="76">
        <v>8360</v>
      </c>
      <c r="AK647" s="76">
        <v>222</v>
      </c>
      <c r="AL647" s="76" t="b">
        <v>0</v>
      </c>
      <c r="AM647" s="78">
        <v>44016.58221064815</v>
      </c>
      <c r="AN647" s="76" t="s">
        <v>18067</v>
      </c>
      <c r="AO647" s="76" t="s">
        <v>18733</v>
      </c>
      <c r="AP647" s="76"/>
      <c r="AQ647" s="76"/>
      <c r="AR647" s="76"/>
      <c r="AS647" s="76"/>
      <c r="AT647" s="76"/>
      <c r="AU647" s="76"/>
      <c r="AV647" s="76">
        <v>1.6915374653270899E+18</v>
      </c>
      <c r="AW647" s="76"/>
      <c r="AX647" s="76" t="b">
        <v>0</v>
      </c>
      <c r="AY647" s="76"/>
      <c r="AZ647" s="76"/>
      <c r="BA647" s="76" t="b">
        <v>0</v>
      </c>
      <c r="BB647" s="76" t="b">
        <v>1</v>
      </c>
      <c r="BC647" s="76" t="b">
        <v>1</v>
      </c>
      <c r="BD647" s="76" t="b">
        <v>0</v>
      </c>
      <c r="BE647" s="76" t="b">
        <v>0</v>
      </c>
      <c r="BF647" s="76" t="b">
        <v>0</v>
      </c>
      <c r="BG647" s="76" t="b">
        <v>0</v>
      </c>
      <c r="BH647" s="83" t="str">
        <f>HYPERLINK("https://pbs.twimg.com/profile_banners/1279414202130718722/1691395371")</f>
        <v>https://pbs.twimg.com/profile_banners/1279414202130718722/1691395371</v>
      </c>
      <c r="BI647" s="76"/>
      <c r="BJ647" s="76" t="s">
        <v>19633</v>
      </c>
      <c r="BK647" s="76" t="b">
        <v>0</v>
      </c>
      <c r="BL647" s="76"/>
      <c r="BM647" s="76" t="s">
        <v>66</v>
      </c>
      <c r="BN647" s="76" t="s">
        <v>19635</v>
      </c>
      <c r="BO647" s="83" t="str">
        <f>HYPERLINK("https://twitter.com/nostranska")</f>
        <v>https://twitter.com/nostranska</v>
      </c>
      <c r="BP647" s="2"/>
    </row>
    <row r="648" spans="1:68" x14ac:dyDescent="0.25">
      <c r="A648" s="62" t="s">
        <v>796</v>
      </c>
      <c r="B648" s="63"/>
      <c r="C648" s="63"/>
      <c r="D648" s="64"/>
      <c r="E648" s="66"/>
      <c r="F648" s="103" t="str">
        <f>HYPERLINK("https://pbs.twimg.com/profile_images/1618127849998655488/BEJdisZU_normal.jpg")</f>
        <v>https://pbs.twimg.com/profile_images/1618127849998655488/BEJdisZU_normal.jpg</v>
      </c>
      <c r="G648" s="63"/>
      <c r="H648" s="67"/>
      <c r="I648" s="68"/>
      <c r="J648" s="68"/>
      <c r="K648" s="67" t="s">
        <v>20280</v>
      </c>
      <c r="L648" s="71"/>
      <c r="M648" s="72"/>
      <c r="N648" s="72"/>
      <c r="O648" s="73"/>
      <c r="P648" s="74"/>
      <c r="Q648" s="74"/>
      <c r="R648" s="87"/>
      <c r="S648" s="87"/>
      <c r="T648" s="87"/>
      <c r="U648" s="87"/>
      <c r="V648" s="48"/>
      <c r="W648" s="48"/>
      <c r="X648" s="47">
        <v>1.101E-3</v>
      </c>
      <c r="Y648" s="48"/>
      <c r="Z648" s="47"/>
      <c r="AA648" s="69">
        <v>648</v>
      </c>
      <c r="AB648" s="69"/>
      <c r="AC648" s="70"/>
      <c r="AD648" s="76" t="s">
        <v>17275</v>
      </c>
      <c r="AE648" s="81" t="s">
        <v>16460</v>
      </c>
      <c r="AF648" s="76">
        <v>1</v>
      </c>
      <c r="AG648" s="76">
        <v>4</v>
      </c>
      <c r="AH648" s="76">
        <v>85</v>
      </c>
      <c r="AI648" s="76">
        <v>0</v>
      </c>
      <c r="AJ648" s="76">
        <v>3</v>
      </c>
      <c r="AK648" s="76">
        <v>0</v>
      </c>
      <c r="AL648" s="76" t="b">
        <v>0</v>
      </c>
      <c r="AM648" s="78">
        <v>44951.253668981481</v>
      </c>
      <c r="AN648" s="76" t="s">
        <v>18068</v>
      </c>
      <c r="AO648" s="76" t="s">
        <v>18734</v>
      </c>
      <c r="AP648" s="76"/>
      <c r="AQ648" s="76"/>
      <c r="AR648" s="76"/>
      <c r="AS648" s="76"/>
      <c r="AT648" s="76"/>
      <c r="AU648" s="76"/>
      <c r="AV648" s="76"/>
      <c r="AW648" s="76"/>
      <c r="AX648" s="76" t="b">
        <v>0</v>
      </c>
      <c r="AY648" s="76"/>
      <c r="AZ648" s="76"/>
      <c r="BA648" s="76" t="b">
        <v>0</v>
      </c>
      <c r="BB648" s="76" t="b">
        <v>1</v>
      </c>
      <c r="BC648" s="76" t="b">
        <v>1</v>
      </c>
      <c r="BD648" s="76" t="b">
        <v>0</v>
      </c>
      <c r="BE648" s="76" t="b">
        <v>0</v>
      </c>
      <c r="BF648" s="76" t="b">
        <v>0</v>
      </c>
      <c r="BG648" s="76" t="b">
        <v>0</v>
      </c>
      <c r="BH648" s="76"/>
      <c r="BI648" s="76"/>
      <c r="BJ648" s="76" t="s">
        <v>19633</v>
      </c>
      <c r="BK648" s="76" t="b">
        <v>0</v>
      </c>
      <c r="BL648" s="76"/>
      <c r="BM648" s="76" t="s">
        <v>66</v>
      </c>
      <c r="BN648" s="76" t="s">
        <v>19635</v>
      </c>
      <c r="BO648" s="83" t="str">
        <f>HYPERLINK("https://twitter.com/vteixeira19")</f>
        <v>https://twitter.com/vteixeira19</v>
      </c>
      <c r="BP648" s="2"/>
    </row>
    <row r="649" spans="1:68" x14ac:dyDescent="0.25">
      <c r="A649" s="62" t="s">
        <v>797</v>
      </c>
      <c r="B649" s="63"/>
      <c r="C649" s="63"/>
      <c r="D649" s="64"/>
      <c r="E649" s="66"/>
      <c r="F649" s="103" t="str">
        <f>HYPERLINK("https://pbs.twimg.com/profile_images/1649150439605039104/ws2NLiGq_normal.jpg")</f>
        <v>https://pbs.twimg.com/profile_images/1649150439605039104/ws2NLiGq_normal.jpg</v>
      </c>
      <c r="G649" s="63"/>
      <c r="H649" s="67"/>
      <c r="I649" s="68"/>
      <c r="J649" s="68"/>
      <c r="K649" s="67" t="s">
        <v>20281</v>
      </c>
      <c r="L649" s="71"/>
      <c r="M649" s="72"/>
      <c r="N649" s="72"/>
      <c r="O649" s="73"/>
      <c r="P649" s="74"/>
      <c r="Q649" s="74"/>
      <c r="R649" s="87"/>
      <c r="S649" s="87"/>
      <c r="T649" s="87"/>
      <c r="U649" s="87"/>
      <c r="V649" s="48"/>
      <c r="W649" s="48"/>
      <c r="X649" s="47">
        <v>1.101E-3</v>
      </c>
      <c r="Y649" s="48"/>
      <c r="Z649" s="47"/>
      <c r="AA649" s="69">
        <v>649</v>
      </c>
      <c r="AB649" s="69"/>
      <c r="AC649" s="70"/>
      <c r="AD649" s="76" t="s">
        <v>17276</v>
      </c>
      <c r="AE649" s="81" t="s">
        <v>17759</v>
      </c>
      <c r="AF649" s="76">
        <v>897540</v>
      </c>
      <c r="AG649" s="76">
        <v>235</v>
      </c>
      <c r="AH649" s="76">
        <v>104414</v>
      </c>
      <c r="AI649" s="76">
        <v>3573</v>
      </c>
      <c r="AJ649" s="76">
        <v>2397</v>
      </c>
      <c r="AK649" s="76">
        <v>15135</v>
      </c>
      <c r="AL649" s="76" t="b">
        <v>0</v>
      </c>
      <c r="AM649" s="78">
        <v>39542.869571759256</v>
      </c>
      <c r="AN649" s="76" t="s">
        <v>10561</v>
      </c>
      <c r="AO649" s="76" t="s">
        <v>18735</v>
      </c>
      <c r="AP649" s="83" t="str">
        <f>HYPERLINK("https://t.co/eiC8weRIjl")</f>
        <v>https://t.co/eiC8weRIjl</v>
      </c>
      <c r="AQ649" s="83" t="str">
        <f>HYPERLINK("http://www.tvcultura.com.br")</f>
        <v>http://www.tvcultura.com.br</v>
      </c>
      <c r="AR649" s="76" t="s">
        <v>19378</v>
      </c>
      <c r="AS649" s="76"/>
      <c r="AT649" s="76"/>
      <c r="AU649" s="76"/>
      <c r="AV649" s="76">
        <v>1.7020410749889001E+18</v>
      </c>
      <c r="AW649" s="83" t="str">
        <f>HYPERLINK("https://t.co/eiC8weRIjl")</f>
        <v>https://t.co/eiC8weRIjl</v>
      </c>
      <c r="AX649" s="76" t="b">
        <v>1</v>
      </c>
      <c r="AY649" s="76"/>
      <c r="AZ649" s="76"/>
      <c r="BA649" s="76" t="b">
        <v>0</v>
      </c>
      <c r="BB649" s="76" t="b">
        <v>1</v>
      </c>
      <c r="BC649" s="76" t="b">
        <v>0</v>
      </c>
      <c r="BD649" s="76" t="b">
        <v>0</v>
      </c>
      <c r="BE649" s="76" t="b">
        <v>1</v>
      </c>
      <c r="BF649" s="76" t="b">
        <v>0</v>
      </c>
      <c r="BG649" s="76" t="b">
        <v>0</v>
      </c>
      <c r="BH649" s="83" t="str">
        <f>HYPERLINK("https://pbs.twimg.com/profile_banners/14306125/1682003310")</f>
        <v>https://pbs.twimg.com/profile_banners/14306125/1682003310</v>
      </c>
      <c r="BI649" s="76"/>
      <c r="BJ649" s="76" t="s">
        <v>19633</v>
      </c>
      <c r="BK649" s="76" t="b">
        <v>0</v>
      </c>
      <c r="BL649" s="76"/>
      <c r="BM649" s="76" t="s">
        <v>66</v>
      </c>
      <c r="BN649" s="76" t="s">
        <v>19635</v>
      </c>
      <c r="BO649" s="83" t="str">
        <f>HYPERLINK("https://twitter.com/tvcultura")</f>
        <v>https://twitter.com/tvcultura</v>
      </c>
      <c r="BP649" s="2"/>
    </row>
    <row r="650" spans="1:68" x14ac:dyDescent="0.25">
      <c r="A650" s="62" t="s">
        <v>798</v>
      </c>
      <c r="B650" s="63"/>
      <c r="C650" s="63"/>
      <c r="D650" s="64"/>
      <c r="E650" s="66"/>
      <c r="F650" s="103" t="str">
        <f>HYPERLINK("https://pbs.twimg.com/profile_images/1619331787892588544/0jbg0zNa_normal.png")</f>
        <v>https://pbs.twimg.com/profile_images/1619331787892588544/0jbg0zNa_normal.png</v>
      </c>
      <c r="G650" s="63"/>
      <c r="H650" s="67"/>
      <c r="I650" s="68"/>
      <c r="J650" s="68"/>
      <c r="K650" s="67" t="s">
        <v>20282</v>
      </c>
      <c r="L650" s="71"/>
      <c r="M650" s="72"/>
      <c r="N650" s="72"/>
      <c r="O650" s="73"/>
      <c r="P650" s="74"/>
      <c r="Q650" s="74"/>
      <c r="R650" s="87"/>
      <c r="S650" s="87"/>
      <c r="T650" s="87"/>
      <c r="U650" s="87"/>
      <c r="V650" s="48"/>
      <c r="W650" s="48"/>
      <c r="X650" s="47">
        <v>1.101E-3</v>
      </c>
      <c r="Y650" s="48"/>
      <c r="Z650" s="47"/>
      <c r="AA650" s="69">
        <v>650</v>
      </c>
      <c r="AB650" s="69"/>
      <c r="AC650" s="70"/>
      <c r="AD650" s="76" t="s">
        <v>17277</v>
      </c>
      <c r="AE650" s="81" t="s">
        <v>16461</v>
      </c>
      <c r="AF650" s="76">
        <v>1</v>
      </c>
      <c r="AG650" s="76">
        <v>117</v>
      </c>
      <c r="AH650" s="76">
        <v>3</v>
      </c>
      <c r="AI650" s="76">
        <v>1</v>
      </c>
      <c r="AJ650" s="76">
        <v>8</v>
      </c>
      <c r="AK650" s="76">
        <v>1</v>
      </c>
      <c r="AL650" s="76" t="b">
        <v>0</v>
      </c>
      <c r="AM650" s="78">
        <v>44954.575902777775</v>
      </c>
      <c r="AN650" s="76" t="s">
        <v>17919</v>
      </c>
      <c r="AO650" s="76" t="s">
        <v>18736</v>
      </c>
      <c r="AP650" s="76"/>
      <c r="AQ650" s="76"/>
      <c r="AR650" s="76"/>
      <c r="AS650" s="76"/>
      <c r="AT650" s="76"/>
      <c r="AU650" s="76"/>
      <c r="AV650" s="76"/>
      <c r="AW650" s="76"/>
      <c r="AX650" s="76" t="b">
        <v>0</v>
      </c>
      <c r="AY650" s="76"/>
      <c r="AZ650" s="76"/>
      <c r="BA650" s="76" t="b">
        <v>0</v>
      </c>
      <c r="BB650" s="76" t="b">
        <v>1</v>
      </c>
      <c r="BC650" s="76" t="b">
        <v>1</v>
      </c>
      <c r="BD650" s="76" t="b">
        <v>0</v>
      </c>
      <c r="BE650" s="76" t="b">
        <v>0</v>
      </c>
      <c r="BF650" s="76" t="b">
        <v>0</v>
      </c>
      <c r="BG650" s="76" t="b">
        <v>0</v>
      </c>
      <c r="BH650" s="83" t="str">
        <f>HYPERLINK("https://pbs.twimg.com/profile_banners/1619331621257183233/1674914616")</f>
        <v>https://pbs.twimg.com/profile_banners/1619331621257183233/1674914616</v>
      </c>
      <c r="BI650" s="76"/>
      <c r="BJ650" s="76" t="s">
        <v>19633</v>
      </c>
      <c r="BK650" s="76" t="b">
        <v>0</v>
      </c>
      <c r="BL650" s="76"/>
      <c r="BM650" s="76" t="s">
        <v>66</v>
      </c>
      <c r="BN650" s="76" t="s">
        <v>19635</v>
      </c>
      <c r="BO650" s="83" t="str">
        <f>HYPERLINK("https://twitter.com/agoraplanos")</f>
        <v>https://twitter.com/agoraplanos</v>
      </c>
      <c r="BP650" s="2"/>
    </row>
    <row r="651" spans="1:68" x14ac:dyDescent="0.25">
      <c r="A651" s="62" t="s">
        <v>799</v>
      </c>
      <c r="B651" s="63"/>
      <c r="C651" s="63"/>
      <c r="D651" s="64"/>
      <c r="E651" s="66"/>
      <c r="F651" s="103" t="str">
        <f>HYPERLINK("https://pbs.twimg.com/profile_images/1558275900747251712/RppxWnXI_normal.jpg")</f>
        <v>https://pbs.twimg.com/profile_images/1558275900747251712/RppxWnXI_normal.jpg</v>
      </c>
      <c r="G651" s="63"/>
      <c r="H651" s="67"/>
      <c r="I651" s="68"/>
      <c r="J651" s="68"/>
      <c r="K651" s="67" t="s">
        <v>20283</v>
      </c>
      <c r="L651" s="71"/>
      <c r="M651" s="72"/>
      <c r="N651" s="72"/>
      <c r="O651" s="73"/>
      <c r="P651" s="74"/>
      <c r="Q651" s="74"/>
      <c r="R651" s="87"/>
      <c r="S651" s="87"/>
      <c r="T651" s="87"/>
      <c r="U651" s="87"/>
      <c r="V651" s="48"/>
      <c r="W651" s="48"/>
      <c r="X651" s="47">
        <v>1.101E-3</v>
      </c>
      <c r="Y651" s="48"/>
      <c r="Z651" s="47"/>
      <c r="AA651" s="69">
        <v>651</v>
      </c>
      <c r="AB651" s="69"/>
      <c r="AC651" s="70"/>
      <c r="AD651" s="76" t="s">
        <v>17278</v>
      </c>
      <c r="AE651" s="81" t="s">
        <v>16462</v>
      </c>
      <c r="AF651" s="76">
        <v>128</v>
      </c>
      <c r="AG651" s="76">
        <v>160</v>
      </c>
      <c r="AH651" s="76">
        <v>698</v>
      </c>
      <c r="AI651" s="76">
        <v>0</v>
      </c>
      <c r="AJ651" s="76">
        <v>1795</v>
      </c>
      <c r="AK651" s="76">
        <v>11</v>
      </c>
      <c r="AL651" s="76" t="b">
        <v>0</v>
      </c>
      <c r="AM651" s="78">
        <v>44194.749942129631</v>
      </c>
      <c r="AN651" s="76" t="s">
        <v>10552</v>
      </c>
      <c r="AO651" s="76" t="s">
        <v>18737</v>
      </c>
      <c r="AP651" s="83" t="str">
        <f>HYPERLINK("https://t.co/gEwKIYZVuY")</f>
        <v>https://t.co/gEwKIYZVuY</v>
      </c>
      <c r="AQ651" s="83" t="str">
        <f>HYPERLINK("https://www.youtube.com/channel/UCMm75vNsDQgFY5b2oTvtRSA")</f>
        <v>https://www.youtube.com/channel/UCMm75vNsDQgFY5b2oTvtRSA</v>
      </c>
      <c r="AR651" s="76" t="s">
        <v>19379</v>
      </c>
      <c r="AS651" s="76"/>
      <c r="AT651" s="76"/>
      <c r="AU651" s="76"/>
      <c r="AV651" s="76"/>
      <c r="AW651" s="83" t="str">
        <f>HYPERLINK("https://t.co/gEwKIYZVuY")</f>
        <v>https://t.co/gEwKIYZVuY</v>
      </c>
      <c r="AX651" s="76" t="b">
        <v>0</v>
      </c>
      <c r="AY651" s="76"/>
      <c r="AZ651" s="76"/>
      <c r="BA651" s="76" t="b">
        <v>0</v>
      </c>
      <c r="BB651" s="76" t="b">
        <v>1</v>
      </c>
      <c r="BC651" s="76" t="b">
        <v>1</v>
      </c>
      <c r="BD651" s="76" t="b">
        <v>0</v>
      </c>
      <c r="BE651" s="76" t="b">
        <v>1</v>
      </c>
      <c r="BF651" s="76" t="b">
        <v>0</v>
      </c>
      <c r="BG651" s="76" t="b">
        <v>0</v>
      </c>
      <c r="BH651" s="76"/>
      <c r="BI651" s="76"/>
      <c r="BJ651" s="76" t="s">
        <v>19633</v>
      </c>
      <c r="BK651" s="76" t="b">
        <v>0</v>
      </c>
      <c r="BL651" s="76"/>
      <c r="BM651" s="76" t="s">
        <v>66</v>
      </c>
      <c r="BN651" s="76" t="s">
        <v>19635</v>
      </c>
      <c r="BO651" s="83" t="str">
        <f>HYPERLINK("https://twitter.com/o_lucastrader")</f>
        <v>https://twitter.com/o_lucastrader</v>
      </c>
      <c r="BP651" s="2"/>
    </row>
    <row r="652" spans="1:68" x14ac:dyDescent="0.25">
      <c r="A652" s="62" t="s">
        <v>800</v>
      </c>
      <c r="B652" s="63"/>
      <c r="C652" s="63"/>
      <c r="D652" s="64"/>
      <c r="E652" s="66"/>
      <c r="F652" s="103" t="str">
        <f>HYPERLINK("https://pbs.twimg.com/profile_images/1632325316768145408/nt6F2o4Z_normal.jpg")</f>
        <v>https://pbs.twimg.com/profile_images/1632325316768145408/nt6F2o4Z_normal.jpg</v>
      </c>
      <c r="G652" s="63"/>
      <c r="H652" s="67"/>
      <c r="I652" s="68"/>
      <c r="J652" s="68"/>
      <c r="K652" s="67" t="s">
        <v>20284</v>
      </c>
      <c r="L652" s="71"/>
      <c r="M652" s="72"/>
      <c r="N652" s="72"/>
      <c r="O652" s="73"/>
      <c r="P652" s="74"/>
      <c r="Q652" s="74"/>
      <c r="R652" s="87"/>
      <c r="S652" s="87"/>
      <c r="T652" s="87"/>
      <c r="U652" s="87"/>
      <c r="V652" s="48"/>
      <c r="W652" s="48"/>
      <c r="X652" s="47">
        <v>1.101E-3</v>
      </c>
      <c r="Y652" s="48"/>
      <c r="Z652" s="47"/>
      <c r="AA652" s="69">
        <v>652</v>
      </c>
      <c r="AB652" s="69"/>
      <c r="AC652" s="70"/>
      <c r="AD652" s="76" t="s">
        <v>17279</v>
      </c>
      <c r="AE652" s="81" t="s">
        <v>16463</v>
      </c>
      <c r="AF652" s="76">
        <v>4</v>
      </c>
      <c r="AG652" s="76">
        <v>159</v>
      </c>
      <c r="AH652" s="76">
        <v>102</v>
      </c>
      <c r="AI652" s="76">
        <v>0</v>
      </c>
      <c r="AJ652" s="76">
        <v>2571</v>
      </c>
      <c r="AK652" s="76">
        <v>6</v>
      </c>
      <c r="AL652" s="76" t="b">
        <v>0</v>
      </c>
      <c r="AM652" s="78">
        <v>44491.823761574073</v>
      </c>
      <c r="AN652" s="76"/>
      <c r="AO652" s="76" t="s">
        <v>18738</v>
      </c>
      <c r="AP652" s="83" t="str">
        <f>HYPERLINK("https://t.co/cfzfLaVEop")</f>
        <v>https://t.co/cfzfLaVEop</v>
      </c>
      <c r="AQ652" s="83" t="str">
        <f>HYPERLINK("https://odysee.com/@contab_invest:c")</f>
        <v>https://odysee.com/@contab_invest:c</v>
      </c>
      <c r="AR652" s="76" t="s">
        <v>19380</v>
      </c>
      <c r="AS652" s="76"/>
      <c r="AT652" s="76"/>
      <c r="AU652" s="76"/>
      <c r="AV652" s="76"/>
      <c r="AW652" s="83" t="str">
        <f>HYPERLINK("https://t.co/cfzfLaVEop")</f>
        <v>https://t.co/cfzfLaVEop</v>
      </c>
      <c r="AX652" s="76" t="b">
        <v>0</v>
      </c>
      <c r="AY652" s="76"/>
      <c r="AZ652" s="76"/>
      <c r="BA652" s="76" t="b">
        <v>0</v>
      </c>
      <c r="BB652" s="76" t="b">
        <v>1</v>
      </c>
      <c r="BC652" s="76" t="b">
        <v>1</v>
      </c>
      <c r="BD652" s="76" t="b">
        <v>0</v>
      </c>
      <c r="BE652" s="76" t="b">
        <v>1</v>
      </c>
      <c r="BF652" s="76" t="b">
        <v>0</v>
      </c>
      <c r="BG652" s="76" t="b">
        <v>0</v>
      </c>
      <c r="BH652" s="83" t="str">
        <f>HYPERLINK("https://pbs.twimg.com/profile_banners/1451635932172533764/1670100719")</f>
        <v>https://pbs.twimg.com/profile_banners/1451635932172533764/1670100719</v>
      </c>
      <c r="BI652" s="76"/>
      <c r="BJ652" s="76" t="s">
        <v>19633</v>
      </c>
      <c r="BK652" s="76" t="b">
        <v>0</v>
      </c>
      <c r="BL652" s="76"/>
      <c r="BM652" s="76" t="s">
        <v>66</v>
      </c>
      <c r="BN652" s="76" t="s">
        <v>19635</v>
      </c>
      <c r="BO652" s="83" t="str">
        <f>HYPERLINK("https://twitter.com/axcrestfall")</f>
        <v>https://twitter.com/axcrestfall</v>
      </c>
      <c r="BP652" s="2"/>
    </row>
    <row r="653" spans="1:68" x14ac:dyDescent="0.25">
      <c r="A653" s="62" t="s">
        <v>801</v>
      </c>
      <c r="B653" s="63"/>
      <c r="C653" s="63"/>
      <c r="D653" s="64"/>
      <c r="E653" s="66"/>
      <c r="F653" s="103" t="str">
        <f>HYPERLINK("https://pbs.twimg.com/profile_images/1652002283171852317/ctg-LuXF_normal.jpg")</f>
        <v>https://pbs.twimg.com/profile_images/1652002283171852317/ctg-LuXF_normal.jpg</v>
      </c>
      <c r="G653" s="63"/>
      <c r="H653" s="67"/>
      <c r="I653" s="68"/>
      <c r="J653" s="68"/>
      <c r="K653" s="67" t="s">
        <v>20285</v>
      </c>
      <c r="L653" s="71"/>
      <c r="M653" s="72"/>
      <c r="N653" s="72"/>
      <c r="O653" s="73"/>
      <c r="P653" s="74"/>
      <c r="Q653" s="74"/>
      <c r="R653" s="87"/>
      <c r="S653" s="87"/>
      <c r="T653" s="87"/>
      <c r="U653" s="87"/>
      <c r="V653" s="48"/>
      <c r="W653" s="48"/>
      <c r="X653" s="47">
        <v>1.101E-3</v>
      </c>
      <c r="Y653" s="48"/>
      <c r="Z653" s="47"/>
      <c r="AA653" s="69">
        <v>653</v>
      </c>
      <c r="AB653" s="69"/>
      <c r="AC653" s="70"/>
      <c r="AD653" s="76" t="s">
        <v>17280</v>
      </c>
      <c r="AE653" s="81" t="s">
        <v>15763</v>
      </c>
      <c r="AF653" s="76">
        <v>2631</v>
      </c>
      <c r="AG653" s="76">
        <v>61</v>
      </c>
      <c r="AH653" s="76">
        <v>217</v>
      </c>
      <c r="AI653" s="76">
        <v>0</v>
      </c>
      <c r="AJ653" s="76">
        <v>8</v>
      </c>
      <c r="AK653" s="76">
        <v>50</v>
      </c>
      <c r="AL653" s="76" t="b">
        <v>0</v>
      </c>
      <c r="AM653" s="78">
        <v>44641.838067129633</v>
      </c>
      <c r="AN653" s="76" t="s">
        <v>10552</v>
      </c>
      <c r="AO653" s="76" t="s">
        <v>18739</v>
      </c>
      <c r="AP653" s="83" t="str">
        <f>HYPERLINK("https://t.co/FQL65jMYN1")</f>
        <v>https://t.co/FQL65jMYN1</v>
      </c>
      <c r="AQ653" s="83" t="str">
        <f>HYPERLINK("http://ivipcoin.com")</f>
        <v>http://ivipcoin.com</v>
      </c>
      <c r="AR653" s="76" t="s">
        <v>6087</v>
      </c>
      <c r="AS653" s="76"/>
      <c r="AT653" s="76"/>
      <c r="AU653" s="76"/>
      <c r="AV653" s="76">
        <v>1.65961570660067E+18</v>
      </c>
      <c r="AW653" s="83" t="str">
        <f>HYPERLINK("https://t.co/FQL65jMYN1")</f>
        <v>https://t.co/FQL65jMYN1</v>
      </c>
      <c r="AX653" s="76" t="b">
        <v>0</v>
      </c>
      <c r="AY653" s="76"/>
      <c r="AZ653" s="76"/>
      <c r="BA653" s="76" t="b">
        <v>0</v>
      </c>
      <c r="BB653" s="76" t="b">
        <v>1</v>
      </c>
      <c r="BC653" s="76" t="b">
        <v>1</v>
      </c>
      <c r="BD653" s="76" t="b">
        <v>0</v>
      </c>
      <c r="BE653" s="76" t="b">
        <v>1</v>
      </c>
      <c r="BF653" s="76" t="b">
        <v>0</v>
      </c>
      <c r="BG653" s="76" t="b">
        <v>0</v>
      </c>
      <c r="BH653" s="83" t="str">
        <f>HYPERLINK("https://pbs.twimg.com/profile_banners/1505999336387272715/1686064508")</f>
        <v>https://pbs.twimg.com/profile_banners/1505999336387272715/1686064508</v>
      </c>
      <c r="BI653" s="76"/>
      <c r="BJ653" s="76" t="s">
        <v>19633</v>
      </c>
      <c r="BK653" s="76" t="b">
        <v>0</v>
      </c>
      <c r="BL653" s="76"/>
      <c r="BM653" s="76" t="s">
        <v>66</v>
      </c>
      <c r="BN653" s="76" t="s">
        <v>19635</v>
      </c>
      <c r="BO653" s="83" t="str">
        <f>HYPERLINK("https://twitter.com/ivipcoin")</f>
        <v>https://twitter.com/ivipcoin</v>
      </c>
      <c r="BP653" s="2"/>
    </row>
    <row r="654" spans="1:68" x14ac:dyDescent="0.25">
      <c r="A654" s="62" t="s">
        <v>802</v>
      </c>
      <c r="B654" s="63"/>
      <c r="C654" s="63"/>
      <c r="D654" s="64"/>
      <c r="E654" s="66"/>
      <c r="F654" s="103" t="str">
        <f>HYPERLINK("https://pbs.twimg.com/profile_images/1603136143410843656/gFYWkl18_normal.jpg")</f>
        <v>https://pbs.twimg.com/profile_images/1603136143410843656/gFYWkl18_normal.jpg</v>
      </c>
      <c r="G654" s="63"/>
      <c r="H654" s="67"/>
      <c r="I654" s="68"/>
      <c r="J654" s="68"/>
      <c r="K654" s="67" t="s">
        <v>20286</v>
      </c>
      <c r="L654" s="71"/>
      <c r="M654" s="72"/>
      <c r="N654" s="72"/>
      <c r="O654" s="73"/>
      <c r="P654" s="74"/>
      <c r="Q654" s="74"/>
      <c r="R654" s="87"/>
      <c r="S654" s="87"/>
      <c r="T654" s="87"/>
      <c r="U654" s="87"/>
      <c r="V654" s="48"/>
      <c r="W654" s="48"/>
      <c r="X654" s="47">
        <v>1.101E-3</v>
      </c>
      <c r="Y654" s="48"/>
      <c r="Z654" s="47"/>
      <c r="AA654" s="69">
        <v>654</v>
      </c>
      <c r="AB654" s="69"/>
      <c r="AC654" s="70"/>
      <c r="AD654" s="76" t="s">
        <v>17281</v>
      </c>
      <c r="AE654" s="81" t="s">
        <v>16464</v>
      </c>
      <c r="AF654" s="76">
        <v>140</v>
      </c>
      <c r="AG654" s="76">
        <v>0</v>
      </c>
      <c r="AH654" s="76">
        <v>248</v>
      </c>
      <c r="AI654" s="76">
        <v>2</v>
      </c>
      <c r="AJ654" s="76">
        <v>8</v>
      </c>
      <c r="AK654" s="76">
        <v>77</v>
      </c>
      <c r="AL654" s="76" t="b">
        <v>0</v>
      </c>
      <c r="AM654" s="78">
        <v>42843.593541666669</v>
      </c>
      <c r="AN654" s="76"/>
      <c r="AO654" s="76" t="s">
        <v>18740</v>
      </c>
      <c r="AP654" s="83" t="str">
        <f>HYPERLINK("https://t.co/Vdt2W4ljeE")</f>
        <v>https://t.co/Vdt2W4ljeE</v>
      </c>
      <c r="AQ654" s="83" t="str">
        <f>HYPERLINK("https://meutu.do/JCtAqD")</f>
        <v>https://meutu.do/JCtAqD</v>
      </c>
      <c r="AR654" s="76" t="s">
        <v>19381</v>
      </c>
      <c r="AS654" s="76"/>
      <c r="AT654" s="76"/>
      <c r="AU654" s="76"/>
      <c r="AV654" s="76"/>
      <c r="AW654" s="83" t="str">
        <f>HYPERLINK("https://t.co/Vdt2W4ljeE")</f>
        <v>https://t.co/Vdt2W4ljeE</v>
      </c>
      <c r="AX654" s="76" t="b">
        <v>0</v>
      </c>
      <c r="AY654" s="76"/>
      <c r="AZ654" s="76"/>
      <c r="BA654" s="76" t="b">
        <v>0</v>
      </c>
      <c r="BB654" s="76" t="b">
        <v>1</v>
      </c>
      <c r="BC654" s="76" t="b">
        <v>0</v>
      </c>
      <c r="BD654" s="76" t="b">
        <v>0</v>
      </c>
      <c r="BE654" s="76" t="b">
        <v>0</v>
      </c>
      <c r="BF654" s="76" t="b">
        <v>0</v>
      </c>
      <c r="BG654" s="76" t="b">
        <v>0</v>
      </c>
      <c r="BH654" s="83" t="str">
        <f>HYPERLINK("https://pbs.twimg.com/profile_banners/854337394832793600/1671052417")</f>
        <v>https://pbs.twimg.com/profile_banners/854337394832793600/1671052417</v>
      </c>
      <c r="BI654" s="76"/>
      <c r="BJ654" s="76" t="s">
        <v>19633</v>
      </c>
      <c r="BK654" s="76" t="b">
        <v>0</v>
      </c>
      <c r="BL654" s="76"/>
      <c r="BM654" s="76" t="s">
        <v>66</v>
      </c>
      <c r="BN654" s="76" t="s">
        <v>19635</v>
      </c>
      <c r="BO654" s="83" t="str">
        <f>HYPERLINK("https://twitter.com/meutudoapp")</f>
        <v>https://twitter.com/meutudoapp</v>
      </c>
      <c r="BP654" s="2"/>
    </row>
    <row r="655" spans="1:68" x14ac:dyDescent="0.25">
      <c r="A655" s="62" t="s">
        <v>803</v>
      </c>
      <c r="B655" s="63"/>
      <c r="C655" s="63"/>
      <c r="D655" s="64"/>
      <c r="E655" s="66"/>
      <c r="F655" s="103" t="str">
        <f>HYPERLINK("https://pbs.twimg.com/profile_images/1610839010246524937/9CC27H_J_normal.jpg")</f>
        <v>https://pbs.twimg.com/profile_images/1610839010246524937/9CC27H_J_normal.jpg</v>
      </c>
      <c r="G655" s="63"/>
      <c r="H655" s="67"/>
      <c r="I655" s="68"/>
      <c r="J655" s="68"/>
      <c r="K655" s="67" t="s">
        <v>20287</v>
      </c>
      <c r="L655" s="71"/>
      <c r="M655" s="72"/>
      <c r="N655" s="72"/>
      <c r="O655" s="73"/>
      <c r="P655" s="74"/>
      <c r="Q655" s="74"/>
      <c r="R655" s="87"/>
      <c r="S655" s="87"/>
      <c r="T655" s="87"/>
      <c r="U655" s="87"/>
      <c r="V655" s="48"/>
      <c r="W655" s="48"/>
      <c r="X655" s="47">
        <v>1.101E-3</v>
      </c>
      <c r="Y655" s="48"/>
      <c r="Z655" s="47"/>
      <c r="AA655" s="69">
        <v>655</v>
      </c>
      <c r="AB655" s="69"/>
      <c r="AC655" s="70"/>
      <c r="AD655" s="76" t="s">
        <v>17282</v>
      </c>
      <c r="AE655" s="81" t="s">
        <v>16465</v>
      </c>
      <c r="AF655" s="76">
        <v>0</v>
      </c>
      <c r="AG655" s="76">
        <v>9</v>
      </c>
      <c r="AH655" s="76">
        <v>11</v>
      </c>
      <c r="AI655" s="76">
        <v>0</v>
      </c>
      <c r="AJ655" s="76">
        <v>98</v>
      </c>
      <c r="AK655" s="76">
        <v>2</v>
      </c>
      <c r="AL655" s="76" t="b">
        <v>0</v>
      </c>
      <c r="AM655" s="78">
        <v>44931.139814814815</v>
      </c>
      <c r="AN655" s="76" t="s">
        <v>18069</v>
      </c>
      <c r="AO655" s="76" t="s">
        <v>18741</v>
      </c>
      <c r="AP655" s="76"/>
      <c r="AQ655" s="76"/>
      <c r="AR655" s="76"/>
      <c r="AS655" s="76"/>
      <c r="AT655" s="76"/>
      <c r="AU655" s="76"/>
      <c r="AV655" s="76"/>
      <c r="AW655" s="76"/>
      <c r="AX655" s="76" t="b">
        <v>0</v>
      </c>
      <c r="AY655" s="76"/>
      <c r="AZ655" s="76"/>
      <c r="BA655" s="76" t="b">
        <v>0</v>
      </c>
      <c r="BB655" s="76" t="b">
        <v>1</v>
      </c>
      <c r="BC655" s="76" t="b">
        <v>1</v>
      </c>
      <c r="BD655" s="76" t="b">
        <v>0</v>
      </c>
      <c r="BE655" s="76" t="b">
        <v>0</v>
      </c>
      <c r="BF655" s="76" t="b">
        <v>0</v>
      </c>
      <c r="BG655" s="76" t="b">
        <v>0</v>
      </c>
      <c r="BH655" s="83" t="str">
        <f>HYPERLINK("https://pbs.twimg.com/profile_banners/1610838772794494978/1673302991")</f>
        <v>https://pbs.twimg.com/profile_banners/1610838772794494978/1673302991</v>
      </c>
      <c r="BI655" s="76"/>
      <c r="BJ655" s="76" t="s">
        <v>19633</v>
      </c>
      <c r="BK655" s="76" t="b">
        <v>0</v>
      </c>
      <c r="BL655" s="76"/>
      <c r="BM655" s="76" t="s">
        <v>66</v>
      </c>
      <c r="BN655" s="76" t="s">
        <v>19635</v>
      </c>
      <c r="BO655" s="83" t="str">
        <f>HYPERLINK("https://twitter.com/fefe_ofcw")</f>
        <v>https://twitter.com/fefe_ofcw</v>
      </c>
      <c r="BP655" s="2"/>
    </row>
    <row r="656" spans="1:68" x14ac:dyDescent="0.25">
      <c r="A656" s="62" t="s">
        <v>804</v>
      </c>
      <c r="B656" s="63"/>
      <c r="C656" s="63"/>
      <c r="D656" s="64"/>
      <c r="E656" s="66"/>
      <c r="F656" s="103" t="str">
        <f>HYPERLINK("https://pbs.twimg.com/profile_images/1508811278768291850/Pj789JmG_normal.jpg")</f>
        <v>https://pbs.twimg.com/profile_images/1508811278768291850/Pj789JmG_normal.jpg</v>
      </c>
      <c r="G656" s="63"/>
      <c r="H656" s="67"/>
      <c r="I656" s="68"/>
      <c r="J656" s="68"/>
      <c r="K656" s="67" t="s">
        <v>20288</v>
      </c>
      <c r="L656" s="71"/>
      <c r="M656" s="72"/>
      <c r="N656" s="72"/>
      <c r="O656" s="73"/>
      <c r="P656" s="74"/>
      <c r="Q656" s="74"/>
      <c r="R656" s="87"/>
      <c r="S656" s="87"/>
      <c r="T656" s="87"/>
      <c r="U656" s="87"/>
      <c r="V656" s="48"/>
      <c r="W656" s="48"/>
      <c r="X656" s="47">
        <v>1.101E-3</v>
      </c>
      <c r="Y656" s="48"/>
      <c r="Z656" s="47"/>
      <c r="AA656" s="69">
        <v>656</v>
      </c>
      <c r="AB656" s="69"/>
      <c r="AC656" s="70"/>
      <c r="AD656" s="76" t="s">
        <v>17283</v>
      </c>
      <c r="AE656" s="81" t="s">
        <v>16466</v>
      </c>
      <c r="AF656" s="76">
        <v>32</v>
      </c>
      <c r="AG656" s="76">
        <v>23</v>
      </c>
      <c r="AH656" s="76">
        <v>22</v>
      </c>
      <c r="AI656" s="76">
        <v>0</v>
      </c>
      <c r="AJ656" s="76">
        <v>7</v>
      </c>
      <c r="AK656" s="76">
        <v>12</v>
      </c>
      <c r="AL656" s="76" t="b">
        <v>0</v>
      </c>
      <c r="AM656" s="78">
        <v>44649.592488425929</v>
      </c>
      <c r="AN656" s="76" t="s">
        <v>17868</v>
      </c>
      <c r="AO656" s="76" t="s">
        <v>18742</v>
      </c>
      <c r="AP656" s="76"/>
      <c r="AQ656" s="76"/>
      <c r="AR656" s="76"/>
      <c r="AS656" s="76"/>
      <c r="AT656" s="76"/>
      <c r="AU656" s="76"/>
      <c r="AV656" s="76"/>
      <c r="AW656" s="76"/>
      <c r="AX656" s="76" t="b">
        <v>0</v>
      </c>
      <c r="AY656" s="76"/>
      <c r="AZ656" s="76"/>
      <c r="BA656" s="76" t="b">
        <v>0</v>
      </c>
      <c r="BB656" s="76" t="b">
        <v>1</v>
      </c>
      <c r="BC656" s="76" t="b">
        <v>1</v>
      </c>
      <c r="BD656" s="76" t="b">
        <v>0</v>
      </c>
      <c r="BE656" s="76" t="b">
        <v>0</v>
      </c>
      <c r="BF656" s="76" t="b">
        <v>0</v>
      </c>
      <c r="BG656" s="76" t="b">
        <v>0</v>
      </c>
      <c r="BH656" s="83" t="str">
        <f>HYPERLINK("https://pbs.twimg.com/profile_banners/1508809466803798021/1648563616")</f>
        <v>https://pbs.twimg.com/profile_banners/1508809466803798021/1648563616</v>
      </c>
      <c r="BI656" s="76"/>
      <c r="BJ656" s="76" t="s">
        <v>19633</v>
      </c>
      <c r="BK656" s="76" t="b">
        <v>0</v>
      </c>
      <c r="BL656" s="76"/>
      <c r="BM656" s="76" t="s">
        <v>66</v>
      </c>
      <c r="BN656" s="76" t="s">
        <v>19635</v>
      </c>
      <c r="BO656" s="83" t="str">
        <f>HYPERLINK("https://twitter.com/georgestmattos")</f>
        <v>https://twitter.com/georgestmattos</v>
      </c>
      <c r="BP656" s="2"/>
    </row>
    <row r="657" spans="1:68" x14ac:dyDescent="0.25">
      <c r="A657" s="62" t="s">
        <v>805</v>
      </c>
      <c r="B657" s="63"/>
      <c r="C657" s="63"/>
      <c r="D657" s="64"/>
      <c r="E657" s="66"/>
      <c r="F657" s="103" t="str">
        <f>HYPERLINK("https://pbs.twimg.com/profile_images/1147916511539060736/_F-bXKCS_normal.jpg")</f>
        <v>https://pbs.twimg.com/profile_images/1147916511539060736/_F-bXKCS_normal.jpg</v>
      </c>
      <c r="G657" s="63"/>
      <c r="H657" s="67"/>
      <c r="I657" s="68"/>
      <c r="J657" s="68"/>
      <c r="K657" s="67" t="s">
        <v>20289</v>
      </c>
      <c r="L657" s="71"/>
      <c r="M657" s="72"/>
      <c r="N657" s="72"/>
      <c r="O657" s="73"/>
      <c r="P657" s="74"/>
      <c r="Q657" s="74"/>
      <c r="R657" s="87"/>
      <c r="S657" s="87"/>
      <c r="T657" s="87"/>
      <c r="U657" s="87"/>
      <c r="V657" s="48"/>
      <c r="W657" s="48"/>
      <c r="X657" s="47">
        <v>1.173E-3</v>
      </c>
      <c r="Y657" s="48"/>
      <c r="Z657" s="47"/>
      <c r="AA657" s="69">
        <v>657</v>
      </c>
      <c r="AB657" s="69"/>
      <c r="AC657" s="70"/>
      <c r="AD657" s="76" t="s">
        <v>17284</v>
      </c>
      <c r="AE657" s="81" t="s">
        <v>16467</v>
      </c>
      <c r="AF657" s="76">
        <v>6</v>
      </c>
      <c r="AG657" s="76">
        <v>199</v>
      </c>
      <c r="AH657" s="76">
        <v>2985</v>
      </c>
      <c r="AI657" s="76">
        <v>0</v>
      </c>
      <c r="AJ657" s="76">
        <v>286</v>
      </c>
      <c r="AK657" s="76">
        <v>10</v>
      </c>
      <c r="AL657" s="76" t="b">
        <v>0</v>
      </c>
      <c r="AM657" s="78">
        <v>43653.712511574071</v>
      </c>
      <c r="AN657" s="76"/>
      <c r="AO657" s="76" t="s">
        <v>18743</v>
      </c>
      <c r="AP657" s="76"/>
      <c r="AQ657" s="76"/>
      <c r="AR657" s="76"/>
      <c r="AS657" s="76"/>
      <c r="AT657" s="76"/>
      <c r="AU657" s="76"/>
      <c r="AV657" s="76"/>
      <c r="AW657" s="76"/>
      <c r="AX657" s="76" t="b">
        <v>0</v>
      </c>
      <c r="AY657" s="76"/>
      <c r="AZ657" s="76"/>
      <c r="BA657" s="76" t="b">
        <v>1</v>
      </c>
      <c r="BB657" s="76" t="b">
        <v>0</v>
      </c>
      <c r="BC657" s="76" t="b">
        <v>1</v>
      </c>
      <c r="BD657" s="76" t="b">
        <v>0</v>
      </c>
      <c r="BE657" s="76" t="b">
        <v>1</v>
      </c>
      <c r="BF657" s="76" t="b">
        <v>0</v>
      </c>
      <c r="BG657" s="76" t="b">
        <v>0</v>
      </c>
      <c r="BH657" s="76"/>
      <c r="BI657" s="76"/>
      <c r="BJ657" s="76" t="s">
        <v>19633</v>
      </c>
      <c r="BK657" s="76" t="b">
        <v>0</v>
      </c>
      <c r="BL657" s="76"/>
      <c r="BM657" s="76" t="s">
        <v>66</v>
      </c>
      <c r="BN657" s="76" t="s">
        <v>19635</v>
      </c>
      <c r="BO657" s="83" t="str">
        <f>HYPERLINK("https://twitter.com/robson63416430")</f>
        <v>https://twitter.com/robson63416430</v>
      </c>
      <c r="BP657" s="2"/>
    </row>
    <row r="658" spans="1:68" x14ac:dyDescent="0.25">
      <c r="A658" s="62" t="s">
        <v>1107</v>
      </c>
      <c r="B658" s="63"/>
      <c r="C658" s="63"/>
      <c r="D658" s="64"/>
      <c r="E658" s="66"/>
      <c r="F658" s="103" t="str">
        <f>HYPERLINK("https://pbs.twimg.com/profile_images/1634194845827842049/3mqBoIwY_normal.jpg")</f>
        <v>https://pbs.twimg.com/profile_images/1634194845827842049/3mqBoIwY_normal.jpg</v>
      </c>
      <c r="G658" s="63"/>
      <c r="H658" s="67"/>
      <c r="I658" s="68"/>
      <c r="J658" s="68"/>
      <c r="K658" s="67" t="s">
        <v>20290</v>
      </c>
      <c r="L658" s="71"/>
      <c r="M658" s="72"/>
      <c r="N658" s="72"/>
      <c r="O658" s="73"/>
      <c r="P658" s="74"/>
      <c r="Q658" s="74"/>
      <c r="R658" s="87"/>
      <c r="S658" s="87"/>
      <c r="T658" s="87"/>
      <c r="U658" s="87"/>
      <c r="V658" s="48"/>
      <c r="W658" s="48"/>
      <c r="X658" s="47">
        <v>1.024E-3</v>
      </c>
      <c r="Y658" s="48"/>
      <c r="Z658" s="47"/>
      <c r="AA658" s="69">
        <v>658</v>
      </c>
      <c r="AB658" s="69"/>
      <c r="AC658" s="70"/>
      <c r="AD658" s="76" t="s">
        <v>17285</v>
      </c>
      <c r="AE658" s="81" t="s">
        <v>17760</v>
      </c>
      <c r="AF658" s="76">
        <v>550623</v>
      </c>
      <c r="AG658" s="76">
        <v>123</v>
      </c>
      <c r="AH658" s="76">
        <v>106916</v>
      </c>
      <c r="AI658" s="76">
        <v>1656</v>
      </c>
      <c r="AJ658" s="76">
        <v>1604</v>
      </c>
      <c r="AK658" s="76">
        <v>29025</v>
      </c>
      <c r="AL658" s="76" t="b">
        <v>0</v>
      </c>
      <c r="AM658" s="78">
        <v>39888.787083333336</v>
      </c>
      <c r="AN658" s="76" t="s">
        <v>10622</v>
      </c>
      <c r="AO658" s="76" t="s">
        <v>18744</v>
      </c>
      <c r="AP658" s="83" t="str">
        <f>HYPERLINK("https://t.co/rvaMnolbVk")</f>
        <v>https://t.co/rvaMnolbVk</v>
      </c>
      <c r="AQ658" s="83" t="str">
        <f>HYPERLINK("https://www.saopaulo.sp.gov.br/")</f>
        <v>https://www.saopaulo.sp.gov.br/</v>
      </c>
      <c r="AR658" s="76" t="s">
        <v>19382</v>
      </c>
      <c r="AS658" s="76"/>
      <c r="AT658" s="76"/>
      <c r="AU658" s="76"/>
      <c r="AV658" s="76"/>
      <c r="AW658" s="83" t="str">
        <f>HYPERLINK("https://t.co/rvaMnolbVk")</f>
        <v>https://t.co/rvaMnolbVk</v>
      </c>
      <c r="AX658" s="76" t="b">
        <v>0</v>
      </c>
      <c r="AY658" s="76"/>
      <c r="AZ658" s="76"/>
      <c r="BA658" s="76" t="b">
        <v>0</v>
      </c>
      <c r="BB658" s="76" t="b">
        <v>0</v>
      </c>
      <c r="BC658" s="76" t="b">
        <v>0</v>
      </c>
      <c r="BD658" s="76" t="b">
        <v>0</v>
      </c>
      <c r="BE658" s="76" t="b">
        <v>1</v>
      </c>
      <c r="BF658" s="76" t="b">
        <v>0</v>
      </c>
      <c r="BG658" s="76" t="b">
        <v>0</v>
      </c>
      <c r="BH658" s="83" t="str">
        <f>HYPERLINK("https://pbs.twimg.com/profile_banners/24746057/1678457389")</f>
        <v>https://pbs.twimg.com/profile_banners/24746057/1678457389</v>
      </c>
      <c r="BI658" s="76"/>
      <c r="BJ658" s="76" t="s">
        <v>19633</v>
      </c>
      <c r="BK658" s="76" t="b">
        <v>0</v>
      </c>
      <c r="BL658" s="76"/>
      <c r="BM658" s="76" t="s">
        <v>65</v>
      </c>
      <c r="BN658" s="76" t="s">
        <v>19635</v>
      </c>
      <c r="BO658" s="83" t="str">
        <f>HYPERLINK("https://twitter.com/governosp")</f>
        <v>https://twitter.com/governosp</v>
      </c>
      <c r="BP658" s="2"/>
    </row>
    <row r="659" spans="1:68" x14ac:dyDescent="0.25">
      <c r="A659" s="62" t="s">
        <v>806</v>
      </c>
      <c r="B659" s="63"/>
      <c r="C659" s="63"/>
      <c r="D659" s="64"/>
      <c r="E659" s="66"/>
      <c r="F659" s="103" t="str">
        <f>HYPERLINK("https://pbs.twimg.com/profile_images/1258515782885130242/gC3pXxgE_normal.jpg")</f>
        <v>https://pbs.twimg.com/profile_images/1258515782885130242/gC3pXxgE_normal.jpg</v>
      </c>
      <c r="G659" s="63"/>
      <c r="H659" s="67"/>
      <c r="I659" s="68"/>
      <c r="J659" s="68"/>
      <c r="K659" s="67" t="s">
        <v>20291</v>
      </c>
      <c r="L659" s="71"/>
      <c r="M659" s="72"/>
      <c r="N659" s="72"/>
      <c r="O659" s="73"/>
      <c r="P659" s="74"/>
      <c r="Q659" s="74"/>
      <c r="R659" s="87"/>
      <c r="S659" s="87"/>
      <c r="T659" s="87"/>
      <c r="U659" s="87"/>
      <c r="V659" s="48"/>
      <c r="W659" s="48"/>
      <c r="X659" s="47">
        <v>1.101E-3</v>
      </c>
      <c r="Y659" s="48"/>
      <c r="Z659" s="47"/>
      <c r="AA659" s="69">
        <v>659</v>
      </c>
      <c r="AB659" s="69"/>
      <c r="AC659" s="70"/>
      <c r="AD659" s="76" t="s">
        <v>17286</v>
      </c>
      <c r="AE659" s="81" t="s">
        <v>17761</v>
      </c>
      <c r="AF659" s="76">
        <v>1787</v>
      </c>
      <c r="AG659" s="76">
        <v>1482</v>
      </c>
      <c r="AH659" s="76">
        <v>5980</v>
      </c>
      <c r="AI659" s="76">
        <v>22</v>
      </c>
      <c r="AJ659" s="76">
        <v>154</v>
      </c>
      <c r="AK659" s="76">
        <v>2199</v>
      </c>
      <c r="AL659" s="76" t="b">
        <v>0</v>
      </c>
      <c r="AM659" s="78">
        <v>40056.858888888892</v>
      </c>
      <c r="AN659" s="76"/>
      <c r="AO659" s="76" t="s">
        <v>18745</v>
      </c>
      <c r="AP659" s="83" t="str">
        <f>HYPERLINK("http://t.co/e1OpEuYK")</f>
        <v>http://t.co/e1OpEuYK</v>
      </c>
      <c r="AQ659" s="83" t="str">
        <f>HYPERLINK("http://www.mundocoop.com.br")</f>
        <v>http://www.mundocoop.com.br</v>
      </c>
      <c r="AR659" s="76" t="s">
        <v>19383</v>
      </c>
      <c r="AS659" s="76"/>
      <c r="AT659" s="76"/>
      <c r="AU659" s="76"/>
      <c r="AV659" s="76"/>
      <c r="AW659" s="83" t="str">
        <f>HYPERLINK("http://t.co/e1OpEuYK")</f>
        <v>http://t.co/e1OpEuYK</v>
      </c>
      <c r="AX659" s="76" t="b">
        <v>0</v>
      </c>
      <c r="AY659" s="76"/>
      <c r="AZ659" s="76"/>
      <c r="BA659" s="76" t="b">
        <v>0</v>
      </c>
      <c r="BB659" s="76" t="b">
        <v>1</v>
      </c>
      <c r="BC659" s="76" t="b">
        <v>0</v>
      </c>
      <c r="BD659" s="76" t="b">
        <v>0</v>
      </c>
      <c r="BE659" s="76" t="b">
        <v>0</v>
      </c>
      <c r="BF659" s="76" t="b">
        <v>0</v>
      </c>
      <c r="BG659" s="76" t="b">
        <v>0</v>
      </c>
      <c r="BH659" s="83" t="str">
        <f>HYPERLINK("https://pbs.twimg.com/profile_banners/70493540/1588888520")</f>
        <v>https://pbs.twimg.com/profile_banners/70493540/1588888520</v>
      </c>
      <c r="BI659" s="76"/>
      <c r="BJ659" s="76" t="s">
        <v>19633</v>
      </c>
      <c r="BK659" s="76" t="b">
        <v>0</v>
      </c>
      <c r="BL659" s="76"/>
      <c r="BM659" s="76" t="s">
        <v>66</v>
      </c>
      <c r="BN659" s="76" t="s">
        <v>19635</v>
      </c>
      <c r="BO659" s="83" t="str">
        <f>HYPERLINK("https://twitter.com/mundocoop")</f>
        <v>https://twitter.com/mundocoop</v>
      </c>
      <c r="BP659" s="2"/>
    </row>
    <row r="660" spans="1:68" x14ac:dyDescent="0.25">
      <c r="A660" s="62" t="s">
        <v>807</v>
      </c>
      <c r="B660" s="63"/>
      <c r="C660" s="63"/>
      <c r="D660" s="64"/>
      <c r="E660" s="66"/>
      <c r="F660" s="103" t="str">
        <f>HYPERLINK("https://pbs.twimg.com/profile_images/1562292252927459328/Bsctpyj7_normal.jpg")</f>
        <v>https://pbs.twimg.com/profile_images/1562292252927459328/Bsctpyj7_normal.jpg</v>
      </c>
      <c r="G660" s="63"/>
      <c r="H660" s="67"/>
      <c r="I660" s="68"/>
      <c r="J660" s="68"/>
      <c r="K660" s="67" t="s">
        <v>20292</v>
      </c>
      <c r="L660" s="71"/>
      <c r="M660" s="72"/>
      <c r="N660" s="72"/>
      <c r="O660" s="73"/>
      <c r="P660" s="74"/>
      <c r="Q660" s="74"/>
      <c r="R660" s="87"/>
      <c r="S660" s="87"/>
      <c r="T660" s="87"/>
      <c r="U660" s="87"/>
      <c r="V660" s="48"/>
      <c r="W660" s="48"/>
      <c r="X660" s="47">
        <v>1.101E-3</v>
      </c>
      <c r="Y660" s="48"/>
      <c r="Z660" s="47"/>
      <c r="AA660" s="69">
        <v>660</v>
      </c>
      <c r="AB660" s="69"/>
      <c r="AC660" s="70"/>
      <c r="AD660" s="76" t="s">
        <v>17287</v>
      </c>
      <c r="AE660" s="81" t="s">
        <v>16468</v>
      </c>
      <c r="AF660" s="76">
        <v>1</v>
      </c>
      <c r="AG660" s="76">
        <v>5</v>
      </c>
      <c r="AH660" s="76">
        <v>16</v>
      </c>
      <c r="AI660" s="76">
        <v>0</v>
      </c>
      <c r="AJ660" s="76">
        <v>1</v>
      </c>
      <c r="AK660" s="76">
        <v>0</v>
      </c>
      <c r="AL660" s="76" t="b">
        <v>0</v>
      </c>
      <c r="AM660" s="78">
        <v>44788.536319444444</v>
      </c>
      <c r="AN660" s="76" t="s">
        <v>10561</v>
      </c>
      <c r="AO660" s="76" t="s">
        <v>18746</v>
      </c>
      <c r="AP660" s="76"/>
      <c r="AQ660" s="76"/>
      <c r="AR660" s="76"/>
      <c r="AS660" s="76"/>
      <c r="AT660" s="76"/>
      <c r="AU660" s="76"/>
      <c r="AV660" s="76"/>
      <c r="AW660" s="76"/>
      <c r="AX660" s="76" t="b">
        <v>0</v>
      </c>
      <c r="AY660" s="76"/>
      <c r="AZ660" s="76"/>
      <c r="BA660" s="76" t="b">
        <v>0</v>
      </c>
      <c r="BB660" s="76" t="b">
        <v>1</v>
      </c>
      <c r="BC660" s="76" t="b">
        <v>1</v>
      </c>
      <c r="BD660" s="76" t="b">
        <v>0</v>
      </c>
      <c r="BE660" s="76" t="b">
        <v>0</v>
      </c>
      <c r="BF660" s="76" t="b">
        <v>0</v>
      </c>
      <c r="BG660" s="76" t="b">
        <v>0</v>
      </c>
      <c r="BH660" s="76"/>
      <c r="BI660" s="76"/>
      <c r="BJ660" s="76" t="s">
        <v>19633</v>
      </c>
      <c r="BK660" s="76" t="b">
        <v>0</v>
      </c>
      <c r="BL660" s="76"/>
      <c r="BM660" s="76" t="s">
        <v>66</v>
      </c>
      <c r="BN660" s="76" t="s">
        <v>19635</v>
      </c>
      <c r="BO660" s="83" t="str">
        <f>HYPERLINK("https://twitter.com/leo_emp")</f>
        <v>https://twitter.com/leo_emp</v>
      </c>
      <c r="BP660" s="2"/>
    </row>
    <row r="661" spans="1:68" x14ac:dyDescent="0.25">
      <c r="A661" s="62" t="s">
        <v>808</v>
      </c>
      <c r="B661" s="63"/>
      <c r="C661" s="63"/>
      <c r="D661" s="64"/>
      <c r="E661" s="66"/>
      <c r="F661" s="103" t="str">
        <f>HYPERLINK("https://pbs.twimg.com/profile_images/1655602875358142465/JGqMZ7UG_normal.jpg")</f>
        <v>https://pbs.twimg.com/profile_images/1655602875358142465/JGqMZ7UG_normal.jpg</v>
      </c>
      <c r="G661" s="63"/>
      <c r="H661" s="67"/>
      <c r="I661" s="68"/>
      <c r="J661" s="68"/>
      <c r="K661" s="67" t="s">
        <v>20293</v>
      </c>
      <c r="L661" s="71"/>
      <c r="M661" s="72"/>
      <c r="N661" s="72"/>
      <c r="O661" s="73"/>
      <c r="P661" s="74"/>
      <c r="Q661" s="74"/>
      <c r="R661" s="87"/>
      <c r="S661" s="87"/>
      <c r="T661" s="87"/>
      <c r="U661" s="87"/>
      <c r="V661" s="48"/>
      <c r="W661" s="48"/>
      <c r="X661" s="47">
        <v>1.101E-3</v>
      </c>
      <c r="Y661" s="48"/>
      <c r="Z661" s="47"/>
      <c r="AA661" s="69">
        <v>661</v>
      </c>
      <c r="AB661" s="69"/>
      <c r="AC661" s="70"/>
      <c r="AD661" s="76" t="s">
        <v>17288</v>
      </c>
      <c r="AE661" s="81" t="s">
        <v>15765</v>
      </c>
      <c r="AF661" s="76">
        <v>0</v>
      </c>
      <c r="AG661" s="76">
        <v>1</v>
      </c>
      <c r="AH661" s="76">
        <v>90</v>
      </c>
      <c r="AI661" s="76">
        <v>0</v>
      </c>
      <c r="AJ661" s="76">
        <v>0</v>
      </c>
      <c r="AK661" s="76">
        <v>36</v>
      </c>
      <c r="AL661" s="76" t="b">
        <v>0</v>
      </c>
      <c r="AM661" s="78">
        <v>45054.664456018516</v>
      </c>
      <c r="AN661" s="76"/>
      <c r="AO661" s="76"/>
      <c r="AP661" s="76"/>
      <c r="AQ661" s="76"/>
      <c r="AR661" s="76"/>
      <c r="AS661" s="76"/>
      <c r="AT661" s="76"/>
      <c r="AU661" s="76"/>
      <c r="AV661" s="76"/>
      <c r="AW661" s="76"/>
      <c r="AX661" s="76" t="b">
        <v>0</v>
      </c>
      <c r="AY661" s="76"/>
      <c r="AZ661" s="76"/>
      <c r="BA661" s="76" t="b">
        <v>0</v>
      </c>
      <c r="BB661" s="76" t="b">
        <v>1</v>
      </c>
      <c r="BC661" s="76" t="b">
        <v>1</v>
      </c>
      <c r="BD661" s="76" t="b">
        <v>0</v>
      </c>
      <c r="BE661" s="76" t="b">
        <v>0</v>
      </c>
      <c r="BF661" s="76" t="b">
        <v>0</v>
      </c>
      <c r="BG661" s="76" t="b">
        <v>0</v>
      </c>
      <c r="BH661" s="76"/>
      <c r="BI661" s="76"/>
      <c r="BJ661" s="76" t="s">
        <v>19633</v>
      </c>
      <c r="BK661" s="76" t="b">
        <v>0</v>
      </c>
      <c r="BL661" s="76"/>
      <c r="BM661" s="76" t="s">
        <v>66</v>
      </c>
      <c r="BN661" s="76" t="s">
        <v>19635</v>
      </c>
      <c r="BO661" s="83" t="str">
        <f>HYPERLINK("https://twitter.com/realvictorhugog")</f>
        <v>https://twitter.com/realvictorhugog</v>
      </c>
      <c r="BP661" s="2"/>
    </row>
    <row r="662" spans="1:68" x14ac:dyDescent="0.25">
      <c r="A662" s="62" t="s">
        <v>809</v>
      </c>
      <c r="B662" s="63"/>
      <c r="C662" s="63"/>
      <c r="D662" s="64"/>
      <c r="E662" s="66"/>
      <c r="F662" s="103" t="str">
        <f>HYPERLINK("https://pbs.twimg.com/profile_images/938484946544611328/PKg24OzC_normal.jpg")</f>
        <v>https://pbs.twimg.com/profile_images/938484946544611328/PKg24OzC_normal.jpg</v>
      </c>
      <c r="G662" s="63"/>
      <c r="H662" s="67"/>
      <c r="I662" s="68"/>
      <c r="J662" s="68"/>
      <c r="K662" s="67" t="s">
        <v>20294</v>
      </c>
      <c r="L662" s="71"/>
      <c r="M662" s="72"/>
      <c r="N662" s="72"/>
      <c r="O662" s="73"/>
      <c r="P662" s="74"/>
      <c r="Q662" s="74"/>
      <c r="R662" s="87"/>
      <c r="S662" s="87"/>
      <c r="T662" s="87"/>
      <c r="U662" s="87"/>
      <c r="V662" s="48"/>
      <c r="W662" s="48"/>
      <c r="X662" s="47">
        <v>1.101E-3</v>
      </c>
      <c r="Y662" s="48"/>
      <c r="Z662" s="47"/>
      <c r="AA662" s="69">
        <v>662</v>
      </c>
      <c r="AB662" s="69"/>
      <c r="AC662" s="70"/>
      <c r="AD662" s="76" t="s">
        <v>17289</v>
      </c>
      <c r="AE662" s="81" t="s">
        <v>17762</v>
      </c>
      <c r="AF662" s="76">
        <v>617</v>
      </c>
      <c r="AG662" s="76">
        <v>945</v>
      </c>
      <c r="AH662" s="76">
        <v>2274</v>
      </c>
      <c r="AI662" s="76">
        <v>2</v>
      </c>
      <c r="AJ662" s="76">
        <v>173</v>
      </c>
      <c r="AK662" s="76">
        <v>397</v>
      </c>
      <c r="AL662" s="76" t="b">
        <v>0</v>
      </c>
      <c r="AM662" s="78">
        <v>40290.682662037034</v>
      </c>
      <c r="AN662" s="76" t="s">
        <v>10552</v>
      </c>
      <c r="AO662" s="76" t="s">
        <v>18747</v>
      </c>
      <c r="AP662" s="83" t="str">
        <f>HYPERLINK("https://t.co/1sDH7KE0t6")</f>
        <v>https://t.co/1sDH7KE0t6</v>
      </c>
      <c r="AQ662" s="83" t="str">
        <f>HYPERLINK("http://www.cintiamenegazzo.com.br")</f>
        <v>http://www.cintiamenegazzo.com.br</v>
      </c>
      <c r="AR662" s="76" t="s">
        <v>19384</v>
      </c>
      <c r="AS662" s="76"/>
      <c r="AT662" s="76"/>
      <c r="AU662" s="76"/>
      <c r="AV662" s="76"/>
      <c r="AW662" s="83" t="str">
        <f>HYPERLINK("https://t.co/1sDH7KE0t6")</f>
        <v>https://t.co/1sDH7KE0t6</v>
      </c>
      <c r="AX662" s="76" t="b">
        <v>0</v>
      </c>
      <c r="AY662" s="76"/>
      <c r="AZ662" s="76"/>
      <c r="BA662" s="76" t="b">
        <v>0</v>
      </c>
      <c r="BB662" s="76" t="b">
        <v>1</v>
      </c>
      <c r="BC662" s="76" t="b">
        <v>0</v>
      </c>
      <c r="BD662" s="76" t="b">
        <v>0</v>
      </c>
      <c r="BE662" s="76" t="b">
        <v>0</v>
      </c>
      <c r="BF662" s="76" t="b">
        <v>0</v>
      </c>
      <c r="BG662" s="76" t="b">
        <v>0</v>
      </c>
      <c r="BH662" s="83" t="str">
        <f>HYPERLINK("https://pbs.twimg.com/profile_banners/135946507/1512587228")</f>
        <v>https://pbs.twimg.com/profile_banners/135946507/1512587228</v>
      </c>
      <c r="BI662" s="76"/>
      <c r="BJ662" s="76" t="s">
        <v>19633</v>
      </c>
      <c r="BK662" s="76" t="b">
        <v>0</v>
      </c>
      <c r="BL662" s="76"/>
      <c r="BM662" s="76" t="s">
        <v>66</v>
      </c>
      <c r="BN662" s="76" t="s">
        <v>19635</v>
      </c>
      <c r="BO662" s="83" t="str">
        <f>HYPERLINK("https://twitter.com/cintiamenegazzo")</f>
        <v>https://twitter.com/cintiamenegazzo</v>
      </c>
      <c r="BP662" s="2"/>
    </row>
    <row r="663" spans="1:68" x14ac:dyDescent="0.25">
      <c r="A663" s="62" t="s">
        <v>811</v>
      </c>
      <c r="B663" s="63"/>
      <c r="C663" s="63"/>
      <c r="D663" s="64"/>
      <c r="E663" s="66"/>
      <c r="F663" s="103" t="str">
        <f>HYPERLINK("https://pbs.twimg.com/profile_images/1251898963927748614/n7v8LrL8_normal.jpg")</f>
        <v>https://pbs.twimg.com/profile_images/1251898963927748614/n7v8LrL8_normal.jpg</v>
      </c>
      <c r="G663" s="63"/>
      <c r="H663" s="67"/>
      <c r="I663" s="68"/>
      <c r="J663" s="68"/>
      <c r="K663" s="67" t="s">
        <v>20295</v>
      </c>
      <c r="L663" s="71"/>
      <c r="M663" s="72"/>
      <c r="N663" s="72"/>
      <c r="O663" s="73"/>
      <c r="P663" s="74"/>
      <c r="Q663" s="74"/>
      <c r="R663" s="87"/>
      <c r="S663" s="87"/>
      <c r="T663" s="87"/>
      <c r="U663" s="87"/>
      <c r="V663" s="48"/>
      <c r="W663" s="48"/>
      <c r="X663" s="47">
        <v>1.101E-3</v>
      </c>
      <c r="Y663" s="48"/>
      <c r="Z663" s="47"/>
      <c r="AA663" s="69">
        <v>663</v>
      </c>
      <c r="AB663" s="69"/>
      <c r="AC663" s="70"/>
      <c r="AD663" s="76" t="s">
        <v>17290</v>
      </c>
      <c r="AE663" s="81" t="s">
        <v>16470</v>
      </c>
      <c r="AF663" s="76">
        <v>244</v>
      </c>
      <c r="AG663" s="76">
        <v>233</v>
      </c>
      <c r="AH663" s="76">
        <v>3247</v>
      </c>
      <c r="AI663" s="76">
        <v>2</v>
      </c>
      <c r="AJ663" s="76">
        <v>131</v>
      </c>
      <c r="AK663" s="76">
        <v>75</v>
      </c>
      <c r="AL663" s="76" t="b">
        <v>0</v>
      </c>
      <c r="AM663" s="78">
        <v>43939.602638888886</v>
      </c>
      <c r="AN663" s="76"/>
      <c r="AO663" s="76" t="s">
        <v>18748</v>
      </c>
      <c r="AP663" s="76"/>
      <c r="AQ663" s="76"/>
      <c r="AR663" s="76"/>
      <c r="AS663" s="76"/>
      <c r="AT663" s="76"/>
      <c r="AU663" s="76"/>
      <c r="AV663" s="76"/>
      <c r="AW663" s="76"/>
      <c r="AX663" s="76" t="b">
        <v>0</v>
      </c>
      <c r="AY663" s="76"/>
      <c r="AZ663" s="76"/>
      <c r="BA663" s="76" t="b">
        <v>0</v>
      </c>
      <c r="BB663" s="76" t="b">
        <v>0</v>
      </c>
      <c r="BC663" s="76" t="b">
        <v>1</v>
      </c>
      <c r="BD663" s="76" t="b">
        <v>0</v>
      </c>
      <c r="BE663" s="76" t="b">
        <v>0</v>
      </c>
      <c r="BF663" s="76" t="b">
        <v>0</v>
      </c>
      <c r="BG663" s="76" t="b">
        <v>0</v>
      </c>
      <c r="BH663" s="83" t="str">
        <f>HYPERLINK("https://pbs.twimg.com/profile_banners/1251517637307305985/1587220562")</f>
        <v>https://pbs.twimg.com/profile_banners/1251517637307305985/1587220562</v>
      </c>
      <c r="BI663" s="76"/>
      <c r="BJ663" s="76" t="s">
        <v>19633</v>
      </c>
      <c r="BK663" s="76" t="b">
        <v>0</v>
      </c>
      <c r="BL663" s="76"/>
      <c r="BM663" s="76" t="s">
        <v>66</v>
      </c>
      <c r="BN663" s="76" t="s">
        <v>19635</v>
      </c>
      <c r="BO663" s="83" t="str">
        <f>HYPERLINK("https://twitter.com/the_new_finance")</f>
        <v>https://twitter.com/the_new_finance</v>
      </c>
      <c r="BP663" s="2"/>
    </row>
    <row r="664" spans="1:68" x14ac:dyDescent="0.25">
      <c r="A664" s="62" t="s">
        <v>812</v>
      </c>
      <c r="B664" s="63"/>
      <c r="C664" s="63"/>
      <c r="D664" s="64"/>
      <c r="E664" s="66"/>
      <c r="F664" s="103" t="str">
        <f>HYPERLINK("https://pbs.twimg.com/profile_images/1673406541859266560/ThP893Z1_normal.jpg")</f>
        <v>https://pbs.twimg.com/profile_images/1673406541859266560/ThP893Z1_normal.jpg</v>
      </c>
      <c r="G664" s="63"/>
      <c r="H664" s="67"/>
      <c r="I664" s="68"/>
      <c r="J664" s="68"/>
      <c r="K664" s="67" t="s">
        <v>20296</v>
      </c>
      <c r="L664" s="71"/>
      <c r="M664" s="72"/>
      <c r="N664" s="72"/>
      <c r="O664" s="73"/>
      <c r="P664" s="74"/>
      <c r="Q664" s="74"/>
      <c r="R664" s="87"/>
      <c r="S664" s="87"/>
      <c r="T664" s="87"/>
      <c r="U664" s="87"/>
      <c r="V664" s="48"/>
      <c r="W664" s="48"/>
      <c r="X664" s="47">
        <v>1.101E-3</v>
      </c>
      <c r="Y664" s="48"/>
      <c r="Z664" s="47"/>
      <c r="AA664" s="69">
        <v>664</v>
      </c>
      <c r="AB664" s="69"/>
      <c r="AC664" s="70"/>
      <c r="AD664" s="76" t="s">
        <v>17291</v>
      </c>
      <c r="AE664" s="81" t="s">
        <v>16471</v>
      </c>
      <c r="AF664" s="76">
        <v>2</v>
      </c>
      <c r="AG664" s="76">
        <v>25</v>
      </c>
      <c r="AH664" s="76">
        <v>28</v>
      </c>
      <c r="AI664" s="76">
        <v>0</v>
      </c>
      <c r="AJ664" s="76">
        <v>100</v>
      </c>
      <c r="AK664" s="76">
        <v>2</v>
      </c>
      <c r="AL664" s="76" t="b">
        <v>0</v>
      </c>
      <c r="AM664" s="78">
        <v>43982.619837962964</v>
      </c>
      <c r="AN664" s="76" t="s">
        <v>17867</v>
      </c>
      <c r="AO664" s="76" t="s">
        <v>18749</v>
      </c>
      <c r="AP664" s="83" t="str">
        <f>HYPERLINK("https://t.co/2IQLhphDeu")</f>
        <v>https://t.co/2IQLhphDeu</v>
      </c>
      <c r="AQ664" s="83" t="str">
        <f>HYPERLINK("http://x.gd/9LyUF")</f>
        <v>http://x.gd/9LyUF</v>
      </c>
      <c r="AR664" s="76" t="s">
        <v>19385</v>
      </c>
      <c r="AS664" s="76"/>
      <c r="AT664" s="76"/>
      <c r="AU664" s="76"/>
      <c r="AV664" s="76"/>
      <c r="AW664" s="83" t="str">
        <f>HYPERLINK("https://t.co/2IQLhphDeu")</f>
        <v>https://t.co/2IQLhphDeu</v>
      </c>
      <c r="AX664" s="76" t="b">
        <v>0</v>
      </c>
      <c r="AY664" s="76"/>
      <c r="AZ664" s="76"/>
      <c r="BA664" s="76" t="b">
        <v>0</v>
      </c>
      <c r="BB664" s="76" t="b">
        <v>1</v>
      </c>
      <c r="BC664" s="76" t="b">
        <v>1</v>
      </c>
      <c r="BD664" s="76" t="b">
        <v>0</v>
      </c>
      <c r="BE664" s="76" t="b">
        <v>0</v>
      </c>
      <c r="BF664" s="76" t="b">
        <v>0</v>
      </c>
      <c r="BG664" s="76" t="b">
        <v>0</v>
      </c>
      <c r="BH664" s="83" t="str">
        <f>HYPERLINK("https://pbs.twimg.com/profile_banners/1267106670129426432/1677796982")</f>
        <v>https://pbs.twimg.com/profile_banners/1267106670129426432/1677796982</v>
      </c>
      <c r="BI664" s="76"/>
      <c r="BJ664" s="76" t="s">
        <v>19633</v>
      </c>
      <c r="BK664" s="76" t="b">
        <v>0</v>
      </c>
      <c r="BL664" s="76"/>
      <c r="BM664" s="76" t="s">
        <v>66</v>
      </c>
      <c r="BN664" s="76" t="s">
        <v>19635</v>
      </c>
      <c r="BO664" s="83" t="str">
        <f>HYPERLINK("https://twitter.com/karlfranca")</f>
        <v>https://twitter.com/karlfranca</v>
      </c>
      <c r="BP664" s="2"/>
    </row>
    <row r="665" spans="1:68" x14ac:dyDescent="0.25">
      <c r="A665" s="62" t="s">
        <v>813</v>
      </c>
      <c r="B665" s="63"/>
      <c r="C665" s="63"/>
      <c r="D665" s="64"/>
      <c r="E665" s="66"/>
      <c r="F665" s="103" t="str">
        <f>HYPERLINK("https://pbs.twimg.com/profile_images/1400890202114121738/OeBZ4QMc_normal.jpg")</f>
        <v>https://pbs.twimg.com/profile_images/1400890202114121738/OeBZ4QMc_normal.jpg</v>
      </c>
      <c r="G665" s="63"/>
      <c r="H665" s="67"/>
      <c r="I665" s="68"/>
      <c r="J665" s="68"/>
      <c r="K665" s="67" t="s">
        <v>20297</v>
      </c>
      <c r="L665" s="71"/>
      <c r="M665" s="72"/>
      <c r="N665" s="72"/>
      <c r="O665" s="73"/>
      <c r="P665" s="74"/>
      <c r="Q665" s="74"/>
      <c r="R665" s="87"/>
      <c r="S665" s="87"/>
      <c r="T665" s="87"/>
      <c r="U665" s="87"/>
      <c r="V665" s="48"/>
      <c r="W665" s="48"/>
      <c r="X665" s="47">
        <v>1.101E-3</v>
      </c>
      <c r="Y665" s="48"/>
      <c r="Z665" s="47"/>
      <c r="AA665" s="69">
        <v>665</v>
      </c>
      <c r="AB665" s="69"/>
      <c r="AC665" s="70"/>
      <c r="AD665" s="76" t="s">
        <v>17292</v>
      </c>
      <c r="AE665" s="81" t="s">
        <v>16472</v>
      </c>
      <c r="AF665" s="76">
        <v>244</v>
      </c>
      <c r="AG665" s="76">
        <v>36</v>
      </c>
      <c r="AH665" s="76">
        <v>129</v>
      </c>
      <c r="AI665" s="76">
        <v>1</v>
      </c>
      <c r="AJ665" s="76">
        <v>151</v>
      </c>
      <c r="AK665" s="76">
        <v>74</v>
      </c>
      <c r="AL665" s="76" t="b">
        <v>0</v>
      </c>
      <c r="AM665" s="78">
        <v>44351.782048611109</v>
      </c>
      <c r="AN665" s="76"/>
      <c r="AO665" s="76" t="s">
        <v>18750</v>
      </c>
      <c r="AP665" s="83" t="str">
        <f>HYPERLINK("https://t.co/tjDFQTOoQZ")</f>
        <v>https://t.co/tjDFQTOoQZ</v>
      </c>
      <c r="AQ665" s="83" t="str">
        <f>HYPERLINK("https://www.civitas.org.br/")</f>
        <v>https://www.civitas.org.br/</v>
      </c>
      <c r="AR665" s="76" t="s">
        <v>19386</v>
      </c>
      <c r="AS665" s="76"/>
      <c r="AT665" s="76"/>
      <c r="AU665" s="76"/>
      <c r="AV665" s="76">
        <v>1.4563129718319301E+18</v>
      </c>
      <c r="AW665" s="83" t="str">
        <f>HYPERLINK("https://t.co/tjDFQTOoQZ")</f>
        <v>https://t.co/tjDFQTOoQZ</v>
      </c>
      <c r="AX665" s="76" t="b">
        <v>0</v>
      </c>
      <c r="AY665" s="76"/>
      <c r="AZ665" s="76"/>
      <c r="BA665" s="76" t="b">
        <v>0</v>
      </c>
      <c r="BB665" s="76" t="b">
        <v>1</v>
      </c>
      <c r="BC665" s="76" t="b">
        <v>1</v>
      </c>
      <c r="BD665" s="76" t="b">
        <v>0</v>
      </c>
      <c r="BE665" s="76" t="b">
        <v>0</v>
      </c>
      <c r="BF665" s="76" t="b">
        <v>0</v>
      </c>
      <c r="BG665" s="76" t="b">
        <v>0</v>
      </c>
      <c r="BH665" s="83" t="str">
        <f>HYPERLINK("https://pbs.twimg.com/profile_banners/1400886055084113921/1622833227")</f>
        <v>https://pbs.twimg.com/profile_banners/1400886055084113921/1622833227</v>
      </c>
      <c r="BI665" s="76"/>
      <c r="BJ665" s="76" t="s">
        <v>19633</v>
      </c>
      <c r="BK665" s="76" t="b">
        <v>0</v>
      </c>
      <c r="BL665" s="76"/>
      <c r="BM665" s="76" t="s">
        <v>66</v>
      </c>
      <c r="BN665" s="76" t="s">
        <v>19635</v>
      </c>
      <c r="BO665" s="83" t="str">
        <f>HYPERLINK("https://twitter.com/instcivitasbr")</f>
        <v>https://twitter.com/instcivitasbr</v>
      </c>
      <c r="BP665" s="2"/>
    </row>
    <row r="666" spans="1:68" x14ac:dyDescent="0.25">
      <c r="A666" s="62" t="s">
        <v>814</v>
      </c>
      <c r="B666" s="63"/>
      <c r="C666" s="63"/>
      <c r="D666" s="64"/>
      <c r="E666" s="66"/>
      <c r="F666" s="103" t="str">
        <f>HYPERLINK("https://pbs.twimg.com/profile_images/1633831608603250688/1muc5I3O_normal.jpg")</f>
        <v>https://pbs.twimg.com/profile_images/1633831608603250688/1muc5I3O_normal.jpg</v>
      </c>
      <c r="G666" s="63"/>
      <c r="H666" s="67"/>
      <c r="I666" s="68"/>
      <c r="J666" s="68"/>
      <c r="K666" s="67" t="s">
        <v>20298</v>
      </c>
      <c r="L666" s="71"/>
      <c r="M666" s="72"/>
      <c r="N666" s="72"/>
      <c r="O666" s="73"/>
      <c r="P666" s="74"/>
      <c r="Q666" s="74"/>
      <c r="R666" s="87"/>
      <c r="S666" s="87"/>
      <c r="T666" s="87"/>
      <c r="U666" s="87"/>
      <c r="V666" s="48"/>
      <c r="W666" s="48"/>
      <c r="X666" s="47">
        <v>1.101E-3</v>
      </c>
      <c r="Y666" s="48"/>
      <c r="Z666" s="47"/>
      <c r="AA666" s="69">
        <v>666</v>
      </c>
      <c r="AB666" s="69"/>
      <c r="AC666" s="70"/>
      <c r="AD666" s="76" t="s">
        <v>17293</v>
      </c>
      <c r="AE666" s="81" t="s">
        <v>15766</v>
      </c>
      <c r="AF666" s="76">
        <v>188</v>
      </c>
      <c r="AG666" s="76">
        <v>18</v>
      </c>
      <c r="AH666" s="76">
        <v>242</v>
      </c>
      <c r="AI666" s="76">
        <v>1</v>
      </c>
      <c r="AJ666" s="76">
        <v>116</v>
      </c>
      <c r="AK666" s="76">
        <v>104</v>
      </c>
      <c r="AL666" s="76" t="b">
        <v>0</v>
      </c>
      <c r="AM666" s="78">
        <v>44991.649756944447</v>
      </c>
      <c r="AN666" s="76" t="s">
        <v>18070</v>
      </c>
      <c r="AO666" s="76" t="s">
        <v>18751</v>
      </c>
      <c r="AP666" s="83" t="str">
        <f>HYPERLINK("https://t.co/55IBGwD9XP")</f>
        <v>https://t.co/55IBGwD9XP</v>
      </c>
      <c r="AQ666" s="83" t="str">
        <f>HYPERLINK("https://linktr.ee/vincoexchange")</f>
        <v>https://linktr.ee/vincoexchange</v>
      </c>
      <c r="AR666" s="76" t="s">
        <v>19387</v>
      </c>
      <c r="AS666" s="76"/>
      <c r="AT666" s="76"/>
      <c r="AU666" s="76"/>
      <c r="AV666" s="76"/>
      <c r="AW666" s="83" t="str">
        <f>HYPERLINK("https://t.co/55IBGwD9XP")</f>
        <v>https://t.co/55IBGwD9XP</v>
      </c>
      <c r="AX666" s="76" t="b">
        <v>1</v>
      </c>
      <c r="AY666" s="76"/>
      <c r="AZ666" s="76"/>
      <c r="BA666" s="76" t="b">
        <v>0</v>
      </c>
      <c r="BB666" s="76" t="b">
        <v>1</v>
      </c>
      <c r="BC666" s="76" t="b">
        <v>1</v>
      </c>
      <c r="BD666" s="76" t="b">
        <v>0</v>
      </c>
      <c r="BE666" s="76" t="b">
        <v>0</v>
      </c>
      <c r="BF666" s="76" t="b">
        <v>0</v>
      </c>
      <c r="BG666" s="76" t="b">
        <v>0</v>
      </c>
      <c r="BH666" s="83" t="str">
        <f>HYPERLINK("https://pbs.twimg.com/profile_banners/1632766845903151106/1678370787")</f>
        <v>https://pbs.twimg.com/profile_banners/1632766845903151106/1678370787</v>
      </c>
      <c r="BI666" s="76"/>
      <c r="BJ666" s="76" t="s">
        <v>19633</v>
      </c>
      <c r="BK666" s="76" t="b">
        <v>0</v>
      </c>
      <c r="BL666" s="76"/>
      <c r="BM666" s="76" t="s">
        <v>66</v>
      </c>
      <c r="BN666" s="76" t="s">
        <v>19635</v>
      </c>
      <c r="BO666" s="83" t="str">
        <f>HYPERLINK("https://twitter.com/vincopontovc")</f>
        <v>https://twitter.com/vincopontovc</v>
      </c>
      <c r="BP666" s="2"/>
    </row>
    <row r="667" spans="1:68" x14ac:dyDescent="0.25">
      <c r="A667" s="62" t="s">
        <v>815</v>
      </c>
      <c r="B667" s="63"/>
      <c r="C667" s="63"/>
      <c r="D667" s="64"/>
      <c r="E667" s="66"/>
      <c r="F667" s="103" t="str">
        <f>HYPERLINK("https://pbs.twimg.com/profile_images/1629520900746887174/GiJMlXTz_normal.jpg")</f>
        <v>https://pbs.twimg.com/profile_images/1629520900746887174/GiJMlXTz_normal.jpg</v>
      </c>
      <c r="G667" s="63"/>
      <c r="H667" s="67"/>
      <c r="I667" s="68"/>
      <c r="J667" s="68"/>
      <c r="K667" s="67" t="s">
        <v>20299</v>
      </c>
      <c r="L667" s="71"/>
      <c r="M667" s="72"/>
      <c r="N667" s="72"/>
      <c r="O667" s="73"/>
      <c r="P667" s="74"/>
      <c r="Q667" s="74"/>
      <c r="R667" s="87"/>
      <c r="S667" s="87"/>
      <c r="T667" s="87"/>
      <c r="U667" s="87"/>
      <c r="V667" s="48"/>
      <c r="W667" s="48"/>
      <c r="X667" s="47">
        <v>1.101E-3</v>
      </c>
      <c r="Y667" s="48"/>
      <c r="Z667" s="47"/>
      <c r="AA667" s="69">
        <v>667</v>
      </c>
      <c r="AB667" s="69"/>
      <c r="AC667" s="70"/>
      <c r="AD667" s="76" t="s">
        <v>17294</v>
      </c>
      <c r="AE667" s="81" t="s">
        <v>16473</v>
      </c>
      <c r="AF667" s="76">
        <v>4</v>
      </c>
      <c r="AG667" s="76">
        <v>1</v>
      </c>
      <c r="AH667" s="76">
        <v>53</v>
      </c>
      <c r="AI667" s="76">
        <v>0</v>
      </c>
      <c r="AJ667" s="76">
        <v>5</v>
      </c>
      <c r="AK667" s="76">
        <v>53</v>
      </c>
      <c r="AL667" s="76" t="b">
        <v>0</v>
      </c>
      <c r="AM667" s="78">
        <v>44982.692326388889</v>
      </c>
      <c r="AN667" s="76"/>
      <c r="AO667" s="76" t="s">
        <v>18752</v>
      </c>
      <c r="AP667" s="83" t="str">
        <f>HYPERLINK("https://t.co/CFLfW1SVLZ")</f>
        <v>https://t.co/CFLfW1SVLZ</v>
      </c>
      <c r="AQ667" s="83" t="str">
        <f>HYPERLINK("https://linktr.ee/descomplicaft")</f>
        <v>https://linktr.ee/descomplicaft</v>
      </c>
      <c r="AR667" s="76" t="s">
        <v>19388</v>
      </c>
      <c r="AS667" s="76"/>
      <c r="AT667" s="76"/>
      <c r="AU667" s="76"/>
      <c r="AV667" s="76"/>
      <c r="AW667" s="83" t="str">
        <f>HYPERLINK("https://t.co/CFLfW1SVLZ")</f>
        <v>https://t.co/CFLfW1SVLZ</v>
      </c>
      <c r="AX667" s="76" t="b">
        <v>0</v>
      </c>
      <c r="AY667" s="76"/>
      <c r="AZ667" s="76"/>
      <c r="BA667" s="76" t="b">
        <v>0</v>
      </c>
      <c r="BB667" s="76" t="b">
        <v>1</v>
      </c>
      <c r="BC667" s="76" t="b">
        <v>1</v>
      </c>
      <c r="BD667" s="76" t="b">
        <v>0</v>
      </c>
      <c r="BE667" s="76" t="b">
        <v>0</v>
      </c>
      <c r="BF667" s="76" t="b">
        <v>0</v>
      </c>
      <c r="BG667" s="76" t="b">
        <v>0</v>
      </c>
      <c r="BH667" s="83" t="str">
        <f>HYPERLINK("https://pbs.twimg.com/profile_banners/1629520801710874625/1677343580")</f>
        <v>https://pbs.twimg.com/profile_banners/1629520801710874625/1677343580</v>
      </c>
      <c r="BI667" s="76"/>
      <c r="BJ667" s="76" t="s">
        <v>19633</v>
      </c>
      <c r="BK667" s="76" t="b">
        <v>0</v>
      </c>
      <c r="BL667" s="76"/>
      <c r="BM667" s="76" t="s">
        <v>66</v>
      </c>
      <c r="BN667" s="76" t="s">
        <v>19635</v>
      </c>
      <c r="BO667" s="83" t="str">
        <f>HYPERLINK("https://twitter.com/descomplicaft")</f>
        <v>https://twitter.com/descomplicaft</v>
      </c>
      <c r="BP667" s="2"/>
    </row>
    <row r="668" spans="1:68" x14ac:dyDescent="0.25">
      <c r="A668" s="62" t="s">
        <v>816</v>
      </c>
      <c r="B668" s="63"/>
      <c r="C668" s="63"/>
      <c r="D668" s="64"/>
      <c r="E668" s="66"/>
      <c r="F668" s="103" t="str">
        <f>HYPERLINK("https://pbs.twimg.com/profile_images/1168497822011838464/VTU361vX_normal.jpg")</f>
        <v>https://pbs.twimg.com/profile_images/1168497822011838464/VTU361vX_normal.jpg</v>
      </c>
      <c r="G668" s="63"/>
      <c r="H668" s="67"/>
      <c r="I668" s="68"/>
      <c r="J668" s="68"/>
      <c r="K668" s="67" t="s">
        <v>20300</v>
      </c>
      <c r="L668" s="71"/>
      <c r="M668" s="72"/>
      <c r="N668" s="72"/>
      <c r="O668" s="73"/>
      <c r="P668" s="74"/>
      <c r="Q668" s="74"/>
      <c r="R668" s="87"/>
      <c r="S668" s="87"/>
      <c r="T668" s="87"/>
      <c r="U668" s="87"/>
      <c r="V668" s="48"/>
      <c r="W668" s="48"/>
      <c r="X668" s="47">
        <v>1.101E-3</v>
      </c>
      <c r="Y668" s="48"/>
      <c r="Z668" s="47"/>
      <c r="AA668" s="69">
        <v>668</v>
      </c>
      <c r="AB668" s="69"/>
      <c r="AC668" s="70"/>
      <c r="AD668" s="76" t="s">
        <v>17295</v>
      </c>
      <c r="AE668" s="81" t="s">
        <v>16474</v>
      </c>
      <c r="AF668" s="76">
        <v>25</v>
      </c>
      <c r="AG668" s="76">
        <v>23</v>
      </c>
      <c r="AH668" s="76">
        <v>401</v>
      </c>
      <c r="AI668" s="76">
        <v>0</v>
      </c>
      <c r="AJ668" s="76">
        <v>484</v>
      </c>
      <c r="AK668" s="76">
        <v>277</v>
      </c>
      <c r="AL668" s="76" t="b">
        <v>0</v>
      </c>
      <c r="AM668" s="78">
        <v>43710.493032407408</v>
      </c>
      <c r="AN668" s="76"/>
      <c r="AO668" s="76" t="s">
        <v>18753</v>
      </c>
      <c r="AP668" s="76"/>
      <c r="AQ668" s="76"/>
      <c r="AR668" s="76"/>
      <c r="AS668" s="76"/>
      <c r="AT668" s="76"/>
      <c r="AU668" s="76"/>
      <c r="AV668" s="76">
        <v>1.67573464037471E+18</v>
      </c>
      <c r="AW668" s="76"/>
      <c r="AX668" s="76" t="b">
        <v>0</v>
      </c>
      <c r="AY668" s="76"/>
      <c r="AZ668" s="76"/>
      <c r="BA668" s="76" t="b">
        <v>0</v>
      </c>
      <c r="BB668" s="76" t="b">
        <v>1</v>
      </c>
      <c r="BC668" s="76" t="b">
        <v>1</v>
      </c>
      <c r="BD668" s="76" t="b">
        <v>0</v>
      </c>
      <c r="BE668" s="76" t="b">
        <v>0</v>
      </c>
      <c r="BF668" s="76" t="b">
        <v>0</v>
      </c>
      <c r="BG668" s="76" t="b">
        <v>0</v>
      </c>
      <c r="BH668" s="76"/>
      <c r="BI668" s="76"/>
      <c r="BJ668" s="76" t="s">
        <v>19633</v>
      </c>
      <c r="BK668" s="76" t="b">
        <v>0</v>
      </c>
      <c r="BL668" s="76"/>
      <c r="BM668" s="76" t="s">
        <v>66</v>
      </c>
      <c r="BN668" s="76" t="s">
        <v>19635</v>
      </c>
      <c r="BO668" s="83" t="str">
        <f>HYPERLINK("https://twitter.com/puneetkohli1979")</f>
        <v>https://twitter.com/puneetkohli1979</v>
      </c>
      <c r="BP668" s="2"/>
    </row>
    <row r="669" spans="1:68" x14ac:dyDescent="0.25">
      <c r="A669" s="62" t="s">
        <v>817</v>
      </c>
      <c r="B669" s="63"/>
      <c r="C669" s="63"/>
      <c r="D669" s="64"/>
      <c r="E669" s="66"/>
      <c r="F669" s="103" t="str">
        <f>HYPERLINK("https://pbs.twimg.com/profile_images/1207742176098234368/FXlB5owL_normal.jpg")</f>
        <v>https://pbs.twimg.com/profile_images/1207742176098234368/FXlB5owL_normal.jpg</v>
      </c>
      <c r="G669" s="63"/>
      <c r="H669" s="67"/>
      <c r="I669" s="68"/>
      <c r="J669" s="68"/>
      <c r="K669" s="67" t="s">
        <v>20301</v>
      </c>
      <c r="L669" s="71"/>
      <c r="M669" s="72"/>
      <c r="N669" s="72"/>
      <c r="O669" s="73"/>
      <c r="P669" s="74"/>
      <c r="Q669" s="74"/>
      <c r="R669" s="87"/>
      <c r="S669" s="87"/>
      <c r="T669" s="87"/>
      <c r="U669" s="87"/>
      <c r="V669" s="48"/>
      <c r="W669" s="48"/>
      <c r="X669" s="47">
        <v>1.178E-3</v>
      </c>
      <c r="Y669" s="48"/>
      <c r="Z669" s="47"/>
      <c r="AA669" s="69">
        <v>669</v>
      </c>
      <c r="AB669" s="69"/>
      <c r="AC669" s="70"/>
      <c r="AD669" s="76" t="s">
        <v>17296</v>
      </c>
      <c r="AE669" s="81" t="s">
        <v>17763</v>
      </c>
      <c r="AF669" s="76">
        <v>6469</v>
      </c>
      <c r="AG669" s="76">
        <v>383</v>
      </c>
      <c r="AH669" s="76">
        <v>8305</v>
      </c>
      <c r="AI669" s="76">
        <v>98</v>
      </c>
      <c r="AJ669" s="76">
        <v>1078</v>
      </c>
      <c r="AK669" s="76">
        <v>910</v>
      </c>
      <c r="AL669" s="76" t="b">
        <v>0</v>
      </c>
      <c r="AM669" s="78">
        <v>40074.081817129627</v>
      </c>
      <c r="AN669" s="76" t="s">
        <v>18071</v>
      </c>
      <c r="AO669" s="76" t="s">
        <v>18754</v>
      </c>
      <c r="AP669" s="83" t="str">
        <f>HYPERLINK("https://t.co/sgm8n2uOTt")</f>
        <v>https://t.co/sgm8n2uOTt</v>
      </c>
      <c r="AQ669" s="83" t="str">
        <f>HYPERLINK("http://www.academiadodinheiro.com.br")</f>
        <v>http://www.academiadodinheiro.com.br</v>
      </c>
      <c r="AR669" s="76" t="s">
        <v>19389</v>
      </c>
      <c r="AS669" s="76"/>
      <c r="AT669" s="76"/>
      <c r="AU669" s="76"/>
      <c r="AV669" s="76"/>
      <c r="AW669" s="83" t="str">
        <f>HYPERLINK("https://t.co/sgm8n2uOTt")</f>
        <v>https://t.co/sgm8n2uOTt</v>
      </c>
      <c r="AX669" s="76" t="b">
        <v>0</v>
      </c>
      <c r="AY669" s="76"/>
      <c r="AZ669" s="76"/>
      <c r="BA669" s="76" t="b">
        <v>0</v>
      </c>
      <c r="BB669" s="76" t="b">
        <v>1</v>
      </c>
      <c r="BC669" s="76" t="b">
        <v>0</v>
      </c>
      <c r="BD669" s="76" t="b">
        <v>0</v>
      </c>
      <c r="BE669" s="76" t="b">
        <v>1</v>
      </c>
      <c r="BF669" s="76" t="b">
        <v>0</v>
      </c>
      <c r="BG669" s="76" t="b">
        <v>0</v>
      </c>
      <c r="BH669" s="83" t="str">
        <f>HYPERLINK("https://pbs.twimg.com/profile_banners/75173434/1576783149")</f>
        <v>https://pbs.twimg.com/profile_banners/75173434/1576783149</v>
      </c>
      <c r="BI669" s="76"/>
      <c r="BJ669" s="76" t="s">
        <v>19633</v>
      </c>
      <c r="BK669" s="76" t="b">
        <v>0</v>
      </c>
      <c r="BL669" s="76"/>
      <c r="BM669" s="76" t="s">
        <v>66</v>
      </c>
      <c r="BN669" s="76" t="s">
        <v>19635</v>
      </c>
      <c r="BO669" s="83" t="str">
        <f>HYPERLINK("https://twitter.com/calilecalil")</f>
        <v>https://twitter.com/calilecalil</v>
      </c>
      <c r="BP669" s="2"/>
    </row>
    <row r="670" spans="1:68" x14ac:dyDescent="0.25">
      <c r="A670" s="62" t="s">
        <v>818</v>
      </c>
      <c r="B670" s="63"/>
      <c r="C670" s="63"/>
      <c r="D670" s="64"/>
      <c r="E670" s="66"/>
      <c r="F670" s="103" t="str">
        <f>HYPERLINK("https://pbs.twimg.com/profile_images/1441879669532286978/xQyU-M6t_normal.jpg")</f>
        <v>https://pbs.twimg.com/profile_images/1441879669532286978/xQyU-M6t_normal.jpg</v>
      </c>
      <c r="G670" s="63"/>
      <c r="H670" s="67"/>
      <c r="I670" s="68"/>
      <c r="J670" s="68"/>
      <c r="K670" s="67" t="s">
        <v>20302</v>
      </c>
      <c r="L670" s="71"/>
      <c r="M670" s="72"/>
      <c r="N670" s="72"/>
      <c r="O670" s="73"/>
      <c r="P670" s="74"/>
      <c r="Q670" s="74"/>
      <c r="R670" s="87"/>
      <c r="S670" s="87"/>
      <c r="T670" s="87"/>
      <c r="U670" s="87"/>
      <c r="V670" s="48"/>
      <c r="W670" s="48"/>
      <c r="X670" s="47">
        <v>1.024E-3</v>
      </c>
      <c r="Y670" s="48"/>
      <c r="Z670" s="47"/>
      <c r="AA670" s="69">
        <v>670</v>
      </c>
      <c r="AB670" s="69"/>
      <c r="AC670" s="70"/>
      <c r="AD670" s="76" t="s">
        <v>17297</v>
      </c>
      <c r="AE670" s="81" t="s">
        <v>16475</v>
      </c>
      <c r="AF670" s="76">
        <v>13</v>
      </c>
      <c r="AG670" s="76">
        <v>49</v>
      </c>
      <c r="AH670" s="76">
        <v>438</v>
      </c>
      <c r="AI670" s="76">
        <v>0</v>
      </c>
      <c r="AJ670" s="76">
        <v>1248</v>
      </c>
      <c r="AK670" s="76">
        <v>10</v>
      </c>
      <c r="AL670" s="76" t="b">
        <v>0</v>
      </c>
      <c r="AM670" s="78">
        <v>42652.799976851849</v>
      </c>
      <c r="AN670" s="76" t="s">
        <v>18072</v>
      </c>
      <c r="AO670" s="76" t="s">
        <v>18755</v>
      </c>
      <c r="AP670" s="76"/>
      <c r="AQ670" s="76"/>
      <c r="AR670" s="76"/>
      <c r="AS670" s="76"/>
      <c r="AT670" s="76"/>
      <c r="AU670" s="76"/>
      <c r="AV670" s="76"/>
      <c r="AW670" s="76"/>
      <c r="AX670" s="76" t="b">
        <v>0</v>
      </c>
      <c r="AY670" s="76"/>
      <c r="AZ670" s="76"/>
      <c r="BA670" s="76" t="b">
        <v>0</v>
      </c>
      <c r="BB670" s="76" t="b">
        <v>1</v>
      </c>
      <c r="BC670" s="76" t="b">
        <v>1</v>
      </c>
      <c r="BD670" s="76" t="b">
        <v>0</v>
      </c>
      <c r="BE670" s="76" t="b">
        <v>0</v>
      </c>
      <c r="BF670" s="76" t="b">
        <v>0</v>
      </c>
      <c r="BG670" s="76" t="b">
        <v>0</v>
      </c>
      <c r="BH670" s="83" t="str">
        <f>HYPERLINK("https://pbs.twimg.com/profile_banners/785196121543024640/1476061183")</f>
        <v>https://pbs.twimg.com/profile_banners/785196121543024640/1476061183</v>
      </c>
      <c r="BI670" s="76"/>
      <c r="BJ670" s="76" t="s">
        <v>19633</v>
      </c>
      <c r="BK670" s="76" t="b">
        <v>0</v>
      </c>
      <c r="BL670" s="76"/>
      <c r="BM670" s="76" t="s">
        <v>66</v>
      </c>
      <c r="BN670" s="76" t="s">
        <v>19635</v>
      </c>
      <c r="BO670" s="83" t="str">
        <f>HYPERLINK("https://twitter.com/lipfiori")</f>
        <v>https://twitter.com/lipfiori</v>
      </c>
      <c r="BP670" s="2"/>
    </row>
    <row r="671" spans="1:68" x14ac:dyDescent="0.25">
      <c r="A671" s="62" t="s">
        <v>819</v>
      </c>
      <c r="B671" s="63"/>
      <c r="C671" s="63"/>
      <c r="D671" s="64"/>
      <c r="E671" s="66"/>
      <c r="F671" s="103" t="str">
        <f>HYPERLINK("https://pbs.twimg.com/profile_images/1283576393662636034/EjgsMA_W_normal.jpg")</f>
        <v>https://pbs.twimg.com/profile_images/1283576393662636034/EjgsMA_W_normal.jpg</v>
      </c>
      <c r="G671" s="63"/>
      <c r="H671" s="67"/>
      <c r="I671" s="68"/>
      <c r="J671" s="68"/>
      <c r="K671" s="67" t="s">
        <v>20303</v>
      </c>
      <c r="L671" s="71"/>
      <c r="M671" s="72"/>
      <c r="N671" s="72"/>
      <c r="O671" s="73"/>
      <c r="P671" s="74"/>
      <c r="Q671" s="74"/>
      <c r="R671" s="87"/>
      <c r="S671" s="87"/>
      <c r="T671" s="87"/>
      <c r="U671" s="87"/>
      <c r="V671" s="48"/>
      <c r="W671" s="48"/>
      <c r="X671" s="47">
        <v>1.101E-3</v>
      </c>
      <c r="Y671" s="48"/>
      <c r="Z671" s="47"/>
      <c r="AA671" s="69">
        <v>671</v>
      </c>
      <c r="AB671" s="69"/>
      <c r="AC671" s="70"/>
      <c r="AD671" s="76" t="s">
        <v>819</v>
      </c>
      <c r="AE671" s="81" t="s">
        <v>15767</v>
      </c>
      <c r="AF671" s="76">
        <v>35</v>
      </c>
      <c r="AG671" s="76">
        <v>87</v>
      </c>
      <c r="AH671" s="76">
        <v>2694</v>
      </c>
      <c r="AI671" s="76">
        <v>0</v>
      </c>
      <c r="AJ671" s="76">
        <v>287</v>
      </c>
      <c r="AK671" s="76">
        <v>1498</v>
      </c>
      <c r="AL671" s="76" t="b">
        <v>0</v>
      </c>
      <c r="AM671" s="78">
        <v>44028.067337962966</v>
      </c>
      <c r="AN671" s="76"/>
      <c r="AO671" s="76" t="s">
        <v>18756</v>
      </c>
      <c r="AP671" s="76"/>
      <c r="AQ671" s="76"/>
      <c r="AR671" s="76"/>
      <c r="AS671" s="76"/>
      <c r="AT671" s="76"/>
      <c r="AU671" s="76"/>
      <c r="AV671" s="76"/>
      <c r="AW671" s="76"/>
      <c r="AX671" s="76" t="b">
        <v>0</v>
      </c>
      <c r="AY671" s="76"/>
      <c r="AZ671" s="76"/>
      <c r="BA671" s="76" t="b">
        <v>0</v>
      </c>
      <c r="BB671" s="76" t="b">
        <v>1</v>
      </c>
      <c r="BC671" s="76" t="b">
        <v>1</v>
      </c>
      <c r="BD671" s="76" t="b">
        <v>0</v>
      </c>
      <c r="BE671" s="76" t="b">
        <v>1</v>
      </c>
      <c r="BF671" s="76" t="b">
        <v>0</v>
      </c>
      <c r="BG671" s="76" t="b">
        <v>0</v>
      </c>
      <c r="BH671" s="76"/>
      <c r="BI671" s="76"/>
      <c r="BJ671" s="76" t="s">
        <v>19633</v>
      </c>
      <c r="BK671" s="76" t="b">
        <v>0</v>
      </c>
      <c r="BL671" s="76"/>
      <c r="BM671" s="76" t="s">
        <v>66</v>
      </c>
      <c r="BN671" s="76" t="s">
        <v>19635</v>
      </c>
      <c r="BO671" s="83" t="str">
        <f>HYPERLINK("https://twitter.com/economedicos")</f>
        <v>https://twitter.com/economedicos</v>
      </c>
      <c r="BP671" s="2"/>
    </row>
    <row r="672" spans="1:68" x14ac:dyDescent="0.25">
      <c r="A672" s="62" t="s">
        <v>820</v>
      </c>
      <c r="B672" s="63"/>
      <c r="C672" s="63"/>
      <c r="D672" s="64"/>
      <c r="E672" s="66"/>
      <c r="F672" s="103" t="str">
        <f>HYPERLINK("https://pbs.twimg.com/profile_images/1505606345537511424/6RGCSn95_normal.jpg")</f>
        <v>https://pbs.twimg.com/profile_images/1505606345537511424/6RGCSn95_normal.jpg</v>
      </c>
      <c r="G672" s="63"/>
      <c r="H672" s="67"/>
      <c r="I672" s="68"/>
      <c r="J672" s="68"/>
      <c r="K672" s="67" t="s">
        <v>20304</v>
      </c>
      <c r="L672" s="71"/>
      <c r="M672" s="72"/>
      <c r="N672" s="72"/>
      <c r="O672" s="73"/>
      <c r="P672" s="74"/>
      <c r="Q672" s="74"/>
      <c r="R672" s="87"/>
      <c r="S672" s="87"/>
      <c r="T672" s="87"/>
      <c r="U672" s="87"/>
      <c r="V672" s="48"/>
      <c r="W672" s="48"/>
      <c r="X672" s="47">
        <v>1.101E-3</v>
      </c>
      <c r="Y672" s="48"/>
      <c r="Z672" s="47"/>
      <c r="AA672" s="69">
        <v>672</v>
      </c>
      <c r="AB672" s="69"/>
      <c r="AC672" s="70"/>
      <c r="AD672" s="76" t="s">
        <v>17298</v>
      </c>
      <c r="AE672" s="81" t="s">
        <v>16476</v>
      </c>
      <c r="AF672" s="76">
        <v>1799</v>
      </c>
      <c r="AG672" s="76">
        <v>3725</v>
      </c>
      <c r="AH672" s="76">
        <v>163442</v>
      </c>
      <c r="AI672" s="76">
        <v>7</v>
      </c>
      <c r="AJ672" s="76">
        <v>70696</v>
      </c>
      <c r="AK672" s="76">
        <v>3601</v>
      </c>
      <c r="AL672" s="76" t="b">
        <v>0</v>
      </c>
      <c r="AM672" s="78">
        <v>43170.718217592592</v>
      </c>
      <c r="AN672" s="76"/>
      <c r="AO672" s="76" t="s">
        <v>18757</v>
      </c>
      <c r="AP672" s="83" t="str">
        <f>HYPERLINK("https://t.co/b5RlDlwwcC")</f>
        <v>https://t.co/b5RlDlwwcC</v>
      </c>
      <c r="AQ672" s="83" t="str">
        <f>HYPERLINK("https://ntnc.com.br/1f961fa7-b913-438c-8e59-c3559a9f02ab")</f>
        <v>https://ntnc.com.br/1f961fa7-b913-438c-8e59-c3559a9f02ab</v>
      </c>
      <c r="AR672" s="76" t="s">
        <v>19390</v>
      </c>
      <c r="AS672" s="76"/>
      <c r="AT672" s="76"/>
      <c r="AU672" s="76"/>
      <c r="AV672" s="76"/>
      <c r="AW672" s="83" t="str">
        <f>HYPERLINK("https://t.co/b5RlDlwwcC")</f>
        <v>https://t.co/b5RlDlwwcC</v>
      </c>
      <c r="AX672" s="76" t="b">
        <v>0</v>
      </c>
      <c r="AY672" s="76"/>
      <c r="AZ672" s="76"/>
      <c r="BA672" s="76" t="b">
        <v>0</v>
      </c>
      <c r="BB672" s="76" t="b">
        <v>1</v>
      </c>
      <c r="BC672" s="76" t="b">
        <v>1</v>
      </c>
      <c r="BD672" s="76" t="b">
        <v>0</v>
      </c>
      <c r="BE672" s="76" t="b">
        <v>0</v>
      </c>
      <c r="BF672" s="76" t="b">
        <v>0</v>
      </c>
      <c r="BG672" s="76" t="b">
        <v>0</v>
      </c>
      <c r="BH672" s="83" t="str">
        <f>HYPERLINK("https://pbs.twimg.com/profile_banners/972883408786423808/1647799501")</f>
        <v>https://pbs.twimg.com/profile_banners/972883408786423808/1647799501</v>
      </c>
      <c r="BI672" s="76"/>
      <c r="BJ672" s="76" t="s">
        <v>19633</v>
      </c>
      <c r="BK672" s="76" t="b">
        <v>0</v>
      </c>
      <c r="BL672" s="76"/>
      <c r="BM672" s="76" t="s">
        <v>66</v>
      </c>
      <c r="BN672" s="76" t="s">
        <v>19635</v>
      </c>
      <c r="BO672" s="83" t="str">
        <f>HYPERLINK("https://twitter.com/tidomundo")</f>
        <v>https://twitter.com/tidomundo</v>
      </c>
      <c r="BP672" s="2"/>
    </row>
    <row r="673" spans="1:68" x14ac:dyDescent="0.25">
      <c r="A673" s="62" t="s">
        <v>821</v>
      </c>
      <c r="B673" s="63"/>
      <c r="C673" s="63"/>
      <c r="D673" s="64"/>
      <c r="E673" s="66"/>
      <c r="F673" s="103" t="str">
        <f>HYPERLINK("https://pbs.twimg.com/profile_images/1675945207710269440/8fVI5Gn5_normal.jpg")</f>
        <v>https://pbs.twimg.com/profile_images/1675945207710269440/8fVI5Gn5_normal.jpg</v>
      </c>
      <c r="G673" s="63"/>
      <c r="H673" s="67"/>
      <c r="I673" s="68"/>
      <c r="J673" s="68"/>
      <c r="K673" s="67" t="s">
        <v>20305</v>
      </c>
      <c r="L673" s="71"/>
      <c r="M673" s="72"/>
      <c r="N673" s="72"/>
      <c r="O673" s="73"/>
      <c r="P673" s="74"/>
      <c r="Q673" s="74"/>
      <c r="R673" s="87"/>
      <c r="S673" s="87"/>
      <c r="T673" s="87"/>
      <c r="U673" s="87"/>
      <c r="V673" s="48"/>
      <c r="W673" s="48"/>
      <c r="X673" s="47">
        <v>1.101E-3</v>
      </c>
      <c r="Y673" s="48"/>
      <c r="Z673" s="47"/>
      <c r="AA673" s="69">
        <v>673</v>
      </c>
      <c r="AB673" s="69"/>
      <c r="AC673" s="70"/>
      <c r="AD673" s="76" t="s">
        <v>17299</v>
      </c>
      <c r="AE673" s="81" t="s">
        <v>15768</v>
      </c>
      <c r="AF673" s="76">
        <v>7</v>
      </c>
      <c r="AG673" s="76">
        <v>42</v>
      </c>
      <c r="AH673" s="76">
        <v>621</v>
      </c>
      <c r="AI673" s="76">
        <v>0</v>
      </c>
      <c r="AJ673" s="76">
        <v>1</v>
      </c>
      <c r="AK673" s="76">
        <v>60</v>
      </c>
      <c r="AL673" s="76" t="b">
        <v>0</v>
      </c>
      <c r="AM673" s="78">
        <v>45110.798842592594</v>
      </c>
      <c r="AN673" s="76"/>
      <c r="AO673" s="76" t="s">
        <v>18758</v>
      </c>
      <c r="AP673" s="83" t="str">
        <f>HYPERLINK("https://t.co/rM0wSG1znq")</f>
        <v>https://t.co/rM0wSG1znq</v>
      </c>
      <c r="AQ673" s="83" t="str">
        <f>HYPERLINK("http://www.resultadossustentaveis.com")</f>
        <v>http://www.resultadossustentaveis.com</v>
      </c>
      <c r="AR673" s="76" t="s">
        <v>19391</v>
      </c>
      <c r="AS673" s="76"/>
      <c r="AT673" s="76"/>
      <c r="AU673" s="76"/>
      <c r="AV673" s="76"/>
      <c r="AW673" s="83" t="str">
        <f>HYPERLINK("https://t.co/rM0wSG1znq")</f>
        <v>https://t.co/rM0wSG1znq</v>
      </c>
      <c r="AX673" s="76" t="b">
        <v>0</v>
      </c>
      <c r="AY673" s="76"/>
      <c r="AZ673" s="76"/>
      <c r="BA673" s="76" t="b">
        <v>0</v>
      </c>
      <c r="BB673" s="76" t="b">
        <v>1</v>
      </c>
      <c r="BC673" s="76" t="b">
        <v>1</v>
      </c>
      <c r="BD673" s="76" t="b">
        <v>0</v>
      </c>
      <c r="BE673" s="76" t="b">
        <v>0</v>
      </c>
      <c r="BF673" s="76" t="b">
        <v>0</v>
      </c>
      <c r="BG673" s="76" t="b">
        <v>0</v>
      </c>
      <c r="BH673" s="83" t="str">
        <f>HYPERLINK("https://pbs.twimg.com/profile_banners/1675945006584963072/1688413128")</f>
        <v>https://pbs.twimg.com/profile_banners/1675945006584963072/1688413128</v>
      </c>
      <c r="BI673" s="76"/>
      <c r="BJ673" s="76" t="s">
        <v>19633</v>
      </c>
      <c r="BK673" s="76" t="b">
        <v>0</v>
      </c>
      <c r="BL673" s="76"/>
      <c r="BM673" s="76" t="s">
        <v>66</v>
      </c>
      <c r="BN673" s="76" t="s">
        <v>19635</v>
      </c>
      <c r="BO673" s="83" t="str">
        <f>HYPERLINK("https://twitter.com/resultadossus")</f>
        <v>https://twitter.com/resultadossus</v>
      </c>
      <c r="BP673" s="2"/>
    </row>
    <row r="674" spans="1:68" x14ac:dyDescent="0.25">
      <c r="A674" s="62" t="s">
        <v>822</v>
      </c>
      <c r="B674" s="63"/>
      <c r="C674" s="63"/>
      <c r="D674" s="64"/>
      <c r="E674" s="66"/>
      <c r="F674" s="103" t="str">
        <f>HYPERLINK("https://pbs.twimg.com/profile_images/1496067079459463169/ASRWJbUJ_normal.jpg")</f>
        <v>https://pbs.twimg.com/profile_images/1496067079459463169/ASRWJbUJ_normal.jpg</v>
      </c>
      <c r="G674" s="63"/>
      <c r="H674" s="67"/>
      <c r="I674" s="68"/>
      <c r="J674" s="68"/>
      <c r="K674" s="67" t="s">
        <v>20306</v>
      </c>
      <c r="L674" s="71"/>
      <c r="M674" s="72"/>
      <c r="N674" s="72"/>
      <c r="O674" s="73"/>
      <c r="P674" s="74"/>
      <c r="Q674" s="74"/>
      <c r="R674" s="87"/>
      <c r="S674" s="87"/>
      <c r="T674" s="87"/>
      <c r="U674" s="87"/>
      <c r="V674" s="48"/>
      <c r="W674" s="48"/>
      <c r="X674" s="47">
        <v>1.101E-3</v>
      </c>
      <c r="Y674" s="48"/>
      <c r="Z674" s="47"/>
      <c r="AA674" s="69">
        <v>674</v>
      </c>
      <c r="AB674" s="69"/>
      <c r="AC674" s="70"/>
      <c r="AD674" s="76" t="s">
        <v>822</v>
      </c>
      <c r="AE674" s="81" t="s">
        <v>16477</v>
      </c>
      <c r="AF674" s="76">
        <v>59</v>
      </c>
      <c r="AG674" s="76">
        <v>7</v>
      </c>
      <c r="AH674" s="76">
        <v>486</v>
      </c>
      <c r="AI674" s="76">
        <v>0</v>
      </c>
      <c r="AJ674" s="76">
        <v>68</v>
      </c>
      <c r="AK674" s="76">
        <v>406</v>
      </c>
      <c r="AL674" s="76" t="b">
        <v>0</v>
      </c>
      <c r="AM674" s="78">
        <v>44613.793761574074</v>
      </c>
      <c r="AN674" s="76" t="s">
        <v>18073</v>
      </c>
      <c r="AO674" s="76" t="s">
        <v>18759</v>
      </c>
      <c r="AP674" s="83" t="str">
        <f>HYPERLINK("https://t.co/F2lqoCgC8l")</f>
        <v>https://t.co/F2lqoCgC8l</v>
      </c>
      <c r="AQ674" s="83" t="str">
        <f>HYPERLINK("https://linktr.ee/byebnk")</f>
        <v>https://linktr.ee/byebnk</v>
      </c>
      <c r="AR674" s="76" t="s">
        <v>19392</v>
      </c>
      <c r="AS674" s="76"/>
      <c r="AT674" s="76"/>
      <c r="AU674" s="76"/>
      <c r="AV674" s="76"/>
      <c r="AW674" s="83" t="str">
        <f>HYPERLINK("https://t.co/F2lqoCgC8l")</f>
        <v>https://t.co/F2lqoCgC8l</v>
      </c>
      <c r="AX674" s="76" t="b">
        <v>0</v>
      </c>
      <c r="AY674" s="76"/>
      <c r="AZ674" s="76"/>
      <c r="BA674" s="76" t="b">
        <v>0</v>
      </c>
      <c r="BB674" s="76" t="b">
        <v>1</v>
      </c>
      <c r="BC674" s="76" t="b">
        <v>1</v>
      </c>
      <c r="BD674" s="76" t="b">
        <v>0</v>
      </c>
      <c r="BE674" s="76" t="b">
        <v>0</v>
      </c>
      <c r="BF674" s="76" t="b">
        <v>0</v>
      </c>
      <c r="BG674" s="76" t="b">
        <v>0</v>
      </c>
      <c r="BH674" s="83" t="str">
        <f>HYPERLINK("https://pbs.twimg.com/profile_banners/1495836411165036545/1656527251")</f>
        <v>https://pbs.twimg.com/profile_banners/1495836411165036545/1656527251</v>
      </c>
      <c r="BI674" s="76"/>
      <c r="BJ674" s="76" t="s">
        <v>19633</v>
      </c>
      <c r="BK674" s="76" t="b">
        <v>0</v>
      </c>
      <c r="BL674" s="76"/>
      <c r="BM674" s="76" t="s">
        <v>66</v>
      </c>
      <c r="BN674" s="76" t="s">
        <v>19635</v>
      </c>
      <c r="BO674" s="83" t="str">
        <f>HYPERLINK("https://twitter.com/byebnk")</f>
        <v>https://twitter.com/byebnk</v>
      </c>
      <c r="BP674" s="2"/>
    </row>
    <row r="675" spans="1:68" x14ac:dyDescent="0.25">
      <c r="A675" s="62" t="s">
        <v>823</v>
      </c>
      <c r="B675" s="63"/>
      <c r="C675" s="63"/>
      <c r="D675" s="64"/>
      <c r="E675" s="66"/>
      <c r="F675" s="103" t="str">
        <f>HYPERLINK("https://pbs.twimg.com/profile_images/1648621062857392130/PWzogkLU_normal.jpg")</f>
        <v>https://pbs.twimg.com/profile_images/1648621062857392130/PWzogkLU_normal.jpg</v>
      </c>
      <c r="G675" s="63"/>
      <c r="H675" s="67"/>
      <c r="I675" s="68"/>
      <c r="J675" s="68"/>
      <c r="K675" s="67" t="s">
        <v>20307</v>
      </c>
      <c r="L675" s="71"/>
      <c r="M675" s="72"/>
      <c r="N675" s="72"/>
      <c r="O675" s="73"/>
      <c r="P675" s="74"/>
      <c r="Q675" s="74"/>
      <c r="R675" s="87"/>
      <c r="S675" s="87"/>
      <c r="T675" s="87"/>
      <c r="U675" s="87"/>
      <c r="V675" s="48"/>
      <c r="W675" s="48"/>
      <c r="X675" s="47">
        <v>1.101E-3</v>
      </c>
      <c r="Y675" s="48"/>
      <c r="Z675" s="47"/>
      <c r="AA675" s="69">
        <v>675</v>
      </c>
      <c r="AB675" s="69"/>
      <c r="AC675" s="70"/>
      <c r="AD675" s="76" t="s">
        <v>17300</v>
      </c>
      <c r="AE675" s="81" t="s">
        <v>17764</v>
      </c>
      <c r="AF675" s="76">
        <v>88</v>
      </c>
      <c r="AG675" s="76">
        <v>553</v>
      </c>
      <c r="AH675" s="76">
        <v>274</v>
      </c>
      <c r="AI675" s="76">
        <v>0</v>
      </c>
      <c r="AJ675" s="76">
        <v>371</v>
      </c>
      <c r="AK675" s="76">
        <v>18</v>
      </c>
      <c r="AL675" s="76" t="b">
        <v>0</v>
      </c>
      <c r="AM675" s="78">
        <v>42177.864895833336</v>
      </c>
      <c r="AN675" s="76" t="s">
        <v>10552</v>
      </c>
      <c r="AO675" s="76" t="s">
        <v>18760</v>
      </c>
      <c r="AP675" s="83" t="str">
        <f>HYPERLINK("https://t.co/h0pPtaFfNB")</f>
        <v>https://t.co/h0pPtaFfNB</v>
      </c>
      <c r="AQ675" s="83" t="str">
        <f>HYPERLINK("http://linktr.ee/romero.financas")</f>
        <v>http://linktr.ee/romero.financas</v>
      </c>
      <c r="AR675" s="76" t="s">
        <v>19393</v>
      </c>
      <c r="AS675" s="76"/>
      <c r="AT675" s="76"/>
      <c r="AU675" s="76"/>
      <c r="AV675" s="76"/>
      <c r="AW675" s="83" t="str">
        <f>HYPERLINK("https://t.co/h0pPtaFfNB")</f>
        <v>https://t.co/h0pPtaFfNB</v>
      </c>
      <c r="AX675" s="76" t="b">
        <v>0</v>
      </c>
      <c r="AY675" s="76"/>
      <c r="AZ675" s="76"/>
      <c r="BA675" s="76" t="b">
        <v>1</v>
      </c>
      <c r="BB675" s="76" t="b">
        <v>0</v>
      </c>
      <c r="BC675" s="76" t="b">
        <v>1</v>
      </c>
      <c r="BD675" s="76" t="b">
        <v>0</v>
      </c>
      <c r="BE675" s="76" t="b">
        <v>1</v>
      </c>
      <c r="BF675" s="76" t="b">
        <v>0</v>
      </c>
      <c r="BG675" s="76" t="b">
        <v>0</v>
      </c>
      <c r="BH675" s="83" t="str">
        <f>HYPERLINK("https://pbs.twimg.com/profile_banners/3341974577/1572475499")</f>
        <v>https://pbs.twimg.com/profile_banners/3341974577/1572475499</v>
      </c>
      <c r="BI675" s="76"/>
      <c r="BJ675" s="76" t="s">
        <v>19633</v>
      </c>
      <c r="BK675" s="76" t="b">
        <v>0</v>
      </c>
      <c r="BL675" s="76"/>
      <c r="BM675" s="76" t="s">
        <v>66</v>
      </c>
      <c r="BN675" s="76" t="s">
        <v>19635</v>
      </c>
      <c r="BO675" s="83" t="str">
        <f>HYPERLINK("https://twitter.com/romerofinancas")</f>
        <v>https://twitter.com/romerofinancas</v>
      </c>
      <c r="BP675" s="2"/>
    </row>
    <row r="676" spans="1:68" x14ac:dyDescent="0.25">
      <c r="A676" s="62" t="s">
        <v>824</v>
      </c>
      <c r="B676" s="63"/>
      <c r="C676" s="63"/>
      <c r="D676" s="64"/>
      <c r="E676" s="66"/>
      <c r="F676" s="103" t="str">
        <f>HYPERLINK("https://pbs.twimg.com/profile_images/2428573943/s8rbsvsdglrs4bug1kr2_normal.jpeg")</f>
        <v>https://pbs.twimg.com/profile_images/2428573943/s8rbsvsdglrs4bug1kr2_normal.jpeg</v>
      </c>
      <c r="G676" s="63"/>
      <c r="H676" s="67"/>
      <c r="I676" s="68"/>
      <c r="J676" s="68"/>
      <c r="K676" s="67" t="s">
        <v>20308</v>
      </c>
      <c r="L676" s="71"/>
      <c r="M676" s="72"/>
      <c r="N676" s="72"/>
      <c r="O676" s="73"/>
      <c r="P676" s="74"/>
      <c r="Q676" s="74"/>
      <c r="R676" s="87"/>
      <c r="S676" s="87"/>
      <c r="T676" s="87"/>
      <c r="U676" s="87"/>
      <c r="V676" s="48"/>
      <c r="W676" s="48"/>
      <c r="X676" s="47">
        <v>1.101E-3</v>
      </c>
      <c r="Y676" s="48"/>
      <c r="Z676" s="47"/>
      <c r="AA676" s="69">
        <v>676</v>
      </c>
      <c r="AB676" s="69"/>
      <c r="AC676" s="70"/>
      <c r="AD676" s="76" t="s">
        <v>17301</v>
      </c>
      <c r="AE676" s="81" t="s">
        <v>17765</v>
      </c>
      <c r="AF676" s="76">
        <v>638</v>
      </c>
      <c r="AG676" s="76">
        <v>1036</v>
      </c>
      <c r="AH676" s="76">
        <v>19165</v>
      </c>
      <c r="AI676" s="76">
        <v>6</v>
      </c>
      <c r="AJ676" s="76">
        <v>539</v>
      </c>
      <c r="AK676" s="76">
        <v>4376</v>
      </c>
      <c r="AL676" s="76" t="b">
        <v>0</v>
      </c>
      <c r="AM676" s="78">
        <v>40553.882152777776</v>
      </c>
      <c r="AN676" s="76" t="s">
        <v>18074</v>
      </c>
      <c r="AO676" s="76" t="s">
        <v>18761</v>
      </c>
      <c r="AP676" s="83" t="str">
        <f>HYPERLINK("http://t.co/hJrEPZ2T5q")</f>
        <v>http://t.co/hJrEPZ2T5q</v>
      </c>
      <c r="AQ676" s="83" t="str">
        <f>HYPERLINK("http://www.jornaljogoserio.com.br")</f>
        <v>http://www.jornaljogoserio.com.br</v>
      </c>
      <c r="AR676" s="76" t="s">
        <v>19394</v>
      </c>
      <c r="AS676" s="76"/>
      <c r="AT676" s="76"/>
      <c r="AU676" s="76"/>
      <c r="AV676" s="76"/>
      <c r="AW676" s="83" t="str">
        <f>HYPERLINK("http://t.co/hJrEPZ2T5q")</f>
        <v>http://t.co/hJrEPZ2T5q</v>
      </c>
      <c r="AX676" s="76" t="b">
        <v>0</v>
      </c>
      <c r="AY676" s="76"/>
      <c r="AZ676" s="76"/>
      <c r="BA676" s="76" t="b">
        <v>0</v>
      </c>
      <c r="BB676" s="76" t="b">
        <v>1</v>
      </c>
      <c r="BC676" s="76" t="b">
        <v>0</v>
      </c>
      <c r="BD676" s="76" t="b">
        <v>0</v>
      </c>
      <c r="BE676" s="76" t="b">
        <v>0</v>
      </c>
      <c r="BF676" s="76" t="b">
        <v>0</v>
      </c>
      <c r="BG676" s="76" t="b">
        <v>1</v>
      </c>
      <c r="BH676" s="83" t="str">
        <f>HYPERLINK("https://pbs.twimg.com/profile_banners/236550324/1568986070")</f>
        <v>https://pbs.twimg.com/profile_banners/236550324/1568986070</v>
      </c>
      <c r="BI676" s="76"/>
      <c r="BJ676" s="76" t="s">
        <v>19633</v>
      </c>
      <c r="BK676" s="76" t="b">
        <v>0</v>
      </c>
      <c r="BL676" s="76"/>
      <c r="BM676" s="76" t="s">
        <v>66</v>
      </c>
      <c r="BN676" s="76" t="s">
        <v>19635</v>
      </c>
      <c r="BO676" s="83" t="str">
        <f>HYPERLINK("https://twitter.com/jornaljogoserio")</f>
        <v>https://twitter.com/jornaljogoserio</v>
      </c>
      <c r="BP676" s="2"/>
    </row>
    <row r="677" spans="1:68" x14ac:dyDescent="0.25">
      <c r="A677" s="62" t="s">
        <v>826</v>
      </c>
      <c r="B677" s="63"/>
      <c r="C677" s="63"/>
      <c r="D677" s="64"/>
      <c r="E677" s="66"/>
      <c r="F677" s="103" t="str">
        <f>HYPERLINK("https://pbs.twimg.com/profile_images/1627930809473671169/w7tw_gHo_normal.png")</f>
        <v>https://pbs.twimg.com/profile_images/1627930809473671169/w7tw_gHo_normal.png</v>
      </c>
      <c r="G677" s="63"/>
      <c r="H677" s="67"/>
      <c r="I677" s="68"/>
      <c r="J677" s="68"/>
      <c r="K677" s="67" t="s">
        <v>20309</v>
      </c>
      <c r="L677" s="71"/>
      <c r="M677" s="72"/>
      <c r="N677" s="72"/>
      <c r="O677" s="73"/>
      <c r="P677" s="74"/>
      <c r="Q677" s="74"/>
      <c r="R677" s="87"/>
      <c r="S677" s="87"/>
      <c r="T677" s="87"/>
      <c r="U677" s="87"/>
      <c r="V677" s="48"/>
      <c r="W677" s="48"/>
      <c r="X677" s="47">
        <v>1.101E-3</v>
      </c>
      <c r="Y677" s="48"/>
      <c r="Z677" s="47"/>
      <c r="AA677" s="69">
        <v>677</v>
      </c>
      <c r="AB677" s="69"/>
      <c r="AC677" s="70"/>
      <c r="AD677" s="76" t="s">
        <v>17302</v>
      </c>
      <c r="AE677" s="81" t="s">
        <v>16478</v>
      </c>
      <c r="AF677" s="76">
        <v>3</v>
      </c>
      <c r="AG677" s="76">
        <v>17</v>
      </c>
      <c r="AH677" s="76">
        <v>676</v>
      </c>
      <c r="AI677" s="76">
        <v>0</v>
      </c>
      <c r="AJ677" s="76">
        <v>149</v>
      </c>
      <c r="AK677" s="76">
        <v>106</v>
      </c>
      <c r="AL677" s="76" t="b">
        <v>0</v>
      </c>
      <c r="AM677" s="78">
        <v>43666.003182870372</v>
      </c>
      <c r="AN677" s="76" t="s">
        <v>10561</v>
      </c>
      <c r="AO677" s="76" t="s">
        <v>18762</v>
      </c>
      <c r="AP677" s="83" t="str">
        <f>HYPERLINK("https://t.co/nXwupbT9gh")</f>
        <v>https://t.co/nXwupbT9gh</v>
      </c>
      <c r="AQ677" s="83" t="str">
        <f>HYPERLINK("http://metaverso77.my.canva.site/portal77")</f>
        <v>http://metaverso77.my.canva.site/portal77</v>
      </c>
      <c r="AR677" s="76" t="s">
        <v>19395</v>
      </c>
      <c r="AS677" s="76"/>
      <c r="AT677" s="76"/>
      <c r="AU677" s="76"/>
      <c r="AV677" s="76">
        <v>1.6865280241019599E+18</v>
      </c>
      <c r="AW677" s="83" t="str">
        <f>HYPERLINK("https://t.co/nXwupbT9gh")</f>
        <v>https://t.co/nXwupbT9gh</v>
      </c>
      <c r="AX677" s="76" t="b">
        <v>0</v>
      </c>
      <c r="AY677" s="76"/>
      <c r="AZ677" s="76"/>
      <c r="BA677" s="76" t="b">
        <v>0</v>
      </c>
      <c r="BB677" s="76" t="b">
        <v>0</v>
      </c>
      <c r="BC677" s="76" t="b">
        <v>1</v>
      </c>
      <c r="BD677" s="76" t="b">
        <v>0</v>
      </c>
      <c r="BE677" s="76" t="b">
        <v>0</v>
      </c>
      <c r="BF677" s="76" t="b">
        <v>0</v>
      </c>
      <c r="BG677" s="76" t="b">
        <v>0</v>
      </c>
      <c r="BH677" s="83" t="str">
        <f>HYPERLINK("https://pbs.twimg.com/profile_banners/1152368670049484802/1677476349")</f>
        <v>https://pbs.twimg.com/profile_banners/1152368670049484802/1677476349</v>
      </c>
      <c r="BI677" s="76"/>
      <c r="BJ677" s="76" t="s">
        <v>19633</v>
      </c>
      <c r="BK677" s="76" t="b">
        <v>0</v>
      </c>
      <c r="BL677" s="76"/>
      <c r="BM677" s="76" t="s">
        <v>66</v>
      </c>
      <c r="BN677" s="76" t="s">
        <v>19635</v>
      </c>
      <c r="BO677" s="83" t="str">
        <f>HYPERLINK("https://twitter.com/josealv42755397")</f>
        <v>https://twitter.com/josealv42755397</v>
      </c>
      <c r="BP677" s="2"/>
    </row>
    <row r="678" spans="1:68" x14ac:dyDescent="0.25">
      <c r="A678" s="62" t="s">
        <v>827</v>
      </c>
      <c r="B678" s="63"/>
      <c r="C678" s="63"/>
      <c r="D678" s="64"/>
      <c r="E678" s="66"/>
      <c r="F678" s="103" t="str">
        <f>HYPERLINK("https://pbs.twimg.com/profile_images/1582377001373106176/Ivu-Hmj3_normal.jpg")</f>
        <v>https://pbs.twimg.com/profile_images/1582377001373106176/Ivu-Hmj3_normal.jpg</v>
      </c>
      <c r="G678" s="63"/>
      <c r="H678" s="67"/>
      <c r="I678" s="68"/>
      <c r="J678" s="68"/>
      <c r="K678" s="67" t="s">
        <v>20310</v>
      </c>
      <c r="L678" s="71"/>
      <c r="M678" s="72"/>
      <c r="N678" s="72"/>
      <c r="O678" s="73"/>
      <c r="P678" s="74"/>
      <c r="Q678" s="74"/>
      <c r="R678" s="87"/>
      <c r="S678" s="87"/>
      <c r="T678" s="87"/>
      <c r="U678" s="87"/>
      <c r="V678" s="48"/>
      <c r="W678" s="48"/>
      <c r="X678" s="47">
        <v>9.7400000000000004E-4</v>
      </c>
      <c r="Y678" s="48"/>
      <c r="Z678" s="47"/>
      <c r="AA678" s="69">
        <v>678</v>
      </c>
      <c r="AB678" s="69"/>
      <c r="AC678" s="70"/>
      <c r="AD678" s="76" t="s">
        <v>17303</v>
      </c>
      <c r="AE678" s="81" t="s">
        <v>17766</v>
      </c>
      <c r="AF678" s="76">
        <v>173</v>
      </c>
      <c r="AG678" s="76">
        <v>262</v>
      </c>
      <c r="AH678" s="76">
        <v>5326</v>
      </c>
      <c r="AI678" s="76">
        <v>45</v>
      </c>
      <c r="AJ678" s="76">
        <v>6990</v>
      </c>
      <c r="AK678" s="76">
        <v>786</v>
      </c>
      <c r="AL678" s="76" t="b">
        <v>0</v>
      </c>
      <c r="AM678" s="78">
        <v>42158.058495370373</v>
      </c>
      <c r="AN678" s="76" t="s">
        <v>18075</v>
      </c>
      <c r="AO678" s="76" t="s">
        <v>18763</v>
      </c>
      <c r="AP678" s="76"/>
      <c r="AQ678" s="76"/>
      <c r="AR678" s="76"/>
      <c r="AS678" s="76"/>
      <c r="AT678" s="76"/>
      <c r="AU678" s="76"/>
      <c r="AV678" s="76"/>
      <c r="AW678" s="76"/>
      <c r="AX678" s="76" t="b">
        <v>0</v>
      </c>
      <c r="AY678" s="76"/>
      <c r="AZ678" s="76"/>
      <c r="BA678" s="76" t="b">
        <v>0</v>
      </c>
      <c r="BB678" s="76" t="b">
        <v>0</v>
      </c>
      <c r="BC678" s="76" t="b">
        <v>0</v>
      </c>
      <c r="BD678" s="76" t="b">
        <v>0</v>
      </c>
      <c r="BE678" s="76" t="b">
        <v>1</v>
      </c>
      <c r="BF678" s="76" t="b">
        <v>0</v>
      </c>
      <c r="BG678" s="76" t="b">
        <v>0</v>
      </c>
      <c r="BH678" s="83" t="str">
        <f>HYPERLINK("https://pbs.twimg.com/profile_banners/3234532213/1665106439")</f>
        <v>https://pbs.twimg.com/profile_banners/3234532213/1665106439</v>
      </c>
      <c r="BI678" s="76"/>
      <c r="BJ678" s="76" t="s">
        <v>19633</v>
      </c>
      <c r="BK678" s="76" t="b">
        <v>0</v>
      </c>
      <c r="BL678" s="76"/>
      <c r="BM678" s="76" t="s">
        <v>66</v>
      </c>
      <c r="BN678" s="76" t="s">
        <v>19635</v>
      </c>
      <c r="BO678" s="83" t="str">
        <f>HYPERLINK("https://twitter.com/midimashup")</f>
        <v>https://twitter.com/midimashup</v>
      </c>
      <c r="BP678" s="2"/>
    </row>
    <row r="679" spans="1:68" x14ac:dyDescent="0.25">
      <c r="A679" s="62" t="s">
        <v>828</v>
      </c>
      <c r="B679" s="63"/>
      <c r="C679" s="63"/>
      <c r="D679" s="64"/>
      <c r="E679" s="66"/>
      <c r="F679" s="103" t="str">
        <f>HYPERLINK("https://pbs.twimg.com/profile_images/1677757186426929154/KhHOFKKh_normal.jpg")</f>
        <v>https://pbs.twimg.com/profile_images/1677757186426929154/KhHOFKKh_normal.jpg</v>
      </c>
      <c r="G679" s="63"/>
      <c r="H679" s="67"/>
      <c r="I679" s="68"/>
      <c r="J679" s="68"/>
      <c r="K679" s="67" t="s">
        <v>20311</v>
      </c>
      <c r="L679" s="71"/>
      <c r="M679" s="72"/>
      <c r="N679" s="72"/>
      <c r="O679" s="73"/>
      <c r="P679" s="74"/>
      <c r="Q679" s="74"/>
      <c r="R679" s="87"/>
      <c r="S679" s="87"/>
      <c r="T679" s="87"/>
      <c r="U679" s="87"/>
      <c r="V679" s="48"/>
      <c r="W679" s="48"/>
      <c r="X679" s="47">
        <v>1.101E-3</v>
      </c>
      <c r="Y679" s="48"/>
      <c r="Z679" s="47"/>
      <c r="AA679" s="69">
        <v>679</v>
      </c>
      <c r="AB679" s="69"/>
      <c r="AC679" s="70"/>
      <c r="AD679" s="76" t="s">
        <v>17304</v>
      </c>
      <c r="AE679" s="81" t="s">
        <v>16479</v>
      </c>
      <c r="AF679" s="76">
        <v>6</v>
      </c>
      <c r="AG679" s="76">
        <v>20</v>
      </c>
      <c r="AH679" s="76">
        <v>121</v>
      </c>
      <c r="AI679" s="76">
        <v>0</v>
      </c>
      <c r="AJ679" s="76">
        <v>6</v>
      </c>
      <c r="AK679" s="76">
        <v>116</v>
      </c>
      <c r="AL679" s="76" t="b">
        <v>0</v>
      </c>
      <c r="AM679" s="78">
        <v>44863.882048611114</v>
      </c>
      <c r="AN679" s="76"/>
      <c r="AO679" s="76" t="s">
        <v>18764</v>
      </c>
      <c r="AP679" s="76"/>
      <c r="AQ679" s="76"/>
      <c r="AR679" s="76"/>
      <c r="AS679" s="76"/>
      <c r="AT679" s="76"/>
      <c r="AU679" s="76"/>
      <c r="AV679" s="76"/>
      <c r="AW679" s="76"/>
      <c r="AX679" s="76" t="b">
        <v>0</v>
      </c>
      <c r="AY679" s="76"/>
      <c r="AZ679" s="76"/>
      <c r="BA679" s="76" t="b">
        <v>0</v>
      </c>
      <c r="BB679" s="76" t="b">
        <v>1</v>
      </c>
      <c r="BC679" s="76" t="b">
        <v>1</v>
      </c>
      <c r="BD679" s="76" t="b">
        <v>0</v>
      </c>
      <c r="BE679" s="76" t="b">
        <v>0</v>
      </c>
      <c r="BF679" s="76" t="b">
        <v>0</v>
      </c>
      <c r="BG679" s="76" t="b">
        <v>0</v>
      </c>
      <c r="BH679" s="83" t="str">
        <f>HYPERLINK("https://pbs.twimg.com/profile_banners/1586465370600357891/1688843458")</f>
        <v>https://pbs.twimg.com/profile_banners/1586465370600357891/1688843458</v>
      </c>
      <c r="BI679" s="76"/>
      <c r="BJ679" s="76" t="s">
        <v>19633</v>
      </c>
      <c r="BK679" s="76" t="b">
        <v>0</v>
      </c>
      <c r="BL679" s="76"/>
      <c r="BM679" s="76" t="s">
        <v>66</v>
      </c>
      <c r="BN679" s="76" t="s">
        <v>19635</v>
      </c>
      <c r="BO679" s="83" t="str">
        <f>HYPERLINK("https://twitter.com/brindamospips")</f>
        <v>https://twitter.com/brindamospips</v>
      </c>
      <c r="BP679" s="2"/>
    </row>
    <row r="680" spans="1:68" x14ac:dyDescent="0.25">
      <c r="A680" s="62" t="s">
        <v>829</v>
      </c>
      <c r="B680" s="63"/>
      <c r="C680" s="63"/>
      <c r="D680" s="64"/>
      <c r="E680" s="66"/>
      <c r="F680" s="103" t="str">
        <f>HYPERLINK("https://pbs.twimg.com/profile_images/1428534845819572228/qG_8zMGg_normal.jpg")</f>
        <v>https://pbs.twimg.com/profile_images/1428534845819572228/qG_8zMGg_normal.jpg</v>
      </c>
      <c r="G680" s="63"/>
      <c r="H680" s="67"/>
      <c r="I680" s="68"/>
      <c r="J680" s="68"/>
      <c r="K680" s="67" t="s">
        <v>20312</v>
      </c>
      <c r="L680" s="71"/>
      <c r="M680" s="72"/>
      <c r="N680" s="72"/>
      <c r="O680" s="73"/>
      <c r="P680" s="74"/>
      <c r="Q680" s="74"/>
      <c r="R680" s="87"/>
      <c r="S680" s="87"/>
      <c r="T680" s="87"/>
      <c r="U680" s="87"/>
      <c r="V680" s="48"/>
      <c r="W680" s="48"/>
      <c r="X680" s="47">
        <v>1.101E-3</v>
      </c>
      <c r="Y680" s="48"/>
      <c r="Z680" s="47"/>
      <c r="AA680" s="69">
        <v>680</v>
      </c>
      <c r="AB680" s="69"/>
      <c r="AC680" s="70"/>
      <c r="AD680" s="76" t="s">
        <v>17305</v>
      </c>
      <c r="AE680" s="81" t="s">
        <v>15769</v>
      </c>
      <c r="AF680" s="76">
        <v>389</v>
      </c>
      <c r="AG680" s="76">
        <v>524</v>
      </c>
      <c r="AH680" s="76">
        <v>4929</v>
      </c>
      <c r="AI680" s="76">
        <v>5</v>
      </c>
      <c r="AJ680" s="76">
        <v>1777</v>
      </c>
      <c r="AK680" s="76">
        <v>682</v>
      </c>
      <c r="AL680" s="76" t="b">
        <v>0</v>
      </c>
      <c r="AM680" s="78">
        <v>40491.173043981478</v>
      </c>
      <c r="AN680" s="76" t="s">
        <v>18076</v>
      </c>
      <c r="AO680" s="76" t="s">
        <v>18765</v>
      </c>
      <c r="AP680" s="83" t="str">
        <f>HYPERLINK("https://t.co/8bTCYXnm7N")</f>
        <v>https://t.co/8bTCYXnm7N</v>
      </c>
      <c r="AQ680" s="83" t="str">
        <f>HYPERLINK("https://linktr.ee/isleno.invest")</f>
        <v>https://linktr.ee/isleno.invest</v>
      </c>
      <c r="AR680" s="76" t="s">
        <v>19396</v>
      </c>
      <c r="AS680" s="76"/>
      <c r="AT680" s="76"/>
      <c r="AU680" s="76"/>
      <c r="AV680" s="76">
        <v>6.6566867530797005E+17</v>
      </c>
      <c r="AW680" s="83" t="str">
        <f>HYPERLINK("https://t.co/8bTCYXnm7N")</f>
        <v>https://t.co/8bTCYXnm7N</v>
      </c>
      <c r="AX680" s="76" t="b">
        <v>0</v>
      </c>
      <c r="AY680" s="76"/>
      <c r="AZ680" s="76"/>
      <c r="BA680" s="76" t="b">
        <v>0</v>
      </c>
      <c r="BB680" s="76" t="b">
        <v>1</v>
      </c>
      <c r="BC680" s="76" t="b">
        <v>0</v>
      </c>
      <c r="BD680" s="76" t="b">
        <v>0</v>
      </c>
      <c r="BE680" s="76" t="b">
        <v>0</v>
      </c>
      <c r="BF680" s="76" t="b">
        <v>0</v>
      </c>
      <c r="BG680" s="76" t="b">
        <v>0</v>
      </c>
      <c r="BH680" s="83" t="str">
        <f>HYPERLINK("https://pbs.twimg.com/profile_banners/213528305/1584217841")</f>
        <v>https://pbs.twimg.com/profile_banners/213528305/1584217841</v>
      </c>
      <c r="BI680" s="76"/>
      <c r="BJ680" s="76" t="s">
        <v>19633</v>
      </c>
      <c r="BK680" s="76" t="b">
        <v>0</v>
      </c>
      <c r="BL680" s="76"/>
      <c r="BM680" s="76" t="s">
        <v>66</v>
      </c>
      <c r="BN680" s="76" t="s">
        <v>19635</v>
      </c>
      <c r="BO680" s="83" t="str">
        <f>HYPERLINK("https://twitter.com/islenoaraujo")</f>
        <v>https://twitter.com/islenoaraujo</v>
      </c>
      <c r="BP680" s="2"/>
    </row>
    <row r="681" spans="1:68" x14ac:dyDescent="0.25">
      <c r="A681" s="62" t="s">
        <v>830</v>
      </c>
      <c r="B681" s="63"/>
      <c r="C681" s="63"/>
      <c r="D681" s="64"/>
      <c r="E681" s="66"/>
      <c r="F681" s="103" t="str">
        <f>HYPERLINK("https://pbs.twimg.com/profile_images/1268914268256325634/4MFIrLBy_normal.jpg")</f>
        <v>https://pbs.twimg.com/profile_images/1268914268256325634/4MFIrLBy_normal.jpg</v>
      </c>
      <c r="G681" s="63"/>
      <c r="H681" s="67"/>
      <c r="I681" s="68"/>
      <c r="J681" s="68"/>
      <c r="K681" s="67" t="s">
        <v>20313</v>
      </c>
      <c r="L681" s="71"/>
      <c r="M681" s="72"/>
      <c r="N681" s="72"/>
      <c r="O681" s="73"/>
      <c r="P681" s="74"/>
      <c r="Q681" s="74"/>
      <c r="R681" s="87"/>
      <c r="S681" s="87"/>
      <c r="T681" s="87"/>
      <c r="U681" s="87"/>
      <c r="V681" s="48"/>
      <c r="W681" s="48"/>
      <c r="X681" s="47">
        <v>1.101E-3</v>
      </c>
      <c r="Y681" s="48"/>
      <c r="Z681" s="47"/>
      <c r="AA681" s="69">
        <v>681</v>
      </c>
      <c r="AB681" s="69"/>
      <c r="AC681" s="70"/>
      <c r="AD681" s="76" t="s">
        <v>17306</v>
      </c>
      <c r="AE681" s="81" t="s">
        <v>15770</v>
      </c>
      <c r="AF681" s="76">
        <v>62</v>
      </c>
      <c r="AG681" s="76">
        <v>52</v>
      </c>
      <c r="AH681" s="76">
        <v>932</v>
      </c>
      <c r="AI681" s="76">
        <v>0</v>
      </c>
      <c r="AJ681" s="76">
        <v>271</v>
      </c>
      <c r="AK681" s="76">
        <v>102</v>
      </c>
      <c r="AL681" s="76" t="b">
        <v>0</v>
      </c>
      <c r="AM681" s="78">
        <v>43700.275682870371</v>
      </c>
      <c r="AN681" s="76" t="s">
        <v>10552</v>
      </c>
      <c r="AO681" s="76" t="s">
        <v>18766</v>
      </c>
      <c r="AP681" s="83" t="str">
        <f>HYPERLINK("https://t.co/Fl1Ut7tav3")</f>
        <v>https://t.co/Fl1Ut7tav3</v>
      </c>
      <c r="AQ681" s="83" t="str">
        <f>HYPERLINK("https://www.financaspessoais.net.br")</f>
        <v>https://www.financaspessoais.net.br</v>
      </c>
      <c r="AR681" s="76" t="s">
        <v>19397</v>
      </c>
      <c r="AS681" s="76"/>
      <c r="AT681" s="76"/>
      <c r="AU681" s="76"/>
      <c r="AV681" s="76"/>
      <c r="AW681" s="83" t="str">
        <f>HYPERLINK("https://t.co/Fl1Ut7tav3")</f>
        <v>https://t.co/Fl1Ut7tav3</v>
      </c>
      <c r="AX681" s="76" t="b">
        <v>0</v>
      </c>
      <c r="AY681" s="76"/>
      <c r="AZ681" s="76"/>
      <c r="BA681" s="76" t="b">
        <v>0</v>
      </c>
      <c r="BB681" s="76" t="b">
        <v>1</v>
      </c>
      <c r="BC681" s="76" t="b">
        <v>1</v>
      </c>
      <c r="BD681" s="76" t="b">
        <v>0</v>
      </c>
      <c r="BE681" s="76" t="b">
        <v>0</v>
      </c>
      <c r="BF681" s="76" t="b">
        <v>0</v>
      </c>
      <c r="BG681" s="76" t="b">
        <v>0</v>
      </c>
      <c r="BH681" s="83" t="str">
        <f>HYPERLINK("https://pbs.twimg.com/profile_banners/1164788571363954688/1573075132")</f>
        <v>https://pbs.twimg.com/profile_banners/1164788571363954688/1573075132</v>
      </c>
      <c r="BI681" s="76"/>
      <c r="BJ681" s="76" t="s">
        <v>19633</v>
      </c>
      <c r="BK681" s="76" t="b">
        <v>0</v>
      </c>
      <c r="BL681" s="76"/>
      <c r="BM681" s="76" t="s">
        <v>66</v>
      </c>
      <c r="BN681" s="76" t="s">
        <v>19635</v>
      </c>
      <c r="BO681" s="83" t="str">
        <f>HYPERLINK("https://twitter.com/danielsouzafp")</f>
        <v>https://twitter.com/danielsouzafp</v>
      </c>
      <c r="BP681" s="2"/>
    </row>
    <row r="682" spans="1:68" x14ac:dyDescent="0.25">
      <c r="A682" s="62" t="s">
        <v>831</v>
      </c>
      <c r="B682" s="63"/>
      <c r="C682" s="63"/>
      <c r="D682" s="64"/>
      <c r="E682" s="66"/>
      <c r="F682" s="103" t="str">
        <f>HYPERLINK("https://pbs.twimg.com/profile_images/1161396190472232960/h_rgsF4W_normal.png")</f>
        <v>https://pbs.twimg.com/profile_images/1161396190472232960/h_rgsF4W_normal.png</v>
      </c>
      <c r="G682" s="63"/>
      <c r="H682" s="67"/>
      <c r="I682" s="68"/>
      <c r="J682" s="68"/>
      <c r="K682" s="67" t="s">
        <v>20314</v>
      </c>
      <c r="L682" s="71"/>
      <c r="M682" s="72"/>
      <c r="N682" s="72"/>
      <c r="O682" s="73"/>
      <c r="P682" s="74"/>
      <c r="Q682" s="74"/>
      <c r="R682" s="87"/>
      <c r="S682" s="87"/>
      <c r="T682" s="87"/>
      <c r="U682" s="87"/>
      <c r="V682" s="48"/>
      <c r="W682" s="48"/>
      <c r="X682" s="47">
        <v>1.101E-3</v>
      </c>
      <c r="Y682" s="48"/>
      <c r="Z682" s="47"/>
      <c r="AA682" s="69">
        <v>682</v>
      </c>
      <c r="AB682" s="69"/>
      <c r="AC682" s="70"/>
      <c r="AD682" s="76" t="s">
        <v>17307</v>
      </c>
      <c r="AE682" s="81" t="s">
        <v>17767</v>
      </c>
      <c r="AF682" s="76">
        <v>579</v>
      </c>
      <c r="AG682" s="76">
        <v>385</v>
      </c>
      <c r="AH682" s="76">
        <v>35074</v>
      </c>
      <c r="AI682" s="76">
        <v>8</v>
      </c>
      <c r="AJ682" s="76">
        <v>14865</v>
      </c>
      <c r="AK682" s="76">
        <v>2363</v>
      </c>
      <c r="AL682" s="76" t="b">
        <v>0</v>
      </c>
      <c r="AM682" s="78">
        <v>40003.908831018518</v>
      </c>
      <c r="AN682" s="76" t="s">
        <v>18077</v>
      </c>
      <c r="AO682" s="76" t="s">
        <v>18767</v>
      </c>
      <c r="AP682" s="83" t="str">
        <f>HYPERLINK("https://t.co/0qX5PT8x2V")</f>
        <v>https://t.co/0qX5PT8x2V</v>
      </c>
      <c r="AQ682" s="83" t="str">
        <f>HYPERLINK("https://www.facebook.com/cidadaniaportoalegre")</f>
        <v>https://www.facebook.com/cidadaniaportoalegre</v>
      </c>
      <c r="AR682" s="76" t="s">
        <v>19398</v>
      </c>
      <c r="AS682" s="76"/>
      <c r="AT682" s="76"/>
      <c r="AU682" s="76"/>
      <c r="AV682" s="76">
        <v>1.7016347159025001E+18</v>
      </c>
      <c r="AW682" s="83" t="str">
        <f>HYPERLINK("https://t.co/0qX5PT8x2V")</f>
        <v>https://t.co/0qX5PT8x2V</v>
      </c>
      <c r="AX682" s="76" t="b">
        <v>0</v>
      </c>
      <c r="AY682" s="76"/>
      <c r="AZ682" s="76"/>
      <c r="BA682" s="76" t="b">
        <v>0</v>
      </c>
      <c r="BB682" s="76" t="b">
        <v>1</v>
      </c>
      <c r="BC682" s="76" t="b">
        <v>0</v>
      </c>
      <c r="BD682" s="76" t="b">
        <v>0</v>
      </c>
      <c r="BE682" s="76" t="b">
        <v>1</v>
      </c>
      <c r="BF682" s="76" t="b">
        <v>0</v>
      </c>
      <c r="BG682" s="76" t="b">
        <v>0</v>
      </c>
      <c r="BH682" s="83" t="str">
        <f>HYPERLINK("https://pbs.twimg.com/profile_banners/55373557/1458052255")</f>
        <v>https://pbs.twimg.com/profile_banners/55373557/1458052255</v>
      </c>
      <c r="BI682" s="76"/>
      <c r="BJ682" s="76" t="s">
        <v>19633</v>
      </c>
      <c r="BK682" s="76" t="b">
        <v>0</v>
      </c>
      <c r="BL682" s="76"/>
      <c r="BM682" s="76" t="s">
        <v>66</v>
      </c>
      <c r="BN682" s="76" t="s">
        <v>19635</v>
      </c>
      <c r="BO682" s="83" t="str">
        <f>HYPERLINK("https://twitter.com/cidadaniapoa")</f>
        <v>https://twitter.com/cidadaniapoa</v>
      </c>
      <c r="BP682" s="2"/>
    </row>
    <row r="683" spans="1:68" x14ac:dyDescent="0.25">
      <c r="A683" s="62" t="s">
        <v>1108</v>
      </c>
      <c r="B683" s="63"/>
      <c r="C683" s="63"/>
      <c r="D683" s="64"/>
      <c r="E683" s="66"/>
      <c r="F683" s="103" t="str">
        <f>HYPERLINK("https://abs.twimg.com/sticky/default_profile_images/default_profile_normal.png")</f>
        <v>https://abs.twimg.com/sticky/default_profile_images/default_profile_normal.png</v>
      </c>
      <c r="G683" s="63"/>
      <c r="H683" s="67"/>
      <c r="I683" s="68"/>
      <c r="J683" s="68"/>
      <c r="K683" s="67" t="s">
        <v>20315</v>
      </c>
      <c r="L683" s="71"/>
      <c r="M683" s="72"/>
      <c r="N683" s="72"/>
      <c r="O683" s="73"/>
      <c r="P683" s="74"/>
      <c r="Q683" s="74"/>
      <c r="R683" s="87"/>
      <c r="S683" s="87"/>
      <c r="T683" s="87"/>
      <c r="U683" s="87"/>
      <c r="V683" s="48"/>
      <c r="W683" s="48"/>
      <c r="X683" s="47">
        <v>1.101E-3</v>
      </c>
      <c r="Y683" s="48"/>
      <c r="Z683" s="47"/>
      <c r="AA683" s="69">
        <v>683</v>
      </c>
      <c r="AB683" s="69"/>
      <c r="AC683" s="70"/>
      <c r="AD683" s="76" t="s">
        <v>17308</v>
      </c>
      <c r="AE683" s="81" t="s">
        <v>17768</v>
      </c>
      <c r="AF683" s="76">
        <v>0</v>
      </c>
      <c r="AG683" s="76">
        <v>9</v>
      </c>
      <c r="AH683" s="76">
        <v>4</v>
      </c>
      <c r="AI683" s="76">
        <v>0</v>
      </c>
      <c r="AJ683" s="76">
        <v>0</v>
      </c>
      <c r="AK683" s="76">
        <v>0</v>
      </c>
      <c r="AL683" s="76" t="b">
        <v>0</v>
      </c>
      <c r="AM683" s="78">
        <v>40692.355381944442</v>
      </c>
      <c r="AN683" s="76"/>
      <c r="AO683" s="76"/>
      <c r="AP683" s="76"/>
      <c r="AQ683" s="76"/>
      <c r="AR683" s="76"/>
      <c r="AS683" s="76"/>
      <c r="AT683" s="76"/>
      <c r="AU683" s="76"/>
      <c r="AV683" s="76"/>
      <c r="AW683" s="76"/>
      <c r="AX683" s="76" t="b">
        <v>0</v>
      </c>
      <c r="AY683" s="76"/>
      <c r="AZ683" s="76"/>
      <c r="BA683" s="76" t="b">
        <v>0</v>
      </c>
      <c r="BB683" s="76" t="b">
        <v>1</v>
      </c>
      <c r="BC683" s="76" t="b">
        <v>1</v>
      </c>
      <c r="BD683" s="76" t="b">
        <v>1</v>
      </c>
      <c r="BE683" s="76" t="b">
        <v>0</v>
      </c>
      <c r="BF683" s="76" t="b">
        <v>0</v>
      </c>
      <c r="BG683" s="76" t="b">
        <v>0</v>
      </c>
      <c r="BH683" s="76"/>
      <c r="BI683" s="76"/>
      <c r="BJ683" s="76" t="s">
        <v>19633</v>
      </c>
      <c r="BK683" s="76" t="b">
        <v>0</v>
      </c>
      <c r="BL683" s="76"/>
      <c r="BM683" s="76" t="s">
        <v>65</v>
      </c>
      <c r="BN683" s="76" t="s">
        <v>19635</v>
      </c>
      <c r="BO683" s="83" t="str">
        <f>HYPERLINK("https://twitter.com/ortizany")</f>
        <v>https://twitter.com/ortizany</v>
      </c>
      <c r="BP683" s="2"/>
    </row>
    <row r="684" spans="1:68" x14ac:dyDescent="0.25">
      <c r="A684" s="62" t="s">
        <v>832</v>
      </c>
      <c r="B684" s="63"/>
      <c r="C684" s="63"/>
      <c r="D684" s="64"/>
      <c r="E684" s="66"/>
      <c r="F684" s="103" t="str">
        <f>HYPERLINK("https://pbs.twimg.com/profile_images/1518465479953862657/QfzoQANd_normal.jpg")</f>
        <v>https://pbs.twimg.com/profile_images/1518465479953862657/QfzoQANd_normal.jpg</v>
      </c>
      <c r="G684" s="63"/>
      <c r="H684" s="67"/>
      <c r="I684" s="68"/>
      <c r="J684" s="68"/>
      <c r="K684" s="67" t="s">
        <v>20316</v>
      </c>
      <c r="L684" s="71"/>
      <c r="M684" s="72"/>
      <c r="N684" s="72"/>
      <c r="O684" s="73"/>
      <c r="P684" s="74"/>
      <c r="Q684" s="74"/>
      <c r="R684" s="87"/>
      <c r="S684" s="87"/>
      <c r="T684" s="87"/>
      <c r="U684" s="87"/>
      <c r="V684" s="48"/>
      <c r="W684" s="48"/>
      <c r="X684" s="47">
        <v>1.101E-3</v>
      </c>
      <c r="Y684" s="48"/>
      <c r="Z684" s="47"/>
      <c r="AA684" s="69">
        <v>684</v>
      </c>
      <c r="AB684" s="69"/>
      <c r="AC684" s="70"/>
      <c r="AD684" s="76" t="s">
        <v>17309</v>
      </c>
      <c r="AE684" s="81" t="s">
        <v>16480</v>
      </c>
      <c r="AF684" s="76">
        <v>67</v>
      </c>
      <c r="AG684" s="76">
        <v>13</v>
      </c>
      <c r="AH684" s="76">
        <v>43528</v>
      </c>
      <c r="AI684" s="76">
        <v>0</v>
      </c>
      <c r="AJ684" s="76">
        <v>23</v>
      </c>
      <c r="AK684" s="76">
        <v>0</v>
      </c>
      <c r="AL684" s="76" t="b">
        <v>0</v>
      </c>
      <c r="AM684" s="78">
        <v>44676.234756944446</v>
      </c>
      <c r="AN684" s="76"/>
      <c r="AO684" s="76" t="s">
        <v>18768</v>
      </c>
      <c r="AP684" s="83" t="str">
        <f>HYPERLINK("https://t.co/upXqhaDdoQ")</f>
        <v>https://t.co/upXqhaDdoQ</v>
      </c>
      <c r="AQ684" s="83" t="str">
        <f>HYPERLINK("https://t2id.com")</f>
        <v>https://t2id.com</v>
      </c>
      <c r="AR684" s="76" t="s">
        <v>19399</v>
      </c>
      <c r="AS684" s="76"/>
      <c r="AT684" s="76"/>
      <c r="AU684" s="76"/>
      <c r="AV684" s="76"/>
      <c r="AW684" s="83" t="str">
        <f>HYPERLINK("https://t.co/upXqhaDdoQ")</f>
        <v>https://t.co/upXqhaDdoQ</v>
      </c>
      <c r="AX684" s="76" t="b">
        <v>0</v>
      </c>
      <c r="AY684" s="76"/>
      <c r="AZ684" s="76"/>
      <c r="BA684" s="76" t="b">
        <v>0</v>
      </c>
      <c r="BB684" s="76" t="b">
        <v>1</v>
      </c>
      <c r="BC684" s="76" t="b">
        <v>1</v>
      </c>
      <c r="BD684" s="76" t="b">
        <v>0</v>
      </c>
      <c r="BE684" s="76" t="b">
        <v>0</v>
      </c>
      <c r="BF684" s="76" t="b">
        <v>0</v>
      </c>
      <c r="BG684" s="76" t="b">
        <v>0</v>
      </c>
      <c r="BH684" s="83" t="str">
        <f>HYPERLINK("https://pbs.twimg.com/profile_banners/1518464282589114373/1650865510")</f>
        <v>https://pbs.twimg.com/profile_banners/1518464282589114373/1650865510</v>
      </c>
      <c r="BI684" s="76"/>
      <c r="BJ684" s="76" t="s">
        <v>19633</v>
      </c>
      <c r="BK684" s="76" t="b">
        <v>0</v>
      </c>
      <c r="BL684" s="76"/>
      <c r="BM684" s="76" t="s">
        <v>66</v>
      </c>
      <c r="BN684" s="76" t="s">
        <v>19635</v>
      </c>
      <c r="BO684" s="83" t="str">
        <f>HYPERLINK("https://twitter.com/t2id_")</f>
        <v>https://twitter.com/t2id_</v>
      </c>
      <c r="BP684" s="2"/>
    </row>
    <row r="685" spans="1:68" x14ac:dyDescent="0.25">
      <c r="A685" s="62" t="s">
        <v>833</v>
      </c>
      <c r="B685" s="63"/>
      <c r="C685" s="63"/>
      <c r="D685" s="64"/>
      <c r="E685" s="66"/>
      <c r="F685" s="103" t="str">
        <f>HYPERLINK("https://pbs.twimg.com/profile_images/1320802018836074500/SdDDk3nD_normal.jpg")</f>
        <v>https://pbs.twimg.com/profile_images/1320802018836074500/SdDDk3nD_normal.jpg</v>
      </c>
      <c r="G685" s="63"/>
      <c r="H685" s="67"/>
      <c r="I685" s="68"/>
      <c r="J685" s="68"/>
      <c r="K685" s="67" t="s">
        <v>20317</v>
      </c>
      <c r="L685" s="71"/>
      <c r="M685" s="72"/>
      <c r="N685" s="72"/>
      <c r="O685" s="73"/>
      <c r="P685" s="74"/>
      <c r="Q685" s="74"/>
      <c r="R685" s="87"/>
      <c r="S685" s="87"/>
      <c r="T685" s="87"/>
      <c r="U685" s="87"/>
      <c r="V685" s="48"/>
      <c r="W685" s="48"/>
      <c r="X685" s="47">
        <v>1.101E-3</v>
      </c>
      <c r="Y685" s="48"/>
      <c r="Z685" s="47"/>
      <c r="AA685" s="69">
        <v>685</v>
      </c>
      <c r="AB685" s="69"/>
      <c r="AC685" s="70"/>
      <c r="AD685" s="76" t="s">
        <v>17310</v>
      </c>
      <c r="AE685" s="81" t="s">
        <v>15771</v>
      </c>
      <c r="AF685" s="76">
        <v>327</v>
      </c>
      <c r="AG685" s="76">
        <v>17</v>
      </c>
      <c r="AH685" s="76">
        <v>262</v>
      </c>
      <c r="AI685" s="76">
        <v>9</v>
      </c>
      <c r="AJ685" s="76">
        <v>20</v>
      </c>
      <c r="AK685" s="76">
        <v>38</v>
      </c>
      <c r="AL685" s="76" t="b">
        <v>0</v>
      </c>
      <c r="AM685" s="78">
        <v>44034.724918981483</v>
      </c>
      <c r="AN685" s="76" t="s">
        <v>17877</v>
      </c>
      <c r="AO685" s="76" t="s">
        <v>18769</v>
      </c>
      <c r="AP685" s="83" t="str">
        <f>HYPERLINK("https://t.co/b8qktvMGIu")</f>
        <v>https://t.co/b8qktvMGIu</v>
      </c>
      <c r="AQ685" s="83" t="str">
        <f>HYPERLINK("http://linktr.ee/investoetf")</f>
        <v>http://linktr.ee/investoetf</v>
      </c>
      <c r="AR685" s="76" t="s">
        <v>19400</v>
      </c>
      <c r="AS685" s="76"/>
      <c r="AT685" s="76"/>
      <c r="AU685" s="76"/>
      <c r="AV685" s="76"/>
      <c r="AW685" s="83" t="str">
        <f>HYPERLINK("https://t.co/b8qktvMGIu")</f>
        <v>https://t.co/b8qktvMGIu</v>
      </c>
      <c r="AX685" s="76" t="b">
        <v>0</v>
      </c>
      <c r="AY685" s="76"/>
      <c r="AZ685" s="76"/>
      <c r="BA685" s="76" t="b">
        <v>0</v>
      </c>
      <c r="BB685" s="76" t="b">
        <v>1</v>
      </c>
      <c r="BC685" s="76" t="b">
        <v>1</v>
      </c>
      <c r="BD685" s="76" t="b">
        <v>0</v>
      </c>
      <c r="BE685" s="76" t="b">
        <v>0</v>
      </c>
      <c r="BF685" s="76" t="b">
        <v>0</v>
      </c>
      <c r="BG685" s="76" t="b">
        <v>0</v>
      </c>
      <c r="BH685" s="83" t="str">
        <f>HYPERLINK("https://pbs.twimg.com/profile_banners/1285988910145953794/1603738716")</f>
        <v>https://pbs.twimg.com/profile_banners/1285988910145953794/1603738716</v>
      </c>
      <c r="BI685" s="76"/>
      <c r="BJ685" s="76" t="s">
        <v>19633</v>
      </c>
      <c r="BK685" s="76" t="b">
        <v>0</v>
      </c>
      <c r="BL685" s="76"/>
      <c r="BM685" s="76" t="s">
        <v>66</v>
      </c>
      <c r="BN685" s="76" t="s">
        <v>19635</v>
      </c>
      <c r="BO685" s="83" t="str">
        <f>HYPERLINK("https://twitter.com/investoetf")</f>
        <v>https://twitter.com/investoetf</v>
      </c>
      <c r="BP685" s="2"/>
    </row>
    <row r="686" spans="1:68" x14ac:dyDescent="0.25">
      <c r="A686" s="62" t="s">
        <v>834</v>
      </c>
      <c r="B686" s="63"/>
      <c r="C686" s="63"/>
      <c r="D686" s="64"/>
      <c r="E686" s="66"/>
      <c r="F686" s="103" t="str">
        <f>HYPERLINK("https://pbs.twimg.com/profile_images/1649055263087906816/PJduanl8_normal.jpg")</f>
        <v>https://pbs.twimg.com/profile_images/1649055263087906816/PJduanl8_normal.jpg</v>
      </c>
      <c r="G686" s="63"/>
      <c r="H686" s="67"/>
      <c r="I686" s="68"/>
      <c r="J686" s="68"/>
      <c r="K686" s="67" t="s">
        <v>20318</v>
      </c>
      <c r="L686" s="71"/>
      <c r="M686" s="72"/>
      <c r="N686" s="72"/>
      <c r="O686" s="73"/>
      <c r="P686" s="74"/>
      <c r="Q686" s="74"/>
      <c r="R686" s="87"/>
      <c r="S686" s="87"/>
      <c r="T686" s="87"/>
      <c r="U686" s="87"/>
      <c r="V686" s="48"/>
      <c r="W686" s="48"/>
      <c r="X686" s="47">
        <v>1.101E-3</v>
      </c>
      <c r="Y686" s="48"/>
      <c r="Z686" s="47"/>
      <c r="AA686" s="69">
        <v>686</v>
      </c>
      <c r="AB686" s="69"/>
      <c r="AC686" s="70"/>
      <c r="AD686" s="76" t="s">
        <v>17311</v>
      </c>
      <c r="AE686" s="81" t="s">
        <v>16481</v>
      </c>
      <c r="AF686" s="76">
        <v>11</v>
      </c>
      <c r="AG686" s="76">
        <v>0</v>
      </c>
      <c r="AH686" s="76">
        <v>40</v>
      </c>
      <c r="AI686" s="76">
        <v>0</v>
      </c>
      <c r="AJ686" s="76">
        <v>0</v>
      </c>
      <c r="AK686" s="76">
        <v>37</v>
      </c>
      <c r="AL686" s="76" t="b">
        <v>0</v>
      </c>
      <c r="AM686" s="78">
        <v>45035.759652777779</v>
      </c>
      <c r="AN686" s="76"/>
      <c r="AO686" s="76" t="s">
        <v>18770</v>
      </c>
      <c r="AP686" s="83" t="str">
        <f>HYPERLINK("https://t.co/lnEXRQt5fH")</f>
        <v>https://t.co/lnEXRQt5fH</v>
      </c>
      <c r="AQ686" s="83" t="str">
        <f>HYPERLINK("https://linktr.ee/vempragruppi")</f>
        <v>https://linktr.ee/vempragruppi</v>
      </c>
      <c r="AR686" s="76" t="s">
        <v>19401</v>
      </c>
      <c r="AS686" s="76"/>
      <c r="AT686" s="76"/>
      <c r="AU686" s="76"/>
      <c r="AV686" s="76"/>
      <c r="AW686" s="83" t="str">
        <f>HYPERLINK("https://t.co/lnEXRQt5fH")</f>
        <v>https://t.co/lnEXRQt5fH</v>
      </c>
      <c r="AX686" s="76" t="b">
        <v>1</v>
      </c>
      <c r="AY686" s="76"/>
      <c r="AZ686" s="76"/>
      <c r="BA686" s="76" t="b">
        <v>0</v>
      </c>
      <c r="BB686" s="76" t="b">
        <v>1</v>
      </c>
      <c r="BC686" s="76" t="b">
        <v>1</v>
      </c>
      <c r="BD686" s="76" t="b">
        <v>0</v>
      </c>
      <c r="BE686" s="76" t="b">
        <v>0</v>
      </c>
      <c r="BF686" s="76" t="b">
        <v>0</v>
      </c>
      <c r="BG686" s="76" t="b">
        <v>0</v>
      </c>
      <c r="BH686" s="83" t="str">
        <f>HYPERLINK("https://pbs.twimg.com/profile_banners/1648751740726964225/1685104788")</f>
        <v>https://pbs.twimg.com/profile_banners/1648751740726964225/1685104788</v>
      </c>
      <c r="BI686" s="76"/>
      <c r="BJ686" s="76" t="s">
        <v>19633</v>
      </c>
      <c r="BK686" s="76" t="b">
        <v>0</v>
      </c>
      <c r="BL686" s="76"/>
      <c r="BM686" s="76" t="s">
        <v>66</v>
      </c>
      <c r="BN686" s="76" t="s">
        <v>19635</v>
      </c>
      <c r="BO686" s="83" t="str">
        <f>HYPERLINK("https://twitter.com/vempragruppi")</f>
        <v>https://twitter.com/vempragruppi</v>
      </c>
      <c r="BP686" s="2"/>
    </row>
    <row r="687" spans="1:68" x14ac:dyDescent="0.25">
      <c r="A687" s="62" t="s">
        <v>835</v>
      </c>
      <c r="B687" s="63"/>
      <c r="C687" s="63"/>
      <c r="D687" s="64"/>
      <c r="E687" s="66"/>
      <c r="F687" s="103" t="str">
        <f>HYPERLINK("https://pbs.twimg.com/profile_images/1698599849925427200/kP2kwiQr_normal.jpg")</f>
        <v>https://pbs.twimg.com/profile_images/1698599849925427200/kP2kwiQr_normal.jpg</v>
      </c>
      <c r="G687" s="63"/>
      <c r="H687" s="67"/>
      <c r="I687" s="68"/>
      <c r="J687" s="68"/>
      <c r="K687" s="67" t="s">
        <v>20319</v>
      </c>
      <c r="L687" s="71"/>
      <c r="M687" s="72"/>
      <c r="N687" s="72"/>
      <c r="O687" s="73"/>
      <c r="P687" s="74"/>
      <c r="Q687" s="74"/>
      <c r="R687" s="87"/>
      <c r="S687" s="87"/>
      <c r="T687" s="87"/>
      <c r="U687" s="87"/>
      <c r="V687" s="48"/>
      <c r="W687" s="48"/>
      <c r="X687" s="47">
        <v>9.6599999999999995E-4</v>
      </c>
      <c r="Y687" s="48"/>
      <c r="Z687" s="47"/>
      <c r="AA687" s="69">
        <v>687</v>
      </c>
      <c r="AB687" s="69"/>
      <c r="AC687" s="70"/>
      <c r="AD687" s="76" t="s">
        <v>17312</v>
      </c>
      <c r="AE687" s="81" t="s">
        <v>16482</v>
      </c>
      <c r="AF687" s="76">
        <v>30</v>
      </c>
      <c r="AG687" s="76">
        <v>191</v>
      </c>
      <c r="AH687" s="76">
        <v>1511</v>
      </c>
      <c r="AI687" s="76">
        <v>0</v>
      </c>
      <c r="AJ687" s="76">
        <v>1764</v>
      </c>
      <c r="AK687" s="76">
        <v>170</v>
      </c>
      <c r="AL687" s="76" t="b">
        <v>0</v>
      </c>
      <c r="AM687" s="78">
        <v>44901.610324074078</v>
      </c>
      <c r="AN687" s="76" t="s">
        <v>18078</v>
      </c>
      <c r="AO687" s="76" t="s">
        <v>18771</v>
      </c>
      <c r="AP687" s="83" t="str">
        <f>HYPERLINK("https://t.co/uxfOLEaprO")</f>
        <v>https://t.co/uxfOLEaprO</v>
      </c>
      <c r="AQ687" s="83" t="str">
        <f>HYPERLINK("http://www.rotinamidia.com.br")</f>
        <v>http://www.rotinamidia.com.br</v>
      </c>
      <c r="AR687" s="76" t="s">
        <v>19402</v>
      </c>
      <c r="AS687" s="76"/>
      <c r="AT687" s="76"/>
      <c r="AU687" s="76"/>
      <c r="AV687" s="76"/>
      <c r="AW687" s="83" t="str">
        <f>HYPERLINK("https://t.co/uxfOLEaprO")</f>
        <v>https://t.co/uxfOLEaprO</v>
      </c>
      <c r="AX687" s="76" t="b">
        <v>0</v>
      </c>
      <c r="AY687" s="76"/>
      <c r="AZ687" s="76"/>
      <c r="BA687" s="76" t="b">
        <v>0</v>
      </c>
      <c r="BB687" s="76" t="b">
        <v>1</v>
      </c>
      <c r="BC687" s="76" t="b">
        <v>1</v>
      </c>
      <c r="BD687" s="76" t="b">
        <v>0</v>
      </c>
      <c r="BE687" s="76" t="b">
        <v>0</v>
      </c>
      <c r="BF687" s="76" t="b">
        <v>0</v>
      </c>
      <c r="BG687" s="76" t="b">
        <v>0</v>
      </c>
      <c r="BH687" s="83" t="str">
        <f>HYPERLINK("https://pbs.twimg.com/profile_banners/1600137528106958850/1686318750")</f>
        <v>https://pbs.twimg.com/profile_banners/1600137528106958850/1686318750</v>
      </c>
      <c r="BI687" s="76"/>
      <c r="BJ687" s="76" t="s">
        <v>19633</v>
      </c>
      <c r="BK687" s="76" t="b">
        <v>0</v>
      </c>
      <c r="BL687" s="76"/>
      <c r="BM687" s="76" t="s">
        <v>66</v>
      </c>
      <c r="BN687" s="76" t="s">
        <v>19635</v>
      </c>
      <c r="BO687" s="83" t="str">
        <f>HYPERLINK("https://twitter.com/trogloditaao")</f>
        <v>https://twitter.com/trogloditaao</v>
      </c>
      <c r="BP687" s="2"/>
    </row>
    <row r="688" spans="1:68" x14ac:dyDescent="0.25">
      <c r="A688" s="62" t="s">
        <v>836</v>
      </c>
      <c r="B688" s="63"/>
      <c r="C688" s="63"/>
      <c r="D688" s="64"/>
      <c r="E688" s="66"/>
      <c r="F688" s="103" t="str">
        <f>HYPERLINK("https://pbs.twimg.com/profile_images/1496941852909522949/Q_54fos5_normal.png")</f>
        <v>https://pbs.twimg.com/profile_images/1496941852909522949/Q_54fos5_normal.png</v>
      </c>
      <c r="G688" s="63"/>
      <c r="H688" s="67"/>
      <c r="I688" s="68"/>
      <c r="J688" s="68"/>
      <c r="K688" s="67" t="s">
        <v>20320</v>
      </c>
      <c r="L688" s="71"/>
      <c r="M688" s="72"/>
      <c r="N688" s="72"/>
      <c r="O688" s="73"/>
      <c r="P688" s="74"/>
      <c r="Q688" s="74"/>
      <c r="R688" s="87"/>
      <c r="S688" s="87"/>
      <c r="T688" s="87"/>
      <c r="U688" s="87"/>
      <c r="V688" s="48"/>
      <c r="W688" s="48"/>
      <c r="X688" s="47">
        <v>1.101E-3</v>
      </c>
      <c r="Y688" s="48"/>
      <c r="Z688" s="47"/>
      <c r="AA688" s="69">
        <v>688</v>
      </c>
      <c r="AB688" s="69"/>
      <c r="AC688" s="70"/>
      <c r="AD688" s="76" t="s">
        <v>17313</v>
      </c>
      <c r="AE688" s="81" t="s">
        <v>16483</v>
      </c>
      <c r="AF688" s="76">
        <v>74</v>
      </c>
      <c r="AG688" s="76">
        <v>2</v>
      </c>
      <c r="AH688" s="76">
        <v>90</v>
      </c>
      <c r="AI688" s="76">
        <v>0</v>
      </c>
      <c r="AJ688" s="76">
        <v>3</v>
      </c>
      <c r="AK688" s="76">
        <v>65</v>
      </c>
      <c r="AL688" s="76" t="b">
        <v>0</v>
      </c>
      <c r="AM688" s="78">
        <v>44616.843888888892</v>
      </c>
      <c r="AN688" s="76"/>
      <c r="AO688" s="76" t="s">
        <v>18772</v>
      </c>
      <c r="AP688" s="83" t="str">
        <f>HYPERLINK("https://t.co/H81ClNi7DK")</f>
        <v>https://t.co/H81ClNi7DK</v>
      </c>
      <c r="AQ688" s="83" t="str">
        <f>HYPERLINK("http://linktr.ee/capemisaseguradora")</f>
        <v>http://linktr.ee/capemisaseguradora</v>
      </c>
      <c r="AR688" s="76" t="s">
        <v>19403</v>
      </c>
      <c r="AS688" s="76"/>
      <c r="AT688" s="76"/>
      <c r="AU688" s="76"/>
      <c r="AV688" s="76"/>
      <c r="AW688" s="83" t="str">
        <f>HYPERLINK("https://t.co/H81ClNi7DK")</f>
        <v>https://t.co/H81ClNi7DK</v>
      </c>
      <c r="AX688" s="76" t="b">
        <v>0</v>
      </c>
      <c r="AY688" s="76"/>
      <c r="AZ688" s="76"/>
      <c r="BA688" s="76" t="b">
        <v>1</v>
      </c>
      <c r="BB688" s="76" t="b">
        <v>1</v>
      </c>
      <c r="BC688" s="76" t="b">
        <v>1</v>
      </c>
      <c r="BD688" s="76" t="b">
        <v>0</v>
      </c>
      <c r="BE688" s="76" t="b">
        <v>0</v>
      </c>
      <c r="BF688" s="76" t="b">
        <v>0</v>
      </c>
      <c r="BG688" s="76" t="b">
        <v>0</v>
      </c>
      <c r="BH688" s="83" t="str">
        <f>HYPERLINK("https://pbs.twimg.com/profile_banners/1496941715147608066/1675361974")</f>
        <v>https://pbs.twimg.com/profile_banners/1496941715147608066/1675361974</v>
      </c>
      <c r="BI688" s="76"/>
      <c r="BJ688" s="76" t="s">
        <v>19633</v>
      </c>
      <c r="BK688" s="76" t="b">
        <v>0</v>
      </c>
      <c r="BL688" s="76"/>
      <c r="BM688" s="76" t="s">
        <v>66</v>
      </c>
      <c r="BN688" s="76" t="s">
        <v>19635</v>
      </c>
      <c r="BO688" s="83" t="str">
        <f>HYPERLINK("https://twitter.com/capemisa")</f>
        <v>https://twitter.com/capemisa</v>
      </c>
      <c r="BP688" s="2"/>
    </row>
    <row r="689" spans="1:68" x14ac:dyDescent="0.25">
      <c r="A689" s="62" t="s">
        <v>837</v>
      </c>
      <c r="B689" s="63"/>
      <c r="C689" s="63"/>
      <c r="D689" s="64"/>
      <c r="E689" s="66"/>
      <c r="F689" s="103" t="str">
        <f>HYPERLINK("https://pbs.twimg.com/profile_images/1594035193081364484/kMgIPxhL_normal.jpg")</f>
        <v>https://pbs.twimg.com/profile_images/1594035193081364484/kMgIPxhL_normal.jpg</v>
      </c>
      <c r="G689" s="63"/>
      <c r="H689" s="67"/>
      <c r="I689" s="68"/>
      <c r="J689" s="68"/>
      <c r="K689" s="67" t="s">
        <v>20321</v>
      </c>
      <c r="L689" s="71"/>
      <c r="M689" s="72"/>
      <c r="N689" s="72"/>
      <c r="O689" s="73"/>
      <c r="P689" s="74"/>
      <c r="Q689" s="74"/>
      <c r="R689" s="87"/>
      <c r="S689" s="87"/>
      <c r="T689" s="87"/>
      <c r="U689" s="87"/>
      <c r="V689" s="48"/>
      <c r="W689" s="48"/>
      <c r="X689" s="47">
        <v>1.101E-3</v>
      </c>
      <c r="Y689" s="48"/>
      <c r="Z689" s="47"/>
      <c r="AA689" s="69">
        <v>689</v>
      </c>
      <c r="AB689" s="69"/>
      <c r="AC689" s="70"/>
      <c r="AD689" s="76" t="s">
        <v>17314</v>
      </c>
      <c r="AE689" s="81" t="s">
        <v>16484</v>
      </c>
      <c r="AF689" s="76">
        <v>1</v>
      </c>
      <c r="AG689" s="76">
        <v>78</v>
      </c>
      <c r="AH689" s="76">
        <v>113</v>
      </c>
      <c r="AI689" s="76">
        <v>0</v>
      </c>
      <c r="AJ689" s="76">
        <v>77</v>
      </c>
      <c r="AK689" s="76">
        <v>1</v>
      </c>
      <c r="AL689" s="76" t="b">
        <v>0</v>
      </c>
      <c r="AM689" s="78">
        <v>44560.725532407407</v>
      </c>
      <c r="AN689" s="76" t="s">
        <v>18079</v>
      </c>
      <c r="AO689" s="76" t="s">
        <v>18773</v>
      </c>
      <c r="AP689" s="83" t="str">
        <f>HYPERLINK("https://t.co/bq592JepmT")</f>
        <v>https://t.co/bq592JepmT</v>
      </c>
      <c r="AQ689" s="83" t="str">
        <f>HYPERLINK("http://www.seuplanejadorfinanceiropessoal.com")</f>
        <v>http://www.seuplanejadorfinanceiropessoal.com</v>
      </c>
      <c r="AR689" s="76" t="s">
        <v>19404</v>
      </c>
      <c r="AS689" s="76"/>
      <c r="AT689" s="76"/>
      <c r="AU689" s="76"/>
      <c r="AV689" s="76"/>
      <c r="AW689" s="83" t="str">
        <f>HYPERLINK("https://t.co/bq592JepmT")</f>
        <v>https://t.co/bq592JepmT</v>
      </c>
      <c r="AX689" s="76" t="b">
        <v>0</v>
      </c>
      <c r="AY689" s="76"/>
      <c r="AZ689" s="76"/>
      <c r="BA689" s="76" t="b">
        <v>0</v>
      </c>
      <c r="BB689" s="76" t="b">
        <v>1</v>
      </c>
      <c r="BC689" s="76" t="b">
        <v>1</v>
      </c>
      <c r="BD689" s="76" t="b">
        <v>0</v>
      </c>
      <c r="BE689" s="76" t="b">
        <v>0</v>
      </c>
      <c r="BF689" s="76" t="b">
        <v>0</v>
      </c>
      <c r="BG689" s="76" t="b">
        <v>0</v>
      </c>
      <c r="BH689" s="83" t="str">
        <f>HYPERLINK("https://pbs.twimg.com/profile_banners/1476605019931688971/1668342577")</f>
        <v>https://pbs.twimg.com/profile_banners/1476605019931688971/1668342577</v>
      </c>
      <c r="BI689" s="76"/>
      <c r="BJ689" s="76" t="s">
        <v>19633</v>
      </c>
      <c r="BK689" s="76" t="b">
        <v>0</v>
      </c>
      <c r="BL689" s="76"/>
      <c r="BM689" s="76" t="s">
        <v>66</v>
      </c>
      <c r="BN689" s="76" t="s">
        <v>19635</v>
      </c>
      <c r="BO689" s="83" t="str">
        <f>HYPERLINK("https://twitter.com/euluisconsultor")</f>
        <v>https://twitter.com/euluisconsultor</v>
      </c>
      <c r="BP689" s="2"/>
    </row>
    <row r="690" spans="1:68" x14ac:dyDescent="0.25">
      <c r="A690" s="62" t="s">
        <v>838</v>
      </c>
      <c r="B690" s="63"/>
      <c r="C690" s="63"/>
      <c r="D690" s="64"/>
      <c r="E690" s="66"/>
      <c r="F690" s="103" t="str">
        <f>HYPERLINK("https://pbs.twimg.com/profile_images/1628115855903973379/eBChmoL2_normal.jpg")</f>
        <v>https://pbs.twimg.com/profile_images/1628115855903973379/eBChmoL2_normal.jpg</v>
      </c>
      <c r="G690" s="63"/>
      <c r="H690" s="67"/>
      <c r="I690" s="68"/>
      <c r="J690" s="68"/>
      <c r="K690" s="67" t="s">
        <v>20322</v>
      </c>
      <c r="L690" s="71"/>
      <c r="M690" s="72"/>
      <c r="N690" s="72"/>
      <c r="O690" s="73"/>
      <c r="P690" s="74"/>
      <c r="Q690" s="74"/>
      <c r="R690" s="87"/>
      <c r="S690" s="87"/>
      <c r="T690" s="87"/>
      <c r="U690" s="87"/>
      <c r="V690" s="48"/>
      <c r="W690" s="48"/>
      <c r="X690" s="47">
        <v>1.101E-3</v>
      </c>
      <c r="Y690" s="48"/>
      <c r="Z690" s="47"/>
      <c r="AA690" s="69">
        <v>690</v>
      </c>
      <c r="AB690" s="69"/>
      <c r="AC690" s="70"/>
      <c r="AD690" s="76" t="s">
        <v>17315</v>
      </c>
      <c r="AE690" s="81" t="s">
        <v>16485</v>
      </c>
      <c r="AF690" s="76">
        <v>2</v>
      </c>
      <c r="AG690" s="76">
        <v>17</v>
      </c>
      <c r="AH690" s="76">
        <v>6</v>
      </c>
      <c r="AI690" s="76">
        <v>0</v>
      </c>
      <c r="AJ690" s="76">
        <v>0</v>
      </c>
      <c r="AK690" s="76">
        <v>1</v>
      </c>
      <c r="AL690" s="76" t="b">
        <v>0</v>
      </c>
      <c r="AM690" s="78">
        <v>44978.815150462964</v>
      </c>
      <c r="AN690" s="76" t="s">
        <v>10552</v>
      </c>
      <c r="AO690" s="76" t="s">
        <v>18774</v>
      </c>
      <c r="AP690" s="83" t="str">
        <f>HYPERLINK("https://t.co/wZmHQXonbH")</f>
        <v>https://t.co/wZmHQXonbH</v>
      </c>
      <c r="AQ690" s="83" t="str">
        <f>HYPERLINK("http://richpoorapp.com")</f>
        <v>http://richpoorapp.com</v>
      </c>
      <c r="AR690" s="76" t="s">
        <v>6090</v>
      </c>
      <c r="AS690" s="76"/>
      <c r="AT690" s="76"/>
      <c r="AU690" s="76"/>
      <c r="AV690" s="76">
        <v>1.63572235044752E+18</v>
      </c>
      <c r="AW690" s="83" t="str">
        <f>HYPERLINK("https://t.co/wZmHQXonbH")</f>
        <v>https://t.co/wZmHQXonbH</v>
      </c>
      <c r="AX690" s="76" t="b">
        <v>0</v>
      </c>
      <c r="AY690" s="76"/>
      <c r="AZ690" s="76"/>
      <c r="BA690" s="76" t="b">
        <v>0</v>
      </c>
      <c r="BB690" s="76" t="b">
        <v>1</v>
      </c>
      <c r="BC690" s="76" t="b">
        <v>1</v>
      </c>
      <c r="BD690" s="76" t="b">
        <v>0</v>
      </c>
      <c r="BE690" s="76" t="b">
        <v>0</v>
      </c>
      <c r="BF690" s="76" t="b">
        <v>0</v>
      </c>
      <c r="BG690" s="76" t="b">
        <v>0</v>
      </c>
      <c r="BH690" s="83" t="str">
        <f>HYPERLINK("https://pbs.twimg.com/profile_banners/1628115760089276420/1678821797")</f>
        <v>https://pbs.twimg.com/profile_banners/1628115760089276420/1678821797</v>
      </c>
      <c r="BI690" s="76"/>
      <c r="BJ690" s="76" t="s">
        <v>19633</v>
      </c>
      <c r="BK690" s="76" t="b">
        <v>0</v>
      </c>
      <c r="BL690" s="76"/>
      <c r="BM690" s="76" t="s">
        <v>66</v>
      </c>
      <c r="BN690" s="76" t="s">
        <v>19635</v>
      </c>
      <c r="BO690" s="83" t="str">
        <f>HYPERLINK("https://twitter.com/richpoorapp")</f>
        <v>https://twitter.com/richpoorapp</v>
      </c>
      <c r="BP690" s="2"/>
    </row>
    <row r="691" spans="1:68" x14ac:dyDescent="0.25">
      <c r="A691" s="62" t="s">
        <v>1109</v>
      </c>
      <c r="B691" s="63"/>
      <c r="C691" s="63"/>
      <c r="D691" s="64"/>
      <c r="E691" s="66"/>
      <c r="F691" s="103" t="str">
        <f>HYPERLINK("https://pbs.twimg.com/profile_images/1544325368949211138/dUStKXrA_normal.jpg")</f>
        <v>https://pbs.twimg.com/profile_images/1544325368949211138/dUStKXrA_normal.jpg</v>
      </c>
      <c r="G691" s="63"/>
      <c r="H691" s="67"/>
      <c r="I691" s="68"/>
      <c r="J691" s="68"/>
      <c r="K691" s="67" t="s">
        <v>20323</v>
      </c>
      <c r="L691" s="71"/>
      <c r="M691" s="72"/>
      <c r="N691" s="72"/>
      <c r="O691" s="73"/>
      <c r="P691" s="74"/>
      <c r="Q691" s="74"/>
      <c r="R691" s="87"/>
      <c r="S691" s="87"/>
      <c r="T691" s="87"/>
      <c r="U691" s="87"/>
      <c r="V691" s="48"/>
      <c r="W691" s="48"/>
      <c r="X691" s="47">
        <v>9.859999999999999E-4</v>
      </c>
      <c r="Y691" s="48"/>
      <c r="Z691" s="47"/>
      <c r="AA691" s="69">
        <v>691</v>
      </c>
      <c r="AB691" s="69"/>
      <c r="AC691" s="70"/>
      <c r="AD691" s="76" t="s">
        <v>17316</v>
      </c>
      <c r="AE691" s="81" t="s">
        <v>17769</v>
      </c>
      <c r="AF691" s="76">
        <v>2303</v>
      </c>
      <c r="AG691" s="76">
        <v>1178</v>
      </c>
      <c r="AH691" s="76">
        <v>4688</v>
      </c>
      <c r="AI691" s="76">
        <v>35</v>
      </c>
      <c r="AJ691" s="76">
        <v>3709</v>
      </c>
      <c r="AK691" s="76">
        <v>801</v>
      </c>
      <c r="AL691" s="76" t="b">
        <v>0</v>
      </c>
      <c r="AM691" s="78">
        <v>40974.192835648151</v>
      </c>
      <c r="AN691" s="76" t="s">
        <v>18080</v>
      </c>
      <c r="AO691" s="76" t="s">
        <v>18775</v>
      </c>
      <c r="AP691" s="83" t="str">
        <f>HYPERLINK("https://t.co/I9lrNV3uKN")</f>
        <v>https://t.co/I9lrNV3uKN</v>
      </c>
      <c r="AQ691" s="83" t="str">
        <f>HYPERLINK("https://justiciafiscal.net/")</f>
        <v>https://justiciafiscal.net/</v>
      </c>
      <c r="AR691" s="76" t="s">
        <v>19405</v>
      </c>
      <c r="AS691" s="76"/>
      <c r="AT691" s="76"/>
      <c r="AU691" s="76"/>
      <c r="AV691" s="76"/>
      <c r="AW691" s="83" t="str">
        <f>HYPERLINK("https://t.co/I9lrNV3uKN")</f>
        <v>https://t.co/I9lrNV3uKN</v>
      </c>
      <c r="AX691" s="76" t="b">
        <v>0</v>
      </c>
      <c r="AY691" s="76"/>
      <c r="AZ691" s="76"/>
      <c r="BA691" s="76" t="b">
        <v>0</v>
      </c>
      <c r="BB691" s="76" t="b">
        <v>0</v>
      </c>
      <c r="BC691" s="76" t="b">
        <v>0</v>
      </c>
      <c r="BD691" s="76" t="b">
        <v>0</v>
      </c>
      <c r="BE691" s="76" t="b">
        <v>1</v>
      </c>
      <c r="BF691" s="76" t="b">
        <v>0</v>
      </c>
      <c r="BG691" s="76" t="b">
        <v>0</v>
      </c>
      <c r="BH691" s="83" t="str">
        <f>HYPERLINK("https://pbs.twimg.com/profile_banners/516191172/1694042524")</f>
        <v>https://pbs.twimg.com/profile_banners/516191172/1694042524</v>
      </c>
      <c r="BI691" s="76"/>
      <c r="BJ691" s="76" t="s">
        <v>19633</v>
      </c>
      <c r="BK691" s="76" t="b">
        <v>0</v>
      </c>
      <c r="BL691" s="76"/>
      <c r="BM691" s="76" t="s">
        <v>65</v>
      </c>
      <c r="BN691" s="76" t="s">
        <v>19635</v>
      </c>
      <c r="BO691" s="83" t="str">
        <f>HYPERLINK("https://twitter.com/justiciafiscal")</f>
        <v>https://twitter.com/justiciafiscal</v>
      </c>
      <c r="BP691" s="2"/>
    </row>
    <row r="692" spans="1:68" x14ac:dyDescent="0.25">
      <c r="A692" s="62" t="s">
        <v>1110</v>
      </c>
      <c r="B692" s="63"/>
      <c r="C692" s="63"/>
      <c r="D692" s="64"/>
      <c r="E692" s="66"/>
      <c r="F692" s="103" t="str">
        <f>HYPERLINK("https://pbs.twimg.com/profile_images/1164026189259915265/qG0qgEyC_normal.jpg")</f>
        <v>https://pbs.twimg.com/profile_images/1164026189259915265/qG0qgEyC_normal.jpg</v>
      </c>
      <c r="G692" s="63"/>
      <c r="H692" s="67"/>
      <c r="I692" s="68"/>
      <c r="J692" s="68"/>
      <c r="K692" s="67" t="s">
        <v>20324</v>
      </c>
      <c r="L692" s="71"/>
      <c r="M692" s="72"/>
      <c r="N692" s="72"/>
      <c r="O692" s="73"/>
      <c r="P692" s="74"/>
      <c r="Q692" s="74"/>
      <c r="R692" s="87"/>
      <c r="S692" s="87"/>
      <c r="T692" s="87"/>
      <c r="U692" s="87"/>
      <c r="V692" s="48"/>
      <c r="W692" s="48"/>
      <c r="X692" s="47">
        <v>9.859999999999999E-4</v>
      </c>
      <c r="Y692" s="48"/>
      <c r="Z692" s="47"/>
      <c r="AA692" s="69">
        <v>692</v>
      </c>
      <c r="AB692" s="69"/>
      <c r="AC692" s="70"/>
      <c r="AD692" s="76" t="s">
        <v>17317</v>
      </c>
      <c r="AE692" s="81" t="s">
        <v>17770</v>
      </c>
      <c r="AF692" s="76">
        <v>866</v>
      </c>
      <c r="AG692" s="76">
        <v>572</v>
      </c>
      <c r="AH692" s="76">
        <v>3233</v>
      </c>
      <c r="AI692" s="76">
        <v>15</v>
      </c>
      <c r="AJ692" s="76">
        <v>291</v>
      </c>
      <c r="AK692" s="76">
        <v>318</v>
      </c>
      <c r="AL692" s="76" t="b">
        <v>0</v>
      </c>
      <c r="AM692" s="78">
        <v>42310.70416666667</v>
      </c>
      <c r="AN692" s="76"/>
      <c r="AO692" s="76" t="s">
        <v>18776</v>
      </c>
      <c r="AP692" s="83" t="str">
        <f>HYPERLINK("https://t.co/XTMsKMhwmn")</f>
        <v>https://t.co/XTMsKMhwmn</v>
      </c>
      <c r="AQ692" s="83" t="str">
        <f>HYPERLINK("http://ijf.org.br")</f>
        <v>http://ijf.org.br</v>
      </c>
      <c r="AR692" s="76" t="s">
        <v>19406</v>
      </c>
      <c r="AS692" s="76"/>
      <c r="AT692" s="76"/>
      <c r="AU692" s="76"/>
      <c r="AV692" s="76"/>
      <c r="AW692" s="83" t="str">
        <f>HYPERLINK("https://t.co/XTMsKMhwmn")</f>
        <v>https://t.co/XTMsKMhwmn</v>
      </c>
      <c r="AX692" s="76" t="b">
        <v>0</v>
      </c>
      <c r="AY692" s="76"/>
      <c r="AZ692" s="76"/>
      <c r="BA692" s="76" t="b">
        <v>0</v>
      </c>
      <c r="BB692" s="76" t="b">
        <v>1</v>
      </c>
      <c r="BC692" s="76" t="b">
        <v>1</v>
      </c>
      <c r="BD692" s="76" t="b">
        <v>0</v>
      </c>
      <c r="BE692" s="76" t="b">
        <v>1</v>
      </c>
      <c r="BF692" s="76" t="b">
        <v>0</v>
      </c>
      <c r="BG692" s="76" t="b">
        <v>0</v>
      </c>
      <c r="BH692" s="83" t="str">
        <f>HYPERLINK("https://pbs.twimg.com/profile_banners/4098505887/1691025413")</f>
        <v>https://pbs.twimg.com/profile_banners/4098505887/1691025413</v>
      </c>
      <c r="BI692" s="76"/>
      <c r="BJ692" s="76" t="s">
        <v>19633</v>
      </c>
      <c r="BK692" s="76" t="b">
        <v>0</v>
      </c>
      <c r="BL692" s="76"/>
      <c r="BM692" s="76" t="s">
        <v>65</v>
      </c>
      <c r="BN692" s="76" t="s">
        <v>19635</v>
      </c>
      <c r="BO692" s="83" t="str">
        <f>HYPERLINK("https://twitter.com/ijfiscal")</f>
        <v>https://twitter.com/ijfiscal</v>
      </c>
      <c r="BP692" s="2"/>
    </row>
    <row r="693" spans="1:68" x14ac:dyDescent="0.25">
      <c r="A693" s="62" t="s">
        <v>1111</v>
      </c>
      <c r="B693" s="63"/>
      <c r="C693" s="63"/>
      <c r="D693" s="64"/>
      <c r="E693" s="66"/>
      <c r="F693" s="103" t="str">
        <f>HYPERLINK("https://pbs.twimg.com/profile_images/676486399877644288/0JvwNPQt_normal.png")</f>
        <v>https://pbs.twimg.com/profile_images/676486399877644288/0JvwNPQt_normal.png</v>
      </c>
      <c r="G693" s="63"/>
      <c r="H693" s="67"/>
      <c r="I693" s="68"/>
      <c r="J693" s="68"/>
      <c r="K693" s="67" t="s">
        <v>20325</v>
      </c>
      <c r="L693" s="71"/>
      <c r="M693" s="72"/>
      <c r="N693" s="72"/>
      <c r="O693" s="73"/>
      <c r="P693" s="74"/>
      <c r="Q693" s="74"/>
      <c r="R693" s="87"/>
      <c r="S693" s="87"/>
      <c r="T693" s="87"/>
      <c r="U693" s="87"/>
      <c r="V693" s="48"/>
      <c r="W693" s="48"/>
      <c r="X693" s="47">
        <v>9.859999999999999E-4</v>
      </c>
      <c r="Y693" s="48"/>
      <c r="Z693" s="47"/>
      <c r="AA693" s="69">
        <v>693</v>
      </c>
      <c r="AB693" s="69"/>
      <c r="AC693" s="70"/>
      <c r="AD693" s="76" t="s">
        <v>17318</v>
      </c>
      <c r="AE693" s="81" t="s">
        <v>17771</v>
      </c>
      <c r="AF693" s="76">
        <v>535</v>
      </c>
      <c r="AG693" s="76">
        <v>176</v>
      </c>
      <c r="AH693" s="76">
        <v>2616</v>
      </c>
      <c r="AI693" s="76">
        <v>9</v>
      </c>
      <c r="AJ693" s="76">
        <v>1</v>
      </c>
      <c r="AK693" s="76">
        <v>8</v>
      </c>
      <c r="AL693" s="76" t="b">
        <v>0</v>
      </c>
      <c r="AM693" s="78">
        <v>39979.814444444448</v>
      </c>
      <c r="AN693" s="76" t="s">
        <v>18081</v>
      </c>
      <c r="AO693" s="76" t="s">
        <v>18777</v>
      </c>
      <c r="AP693" s="83" t="str">
        <f>HYPERLINK("http://t.co/EHLo7dmRzW")</f>
        <v>http://t.co/EHLo7dmRzW</v>
      </c>
      <c r="AQ693" s="83" t="str">
        <f>HYPERLINK("http://www.afocefe.org.br")</f>
        <v>http://www.afocefe.org.br</v>
      </c>
      <c r="AR693" s="76" t="s">
        <v>19407</v>
      </c>
      <c r="AS693" s="76"/>
      <c r="AT693" s="76"/>
      <c r="AU693" s="76"/>
      <c r="AV693" s="76"/>
      <c r="AW693" s="83" t="str">
        <f>HYPERLINK("http://t.co/EHLo7dmRzW")</f>
        <v>http://t.co/EHLo7dmRzW</v>
      </c>
      <c r="AX693" s="76" t="b">
        <v>0</v>
      </c>
      <c r="AY693" s="76"/>
      <c r="AZ693" s="76"/>
      <c r="BA693" s="76" t="b">
        <v>0</v>
      </c>
      <c r="BB693" s="76" t="b">
        <v>1</v>
      </c>
      <c r="BC693" s="76" t="b">
        <v>0</v>
      </c>
      <c r="BD693" s="76" t="b">
        <v>0</v>
      </c>
      <c r="BE693" s="76" t="b">
        <v>0</v>
      </c>
      <c r="BF693" s="76" t="b">
        <v>0</v>
      </c>
      <c r="BG693" s="76" t="b">
        <v>0</v>
      </c>
      <c r="BH693" s="83" t="str">
        <f>HYPERLINK("https://pbs.twimg.com/profile_banners/47420746/1474988278")</f>
        <v>https://pbs.twimg.com/profile_banners/47420746/1474988278</v>
      </c>
      <c r="BI693" s="76"/>
      <c r="BJ693" s="76" t="s">
        <v>19633</v>
      </c>
      <c r="BK693" s="76" t="b">
        <v>0</v>
      </c>
      <c r="BL693" s="76"/>
      <c r="BM693" s="76" t="s">
        <v>65</v>
      </c>
      <c r="BN693" s="76" t="s">
        <v>19635</v>
      </c>
      <c r="BO693" s="83" t="str">
        <f>HYPERLINK("https://twitter.com/afocefe")</f>
        <v>https://twitter.com/afocefe</v>
      </c>
      <c r="BP693" s="2"/>
    </row>
    <row r="694" spans="1:68" x14ac:dyDescent="0.25">
      <c r="A694" s="62" t="s">
        <v>1112</v>
      </c>
      <c r="B694" s="63"/>
      <c r="C694" s="63"/>
      <c r="D694" s="64"/>
      <c r="E694" s="66"/>
      <c r="F694" s="103" t="str">
        <f>HYPERLINK("https://pbs.twimg.com/profile_images/1072897040366096389/eYqqQn3G_normal.jpg")</f>
        <v>https://pbs.twimg.com/profile_images/1072897040366096389/eYqqQn3G_normal.jpg</v>
      </c>
      <c r="G694" s="63"/>
      <c r="H694" s="67"/>
      <c r="I694" s="68"/>
      <c r="J694" s="68"/>
      <c r="K694" s="67" t="s">
        <v>20326</v>
      </c>
      <c r="L694" s="71"/>
      <c r="M694" s="72"/>
      <c r="N694" s="72"/>
      <c r="O694" s="73"/>
      <c r="P694" s="74"/>
      <c r="Q694" s="74"/>
      <c r="R694" s="87"/>
      <c r="S694" s="87"/>
      <c r="T694" s="87"/>
      <c r="U694" s="87"/>
      <c r="V694" s="48"/>
      <c r="W694" s="48"/>
      <c r="X694" s="47">
        <v>9.859999999999999E-4</v>
      </c>
      <c r="Y694" s="48"/>
      <c r="Z694" s="47"/>
      <c r="AA694" s="69">
        <v>694</v>
      </c>
      <c r="AB694" s="69"/>
      <c r="AC694" s="70"/>
      <c r="AD694" s="76" t="s">
        <v>17319</v>
      </c>
      <c r="AE694" s="81" t="s">
        <v>17772</v>
      </c>
      <c r="AF694" s="76">
        <v>7785</v>
      </c>
      <c r="AG694" s="76">
        <v>870</v>
      </c>
      <c r="AH694" s="76">
        <v>12165</v>
      </c>
      <c r="AI694" s="76">
        <v>155</v>
      </c>
      <c r="AJ694" s="76">
        <v>6417</v>
      </c>
      <c r="AK694" s="76">
        <v>3092</v>
      </c>
      <c r="AL694" s="76" t="b">
        <v>0</v>
      </c>
      <c r="AM694" s="78">
        <v>42191.614791666667</v>
      </c>
      <c r="AN694" s="76" t="s">
        <v>10558</v>
      </c>
      <c r="AO694" s="76" t="s">
        <v>18778</v>
      </c>
      <c r="AP694" s="83" t="str">
        <f>HYPERLINK("https://t.co/c4IeKFj6Nf")</f>
        <v>https://t.co/c4IeKFj6Nf</v>
      </c>
      <c r="AQ694" s="83" t="str">
        <f>HYPERLINK("http://www.inesc.org.br")</f>
        <v>http://www.inesc.org.br</v>
      </c>
      <c r="AR694" s="76" t="s">
        <v>19408</v>
      </c>
      <c r="AS694" s="76"/>
      <c r="AT694" s="76"/>
      <c r="AU694" s="76"/>
      <c r="AV694" s="76">
        <v>1.69324841107442E+18</v>
      </c>
      <c r="AW694" s="83" t="str">
        <f>HYPERLINK("https://t.co/c4IeKFj6Nf")</f>
        <v>https://t.co/c4IeKFj6Nf</v>
      </c>
      <c r="AX694" s="76" t="b">
        <v>0</v>
      </c>
      <c r="AY694" s="76"/>
      <c r="AZ694" s="76"/>
      <c r="BA694" s="76" t="b">
        <v>0</v>
      </c>
      <c r="BB694" s="76" t="b">
        <v>1</v>
      </c>
      <c r="BC694" s="76" t="b">
        <v>1</v>
      </c>
      <c r="BD694" s="76" t="b">
        <v>0</v>
      </c>
      <c r="BE694" s="76" t="b">
        <v>1</v>
      </c>
      <c r="BF694" s="76" t="b">
        <v>0</v>
      </c>
      <c r="BG694" s="76" t="b">
        <v>0</v>
      </c>
      <c r="BH694" s="83" t="str">
        <f>HYPERLINK("https://pbs.twimg.com/profile_banners/3362476599/1669143467")</f>
        <v>https://pbs.twimg.com/profile_banners/3362476599/1669143467</v>
      </c>
      <c r="BI694" s="76"/>
      <c r="BJ694" s="76" t="s">
        <v>19633</v>
      </c>
      <c r="BK694" s="76" t="b">
        <v>0</v>
      </c>
      <c r="BL694" s="76"/>
      <c r="BM694" s="76" t="s">
        <v>65</v>
      </c>
      <c r="BN694" s="76" t="s">
        <v>19635</v>
      </c>
      <c r="BO694" s="83" t="str">
        <f>HYPERLINK("https://twitter.com/inescoficial")</f>
        <v>https://twitter.com/inescoficial</v>
      </c>
      <c r="BP694" s="2"/>
    </row>
    <row r="695" spans="1:68" x14ac:dyDescent="0.25">
      <c r="A695" s="62" t="s">
        <v>840</v>
      </c>
      <c r="B695" s="63"/>
      <c r="C695" s="63"/>
      <c r="D695" s="64"/>
      <c r="E695" s="66"/>
      <c r="F695" s="103" t="str">
        <f>HYPERLINK("https://pbs.twimg.com/profile_images/1611536714371055616/ZHywhwi__normal.jpg")</f>
        <v>https://pbs.twimg.com/profile_images/1611536714371055616/ZHywhwi__normal.jpg</v>
      </c>
      <c r="G695" s="63"/>
      <c r="H695" s="67"/>
      <c r="I695" s="68"/>
      <c r="J695" s="68"/>
      <c r="K695" s="67" t="s">
        <v>20327</v>
      </c>
      <c r="L695" s="71"/>
      <c r="M695" s="72"/>
      <c r="N695" s="72"/>
      <c r="O695" s="73"/>
      <c r="P695" s="74"/>
      <c r="Q695" s="74"/>
      <c r="R695" s="87"/>
      <c r="S695" s="87"/>
      <c r="T695" s="87"/>
      <c r="U695" s="87"/>
      <c r="V695" s="48"/>
      <c r="W695" s="48"/>
      <c r="X695" s="47">
        <v>1.101E-3</v>
      </c>
      <c r="Y695" s="48"/>
      <c r="Z695" s="47"/>
      <c r="AA695" s="69">
        <v>695</v>
      </c>
      <c r="AB695" s="69"/>
      <c r="AC695" s="70"/>
      <c r="AD695" s="76" t="s">
        <v>17320</v>
      </c>
      <c r="AE695" s="81" t="s">
        <v>16486</v>
      </c>
      <c r="AF695" s="76">
        <v>2</v>
      </c>
      <c r="AG695" s="76">
        <v>81</v>
      </c>
      <c r="AH695" s="76">
        <v>32</v>
      </c>
      <c r="AI695" s="76">
        <v>0</v>
      </c>
      <c r="AJ695" s="76">
        <v>235</v>
      </c>
      <c r="AK695" s="76">
        <v>1</v>
      </c>
      <c r="AL695" s="76" t="b">
        <v>0</v>
      </c>
      <c r="AM695" s="78">
        <v>43160.088634259257</v>
      </c>
      <c r="AN695" s="76"/>
      <c r="AO695" s="76" t="s">
        <v>18779</v>
      </c>
      <c r="AP695" s="76"/>
      <c r="AQ695" s="76"/>
      <c r="AR695" s="76"/>
      <c r="AS695" s="76"/>
      <c r="AT695" s="76"/>
      <c r="AU695" s="76"/>
      <c r="AV695" s="76"/>
      <c r="AW695" s="76"/>
      <c r="AX695" s="76" t="b">
        <v>0</v>
      </c>
      <c r="AY695" s="76"/>
      <c r="AZ695" s="76"/>
      <c r="BA695" s="76" t="b">
        <v>0</v>
      </c>
      <c r="BB695" s="76" t="b">
        <v>1</v>
      </c>
      <c r="BC695" s="76" t="b">
        <v>1</v>
      </c>
      <c r="BD695" s="76" t="b">
        <v>0</v>
      </c>
      <c r="BE695" s="76" t="b">
        <v>0</v>
      </c>
      <c r="BF695" s="76" t="b">
        <v>0</v>
      </c>
      <c r="BG695" s="76" t="b">
        <v>0</v>
      </c>
      <c r="BH695" s="83" t="str">
        <f>HYPERLINK("https://pbs.twimg.com/profile_banners/969031374110953472/1673055319")</f>
        <v>https://pbs.twimg.com/profile_banners/969031374110953472/1673055319</v>
      </c>
      <c r="BI695" s="76"/>
      <c r="BJ695" s="76" t="s">
        <v>19633</v>
      </c>
      <c r="BK695" s="76" t="b">
        <v>0</v>
      </c>
      <c r="BL695" s="76"/>
      <c r="BM695" s="76" t="s">
        <v>66</v>
      </c>
      <c r="BN695" s="76" t="s">
        <v>19635</v>
      </c>
      <c r="BO695" s="83" t="str">
        <f>HYPERLINK("https://twitter.com/lordtraderb3")</f>
        <v>https://twitter.com/lordtraderb3</v>
      </c>
      <c r="BP695" s="2"/>
    </row>
    <row r="696" spans="1:68" x14ac:dyDescent="0.25">
      <c r="A696" s="62" t="s">
        <v>841</v>
      </c>
      <c r="B696" s="63"/>
      <c r="C696" s="63"/>
      <c r="D696" s="64"/>
      <c r="E696" s="66"/>
      <c r="F696" s="103" t="str">
        <f>HYPERLINK("https://pbs.twimg.com/profile_images/1161084777518247937/6Q80Yt-J_normal.jpg")</f>
        <v>https://pbs.twimg.com/profile_images/1161084777518247937/6Q80Yt-J_normal.jpg</v>
      </c>
      <c r="G696" s="63"/>
      <c r="H696" s="67"/>
      <c r="I696" s="68"/>
      <c r="J696" s="68"/>
      <c r="K696" s="67" t="s">
        <v>20328</v>
      </c>
      <c r="L696" s="71"/>
      <c r="M696" s="72"/>
      <c r="N696" s="72"/>
      <c r="O696" s="73"/>
      <c r="P696" s="74"/>
      <c r="Q696" s="74"/>
      <c r="R696" s="87"/>
      <c r="S696" s="87"/>
      <c r="T696" s="87"/>
      <c r="U696" s="87"/>
      <c r="V696" s="48"/>
      <c r="W696" s="48"/>
      <c r="X696" s="47">
        <v>1.101E-3</v>
      </c>
      <c r="Y696" s="48"/>
      <c r="Z696" s="47"/>
      <c r="AA696" s="69">
        <v>696</v>
      </c>
      <c r="AB696" s="69"/>
      <c r="AC696" s="70"/>
      <c r="AD696" s="76" t="s">
        <v>17321</v>
      </c>
      <c r="AE696" s="81" t="s">
        <v>16487</v>
      </c>
      <c r="AF696" s="76">
        <v>24</v>
      </c>
      <c r="AG696" s="76">
        <v>87</v>
      </c>
      <c r="AH696" s="76">
        <v>614</v>
      </c>
      <c r="AI696" s="76">
        <v>0</v>
      </c>
      <c r="AJ696" s="76">
        <v>7</v>
      </c>
      <c r="AK696" s="76">
        <v>468</v>
      </c>
      <c r="AL696" s="76" t="b">
        <v>0</v>
      </c>
      <c r="AM696" s="78">
        <v>43347.688761574071</v>
      </c>
      <c r="AN696" s="76" t="s">
        <v>10552</v>
      </c>
      <c r="AO696" s="76" t="s">
        <v>18780</v>
      </c>
      <c r="AP696" s="83" t="str">
        <f>HYPERLINK("https://t.co/fiBQRE7aPe")</f>
        <v>https://t.co/fiBQRE7aPe</v>
      </c>
      <c r="AQ696" s="83" t="str">
        <f>HYPERLINK("http://www.realdominio.com.br")</f>
        <v>http://www.realdominio.com.br</v>
      </c>
      <c r="AR696" s="76" t="s">
        <v>19409</v>
      </c>
      <c r="AS696" s="76"/>
      <c r="AT696" s="76"/>
      <c r="AU696" s="76"/>
      <c r="AV696" s="76"/>
      <c r="AW696" s="83" t="str">
        <f>HYPERLINK("https://t.co/fiBQRE7aPe")</f>
        <v>https://t.co/fiBQRE7aPe</v>
      </c>
      <c r="AX696" s="76" t="b">
        <v>0</v>
      </c>
      <c r="AY696" s="76"/>
      <c r="AZ696" s="76"/>
      <c r="BA696" s="76" t="b">
        <v>0</v>
      </c>
      <c r="BB696" s="76" t="b">
        <v>1</v>
      </c>
      <c r="BC696" s="76" t="b">
        <v>1</v>
      </c>
      <c r="BD696" s="76" t="b">
        <v>0</v>
      </c>
      <c r="BE696" s="76" t="b">
        <v>0</v>
      </c>
      <c r="BF696" s="76" t="b">
        <v>0</v>
      </c>
      <c r="BG696" s="76" t="b">
        <v>0</v>
      </c>
      <c r="BH696" s="83" t="str">
        <f>HYPERLINK("https://pbs.twimg.com/profile_banners/1037015387148312578/1565659313")</f>
        <v>https://pbs.twimg.com/profile_banners/1037015387148312578/1565659313</v>
      </c>
      <c r="BI696" s="76"/>
      <c r="BJ696" s="76" t="s">
        <v>19633</v>
      </c>
      <c r="BK696" s="76" t="b">
        <v>0</v>
      </c>
      <c r="BL696" s="76"/>
      <c r="BM696" s="76" t="s">
        <v>66</v>
      </c>
      <c r="BN696" s="76" t="s">
        <v>19635</v>
      </c>
      <c r="BO696" s="83" t="str">
        <f>HYPERLINK("https://twitter.com/alereiscontador")</f>
        <v>https://twitter.com/alereiscontador</v>
      </c>
      <c r="BP696" s="2"/>
    </row>
    <row r="697" spans="1:68" x14ac:dyDescent="0.25">
      <c r="A697" s="62" t="s">
        <v>842</v>
      </c>
      <c r="B697" s="63"/>
      <c r="C697" s="63"/>
      <c r="D697" s="64"/>
      <c r="E697" s="66"/>
      <c r="F697" s="103" t="str">
        <f>HYPERLINK("https://pbs.twimg.com/profile_images/1615422070707392530/TcTnydhm_normal.jpg")</f>
        <v>https://pbs.twimg.com/profile_images/1615422070707392530/TcTnydhm_normal.jpg</v>
      </c>
      <c r="G697" s="63"/>
      <c r="H697" s="67"/>
      <c r="I697" s="68"/>
      <c r="J697" s="68"/>
      <c r="K697" s="67" t="s">
        <v>20329</v>
      </c>
      <c r="L697" s="71"/>
      <c r="M697" s="72"/>
      <c r="N697" s="72"/>
      <c r="O697" s="73"/>
      <c r="P697" s="74"/>
      <c r="Q697" s="74"/>
      <c r="R697" s="87"/>
      <c r="S697" s="87"/>
      <c r="T697" s="87"/>
      <c r="U697" s="87"/>
      <c r="V697" s="48"/>
      <c r="W697" s="48"/>
      <c r="X697" s="47">
        <v>1.101E-3</v>
      </c>
      <c r="Y697" s="48"/>
      <c r="Z697" s="47"/>
      <c r="AA697" s="69">
        <v>697</v>
      </c>
      <c r="AB697" s="69"/>
      <c r="AC697" s="70"/>
      <c r="AD697" s="76" t="s">
        <v>17322</v>
      </c>
      <c r="AE697" s="81" t="s">
        <v>16488</v>
      </c>
      <c r="AF697" s="76">
        <v>0</v>
      </c>
      <c r="AG697" s="76">
        <v>0</v>
      </c>
      <c r="AH697" s="76">
        <v>5</v>
      </c>
      <c r="AI697" s="76">
        <v>0</v>
      </c>
      <c r="AJ697" s="76">
        <v>0</v>
      </c>
      <c r="AK697" s="76">
        <v>5</v>
      </c>
      <c r="AL697" s="76" t="b">
        <v>0</v>
      </c>
      <c r="AM697" s="78">
        <v>43974.972210648149</v>
      </c>
      <c r="AN697" s="76" t="s">
        <v>10622</v>
      </c>
      <c r="AO697" s="76" t="s">
        <v>18781</v>
      </c>
      <c r="AP697" s="83" t="str">
        <f>HYPERLINK("https://t.co/VTNbpgLzfg")</f>
        <v>https://t.co/VTNbpgLzfg</v>
      </c>
      <c r="AQ697" s="83" t="str">
        <f>HYPERLINK("https://kontab.io")</f>
        <v>https://kontab.io</v>
      </c>
      <c r="AR697" s="76" t="s">
        <v>19410</v>
      </c>
      <c r="AS697" s="76"/>
      <c r="AT697" s="76"/>
      <c r="AU697" s="76"/>
      <c r="AV697" s="76"/>
      <c r="AW697" s="83" t="str">
        <f>HYPERLINK("https://t.co/VTNbpgLzfg")</f>
        <v>https://t.co/VTNbpgLzfg</v>
      </c>
      <c r="AX697" s="76" t="b">
        <v>0</v>
      </c>
      <c r="AY697" s="76"/>
      <c r="AZ697" s="76"/>
      <c r="BA697" s="76" t="b">
        <v>0</v>
      </c>
      <c r="BB697" s="76" t="b">
        <v>1</v>
      </c>
      <c r="BC697" s="76" t="b">
        <v>1</v>
      </c>
      <c r="BD697" s="76" t="b">
        <v>0</v>
      </c>
      <c r="BE697" s="76" t="b">
        <v>0</v>
      </c>
      <c r="BF697" s="76" t="b">
        <v>0</v>
      </c>
      <c r="BG697" s="76" t="b">
        <v>0</v>
      </c>
      <c r="BH697" s="83" t="str">
        <f>HYPERLINK("https://pbs.twimg.com/profile_banners/1264335269995610112/1677501675")</f>
        <v>https://pbs.twimg.com/profile_banners/1264335269995610112/1677501675</v>
      </c>
      <c r="BI697" s="76"/>
      <c r="BJ697" s="76" t="s">
        <v>19633</v>
      </c>
      <c r="BK697" s="76" t="b">
        <v>0</v>
      </c>
      <c r="BL697" s="76"/>
      <c r="BM697" s="76" t="s">
        <v>66</v>
      </c>
      <c r="BN697" s="76" t="s">
        <v>19635</v>
      </c>
      <c r="BO697" s="83" t="str">
        <f>HYPERLINK("https://twitter.com/kontabio")</f>
        <v>https://twitter.com/kontabio</v>
      </c>
      <c r="BP697" s="2"/>
    </row>
    <row r="698" spans="1:68" x14ac:dyDescent="0.25">
      <c r="A698" s="62" t="s">
        <v>843</v>
      </c>
      <c r="B698" s="63"/>
      <c r="C698" s="63"/>
      <c r="D698" s="64"/>
      <c r="E698" s="66"/>
      <c r="F698" s="103" t="str">
        <f>HYPERLINK("https://pbs.twimg.com/profile_images/1689454678415736832/5X51X_yw_normal.png")</f>
        <v>https://pbs.twimg.com/profile_images/1689454678415736832/5X51X_yw_normal.png</v>
      </c>
      <c r="G698" s="63"/>
      <c r="H698" s="67"/>
      <c r="I698" s="68"/>
      <c r="J698" s="68"/>
      <c r="K698" s="67" t="s">
        <v>20330</v>
      </c>
      <c r="L698" s="71"/>
      <c r="M698" s="72"/>
      <c r="N698" s="72"/>
      <c r="O698" s="73"/>
      <c r="P698" s="74"/>
      <c r="Q698" s="74"/>
      <c r="R698" s="87"/>
      <c r="S698" s="87"/>
      <c r="T698" s="87"/>
      <c r="U698" s="87"/>
      <c r="V698" s="48"/>
      <c r="W698" s="48"/>
      <c r="X698" s="47">
        <v>1.101E-3</v>
      </c>
      <c r="Y698" s="48"/>
      <c r="Z698" s="47"/>
      <c r="AA698" s="69">
        <v>698</v>
      </c>
      <c r="AB698" s="69"/>
      <c r="AC698" s="70"/>
      <c r="AD698" s="76" t="s">
        <v>17323</v>
      </c>
      <c r="AE698" s="81" t="s">
        <v>16489</v>
      </c>
      <c r="AF698" s="76">
        <v>1</v>
      </c>
      <c r="AG698" s="76">
        <v>18</v>
      </c>
      <c r="AH698" s="76">
        <v>1</v>
      </c>
      <c r="AI698" s="76">
        <v>0</v>
      </c>
      <c r="AJ698" s="76">
        <v>0</v>
      </c>
      <c r="AK698" s="76">
        <v>1</v>
      </c>
      <c r="AL698" s="76" t="b">
        <v>0</v>
      </c>
      <c r="AM698" s="78">
        <v>45148.078217592592</v>
      </c>
      <c r="AN698" s="76"/>
      <c r="AO698" s="76" t="s">
        <v>18782</v>
      </c>
      <c r="AP698" s="83" t="str">
        <f>HYPERLINK("https://t.co/LvThxcPS9F")</f>
        <v>https://t.co/LvThxcPS9F</v>
      </c>
      <c r="AQ698" s="83" t="str">
        <f>HYPERLINK("https://bit.ly/cadastro-powerhash")</f>
        <v>https://bit.ly/cadastro-powerhash</v>
      </c>
      <c r="AR698" s="76" t="s">
        <v>19411</v>
      </c>
      <c r="AS698" s="76"/>
      <c r="AT698" s="76"/>
      <c r="AU698" s="76"/>
      <c r="AV698" s="76"/>
      <c r="AW698" s="83" t="str">
        <f>HYPERLINK("https://t.co/LvThxcPS9F")</f>
        <v>https://t.co/LvThxcPS9F</v>
      </c>
      <c r="AX698" s="76" t="b">
        <v>0</v>
      </c>
      <c r="AY698" s="76"/>
      <c r="AZ698" s="76"/>
      <c r="BA698" s="76" t="b">
        <v>0</v>
      </c>
      <c r="BB698" s="76" t="b">
        <v>1</v>
      </c>
      <c r="BC698" s="76" t="b">
        <v>1</v>
      </c>
      <c r="BD698" s="76" t="b">
        <v>0</v>
      </c>
      <c r="BE698" s="76" t="b">
        <v>0</v>
      </c>
      <c r="BF698" s="76" t="b">
        <v>0</v>
      </c>
      <c r="BG698" s="76" t="b">
        <v>0</v>
      </c>
      <c r="BH698" s="83" t="str">
        <f>HYPERLINK("https://pbs.twimg.com/profile_banners/1689454454821527552/1691633295")</f>
        <v>https://pbs.twimg.com/profile_banners/1689454454821527552/1691633295</v>
      </c>
      <c r="BI698" s="76"/>
      <c r="BJ698" s="76" t="s">
        <v>19633</v>
      </c>
      <c r="BK698" s="76" t="b">
        <v>0</v>
      </c>
      <c r="BL698" s="76"/>
      <c r="BM698" s="76" t="s">
        <v>66</v>
      </c>
      <c r="BN698" s="76" t="s">
        <v>19635</v>
      </c>
      <c r="BO698" s="83" t="str">
        <f>HYPERLINK("https://twitter.com/powerhashia")</f>
        <v>https://twitter.com/powerhashia</v>
      </c>
      <c r="BP698" s="2"/>
    </row>
    <row r="699" spans="1:68" x14ac:dyDescent="0.25">
      <c r="A699" s="62" t="s">
        <v>844</v>
      </c>
      <c r="B699" s="63"/>
      <c r="C699" s="63"/>
      <c r="D699" s="64"/>
      <c r="E699" s="66"/>
      <c r="F699" s="103" t="str">
        <f>HYPERLINK("https://pbs.twimg.com/profile_images/1677372284133167106/bV1rKh62_normal.jpg")</f>
        <v>https://pbs.twimg.com/profile_images/1677372284133167106/bV1rKh62_normal.jpg</v>
      </c>
      <c r="G699" s="63"/>
      <c r="H699" s="67"/>
      <c r="I699" s="68"/>
      <c r="J699" s="68"/>
      <c r="K699" s="67" t="s">
        <v>20331</v>
      </c>
      <c r="L699" s="71"/>
      <c r="M699" s="72"/>
      <c r="N699" s="72"/>
      <c r="O699" s="73"/>
      <c r="P699" s="74"/>
      <c r="Q699" s="74"/>
      <c r="R699" s="87"/>
      <c r="S699" s="87"/>
      <c r="T699" s="87"/>
      <c r="U699" s="87"/>
      <c r="V699" s="48"/>
      <c r="W699" s="48"/>
      <c r="X699" s="47">
        <v>1.101E-3</v>
      </c>
      <c r="Y699" s="48"/>
      <c r="Z699" s="47"/>
      <c r="AA699" s="69">
        <v>699</v>
      </c>
      <c r="AB699" s="69"/>
      <c r="AC699" s="70"/>
      <c r="AD699" s="76" t="s">
        <v>17324</v>
      </c>
      <c r="AE699" s="81" t="s">
        <v>16490</v>
      </c>
      <c r="AF699" s="76">
        <v>7</v>
      </c>
      <c r="AG699" s="76">
        <v>1</v>
      </c>
      <c r="AH699" s="76">
        <v>123</v>
      </c>
      <c r="AI699" s="76">
        <v>0</v>
      </c>
      <c r="AJ699" s="76">
        <v>3</v>
      </c>
      <c r="AK699" s="76">
        <v>39</v>
      </c>
      <c r="AL699" s="76" t="b">
        <v>0</v>
      </c>
      <c r="AM699" s="78">
        <v>45014.564652777779</v>
      </c>
      <c r="AN699" s="76" t="s">
        <v>10552</v>
      </c>
      <c r="AO699" s="76" t="s">
        <v>18783</v>
      </c>
      <c r="AP699" s="83" t="str">
        <f>HYPERLINK("https://t.co/MNn9vZtyUO")</f>
        <v>https://t.co/MNn9vZtyUO</v>
      </c>
      <c r="AQ699" s="83" t="str">
        <f>HYPERLINK("https://lanistar.com/pt-BR/")</f>
        <v>https://lanistar.com/pt-BR/</v>
      </c>
      <c r="AR699" s="76" t="s">
        <v>19412</v>
      </c>
      <c r="AS699" s="76"/>
      <c r="AT699" s="76"/>
      <c r="AU699" s="76"/>
      <c r="AV699" s="76">
        <v>1.6842002565342001E+18</v>
      </c>
      <c r="AW699" s="83" t="str">
        <f>HYPERLINK("https://t.co/MNn9vZtyUO")</f>
        <v>https://t.co/MNn9vZtyUO</v>
      </c>
      <c r="AX699" s="76" t="b">
        <v>0</v>
      </c>
      <c r="AY699" s="76"/>
      <c r="AZ699" s="76"/>
      <c r="BA699" s="76" t="b">
        <v>0</v>
      </c>
      <c r="BB699" s="76" t="b">
        <v>1</v>
      </c>
      <c r="BC699" s="76" t="b">
        <v>1</v>
      </c>
      <c r="BD699" s="76" t="b">
        <v>0</v>
      </c>
      <c r="BE699" s="76" t="b">
        <v>0</v>
      </c>
      <c r="BF699" s="76" t="b">
        <v>0</v>
      </c>
      <c r="BG699" s="76" t="b">
        <v>0</v>
      </c>
      <c r="BH699" s="83" t="str">
        <f>HYPERLINK("https://pbs.twimg.com/profile_banners/1641070760809623552/1690299285")</f>
        <v>https://pbs.twimg.com/profile_banners/1641070760809623552/1690299285</v>
      </c>
      <c r="BI699" s="76"/>
      <c r="BJ699" s="76" t="s">
        <v>19633</v>
      </c>
      <c r="BK699" s="76" t="b">
        <v>0</v>
      </c>
      <c r="BL699" s="76"/>
      <c r="BM699" s="76" t="s">
        <v>66</v>
      </c>
      <c r="BN699" s="76" t="s">
        <v>19635</v>
      </c>
      <c r="BO699" s="83" t="str">
        <f>HYPERLINK("https://twitter.com/lanistarbrasil")</f>
        <v>https://twitter.com/lanistarbrasil</v>
      </c>
      <c r="BP699" s="2"/>
    </row>
    <row r="700" spans="1:68" x14ac:dyDescent="0.25">
      <c r="A700" s="62" t="s">
        <v>845</v>
      </c>
      <c r="B700" s="63"/>
      <c r="C700" s="63"/>
      <c r="D700" s="64"/>
      <c r="E700" s="66"/>
      <c r="F700" s="103" t="str">
        <f>HYPERLINK("https://pbs.twimg.com/profile_images/1638635378931388418/gaAr_NSL_normal.jpg")</f>
        <v>https://pbs.twimg.com/profile_images/1638635378931388418/gaAr_NSL_normal.jpg</v>
      </c>
      <c r="G700" s="63"/>
      <c r="H700" s="67"/>
      <c r="I700" s="68"/>
      <c r="J700" s="68"/>
      <c r="K700" s="67" t="s">
        <v>20332</v>
      </c>
      <c r="L700" s="71"/>
      <c r="M700" s="72"/>
      <c r="N700" s="72"/>
      <c r="O700" s="73"/>
      <c r="P700" s="74"/>
      <c r="Q700" s="74"/>
      <c r="R700" s="87"/>
      <c r="S700" s="87"/>
      <c r="T700" s="87"/>
      <c r="U700" s="87"/>
      <c r="V700" s="48"/>
      <c r="W700" s="48"/>
      <c r="X700" s="47">
        <v>1.101E-3</v>
      </c>
      <c r="Y700" s="48"/>
      <c r="Z700" s="47"/>
      <c r="AA700" s="69">
        <v>700</v>
      </c>
      <c r="AB700" s="69"/>
      <c r="AC700" s="70"/>
      <c r="AD700" s="76" t="s">
        <v>17325</v>
      </c>
      <c r="AE700" s="81" t="s">
        <v>16491</v>
      </c>
      <c r="AF700" s="76">
        <v>1</v>
      </c>
      <c r="AG700" s="76">
        <v>9</v>
      </c>
      <c r="AH700" s="76">
        <v>26</v>
      </c>
      <c r="AI700" s="76">
        <v>0</v>
      </c>
      <c r="AJ700" s="76">
        <v>2</v>
      </c>
      <c r="AK700" s="76">
        <v>25</v>
      </c>
      <c r="AL700" s="76" t="b">
        <v>0</v>
      </c>
      <c r="AM700" s="78">
        <v>45007.842615740738</v>
      </c>
      <c r="AN700" s="76"/>
      <c r="AO700" s="76" t="s">
        <v>18784</v>
      </c>
      <c r="AP700" s="76"/>
      <c r="AQ700" s="76"/>
      <c r="AR700" s="76"/>
      <c r="AS700" s="76"/>
      <c r="AT700" s="76"/>
      <c r="AU700" s="76"/>
      <c r="AV700" s="76"/>
      <c r="AW700" s="76"/>
      <c r="AX700" s="76" t="b">
        <v>0</v>
      </c>
      <c r="AY700" s="76"/>
      <c r="AZ700" s="76"/>
      <c r="BA700" s="76" t="b">
        <v>0</v>
      </c>
      <c r="BB700" s="76" t="b">
        <v>1</v>
      </c>
      <c r="BC700" s="76" t="b">
        <v>1</v>
      </c>
      <c r="BD700" s="76" t="b">
        <v>0</v>
      </c>
      <c r="BE700" s="76" t="b">
        <v>0</v>
      </c>
      <c r="BF700" s="76" t="b">
        <v>0</v>
      </c>
      <c r="BG700" s="76" t="b">
        <v>0</v>
      </c>
      <c r="BH700" s="83" t="str">
        <f>HYPERLINK("https://pbs.twimg.com/profile_banners/1638634773416497159/1679516157")</f>
        <v>https://pbs.twimg.com/profile_banners/1638634773416497159/1679516157</v>
      </c>
      <c r="BI700" s="76"/>
      <c r="BJ700" s="76" t="s">
        <v>19633</v>
      </c>
      <c r="BK700" s="76" t="b">
        <v>0</v>
      </c>
      <c r="BL700" s="76"/>
      <c r="BM700" s="76" t="s">
        <v>66</v>
      </c>
      <c r="BN700" s="76" t="s">
        <v>19635</v>
      </c>
      <c r="BO700" s="83" t="str">
        <f>HYPERLINK("https://twitter.com/hablandogrego")</f>
        <v>https://twitter.com/hablandogrego</v>
      </c>
      <c r="BP700" s="2"/>
    </row>
    <row r="701" spans="1:68" x14ac:dyDescent="0.25">
      <c r="A701" s="62" t="s">
        <v>846</v>
      </c>
      <c r="B701" s="63"/>
      <c r="C701" s="63"/>
      <c r="D701" s="64"/>
      <c r="E701" s="66"/>
      <c r="F701" s="103" t="str">
        <f>HYPERLINK("https://pbs.twimg.com/profile_images/1534899432549924868/J6qgfjm5_normal.jpg")</f>
        <v>https://pbs.twimg.com/profile_images/1534899432549924868/J6qgfjm5_normal.jpg</v>
      </c>
      <c r="G701" s="63"/>
      <c r="H701" s="67"/>
      <c r="I701" s="68"/>
      <c r="J701" s="68"/>
      <c r="K701" s="67" t="s">
        <v>20333</v>
      </c>
      <c r="L701" s="71"/>
      <c r="M701" s="72"/>
      <c r="N701" s="72"/>
      <c r="O701" s="73"/>
      <c r="P701" s="74"/>
      <c r="Q701" s="74"/>
      <c r="R701" s="87"/>
      <c r="S701" s="87"/>
      <c r="T701" s="87"/>
      <c r="U701" s="87"/>
      <c r="V701" s="48"/>
      <c r="W701" s="48"/>
      <c r="X701" s="47">
        <v>1.101E-3</v>
      </c>
      <c r="Y701" s="48"/>
      <c r="Z701" s="47"/>
      <c r="AA701" s="69">
        <v>701</v>
      </c>
      <c r="AB701" s="69"/>
      <c r="AC701" s="70"/>
      <c r="AD701" s="76" t="s">
        <v>17326</v>
      </c>
      <c r="AE701" s="81" t="s">
        <v>16492</v>
      </c>
      <c r="AF701" s="76">
        <v>2</v>
      </c>
      <c r="AG701" s="76">
        <v>0</v>
      </c>
      <c r="AH701" s="76">
        <v>60</v>
      </c>
      <c r="AI701" s="76">
        <v>0</v>
      </c>
      <c r="AJ701" s="76">
        <v>13</v>
      </c>
      <c r="AK701" s="76">
        <v>0</v>
      </c>
      <c r="AL701" s="76" t="b">
        <v>0</v>
      </c>
      <c r="AM701" s="78">
        <v>44713.636493055557</v>
      </c>
      <c r="AN701" s="76"/>
      <c r="AO701" s="76" t="s">
        <v>18785</v>
      </c>
      <c r="AP701" s="76"/>
      <c r="AQ701" s="76"/>
      <c r="AR701" s="76"/>
      <c r="AS701" s="76"/>
      <c r="AT701" s="76"/>
      <c r="AU701" s="76"/>
      <c r="AV701" s="76">
        <v>1.5323399480320799E+18</v>
      </c>
      <c r="AW701" s="76"/>
      <c r="AX701" s="76" t="b">
        <v>0</v>
      </c>
      <c r="AY701" s="76"/>
      <c r="AZ701" s="76"/>
      <c r="BA701" s="76" t="b">
        <v>0</v>
      </c>
      <c r="BB701" s="76" t="b">
        <v>1</v>
      </c>
      <c r="BC701" s="76" t="b">
        <v>1</v>
      </c>
      <c r="BD701" s="76" t="b">
        <v>0</v>
      </c>
      <c r="BE701" s="76" t="b">
        <v>0</v>
      </c>
      <c r="BF701" s="76" t="b">
        <v>0</v>
      </c>
      <c r="BG701" s="76" t="b">
        <v>0</v>
      </c>
      <c r="BH701" s="76"/>
      <c r="BI701" s="76"/>
      <c r="BJ701" s="76" t="s">
        <v>19633</v>
      </c>
      <c r="BK701" s="76" t="b">
        <v>0</v>
      </c>
      <c r="BL701" s="76"/>
      <c r="BM701" s="76" t="s">
        <v>66</v>
      </c>
      <c r="BN701" s="76" t="s">
        <v>19635</v>
      </c>
      <c r="BO701" s="83" t="str">
        <f>HYPERLINK("https://twitter.com/sei_services")</f>
        <v>https://twitter.com/sei_services</v>
      </c>
      <c r="BP701" s="2"/>
    </row>
    <row r="702" spans="1:68" x14ac:dyDescent="0.25">
      <c r="A702" s="62" t="s">
        <v>847</v>
      </c>
      <c r="B702" s="63"/>
      <c r="C702" s="63"/>
      <c r="D702" s="64"/>
      <c r="E702" s="66"/>
      <c r="F702" s="103" t="str">
        <f>HYPERLINK("https://pbs.twimg.com/profile_images/1588710794384052225/YvUzPHFJ_normal.jpg")</f>
        <v>https://pbs.twimg.com/profile_images/1588710794384052225/YvUzPHFJ_normal.jpg</v>
      </c>
      <c r="G702" s="63"/>
      <c r="H702" s="67"/>
      <c r="I702" s="68"/>
      <c r="J702" s="68"/>
      <c r="K702" s="67" t="s">
        <v>20334</v>
      </c>
      <c r="L702" s="71"/>
      <c r="M702" s="72"/>
      <c r="N702" s="72"/>
      <c r="O702" s="73"/>
      <c r="P702" s="74"/>
      <c r="Q702" s="74"/>
      <c r="R702" s="87"/>
      <c r="S702" s="87"/>
      <c r="T702" s="87"/>
      <c r="U702" s="87"/>
      <c r="V702" s="48"/>
      <c r="W702" s="48"/>
      <c r="X702" s="47">
        <v>1.101E-3</v>
      </c>
      <c r="Y702" s="48"/>
      <c r="Z702" s="47"/>
      <c r="AA702" s="69">
        <v>702</v>
      </c>
      <c r="AB702" s="69"/>
      <c r="AC702" s="70"/>
      <c r="AD702" s="76" t="s">
        <v>17327</v>
      </c>
      <c r="AE702" s="81" t="s">
        <v>15772</v>
      </c>
      <c r="AF702" s="76">
        <v>18</v>
      </c>
      <c r="AG702" s="76">
        <v>86</v>
      </c>
      <c r="AH702" s="76">
        <v>1680</v>
      </c>
      <c r="AI702" s="76">
        <v>1</v>
      </c>
      <c r="AJ702" s="76">
        <v>5151</v>
      </c>
      <c r="AK702" s="76">
        <v>559</v>
      </c>
      <c r="AL702" s="76" t="b">
        <v>0</v>
      </c>
      <c r="AM702" s="78">
        <v>44144.618391203701</v>
      </c>
      <c r="AN702" s="76" t="s">
        <v>18082</v>
      </c>
      <c r="AO702" s="76" t="s">
        <v>18786</v>
      </c>
      <c r="AP702" s="83" t="str">
        <f>HYPERLINK("https://t.co/8t4eANuBhP")</f>
        <v>https://t.co/8t4eANuBhP</v>
      </c>
      <c r="AQ702" s="83" t="str">
        <f>HYPERLINK("https://youtube.com/@ojoaoulisses")</f>
        <v>https://youtube.com/@ojoaoulisses</v>
      </c>
      <c r="AR702" s="76" t="s">
        <v>19413</v>
      </c>
      <c r="AS702" s="76"/>
      <c r="AT702" s="76"/>
      <c r="AU702" s="76"/>
      <c r="AV702" s="76">
        <v>1.57260672995491E+18</v>
      </c>
      <c r="AW702" s="83" t="str">
        <f>HYPERLINK("https://t.co/8t4eANuBhP")</f>
        <v>https://t.co/8t4eANuBhP</v>
      </c>
      <c r="AX702" s="76" t="b">
        <v>0</v>
      </c>
      <c r="AY702" s="76"/>
      <c r="AZ702" s="76"/>
      <c r="BA702" s="76" t="b">
        <v>0</v>
      </c>
      <c r="BB702" s="76" t="b">
        <v>1</v>
      </c>
      <c r="BC702" s="76" t="b">
        <v>1</v>
      </c>
      <c r="BD702" s="76" t="b">
        <v>0</v>
      </c>
      <c r="BE702" s="76" t="b">
        <v>1</v>
      </c>
      <c r="BF702" s="76" t="b">
        <v>0</v>
      </c>
      <c r="BG702" s="76" t="b">
        <v>0</v>
      </c>
      <c r="BH702" s="83" t="str">
        <f>HYPERLINK("https://pbs.twimg.com/profile_banners/1325812903828713478/1655855789")</f>
        <v>https://pbs.twimg.com/profile_banners/1325812903828713478/1655855789</v>
      </c>
      <c r="BI702" s="76"/>
      <c r="BJ702" s="76" t="s">
        <v>19633</v>
      </c>
      <c r="BK702" s="76" t="b">
        <v>0</v>
      </c>
      <c r="BL702" s="76"/>
      <c r="BM702" s="76" t="s">
        <v>66</v>
      </c>
      <c r="BN702" s="76" t="s">
        <v>19635</v>
      </c>
      <c r="BO702" s="83" t="str">
        <f>HYPERLINK("https://twitter.com/ojoaoulisses")</f>
        <v>https://twitter.com/ojoaoulisses</v>
      </c>
      <c r="BP702" s="2"/>
    </row>
    <row r="703" spans="1:68" x14ac:dyDescent="0.25">
      <c r="A703" s="62" t="s">
        <v>848</v>
      </c>
      <c r="B703" s="63"/>
      <c r="C703" s="63"/>
      <c r="D703" s="64"/>
      <c r="E703" s="66"/>
      <c r="F703" s="103" t="str">
        <f>HYPERLINK("https://pbs.twimg.com/profile_images/1669906202187165697/aFARahiJ_normal.jpg")</f>
        <v>https://pbs.twimg.com/profile_images/1669906202187165697/aFARahiJ_normal.jpg</v>
      </c>
      <c r="G703" s="63"/>
      <c r="H703" s="67"/>
      <c r="I703" s="68"/>
      <c r="J703" s="68"/>
      <c r="K703" s="67" t="s">
        <v>20335</v>
      </c>
      <c r="L703" s="71"/>
      <c r="M703" s="72"/>
      <c r="N703" s="72"/>
      <c r="O703" s="73"/>
      <c r="P703" s="74"/>
      <c r="Q703" s="74"/>
      <c r="R703" s="87"/>
      <c r="S703" s="87"/>
      <c r="T703" s="87"/>
      <c r="U703" s="87"/>
      <c r="V703" s="48"/>
      <c r="W703" s="48"/>
      <c r="X703" s="47">
        <v>1.101E-3</v>
      </c>
      <c r="Y703" s="48"/>
      <c r="Z703" s="47"/>
      <c r="AA703" s="69">
        <v>703</v>
      </c>
      <c r="AB703" s="69"/>
      <c r="AC703" s="70"/>
      <c r="AD703" s="76" t="s">
        <v>17328</v>
      </c>
      <c r="AE703" s="81" t="s">
        <v>16493</v>
      </c>
      <c r="AF703" s="76">
        <v>33</v>
      </c>
      <c r="AG703" s="76">
        <v>30</v>
      </c>
      <c r="AH703" s="76">
        <v>8927</v>
      </c>
      <c r="AI703" s="76">
        <v>0</v>
      </c>
      <c r="AJ703" s="76">
        <v>4831</v>
      </c>
      <c r="AK703" s="76">
        <v>466</v>
      </c>
      <c r="AL703" s="76" t="b">
        <v>0</v>
      </c>
      <c r="AM703" s="78">
        <v>44483.525138888886</v>
      </c>
      <c r="AN703" s="76"/>
      <c r="AO703" s="76" t="s">
        <v>18787</v>
      </c>
      <c r="AP703" s="76"/>
      <c r="AQ703" s="76"/>
      <c r="AR703" s="76"/>
      <c r="AS703" s="76"/>
      <c r="AT703" s="76"/>
      <c r="AU703" s="76"/>
      <c r="AV703" s="76">
        <v>1.5361792298381499E+18</v>
      </c>
      <c r="AW703" s="76"/>
      <c r="AX703" s="76" t="b">
        <v>0</v>
      </c>
      <c r="AY703" s="76"/>
      <c r="AZ703" s="76"/>
      <c r="BA703" s="76" t="b">
        <v>0</v>
      </c>
      <c r="BB703" s="76" t="b">
        <v>0</v>
      </c>
      <c r="BC703" s="76" t="b">
        <v>1</v>
      </c>
      <c r="BD703" s="76" t="b">
        <v>0</v>
      </c>
      <c r="BE703" s="76" t="b">
        <v>1</v>
      </c>
      <c r="BF703" s="76" t="b">
        <v>0</v>
      </c>
      <c r="BG703" s="76" t="b">
        <v>0</v>
      </c>
      <c r="BH703" s="83" t="str">
        <f>HYPERLINK("https://pbs.twimg.com/profile_banners/1448628666833985536/1686973050")</f>
        <v>https://pbs.twimg.com/profile_banners/1448628666833985536/1686973050</v>
      </c>
      <c r="BI703" s="76"/>
      <c r="BJ703" s="76" t="s">
        <v>19633</v>
      </c>
      <c r="BK703" s="76" t="b">
        <v>0</v>
      </c>
      <c r="BL703" s="76"/>
      <c r="BM703" s="76" t="s">
        <v>66</v>
      </c>
      <c r="BN703" s="76" t="s">
        <v>19635</v>
      </c>
      <c r="BO703" s="83" t="str">
        <f>HYPERLINK("https://twitter.com/arrascaweta")</f>
        <v>https://twitter.com/arrascaweta</v>
      </c>
      <c r="BP703" s="2"/>
    </row>
    <row r="704" spans="1:68" x14ac:dyDescent="0.25">
      <c r="A704" s="62" t="s">
        <v>1113</v>
      </c>
      <c r="B704" s="63"/>
      <c r="C704" s="63"/>
      <c r="D704" s="64"/>
      <c r="E704" s="66"/>
      <c r="F704" s="103" t="str">
        <f>HYPERLINK("https://pbs.twimg.com/profile_images/1690012539554340864/bCim4Fu9_normal.jpg")</f>
        <v>https://pbs.twimg.com/profile_images/1690012539554340864/bCim4Fu9_normal.jpg</v>
      </c>
      <c r="G704" s="63"/>
      <c r="H704" s="67"/>
      <c r="I704" s="68"/>
      <c r="J704" s="68"/>
      <c r="K704" s="67" t="s">
        <v>20336</v>
      </c>
      <c r="L704" s="71"/>
      <c r="M704" s="72"/>
      <c r="N704" s="72"/>
      <c r="O704" s="73"/>
      <c r="P704" s="74"/>
      <c r="Q704" s="74"/>
      <c r="R704" s="87"/>
      <c r="S704" s="87"/>
      <c r="T704" s="87"/>
      <c r="U704" s="87"/>
      <c r="V704" s="48"/>
      <c r="W704" s="48"/>
      <c r="X704" s="47">
        <v>1.101E-3</v>
      </c>
      <c r="Y704" s="48"/>
      <c r="Z704" s="47"/>
      <c r="AA704" s="69">
        <v>704</v>
      </c>
      <c r="AB704" s="69"/>
      <c r="AC704" s="70"/>
      <c r="AD704" s="76" t="s">
        <v>17328</v>
      </c>
      <c r="AE704" s="81" t="s">
        <v>15773</v>
      </c>
      <c r="AF704" s="76">
        <v>266</v>
      </c>
      <c r="AG704" s="76">
        <v>315</v>
      </c>
      <c r="AH704" s="76">
        <v>10620</v>
      </c>
      <c r="AI704" s="76">
        <v>6</v>
      </c>
      <c r="AJ704" s="76">
        <v>2121</v>
      </c>
      <c r="AK704" s="76">
        <v>1996</v>
      </c>
      <c r="AL704" s="76" t="b">
        <v>0</v>
      </c>
      <c r="AM704" s="78">
        <v>45053.725046296298</v>
      </c>
      <c r="AN704" s="76" t="s">
        <v>18083</v>
      </c>
      <c r="AO704" s="76" t="s">
        <v>18788</v>
      </c>
      <c r="AP704" s="83" t="str">
        <f>HYPERLINK("https://t.co/KYNeC6VsCj")</f>
        <v>https://t.co/KYNeC6VsCj</v>
      </c>
      <c r="AQ704" s="83" t="str">
        <f>HYPERLINK("http://19nov23.xn--6ii")</f>
        <v>http://19nov23.xn--6ii</v>
      </c>
      <c r="AR704" s="76" t="s">
        <v>19414</v>
      </c>
      <c r="AS704" s="76"/>
      <c r="AT704" s="76"/>
      <c r="AU704" s="76"/>
      <c r="AV704" s="76">
        <v>1.6581104042943301E+18</v>
      </c>
      <c r="AW704" s="83" t="str">
        <f>HYPERLINK("https://t.co/KYNeC6VsCj")</f>
        <v>https://t.co/KYNeC6VsCj</v>
      </c>
      <c r="AX704" s="76" t="b">
        <v>0</v>
      </c>
      <c r="AY704" s="76"/>
      <c r="AZ704" s="76"/>
      <c r="BA704" s="76" t="b">
        <v>0</v>
      </c>
      <c r="BB704" s="76" t="b">
        <v>0</v>
      </c>
      <c r="BC704" s="76" t="b">
        <v>1</v>
      </c>
      <c r="BD704" s="76" t="b">
        <v>0</v>
      </c>
      <c r="BE704" s="76" t="b">
        <v>0</v>
      </c>
      <c r="BF704" s="76" t="b">
        <v>0</v>
      </c>
      <c r="BG704" s="76" t="b">
        <v>0</v>
      </c>
      <c r="BH704" s="83" t="str">
        <f>HYPERLINK("https://pbs.twimg.com/profile_banners/1655262179052990467/1693154806")</f>
        <v>https://pbs.twimg.com/profile_banners/1655262179052990467/1693154806</v>
      </c>
      <c r="BI704" s="76"/>
      <c r="BJ704" s="76" t="s">
        <v>19633</v>
      </c>
      <c r="BK704" s="76" t="b">
        <v>0</v>
      </c>
      <c r="BL704" s="76"/>
      <c r="BM704" s="76" t="s">
        <v>65</v>
      </c>
      <c r="BN704" s="76" t="s">
        <v>19635</v>
      </c>
      <c r="BO704" s="83" t="str">
        <f>HYPERLINK("https://twitter.com/wheelercrf")</f>
        <v>https://twitter.com/wheelercrf</v>
      </c>
      <c r="BP704" s="2"/>
    </row>
    <row r="705" spans="1:68" x14ac:dyDescent="0.25">
      <c r="A705" s="62" t="s">
        <v>849</v>
      </c>
      <c r="B705" s="63"/>
      <c r="C705" s="63"/>
      <c r="D705" s="64"/>
      <c r="E705" s="66"/>
      <c r="F705" s="103" t="str">
        <f>HYPERLINK("https://pbs.twimg.com/profile_images/1414576179131072512/vS1i_s2K_normal.jpg")</f>
        <v>https://pbs.twimg.com/profile_images/1414576179131072512/vS1i_s2K_normal.jpg</v>
      </c>
      <c r="G705" s="63"/>
      <c r="H705" s="67"/>
      <c r="I705" s="68"/>
      <c r="J705" s="68"/>
      <c r="K705" s="67" t="s">
        <v>20337</v>
      </c>
      <c r="L705" s="71"/>
      <c r="M705" s="72"/>
      <c r="N705" s="72"/>
      <c r="O705" s="73"/>
      <c r="P705" s="74"/>
      <c r="Q705" s="74"/>
      <c r="R705" s="87"/>
      <c r="S705" s="87"/>
      <c r="T705" s="87"/>
      <c r="U705" s="87"/>
      <c r="V705" s="48"/>
      <c r="W705" s="48"/>
      <c r="X705" s="47">
        <v>1.0759999999999999E-3</v>
      </c>
      <c r="Y705" s="48"/>
      <c r="Z705" s="47"/>
      <c r="AA705" s="69">
        <v>705</v>
      </c>
      <c r="AB705" s="69"/>
      <c r="AC705" s="70"/>
      <c r="AD705" s="76" t="s">
        <v>17329</v>
      </c>
      <c r="AE705" s="81" t="s">
        <v>17773</v>
      </c>
      <c r="AF705" s="76">
        <v>1395</v>
      </c>
      <c r="AG705" s="76">
        <v>250</v>
      </c>
      <c r="AH705" s="76">
        <v>1956</v>
      </c>
      <c r="AI705" s="76">
        <v>13</v>
      </c>
      <c r="AJ705" s="76">
        <v>76</v>
      </c>
      <c r="AK705" s="76">
        <v>1346</v>
      </c>
      <c r="AL705" s="76" t="b">
        <v>0</v>
      </c>
      <c r="AM705" s="78">
        <v>40216.743333333332</v>
      </c>
      <c r="AN705" s="76" t="s">
        <v>18084</v>
      </c>
      <c r="AO705" s="76" t="s">
        <v>18789</v>
      </c>
      <c r="AP705" s="83" t="str">
        <f>HYPERLINK("https://t.co/7wAURk55tK")</f>
        <v>https://t.co/7wAURk55tK</v>
      </c>
      <c r="AQ705" s="83" t="str">
        <f>HYPERLINK("https://dividazero.com.br/")</f>
        <v>https://dividazero.com.br/</v>
      </c>
      <c r="AR705" s="76" t="s">
        <v>19415</v>
      </c>
      <c r="AS705" s="76"/>
      <c r="AT705" s="76"/>
      <c r="AU705" s="76"/>
      <c r="AV705" s="76"/>
      <c r="AW705" s="83" t="str">
        <f>HYPERLINK("https://t.co/7wAURk55tK")</f>
        <v>https://t.co/7wAURk55tK</v>
      </c>
      <c r="AX705" s="76" t="b">
        <v>0</v>
      </c>
      <c r="AY705" s="76"/>
      <c r="AZ705" s="76"/>
      <c r="BA705" s="76" t="b">
        <v>0</v>
      </c>
      <c r="BB705" s="76" t="b">
        <v>1</v>
      </c>
      <c r="BC705" s="76" t="b">
        <v>0</v>
      </c>
      <c r="BD705" s="76" t="b">
        <v>0</v>
      </c>
      <c r="BE705" s="76" t="b">
        <v>0</v>
      </c>
      <c r="BF705" s="76" t="b">
        <v>0</v>
      </c>
      <c r="BG705" s="76" t="b">
        <v>0</v>
      </c>
      <c r="BH705" s="76"/>
      <c r="BI705" s="76"/>
      <c r="BJ705" s="76" t="s">
        <v>19633</v>
      </c>
      <c r="BK705" s="76" t="b">
        <v>0</v>
      </c>
      <c r="BL705" s="76"/>
      <c r="BM705" s="76" t="s">
        <v>66</v>
      </c>
      <c r="BN705" s="76" t="s">
        <v>19635</v>
      </c>
      <c r="BO705" s="83" t="str">
        <f>HYPERLINK("https://twitter.com/dividazero")</f>
        <v>https://twitter.com/dividazero</v>
      </c>
      <c r="BP705" s="2"/>
    </row>
    <row r="706" spans="1:68" x14ac:dyDescent="0.25">
      <c r="A706" s="62" t="s">
        <v>850</v>
      </c>
      <c r="B706" s="63"/>
      <c r="C706" s="63"/>
      <c r="D706" s="64"/>
      <c r="E706" s="66"/>
      <c r="F706" s="103" t="str">
        <f>HYPERLINK("https://pbs.twimg.com/profile_images/1587183918595416066/sejFMQCt_normal.jpg")</f>
        <v>https://pbs.twimg.com/profile_images/1587183918595416066/sejFMQCt_normal.jpg</v>
      </c>
      <c r="G706" s="63"/>
      <c r="H706" s="67"/>
      <c r="I706" s="68"/>
      <c r="J706" s="68"/>
      <c r="K706" s="67" t="s">
        <v>20338</v>
      </c>
      <c r="L706" s="71"/>
      <c r="M706" s="72"/>
      <c r="N706" s="72"/>
      <c r="O706" s="73"/>
      <c r="P706" s="74"/>
      <c r="Q706" s="74"/>
      <c r="R706" s="87"/>
      <c r="S706" s="87"/>
      <c r="T706" s="87"/>
      <c r="U706" s="87"/>
      <c r="V706" s="48"/>
      <c r="W706" s="48"/>
      <c r="X706" s="47">
        <v>1.101E-3</v>
      </c>
      <c r="Y706" s="48"/>
      <c r="Z706" s="47"/>
      <c r="AA706" s="69">
        <v>706</v>
      </c>
      <c r="AB706" s="69"/>
      <c r="AC706" s="70"/>
      <c r="AD706" s="76" t="s">
        <v>17330</v>
      </c>
      <c r="AE706" s="81" t="s">
        <v>17774</v>
      </c>
      <c r="AF706" s="76">
        <v>105825</v>
      </c>
      <c r="AG706" s="76">
        <v>32</v>
      </c>
      <c r="AH706" s="76">
        <v>82944</v>
      </c>
      <c r="AI706" s="76">
        <v>323</v>
      </c>
      <c r="AJ706" s="76">
        <v>27473</v>
      </c>
      <c r="AK706" s="76">
        <v>43376</v>
      </c>
      <c r="AL706" s="76" t="b">
        <v>0</v>
      </c>
      <c r="AM706" s="78">
        <v>39896.705497685187</v>
      </c>
      <c r="AN706" s="76" t="s">
        <v>10552</v>
      </c>
      <c r="AO706" s="76" t="s">
        <v>18790</v>
      </c>
      <c r="AP706" s="83" t="str">
        <f>HYPERLINK("https://t.co/vJn8gLf1Te")</f>
        <v>https://t.co/vJn8gLf1Te</v>
      </c>
      <c r="AQ706" s="83" t="str">
        <f>HYPERLINK("http://www.redevida.com.br")</f>
        <v>http://www.redevida.com.br</v>
      </c>
      <c r="AR706" s="76" t="s">
        <v>19416</v>
      </c>
      <c r="AS706" s="83" t="str">
        <f>HYPERLINK("https://t.co/1pCykbDVxY")</f>
        <v>https://t.co/1pCykbDVxY</v>
      </c>
      <c r="AT706" s="83" t="str">
        <f>HYPERLINK("http://youtube.com/tvredevida")</f>
        <v>http://youtube.com/tvredevida</v>
      </c>
      <c r="AU706" s="76" t="s">
        <v>19622</v>
      </c>
      <c r="AV706" s="76"/>
      <c r="AW706" s="83" t="str">
        <f>HYPERLINK("https://t.co/vJn8gLf1Te")</f>
        <v>https://t.co/vJn8gLf1Te</v>
      </c>
      <c r="AX706" s="76" t="b">
        <v>0</v>
      </c>
      <c r="AY706" s="76"/>
      <c r="AZ706" s="76"/>
      <c r="BA706" s="76" t="b">
        <v>0</v>
      </c>
      <c r="BB706" s="76" t="b">
        <v>1</v>
      </c>
      <c r="BC706" s="76" t="b">
        <v>0</v>
      </c>
      <c r="BD706" s="76" t="b">
        <v>0</v>
      </c>
      <c r="BE706" s="76" t="b">
        <v>1</v>
      </c>
      <c r="BF706" s="76" t="b">
        <v>0</v>
      </c>
      <c r="BG706" s="76" t="b">
        <v>0</v>
      </c>
      <c r="BH706" s="83" t="str">
        <f>HYPERLINK("https://pbs.twimg.com/profile_banners/26273418/1652470518")</f>
        <v>https://pbs.twimg.com/profile_banners/26273418/1652470518</v>
      </c>
      <c r="BI706" s="76"/>
      <c r="BJ706" s="76" t="s">
        <v>19633</v>
      </c>
      <c r="BK706" s="76" t="b">
        <v>0</v>
      </c>
      <c r="BL706" s="76"/>
      <c r="BM706" s="76" t="s">
        <v>66</v>
      </c>
      <c r="BN706" s="76" t="s">
        <v>19635</v>
      </c>
      <c r="BO706" s="83" t="str">
        <f>HYPERLINK("https://twitter.com/redevida")</f>
        <v>https://twitter.com/redevida</v>
      </c>
      <c r="BP706" s="2"/>
    </row>
    <row r="707" spans="1:68" x14ac:dyDescent="0.25">
      <c r="A707" s="62" t="s">
        <v>851</v>
      </c>
      <c r="B707" s="63"/>
      <c r="C707" s="63"/>
      <c r="D707" s="64"/>
      <c r="E707" s="66"/>
      <c r="F707" s="103" t="str">
        <f>HYPERLINK("https://pbs.twimg.com/profile_images/1419804325585489927/p6LVfN3y_normal.png")</f>
        <v>https://pbs.twimg.com/profile_images/1419804325585489927/p6LVfN3y_normal.png</v>
      </c>
      <c r="G707" s="63"/>
      <c r="H707" s="67"/>
      <c r="I707" s="68"/>
      <c r="J707" s="68"/>
      <c r="K707" s="67" t="s">
        <v>20339</v>
      </c>
      <c r="L707" s="71"/>
      <c r="M707" s="72"/>
      <c r="N707" s="72"/>
      <c r="O707" s="73"/>
      <c r="P707" s="74"/>
      <c r="Q707" s="74"/>
      <c r="R707" s="87"/>
      <c r="S707" s="87"/>
      <c r="T707" s="87"/>
      <c r="U707" s="87"/>
      <c r="V707" s="48"/>
      <c r="W707" s="48"/>
      <c r="X707" s="47">
        <v>9.6500000000000004E-4</v>
      </c>
      <c r="Y707" s="48"/>
      <c r="Z707" s="47"/>
      <c r="AA707" s="69">
        <v>707</v>
      </c>
      <c r="AB707" s="69"/>
      <c r="AC707" s="70"/>
      <c r="AD707" s="76" t="s">
        <v>17331</v>
      </c>
      <c r="AE707" s="81" t="s">
        <v>16494</v>
      </c>
      <c r="AF707" s="76">
        <v>150</v>
      </c>
      <c r="AG707" s="76">
        <v>2076</v>
      </c>
      <c r="AH707" s="76">
        <v>950</v>
      </c>
      <c r="AI707" s="76">
        <v>0</v>
      </c>
      <c r="AJ707" s="76">
        <v>883</v>
      </c>
      <c r="AK707" s="76">
        <v>245</v>
      </c>
      <c r="AL707" s="76" t="b">
        <v>0</v>
      </c>
      <c r="AM707" s="78">
        <v>44397.655300925922</v>
      </c>
      <c r="AN707" s="76" t="s">
        <v>10561</v>
      </c>
      <c r="AO707" s="76" t="s">
        <v>18791</v>
      </c>
      <c r="AP707" s="83" t="str">
        <f>HYPERLINK("https://t.co/xymiGpTz0M")</f>
        <v>https://t.co/xymiGpTz0M</v>
      </c>
      <c r="AQ707" s="83" t="str">
        <f>HYPERLINK("https://www.proatitude.com")</f>
        <v>https://www.proatitude.com</v>
      </c>
      <c r="AR707" s="76" t="s">
        <v>19417</v>
      </c>
      <c r="AS707" s="76"/>
      <c r="AT707" s="76"/>
      <c r="AU707" s="76"/>
      <c r="AV707" s="76"/>
      <c r="AW707" s="83" t="str">
        <f>HYPERLINK("https://t.co/xymiGpTz0M")</f>
        <v>https://t.co/xymiGpTz0M</v>
      </c>
      <c r="AX707" s="76" t="b">
        <v>0</v>
      </c>
      <c r="AY707" s="76"/>
      <c r="AZ707" s="76"/>
      <c r="BA707" s="76" t="b">
        <v>0</v>
      </c>
      <c r="BB707" s="76" t="b">
        <v>1</v>
      </c>
      <c r="BC707" s="76" t="b">
        <v>1</v>
      </c>
      <c r="BD707" s="76" t="b">
        <v>0</v>
      </c>
      <c r="BE707" s="76" t="b">
        <v>1</v>
      </c>
      <c r="BF707" s="76" t="b">
        <v>0</v>
      </c>
      <c r="BG707" s="76" t="b">
        <v>0</v>
      </c>
      <c r="BH707" s="83" t="str">
        <f>HYPERLINK("https://pbs.twimg.com/profile_banners/1417510425713852416/1627342854")</f>
        <v>https://pbs.twimg.com/profile_banners/1417510425713852416/1627342854</v>
      </c>
      <c r="BI707" s="76"/>
      <c r="BJ707" s="76" t="s">
        <v>19633</v>
      </c>
      <c r="BK707" s="76" t="b">
        <v>0</v>
      </c>
      <c r="BL707" s="76"/>
      <c r="BM707" s="76" t="s">
        <v>66</v>
      </c>
      <c r="BN707" s="76" t="s">
        <v>19635</v>
      </c>
      <c r="BO707" s="83" t="str">
        <f>HYPERLINK("https://twitter.com/proatitudeeduca")</f>
        <v>https://twitter.com/proatitudeeduca</v>
      </c>
      <c r="BP707" s="2"/>
    </row>
    <row r="708" spans="1:68" x14ac:dyDescent="0.25">
      <c r="A708" s="62" t="s">
        <v>852</v>
      </c>
      <c r="B708" s="63"/>
      <c r="C708" s="63"/>
      <c r="D708" s="64"/>
      <c r="E708" s="66"/>
      <c r="F708" s="103" t="str">
        <f>HYPERLINK("https://pbs.twimg.com/profile_images/1690727883726036993/RQR3cuXO_normal.jpg")</f>
        <v>https://pbs.twimg.com/profile_images/1690727883726036993/RQR3cuXO_normal.jpg</v>
      </c>
      <c r="G708" s="63"/>
      <c r="H708" s="67"/>
      <c r="I708" s="68"/>
      <c r="J708" s="68"/>
      <c r="K708" s="67" t="s">
        <v>20340</v>
      </c>
      <c r="L708" s="71"/>
      <c r="M708" s="72"/>
      <c r="N708" s="72"/>
      <c r="O708" s="73"/>
      <c r="P708" s="74"/>
      <c r="Q708" s="74"/>
      <c r="R708" s="87"/>
      <c r="S708" s="87"/>
      <c r="T708" s="87"/>
      <c r="U708" s="87"/>
      <c r="V708" s="48"/>
      <c r="W708" s="48"/>
      <c r="X708" s="47">
        <v>1.101E-3</v>
      </c>
      <c r="Y708" s="48"/>
      <c r="Z708" s="47"/>
      <c r="AA708" s="69">
        <v>708</v>
      </c>
      <c r="AB708" s="69"/>
      <c r="AC708" s="70"/>
      <c r="AD708" s="76" t="s">
        <v>17332</v>
      </c>
      <c r="AE708" s="81" t="s">
        <v>17775</v>
      </c>
      <c r="AF708" s="76">
        <v>19</v>
      </c>
      <c r="AG708" s="76">
        <v>30</v>
      </c>
      <c r="AH708" s="76">
        <v>7</v>
      </c>
      <c r="AI708" s="76">
        <v>0</v>
      </c>
      <c r="AJ708" s="76">
        <v>0</v>
      </c>
      <c r="AK708" s="76">
        <v>6</v>
      </c>
      <c r="AL708" s="76" t="b">
        <v>0</v>
      </c>
      <c r="AM708" s="78">
        <v>40794.205497685187</v>
      </c>
      <c r="AN708" s="76"/>
      <c r="AO708" s="76" t="s">
        <v>18792</v>
      </c>
      <c r="AP708" s="83" t="str">
        <f>HYPERLINK("https://t.co/ECeZ5uBfaX")</f>
        <v>https://t.co/ECeZ5uBfaX</v>
      </c>
      <c r="AQ708" s="83" t="str">
        <f>HYPERLINK("https://fnsfinancas.com")</f>
        <v>https://fnsfinancas.com</v>
      </c>
      <c r="AR708" s="76" t="s">
        <v>19418</v>
      </c>
      <c r="AS708" s="76"/>
      <c r="AT708" s="76"/>
      <c r="AU708" s="76"/>
      <c r="AV708" s="76"/>
      <c r="AW708" s="83" t="str">
        <f>HYPERLINK("https://t.co/ECeZ5uBfaX")</f>
        <v>https://t.co/ECeZ5uBfaX</v>
      </c>
      <c r="AX708" s="76" t="b">
        <v>0</v>
      </c>
      <c r="AY708" s="76"/>
      <c r="AZ708" s="76"/>
      <c r="BA708" s="76" t="b">
        <v>0</v>
      </c>
      <c r="BB708" s="76" t="b">
        <v>1</v>
      </c>
      <c r="BC708" s="76" t="b">
        <v>1</v>
      </c>
      <c r="BD708" s="76" t="b">
        <v>0</v>
      </c>
      <c r="BE708" s="76" t="b">
        <v>0</v>
      </c>
      <c r="BF708" s="76" t="b">
        <v>0</v>
      </c>
      <c r="BG708" s="76" t="b">
        <v>0</v>
      </c>
      <c r="BH708" s="83" t="str">
        <f>HYPERLINK("https://pbs.twimg.com/profile_banners/369919170/1691935915")</f>
        <v>https://pbs.twimg.com/profile_banners/369919170/1691935915</v>
      </c>
      <c r="BI708" s="76"/>
      <c r="BJ708" s="76" t="s">
        <v>19633</v>
      </c>
      <c r="BK708" s="76" t="b">
        <v>0</v>
      </c>
      <c r="BL708" s="76"/>
      <c r="BM708" s="76" t="s">
        <v>66</v>
      </c>
      <c r="BN708" s="76" t="s">
        <v>19635</v>
      </c>
      <c r="BO708" s="83" t="str">
        <f>HYPERLINK("https://twitter.com/fnsfinancas")</f>
        <v>https://twitter.com/fnsfinancas</v>
      </c>
      <c r="BP708" s="2"/>
    </row>
    <row r="709" spans="1:68" x14ac:dyDescent="0.25">
      <c r="A709" s="62" t="s">
        <v>853</v>
      </c>
      <c r="B709" s="63"/>
      <c r="C709" s="63"/>
      <c r="D709" s="64"/>
      <c r="E709" s="66"/>
      <c r="F709" s="103" t="str">
        <f>HYPERLINK("https://pbs.twimg.com/profile_images/1460216904233197573/R3vRR0UN_normal.jpg")</f>
        <v>https://pbs.twimg.com/profile_images/1460216904233197573/R3vRR0UN_normal.jpg</v>
      </c>
      <c r="G709" s="63"/>
      <c r="H709" s="67"/>
      <c r="I709" s="68"/>
      <c r="J709" s="68"/>
      <c r="K709" s="67" t="s">
        <v>20341</v>
      </c>
      <c r="L709" s="71"/>
      <c r="M709" s="72"/>
      <c r="N709" s="72"/>
      <c r="O709" s="73"/>
      <c r="P709" s="74"/>
      <c r="Q709" s="74"/>
      <c r="R709" s="87"/>
      <c r="S709" s="87"/>
      <c r="T709" s="87"/>
      <c r="U709" s="87"/>
      <c r="V709" s="48"/>
      <c r="W709" s="48"/>
      <c r="X709" s="47">
        <v>1.101E-3</v>
      </c>
      <c r="Y709" s="48"/>
      <c r="Z709" s="47"/>
      <c r="AA709" s="69">
        <v>709</v>
      </c>
      <c r="AB709" s="69"/>
      <c r="AC709" s="70"/>
      <c r="AD709" s="76" t="s">
        <v>17333</v>
      </c>
      <c r="AE709" s="81" t="s">
        <v>16495</v>
      </c>
      <c r="AF709" s="76">
        <v>13</v>
      </c>
      <c r="AG709" s="76">
        <v>9</v>
      </c>
      <c r="AH709" s="76">
        <v>1437</v>
      </c>
      <c r="AI709" s="76">
        <v>0</v>
      </c>
      <c r="AJ709" s="76">
        <v>46</v>
      </c>
      <c r="AK709" s="76">
        <v>1284</v>
      </c>
      <c r="AL709" s="76" t="b">
        <v>0</v>
      </c>
      <c r="AM709" s="78">
        <v>44506.612210648149</v>
      </c>
      <c r="AN709" s="76" t="s">
        <v>18085</v>
      </c>
      <c r="AO709" s="76" t="s">
        <v>18793</v>
      </c>
      <c r="AP709" s="83" t="str">
        <f>HYPERLINK("https://t.co/fO3Be3HmGz")</f>
        <v>https://t.co/fO3Be3HmGz</v>
      </c>
      <c r="AQ709" s="83" t="str">
        <f>HYPERLINK("https://www.arkaonline.com.br")</f>
        <v>https://www.arkaonline.com.br</v>
      </c>
      <c r="AR709" s="76" t="s">
        <v>19419</v>
      </c>
      <c r="AS709" s="76"/>
      <c r="AT709" s="76"/>
      <c r="AU709" s="76"/>
      <c r="AV709" s="76"/>
      <c r="AW709" s="83" t="str">
        <f>HYPERLINK("https://t.co/fO3Be3HmGz")</f>
        <v>https://t.co/fO3Be3HmGz</v>
      </c>
      <c r="AX709" s="76" t="b">
        <v>0</v>
      </c>
      <c r="AY709" s="76"/>
      <c r="AZ709" s="76"/>
      <c r="BA709" s="76" t="b">
        <v>0</v>
      </c>
      <c r="BB709" s="76" t="b">
        <v>1</v>
      </c>
      <c r="BC709" s="76" t="b">
        <v>1</v>
      </c>
      <c r="BD709" s="76" t="b">
        <v>0</v>
      </c>
      <c r="BE709" s="76" t="b">
        <v>0</v>
      </c>
      <c r="BF709" s="76" t="b">
        <v>0</v>
      </c>
      <c r="BG709" s="76" t="b">
        <v>0</v>
      </c>
      <c r="BH709" s="83" t="str">
        <f>HYPERLINK("https://pbs.twimg.com/profile_banners/1456995149175828489/1637170715")</f>
        <v>https://pbs.twimg.com/profile_banners/1456995149175828489/1637170715</v>
      </c>
      <c r="BI709" s="76"/>
      <c r="BJ709" s="76" t="s">
        <v>19633</v>
      </c>
      <c r="BK709" s="76" t="b">
        <v>0</v>
      </c>
      <c r="BL709" s="76"/>
      <c r="BM709" s="76" t="s">
        <v>66</v>
      </c>
      <c r="BN709" s="76" t="s">
        <v>19635</v>
      </c>
      <c r="BO709" s="83" t="str">
        <f>HYPERLINK("https://twitter.com/arkaonline_")</f>
        <v>https://twitter.com/arkaonline_</v>
      </c>
      <c r="BP709" s="2"/>
    </row>
    <row r="710" spans="1:68" x14ac:dyDescent="0.25">
      <c r="A710" s="62" t="s">
        <v>854</v>
      </c>
      <c r="B710" s="63"/>
      <c r="C710" s="63"/>
      <c r="D710" s="64"/>
      <c r="E710" s="66"/>
      <c r="F710" s="103" t="str">
        <f>HYPERLINK("https://pbs.twimg.com/profile_images/1644479379425165313/kETmmLIo_normal.jpg")</f>
        <v>https://pbs.twimg.com/profile_images/1644479379425165313/kETmmLIo_normal.jpg</v>
      </c>
      <c r="G710" s="63"/>
      <c r="H710" s="67"/>
      <c r="I710" s="68"/>
      <c r="J710" s="68"/>
      <c r="K710" s="67" t="s">
        <v>20342</v>
      </c>
      <c r="L710" s="71"/>
      <c r="M710" s="72"/>
      <c r="N710" s="72"/>
      <c r="O710" s="73"/>
      <c r="P710" s="74"/>
      <c r="Q710" s="74"/>
      <c r="R710" s="87"/>
      <c r="S710" s="87"/>
      <c r="T710" s="87"/>
      <c r="U710" s="87"/>
      <c r="V710" s="48"/>
      <c r="W710" s="48"/>
      <c r="X710" s="47">
        <v>1.302E-3</v>
      </c>
      <c r="Y710" s="48"/>
      <c r="Z710" s="47"/>
      <c r="AA710" s="69">
        <v>710</v>
      </c>
      <c r="AB710" s="69"/>
      <c r="AC710" s="70"/>
      <c r="AD710" s="76" t="s">
        <v>17334</v>
      </c>
      <c r="AE710" s="81" t="s">
        <v>16496</v>
      </c>
      <c r="AF710" s="76">
        <v>6</v>
      </c>
      <c r="AG710" s="76">
        <v>89</v>
      </c>
      <c r="AH710" s="76">
        <v>17</v>
      </c>
      <c r="AI710" s="76">
        <v>3</v>
      </c>
      <c r="AJ710" s="76">
        <v>125</v>
      </c>
      <c r="AK710" s="76">
        <v>13</v>
      </c>
      <c r="AL710" s="76" t="b">
        <v>0</v>
      </c>
      <c r="AM710" s="78">
        <v>43930.008032407408</v>
      </c>
      <c r="AN710" s="76" t="s">
        <v>10570</v>
      </c>
      <c r="AO710" s="76" t="s">
        <v>18794</v>
      </c>
      <c r="AP710" s="76"/>
      <c r="AQ710" s="76"/>
      <c r="AR710" s="76"/>
      <c r="AS710" s="76"/>
      <c r="AT710" s="76"/>
      <c r="AU710" s="76"/>
      <c r="AV710" s="76"/>
      <c r="AW710" s="76"/>
      <c r="AX710" s="76" t="b">
        <v>0</v>
      </c>
      <c r="AY710" s="76"/>
      <c r="AZ710" s="76"/>
      <c r="BA710" s="76" t="b">
        <v>0</v>
      </c>
      <c r="BB710" s="76" t="b">
        <v>1</v>
      </c>
      <c r="BC710" s="76" t="b">
        <v>1</v>
      </c>
      <c r="BD710" s="76" t="b">
        <v>0</v>
      </c>
      <c r="BE710" s="76" t="b">
        <v>1</v>
      </c>
      <c r="BF710" s="76" t="b">
        <v>0</v>
      </c>
      <c r="BG710" s="76" t="b">
        <v>0</v>
      </c>
      <c r="BH710" s="83" t="str">
        <f>HYPERLINK("https://pbs.twimg.com/profile_banners/1248040760009789445/1624311606")</f>
        <v>https://pbs.twimg.com/profile_banners/1248040760009789445/1624311606</v>
      </c>
      <c r="BI710" s="76"/>
      <c r="BJ710" s="76" t="s">
        <v>19633</v>
      </c>
      <c r="BK710" s="76" t="b">
        <v>0</v>
      </c>
      <c r="BL710" s="76"/>
      <c r="BM710" s="76" t="s">
        <v>66</v>
      </c>
      <c r="BN710" s="76" t="s">
        <v>19635</v>
      </c>
      <c r="BO710" s="83" t="str">
        <f>HYPERLINK("https://twitter.com/beatrizdiascc")</f>
        <v>https://twitter.com/beatrizdiascc</v>
      </c>
      <c r="BP710" s="2"/>
    </row>
    <row r="711" spans="1:68" x14ac:dyDescent="0.25">
      <c r="A711" s="62" t="s">
        <v>1114</v>
      </c>
      <c r="B711" s="63"/>
      <c r="C711" s="63"/>
      <c r="D711" s="64"/>
      <c r="E711" s="66"/>
      <c r="F711" s="103" t="str">
        <f>HYPERLINK("https://pbs.twimg.com/profile_images/1624815535505522695/mhZM0n62_normal.png")</f>
        <v>https://pbs.twimg.com/profile_images/1624815535505522695/mhZM0n62_normal.png</v>
      </c>
      <c r="G711" s="63"/>
      <c r="H711" s="67"/>
      <c r="I711" s="68"/>
      <c r="J711" s="68"/>
      <c r="K711" s="67" t="s">
        <v>20343</v>
      </c>
      <c r="L711" s="71"/>
      <c r="M711" s="72"/>
      <c r="N711" s="72"/>
      <c r="O711" s="73"/>
      <c r="P711" s="74"/>
      <c r="Q711" s="74"/>
      <c r="R711" s="87"/>
      <c r="S711" s="87"/>
      <c r="T711" s="87"/>
      <c r="U711" s="87"/>
      <c r="V711" s="48"/>
      <c r="W711" s="48"/>
      <c r="X711" s="47">
        <v>1.0009999999999999E-3</v>
      </c>
      <c r="Y711" s="48"/>
      <c r="Z711" s="47"/>
      <c r="AA711" s="69">
        <v>711</v>
      </c>
      <c r="AB711" s="69"/>
      <c r="AC711" s="70"/>
      <c r="AD711" s="76" t="s">
        <v>17335</v>
      </c>
      <c r="AE711" s="81" t="s">
        <v>17776</v>
      </c>
      <c r="AF711" s="76">
        <v>10366482</v>
      </c>
      <c r="AG711" s="76">
        <v>109</v>
      </c>
      <c r="AH711" s="76">
        <v>21424</v>
      </c>
      <c r="AI711" s="76">
        <v>16079</v>
      </c>
      <c r="AJ711" s="76">
        <v>143</v>
      </c>
      <c r="AK711" s="76">
        <v>12862</v>
      </c>
      <c r="AL711" s="76" t="b">
        <v>0</v>
      </c>
      <c r="AM711" s="78">
        <v>40045.861793981479</v>
      </c>
      <c r="AN711" s="76"/>
      <c r="AO711" s="76" t="s">
        <v>18795</v>
      </c>
      <c r="AP711" s="76"/>
      <c r="AQ711" s="76"/>
      <c r="AR711" s="76"/>
      <c r="AS711" s="76"/>
      <c r="AT711" s="76"/>
      <c r="AU711" s="76"/>
      <c r="AV711" s="76"/>
      <c r="AW711" s="76"/>
      <c r="AX711" s="76" t="b">
        <v>1</v>
      </c>
      <c r="AY711" s="76"/>
      <c r="AZ711" s="76"/>
      <c r="BA711" s="76" t="b">
        <v>0</v>
      </c>
      <c r="BB711" s="76" t="b">
        <v>0</v>
      </c>
      <c r="BC711" s="76" t="b">
        <v>0</v>
      </c>
      <c r="BD711" s="76" t="b">
        <v>0</v>
      </c>
      <c r="BE711" s="76" t="b">
        <v>0</v>
      </c>
      <c r="BF711" s="76" t="b">
        <v>0</v>
      </c>
      <c r="BG711" s="76" t="b">
        <v>0</v>
      </c>
      <c r="BH711" s="83" t="str">
        <f>HYPERLINK("https://pbs.twimg.com/profile_banners/67418441/1676221189")</f>
        <v>https://pbs.twimg.com/profile_banners/67418441/1676221189</v>
      </c>
      <c r="BI711" s="76"/>
      <c r="BJ711" s="76" t="s">
        <v>19633</v>
      </c>
      <c r="BK711" s="76" t="b">
        <v>0</v>
      </c>
      <c r="BL711" s="76"/>
      <c r="BM711" s="76" t="s">
        <v>65</v>
      </c>
      <c r="BN711" s="76" t="s">
        <v>19635</v>
      </c>
      <c r="BO711" s="83" t="str">
        <f>HYPERLINK("https://twitter.com/disney")</f>
        <v>https://twitter.com/disney</v>
      </c>
      <c r="BP711" s="2"/>
    </row>
    <row r="712" spans="1:68" x14ac:dyDescent="0.25">
      <c r="A712" s="62" t="s">
        <v>1115</v>
      </c>
      <c r="B712" s="63"/>
      <c r="C712" s="63"/>
      <c r="D712" s="64"/>
      <c r="E712" s="66"/>
      <c r="F712" s="103" t="str">
        <f>HYPERLINK("https://pbs.twimg.com/profile_images/1568215827396034563/omtKNCqi_normal.jpg")</f>
        <v>https://pbs.twimg.com/profile_images/1568215827396034563/omtKNCqi_normal.jpg</v>
      </c>
      <c r="G712" s="63"/>
      <c r="H712" s="67"/>
      <c r="I712" s="68"/>
      <c r="J712" s="68"/>
      <c r="K712" s="67" t="s">
        <v>20344</v>
      </c>
      <c r="L712" s="71"/>
      <c r="M712" s="72"/>
      <c r="N712" s="72"/>
      <c r="O712" s="73"/>
      <c r="P712" s="74"/>
      <c r="Q712" s="74"/>
      <c r="R712" s="87"/>
      <c r="S712" s="87"/>
      <c r="T712" s="87"/>
      <c r="U712" s="87"/>
      <c r="V712" s="48"/>
      <c r="W712" s="48"/>
      <c r="X712" s="47">
        <v>1.0009999999999999E-3</v>
      </c>
      <c r="Y712" s="48"/>
      <c r="Z712" s="47"/>
      <c r="AA712" s="69">
        <v>712</v>
      </c>
      <c r="AB712" s="69"/>
      <c r="AC712" s="70"/>
      <c r="AD712" s="76" t="s">
        <v>17336</v>
      </c>
      <c r="AE712" s="81" t="s">
        <v>17777</v>
      </c>
      <c r="AF712" s="76">
        <v>1871483</v>
      </c>
      <c r="AG712" s="76">
        <v>14</v>
      </c>
      <c r="AH712" s="76">
        <v>5071</v>
      </c>
      <c r="AI712" s="76">
        <v>775</v>
      </c>
      <c r="AJ712" s="76">
        <v>55</v>
      </c>
      <c r="AK712" s="76">
        <v>4529</v>
      </c>
      <c r="AL712" s="76" t="b">
        <v>0</v>
      </c>
      <c r="AM712" s="78">
        <v>43276.926516203705</v>
      </c>
      <c r="AN712" s="76" t="s">
        <v>10552</v>
      </c>
      <c r="AO712" s="76" t="s">
        <v>18796</v>
      </c>
      <c r="AP712" s="83" t="str">
        <f>HYPERLINK("https://t.co/wEqHj5nJZ3")</f>
        <v>https://t.co/wEqHj5nJZ3</v>
      </c>
      <c r="AQ712" s="83" t="str">
        <f>HYPERLINK("http://dis.bb/6008H65u6")</f>
        <v>http://dis.bb/6008H65u6</v>
      </c>
      <c r="AR712" s="76" t="s">
        <v>19420</v>
      </c>
      <c r="AS712" s="76"/>
      <c r="AT712" s="76"/>
      <c r="AU712" s="76"/>
      <c r="AV712" s="76"/>
      <c r="AW712" s="83" t="str">
        <f>HYPERLINK("https://t.co/wEqHj5nJZ3")</f>
        <v>https://t.co/wEqHj5nJZ3</v>
      </c>
      <c r="AX712" s="76" t="b">
        <v>1</v>
      </c>
      <c r="AY712" s="76"/>
      <c r="AZ712" s="76"/>
      <c r="BA712" s="76" t="b">
        <v>0</v>
      </c>
      <c r="BB712" s="76" t="b">
        <v>1</v>
      </c>
      <c r="BC712" s="76" t="b">
        <v>1</v>
      </c>
      <c r="BD712" s="76" t="b">
        <v>0</v>
      </c>
      <c r="BE712" s="76" t="b">
        <v>0</v>
      </c>
      <c r="BF712" s="76" t="b">
        <v>0</v>
      </c>
      <c r="BG712" s="76" t="b">
        <v>0</v>
      </c>
      <c r="BH712" s="83" t="str">
        <f>HYPERLINK("https://pbs.twimg.com/profile_banners/1011372006753746944/1692796638")</f>
        <v>https://pbs.twimg.com/profile_banners/1011372006753746944/1692796638</v>
      </c>
      <c r="BI712" s="76"/>
      <c r="BJ712" s="76" t="s">
        <v>19633</v>
      </c>
      <c r="BK712" s="76" t="b">
        <v>0</v>
      </c>
      <c r="BL712" s="76"/>
      <c r="BM712" s="76" t="s">
        <v>65</v>
      </c>
      <c r="BN712" s="76" t="s">
        <v>19635</v>
      </c>
      <c r="BO712" s="83" t="str">
        <f>HYPERLINK("https://twitter.com/disneyplusbr")</f>
        <v>https://twitter.com/disneyplusbr</v>
      </c>
      <c r="BP712" s="2"/>
    </row>
    <row r="713" spans="1:68" x14ac:dyDescent="0.25">
      <c r="A713" s="62" t="s">
        <v>855</v>
      </c>
      <c r="B713" s="63"/>
      <c r="C713" s="63"/>
      <c r="D713" s="64"/>
      <c r="E713" s="66"/>
      <c r="F713" s="103" t="str">
        <f>HYPERLINK("https://pbs.twimg.com/profile_images/1646169701943320585/nbqO-sGM_normal.jpg")</f>
        <v>https://pbs.twimg.com/profile_images/1646169701943320585/nbqO-sGM_normal.jpg</v>
      </c>
      <c r="G713" s="63"/>
      <c r="H713" s="67"/>
      <c r="I713" s="68"/>
      <c r="J713" s="68"/>
      <c r="K713" s="67" t="s">
        <v>20345</v>
      </c>
      <c r="L713" s="71"/>
      <c r="M713" s="72"/>
      <c r="N713" s="72"/>
      <c r="O713" s="73"/>
      <c r="P713" s="74"/>
      <c r="Q713" s="74"/>
      <c r="R713" s="87"/>
      <c r="S713" s="87"/>
      <c r="T713" s="87"/>
      <c r="U713" s="87"/>
      <c r="V713" s="48"/>
      <c r="W713" s="48"/>
      <c r="X713" s="47">
        <v>1.101E-3</v>
      </c>
      <c r="Y713" s="48"/>
      <c r="Z713" s="47"/>
      <c r="AA713" s="69">
        <v>713</v>
      </c>
      <c r="AB713" s="69"/>
      <c r="AC713" s="70"/>
      <c r="AD713" s="76" t="s">
        <v>17337</v>
      </c>
      <c r="AE713" s="81" t="s">
        <v>16497</v>
      </c>
      <c r="AF713" s="76">
        <v>6</v>
      </c>
      <c r="AG713" s="76">
        <v>45</v>
      </c>
      <c r="AH713" s="76">
        <v>24</v>
      </c>
      <c r="AI713" s="76">
        <v>0</v>
      </c>
      <c r="AJ713" s="76">
        <v>7</v>
      </c>
      <c r="AK713" s="76">
        <v>2</v>
      </c>
      <c r="AL713" s="76" t="b">
        <v>0</v>
      </c>
      <c r="AM713" s="78">
        <v>45026.56486111111</v>
      </c>
      <c r="AN713" s="76" t="s">
        <v>18086</v>
      </c>
      <c r="AO713" s="76" t="s">
        <v>18797</v>
      </c>
      <c r="AP713" s="83" t="str">
        <f>HYPERLINK("https://t.co/AXHr4srzh2")</f>
        <v>https://t.co/AXHr4srzh2</v>
      </c>
      <c r="AQ713" s="83" t="str">
        <f>HYPERLINK("https://www.instagram.com/arthurbahia/")</f>
        <v>https://www.instagram.com/arthurbahia/</v>
      </c>
      <c r="AR713" s="76" t="s">
        <v>19421</v>
      </c>
      <c r="AS713" s="76"/>
      <c r="AT713" s="76"/>
      <c r="AU713" s="76"/>
      <c r="AV713" s="76"/>
      <c r="AW713" s="83" t="str">
        <f>HYPERLINK("https://t.co/AXHr4srzh2")</f>
        <v>https://t.co/AXHr4srzh2</v>
      </c>
      <c r="AX713" s="76" t="b">
        <v>0</v>
      </c>
      <c r="AY713" s="76"/>
      <c r="AZ713" s="76"/>
      <c r="BA713" s="76" t="b">
        <v>0</v>
      </c>
      <c r="BB713" s="76" t="b">
        <v>0</v>
      </c>
      <c r="BC713" s="76" t="b">
        <v>1</v>
      </c>
      <c r="BD713" s="76" t="b">
        <v>0</v>
      </c>
      <c r="BE713" s="76" t="b">
        <v>0</v>
      </c>
      <c r="BF713" s="76" t="b">
        <v>0</v>
      </c>
      <c r="BG713" s="76" t="b">
        <v>0</v>
      </c>
      <c r="BH713" s="76"/>
      <c r="BI713" s="76"/>
      <c r="BJ713" s="76" t="s">
        <v>19633</v>
      </c>
      <c r="BK713" s="76" t="b">
        <v>0</v>
      </c>
      <c r="BL713" s="76"/>
      <c r="BM713" s="76" t="s">
        <v>66</v>
      </c>
      <c r="BN713" s="76" t="s">
        <v>19635</v>
      </c>
      <c r="BO713" s="83" t="str">
        <f>HYPERLINK("https://twitter.com/arthurbahia_")</f>
        <v>https://twitter.com/arthurbahia_</v>
      </c>
      <c r="BP713" s="2"/>
    </row>
    <row r="714" spans="1:68" x14ac:dyDescent="0.25">
      <c r="A714" s="62" t="s">
        <v>856</v>
      </c>
      <c r="B714" s="63"/>
      <c r="C714" s="63"/>
      <c r="D714" s="64"/>
      <c r="E714" s="66"/>
      <c r="F714" s="103" t="str">
        <f>HYPERLINK("https://pbs.twimg.com/profile_images/1027514443801022464/lg3iD2M-_normal.jpg")</f>
        <v>https://pbs.twimg.com/profile_images/1027514443801022464/lg3iD2M-_normal.jpg</v>
      </c>
      <c r="G714" s="63"/>
      <c r="H714" s="67"/>
      <c r="I714" s="68"/>
      <c r="J714" s="68"/>
      <c r="K714" s="67" t="s">
        <v>20346</v>
      </c>
      <c r="L714" s="71"/>
      <c r="M714" s="72"/>
      <c r="N714" s="72"/>
      <c r="O714" s="73"/>
      <c r="P714" s="74"/>
      <c r="Q714" s="74"/>
      <c r="R714" s="87"/>
      <c r="S714" s="87"/>
      <c r="T714" s="87"/>
      <c r="U714" s="87"/>
      <c r="V714" s="48"/>
      <c r="W714" s="48"/>
      <c r="X714" s="47">
        <v>1.101E-3</v>
      </c>
      <c r="Y714" s="48"/>
      <c r="Z714" s="47"/>
      <c r="AA714" s="69">
        <v>714</v>
      </c>
      <c r="AB714" s="69"/>
      <c r="AC714" s="70"/>
      <c r="AD714" s="76" t="s">
        <v>17338</v>
      </c>
      <c r="AE714" s="81" t="s">
        <v>16498</v>
      </c>
      <c r="AF714" s="76">
        <v>551</v>
      </c>
      <c r="AG714" s="76">
        <v>183</v>
      </c>
      <c r="AH714" s="76">
        <v>5526</v>
      </c>
      <c r="AI714" s="76">
        <v>6</v>
      </c>
      <c r="AJ714" s="76">
        <v>1675</v>
      </c>
      <c r="AK714" s="76">
        <v>401</v>
      </c>
      <c r="AL714" s="76" t="b">
        <v>0</v>
      </c>
      <c r="AM714" s="78">
        <v>42518.114305555559</v>
      </c>
      <c r="AN714" s="76" t="s">
        <v>18087</v>
      </c>
      <c r="AO714" s="76" t="s">
        <v>18798</v>
      </c>
      <c r="AP714" s="83" t="str">
        <f>HYPERLINK("https://t.co/qCcmBYkG15")</f>
        <v>https://t.co/qCcmBYkG15</v>
      </c>
      <c r="AQ714" s="83" t="str">
        <f>HYPERLINK("https://www.penedagerestv.com")</f>
        <v>https://www.penedagerestv.com</v>
      </c>
      <c r="AR714" s="76" t="s">
        <v>6091</v>
      </c>
      <c r="AS714" s="76"/>
      <c r="AT714" s="76"/>
      <c r="AU714" s="76"/>
      <c r="AV714" s="76"/>
      <c r="AW714" s="83" t="str">
        <f>HYPERLINK("https://t.co/qCcmBYkG15")</f>
        <v>https://t.co/qCcmBYkG15</v>
      </c>
      <c r="AX714" s="76" t="b">
        <v>0</v>
      </c>
      <c r="AY714" s="76"/>
      <c r="AZ714" s="76"/>
      <c r="BA714" s="76" t="b">
        <v>0</v>
      </c>
      <c r="BB714" s="76" t="b">
        <v>1</v>
      </c>
      <c r="BC714" s="76" t="b">
        <v>1</v>
      </c>
      <c r="BD714" s="76" t="b">
        <v>0</v>
      </c>
      <c r="BE714" s="76" t="b">
        <v>0</v>
      </c>
      <c r="BF714" s="76" t="b">
        <v>0</v>
      </c>
      <c r="BG714" s="76" t="b">
        <v>0</v>
      </c>
      <c r="BH714" s="83" t="str">
        <f>HYPERLINK("https://pbs.twimg.com/profile_banners/736387666665738241/1518124930")</f>
        <v>https://pbs.twimg.com/profile_banners/736387666665738241/1518124930</v>
      </c>
      <c r="BI714" s="76"/>
      <c r="BJ714" s="76" t="s">
        <v>19633</v>
      </c>
      <c r="BK714" s="76" t="b">
        <v>0</v>
      </c>
      <c r="BL714" s="76"/>
      <c r="BM714" s="76" t="s">
        <v>66</v>
      </c>
      <c r="BN714" s="76" t="s">
        <v>19635</v>
      </c>
      <c r="BO714" s="83" t="str">
        <f>HYPERLINK("https://twitter.com/penedagerestv")</f>
        <v>https://twitter.com/penedagerestv</v>
      </c>
      <c r="BP714" s="2"/>
    </row>
    <row r="715" spans="1:68" x14ac:dyDescent="0.25">
      <c r="A715" s="62" t="s">
        <v>857</v>
      </c>
      <c r="B715" s="63"/>
      <c r="C715" s="63"/>
      <c r="D715" s="64"/>
      <c r="E715" s="66"/>
      <c r="F715" s="103" t="str">
        <f>HYPERLINK("https://pbs.twimg.com/profile_images/1584985390276116484/3pkxCj4x_normal.jpg")</f>
        <v>https://pbs.twimg.com/profile_images/1584985390276116484/3pkxCj4x_normal.jpg</v>
      </c>
      <c r="G715" s="63"/>
      <c r="H715" s="67"/>
      <c r="I715" s="68"/>
      <c r="J715" s="68"/>
      <c r="K715" s="67" t="s">
        <v>20347</v>
      </c>
      <c r="L715" s="71"/>
      <c r="M715" s="72"/>
      <c r="N715" s="72"/>
      <c r="O715" s="73"/>
      <c r="P715" s="74"/>
      <c r="Q715" s="74"/>
      <c r="R715" s="87"/>
      <c r="S715" s="87"/>
      <c r="T715" s="87"/>
      <c r="U715" s="87"/>
      <c r="V715" s="48"/>
      <c r="W715" s="48"/>
      <c r="X715" s="47">
        <v>1.101E-3</v>
      </c>
      <c r="Y715" s="48"/>
      <c r="Z715" s="47"/>
      <c r="AA715" s="69">
        <v>715</v>
      </c>
      <c r="AB715" s="69"/>
      <c r="AC715" s="70"/>
      <c r="AD715" s="76" t="s">
        <v>17339</v>
      </c>
      <c r="AE715" s="81" t="s">
        <v>17778</v>
      </c>
      <c r="AF715" s="76">
        <v>308</v>
      </c>
      <c r="AG715" s="76">
        <v>22</v>
      </c>
      <c r="AH715" s="76">
        <v>6422</v>
      </c>
      <c r="AI715" s="76">
        <v>16</v>
      </c>
      <c r="AJ715" s="76">
        <v>170</v>
      </c>
      <c r="AK715" s="76">
        <v>65</v>
      </c>
      <c r="AL715" s="76" t="b">
        <v>0</v>
      </c>
      <c r="AM715" s="78">
        <v>40395.010335648149</v>
      </c>
      <c r="AN715" s="76" t="s">
        <v>18088</v>
      </c>
      <c r="AO715" s="76" t="s">
        <v>18799</v>
      </c>
      <c r="AP715" s="83" t="str">
        <f>HYPERLINK("https://t.co/TYHtVwK968")</f>
        <v>https://t.co/TYHtVwK968</v>
      </c>
      <c r="AQ715" s="83" t="str">
        <f>HYPERLINK("https://linktr.ee/livescertificacaobr")</f>
        <v>https://linktr.ee/livescertificacaobr</v>
      </c>
      <c r="AR715" s="76" t="s">
        <v>19422</v>
      </c>
      <c r="AS715" s="76"/>
      <c r="AT715" s="76"/>
      <c r="AU715" s="76"/>
      <c r="AV715" s="76"/>
      <c r="AW715" s="83" t="str">
        <f>HYPERLINK("https://t.co/TYHtVwK968")</f>
        <v>https://t.co/TYHtVwK968</v>
      </c>
      <c r="AX715" s="76" t="b">
        <v>0</v>
      </c>
      <c r="AY715" s="76"/>
      <c r="AZ715" s="76"/>
      <c r="BA715" s="76" t="b">
        <v>1</v>
      </c>
      <c r="BB715" s="76" t="b">
        <v>1</v>
      </c>
      <c r="BC715" s="76" t="b">
        <v>0</v>
      </c>
      <c r="BD715" s="76" t="b">
        <v>0</v>
      </c>
      <c r="BE715" s="76" t="b">
        <v>0</v>
      </c>
      <c r="BF715" s="76" t="b">
        <v>0</v>
      </c>
      <c r="BG715" s="76" t="b">
        <v>0</v>
      </c>
      <c r="BH715" s="83" t="str">
        <f>HYPERLINK("https://pbs.twimg.com/profile_banners/174852229/1666733033")</f>
        <v>https://pbs.twimg.com/profile_banners/174852229/1666733033</v>
      </c>
      <c r="BI715" s="76"/>
      <c r="BJ715" s="76" t="s">
        <v>19633</v>
      </c>
      <c r="BK715" s="76" t="b">
        <v>0</v>
      </c>
      <c r="BL715" s="76"/>
      <c r="BM715" s="76" t="s">
        <v>66</v>
      </c>
      <c r="BN715" s="76" t="s">
        <v>19635</v>
      </c>
      <c r="BO715" s="83" t="str">
        <f>HYPERLINK("https://twitter.com/certificacaobr")</f>
        <v>https://twitter.com/certificacaobr</v>
      </c>
      <c r="BP715" s="2"/>
    </row>
    <row r="716" spans="1:68" x14ac:dyDescent="0.25">
      <c r="A716" s="62" t="s">
        <v>858</v>
      </c>
      <c r="B716" s="63"/>
      <c r="C716" s="63"/>
      <c r="D716" s="64"/>
      <c r="E716" s="66"/>
      <c r="F716" s="103" t="str">
        <f>HYPERLINK("https://pbs.twimg.com/profile_images/1365395023072817162/ZI8fAPrO_normal.jpg")</f>
        <v>https://pbs.twimg.com/profile_images/1365395023072817162/ZI8fAPrO_normal.jpg</v>
      </c>
      <c r="G716" s="63"/>
      <c r="H716" s="67"/>
      <c r="I716" s="68"/>
      <c r="J716" s="68"/>
      <c r="K716" s="67" t="s">
        <v>20348</v>
      </c>
      <c r="L716" s="71"/>
      <c r="M716" s="72"/>
      <c r="N716" s="72"/>
      <c r="O716" s="73"/>
      <c r="P716" s="74"/>
      <c r="Q716" s="74"/>
      <c r="R716" s="87"/>
      <c r="S716" s="87"/>
      <c r="T716" s="87"/>
      <c r="U716" s="87"/>
      <c r="V716" s="48"/>
      <c r="W716" s="48"/>
      <c r="X716" s="47">
        <v>1.101E-3</v>
      </c>
      <c r="Y716" s="48"/>
      <c r="Z716" s="47"/>
      <c r="AA716" s="69">
        <v>716</v>
      </c>
      <c r="AB716" s="69"/>
      <c r="AC716" s="70"/>
      <c r="AD716" s="76" t="s">
        <v>17340</v>
      </c>
      <c r="AE716" s="81" t="s">
        <v>16499</v>
      </c>
      <c r="AF716" s="76">
        <v>1678</v>
      </c>
      <c r="AG716" s="76">
        <v>4</v>
      </c>
      <c r="AH716" s="76">
        <v>8154</v>
      </c>
      <c r="AI716" s="76">
        <v>37</v>
      </c>
      <c r="AJ716" s="76">
        <v>642</v>
      </c>
      <c r="AK716" s="76">
        <v>0</v>
      </c>
      <c r="AL716" s="76" t="b">
        <v>0</v>
      </c>
      <c r="AM716" s="78">
        <v>44253.843761574077</v>
      </c>
      <c r="AN716" s="76"/>
      <c r="AO716" s="76" t="s">
        <v>18800</v>
      </c>
      <c r="AP716" s="83" t="str">
        <f>HYPERLINK("https://t.co/cRv3QGtTPH")</f>
        <v>https://t.co/cRv3QGtTPH</v>
      </c>
      <c r="AQ716" s="83" t="str">
        <f>HYPERLINK("https://www.moneytimes.com.br/agrotimes/")</f>
        <v>https://www.moneytimes.com.br/agrotimes/</v>
      </c>
      <c r="AR716" s="76" t="s">
        <v>19423</v>
      </c>
      <c r="AS716" s="76"/>
      <c r="AT716" s="76"/>
      <c r="AU716" s="76"/>
      <c r="AV716" s="76"/>
      <c r="AW716" s="83" t="str">
        <f>HYPERLINK("https://t.co/cRv3QGtTPH")</f>
        <v>https://t.co/cRv3QGtTPH</v>
      </c>
      <c r="AX716" s="76" t="b">
        <v>0</v>
      </c>
      <c r="AY716" s="76"/>
      <c r="AZ716" s="76"/>
      <c r="BA716" s="76" t="b">
        <v>0</v>
      </c>
      <c r="BB716" s="76" t="b">
        <v>1</v>
      </c>
      <c r="BC716" s="76" t="b">
        <v>1</v>
      </c>
      <c r="BD716" s="76" t="b">
        <v>0</v>
      </c>
      <c r="BE716" s="76" t="b">
        <v>0</v>
      </c>
      <c r="BF716" s="76" t="b">
        <v>0</v>
      </c>
      <c r="BG716" s="76" t="b">
        <v>0</v>
      </c>
      <c r="BH716" s="83" t="str">
        <f>HYPERLINK("https://pbs.twimg.com/profile_banners/1365394851131502592/1651777490")</f>
        <v>https://pbs.twimg.com/profile_banners/1365394851131502592/1651777490</v>
      </c>
      <c r="BI716" s="76"/>
      <c r="BJ716" s="76" t="s">
        <v>19633</v>
      </c>
      <c r="BK716" s="76" t="b">
        <v>0</v>
      </c>
      <c r="BL716" s="76"/>
      <c r="BM716" s="76" t="s">
        <v>66</v>
      </c>
      <c r="BN716" s="76" t="s">
        <v>19635</v>
      </c>
      <c r="BO716" s="83" t="str">
        <f>HYPERLINK("https://twitter.com/leiaagrotimes")</f>
        <v>https://twitter.com/leiaagrotimes</v>
      </c>
      <c r="BP716" s="2"/>
    </row>
    <row r="717" spans="1:68" x14ac:dyDescent="0.25">
      <c r="A717" s="62" t="s">
        <v>859</v>
      </c>
      <c r="B717" s="63"/>
      <c r="C717" s="63"/>
      <c r="D717" s="64"/>
      <c r="E717" s="66"/>
      <c r="F717" s="103" t="str">
        <f>HYPERLINK("https://pbs.twimg.com/profile_images/1633264209675931648/8TquTmoQ_normal.jpg")</f>
        <v>https://pbs.twimg.com/profile_images/1633264209675931648/8TquTmoQ_normal.jpg</v>
      </c>
      <c r="G717" s="63"/>
      <c r="H717" s="67"/>
      <c r="I717" s="68"/>
      <c r="J717" s="68"/>
      <c r="K717" s="67" t="s">
        <v>20349</v>
      </c>
      <c r="L717" s="71"/>
      <c r="M717" s="72"/>
      <c r="N717" s="72"/>
      <c r="O717" s="73"/>
      <c r="P717" s="74"/>
      <c r="Q717" s="74"/>
      <c r="R717" s="87"/>
      <c r="S717" s="87"/>
      <c r="T717" s="87"/>
      <c r="U717" s="87"/>
      <c r="V717" s="48"/>
      <c r="W717" s="48"/>
      <c r="X717" s="47">
        <v>1.101E-3</v>
      </c>
      <c r="Y717" s="48"/>
      <c r="Z717" s="47"/>
      <c r="AA717" s="69">
        <v>717</v>
      </c>
      <c r="AB717" s="69"/>
      <c r="AC717" s="70"/>
      <c r="AD717" s="76" t="s">
        <v>17341</v>
      </c>
      <c r="AE717" s="81" t="s">
        <v>15774</v>
      </c>
      <c r="AF717" s="76">
        <v>1</v>
      </c>
      <c r="AG717" s="76">
        <v>24</v>
      </c>
      <c r="AH717" s="76">
        <v>33</v>
      </c>
      <c r="AI717" s="76">
        <v>0</v>
      </c>
      <c r="AJ717" s="76">
        <v>0</v>
      </c>
      <c r="AK717" s="76">
        <v>0</v>
      </c>
      <c r="AL717" s="76" t="b">
        <v>0</v>
      </c>
      <c r="AM717" s="78">
        <v>44878.002916666665</v>
      </c>
      <c r="AN717" s="76"/>
      <c r="AO717" s="76" t="s">
        <v>18801</v>
      </c>
      <c r="AP717" s="76"/>
      <c r="AQ717" s="76"/>
      <c r="AR717" s="76"/>
      <c r="AS717" s="76"/>
      <c r="AT717" s="76"/>
      <c r="AU717" s="76"/>
      <c r="AV717" s="76"/>
      <c r="AW717" s="76"/>
      <c r="AX717" s="76" t="b">
        <v>0</v>
      </c>
      <c r="AY717" s="76"/>
      <c r="AZ717" s="76"/>
      <c r="BA717" s="76" t="b">
        <v>0</v>
      </c>
      <c r="BB717" s="76" t="b">
        <v>1</v>
      </c>
      <c r="BC717" s="76" t="b">
        <v>1</v>
      </c>
      <c r="BD717" s="76" t="b">
        <v>0</v>
      </c>
      <c r="BE717" s="76" t="b">
        <v>1</v>
      </c>
      <c r="BF717" s="76" t="b">
        <v>0</v>
      </c>
      <c r="BG717" s="76" t="b">
        <v>0</v>
      </c>
      <c r="BH717" s="76"/>
      <c r="BI717" s="76"/>
      <c r="BJ717" s="76" t="s">
        <v>19633</v>
      </c>
      <c r="BK717" s="76" t="b">
        <v>0</v>
      </c>
      <c r="BL717" s="76"/>
      <c r="BM717" s="76" t="s">
        <v>66</v>
      </c>
      <c r="BN717" s="76" t="s">
        <v>19635</v>
      </c>
      <c r="BO717" s="83" t="str">
        <f>HYPERLINK("https://twitter.com/andrewerneck_")</f>
        <v>https://twitter.com/andrewerneck_</v>
      </c>
      <c r="BP717" s="2"/>
    </row>
    <row r="718" spans="1:68" x14ac:dyDescent="0.25">
      <c r="A718" s="62" t="s">
        <v>860</v>
      </c>
      <c r="B718" s="63"/>
      <c r="C718" s="63"/>
      <c r="D718" s="64"/>
      <c r="E718" s="66"/>
      <c r="F718" s="103" t="str">
        <f>HYPERLINK("https://pbs.twimg.com/profile_images/1670086977113186305/4Vtn0Wux_normal.png")</f>
        <v>https://pbs.twimg.com/profile_images/1670086977113186305/4Vtn0Wux_normal.png</v>
      </c>
      <c r="G718" s="63"/>
      <c r="H718" s="67"/>
      <c r="I718" s="68"/>
      <c r="J718" s="68"/>
      <c r="K718" s="67" t="s">
        <v>20350</v>
      </c>
      <c r="L718" s="71"/>
      <c r="M718" s="72"/>
      <c r="N718" s="72"/>
      <c r="O718" s="73"/>
      <c r="P718" s="74"/>
      <c r="Q718" s="74"/>
      <c r="R718" s="87"/>
      <c r="S718" s="87"/>
      <c r="T718" s="87"/>
      <c r="U718" s="87"/>
      <c r="V718" s="48"/>
      <c r="W718" s="48"/>
      <c r="X718" s="47">
        <v>1.3600000000000001E-3</v>
      </c>
      <c r="Y718" s="48"/>
      <c r="Z718" s="47"/>
      <c r="AA718" s="69">
        <v>718</v>
      </c>
      <c r="AB718" s="69"/>
      <c r="AC718" s="70"/>
      <c r="AD718" s="76" t="s">
        <v>860</v>
      </c>
      <c r="AE718" s="81" t="s">
        <v>16500</v>
      </c>
      <c r="AF718" s="76">
        <v>1792</v>
      </c>
      <c r="AG718" s="76">
        <v>2518</v>
      </c>
      <c r="AH718" s="76">
        <v>502</v>
      </c>
      <c r="AI718" s="76">
        <v>0</v>
      </c>
      <c r="AJ718" s="76">
        <v>535</v>
      </c>
      <c r="AK718" s="76">
        <v>220</v>
      </c>
      <c r="AL718" s="76" t="b">
        <v>0</v>
      </c>
      <c r="AM718" s="78">
        <v>45094.63354166667</v>
      </c>
      <c r="AN718" s="76" t="s">
        <v>10583</v>
      </c>
      <c r="AO718" s="76" t="s">
        <v>18802</v>
      </c>
      <c r="AP718" s="83" t="str">
        <f>HYPERLINK("https://t.co/ZQwN0Eptyb")</f>
        <v>https://t.co/ZQwN0Eptyb</v>
      </c>
      <c r="AQ718" s="83" t="str">
        <f>HYPERLINK("https://linktr.ee/workshopdantas")</f>
        <v>https://linktr.ee/workshopdantas</v>
      </c>
      <c r="AR718" s="76" t="s">
        <v>19424</v>
      </c>
      <c r="AS718" s="76"/>
      <c r="AT718" s="76"/>
      <c r="AU718" s="76"/>
      <c r="AV718" s="76">
        <v>1.7015481719717601E+18</v>
      </c>
      <c r="AW718" s="83" t="str">
        <f>HYPERLINK("https://t.co/ZQwN0Eptyb")</f>
        <v>https://t.co/ZQwN0Eptyb</v>
      </c>
      <c r="AX718" s="76" t="b">
        <v>0</v>
      </c>
      <c r="AY718" s="76"/>
      <c r="AZ718" s="76"/>
      <c r="BA718" s="76" t="b">
        <v>1</v>
      </c>
      <c r="BB718" s="76" t="b">
        <v>1</v>
      </c>
      <c r="BC718" s="76" t="b">
        <v>1</v>
      </c>
      <c r="BD718" s="76" t="b">
        <v>0</v>
      </c>
      <c r="BE718" s="76" t="b">
        <v>0</v>
      </c>
      <c r="BF718" s="76" t="b">
        <v>0</v>
      </c>
      <c r="BG718" s="76" t="b">
        <v>0</v>
      </c>
      <c r="BH718" s="83" t="str">
        <f>HYPERLINK("https://pbs.twimg.com/profile_banners/1670086879197233152/1694512687")</f>
        <v>https://pbs.twimg.com/profile_banners/1670086879197233152/1694512687</v>
      </c>
      <c r="BI718" s="76"/>
      <c r="BJ718" s="76" t="s">
        <v>19633</v>
      </c>
      <c r="BK718" s="76" t="b">
        <v>0</v>
      </c>
      <c r="BL718" s="76"/>
      <c r="BM718" s="76" t="s">
        <v>66</v>
      </c>
      <c r="BN718" s="76" t="s">
        <v>19635</v>
      </c>
      <c r="BO718" s="83" t="str">
        <f>HYPERLINK("https://twitter.com/workshopdantas")</f>
        <v>https://twitter.com/workshopdantas</v>
      </c>
      <c r="BP718" s="2"/>
    </row>
    <row r="719" spans="1:68" x14ac:dyDescent="0.25">
      <c r="A719" s="62" t="s">
        <v>1116</v>
      </c>
      <c r="B719" s="63"/>
      <c r="C719" s="63"/>
      <c r="D719" s="64"/>
      <c r="E719" s="66"/>
      <c r="F719" s="103" t="str">
        <f>HYPERLINK("https://pbs.twimg.com/profile_images/442744104674660353/zGV7ZcFZ_normal.jpeg")</f>
        <v>https://pbs.twimg.com/profile_images/442744104674660353/zGV7ZcFZ_normal.jpeg</v>
      </c>
      <c r="G719" s="63"/>
      <c r="H719" s="67"/>
      <c r="I719" s="68"/>
      <c r="J719" s="68"/>
      <c r="K719" s="67" t="s">
        <v>20351</v>
      </c>
      <c r="L719" s="71"/>
      <c r="M719" s="72"/>
      <c r="N719" s="72"/>
      <c r="O719" s="73"/>
      <c r="P719" s="74"/>
      <c r="Q719" s="74"/>
      <c r="R719" s="87"/>
      <c r="S719" s="87"/>
      <c r="T719" s="87"/>
      <c r="U719" s="87"/>
      <c r="V719" s="48"/>
      <c r="W719" s="48"/>
      <c r="X719" s="47">
        <v>9.8700000000000003E-4</v>
      </c>
      <c r="Y719" s="48"/>
      <c r="Z719" s="47"/>
      <c r="AA719" s="69">
        <v>719</v>
      </c>
      <c r="AB719" s="69"/>
      <c r="AC719" s="70"/>
      <c r="AD719" s="76" t="s">
        <v>17342</v>
      </c>
      <c r="AE719" s="81" t="s">
        <v>17779</v>
      </c>
      <c r="AF719" s="76">
        <v>1477239</v>
      </c>
      <c r="AG719" s="76">
        <v>1077</v>
      </c>
      <c r="AH719" s="76">
        <v>240401</v>
      </c>
      <c r="AI719" s="76">
        <v>2683</v>
      </c>
      <c r="AJ719" s="76">
        <v>549</v>
      </c>
      <c r="AK719" s="76">
        <v>17687</v>
      </c>
      <c r="AL719" s="76" t="b">
        <v>0</v>
      </c>
      <c r="AM719" s="78">
        <v>39782.416909722226</v>
      </c>
      <c r="AN719" s="76" t="s">
        <v>18089</v>
      </c>
      <c r="AO719" s="76" t="s">
        <v>18803</v>
      </c>
      <c r="AP719" s="83" t="str">
        <f>HYPERLINK("https://t.co/SQ4XChxlul")</f>
        <v>https://t.co/SQ4XChxlul</v>
      </c>
      <c r="AQ719" s="83" t="str">
        <f>HYPERLINK("http://about.me/rogermoreira")</f>
        <v>http://about.me/rogermoreira</v>
      </c>
      <c r="AR719" s="76" t="s">
        <v>19425</v>
      </c>
      <c r="AS719" s="76"/>
      <c r="AT719" s="76"/>
      <c r="AU719" s="76"/>
      <c r="AV719" s="76">
        <v>1.01436084217391E+18</v>
      </c>
      <c r="AW719" s="83" t="str">
        <f>HYPERLINK("https://t.co/SQ4XChxlul")</f>
        <v>https://t.co/SQ4XChxlul</v>
      </c>
      <c r="AX719" s="76" t="b">
        <v>1</v>
      </c>
      <c r="AY719" s="76"/>
      <c r="AZ719" s="76"/>
      <c r="BA719" s="76" t="b">
        <v>0</v>
      </c>
      <c r="BB719" s="76" t="b">
        <v>0</v>
      </c>
      <c r="BC719" s="76" t="b">
        <v>0</v>
      </c>
      <c r="BD719" s="76" t="b">
        <v>0</v>
      </c>
      <c r="BE719" s="76" t="b">
        <v>1</v>
      </c>
      <c r="BF719" s="76" t="b">
        <v>0</v>
      </c>
      <c r="BG719" s="76" t="b">
        <v>0</v>
      </c>
      <c r="BH719" s="83" t="str">
        <f>HYPERLINK("https://pbs.twimg.com/profile_banners/17752026/1401135237")</f>
        <v>https://pbs.twimg.com/profile_banners/17752026/1401135237</v>
      </c>
      <c r="BI719" s="76"/>
      <c r="BJ719" s="76" t="s">
        <v>19633</v>
      </c>
      <c r="BK719" s="76" t="b">
        <v>0</v>
      </c>
      <c r="BL719" s="76"/>
      <c r="BM719" s="76" t="s">
        <v>65</v>
      </c>
      <c r="BN719" s="76" t="s">
        <v>19635</v>
      </c>
      <c r="BO719" s="83" t="str">
        <f>HYPERLINK("https://twitter.com/roxmo")</f>
        <v>https://twitter.com/roxmo</v>
      </c>
      <c r="BP719" s="2"/>
    </row>
    <row r="720" spans="1:68" x14ac:dyDescent="0.25">
      <c r="A720" s="62" t="s">
        <v>1117</v>
      </c>
      <c r="B720" s="63"/>
      <c r="C720" s="63"/>
      <c r="D720" s="64"/>
      <c r="E720" s="66"/>
      <c r="F720" s="103" t="str">
        <f>HYPERLINK("https://pbs.twimg.com/profile_images/1595550170577608706/8tInBlku_normal.jpg")</f>
        <v>https://pbs.twimg.com/profile_images/1595550170577608706/8tInBlku_normal.jpg</v>
      </c>
      <c r="G720" s="63"/>
      <c r="H720" s="67"/>
      <c r="I720" s="68"/>
      <c r="J720" s="68"/>
      <c r="K720" s="67" t="s">
        <v>20352</v>
      </c>
      <c r="L720" s="71"/>
      <c r="M720" s="72"/>
      <c r="N720" s="72"/>
      <c r="O720" s="73"/>
      <c r="P720" s="74"/>
      <c r="Q720" s="74"/>
      <c r="R720" s="87"/>
      <c r="S720" s="87"/>
      <c r="T720" s="87"/>
      <c r="U720" s="87"/>
      <c r="V720" s="48"/>
      <c r="W720" s="48"/>
      <c r="X720" s="47">
        <v>9.8700000000000003E-4</v>
      </c>
      <c r="Y720" s="48"/>
      <c r="Z720" s="47"/>
      <c r="AA720" s="69">
        <v>720</v>
      </c>
      <c r="AB720" s="69"/>
      <c r="AC720" s="70"/>
      <c r="AD720" s="76" t="s">
        <v>17343</v>
      </c>
      <c r="AE720" s="81" t="s">
        <v>17780</v>
      </c>
      <c r="AF720" s="76">
        <v>988942</v>
      </c>
      <c r="AG720" s="76">
        <v>2746</v>
      </c>
      <c r="AH720" s="76">
        <v>29084</v>
      </c>
      <c r="AI720" s="76">
        <v>860</v>
      </c>
      <c r="AJ720" s="76">
        <v>24449</v>
      </c>
      <c r="AK720" s="76">
        <v>6435</v>
      </c>
      <c r="AL720" s="76" t="b">
        <v>0</v>
      </c>
      <c r="AM720" s="78">
        <v>39922.032187500001</v>
      </c>
      <c r="AN720" s="76" t="s">
        <v>10631</v>
      </c>
      <c r="AO720" s="76" t="s">
        <v>18804</v>
      </c>
      <c r="AP720" s="83" t="str">
        <f>HYPERLINK("https://t.co/ovdHS3VMXG")</f>
        <v>https://t.co/ovdHS3VMXG</v>
      </c>
      <c r="AQ720" s="83" t="str">
        <f>HYPERLINK("https://instagram.com/robertomottaoficial")</f>
        <v>https://instagram.com/robertomottaoficial</v>
      </c>
      <c r="AR720" s="76" t="s">
        <v>19426</v>
      </c>
      <c r="AS720" s="76"/>
      <c r="AT720" s="76"/>
      <c r="AU720" s="76"/>
      <c r="AV720" s="76"/>
      <c r="AW720" s="83" t="str">
        <f>HYPERLINK("https://t.co/ovdHS3VMXG")</f>
        <v>https://t.co/ovdHS3VMXG</v>
      </c>
      <c r="AX720" s="76" t="b">
        <v>1</v>
      </c>
      <c r="AY720" s="76"/>
      <c r="AZ720" s="76"/>
      <c r="BA720" s="76" t="b">
        <v>0</v>
      </c>
      <c r="BB720" s="76" t="b">
        <v>0</v>
      </c>
      <c r="BC720" s="76" t="b">
        <v>1</v>
      </c>
      <c r="BD720" s="76" t="b">
        <v>0</v>
      </c>
      <c r="BE720" s="76" t="b">
        <v>1</v>
      </c>
      <c r="BF720" s="76" t="b">
        <v>0</v>
      </c>
      <c r="BG720" s="76" t="b">
        <v>0</v>
      </c>
      <c r="BH720" s="83" t="str">
        <f>HYPERLINK("https://pbs.twimg.com/profile_banners/33071040/1673989418")</f>
        <v>https://pbs.twimg.com/profile_banners/33071040/1673989418</v>
      </c>
      <c r="BI720" s="76"/>
      <c r="BJ720" s="76" t="s">
        <v>19633</v>
      </c>
      <c r="BK720" s="76" t="b">
        <v>0</v>
      </c>
      <c r="BL720" s="76"/>
      <c r="BM720" s="76" t="s">
        <v>65</v>
      </c>
      <c r="BN720" s="76" t="s">
        <v>19635</v>
      </c>
      <c r="BO720" s="83" t="str">
        <f>HYPERLINK("https://twitter.com/rmotta2")</f>
        <v>https://twitter.com/rmotta2</v>
      </c>
      <c r="BP720" s="2"/>
    </row>
    <row r="721" spans="1:68" x14ac:dyDescent="0.25">
      <c r="A721" s="62" t="s">
        <v>861</v>
      </c>
      <c r="B721" s="63"/>
      <c r="C721" s="63"/>
      <c r="D721" s="64"/>
      <c r="E721" s="66"/>
      <c r="F721" s="103" t="str">
        <f>HYPERLINK("https://pbs.twimg.com/profile_images/1547322469161336835/OeuRkt9O_normal.jpg")</f>
        <v>https://pbs.twimg.com/profile_images/1547322469161336835/OeuRkt9O_normal.jpg</v>
      </c>
      <c r="G721" s="63"/>
      <c r="H721" s="67"/>
      <c r="I721" s="68"/>
      <c r="J721" s="68"/>
      <c r="K721" s="67" t="s">
        <v>20353</v>
      </c>
      <c r="L721" s="71"/>
      <c r="M721" s="72"/>
      <c r="N721" s="72"/>
      <c r="O721" s="73"/>
      <c r="P721" s="74"/>
      <c r="Q721" s="74"/>
      <c r="R721" s="87"/>
      <c r="S721" s="87"/>
      <c r="T721" s="87"/>
      <c r="U721" s="87"/>
      <c r="V721" s="48"/>
      <c r="W721" s="48"/>
      <c r="X721" s="47">
        <v>1.101E-3</v>
      </c>
      <c r="Y721" s="48"/>
      <c r="Z721" s="47"/>
      <c r="AA721" s="69">
        <v>721</v>
      </c>
      <c r="AB721" s="69"/>
      <c r="AC721" s="70"/>
      <c r="AD721" s="76" t="s">
        <v>17344</v>
      </c>
      <c r="AE721" s="81" t="s">
        <v>16501</v>
      </c>
      <c r="AF721" s="76">
        <v>11</v>
      </c>
      <c r="AG721" s="76">
        <v>15</v>
      </c>
      <c r="AH721" s="76">
        <v>357</v>
      </c>
      <c r="AI721" s="76">
        <v>0</v>
      </c>
      <c r="AJ721" s="76">
        <v>6</v>
      </c>
      <c r="AK721" s="76">
        <v>356</v>
      </c>
      <c r="AL721" s="76" t="b">
        <v>0</v>
      </c>
      <c r="AM721" s="78">
        <v>44236.66611111111</v>
      </c>
      <c r="AN721" s="76"/>
      <c r="AO721" s="76" t="s">
        <v>18805</v>
      </c>
      <c r="AP721" s="83" t="str">
        <f>HYPERLINK("https://t.co/fh4Z3K2xe1")</f>
        <v>https://t.co/fh4Z3K2xe1</v>
      </c>
      <c r="AQ721" s="83" t="str">
        <f>HYPERLINK("https://linktr.ee/lucianaconsultoriofinanceiro")</f>
        <v>https://linktr.ee/lucianaconsultoriofinanceiro</v>
      </c>
      <c r="AR721" s="76" t="s">
        <v>19427</v>
      </c>
      <c r="AS721" s="76"/>
      <c r="AT721" s="76"/>
      <c r="AU721" s="76"/>
      <c r="AV721" s="76"/>
      <c r="AW721" s="83" t="str">
        <f>HYPERLINK("https://t.co/fh4Z3K2xe1")</f>
        <v>https://t.co/fh4Z3K2xe1</v>
      </c>
      <c r="AX721" s="76" t="b">
        <v>0</v>
      </c>
      <c r="AY721" s="76"/>
      <c r="AZ721" s="76"/>
      <c r="BA721" s="76" t="b">
        <v>0</v>
      </c>
      <c r="BB721" s="76" t="b">
        <v>1</v>
      </c>
      <c r="BC721" s="76" t="b">
        <v>1</v>
      </c>
      <c r="BD721" s="76" t="b">
        <v>0</v>
      </c>
      <c r="BE721" s="76" t="b">
        <v>0</v>
      </c>
      <c r="BF721" s="76" t="b">
        <v>0</v>
      </c>
      <c r="BG721" s="76" t="b">
        <v>0</v>
      </c>
      <c r="BH721" s="83" t="str">
        <f>HYPERLINK("https://pbs.twimg.com/profile_banners/1359169896945508355/1692817604")</f>
        <v>https://pbs.twimg.com/profile_banners/1359169896945508355/1692817604</v>
      </c>
      <c r="BI721" s="76"/>
      <c r="BJ721" s="76" t="s">
        <v>19633</v>
      </c>
      <c r="BK721" s="76" t="b">
        <v>0</v>
      </c>
      <c r="BL721" s="76"/>
      <c r="BM721" s="76" t="s">
        <v>66</v>
      </c>
      <c r="BN721" s="76" t="s">
        <v>19635</v>
      </c>
      <c r="BO721" s="83" t="str">
        <f>HYPERLINK("https://twitter.com/betteroluciana")</f>
        <v>https://twitter.com/betteroluciana</v>
      </c>
      <c r="BP721" s="2"/>
    </row>
    <row r="722" spans="1:68" x14ac:dyDescent="0.25">
      <c r="A722" s="62" t="s">
        <v>862</v>
      </c>
      <c r="B722" s="63"/>
      <c r="C722" s="63"/>
      <c r="D722" s="64"/>
      <c r="E722" s="66"/>
      <c r="F722" s="103" t="str">
        <f>HYPERLINK("https://pbs.twimg.com/profile_images/1675936326191837208/qo-9DKdl_normal.jpg")</f>
        <v>https://pbs.twimg.com/profile_images/1675936326191837208/qo-9DKdl_normal.jpg</v>
      </c>
      <c r="G722" s="63"/>
      <c r="H722" s="67"/>
      <c r="I722" s="68"/>
      <c r="J722" s="68"/>
      <c r="K722" s="67" t="s">
        <v>20354</v>
      </c>
      <c r="L722" s="71"/>
      <c r="M722" s="72"/>
      <c r="N722" s="72"/>
      <c r="O722" s="73"/>
      <c r="P722" s="74"/>
      <c r="Q722" s="74"/>
      <c r="R722" s="87"/>
      <c r="S722" s="87"/>
      <c r="T722" s="87"/>
      <c r="U722" s="87"/>
      <c r="V722" s="48"/>
      <c r="W722" s="48"/>
      <c r="X722" s="47">
        <v>1.101E-3</v>
      </c>
      <c r="Y722" s="48"/>
      <c r="Z722" s="47"/>
      <c r="AA722" s="69">
        <v>722</v>
      </c>
      <c r="AB722" s="69"/>
      <c r="AC722" s="70"/>
      <c r="AD722" s="76" t="s">
        <v>17345</v>
      </c>
      <c r="AE722" s="81" t="s">
        <v>17781</v>
      </c>
      <c r="AF722" s="76">
        <v>70392</v>
      </c>
      <c r="AG722" s="76">
        <v>806</v>
      </c>
      <c r="AH722" s="76">
        <v>11886</v>
      </c>
      <c r="AI722" s="76">
        <v>281</v>
      </c>
      <c r="AJ722" s="76">
        <v>4739</v>
      </c>
      <c r="AK722" s="76">
        <v>3848</v>
      </c>
      <c r="AL722" s="76" t="b">
        <v>0</v>
      </c>
      <c r="AM722" s="78">
        <v>40865.106921296298</v>
      </c>
      <c r="AN722" s="76" t="s">
        <v>10622</v>
      </c>
      <c r="AO722" s="76" t="s">
        <v>18806</v>
      </c>
      <c r="AP722" s="83" t="str">
        <f>HYPERLINK("https://t.co/4Ldr9MOLQ3")</f>
        <v>https://t.co/4Ldr9MOLQ3</v>
      </c>
      <c r="AQ722" s="83" t="str">
        <f>HYPERLINK("https://linktr.ee/sitemundonegro")</f>
        <v>https://linktr.ee/sitemundonegro</v>
      </c>
      <c r="AR722" s="76" t="s">
        <v>19428</v>
      </c>
      <c r="AS722" s="76"/>
      <c r="AT722" s="76"/>
      <c r="AU722" s="76"/>
      <c r="AV722" s="76">
        <v>1.4450743253552399E+18</v>
      </c>
      <c r="AW722" s="83" t="str">
        <f>HYPERLINK("https://t.co/4Ldr9MOLQ3")</f>
        <v>https://t.co/4Ldr9MOLQ3</v>
      </c>
      <c r="AX722" s="76" t="b">
        <v>0</v>
      </c>
      <c r="AY722" s="76"/>
      <c r="AZ722" s="76"/>
      <c r="BA722" s="76" t="b">
        <v>0</v>
      </c>
      <c r="BB722" s="76" t="b">
        <v>0</v>
      </c>
      <c r="BC722" s="76" t="b">
        <v>0</v>
      </c>
      <c r="BD722" s="76" t="b">
        <v>0</v>
      </c>
      <c r="BE722" s="76" t="b">
        <v>0</v>
      </c>
      <c r="BF722" s="76" t="b">
        <v>0</v>
      </c>
      <c r="BG722" s="76" t="b">
        <v>0</v>
      </c>
      <c r="BH722" s="83" t="str">
        <f>HYPERLINK("https://pbs.twimg.com/profile_banners/415236494/1654042824")</f>
        <v>https://pbs.twimg.com/profile_banners/415236494/1654042824</v>
      </c>
      <c r="BI722" s="76"/>
      <c r="BJ722" s="76" t="s">
        <v>19633</v>
      </c>
      <c r="BK722" s="76" t="b">
        <v>0</v>
      </c>
      <c r="BL722" s="76"/>
      <c r="BM722" s="76" t="s">
        <v>66</v>
      </c>
      <c r="BN722" s="76" t="s">
        <v>19635</v>
      </c>
      <c r="BO722" s="83" t="str">
        <f>HYPERLINK("https://twitter.com/sitemundonegro")</f>
        <v>https://twitter.com/sitemundonegro</v>
      </c>
      <c r="BP722" s="2"/>
    </row>
    <row r="723" spans="1:68" x14ac:dyDescent="0.25">
      <c r="A723" s="62" t="s">
        <v>863</v>
      </c>
      <c r="B723" s="63"/>
      <c r="C723" s="63"/>
      <c r="D723" s="64"/>
      <c r="E723" s="66"/>
      <c r="F723" s="103" t="str">
        <f>HYPERLINK("https://pbs.twimg.com/profile_images/635425090352627712/EOQtDr_O_normal.jpg")</f>
        <v>https://pbs.twimg.com/profile_images/635425090352627712/EOQtDr_O_normal.jpg</v>
      </c>
      <c r="G723" s="63"/>
      <c r="H723" s="67"/>
      <c r="I723" s="68"/>
      <c r="J723" s="68"/>
      <c r="K723" s="67" t="s">
        <v>20355</v>
      </c>
      <c r="L723" s="71"/>
      <c r="M723" s="72"/>
      <c r="N723" s="72"/>
      <c r="O723" s="73"/>
      <c r="P723" s="74"/>
      <c r="Q723" s="74"/>
      <c r="R723" s="87"/>
      <c r="S723" s="87"/>
      <c r="T723" s="87"/>
      <c r="U723" s="87"/>
      <c r="V723" s="48"/>
      <c r="W723" s="48"/>
      <c r="X723" s="47">
        <v>1.101E-3</v>
      </c>
      <c r="Y723" s="48"/>
      <c r="Z723" s="47"/>
      <c r="AA723" s="69">
        <v>723</v>
      </c>
      <c r="AB723" s="69"/>
      <c r="AC723" s="70"/>
      <c r="AD723" s="76" t="s">
        <v>17346</v>
      </c>
      <c r="AE723" s="81" t="s">
        <v>17782</v>
      </c>
      <c r="AF723" s="76">
        <v>52</v>
      </c>
      <c r="AG723" s="76">
        <v>166</v>
      </c>
      <c r="AH723" s="76">
        <v>719</v>
      </c>
      <c r="AI723" s="76">
        <v>0</v>
      </c>
      <c r="AJ723" s="76">
        <v>701</v>
      </c>
      <c r="AK723" s="76">
        <v>104</v>
      </c>
      <c r="AL723" s="76" t="b">
        <v>0</v>
      </c>
      <c r="AM723" s="78">
        <v>42239.503680555557</v>
      </c>
      <c r="AN723" s="76" t="s">
        <v>18090</v>
      </c>
      <c r="AO723" s="76" t="s">
        <v>18807</v>
      </c>
      <c r="AP723" s="76"/>
      <c r="AQ723" s="76"/>
      <c r="AR723" s="76"/>
      <c r="AS723" s="76"/>
      <c r="AT723" s="76"/>
      <c r="AU723" s="76"/>
      <c r="AV723" s="76"/>
      <c r="AW723" s="76"/>
      <c r="AX723" s="76" t="b">
        <v>0</v>
      </c>
      <c r="AY723" s="76"/>
      <c r="AZ723" s="76"/>
      <c r="BA723" s="76" t="b">
        <v>0</v>
      </c>
      <c r="BB723" s="76" t="b">
        <v>1</v>
      </c>
      <c r="BC723" s="76" t="b">
        <v>1</v>
      </c>
      <c r="BD723" s="76" t="b">
        <v>0</v>
      </c>
      <c r="BE723" s="76" t="b">
        <v>0</v>
      </c>
      <c r="BF723" s="76" t="b">
        <v>0</v>
      </c>
      <c r="BG723" s="76" t="b">
        <v>0</v>
      </c>
      <c r="BH723" s="83" t="str">
        <f>HYPERLINK("https://pbs.twimg.com/profile_banners/3436686130/1440334016")</f>
        <v>https://pbs.twimg.com/profile_banners/3436686130/1440334016</v>
      </c>
      <c r="BI723" s="76"/>
      <c r="BJ723" s="76" t="s">
        <v>19633</v>
      </c>
      <c r="BK723" s="76" t="b">
        <v>0</v>
      </c>
      <c r="BL723" s="76"/>
      <c r="BM723" s="76" t="s">
        <v>66</v>
      </c>
      <c r="BN723" s="76" t="s">
        <v>19635</v>
      </c>
      <c r="BO723" s="83" t="str">
        <f>HYPERLINK("https://twitter.com/arnaldosantttos")</f>
        <v>https://twitter.com/arnaldosantttos</v>
      </c>
      <c r="BP723" s="2"/>
    </row>
    <row r="724" spans="1:68" x14ac:dyDescent="0.25">
      <c r="A724" s="62" t="s">
        <v>864</v>
      </c>
      <c r="B724" s="63"/>
      <c r="C724" s="63"/>
      <c r="D724" s="64"/>
      <c r="E724" s="66"/>
      <c r="F724" s="103" t="str">
        <f>HYPERLINK("https://pbs.twimg.com/profile_images/1611107899660435458/5cdrIfOF_normal.jpg")</f>
        <v>https://pbs.twimg.com/profile_images/1611107899660435458/5cdrIfOF_normal.jpg</v>
      </c>
      <c r="G724" s="63"/>
      <c r="H724" s="67"/>
      <c r="I724" s="68"/>
      <c r="J724" s="68"/>
      <c r="K724" s="67" t="s">
        <v>20356</v>
      </c>
      <c r="L724" s="71"/>
      <c r="M724" s="72"/>
      <c r="N724" s="72"/>
      <c r="O724" s="73"/>
      <c r="P724" s="74"/>
      <c r="Q724" s="74"/>
      <c r="R724" s="87"/>
      <c r="S724" s="87"/>
      <c r="T724" s="87"/>
      <c r="U724" s="87"/>
      <c r="V724" s="48"/>
      <c r="W724" s="48"/>
      <c r="X724" s="47">
        <v>1.101E-3</v>
      </c>
      <c r="Y724" s="48"/>
      <c r="Z724" s="47"/>
      <c r="AA724" s="69">
        <v>724</v>
      </c>
      <c r="AB724" s="69"/>
      <c r="AC724" s="70"/>
      <c r="AD724" s="76" t="s">
        <v>17347</v>
      </c>
      <c r="AE724" s="81" t="s">
        <v>16502</v>
      </c>
      <c r="AF724" s="76">
        <v>5283</v>
      </c>
      <c r="AG724" s="76">
        <v>462</v>
      </c>
      <c r="AH724" s="76">
        <v>3466</v>
      </c>
      <c r="AI724" s="76">
        <v>5</v>
      </c>
      <c r="AJ724" s="76">
        <v>10797</v>
      </c>
      <c r="AK724" s="76">
        <v>476</v>
      </c>
      <c r="AL724" s="76" t="b">
        <v>0</v>
      </c>
      <c r="AM724" s="78">
        <v>44738.156134259261</v>
      </c>
      <c r="AN724" s="76" t="s">
        <v>10552</v>
      </c>
      <c r="AO724" s="76" t="s">
        <v>18808</v>
      </c>
      <c r="AP724" s="83" t="str">
        <f>HYPERLINK("https://t.co/t60VqaGsp1")</f>
        <v>https://t.co/t60VqaGsp1</v>
      </c>
      <c r="AQ724" s="83" t="str">
        <f>HYPERLINK("https://www.twitch.tv/chocolateexpresso")</f>
        <v>https://www.twitch.tv/chocolateexpresso</v>
      </c>
      <c r="AR724" s="76" t="s">
        <v>19429</v>
      </c>
      <c r="AS724" s="76"/>
      <c r="AT724" s="76"/>
      <c r="AU724" s="76"/>
      <c r="AV724" s="76">
        <v>1.6897777633878999E+18</v>
      </c>
      <c r="AW724" s="83" t="str">
        <f>HYPERLINK("https://t.co/t60VqaGsp1")</f>
        <v>https://t.co/t60VqaGsp1</v>
      </c>
      <c r="AX724" s="76" t="b">
        <v>1</v>
      </c>
      <c r="AY724" s="76"/>
      <c r="AZ724" s="76"/>
      <c r="BA724" s="76" t="b">
        <v>1</v>
      </c>
      <c r="BB724" s="76" t="b">
        <v>1</v>
      </c>
      <c r="BC724" s="76" t="b">
        <v>1</v>
      </c>
      <c r="BD724" s="76" t="b">
        <v>0</v>
      </c>
      <c r="BE724" s="76" t="b">
        <v>1</v>
      </c>
      <c r="BF724" s="76" t="b">
        <v>0</v>
      </c>
      <c r="BG724" s="76" t="b">
        <v>0</v>
      </c>
      <c r="BH724" s="83" t="str">
        <f>HYPERLINK("https://pbs.twimg.com/profile_banners/1540903697609375744/1693188827")</f>
        <v>https://pbs.twimg.com/profile_banners/1540903697609375744/1693188827</v>
      </c>
      <c r="BI724" s="76"/>
      <c r="BJ724" s="76" t="s">
        <v>19633</v>
      </c>
      <c r="BK724" s="76" t="b">
        <v>0</v>
      </c>
      <c r="BL724" s="76"/>
      <c r="BM724" s="76" t="s">
        <v>66</v>
      </c>
      <c r="BN724" s="76" t="s">
        <v>19635</v>
      </c>
      <c r="BO724" s="83" t="str">
        <f>HYPERLINK("https://twitter.com/chocolatefabiu")</f>
        <v>https://twitter.com/chocolatefabiu</v>
      </c>
      <c r="BP724" s="2"/>
    </row>
    <row r="725" spans="1:68" x14ac:dyDescent="0.25">
      <c r="A725" s="62" t="s">
        <v>865</v>
      </c>
      <c r="B725" s="63"/>
      <c r="C725" s="63"/>
      <c r="D725" s="64"/>
      <c r="E725" s="66"/>
      <c r="F725" s="103" t="str">
        <f>HYPERLINK("https://pbs.twimg.com/profile_images/1557529443417063424/3l87PLk8_normal.jpg")</f>
        <v>https://pbs.twimg.com/profile_images/1557529443417063424/3l87PLk8_normal.jpg</v>
      </c>
      <c r="G725" s="63"/>
      <c r="H725" s="67"/>
      <c r="I725" s="68"/>
      <c r="J725" s="68"/>
      <c r="K725" s="67" t="s">
        <v>20357</v>
      </c>
      <c r="L725" s="71"/>
      <c r="M725" s="72"/>
      <c r="N725" s="72"/>
      <c r="O725" s="73"/>
      <c r="P725" s="74"/>
      <c r="Q725" s="74"/>
      <c r="R725" s="87"/>
      <c r="S725" s="87"/>
      <c r="T725" s="87"/>
      <c r="U725" s="87"/>
      <c r="V725" s="48"/>
      <c r="W725" s="48"/>
      <c r="X725" s="47">
        <v>1.101E-3</v>
      </c>
      <c r="Y725" s="48"/>
      <c r="Z725" s="47"/>
      <c r="AA725" s="69">
        <v>725</v>
      </c>
      <c r="AB725" s="69"/>
      <c r="AC725" s="70"/>
      <c r="AD725" s="76" t="s">
        <v>17348</v>
      </c>
      <c r="AE725" s="81" t="s">
        <v>16503</v>
      </c>
      <c r="AF725" s="76">
        <v>31</v>
      </c>
      <c r="AG725" s="76">
        <v>535</v>
      </c>
      <c r="AH725" s="76">
        <v>161</v>
      </c>
      <c r="AI725" s="76">
        <v>9</v>
      </c>
      <c r="AJ725" s="76">
        <v>363</v>
      </c>
      <c r="AK725" s="76">
        <v>35</v>
      </c>
      <c r="AL725" s="76" t="b">
        <v>0</v>
      </c>
      <c r="AM725" s="78">
        <v>42927.829004629632</v>
      </c>
      <c r="AN725" s="76" t="s">
        <v>10569</v>
      </c>
      <c r="AO725" s="76" t="s">
        <v>18809</v>
      </c>
      <c r="AP725" s="83" t="str">
        <f>HYPERLINK("https://t.co/fcJN8VbgIj")</f>
        <v>https://t.co/fcJN8VbgIj</v>
      </c>
      <c r="AQ725" s="83" t="str">
        <f>HYPERLINK("http://forkthebanks.io/mercados")</f>
        <v>http://forkthebanks.io/mercados</v>
      </c>
      <c r="AR725" s="76" t="s">
        <v>19430</v>
      </c>
      <c r="AS725" s="76"/>
      <c r="AT725" s="76"/>
      <c r="AU725" s="76"/>
      <c r="AV725" s="76"/>
      <c r="AW725" s="83" t="str">
        <f>HYPERLINK("https://t.co/fcJN8VbgIj")</f>
        <v>https://t.co/fcJN8VbgIj</v>
      </c>
      <c r="AX725" s="76" t="b">
        <v>0</v>
      </c>
      <c r="AY725" s="76"/>
      <c r="AZ725" s="76"/>
      <c r="BA725" s="76" t="b">
        <v>0</v>
      </c>
      <c r="BB725" s="76" t="b">
        <v>1</v>
      </c>
      <c r="BC725" s="76" t="b">
        <v>1</v>
      </c>
      <c r="BD725" s="76" t="b">
        <v>0</v>
      </c>
      <c r="BE725" s="76" t="b">
        <v>1</v>
      </c>
      <c r="BF725" s="76" t="b">
        <v>0</v>
      </c>
      <c r="BG725" s="76" t="b">
        <v>0</v>
      </c>
      <c r="BH725" s="83" t="str">
        <f>HYPERLINK("https://pbs.twimg.com/profile_banners/884863303448743937/1668260997")</f>
        <v>https://pbs.twimg.com/profile_banners/884863303448743937/1668260997</v>
      </c>
      <c r="BI725" s="76"/>
      <c r="BJ725" s="76" t="s">
        <v>19633</v>
      </c>
      <c r="BK725" s="76" t="b">
        <v>0</v>
      </c>
      <c r="BL725" s="76"/>
      <c r="BM725" s="76" t="s">
        <v>66</v>
      </c>
      <c r="BN725" s="76" t="s">
        <v>19635</v>
      </c>
      <c r="BO725" s="83" t="str">
        <f>HYPERLINK("https://twitter.com/forkthebank")</f>
        <v>https://twitter.com/forkthebank</v>
      </c>
      <c r="BP725" s="2"/>
    </row>
    <row r="726" spans="1:68" x14ac:dyDescent="0.25">
      <c r="A726" s="62" t="s">
        <v>866</v>
      </c>
      <c r="B726" s="63"/>
      <c r="C726" s="63"/>
      <c r="D726" s="64"/>
      <c r="E726" s="66"/>
      <c r="F726" s="103" t="str">
        <f>HYPERLINK("https://pbs.twimg.com/profile_images/1538898214958551040/akouXJeg_normal.jpg")</f>
        <v>https://pbs.twimg.com/profile_images/1538898214958551040/akouXJeg_normal.jpg</v>
      </c>
      <c r="G726" s="63"/>
      <c r="H726" s="67"/>
      <c r="I726" s="68"/>
      <c r="J726" s="68"/>
      <c r="K726" s="67" t="s">
        <v>20358</v>
      </c>
      <c r="L726" s="71"/>
      <c r="M726" s="72"/>
      <c r="N726" s="72"/>
      <c r="O726" s="73"/>
      <c r="P726" s="74"/>
      <c r="Q726" s="74"/>
      <c r="R726" s="87"/>
      <c r="S726" s="87"/>
      <c r="T726" s="87"/>
      <c r="U726" s="87"/>
      <c r="V726" s="48"/>
      <c r="W726" s="48"/>
      <c r="X726" s="47">
        <v>1.101E-3</v>
      </c>
      <c r="Y726" s="48"/>
      <c r="Z726" s="47"/>
      <c r="AA726" s="69">
        <v>726</v>
      </c>
      <c r="AB726" s="69"/>
      <c r="AC726" s="70"/>
      <c r="AD726" s="76" t="s">
        <v>17349</v>
      </c>
      <c r="AE726" s="81" t="s">
        <v>16504</v>
      </c>
      <c r="AF726" s="76">
        <v>86</v>
      </c>
      <c r="AG726" s="76">
        <v>785</v>
      </c>
      <c r="AH726" s="76">
        <v>235</v>
      </c>
      <c r="AI726" s="76">
        <v>1</v>
      </c>
      <c r="AJ726" s="76">
        <v>118</v>
      </c>
      <c r="AK726" s="76">
        <v>133</v>
      </c>
      <c r="AL726" s="76" t="b">
        <v>0</v>
      </c>
      <c r="AM726" s="78">
        <v>44559.490300925929</v>
      </c>
      <c r="AN726" s="76" t="s">
        <v>10552</v>
      </c>
      <c r="AO726" s="76" t="s">
        <v>18810</v>
      </c>
      <c r="AP726" s="83" t="str">
        <f>HYPERLINK("https://t.co/NC0xsH3NDW")</f>
        <v>https://t.co/NC0xsH3NDW</v>
      </c>
      <c r="AQ726" s="83" t="str">
        <f>HYPERLINK("http://www.consorciovwnacional.com.br")</f>
        <v>http://www.consorciovwnacional.com.br</v>
      </c>
      <c r="AR726" s="76" t="s">
        <v>19431</v>
      </c>
      <c r="AS726" s="76"/>
      <c r="AT726" s="76"/>
      <c r="AU726" s="76"/>
      <c r="AV726" s="76"/>
      <c r="AW726" s="83" t="str">
        <f>HYPERLINK("https://t.co/NC0xsH3NDW")</f>
        <v>https://t.co/NC0xsH3NDW</v>
      </c>
      <c r="AX726" s="76" t="b">
        <v>0</v>
      </c>
      <c r="AY726" s="76"/>
      <c r="AZ726" s="76"/>
      <c r="BA726" s="76" t="b">
        <v>0</v>
      </c>
      <c r="BB726" s="76" t="b">
        <v>1</v>
      </c>
      <c r="BC726" s="76" t="b">
        <v>1</v>
      </c>
      <c r="BD726" s="76" t="b">
        <v>0</v>
      </c>
      <c r="BE726" s="76" t="b">
        <v>0</v>
      </c>
      <c r="BF726" s="76" t="b">
        <v>0</v>
      </c>
      <c r="BG726" s="76" t="b">
        <v>0</v>
      </c>
      <c r="BH726" s="83" t="str">
        <f>HYPERLINK("https://pbs.twimg.com/profile_banners/1476157037394501647/1679963029")</f>
        <v>https://pbs.twimg.com/profile_banners/1476157037394501647/1679963029</v>
      </c>
      <c r="BI726" s="76"/>
      <c r="BJ726" s="76" t="s">
        <v>19633</v>
      </c>
      <c r="BK726" s="76" t="b">
        <v>0</v>
      </c>
      <c r="BL726" s="76"/>
      <c r="BM726" s="76" t="s">
        <v>66</v>
      </c>
      <c r="BN726" s="76" t="s">
        <v>19635</v>
      </c>
      <c r="BO726" s="83" t="str">
        <f>HYPERLINK("https://twitter.com/consorciodecarr")</f>
        <v>https://twitter.com/consorciodecarr</v>
      </c>
      <c r="BP726" s="2"/>
    </row>
    <row r="727" spans="1:68" x14ac:dyDescent="0.25">
      <c r="A727" s="62" t="s">
        <v>867</v>
      </c>
      <c r="B727" s="63"/>
      <c r="C727" s="63"/>
      <c r="D727" s="64"/>
      <c r="E727" s="66"/>
      <c r="F727" s="103" t="str">
        <f>HYPERLINK("https://pbs.twimg.com/profile_images/1646482484161290243/ZwEr8dEq_normal.jpg")</f>
        <v>https://pbs.twimg.com/profile_images/1646482484161290243/ZwEr8dEq_normal.jpg</v>
      </c>
      <c r="G727" s="63"/>
      <c r="H727" s="67"/>
      <c r="I727" s="68"/>
      <c r="J727" s="68"/>
      <c r="K727" s="67" t="s">
        <v>20359</v>
      </c>
      <c r="L727" s="71"/>
      <c r="M727" s="72"/>
      <c r="N727" s="72"/>
      <c r="O727" s="73"/>
      <c r="P727" s="74"/>
      <c r="Q727" s="74"/>
      <c r="R727" s="87"/>
      <c r="S727" s="87"/>
      <c r="T727" s="87"/>
      <c r="U727" s="87"/>
      <c r="V727" s="48"/>
      <c r="W727" s="48"/>
      <c r="X727" s="47">
        <v>1.101E-3</v>
      </c>
      <c r="Y727" s="48"/>
      <c r="Z727" s="47"/>
      <c r="AA727" s="69">
        <v>727</v>
      </c>
      <c r="AB727" s="69"/>
      <c r="AC727" s="70"/>
      <c r="AD727" s="76" t="s">
        <v>17350</v>
      </c>
      <c r="AE727" s="81" t="s">
        <v>16505</v>
      </c>
      <c r="AF727" s="76">
        <v>0</v>
      </c>
      <c r="AG727" s="76">
        <v>70</v>
      </c>
      <c r="AH727" s="76">
        <v>4</v>
      </c>
      <c r="AI727" s="76">
        <v>1</v>
      </c>
      <c r="AJ727" s="76">
        <v>1</v>
      </c>
      <c r="AK727" s="76">
        <v>0</v>
      </c>
      <c r="AL727" s="76" t="b">
        <v>0</v>
      </c>
      <c r="AM727" s="78">
        <v>45029.497314814813</v>
      </c>
      <c r="AN727" s="76" t="s">
        <v>18091</v>
      </c>
      <c r="AO727" s="76" t="s">
        <v>18811</v>
      </c>
      <c r="AP727" s="83" t="str">
        <f>HYPERLINK("https://t.co/VL3SDOSMHg")</f>
        <v>https://t.co/VL3SDOSMHg</v>
      </c>
      <c r="AQ727" s="83" t="str">
        <f>HYPERLINK("http://www.capacitatreinamantos.com.br")</f>
        <v>http://www.capacitatreinamantos.com.br</v>
      </c>
      <c r="AR727" s="76" t="s">
        <v>19432</v>
      </c>
      <c r="AS727" s="76"/>
      <c r="AT727" s="76"/>
      <c r="AU727" s="76"/>
      <c r="AV727" s="76"/>
      <c r="AW727" s="83" t="str">
        <f>HYPERLINK("https://t.co/VL3SDOSMHg")</f>
        <v>https://t.co/VL3SDOSMHg</v>
      </c>
      <c r="AX727" s="76" t="b">
        <v>0</v>
      </c>
      <c r="AY727" s="76"/>
      <c r="AZ727" s="76"/>
      <c r="BA727" s="76" t="b">
        <v>0</v>
      </c>
      <c r="BB727" s="76" t="b">
        <v>1</v>
      </c>
      <c r="BC727" s="76" t="b">
        <v>1</v>
      </c>
      <c r="BD727" s="76" t="b">
        <v>0</v>
      </c>
      <c r="BE727" s="76" t="b">
        <v>0</v>
      </c>
      <c r="BF727" s="76" t="b">
        <v>0</v>
      </c>
      <c r="BG727" s="76" t="b">
        <v>0</v>
      </c>
      <c r="BH727" s="83" t="str">
        <f>HYPERLINK("https://pbs.twimg.com/profile_banners/1646482334634393600/1681389126")</f>
        <v>https://pbs.twimg.com/profile_banners/1646482334634393600/1681389126</v>
      </c>
      <c r="BI727" s="76"/>
      <c r="BJ727" s="76" t="s">
        <v>19633</v>
      </c>
      <c r="BK727" s="76" t="b">
        <v>0</v>
      </c>
      <c r="BL727" s="76"/>
      <c r="BM727" s="76" t="s">
        <v>66</v>
      </c>
      <c r="BN727" s="76" t="s">
        <v>19635</v>
      </c>
      <c r="BO727" s="83" t="str">
        <f>HYPERLINK("https://twitter.com/capacita_ec")</f>
        <v>https://twitter.com/capacita_ec</v>
      </c>
      <c r="BP727" s="2"/>
    </row>
    <row r="728" spans="1:68" x14ac:dyDescent="0.25">
      <c r="A728" s="62" t="s">
        <v>868</v>
      </c>
      <c r="B728" s="63"/>
      <c r="C728" s="63"/>
      <c r="D728" s="64"/>
      <c r="E728" s="66"/>
      <c r="F728" s="103" t="str">
        <f>HYPERLINK("https://pbs.twimg.com/profile_images/1384152837223903241/67NM0rtX_normal.jpg")</f>
        <v>https://pbs.twimg.com/profile_images/1384152837223903241/67NM0rtX_normal.jpg</v>
      </c>
      <c r="G728" s="63"/>
      <c r="H728" s="67"/>
      <c r="I728" s="68"/>
      <c r="J728" s="68"/>
      <c r="K728" s="67" t="s">
        <v>20360</v>
      </c>
      <c r="L728" s="71"/>
      <c r="M728" s="72"/>
      <c r="N728" s="72"/>
      <c r="O728" s="73"/>
      <c r="P728" s="74"/>
      <c r="Q728" s="74"/>
      <c r="R728" s="87"/>
      <c r="S728" s="87"/>
      <c r="T728" s="87"/>
      <c r="U728" s="87"/>
      <c r="V728" s="48"/>
      <c r="W728" s="48"/>
      <c r="X728" s="47">
        <v>1.178E-3</v>
      </c>
      <c r="Y728" s="48"/>
      <c r="Z728" s="47"/>
      <c r="AA728" s="69">
        <v>728</v>
      </c>
      <c r="AB728" s="69"/>
      <c r="AC728" s="70"/>
      <c r="AD728" s="76" t="s">
        <v>17351</v>
      </c>
      <c r="AE728" s="81" t="s">
        <v>16506</v>
      </c>
      <c r="AF728" s="76">
        <v>1181486</v>
      </c>
      <c r="AG728" s="76">
        <v>223</v>
      </c>
      <c r="AH728" s="76">
        <v>52925</v>
      </c>
      <c r="AI728" s="76">
        <v>1292</v>
      </c>
      <c r="AJ728" s="76">
        <v>798</v>
      </c>
      <c r="AK728" s="76">
        <v>1314</v>
      </c>
      <c r="AL728" s="76" t="b">
        <v>0</v>
      </c>
      <c r="AM728" s="78">
        <v>43860.742812500001</v>
      </c>
      <c r="AN728" s="76" t="s">
        <v>10552</v>
      </c>
      <c r="AO728" s="76"/>
      <c r="AP728" s="83" t="str">
        <f>HYPERLINK("https://t.co/hwoe6S56Iz")</f>
        <v>https://t.co/hwoe6S56Iz</v>
      </c>
      <c r="AQ728" s="83" t="str">
        <f>HYPERLINK("http://bit.ly/tw_bio_revistaoeste")</f>
        <v>http://bit.ly/tw_bio_revistaoeste</v>
      </c>
      <c r="AR728" s="76" t="s">
        <v>19433</v>
      </c>
      <c r="AS728" s="76"/>
      <c r="AT728" s="76"/>
      <c r="AU728" s="76"/>
      <c r="AV728" s="76">
        <v>1.7002124561764101E+18</v>
      </c>
      <c r="AW728" s="83" t="str">
        <f>HYPERLINK("https://t.co/hwoe6S56Iz")</f>
        <v>https://t.co/hwoe6S56Iz</v>
      </c>
      <c r="AX728" s="76" t="b">
        <v>1</v>
      </c>
      <c r="AY728" s="76"/>
      <c r="AZ728" s="76"/>
      <c r="BA728" s="76" t="b">
        <v>1</v>
      </c>
      <c r="BB728" s="76" t="b">
        <v>1</v>
      </c>
      <c r="BC728" s="76" t="b">
        <v>1</v>
      </c>
      <c r="BD728" s="76" t="b">
        <v>0</v>
      </c>
      <c r="BE728" s="76" t="b">
        <v>1</v>
      </c>
      <c r="BF728" s="76" t="b">
        <v>0</v>
      </c>
      <c r="BG728" s="76" t="b">
        <v>0</v>
      </c>
      <c r="BH728" s="83" t="str">
        <f>HYPERLINK("https://pbs.twimg.com/profile_banners/1222939896349970432/1584125714")</f>
        <v>https://pbs.twimg.com/profile_banners/1222939896349970432/1584125714</v>
      </c>
      <c r="BI728" s="76"/>
      <c r="BJ728" s="76" t="s">
        <v>19633</v>
      </c>
      <c r="BK728" s="76" t="b">
        <v>0</v>
      </c>
      <c r="BL728" s="76"/>
      <c r="BM728" s="76" t="s">
        <v>66</v>
      </c>
      <c r="BN728" s="76" t="s">
        <v>19635</v>
      </c>
      <c r="BO728" s="83" t="str">
        <f>HYPERLINK("https://twitter.com/revistaoeste")</f>
        <v>https://twitter.com/revistaoeste</v>
      </c>
      <c r="BP728" s="2"/>
    </row>
    <row r="729" spans="1:68" x14ac:dyDescent="0.25">
      <c r="A729" s="62" t="s">
        <v>869</v>
      </c>
      <c r="B729" s="63"/>
      <c r="C729" s="63"/>
      <c r="D729" s="64"/>
      <c r="E729" s="66"/>
      <c r="F729" s="103" t="str">
        <f>HYPERLINK("https://pbs.twimg.com/profile_images/1615829050617995264/1VDz8hUY_normal.jpg")</f>
        <v>https://pbs.twimg.com/profile_images/1615829050617995264/1VDz8hUY_normal.jpg</v>
      </c>
      <c r="G729" s="63"/>
      <c r="H729" s="67"/>
      <c r="I729" s="68"/>
      <c r="J729" s="68"/>
      <c r="K729" s="67" t="s">
        <v>20361</v>
      </c>
      <c r="L729" s="71"/>
      <c r="M729" s="72"/>
      <c r="N729" s="72"/>
      <c r="O729" s="73"/>
      <c r="P729" s="74"/>
      <c r="Q729" s="74"/>
      <c r="R729" s="87"/>
      <c r="S729" s="87"/>
      <c r="T729" s="87"/>
      <c r="U729" s="87"/>
      <c r="V729" s="48"/>
      <c r="W729" s="48"/>
      <c r="X729" s="47">
        <v>1.024E-3</v>
      </c>
      <c r="Y729" s="48"/>
      <c r="Z729" s="47"/>
      <c r="AA729" s="69">
        <v>729</v>
      </c>
      <c r="AB729" s="69"/>
      <c r="AC729" s="70"/>
      <c r="AD729" s="76" t="s">
        <v>17352</v>
      </c>
      <c r="AE729" s="81" t="s">
        <v>17783</v>
      </c>
      <c r="AF729" s="76">
        <v>699</v>
      </c>
      <c r="AG729" s="76">
        <v>3236</v>
      </c>
      <c r="AH729" s="76">
        <v>15087</v>
      </c>
      <c r="AI729" s="76">
        <v>15</v>
      </c>
      <c r="AJ729" s="76">
        <v>48740</v>
      </c>
      <c r="AK729" s="76">
        <v>459</v>
      </c>
      <c r="AL729" s="76" t="b">
        <v>0</v>
      </c>
      <c r="AM729" s="78">
        <v>39931.522175925929</v>
      </c>
      <c r="AN729" s="76" t="s">
        <v>18092</v>
      </c>
      <c r="AO729" s="76" t="s">
        <v>18812</v>
      </c>
      <c r="AP729" s="83" t="str">
        <f>HYPERLINK("https://t.co/T43Z8yfKPM")</f>
        <v>https://t.co/T43Z8yfKPM</v>
      </c>
      <c r="AQ729" s="83" t="str">
        <f>HYPERLINK("https://instagram.com/marcoscleberc?igshid=NTA5ZTk1NTc=")</f>
        <v>https://instagram.com/marcoscleberc?igshid=NTA5ZTk1NTc=</v>
      </c>
      <c r="AR729" s="76" t="s">
        <v>19434</v>
      </c>
      <c r="AS729" s="76"/>
      <c r="AT729" s="76"/>
      <c r="AU729" s="76"/>
      <c r="AV729" s="76"/>
      <c r="AW729" s="83" t="str">
        <f>HYPERLINK("https://t.co/T43Z8yfKPM")</f>
        <v>https://t.co/T43Z8yfKPM</v>
      </c>
      <c r="AX729" s="76" t="b">
        <v>0</v>
      </c>
      <c r="AY729" s="76"/>
      <c r="AZ729" s="76"/>
      <c r="BA729" s="76" t="b">
        <v>0</v>
      </c>
      <c r="BB729" s="76" t="b">
        <v>0</v>
      </c>
      <c r="BC729" s="76" t="b">
        <v>0</v>
      </c>
      <c r="BD729" s="76" t="b">
        <v>0</v>
      </c>
      <c r="BE729" s="76" t="b">
        <v>1</v>
      </c>
      <c r="BF729" s="76" t="b">
        <v>0</v>
      </c>
      <c r="BG729" s="76" t="b">
        <v>1</v>
      </c>
      <c r="BH729" s="83" t="str">
        <f>HYPERLINK("https://pbs.twimg.com/profile_banners/36052366/1397514004")</f>
        <v>https://pbs.twimg.com/profile_banners/36052366/1397514004</v>
      </c>
      <c r="BI729" s="76"/>
      <c r="BJ729" s="76" t="s">
        <v>19633</v>
      </c>
      <c r="BK729" s="76" t="b">
        <v>0</v>
      </c>
      <c r="BL729" s="76"/>
      <c r="BM729" s="76" t="s">
        <v>66</v>
      </c>
      <c r="BN729" s="76" t="s">
        <v>19635</v>
      </c>
      <c r="BO729" s="83" t="str">
        <f>HYPERLINK("https://twitter.com/marcoscleberc")</f>
        <v>https://twitter.com/marcoscleberc</v>
      </c>
      <c r="BP729" s="2"/>
    </row>
    <row r="730" spans="1:68" x14ac:dyDescent="0.25">
      <c r="A730" s="62" t="s">
        <v>871</v>
      </c>
      <c r="B730" s="63"/>
      <c r="C730" s="63"/>
      <c r="D730" s="64"/>
      <c r="E730" s="66"/>
      <c r="F730" s="103" t="str">
        <f>HYPERLINK("https://pbs.twimg.com/profile_images/1685424702607548416/jlKMaV9F_normal.jpg")</f>
        <v>https://pbs.twimg.com/profile_images/1685424702607548416/jlKMaV9F_normal.jpg</v>
      </c>
      <c r="G730" s="63"/>
      <c r="H730" s="67"/>
      <c r="I730" s="68"/>
      <c r="J730" s="68"/>
      <c r="K730" s="67" t="s">
        <v>20362</v>
      </c>
      <c r="L730" s="71"/>
      <c r="M730" s="72"/>
      <c r="N730" s="72"/>
      <c r="O730" s="73"/>
      <c r="P730" s="74"/>
      <c r="Q730" s="74"/>
      <c r="R730" s="87"/>
      <c r="S730" s="87"/>
      <c r="T730" s="87"/>
      <c r="U730" s="87"/>
      <c r="V730" s="48"/>
      <c r="W730" s="48"/>
      <c r="X730" s="47">
        <v>1.101E-3</v>
      </c>
      <c r="Y730" s="48"/>
      <c r="Z730" s="47"/>
      <c r="AA730" s="69">
        <v>730</v>
      </c>
      <c r="AB730" s="69"/>
      <c r="AC730" s="70"/>
      <c r="AD730" s="76" t="s">
        <v>17353</v>
      </c>
      <c r="AE730" s="81" t="s">
        <v>16507</v>
      </c>
      <c r="AF730" s="76">
        <v>7</v>
      </c>
      <c r="AG730" s="76">
        <v>21</v>
      </c>
      <c r="AH730" s="76">
        <v>954</v>
      </c>
      <c r="AI730" s="76">
        <v>0</v>
      </c>
      <c r="AJ730" s="76">
        <v>1117</v>
      </c>
      <c r="AK730" s="76">
        <v>21</v>
      </c>
      <c r="AL730" s="76" t="b">
        <v>0</v>
      </c>
      <c r="AM730" s="78">
        <v>45128.45815972222</v>
      </c>
      <c r="AN730" s="76"/>
      <c r="AO730" s="76" t="s">
        <v>18813</v>
      </c>
      <c r="AP730" s="76"/>
      <c r="AQ730" s="76"/>
      <c r="AR730" s="76"/>
      <c r="AS730" s="76"/>
      <c r="AT730" s="76"/>
      <c r="AU730" s="76"/>
      <c r="AV730" s="76">
        <v>1.69510463487072E+18</v>
      </c>
      <c r="AW730" s="76"/>
      <c r="AX730" s="76" t="b">
        <v>0</v>
      </c>
      <c r="AY730" s="76"/>
      <c r="AZ730" s="76"/>
      <c r="BA730" s="76" t="b">
        <v>0</v>
      </c>
      <c r="BB730" s="76" t="b">
        <v>1</v>
      </c>
      <c r="BC730" s="76" t="b">
        <v>1</v>
      </c>
      <c r="BD730" s="76" t="b">
        <v>0</v>
      </c>
      <c r="BE730" s="76" t="b">
        <v>0</v>
      </c>
      <c r="BF730" s="76" t="b">
        <v>0</v>
      </c>
      <c r="BG730" s="76" t="b">
        <v>0</v>
      </c>
      <c r="BH730" s="83" t="str">
        <f>HYPERLINK("https://pbs.twimg.com/profile_banners/1682344459957092353/1690802884")</f>
        <v>https://pbs.twimg.com/profile_banners/1682344459957092353/1690802884</v>
      </c>
      <c r="BI730" s="76"/>
      <c r="BJ730" s="76" t="s">
        <v>19633</v>
      </c>
      <c r="BK730" s="76" t="b">
        <v>0</v>
      </c>
      <c r="BL730" s="76"/>
      <c r="BM730" s="76" t="s">
        <v>66</v>
      </c>
      <c r="BN730" s="76" t="s">
        <v>19635</v>
      </c>
      <c r="BO730" s="83" t="str">
        <f>HYPERLINK("https://twitter.com/felipeinvestiu")</f>
        <v>https://twitter.com/felipeinvestiu</v>
      </c>
      <c r="BP730" s="2"/>
    </row>
    <row r="731" spans="1:68" x14ac:dyDescent="0.25">
      <c r="A731" s="62" t="s">
        <v>872</v>
      </c>
      <c r="B731" s="63"/>
      <c r="C731" s="63"/>
      <c r="D731" s="64"/>
      <c r="E731" s="66"/>
      <c r="F731" s="103" t="str">
        <f>HYPERLINK("https://pbs.twimg.com/profile_images/1672705192377155584/9ReNfRwH_normal.jpg")</f>
        <v>https://pbs.twimg.com/profile_images/1672705192377155584/9ReNfRwH_normal.jpg</v>
      </c>
      <c r="G731" s="63"/>
      <c r="H731" s="67"/>
      <c r="I731" s="68"/>
      <c r="J731" s="68"/>
      <c r="K731" s="67" t="s">
        <v>20363</v>
      </c>
      <c r="L731" s="71"/>
      <c r="M731" s="72"/>
      <c r="N731" s="72"/>
      <c r="O731" s="73"/>
      <c r="P731" s="74"/>
      <c r="Q731" s="74"/>
      <c r="R731" s="87"/>
      <c r="S731" s="87"/>
      <c r="T731" s="87"/>
      <c r="U731" s="87"/>
      <c r="V731" s="48"/>
      <c r="W731" s="48"/>
      <c r="X731" s="47">
        <v>1.101E-3</v>
      </c>
      <c r="Y731" s="48"/>
      <c r="Z731" s="47"/>
      <c r="AA731" s="69">
        <v>731</v>
      </c>
      <c r="AB731" s="69"/>
      <c r="AC731" s="70"/>
      <c r="AD731" s="76" t="s">
        <v>17354</v>
      </c>
      <c r="AE731" s="81" t="s">
        <v>16508</v>
      </c>
      <c r="AF731" s="76">
        <v>2631</v>
      </c>
      <c r="AG731" s="76">
        <v>22</v>
      </c>
      <c r="AH731" s="76">
        <v>571</v>
      </c>
      <c r="AI731" s="76">
        <v>1</v>
      </c>
      <c r="AJ731" s="76">
        <v>491</v>
      </c>
      <c r="AK731" s="76">
        <v>1</v>
      </c>
      <c r="AL731" s="76" t="b">
        <v>0</v>
      </c>
      <c r="AM731" s="78">
        <v>44203.994849537034</v>
      </c>
      <c r="AN731" s="76" t="s">
        <v>17869</v>
      </c>
      <c r="AO731" s="76" t="s">
        <v>18814</v>
      </c>
      <c r="AP731" s="83" t="str">
        <f>HYPERLINK("https://t.co/uxOj2kNhF8")</f>
        <v>https://t.co/uxOj2kNhF8</v>
      </c>
      <c r="AQ731" s="83" t="str">
        <f>HYPERLINK("https://www.econofin.site/")</f>
        <v>https://www.econofin.site/</v>
      </c>
      <c r="AR731" s="76" t="s">
        <v>19435</v>
      </c>
      <c r="AS731" s="76"/>
      <c r="AT731" s="76"/>
      <c r="AU731" s="76"/>
      <c r="AV731" s="76">
        <v>1.34734124400816E+18</v>
      </c>
      <c r="AW731" s="83" t="str">
        <f>HYPERLINK("https://t.co/uxOj2kNhF8")</f>
        <v>https://t.co/uxOj2kNhF8</v>
      </c>
      <c r="AX731" s="76" t="b">
        <v>0</v>
      </c>
      <c r="AY731" s="76"/>
      <c r="AZ731" s="76"/>
      <c r="BA731" s="76" t="b">
        <v>0</v>
      </c>
      <c r="BB731" s="76" t="b">
        <v>1</v>
      </c>
      <c r="BC731" s="76" t="b">
        <v>1</v>
      </c>
      <c r="BD731" s="76" t="b">
        <v>0</v>
      </c>
      <c r="BE731" s="76" t="b">
        <v>1</v>
      </c>
      <c r="BF731" s="76" t="b">
        <v>0</v>
      </c>
      <c r="BG731" s="76" t="b">
        <v>0</v>
      </c>
      <c r="BH731" s="83" t="str">
        <f>HYPERLINK("https://pbs.twimg.com/profile_banners/1347330241837092866/1687638985")</f>
        <v>https://pbs.twimg.com/profile_banners/1347330241837092866/1687638985</v>
      </c>
      <c r="BI731" s="76"/>
      <c r="BJ731" s="76" t="s">
        <v>19633</v>
      </c>
      <c r="BK731" s="76" t="b">
        <v>0</v>
      </c>
      <c r="BL731" s="76"/>
      <c r="BM731" s="76" t="s">
        <v>66</v>
      </c>
      <c r="BN731" s="76" t="s">
        <v>19635</v>
      </c>
      <c r="BO731" s="83" t="str">
        <f>HYPERLINK("https://twitter.com/econofin_")</f>
        <v>https://twitter.com/econofin_</v>
      </c>
      <c r="BP731" s="2"/>
    </row>
    <row r="732" spans="1:68" x14ac:dyDescent="0.25">
      <c r="A732" s="62" t="s">
        <v>873</v>
      </c>
      <c r="B732" s="63"/>
      <c r="C732" s="63"/>
      <c r="D732" s="64"/>
      <c r="E732" s="66"/>
      <c r="F732" s="103" t="str">
        <f>HYPERLINK("https://pbs.twimg.com/profile_images/1191780033670590464/_kauDG97_normal.jpg")</f>
        <v>https://pbs.twimg.com/profile_images/1191780033670590464/_kauDG97_normal.jpg</v>
      </c>
      <c r="G732" s="63"/>
      <c r="H732" s="67"/>
      <c r="I732" s="68"/>
      <c r="J732" s="68"/>
      <c r="K732" s="67" t="s">
        <v>20364</v>
      </c>
      <c r="L732" s="71"/>
      <c r="M732" s="72"/>
      <c r="N732" s="72"/>
      <c r="O732" s="73"/>
      <c r="P732" s="74"/>
      <c r="Q732" s="74"/>
      <c r="R732" s="87"/>
      <c r="S732" s="87"/>
      <c r="T732" s="87"/>
      <c r="U732" s="87"/>
      <c r="V732" s="48"/>
      <c r="W732" s="48"/>
      <c r="X732" s="47">
        <v>1.101E-3</v>
      </c>
      <c r="Y732" s="48"/>
      <c r="Z732" s="47"/>
      <c r="AA732" s="69">
        <v>732</v>
      </c>
      <c r="AB732" s="69"/>
      <c r="AC732" s="70"/>
      <c r="AD732" s="76" t="s">
        <v>17355</v>
      </c>
      <c r="AE732" s="81" t="s">
        <v>16509</v>
      </c>
      <c r="AF732" s="76">
        <v>157</v>
      </c>
      <c r="AG732" s="76">
        <v>45</v>
      </c>
      <c r="AH732" s="76">
        <v>203</v>
      </c>
      <c r="AI732" s="76">
        <v>0</v>
      </c>
      <c r="AJ732" s="76">
        <v>17</v>
      </c>
      <c r="AK732" s="76">
        <v>108</v>
      </c>
      <c r="AL732" s="76" t="b">
        <v>0</v>
      </c>
      <c r="AM732" s="78">
        <v>42710.779537037037</v>
      </c>
      <c r="AN732" s="76" t="s">
        <v>10552</v>
      </c>
      <c r="AO732" s="76" t="s">
        <v>18815</v>
      </c>
      <c r="AP732" s="83" t="str">
        <f>HYPERLINK("https://t.co/N4Hrw2yiQP")</f>
        <v>https://t.co/N4Hrw2yiQP</v>
      </c>
      <c r="AQ732" s="83" t="str">
        <f>HYPERLINK("http://www.bomconsorcio.com.br")</f>
        <v>http://www.bomconsorcio.com.br</v>
      </c>
      <c r="AR732" s="76" t="s">
        <v>19436</v>
      </c>
      <c r="AS732" s="76"/>
      <c r="AT732" s="76"/>
      <c r="AU732" s="76"/>
      <c r="AV732" s="76">
        <v>1.5493634237832599E+18</v>
      </c>
      <c r="AW732" s="83" t="str">
        <f>HYPERLINK("https://t.co/N4Hrw2yiQP")</f>
        <v>https://t.co/N4Hrw2yiQP</v>
      </c>
      <c r="AX732" s="76" t="b">
        <v>1</v>
      </c>
      <c r="AY732" s="76"/>
      <c r="AZ732" s="76"/>
      <c r="BA732" s="76" t="b">
        <v>0</v>
      </c>
      <c r="BB732" s="76" t="b">
        <v>1</v>
      </c>
      <c r="BC732" s="76" t="b">
        <v>0</v>
      </c>
      <c r="BD732" s="76" t="b">
        <v>0</v>
      </c>
      <c r="BE732" s="76" t="b">
        <v>0</v>
      </c>
      <c r="BF732" s="76" t="b">
        <v>0</v>
      </c>
      <c r="BG732" s="76" t="b">
        <v>0</v>
      </c>
      <c r="BH732" s="83" t="str">
        <f>HYPERLINK("https://pbs.twimg.com/profile_banners/806207212112801792/1649852539")</f>
        <v>https://pbs.twimg.com/profile_banners/806207212112801792/1649852539</v>
      </c>
      <c r="BI732" s="76"/>
      <c r="BJ732" s="76" t="s">
        <v>19633</v>
      </c>
      <c r="BK732" s="76" t="b">
        <v>0</v>
      </c>
      <c r="BL732" s="76"/>
      <c r="BM732" s="76" t="s">
        <v>66</v>
      </c>
      <c r="BN732" s="76" t="s">
        <v>19635</v>
      </c>
      <c r="BO732" s="83" t="str">
        <f>HYPERLINK("https://twitter.com/bomconsorcio")</f>
        <v>https://twitter.com/bomconsorcio</v>
      </c>
      <c r="BP732" s="2"/>
    </row>
    <row r="733" spans="1:68" x14ac:dyDescent="0.25">
      <c r="A733" s="62" t="s">
        <v>874</v>
      </c>
      <c r="B733" s="63"/>
      <c r="C733" s="63"/>
      <c r="D733" s="64"/>
      <c r="E733" s="66"/>
      <c r="F733" s="103" t="str">
        <f>HYPERLINK("https://pbs.twimg.com/profile_images/1564389807702376458/1UGzDIk7_normal.jpg")</f>
        <v>https://pbs.twimg.com/profile_images/1564389807702376458/1UGzDIk7_normal.jpg</v>
      </c>
      <c r="G733" s="63"/>
      <c r="H733" s="67"/>
      <c r="I733" s="68"/>
      <c r="J733" s="68"/>
      <c r="K733" s="67" t="s">
        <v>20365</v>
      </c>
      <c r="L733" s="71"/>
      <c r="M733" s="72"/>
      <c r="N733" s="72"/>
      <c r="O733" s="73"/>
      <c r="P733" s="74"/>
      <c r="Q733" s="74"/>
      <c r="R733" s="87"/>
      <c r="S733" s="87"/>
      <c r="T733" s="87"/>
      <c r="U733" s="87"/>
      <c r="V733" s="48"/>
      <c r="W733" s="48"/>
      <c r="X733" s="47">
        <v>1.101E-3</v>
      </c>
      <c r="Y733" s="48"/>
      <c r="Z733" s="47"/>
      <c r="AA733" s="69">
        <v>733</v>
      </c>
      <c r="AB733" s="69"/>
      <c r="AC733" s="70"/>
      <c r="AD733" s="76" t="s">
        <v>17356</v>
      </c>
      <c r="AE733" s="81" t="s">
        <v>15775</v>
      </c>
      <c r="AF733" s="76">
        <v>83</v>
      </c>
      <c r="AG733" s="76">
        <v>345</v>
      </c>
      <c r="AH733" s="76">
        <v>578</v>
      </c>
      <c r="AI733" s="76">
        <v>2</v>
      </c>
      <c r="AJ733" s="76">
        <v>1041</v>
      </c>
      <c r="AK733" s="76">
        <v>91</v>
      </c>
      <c r="AL733" s="76" t="b">
        <v>0</v>
      </c>
      <c r="AM733" s="78">
        <v>40012.721504629626</v>
      </c>
      <c r="AN733" s="76" t="s">
        <v>17905</v>
      </c>
      <c r="AO733" s="76" t="s">
        <v>18816</v>
      </c>
      <c r="AP733" s="83" t="str">
        <f>HYPERLINK("https://t.co/czl3C0J8lE")</f>
        <v>https://t.co/czl3C0J8lE</v>
      </c>
      <c r="AQ733" s="83" t="str">
        <f>HYPERLINK("http://www.nortusinvestimentos.com.br")</f>
        <v>http://www.nortusinvestimentos.com.br</v>
      </c>
      <c r="AR733" s="76" t="s">
        <v>19437</v>
      </c>
      <c r="AS733" s="76"/>
      <c r="AT733" s="76"/>
      <c r="AU733" s="76"/>
      <c r="AV733" s="76"/>
      <c r="AW733" s="83" t="str">
        <f>HYPERLINK("https://t.co/czl3C0J8lE")</f>
        <v>https://t.co/czl3C0J8lE</v>
      </c>
      <c r="AX733" s="76" t="b">
        <v>0</v>
      </c>
      <c r="AY733" s="76"/>
      <c r="AZ733" s="76"/>
      <c r="BA733" s="76" t="b">
        <v>0</v>
      </c>
      <c r="BB733" s="76" t="b">
        <v>0</v>
      </c>
      <c r="BC733" s="76" t="b">
        <v>0</v>
      </c>
      <c r="BD733" s="76" t="b">
        <v>0</v>
      </c>
      <c r="BE733" s="76" t="b">
        <v>1</v>
      </c>
      <c r="BF733" s="76" t="b">
        <v>0</v>
      </c>
      <c r="BG733" s="76" t="b">
        <v>0</v>
      </c>
      <c r="BH733" s="83" t="str">
        <f>HYPERLINK("https://pbs.twimg.com/profile_banners/57981116/1658760614")</f>
        <v>https://pbs.twimg.com/profile_banners/57981116/1658760614</v>
      </c>
      <c r="BI733" s="76"/>
      <c r="BJ733" s="76" t="s">
        <v>19633</v>
      </c>
      <c r="BK733" s="76" t="b">
        <v>0</v>
      </c>
      <c r="BL733" s="76"/>
      <c r="BM733" s="76" t="s">
        <v>66</v>
      </c>
      <c r="BN733" s="76" t="s">
        <v>19635</v>
      </c>
      <c r="BO733" s="83" t="str">
        <f>HYPERLINK("https://twitter.com/thiagobudni")</f>
        <v>https://twitter.com/thiagobudni</v>
      </c>
      <c r="BP733" s="2"/>
    </row>
    <row r="734" spans="1:68" x14ac:dyDescent="0.25">
      <c r="A734" s="62" t="s">
        <v>875</v>
      </c>
      <c r="B734" s="63"/>
      <c r="C734" s="63"/>
      <c r="D734" s="64"/>
      <c r="E734" s="66"/>
      <c r="F734" s="103" t="str">
        <f>HYPERLINK("https://pbs.twimg.com/profile_images/1549076227935408129/N6BEug99_normal.jpg")</f>
        <v>https://pbs.twimg.com/profile_images/1549076227935408129/N6BEug99_normal.jpg</v>
      </c>
      <c r="G734" s="63"/>
      <c r="H734" s="67"/>
      <c r="I734" s="68"/>
      <c r="J734" s="68"/>
      <c r="K734" s="67" t="s">
        <v>20366</v>
      </c>
      <c r="L734" s="71"/>
      <c r="M734" s="72"/>
      <c r="N734" s="72"/>
      <c r="O734" s="73"/>
      <c r="P734" s="74"/>
      <c r="Q734" s="74"/>
      <c r="R734" s="87"/>
      <c r="S734" s="87"/>
      <c r="T734" s="87"/>
      <c r="U734" s="87"/>
      <c r="V734" s="48"/>
      <c r="W734" s="48"/>
      <c r="X734" s="47">
        <v>1.101E-3</v>
      </c>
      <c r="Y734" s="48"/>
      <c r="Z734" s="47"/>
      <c r="AA734" s="69">
        <v>734</v>
      </c>
      <c r="AB734" s="69"/>
      <c r="AC734" s="70"/>
      <c r="AD734" s="76" t="s">
        <v>17357</v>
      </c>
      <c r="AE734" s="81" t="s">
        <v>16510</v>
      </c>
      <c r="AF734" s="76">
        <v>59</v>
      </c>
      <c r="AG734" s="76">
        <v>98</v>
      </c>
      <c r="AH734" s="76">
        <v>733</v>
      </c>
      <c r="AI734" s="76">
        <v>0</v>
      </c>
      <c r="AJ734" s="76">
        <v>74</v>
      </c>
      <c r="AK734" s="76">
        <v>646</v>
      </c>
      <c r="AL734" s="76" t="b">
        <v>0</v>
      </c>
      <c r="AM734" s="78">
        <v>44307.684236111112</v>
      </c>
      <c r="AN734" s="76"/>
      <c r="AO734" s="76" t="s">
        <v>18817</v>
      </c>
      <c r="AP734" s="83" t="str">
        <f>HYPERLINK("https://t.co/v6SYnsw7z5")</f>
        <v>https://t.co/v6SYnsw7z5</v>
      </c>
      <c r="AQ734" s="83" t="str">
        <f>HYPERLINK("https://linktr.ee/tradersaedrashid")</f>
        <v>https://linktr.ee/tradersaedrashid</v>
      </c>
      <c r="AR734" s="76" t="s">
        <v>19438</v>
      </c>
      <c r="AS734" s="76"/>
      <c r="AT734" s="76"/>
      <c r="AU734" s="76"/>
      <c r="AV734" s="76"/>
      <c r="AW734" s="83" t="str">
        <f>HYPERLINK("https://t.co/v6SYnsw7z5")</f>
        <v>https://t.co/v6SYnsw7z5</v>
      </c>
      <c r="AX734" s="76" t="b">
        <v>0</v>
      </c>
      <c r="AY734" s="76"/>
      <c r="AZ734" s="76"/>
      <c r="BA734" s="76" t="b">
        <v>0</v>
      </c>
      <c r="BB734" s="76" t="b">
        <v>1</v>
      </c>
      <c r="BC734" s="76" t="b">
        <v>1</v>
      </c>
      <c r="BD734" s="76" t="b">
        <v>0</v>
      </c>
      <c r="BE734" s="76" t="b">
        <v>0</v>
      </c>
      <c r="BF734" s="76" t="b">
        <v>0</v>
      </c>
      <c r="BG734" s="76" t="b">
        <v>0</v>
      </c>
      <c r="BH734" s="83" t="str">
        <f>HYPERLINK("https://pbs.twimg.com/profile_banners/1384906063372238851/1658494537")</f>
        <v>https://pbs.twimg.com/profile_banners/1384906063372238851/1658494537</v>
      </c>
      <c r="BI734" s="76"/>
      <c r="BJ734" s="76" t="s">
        <v>19633</v>
      </c>
      <c r="BK734" s="76" t="b">
        <v>0</v>
      </c>
      <c r="BL734" s="76"/>
      <c r="BM734" s="76" t="s">
        <v>66</v>
      </c>
      <c r="BN734" s="76" t="s">
        <v>19635</v>
      </c>
      <c r="BO734" s="83" t="str">
        <f>HYPERLINK("https://twitter.com/tradersaed")</f>
        <v>https://twitter.com/tradersaed</v>
      </c>
      <c r="BP734" s="2"/>
    </row>
    <row r="735" spans="1:68" x14ac:dyDescent="0.25">
      <c r="A735" s="62" t="s">
        <v>876</v>
      </c>
      <c r="B735" s="63"/>
      <c r="C735" s="63"/>
      <c r="D735" s="64"/>
      <c r="E735" s="66"/>
      <c r="F735" s="103" t="str">
        <f>HYPERLINK("https://pbs.twimg.com/profile_images/1696706328444461056/M2jkoF8-_normal.jpg")</f>
        <v>https://pbs.twimg.com/profile_images/1696706328444461056/M2jkoF8-_normal.jpg</v>
      </c>
      <c r="G735" s="63"/>
      <c r="H735" s="67"/>
      <c r="I735" s="68"/>
      <c r="J735" s="68"/>
      <c r="K735" s="67" t="s">
        <v>20367</v>
      </c>
      <c r="L735" s="71"/>
      <c r="M735" s="72"/>
      <c r="N735" s="72"/>
      <c r="O735" s="73"/>
      <c r="P735" s="74"/>
      <c r="Q735" s="74"/>
      <c r="R735" s="87"/>
      <c r="S735" s="87"/>
      <c r="T735" s="87"/>
      <c r="U735" s="87"/>
      <c r="V735" s="48"/>
      <c r="W735" s="48"/>
      <c r="X735" s="47">
        <v>1.101E-3</v>
      </c>
      <c r="Y735" s="48"/>
      <c r="Z735" s="47"/>
      <c r="AA735" s="69">
        <v>735</v>
      </c>
      <c r="AB735" s="69"/>
      <c r="AC735" s="70"/>
      <c r="AD735" s="76" t="s">
        <v>17358</v>
      </c>
      <c r="AE735" s="81" t="s">
        <v>16511</v>
      </c>
      <c r="AF735" s="76">
        <v>6689</v>
      </c>
      <c r="AG735" s="76">
        <v>5044</v>
      </c>
      <c r="AH735" s="76">
        <v>8073</v>
      </c>
      <c r="AI735" s="76">
        <v>0</v>
      </c>
      <c r="AJ735" s="76">
        <v>20458</v>
      </c>
      <c r="AK735" s="76">
        <v>1213</v>
      </c>
      <c r="AL735" s="76" t="b">
        <v>0</v>
      </c>
      <c r="AM735" s="78">
        <v>44695.896458333336</v>
      </c>
      <c r="AN735" s="76" t="s">
        <v>18093</v>
      </c>
      <c r="AO735" s="76" t="s">
        <v>18818</v>
      </c>
      <c r="AP735" s="76"/>
      <c r="AQ735" s="76"/>
      <c r="AR735" s="76"/>
      <c r="AS735" s="76"/>
      <c r="AT735" s="76"/>
      <c r="AU735" s="76"/>
      <c r="AV735" s="76">
        <v>1.65246418701923E+18</v>
      </c>
      <c r="AW735" s="76"/>
      <c r="AX735" s="76" t="b">
        <v>0</v>
      </c>
      <c r="AY735" s="76"/>
      <c r="AZ735" s="76"/>
      <c r="BA735" s="76" t="b">
        <v>0</v>
      </c>
      <c r="BB735" s="76" t="b">
        <v>0</v>
      </c>
      <c r="BC735" s="76" t="b">
        <v>1</v>
      </c>
      <c r="BD735" s="76" t="b">
        <v>0</v>
      </c>
      <c r="BE735" s="76" t="b">
        <v>1</v>
      </c>
      <c r="BF735" s="76" t="b">
        <v>0</v>
      </c>
      <c r="BG735" s="76" t="b">
        <v>0</v>
      </c>
      <c r="BH735" s="83" t="str">
        <f>HYPERLINK("https://pbs.twimg.com/profile_banners/1525589384153669632/1688075212")</f>
        <v>https://pbs.twimg.com/profile_banners/1525589384153669632/1688075212</v>
      </c>
      <c r="BI735" s="76"/>
      <c r="BJ735" s="76" t="s">
        <v>19633</v>
      </c>
      <c r="BK735" s="76" t="b">
        <v>0</v>
      </c>
      <c r="BL735" s="76"/>
      <c r="BM735" s="76" t="s">
        <v>66</v>
      </c>
      <c r="BN735" s="76" t="s">
        <v>19635</v>
      </c>
      <c r="BO735" s="83" t="str">
        <f>HYPERLINK("https://twitter.com/miriammariabjj")</f>
        <v>https://twitter.com/miriammariabjj</v>
      </c>
      <c r="BP735" s="2"/>
    </row>
    <row r="736" spans="1:68" x14ac:dyDescent="0.25">
      <c r="A736" s="62" t="s">
        <v>877</v>
      </c>
      <c r="B736" s="63"/>
      <c r="C736" s="63"/>
      <c r="D736" s="64"/>
      <c r="E736" s="66"/>
      <c r="F736" s="103" t="str">
        <f>HYPERLINK("https://pbs.twimg.com/profile_images/1308037131470811138/4qhX5Ihs_normal.png")</f>
        <v>https://pbs.twimg.com/profile_images/1308037131470811138/4qhX5Ihs_normal.png</v>
      </c>
      <c r="G736" s="63"/>
      <c r="H736" s="67"/>
      <c r="I736" s="68"/>
      <c r="J736" s="68"/>
      <c r="K736" s="67" t="s">
        <v>20368</v>
      </c>
      <c r="L736" s="71"/>
      <c r="M736" s="72"/>
      <c r="N736" s="72"/>
      <c r="O736" s="73"/>
      <c r="P736" s="74"/>
      <c r="Q736" s="74"/>
      <c r="R736" s="87"/>
      <c r="S736" s="87"/>
      <c r="T736" s="87"/>
      <c r="U736" s="87"/>
      <c r="V736" s="48"/>
      <c r="W736" s="48"/>
      <c r="X736" s="47">
        <v>1.101E-3</v>
      </c>
      <c r="Y736" s="48"/>
      <c r="Z736" s="47"/>
      <c r="AA736" s="69">
        <v>736</v>
      </c>
      <c r="AB736" s="69"/>
      <c r="AC736" s="70"/>
      <c r="AD736" s="76" t="s">
        <v>17359</v>
      </c>
      <c r="AE736" s="81" t="s">
        <v>16512</v>
      </c>
      <c r="AF736" s="76">
        <v>24</v>
      </c>
      <c r="AG736" s="76">
        <v>364</v>
      </c>
      <c r="AH736" s="76">
        <v>1249</v>
      </c>
      <c r="AI736" s="76">
        <v>0</v>
      </c>
      <c r="AJ736" s="76">
        <v>0</v>
      </c>
      <c r="AK736" s="76">
        <v>482</v>
      </c>
      <c r="AL736" s="76" t="b">
        <v>0</v>
      </c>
      <c r="AM736" s="78">
        <v>44095.565868055557</v>
      </c>
      <c r="AN736" s="76"/>
      <c r="AO736" s="76" t="s">
        <v>18819</v>
      </c>
      <c r="AP736" s="83" t="str">
        <f>HYPERLINK("https://t.co/UiUIarY1MT")</f>
        <v>https://t.co/UiUIarY1MT</v>
      </c>
      <c r="AQ736" s="83" t="str">
        <f>HYPERLINK("https://linktr.ee/investimentoobjetivo")</f>
        <v>https://linktr.ee/investimentoobjetivo</v>
      </c>
      <c r="AR736" s="76" t="s">
        <v>19439</v>
      </c>
      <c r="AS736" s="76"/>
      <c r="AT736" s="76"/>
      <c r="AU736" s="76"/>
      <c r="AV736" s="76"/>
      <c r="AW736" s="83" t="str">
        <f>HYPERLINK("https://t.co/UiUIarY1MT")</f>
        <v>https://t.co/UiUIarY1MT</v>
      </c>
      <c r="AX736" s="76" t="b">
        <v>0</v>
      </c>
      <c r="AY736" s="76"/>
      <c r="AZ736" s="76"/>
      <c r="BA736" s="76" t="b">
        <v>0</v>
      </c>
      <c r="BB736" s="76" t="b">
        <v>1</v>
      </c>
      <c r="BC736" s="76" t="b">
        <v>1</v>
      </c>
      <c r="BD736" s="76" t="b">
        <v>0</v>
      </c>
      <c r="BE736" s="76" t="b">
        <v>0</v>
      </c>
      <c r="BF736" s="76" t="b">
        <v>0</v>
      </c>
      <c r="BG736" s="76" t="b">
        <v>0</v>
      </c>
      <c r="BH736" s="83" t="str">
        <f>HYPERLINK("https://pbs.twimg.com/profile_banners/1308036876457177089/1651416308")</f>
        <v>https://pbs.twimg.com/profile_banners/1308036876457177089/1651416308</v>
      </c>
      <c r="BI736" s="76"/>
      <c r="BJ736" s="76" t="s">
        <v>19633</v>
      </c>
      <c r="BK736" s="76" t="b">
        <v>0</v>
      </c>
      <c r="BL736" s="76"/>
      <c r="BM736" s="76" t="s">
        <v>66</v>
      </c>
      <c r="BN736" s="76" t="s">
        <v>19635</v>
      </c>
      <c r="BO736" s="83" t="str">
        <f>HYPERLINK("https://twitter.com/investimentoob1")</f>
        <v>https://twitter.com/investimentoob1</v>
      </c>
      <c r="BP736" s="2"/>
    </row>
    <row r="737" spans="1:68" x14ac:dyDescent="0.25">
      <c r="A737" s="62" t="s">
        <v>878</v>
      </c>
      <c r="B737" s="63"/>
      <c r="C737" s="63"/>
      <c r="D737" s="64"/>
      <c r="E737" s="66"/>
      <c r="F737" s="103" t="str">
        <f>HYPERLINK("https://pbs.twimg.com/profile_images/935100539481874432/X_QojyB-_normal.jpg")</f>
        <v>https://pbs.twimg.com/profile_images/935100539481874432/X_QojyB-_normal.jpg</v>
      </c>
      <c r="G737" s="63"/>
      <c r="H737" s="67"/>
      <c r="I737" s="68"/>
      <c r="J737" s="68"/>
      <c r="K737" s="67" t="s">
        <v>20369</v>
      </c>
      <c r="L737" s="71"/>
      <c r="M737" s="72"/>
      <c r="N737" s="72"/>
      <c r="O737" s="73"/>
      <c r="P737" s="74"/>
      <c r="Q737" s="74"/>
      <c r="R737" s="87"/>
      <c r="S737" s="87"/>
      <c r="T737" s="87"/>
      <c r="U737" s="87"/>
      <c r="V737" s="48"/>
      <c r="W737" s="48"/>
      <c r="X737" s="47">
        <v>1.101E-3</v>
      </c>
      <c r="Y737" s="48"/>
      <c r="Z737" s="47"/>
      <c r="AA737" s="69">
        <v>737</v>
      </c>
      <c r="AB737" s="69"/>
      <c r="AC737" s="70"/>
      <c r="AD737" s="76" t="s">
        <v>17360</v>
      </c>
      <c r="AE737" s="81" t="s">
        <v>15776</v>
      </c>
      <c r="AF737" s="76">
        <v>246</v>
      </c>
      <c r="AG737" s="76">
        <v>138</v>
      </c>
      <c r="AH737" s="76">
        <v>980</v>
      </c>
      <c r="AI737" s="76">
        <v>7</v>
      </c>
      <c r="AJ737" s="76">
        <v>82</v>
      </c>
      <c r="AK737" s="76">
        <v>124</v>
      </c>
      <c r="AL737" s="76" t="b">
        <v>0</v>
      </c>
      <c r="AM737" s="78">
        <v>41696.065763888888</v>
      </c>
      <c r="AN737" s="76"/>
      <c r="AO737" s="76" t="s">
        <v>18820</v>
      </c>
      <c r="AP737" s="83" t="str">
        <f>HYPERLINK("https://t.co/ililZTlcZg")</f>
        <v>https://t.co/ililZTlcZg</v>
      </c>
      <c r="AQ737" s="83" t="str">
        <f>HYPERLINK("http://educandoseubolso.blog.br/cursos/")</f>
        <v>http://educandoseubolso.blog.br/cursos/</v>
      </c>
      <c r="AR737" s="76" t="s">
        <v>19440</v>
      </c>
      <c r="AS737" s="76"/>
      <c r="AT737" s="76"/>
      <c r="AU737" s="76"/>
      <c r="AV737" s="76">
        <v>1.59044058183437E+18</v>
      </c>
      <c r="AW737" s="83" t="str">
        <f>HYPERLINK("https://t.co/ililZTlcZg")</f>
        <v>https://t.co/ililZTlcZg</v>
      </c>
      <c r="AX737" s="76" t="b">
        <v>0</v>
      </c>
      <c r="AY737" s="76"/>
      <c r="AZ737" s="76"/>
      <c r="BA737" s="76" t="b">
        <v>0</v>
      </c>
      <c r="BB737" s="76" t="b">
        <v>1</v>
      </c>
      <c r="BC737" s="76" t="b">
        <v>1</v>
      </c>
      <c r="BD737" s="76" t="b">
        <v>0</v>
      </c>
      <c r="BE737" s="76" t="b">
        <v>0</v>
      </c>
      <c r="BF737" s="76" t="b">
        <v>0</v>
      </c>
      <c r="BG737" s="76" t="b">
        <v>0</v>
      </c>
      <c r="BH737" s="83" t="str">
        <f>HYPERLINK("https://pbs.twimg.com/profile_banners/2361932263/1512060136")</f>
        <v>https://pbs.twimg.com/profile_banners/2361932263/1512060136</v>
      </c>
      <c r="BI737" s="76"/>
      <c r="BJ737" s="76" t="s">
        <v>19633</v>
      </c>
      <c r="BK737" s="76" t="b">
        <v>0</v>
      </c>
      <c r="BL737" s="76"/>
      <c r="BM737" s="76" t="s">
        <v>66</v>
      </c>
      <c r="BN737" s="76" t="s">
        <v>19635</v>
      </c>
      <c r="BO737" s="83" t="str">
        <f>HYPERLINK("https://twitter.com/educandoseubols")</f>
        <v>https://twitter.com/educandoseubols</v>
      </c>
      <c r="BP737" s="2"/>
    </row>
    <row r="738" spans="1:68" x14ac:dyDescent="0.25">
      <c r="A738" s="62" t="s">
        <v>879</v>
      </c>
      <c r="B738" s="63"/>
      <c r="C738" s="63"/>
      <c r="D738" s="64"/>
      <c r="E738" s="66"/>
      <c r="F738" s="103" t="str">
        <f>HYPERLINK("https://pbs.twimg.com/profile_images/1689377510700584960/POq7HoEV_normal.jpg")</f>
        <v>https://pbs.twimg.com/profile_images/1689377510700584960/POq7HoEV_normal.jpg</v>
      </c>
      <c r="G738" s="63"/>
      <c r="H738" s="67"/>
      <c r="I738" s="68"/>
      <c r="J738" s="68"/>
      <c r="K738" s="67" t="s">
        <v>20370</v>
      </c>
      <c r="L738" s="71"/>
      <c r="M738" s="72"/>
      <c r="N738" s="72"/>
      <c r="O738" s="73"/>
      <c r="P738" s="74"/>
      <c r="Q738" s="74"/>
      <c r="R738" s="87"/>
      <c r="S738" s="87"/>
      <c r="T738" s="87"/>
      <c r="U738" s="87"/>
      <c r="V738" s="48"/>
      <c r="W738" s="48"/>
      <c r="X738" s="47">
        <v>1.101E-3</v>
      </c>
      <c r="Y738" s="48"/>
      <c r="Z738" s="47"/>
      <c r="AA738" s="69">
        <v>738</v>
      </c>
      <c r="AB738" s="69"/>
      <c r="AC738" s="70"/>
      <c r="AD738" s="76" t="s">
        <v>17361</v>
      </c>
      <c r="AE738" s="81" t="s">
        <v>16513</v>
      </c>
      <c r="AF738" s="76">
        <v>16</v>
      </c>
      <c r="AG738" s="76">
        <v>145</v>
      </c>
      <c r="AH738" s="76">
        <v>998</v>
      </c>
      <c r="AI738" s="76">
        <v>0</v>
      </c>
      <c r="AJ738" s="76">
        <v>2552</v>
      </c>
      <c r="AK738" s="76">
        <v>891</v>
      </c>
      <c r="AL738" s="76" t="b">
        <v>0</v>
      </c>
      <c r="AM738" s="78">
        <v>44934.635949074072</v>
      </c>
      <c r="AN738" s="76" t="s">
        <v>10622</v>
      </c>
      <c r="AO738" s="76" t="s">
        <v>18821</v>
      </c>
      <c r="AP738" s="83" t="str">
        <f>HYPERLINK("https://t.co/7BUIJWt2F0")</f>
        <v>https://t.co/7BUIJWt2F0</v>
      </c>
      <c r="AQ738" s="83" t="str">
        <f>HYPERLINK("https://www.youtube.com/playlist?list=PLBeaxGVsgNiO0-tICLp1lrxB2h03hD2v2")</f>
        <v>https://www.youtube.com/playlist?list=PLBeaxGVsgNiO0-tICLp1lrxB2h03hD2v2</v>
      </c>
      <c r="AR738" s="76" t="s">
        <v>19441</v>
      </c>
      <c r="AS738" s="76"/>
      <c r="AT738" s="76"/>
      <c r="AU738" s="76"/>
      <c r="AV738" s="76"/>
      <c r="AW738" s="83" t="str">
        <f>HYPERLINK("https://t.co/7BUIJWt2F0")</f>
        <v>https://t.co/7BUIJWt2F0</v>
      </c>
      <c r="AX738" s="76" t="b">
        <v>0</v>
      </c>
      <c r="AY738" s="76"/>
      <c r="AZ738" s="76"/>
      <c r="BA738" s="76" t="b">
        <v>0</v>
      </c>
      <c r="BB738" s="76" t="b">
        <v>1</v>
      </c>
      <c r="BC738" s="76" t="b">
        <v>1</v>
      </c>
      <c r="BD738" s="76" t="b">
        <v>0</v>
      </c>
      <c r="BE738" s="76" t="b">
        <v>0</v>
      </c>
      <c r="BF738" s="76" t="b">
        <v>0</v>
      </c>
      <c r="BG738" s="76" t="b">
        <v>0</v>
      </c>
      <c r="BH738" s="83" t="str">
        <f>HYPERLINK("https://pbs.twimg.com/profile_banners/1612105648036012036/1694000880")</f>
        <v>https://pbs.twimg.com/profile_banners/1612105648036012036/1694000880</v>
      </c>
      <c r="BI738" s="76"/>
      <c r="BJ738" s="76" t="s">
        <v>19633</v>
      </c>
      <c r="BK738" s="76" t="b">
        <v>0</v>
      </c>
      <c r="BL738" s="76"/>
      <c r="BM738" s="76" t="s">
        <v>66</v>
      </c>
      <c r="BN738" s="76" t="s">
        <v>19635</v>
      </c>
      <c r="BO738" s="83" t="str">
        <f>HYPERLINK("https://twitter.com/sigler_marcia")</f>
        <v>https://twitter.com/sigler_marcia</v>
      </c>
      <c r="BP738" s="2"/>
    </row>
    <row r="739" spans="1:68" x14ac:dyDescent="0.25">
      <c r="A739" s="62" t="s">
        <v>880</v>
      </c>
      <c r="B739" s="63"/>
      <c r="C739" s="63"/>
      <c r="D739" s="64"/>
      <c r="E739" s="66"/>
      <c r="F739" s="103" t="str">
        <f>HYPERLINK("https://pbs.twimg.com/profile_images/1470508945882202114/CJxge1AA_normal.jpg")</f>
        <v>https://pbs.twimg.com/profile_images/1470508945882202114/CJxge1AA_normal.jpg</v>
      </c>
      <c r="G739" s="63"/>
      <c r="H739" s="67"/>
      <c r="I739" s="68"/>
      <c r="J739" s="68"/>
      <c r="K739" s="67" t="s">
        <v>20371</v>
      </c>
      <c r="L739" s="71"/>
      <c r="M739" s="72"/>
      <c r="N739" s="72"/>
      <c r="O739" s="73"/>
      <c r="P739" s="74"/>
      <c r="Q739" s="74"/>
      <c r="R739" s="87"/>
      <c r="S739" s="87"/>
      <c r="T739" s="87"/>
      <c r="U739" s="87"/>
      <c r="V739" s="48"/>
      <c r="W739" s="48"/>
      <c r="X739" s="47">
        <v>1.101E-3</v>
      </c>
      <c r="Y739" s="48"/>
      <c r="Z739" s="47"/>
      <c r="AA739" s="69">
        <v>739</v>
      </c>
      <c r="AB739" s="69"/>
      <c r="AC739" s="70"/>
      <c r="AD739" s="76" t="s">
        <v>17362</v>
      </c>
      <c r="AE739" s="81" t="s">
        <v>16514</v>
      </c>
      <c r="AF739" s="76">
        <v>1399</v>
      </c>
      <c r="AG739" s="76">
        <v>1385</v>
      </c>
      <c r="AH739" s="76">
        <v>206</v>
      </c>
      <c r="AI739" s="76">
        <v>0</v>
      </c>
      <c r="AJ739" s="76">
        <v>47</v>
      </c>
      <c r="AK739" s="76">
        <v>35</v>
      </c>
      <c r="AL739" s="76" t="b">
        <v>0</v>
      </c>
      <c r="AM739" s="78">
        <v>43328.568993055553</v>
      </c>
      <c r="AN739" s="76" t="s">
        <v>18094</v>
      </c>
      <c r="AO739" s="76" t="s">
        <v>18822</v>
      </c>
      <c r="AP739" s="83" t="str">
        <f>HYPERLINK("https://t.co/8ln1B2ELbR")</f>
        <v>https://t.co/8ln1B2ELbR</v>
      </c>
      <c r="AQ739" s="83" t="str">
        <f>HYPERLINK("https://investoom.com")</f>
        <v>https://investoom.com</v>
      </c>
      <c r="AR739" s="76" t="s">
        <v>19316</v>
      </c>
      <c r="AS739" s="76"/>
      <c r="AT739" s="76"/>
      <c r="AU739" s="76"/>
      <c r="AV739" s="76"/>
      <c r="AW739" s="83" t="str">
        <f>HYPERLINK("https://t.co/8ln1B2ELbR")</f>
        <v>https://t.co/8ln1B2ELbR</v>
      </c>
      <c r="AX739" s="76" t="b">
        <v>0</v>
      </c>
      <c r="AY739" s="76"/>
      <c r="AZ739" s="76"/>
      <c r="BA739" s="76" t="b">
        <v>0</v>
      </c>
      <c r="BB739" s="76" t="b">
        <v>1</v>
      </c>
      <c r="BC739" s="76" t="b">
        <v>1</v>
      </c>
      <c r="BD739" s="76" t="b">
        <v>0</v>
      </c>
      <c r="BE739" s="76" t="b">
        <v>0</v>
      </c>
      <c r="BF739" s="76" t="b">
        <v>0</v>
      </c>
      <c r="BG739" s="76" t="b">
        <v>0</v>
      </c>
      <c r="BH739" s="83" t="str">
        <f>HYPERLINK("https://pbs.twimg.com/profile_banners/1030086613349617666/1642005526")</f>
        <v>https://pbs.twimg.com/profile_banners/1030086613349617666/1642005526</v>
      </c>
      <c r="BI739" s="76"/>
      <c r="BJ739" s="76" t="s">
        <v>19633</v>
      </c>
      <c r="BK739" s="76" t="b">
        <v>0</v>
      </c>
      <c r="BL739" s="76"/>
      <c r="BM739" s="76" t="s">
        <v>66</v>
      </c>
      <c r="BN739" s="76" t="s">
        <v>19635</v>
      </c>
      <c r="BO739" s="83" t="str">
        <f>HYPERLINK("https://twitter.com/investoom")</f>
        <v>https://twitter.com/investoom</v>
      </c>
      <c r="BP739" s="2"/>
    </row>
    <row r="740" spans="1:68" x14ac:dyDescent="0.25">
      <c r="A740" s="62" t="s">
        <v>881</v>
      </c>
      <c r="B740" s="63"/>
      <c r="C740" s="63"/>
      <c r="D740" s="64"/>
      <c r="E740" s="66"/>
      <c r="F740" s="103" t="str">
        <f>HYPERLINK("https://pbs.twimg.com/profile_images/1693332507242946560/PA5dA1Us_normal.jpg")</f>
        <v>https://pbs.twimg.com/profile_images/1693332507242946560/PA5dA1Us_normal.jpg</v>
      </c>
      <c r="G740" s="63"/>
      <c r="H740" s="67"/>
      <c r="I740" s="68"/>
      <c r="J740" s="68"/>
      <c r="K740" s="67" t="s">
        <v>20372</v>
      </c>
      <c r="L740" s="71"/>
      <c r="M740" s="72"/>
      <c r="N740" s="72"/>
      <c r="O740" s="73"/>
      <c r="P740" s="74"/>
      <c r="Q740" s="74"/>
      <c r="R740" s="87"/>
      <c r="S740" s="87"/>
      <c r="T740" s="87"/>
      <c r="U740" s="87"/>
      <c r="V740" s="48"/>
      <c r="W740" s="48"/>
      <c r="X740" s="47">
        <v>1.101E-3</v>
      </c>
      <c r="Y740" s="48"/>
      <c r="Z740" s="47"/>
      <c r="AA740" s="69">
        <v>740</v>
      </c>
      <c r="AB740" s="69"/>
      <c r="AC740" s="70"/>
      <c r="AD740" s="76" t="s">
        <v>17363</v>
      </c>
      <c r="AE740" s="81" t="s">
        <v>17784</v>
      </c>
      <c r="AF740" s="76">
        <v>63</v>
      </c>
      <c r="AG740" s="76">
        <v>134</v>
      </c>
      <c r="AH740" s="76">
        <v>443</v>
      </c>
      <c r="AI740" s="76">
        <v>1</v>
      </c>
      <c r="AJ740" s="76">
        <v>523</v>
      </c>
      <c r="AK740" s="76">
        <v>354</v>
      </c>
      <c r="AL740" s="76" t="b">
        <v>0</v>
      </c>
      <c r="AM740" s="78">
        <v>40232.998252314814</v>
      </c>
      <c r="AN740" s="76" t="s">
        <v>18095</v>
      </c>
      <c r="AO740" s="76" t="s">
        <v>18823</v>
      </c>
      <c r="AP740" s="83" t="str">
        <f>HYPERLINK("https://t.co/LHEN9TBYZ3")</f>
        <v>https://t.co/LHEN9TBYZ3</v>
      </c>
      <c r="AQ740" s="83" t="str">
        <f>HYPERLINK("https://fenancas.com/")</f>
        <v>https://fenancas.com/</v>
      </c>
      <c r="AR740" s="76" t="s">
        <v>19442</v>
      </c>
      <c r="AS740" s="76"/>
      <c r="AT740" s="76"/>
      <c r="AU740" s="76"/>
      <c r="AV740" s="76">
        <v>1.3766731789200799E+18</v>
      </c>
      <c r="AW740" s="83" t="str">
        <f>HYPERLINK("https://t.co/LHEN9TBYZ3")</f>
        <v>https://t.co/LHEN9TBYZ3</v>
      </c>
      <c r="AX740" s="76" t="b">
        <v>0</v>
      </c>
      <c r="AY740" s="76"/>
      <c r="AZ740" s="76"/>
      <c r="BA740" s="76" t="b">
        <v>0</v>
      </c>
      <c r="BB740" s="76" t="b">
        <v>1</v>
      </c>
      <c r="BC740" s="76" t="b">
        <v>1</v>
      </c>
      <c r="BD740" s="76" t="b">
        <v>0</v>
      </c>
      <c r="BE740" s="76" t="b">
        <v>1</v>
      </c>
      <c r="BF740" s="76" t="b">
        <v>0</v>
      </c>
      <c r="BG740" s="76" t="b">
        <v>0</v>
      </c>
      <c r="BH740" s="83" t="str">
        <f>HYPERLINK("https://pbs.twimg.com/profile_banners/116914919/1582059891")</f>
        <v>https://pbs.twimg.com/profile_banners/116914919/1582059891</v>
      </c>
      <c r="BI740" s="76"/>
      <c r="BJ740" s="76" t="s">
        <v>19633</v>
      </c>
      <c r="BK740" s="76" t="b">
        <v>0</v>
      </c>
      <c r="BL740" s="76"/>
      <c r="BM740" s="76" t="s">
        <v>66</v>
      </c>
      <c r="BN740" s="76" t="s">
        <v>19635</v>
      </c>
      <c r="BO740" s="83" t="str">
        <f>HYPERLINK("https://twitter.com/simolinfernanda")</f>
        <v>https://twitter.com/simolinfernanda</v>
      </c>
      <c r="BP740" s="2"/>
    </row>
    <row r="741" spans="1:68" x14ac:dyDescent="0.25">
      <c r="A741" s="62" t="s">
        <v>882</v>
      </c>
      <c r="B741" s="63"/>
      <c r="C741" s="63"/>
      <c r="D741" s="64"/>
      <c r="E741" s="66"/>
      <c r="F741" s="103" t="str">
        <f>HYPERLINK("https://pbs.twimg.com/profile_images/1591431374145191936/Rn8sgc47_normal.jpg")</f>
        <v>https://pbs.twimg.com/profile_images/1591431374145191936/Rn8sgc47_normal.jpg</v>
      </c>
      <c r="G741" s="63"/>
      <c r="H741" s="67"/>
      <c r="I741" s="68"/>
      <c r="J741" s="68"/>
      <c r="K741" s="67" t="s">
        <v>20373</v>
      </c>
      <c r="L741" s="71"/>
      <c r="M741" s="72"/>
      <c r="N741" s="72"/>
      <c r="O741" s="73"/>
      <c r="P741" s="74"/>
      <c r="Q741" s="74"/>
      <c r="R741" s="87"/>
      <c r="S741" s="87"/>
      <c r="T741" s="87"/>
      <c r="U741" s="87"/>
      <c r="V741" s="48"/>
      <c r="W741" s="48"/>
      <c r="X741" s="47">
        <v>1.101E-3</v>
      </c>
      <c r="Y741" s="48"/>
      <c r="Z741" s="47"/>
      <c r="AA741" s="69">
        <v>741</v>
      </c>
      <c r="AB741" s="69"/>
      <c r="AC741" s="70"/>
      <c r="AD741" s="76" t="s">
        <v>17364</v>
      </c>
      <c r="AE741" s="81" t="s">
        <v>17785</v>
      </c>
      <c r="AF741" s="76">
        <v>203</v>
      </c>
      <c r="AG741" s="76">
        <v>255</v>
      </c>
      <c r="AH741" s="76">
        <v>4373</v>
      </c>
      <c r="AI741" s="76">
        <v>5</v>
      </c>
      <c r="AJ741" s="76">
        <v>2605</v>
      </c>
      <c r="AK741" s="76">
        <v>1137</v>
      </c>
      <c r="AL741" s="76" t="b">
        <v>0</v>
      </c>
      <c r="AM741" s="78">
        <v>39960.651030092595</v>
      </c>
      <c r="AN741" s="76" t="s">
        <v>10635</v>
      </c>
      <c r="AO741" s="76" t="s">
        <v>18824</v>
      </c>
      <c r="AP741" s="83" t="str">
        <f>HYPERLINK("https://t.co/OxeYpNJAQJ")</f>
        <v>https://t.co/OxeYpNJAQJ</v>
      </c>
      <c r="AQ741" s="83" t="str">
        <f>HYPERLINK("https://youtube.com/channel/UCzCNadvHFsZ_4LOTkup1M_w")</f>
        <v>https://youtube.com/channel/UCzCNadvHFsZ_4LOTkup1M_w</v>
      </c>
      <c r="AR741" s="76" t="s">
        <v>19443</v>
      </c>
      <c r="AS741" s="76"/>
      <c r="AT741" s="76"/>
      <c r="AU741" s="76"/>
      <c r="AV741" s="76">
        <v>1.64416433414931E+18</v>
      </c>
      <c r="AW741" s="83" t="str">
        <f>HYPERLINK("https://t.co/OxeYpNJAQJ")</f>
        <v>https://t.co/OxeYpNJAQJ</v>
      </c>
      <c r="AX741" s="76" t="b">
        <v>0</v>
      </c>
      <c r="AY741" s="76"/>
      <c r="AZ741" s="76"/>
      <c r="BA741" s="76" t="b">
        <v>0</v>
      </c>
      <c r="BB741" s="76" t="b">
        <v>0</v>
      </c>
      <c r="BC741" s="76" t="b">
        <v>0</v>
      </c>
      <c r="BD741" s="76" t="b">
        <v>0</v>
      </c>
      <c r="BE741" s="76" t="b">
        <v>0</v>
      </c>
      <c r="BF741" s="76" t="b">
        <v>0</v>
      </c>
      <c r="BG741" s="76" t="b">
        <v>0</v>
      </c>
      <c r="BH741" s="83" t="str">
        <f>HYPERLINK("https://pbs.twimg.com/profile_banners/42907104/1462022345")</f>
        <v>https://pbs.twimg.com/profile_banners/42907104/1462022345</v>
      </c>
      <c r="BI741" s="76"/>
      <c r="BJ741" s="76" t="s">
        <v>19633</v>
      </c>
      <c r="BK741" s="76" t="b">
        <v>0</v>
      </c>
      <c r="BL741" s="76"/>
      <c r="BM741" s="76" t="s">
        <v>66</v>
      </c>
      <c r="BN741" s="76" t="s">
        <v>19635</v>
      </c>
      <c r="BO741" s="83" t="str">
        <f>HYPERLINK("https://twitter.com/carlos_fagundes")</f>
        <v>https://twitter.com/carlos_fagundes</v>
      </c>
      <c r="BP741" s="2"/>
    </row>
    <row r="742" spans="1:68" x14ac:dyDescent="0.25">
      <c r="A742" s="62" t="s">
        <v>883</v>
      </c>
      <c r="B742" s="63"/>
      <c r="C742" s="63"/>
      <c r="D742" s="64"/>
      <c r="E742" s="66"/>
      <c r="F742" s="103" t="str">
        <f>HYPERLINK("https://pbs.twimg.com/profile_images/1295806876777619458/1-scEtFi_normal.jpg")</f>
        <v>https://pbs.twimg.com/profile_images/1295806876777619458/1-scEtFi_normal.jpg</v>
      </c>
      <c r="G742" s="63"/>
      <c r="H742" s="67"/>
      <c r="I742" s="68"/>
      <c r="J742" s="68"/>
      <c r="K742" s="67" t="s">
        <v>20374</v>
      </c>
      <c r="L742" s="71"/>
      <c r="M742" s="72"/>
      <c r="N742" s="72"/>
      <c r="O742" s="73"/>
      <c r="P742" s="74"/>
      <c r="Q742" s="74"/>
      <c r="R742" s="87"/>
      <c r="S742" s="87"/>
      <c r="T742" s="87"/>
      <c r="U742" s="87"/>
      <c r="V742" s="48"/>
      <c r="W742" s="48"/>
      <c r="X742" s="47">
        <v>1.101E-3</v>
      </c>
      <c r="Y742" s="48"/>
      <c r="Z742" s="47"/>
      <c r="AA742" s="69">
        <v>742</v>
      </c>
      <c r="AB742" s="69"/>
      <c r="AC742" s="70"/>
      <c r="AD742" s="76" t="s">
        <v>17365</v>
      </c>
      <c r="AE742" s="81" t="s">
        <v>15777</v>
      </c>
      <c r="AF742" s="76">
        <v>13398</v>
      </c>
      <c r="AG742" s="76">
        <v>7467</v>
      </c>
      <c r="AH742" s="76">
        <v>22847</v>
      </c>
      <c r="AI742" s="76">
        <v>22</v>
      </c>
      <c r="AJ742" s="76">
        <v>4832</v>
      </c>
      <c r="AK742" s="76">
        <v>693</v>
      </c>
      <c r="AL742" s="76" t="b">
        <v>0</v>
      </c>
      <c r="AM742" s="78">
        <v>40967.977164351854</v>
      </c>
      <c r="AN742" s="76"/>
      <c r="AO742" s="76" t="s">
        <v>18825</v>
      </c>
      <c r="AP742" s="83" t="str">
        <f>HYPERLINK("https://t.co/sOL0spq1aU")</f>
        <v>https://t.co/sOL0spq1aU</v>
      </c>
      <c r="AQ742" s="83" t="str">
        <f>HYPERLINK("https://sincronizze.com/")</f>
        <v>https://sincronizze.com/</v>
      </c>
      <c r="AR742" s="76" t="s">
        <v>6096</v>
      </c>
      <c r="AS742" s="76"/>
      <c r="AT742" s="76"/>
      <c r="AU742" s="76"/>
      <c r="AV742" s="76"/>
      <c r="AW742" s="83" t="str">
        <f>HYPERLINK("https://t.co/sOL0spq1aU")</f>
        <v>https://t.co/sOL0spq1aU</v>
      </c>
      <c r="AX742" s="76" t="b">
        <v>0</v>
      </c>
      <c r="AY742" s="76"/>
      <c r="AZ742" s="76"/>
      <c r="BA742" s="76" t="b">
        <v>0</v>
      </c>
      <c r="BB742" s="76" t="b">
        <v>1</v>
      </c>
      <c r="BC742" s="76" t="b">
        <v>0</v>
      </c>
      <c r="BD742" s="76" t="b">
        <v>0</v>
      </c>
      <c r="BE742" s="76" t="b">
        <v>0</v>
      </c>
      <c r="BF742" s="76" t="b">
        <v>0</v>
      </c>
      <c r="BG742" s="76" t="b">
        <v>0</v>
      </c>
      <c r="BH742" s="83" t="str">
        <f>HYPERLINK("https://pbs.twimg.com/profile_banners/508075094/1482532534")</f>
        <v>https://pbs.twimg.com/profile_banners/508075094/1482532534</v>
      </c>
      <c r="BI742" s="76"/>
      <c r="BJ742" s="76" t="s">
        <v>19633</v>
      </c>
      <c r="BK742" s="76" t="b">
        <v>0</v>
      </c>
      <c r="BL742" s="76"/>
      <c r="BM742" s="76" t="s">
        <v>66</v>
      </c>
      <c r="BN742" s="76" t="s">
        <v>19635</v>
      </c>
      <c r="BO742" s="83" t="str">
        <f>HYPERLINK("https://twitter.com/tai_follmann")</f>
        <v>https://twitter.com/tai_follmann</v>
      </c>
      <c r="BP742" s="2"/>
    </row>
    <row r="743" spans="1:68" x14ac:dyDescent="0.25">
      <c r="A743" s="62" t="s">
        <v>884</v>
      </c>
      <c r="B743" s="63"/>
      <c r="C743" s="63"/>
      <c r="D743" s="64"/>
      <c r="E743" s="66"/>
      <c r="F743" s="103" t="str">
        <f>HYPERLINK("https://pbs.twimg.com/profile_images/1693148329113206784/KTn-MTEI_normal.jpg")</f>
        <v>https://pbs.twimg.com/profile_images/1693148329113206784/KTn-MTEI_normal.jpg</v>
      </c>
      <c r="G743" s="63"/>
      <c r="H743" s="67"/>
      <c r="I743" s="68"/>
      <c r="J743" s="68"/>
      <c r="K743" s="67" t="s">
        <v>20375</v>
      </c>
      <c r="L743" s="71"/>
      <c r="M743" s="72"/>
      <c r="N743" s="72"/>
      <c r="O743" s="73"/>
      <c r="P743" s="74"/>
      <c r="Q743" s="74"/>
      <c r="R743" s="87"/>
      <c r="S743" s="87"/>
      <c r="T743" s="87"/>
      <c r="U743" s="87"/>
      <c r="V743" s="48"/>
      <c r="W743" s="48"/>
      <c r="X743" s="47">
        <v>1.101E-3</v>
      </c>
      <c r="Y743" s="48"/>
      <c r="Z743" s="47"/>
      <c r="AA743" s="69">
        <v>743</v>
      </c>
      <c r="AB743" s="69"/>
      <c r="AC743" s="70"/>
      <c r="AD743" s="76" t="s">
        <v>17366</v>
      </c>
      <c r="AE743" s="81" t="s">
        <v>16515</v>
      </c>
      <c r="AF743" s="76">
        <v>1</v>
      </c>
      <c r="AG743" s="76">
        <v>1</v>
      </c>
      <c r="AH743" s="76">
        <v>29</v>
      </c>
      <c r="AI743" s="76">
        <v>0</v>
      </c>
      <c r="AJ743" s="76">
        <v>0</v>
      </c>
      <c r="AK743" s="76">
        <v>28</v>
      </c>
      <c r="AL743" s="76" t="b">
        <v>0</v>
      </c>
      <c r="AM743" s="78">
        <v>45158.216921296298</v>
      </c>
      <c r="AN743" s="76"/>
      <c r="AO743" s="76" t="s">
        <v>18826</v>
      </c>
      <c r="AP743" s="83" t="str">
        <f>HYPERLINK("https://t.co/PyVjnkL429")</f>
        <v>https://t.co/PyVjnkL429</v>
      </c>
      <c r="AQ743" s="83" t="str">
        <f>HYPERLINK("https://cursoscda.com.br/")</f>
        <v>https://cursoscda.com.br/</v>
      </c>
      <c r="AR743" s="76" t="s">
        <v>19444</v>
      </c>
      <c r="AS743" s="76"/>
      <c r="AT743" s="76"/>
      <c r="AU743" s="76"/>
      <c r="AV743" s="76"/>
      <c r="AW743" s="83" t="str">
        <f>HYPERLINK("https://t.co/PyVjnkL429")</f>
        <v>https://t.co/PyVjnkL429</v>
      </c>
      <c r="AX743" s="76" t="b">
        <v>0</v>
      </c>
      <c r="AY743" s="76"/>
      <c r="AZ743" s="76"/>
      <c r="BA743" s="76" t="b">
        <v>0</v>
      </c>
      <c r="BB743" s="76" t="b">
        <v>1</v>
      </c>
      <c r="BC743" s="76" t="b">
        <v>1</v>
      </c>
      <c r="BD743" s="76" t="b">
        <v>0</v>
      </c>
      <c r="BE743" s="76" t="b">
        <v>0</v>
      </c>
      <c r="BF743" s="76" t="b">
        <v>0</v>
      </c>
      <c r="BG743" s="76" t="b">
        <v>0</v>
      </c>
      <c r="BH743" s="83" t="str">
        <f>HYPERLINK("https://pbs.twimg.com/profile_banners/1693128702316400640/1692510208")</f>
        <v>https://pbs.twimg.com/profile_banners/1693128702316400640/1692510208</v>
      </c>
      <c r="BI743" s="76"/>
      <c r="BJ743" s="76" t="s">
        <v>19633</v>
      </c>
      <c r="BK743" s="76" t="b">
        <v>0</v>
      </c>
      <c r="BL743" s="76"/>
      <c r="BM743" s="76" t="s">
        <v>66</v>
      </c>
      <c r="BN743" s="76" t="s">
        <v>19635</v>
      </c>
      <c r="BO743" s="83" t="str">
        <f>HYPERLINK("https://twitter.com/plataformacda")</f>
        <v>https://twitter.com/plataformacda</v>
      </c>
      <c r="BP743" s="2"/>
    </row>
    <row r="744" spans="1:68" x14ac:dyDescent="0.25">
      <c r="A744" s="62" t="s">
        <v>885</v>
      </c>
      <c r="B744" s="63"/>
      <c r="C744" s="63"/>
      <c r="D744" s="64"/>
      <c r="E744" s="66"/>
      <c r="F744" s="103" t="str">
        <f>HYPERLINK("https://pbs.twimg.com/profile_images/1659834987296727040/wpI8059k_normal.jpg")</f>
        <v>https://pbs.twimg.com/profile_images/1659834987296727040/wpI8059k_normal.jpg</v>
      </c>
      <c r="G744" s="63"/>
      <c r="H744" s="67"/>
      <c r="I744" s="68"/>
      <c r="J744" s="68"/>
      <c r="K744" s="67" t="s">
        <v>20376</v>
      </c>
      <c r="L744" s="71"/>
      <c r="M744" s="72"/>
      <c r="N744" s="72"/>
      <c r="O744" s="73"/>
      <c r="P744" s="74"/>
      <c r="Q744" s="74"/>
      <c r="R744" s="87"/>
      <c r="S744" s="87"/>
      <c r="T744" s="87"/>
      <c r="U744" s="87"/>
      <c r="V744" s="48"/>
      <c r="W744" s="48"/>
      <c r="X744" s="47">
        <v>1.101E-3</v>
      </c>
      <c r="Y744" s="48"/>
      <c r="Z744" s="47"/>
      <c r="AA744" s="69">
        <v>744</v>
      </c>
      <c r="AB744" s="69"/>
      <c r="AC744" s="70"/>
      <c r="AD744" s="76" t="s">
        <v>17367</v>
      </c>
      <c r="AE744" s="81" t="s">
        <v>16516</v>
      </c>
      <c r="AF744" s="76">
        <v>212</v>
      </c>
      <c r="AG744" s="76">
        <v>22</v>
      </c>
      <c r="AH744" s="76">
        <v>508</v>
      </c>
      <c r="AI744" s="76">
        <v>0</v>
      </c>
      <c r="AJ744" s="76">
        <v>57</v>
      </c>
      <c r="AK744" s="76">
        <v>489</v>
      </c>
      <c r="AL744" s="76" t="b">
        <v>0</v>
      </c>
      <c r="AM744" s="78">
        <v>44026.547060185185</v>
      </c>
      <c r="AN744" s="76" t="s">
        <v>17864</v>
      </c>
      <c r="AO744" s="76" t="s">
        <v>18827</v>
      </c>
      <c r="AP744" s="83" t="str">
        <f>HYPERLINK("https://t.co/b56JCMI7lX")</f>
        <v>https://t.co/b56JCMI7lX</v>
      </c>
      <c r="AQ744" s="83" t="str">
        <f>HYPERLINK("http://www.cmc.ao")</f>
        <v>http://www.cmc.ao</v>
      </c>
      <c r="AR744" s="76" t="s">
        <v>19445</v>
      </c>
      <c r="AS744" s="76"/>
      <c r="AT744" s="76"/>
      <c r="AU744" s="76"/>
      <c r="AV744" s="76">
        <v>1.3852920973480499E+18</v>
      </c>
      <c r="AW744" s="83" t="str">
        <f>HYPERLINK("https://t.co/b56JCMI7lX")</f>
        <v>https://t.co/b56JCMI7lX</v>
      </c>
      <c r="AX744" s="76" t="b">
        <v>0</v>
      </c>
      <c r="AY744" s="76"/>
      <c r="AZ744" s="76"/>
      <c r="BA744" s="76" t="b">
        <v>0</v>
      </c>
      <c r="BB744" s="76" t="b">
        <v>1</v>
      </c>
      <c r="BC744" s="76" t="b">
        <v>1</v>
      </c>
      <c r="BD744" s="76" t="b">
        <v>0</v>
      </c>
      <c r="BE744" s="76" t="b">
        <v>0</v>
      </c>
      <c r="BF744" s="76" t="b">
        <v>0</v>
      </c>
      <c r="BG744" s="76" t="b">
        <v>0</v>
      </c>
      <c r="BH744" s="83" t="str">
        <f>HYPERLINK("https://pbs.twimg.com/profile_banners/1283025344224796672/1666091490")</f>
        <v>https://pbs.twimg.com/profile_banners/1283025344224796672/1666091490</v>
      </c>
      <c r="BI744" s="76"/>
      <c r="BJ744" s="76" t="s">
        <v>19633</v>
      </c>
      <c r="BK744" s="76" t="b">
        <v>0</v>
      </c>
      <c r="BL744" s="76"/>
      <c r="BM744" s="76" t="s">
        <v>66</v>
      </c>
      <c r="BN744" s="76" t="s">
        <v>19635</v>
      </c>
      <c r="BO744" s="83" t="str">
        <f>HYPERLINK("https://twitter.com/cmc_ao")</f>
        <v>https://twitter.com/cmc_ao</v>
      </c>
      <c r="BP744" s="2"/>
    </row>
    <row r="745" spans="1:68" x14ac:dyDescent="0.25">
      <c r="A745" s="62" t="s">
        <v>886</v>
      </c>
      <c r="B745" s="63"/>
      <c r="C745" s="63"/>
      <c r="D745" s="64"/>
      <c r="E745" s="66"/>
      <c r="F745" s="103" t="str">
        <f>HYPERLINK("https://pbs.twimg.com/profile_images/1607336205410095104/qlxpMv2P_normal.jpg")</f>
        <v>https://pbs.twimg.com/profile_images/1607336205410095104/qlxpMv2P_normal.jpg</v>
      </c>
      <c r="G745" s="63"/>
      <c r="H745" s="67"/>
      <c r="I745" s="68"/>
      <c r="J745" s="68"/>
      <c r="K745" s="67" t="s">
        <v>20377</v>
      </c>
      <c r="L745" s="71"/>
      <c r="M745" s="72"/>
      <c r="N745" s="72"/>
      <c r="O745" s="73"/>
      <c r="P745" s="74"/>
      <c r="Q745" s="74"/>
      <c r="R745" s="87"/>
      <c r="S745" s="87"/>
      <c r="T745" s="87"/>
      <c r="U745" s="87"/>
      <c r="V745" s="48"/>
      <c r="W745" s="48"/>
      <c r="X745" s="47">
        <v>1.101E-3</v>
      </c>
      <c r="Y745" s="48"/>
      <c r="Z745" s="47"/>
      <c r="AA745" s="69">
        <v>745</v>
      </c>
      <c r="AB745" s="69"/>
      <c r="AC745" s="70"/>
      <c r="AD745" s="76" t="s">
        <v>17368</v>
      </c>
      <c r="AE745" s="81" t="s">
        <v>16517</v>
      </c>
      <c r="AF745" s="76">
        <v>3</v>
      </c>
      <c r="AG745" s="76">
        <v>19</v>
      </c>
      <c r="AH745" s="76">
        <v>8</v>
      </c>
      <c r="AI745" s="76">
        <v>1</v>
      </c>
      <c r="AJ745" s="76">
        <v>2</v>
      </c>
      <c r="AK745" s="76">
        <v>7</v>
      </c>
      <c r="AL745" s="76" t="b">
        <v>0</v>
      </c>
      <c r="AM745" s="78">
        <v>44921.468599537038</v>
      </c>
      <c r="AN745" s="76"/>
      <c r="AO745" s="76" t="s">
        <v>18828</v>
      </c>
      <c r="AP745" s="83" t="str">
        <f>HYPERLINK("https://t.co/SkLJoPNmBM")</f>
        <v>https://t.co/SkLJoPNmBM</v>
      </c>
      <c r="AQ745" s="83" t="str">
        <f>HYPERLINK("https://moneyraio.com.br/verdade/")</f>
        <v>https://moneyraio.com.br/verdade/</v>
      </c>
      <c r="AR745" s="76" t="s">
        <v>19446</v>
      </c>
      <c r="AS745" s="76"/>
      <c r="AT745" s="76"/>
      <c r="AU745" s="76"/>
      <c r="AV745" s="76"/>
      <c r="AW745" s="83" t="str">
        <f>HYPERLINK("https://t.co/SkLJoPNmBM")</f>
        <v>https://t.co/SkLJoPNmBM</v>
      </c>
      <c r="AX745" s="76" t="b">
        <v>0</v>
      </c>
      <c r="AY745" s="76"/>
      <c r="AZ745" s="76"/>
      <c r="BA745" s="76" t="b">
        <v>0</v>
      </c>
      <c r="BB745" s="76" t="b">
        <v>1</v>
      </c>
      <c r="BC745" s="76" t="b">
        <v>1</v>
      </c>
      <c r="BD745" s="76" t="b">
        <v>0</v>
      </c>
      <c r="BE745" s="76" t="b">
        <v>0</v>
      </c>
      <c r="BF745" s="76" t="b">
        <v>0</v>
      </c>
      <c r="BG745" s="76" t="b">
        <v>0</v>
      </c>
      <c r="BH745" s="83" t="str">
        <f>HYPERLINK("https://pbs.twimg.com/profile_banners/1607333550252072972/1672053760")</f>
        <v>https://pbs.twimg.com/profile_banners/1607333550252072972/1672053760</v>
      </c>
      <c r="BI745" s="76"/>
      <c r="BJ745" s="76" t="s">
        <v>19633</v>
      </c>
      <c r="BK745" s="76" t="b">
        <v>0</v>
      </c>
      <c r="BL745" s="76"/>
      <c r="BM745" s="76" t="s">
        <v>66</v>
      </c>
      <c r="BN745" s="76" t="s">
        <v>19635</v>
      </c>
      <c r="BO745" s="83" t="str">
        <f>HYPERLINK("https://twitter.com/moneyraio")</f>
        <v>https://twitter.com/moneyraio</v>
      </c>
      <c r="BP745" s="2"/>
    </row>
    <row r="746" spans="1:68" x14ac:dyDescent="0.25">
      <c r="A746" s="62" t="s">
        <v>887</v>
      </c>
      <c r="B746" s="63"/>
      <c r="C746" s="63"/>
      <c r="D746" s="64"/>
      <c r="E746" s="66"/>
      <c r="F746" s="103" t="str">
        <f>HYPERLINK("https://pbs.twimg.com/profile_images/1670472902548881408/53JoE7v2_normal.jpg")</f>
        <v>https://pbs.twimg.com/profile_images/1670472902548881408/53JoE7v2_normal.jpg</v>
      </c>
      <c r="G746" s="63"/>
      <c r="H746" s="67"/>
      <c r="I746" s="68"/>
      <c r="J746" s="68"/>
      <c r="K746" s="67" t="s">
        <v>20378</v>
      </c>
      <c r="L746" s="71"/>
      <c r="M746" s="72"/>
      <c r="N746" s="72"/>
      <c r="O746" s="73"/>
      <c r="P746" s="74"/>
      <c r="Q746" s="74"/>
      <c r="R746" s="87"/>
      <c r="S746" s="87"/>
      <c r="T746" s="87"/>
      <c r="U746" s="87"/>
      <c r="V746" s="48"/>
      <c r="W746" s="48"/>
      <c r="X746" s="47">
        <v>9.6500000000000004E-4</v>
      </c>
      <c r="Y746" s="48"/>
      <c r="Z746" s="47"/>
      <c r="AA746" s="69">
        <v>746</v>
      </c>
      <c r="AB746" s="69"/>
      <c r="AC746" s="70"/>
      <c r="AD746" s="76" t="s">
        <v>17369</v>
      </c>
      <c r="AE746" s="81" t="s">
        <v>16518</v>
      </c>
      <c r="AF746" s="76">
        <v>5</v>
      </c>
      <c r="AG746" s="76">
        <v>32</v>
      </c>
      <c r="AH746" s="76">
        <v>49</v>
      </c>
      <c r="AI746" s="76">
        <v>0</v>
      </c>
      <c r="AJ746" s="76">
        <v>0</v>
      </c>
      <c r="AK746" s="76">
        <v>18</v>
      </c>
      <c r="AL746" s="76" t="b">
        <v>0</v>
      </c>
      <c r="AM746" s="78">
        <v>45095.697152777779</v>
      </c>
      <c r="AN746" s="76"/>
      <c r="AO746" s="76" t="s">
        <v>18829</v>
      </c>
      <c r="AP746" s="83" t="str">
        <f>HYPERLINK("https://t.co/5BqwlGNbmV")</f>
        <v>https://t.co/5BqwlGNbmV</v>
      </c>
      <c r="AQ746" s="83" t="str">
        <f>HYPERLINK("https://ziontradeplatform.com/alparilk")</f>
        <v>https://ziontradeplatform.com/alparilk</v>
      </c>
      <c r="AR746" s="76" t="s">
        <v>19447</v>
      </c>
      <c r="AS746" s="76"/>
      <c r="AT746" s="76"/>
      <c r="AU746" s="76"/>
      <c r="AV746" s="76"/>
      <c r="AW746" s="83" t="str">
        <f>HYPERLINK("https://t.co/5BqwlGNbmV")</f>
        <v>https://t.co/5BqwlGNbmV</v>
      </c>
      <c r="AX746" s="76" t="b">
        <v>0</v>
      </c>
      <c r="AY746" s="76"/>
      <c r="AZ746" s="76"/>
      <c r="BA746" s="76" t="b">
        <v>0</v>
      </c>
      <c r="BB746" s="76" t="b">
        <v>1</v>
      </c>
      <c r="BC746" s="76" t="b">
        <v>1</v>
      </c>
      <c r="BD746" s="76" t="b">
        <v>0</v>
      </c>
      <c r="BE746" s="76" t="b">
        <v>0</v>
      </c>
      <c r="BF746" s="76" t="b">
        <v>0</v>
      </c>
      <c r="BG746" s="76" t="b">
        <v>0</v>
      </c>
      <c r="BH746" s="76"/>
      <c r="BI746" s="76"/>
      <c r="BJ746" s="76" t="s">
        <v>19633</v>
      </c>
      <c r="BK746" s="76" t="b">
        <v>0</v>
      </c>
      <c r="BL746" s="76"/>
      <c r="BM746" s="76" t="s">
        <v>66</v>
      </c>
      <c r="BN746" s="76" t="s">
        <v>19635</v>
      </c>
      <c r="BO746" s="83" t="str">
        <f>HYPERLINK("https://twitter.com/pammalpari")</f>
        <v>https://twitter.com/pammalpari</v>
      </c>
      <c r="BP746" s="2"/>
    </row>
    <row r="747" spans="1:68" x14ac:dyDescent="0.25">
      <c r="A747" s="62" t="s">
        <v>888</v>
      </c>
      <c r="B747" s="63"/>
      <c r="C747" s="63"/>
      <c r="D747" s="64"/>
      <c r="E747" s="66"/>
      <c r="F747" s="103" t="str">
        <f>HYPERLINK("https://pbs.twimg.com/profile_images/1635068222520082433/XJfmiY0Q_normal.jpg")</f>
        <v>https://pbs.twimg.com/profile_images/1635068222520082433/XJfmiY0Q_normal.jpg</v>
      </c>
      <c r="G747" s="63"/>
      <c r="H747" s="67"/>
      <c r="I747" s="68"/>
      <c r="J747" s="68"/>
      <c r="K747" s="67" t="s">
        <v>20379</v>
      </c>
      <c r="L747" s="71"/>
      <c r="M747" s="72"/>
      <c r="N747" s="72"/>
      <c r="O747" s="73"/>
      <c r="P747" s="74"/>
      <c r="Q747" s="74"/>
      <c r="R747" s="87"/>
      <c r="S747" s="87"/>
      <c r="T747" s="87"/>
      <c r="U747" s="87"/>
      <c r="V747" s="48"/>
      <c r="W747" s="48"/>
      <c r="X747" s="47">
        <v>1.101E-3</v>
      </c>
      <c r="Y747" s="48"/>
      <c r="Z747" s="47"/>
      <c r="AA747" s="69">
        <v>747</v>
      </c>
      <c r="AB747" s="69"/>
      <c r="AC747" s="70"/>
      <c r="AD747" s="76" t="s">
        <v>17370</v>
      </c>
      <c r="AE747" s="81" t="s">
        <v>15778</v>
      </c>
      <c r="AF747" s="76">
        <v>5</v>
      </c>
      <c r="AG747" s="76">
        <v>38</v>
      </c>
      <c r="AH747" s="76">
        <v>75</v>
      </c>
      <c r="AI747" s="76">
        <v>0</v>
      </c>
      <c r="AJ747" s="76">
        <v>744</v>
      </c>
      <c r="AK747" s="76">
        <v>14</v>
      </c>
      <c r="AL747" s="76" t="b">
        <v>0</v>
      </c>
      <c r="AM747" s="78">
        <v>44969.537002314813</v>
      </c>
      <c r="AN747" s="76"/>
      <c r="AO747" s="76" t="s">
        <v>18830</v>
      </c>
      <c r="AP747" s="76"/>
      <c r="AQ747" s="76"/>
      <c r="AR747" s="76"/>
      <c r="AS747" s="76"/>
      <c r="AT747" s="76"/>
      <c r="AU747" s="76"/>
      <c r="AV747" s="76">
        <v>1.63893288866925E+18</v>
      </c>
      <c r="AW747" s="76"/>
      <c r="AX747" s="76" t="b">
        <v>0</v>
      </c>
      <c r="AY747" s="76"/>
      <c r="AZ747" s="76"/>
      <c r="BA747" s="76" t="b">
        <v>0</v>
      </c>
      <c r="BB747" s="76" t="b">
        <v>1</v>
      </c>
      <c r="BC747" s="76" t="b">
        <v>1</v>
      </c>
      <c r="BD747" s="76" t="b">
        <v>0</v>
      </c>
      <c r="BE747" s="76" t="b">
        <v>0</v>
      </c>
      <c r="BF747" s="76" t="b">
        <v>0</v>
      </c>
      <c r="BG747" s="76" t="b">
        <v>0</v>
      </c>
      <c r="BH747" s="83" t="str">
        <f>HYPERLINK("https://pbs.twimg.com/profile_banners/1624753421231202305/1679879164")</f>
        <v>https://pbs.twimg.com/profile_banners/1624753421231202305/1679879164</v>
      </c>
      <c r="BI747" s="76"/>
      <c r="BJ747" s="76" t="s">
        <v>19633</v>
      </c>
      <c r="BK747" s="76" t="b">
        <v>0</v>
      </c>
      <c r="BL747" s="76"/>
      <c r="BM747" s="76" t="s">
        <v>66</v>
      </c>
      <c r="BN747" s="76" t="s">
        <v>19635</v>
      </c>
      <c r="BO747" s="83" t="str">
        <f>HYPERLINK("https://twitter.com/_oiisaias")</f>
        <v>https://twitter.com/_oiisaias</v>
      </c>
      <c r="BP747" s="2"/>
    </row>
    <row r="748" spans="1:68" x14ac:dyDescent="0.25">
      <c r="A748" s="62" t="s">
        <v>889</v>
      </c>
      <c r="B748" s="63"/>
      <c r="C748" s="63"/>
      <c r="D748" s="64"/>
      <c r="E748" s="66"/>
      <c r="F748" s="103" t="str">
        <f>HYPERLINK("https://pbs.twimg.com/profile_images/1632172516667019264/g6LitHBK_normal.jpg")</f>
        <v>https://pbs.twimg.com/profile_images/1632172516667019264/g6LitHBK_normal.jpg</v>
      </c>
      <c r="G748" s="63"/>
      <c r="H748" s="67"/>
      <c r="I748" s="68"/>
      <c r="J748" s="68"/>
      <c r="K748" s="67" t="s">
        <v>20380</v>
      </c>
      <c r="L748" s="71"/>
      <c r="M748" s="72"/>
      <c r="N748" s="72"/>
      <c r="O748" s="73"/>
      <c r="P748" s="74"/>
      <c r="Q748" s="74"/>
      <c r="R748" s="87"/>
      <c r="S748" s="87"/>
      <c r="T748" s="87"/>
      <c r="U748" s="87"/>
      <c r="V748" s="48"/>
      <c r="W748" s="48"/>
      <c r="X748" s="47">
        <v>1.101E-3</v>
      </c>
      <c r="Y748" s="48"/>
      <c r="Z748" s="47"/>
      <c r="AA748" s="69">
        <v>748</v>
      </c>
      <c r="AB748" s="69"/>
      <c r="AC748" s="70"/>
      <c r="AD748" s="76" t="s">
        <v>17371</v>
      </c>
      <c r="AE748" s="81" t="s">
        <v>17786</v>
      </c>
      <c r="AF748" s="76">
        <v>73</v>
      </c>
      <c r="AG748" s="76">
        <v>48</v>
      </c>
      <c r="AH748" s="76">
        <v>639</v>
      </c>
      <c r="AI748" s="76">
        <v>0</v>
      </c>
      <c r="AJ748" s="76">
        <v>12</v>
      </c>
      <c r="AK748" s="76">
        <v>492</v>
      </c>
      <c r="AL748" s="76" t="b">
        <v>0</v>
      </c>
      <c r="AM748" s="78">
        <v>41930.797546296293</v>
      </c>
      <c r="AN748" s="76" t="s">
        <v>18096</v>
      </c>
      <c r="AO748" s="76" t="s">
        <v>18831</v>
      </c>
      <c r="AP748" s="83" t="str">
        <f>HYPERLINK("https://t.co/9DsVa7Qck9")</f>
        <v>https://t.co/9DsVa7Qck9</v>
      </c>
      <c r="AQ748" s="83" t="str">
        <f>HYPERLINK("https://www.superrico.com.br/para-pessoas-e-familias/")</f>
        <v>https://www.superrico.com.br/para-pessoas-e-familias/</v>
      </c>
      <c r="AR748" s="76" t="s">
        <v>19448</v>
      </c>
      <c r="AS748" s="76"/>
      <c r="AT748" s="76"/>
      <c r="AU748" s="76"/>
      <c r="AV748" s="76"/>
      <c r="AW748" s="83" t="str">
        <f>HYPERLINK("https://t.co/9DsVa7Qck9")</f>
        <v>https://t.co/9DsVa7Qck9</v>
      </c>
      <c r="AX748" s="76" t="b">
        <v>0</v>
      </c>
      <c r="AY748" s="76"/>
      <c r="AZ748" s="76"/>
      <c r="BA748" s="76" t="b">
        <v>0</v>
      </c>
      <c r="BB748" s="76" t="b">
        <v>1</v>
      </c>
      <c r="BC748" s="76" t="b">
        <v>1</v>
      </c>
      <c r="BD748" s="76" t="b">
        <v>0</v>
      </c>
      <c r="BE748" s="76" t="b">
        <v>0</v>
      </c>
      <c r="BF748" s="76" t="b">
        <v>0</v>
      </c>
      <c r="BG748" s="76" t="b">
        <v>0</v>
      </c>
      <c r="BH748" s="83" t="str">
        <f>HYPERLINK("https://pbs.twimg.com/profile_banners/2836439422/1684413326")</f>
        <v>https://pbs.twimg.com/profile_banners/2836439422/1684413326</v>
      </c>
      <c r="BI748" s="76"/>
      <c r="BJ748" s="76" t="s">
        <v>19633</v>
      </c>
      <c r="BK748" s="76" t="b">
        <v>0</v>
      </c>
      <c r="BL748" s="76"/>
      <c r="BM748" s="76" t="s">
        <v>66</v>
      </c>
      <c r="BN748" s="76" t="s">
        <v>19635</v>
      </c>
      <c r="BO748" s="83" t="str">
        <f>HYPERLINK("https://twitter.com/superrico_br")</f>
        <v>https://twitter.com/superrico_br</v>
      </c>
      <c r="BP748" s="2"/>
    </row>
    <row r="749" spans="1:68" x14ac:dyDescent="0.25">
      <c r="A749" s="62" t="s">
        <v>890</v>
      </c>
      <c r="B749" s="63"/>
      <c r="C749" s="63"/>
      <c r="D749" s="64"/>
      <c r="E749" s="66"/>
      <c r="F749" s="103" t="str">
        <f>HYPERLINK("https://pbs.twimg.com/profile_images/1645508547994681345/Cu2nWYBA_normal.jpg")</f>
        <v>https://pbs.twimg.com/profile_images/1645508547994681345/Cu2nWYBA_normal.jpg</v>
      </c>
      <c r="G749" s="63"/>
      <c r="H749" s="67"/>
      <c r="I749" s="68"/>
      <c r="J749" s="68"/>
      <c r="K749" s="67" t="s">
        <v>20381</v>
      </c>
      <c r="L749" s="71"/>
      <c r="M749" s="72"/>
      <c r="N749" s="72"/>
      <c r="O749" s="73"/>
      <c r="P749" s="74"/>
      <c r="Q749" s="74"/>
      <c r="R749" s="87"/>
      <c r="S749" s="87"/>
      <c r="T749" s="87"/>
      <c r="U749" s="87"/>
      <c r="V749" s="48"/>
      <c r="W749" s="48"/>
      <c r="X749" s="47">
        <v>1.101E-3</v>
      </c>
      <c r="Y749" s="48"/>
      <c r="Z749" s="47"/>
      <c r="AA749" s="69">
        <v>749</v>
      </c>
      <c r="AB749" s="69"/>
      <c r="AC749" s="70"/>
      <c r="AD749" s="76" t="s">
        <v>17372</v>
      </c>
      <c r="AE749" s="81" t="s">
        <v>15779</v>
      </c>
      <c r="AF749" s="76">
        <v>10</v>
      </c>
      <c r="AG749" s="76">
        <v>36</v>
      </c>
      <c r="AH749" s="76">
        <v>507</v>
      </c>
      <c r="AI749" s="76">
        <v>0</v>
      </c>
      <c r="AJ749" s="76">
        <v>23</v>
      </c>
      <c r="AK749" s="76">
        <v>300</v>
      </c>
      <c r="AL749" s="76" t="b">
        <v>0</v>
      </c>
      <c r="AM749" s="78">
        <v>44735.674791666665</v>
      </c>
      <c r="AN749" s="76"/>
      <c r="AO749" s="76" t="s">
        <v>18832</v>
      </c>
      <c r="AP749" s="83" t="str">
        <f>HYPERLINK("https://t.co/zpjnsxfFS6")</f>
        <v>https://t.co/zpjnsxfFS6</v>
      </c>
      <c r="AQ749" s="83" t="str">
        <f>HYPERLINK("http://www.keepgrowing.com.br")</f>
        <v>http://www.keepgrowing.com.br</v>
      </c>
      <c r="AR749" s="76" t="s">
        <v>19449</v>
      </c>
      <c r="AS749" s="83" t="str">
        <f>HYPERLINK("https://t.co/c6QGORXc0J")</f>
        <v>https://t.co/c6QGORXc0J</v>
      </c>
      <c r="AT749" s="83" t="str">
        <f>HYPERLINK("http://keepgrowing.com.br")</f>
        <v>http://keepgrowing.com.br</v>
      </c>
      <c r="AU749" s="76" t="s">
        <v>19449</v>
      </c>
      <c r="AV749" s="76"/>
      <c r="AW749" s="83" t="str">
        <f>HYPERLINK("https://t.co/zpjnsxfFS6")</f>
        <v>https://t.co/zpjnsxfFS6</v>
      </c>
      <c r="AX749" s="76" t="b">
        <v>0</v>
      </c>
      <c r="AY749" s="76"/>
      <c r="AZ749" s="76"/>
      <c r="BA749" s="76" t="b">
        <v>0</v>
      </c>
      <c r="BB749" s="76" t="b">
        <v>1</v>
      </c>
      <c r="BC749" s="76" t="b">
        <v>1</v>
      </c>
      <c r="BD749" s="76" t="b">
        <v>0</v>
      </c>
      <c r="BE749" s="76" t="b">
        <v>0</v>
      </c>
      <c r="BF749" s="76" t="b">
        <v>0</v>
      </c>
      <c r="BG749" s="76" t="b">
        <v>0</v>
      </c>
      <c r="BH749" s="83" t="str">
        <f>HYPERLINK("https://pbs.twimg.com/profile_banners/1540004255012102144/1656001105")</f>
        <v>https://pbs.twimg.com/profile_banners/1540004255012102144/1656001105</v>
      </c>
      <c r="BI749" s="76"/>
      <c r="BJ749" s="76" t="s">
        <v>19633</v>
      </c>
      <c r="BK749" s="76" t="b">
        <v>0</v>
      </c>
      <c r="BL749" s="76"/>
      <c r="BM749" s="76" t="s">
        <v>66</v>
      </c>
      <c r="BN749" s="76" t="s">
        <v>19635</v>
      </c>
      <c r="BO749" s="83" t="str">
        <f>HYPERLINK("https://twitter.com/keepgrowing_")</f>
        <v>https://twitter.com/keepgrowing_</v>
      </c>
      <c r="BP749" s="2"/>
    </row>
    <row r="750" spans="1:68" x14ac:dyDescent="0.25">
      <c r="A750" s="62" t="s">
        <v>1042</v>
      </c>
      <c r="B750" s="63"/>
      <c r="C750" s="63"/>
      <c r="D750" s="64"/>
      <c r="E750" s="66"/>
      <c r="F750" s="103" t="str">
        <f>HYPERLINK("https://pbs.twimg.com/profile_images/1477978326153244672/HkuaMeX-_normal.jpg")</f>
        <v>https://pbs.twimg.com/profile_images/1477978326153244672/HkuaMeX-_normal.jpg</v>
      </c>
      <c r="G750" s="63"/>
      <c r="H750" s="67"/>
      <c r="I750" s="68"/>
      <c r="J750" s="68"/>
      <c r="K750" s="67" t="s">
        <v>20382</v>
      </c>
      <c r="L750" s="71"/>
      <c r="M750" s="72"/>
      <c r="N750" s="72"/>
      <c r="O750" s="73"/>
      <c r="P750" s="74"/>
      <c r="Q750" s="74"/>
      <c r="R750" s="87"/>
      <c r="S750" s="87"/>
      <c r="T750" s="87"/>
      <c r="U750" s="87"/>
      <c r="V750" s="48"/>
      <c r="W750" s="48"/>
      <c r="X750" s="47">
        <v>1.044E-3</v>
      </c>
      <c r="Y750" s="48"/>
      <c r="Z750" s="47"/>
      <c r="AA750" s="69">
        <v>750</v>
      </c>
      <c r="AB750" s="69"/>
      <c r="AC750" s="70"/>
      <c r="AD750" s="76" t="s">
        <v>17373</v>
      </c>
      <c r="AE750" s="81" t="s">
        <v>15802</v>
      </c>
      <c r="AF750" s="76">
        <v>352</v>
      </c>
      <c r="AG750" s="76">
        <v>22</v>
      </c>
      <c r="AH750" s="76">
        <v>1021</v>
      </c>
      <c r="AI750" s="76">
        <v>0</v>
      </c>
      <c r="AJ750" s="76">
        <v>120</v>
      </c>
      <c r="AK750" s="76">
        <v>349</v>
      </c>
      <c r="AL750" s="76" t="b">
        <v>0</v>
      </c>
      <c r="AM750" s="78">
        <v>40955.775856481479</v>
      </c>
      <c r="AN750" s="76"/>
      <c r="AO750" s="76" t="s">
        <v>18833</v>
      </c>
      <c r="AP750" s="83" t="str">
        <f>HYPERLINK("https://t.co/dQiO7EsbHO")</f>
        <v>https://t.co/dQiO7EsbHO</v>
      </c>
      <c r="AQ750" s="83" t="str">
        <f>HYPERLINK("http://www.poupex.com.br/")</f>
        <v>http://www.poupex.com.br/</v>
      </c>
      <c r="AR750" s="76" t="s">
        <v>19450</v>
      </c>
      <c r="AS750" s="76"/>
      <c r="AT750" s="76"/>
      <c r="AU750" s="76"/>
      <c r="AV750" s="76"/>
      <c r="AW750" s="83" t="str">
        <f>HYPERLINK("https://t.co/dQiO7EsbHO")</f>
        <v>https://t.co/dQiO7EsbHO</v>
      </c>
      <c r="AX750" s="76" t="b">
        <v>0</v>
      </c>
      <c r="AY750" s="76"/>
      <c r="AZ750" s="76"/>
      <c r="BA750" s="76" t="b">
        <v>0</v>
      </c>
      <c r="BB750" s="76" t="b">
        <v>1</v>
      </c>
      <c r="BC750" s="76" t="b">
        <v>0</v>
      </c>
      <c r="BD750" s="76" t="b">
        <v>0</v>
      </c>
      <c r="BE750" s="76" t="b">
        <v>0</v>
      </c>
      <c r="BF750" s="76" t="b">
        <v>0</v>
      </c>
      <c r="BG750" s="76" t="b">
        <v>0</v>
      </c>
      <c r="BH750" s="83" t="str">
        <f>HYPERLINK("https://pbs.twimg.com/profile_banners/494280226/1687200741")</f>
        <v>https://pbs.twimg.com/profile_banners/494280226/1687200741</v>
      </c>
      <c r="BI750" s="76"/>
      <c r="BJ750" s="76" t="s">
        <v>19633</v>
      </c>
      <c r="BK750" s="76" t="b">
        <v>0</v>
      </c>
      <c r="BL750" s="76"/>
      <c r="BM750" s="76" t="s">
        <v>66</v>
      </c>
      <c r="BN750" s="76" t="s">
        <v>19635</v>
      </c>
      <c r="BO750" s="83" t="str">
        <f>HYPERLINK("https://twitter.com/poupex_oficial")</f>
        <v>https://twitter.com/poupex_oficial</v>
      </c>
      <c r="BP750" s="2"/>
    </row>
    <row r="751" spans="1:68" x14ac:dyDescent="0.25">
      <c r="A751" s="62" t="s">
        <v>892</v>
      </c>
      <c r="B751" s="63"/>
      <c r="C751" s="63"/>
      <c r="D751" s="64"/>
      <c r="E751" s="66"/>
      <c r="F751" s="103" t="str">
        <f>HYPERLINK("https://pbs.twimg.com/profile_images/1455292275186143236/XFk5Y-ig_normal.jpg")</f>
        <v>https://pbs.twimg.com/profile_images/1455292275186143236/XFk5Y-ig_normal.jpg</v>
      </c>
      <c r="G751" s="63"/>
      <c r="H751" s="67"/>
      <c r="I751" s="68"/>
      <c r="J751" s="68"/>
      <c r="K751" s="67" t="s">
        <v>20383</v>
      </c>
      <c r="L751" s="71"/>
      <c r="M751" s="72"/>
      <c r="N751" s="72"/>
      <c r="O751" s="73"/>
      <c r="P751" s="74"/>
      <c r="Q751" s="74"/>
      <c r="R751" s="87"/>
      <c r="S751" s="87"/>
      <c r="T751" s="87"/>
      <c r="U751" s="87"/>
      <c r="V751" s="48"/>
      <c r="W751" s="48"/>
      <c r="X751" s="47">
        <v>9.6599999999999995E-4</v>
      </c>
      <c r="Y751" s="48"/>
      <c r="Z751" s="47"/>
      <c r="AA751" s="69">
        <v>751</v>
      </c>
      <c r="AB751" s="69"/>
      <c r="AC751" s="70"/>
      <c r="AD751" s="76" t="s">
        <v>17374</v>
      </c>
      <c r="AE751" s="81" t="s">
        <v>17787</v>
      </c>
      <c r="AF751" s="76">
        <v>109</v>
      </c>
      <c r="AG751" s="76">
        <v>384</v>
      </c>
      <c r="AH751" s="76">
        <v>12595</v>
      </c>
      <c r="AI751" s="76">
        <v>7</v>
      </c>
      <c r="AJ751" s="76">
        <v>52312</v>
      </c>
      <c r="AK751" s="76">
        <v>39</v>
      </c>
      <c r="AL751" s="76" t="b">
        <v>0</v>
      </c>
      <c r="AM751" s="78">
        <v>42069.895069444443</v>
      </c>
      <c r="AN751" s="76" t="s">
        <v>10570</v>
      </c>
      <c r="AO751" s="76" t="s">
        <v>18834</v>
      </c>
      <c r="AP751" s="76"/>
      <c r="AQ751" s="76"/>
      <c r="AR751" s="76"/>
      <c r="AS751" s="76"/>
      <c r="AT751" s="76"/>
      <c r="AU751" s="76"/>
      <c r="AV751" s="76">
        <v>1.4588988820840901E+18</v>
      </c>
      <c r="AW751" s="76"/>
      <c r="AX751" s="76" t="b">
        <v>0</v>
      </c>
      <c r="AY751" s="76"/>
      <c r="AZ751" s="76"/>
      <c r="BA751" s="76" t="b">
        <v>1</v>
      </c>
      <c r="BB751" s="76" t="b">
        <v>0</v>
      </c>
      <c r="BC751" s="76" t="b">
        <v>1</v>
      </c>
      <c r="BD751" s="76" t="b">
        <v>0</v>
      </c>
      <c r="BE751" s="76" t="b">
        <v>1</v>
      </c>
      <c r="BF751" s="76" t="b">
        <v>0</v>
      </c>
      <c r="BG751" s="76" t="b">
        <v>1</v>
      </c>
      <c r="BH751" s="83" t="str">
        <f>HYPERLINK("https://pbs.twimg.com/profile_banners/3075818301/1635803692")</f>
        <v>https://pbs.twimg.com/profile_banners/3075818301/1635803692</v>
      </c>
      <c r="BI751" s="76"/>
      <c r="BJ751" s="76" t="s">
        <v>19633</v>
      </c>
      <c r="BK751" s="76" t="b">
        <v>0</v>
      </c>
      <c r="BL751" s="76"/>
      <c r="BM751" s="76" t="s">
        <v>66</v>
      </c>
      <c r="BN751" s="76" t="s">
        <v>19635</v>
      </c>
      <c r="BO751" s="83" t="str">
        <f>HYPERLINK("https://twitter.com/arib85")</f>
        <v>https://twitter.com/arib85</v>
      </c>
      <c r="BP751" s="2"/>
    </row>
    <row r="752" spans="1:68" x14ac:dyDescent="0.25">
      <c r="A752" s="62" t="s">
        <v>893</v>
      </c>
      <c r="B752" s="63"/>
      <c r="C752" s="63"/>
      <c r="D752" s="64"/>
      <c r="E752" s="66"/>
      <c r="F752" s="103" t="str">
        <f>HYPERLINK("https://pbs.twimg.com/profile_images/1661790216250687500/purhJhH7_normal.jpg")</f>
        <v>https://pbs.twimg.com/profile_images/1661790216250687500/purhJhH7_normal.jpg</v>
      </c>
      <c r="G752" s="63"/>
      <c r="H752" s="67"/>
      <c r="I752" s="68"/>
      <c r="J752" s="68"/>
      <c r="K752" s="67" t="s">
        <v>20384</v>
      </c>
      <c r="L752" s="71"/>
      <c r="M752" s="72"/>
      <c r="N752" s="72"/>
      <c r="O752" s="73"/>
      <c r="P752" s="74"/>
      <c r="Q752" s="74"/>
      <c r="R752" s="87"/>
      <c r="S752" s="87"/>
      <c r="T752" s="87"/>
      <c r="U752" s="87"/>
      <c r="V752" s="48"/>
      <c r="W752" s="48"/>
      <c r="X752" s="47">
        <v>1.101E-3</v>
      </c>
      <c r="Y752" s="48"/>
      <c r="Z752" s="47"/>
      <c r="AA752" s="69">
        <v>752</v>
      </c>
      <c r="AB752" s="69"/>
      <c r="AC752" s="70"/>
      <c r="AD752" s="76" t="s">
        <v>17375</v>
      </c>
      <c r="AE752" s="81" t="s">
        <v>16520</v>
      </c>
      <c r="AF752" s="76">
        <v>6</v>
      </c>
      <c r="AG752" s="76">
        <v>0</v>
      </c>
      <c r="AH752" s="76">
        <v>252</v>
      </c>
      <c r="AI752" s="76">
        <v>0</v>
      </c>
      <c r="AJ752" s="76">
        <v>0</v>
      </c>
      <c r="AK752" s="76">
        <v>0</v>
      </c>
      <c r="AL752" s="76" t="b">
        <v>0</v>
      </c>
      <c r="AM752" s="78">
        <v>45071.738726851851</v>
      </c>
      <c r="AN752" s="76" t="s">
        <v>10622</v>
      </c>
      <c r="AO752" s="76" t="s">
        <v>18835</v>
      </c>
      <c r="AP752" s="76"/>
      <c r="AQ752" s="76"/>
      <c r="AR752" s="76"/>
      <c r="AS752" s="76" t="s">
        <v>19562</v>
      </c>
      <c r="AT752" s="76" t="s">
        <v>19570</v>
      </c>
      <c r="AU752" s="76" t="s">
        <v>19623</v>
      </c>
      <c r="AV752" s="76"/>
      <c r="AW752" s="76"/>
      <c r="AX752" s="76" t="b">
        <v>0</v>
      </c>
      <c r="AY752" s="76"/>
      <c r="AZ752" s="76"/>
      <c r="BA752" s="76" t="b">
        <v>0</v>
      </c>
      <c r="BB752" s="76" t="b">
        <v>1</v>
      </c>
      <c r="BC752" s="76" t="b">
        <v>1</v>
      </c>
      <c r="BD752" s="76" t="b">
        <v>0</v>
      </c>
      <c r="BE752" s="76" t="b">
        <v>0</v>
      </c>
      <c r="BF752" s="76" t="b">
        <v>0</v>
      </c>
      <c r="BG752" s="76" t="b">
        <v>0</v>
      </c>
      <c r="BH752" s="83" t="str">
        <f>HYPERLINK("https://pbs.twimg.com/profile_banners/1661790129126604801/1685148746")</f>
        <v>https://pbs.twimg.com/profile_banners/1661790129126604801/1685148746</v>
      </c>
      <c r="BI752" s="76"/>
      <c r="BJ752" s="76" t="s">
        <v>19633</v>
      </c>
      <c r="BK752" s="76" t="b">
        <v>0</v>
      </c>
      <c r="BL752" s="76"/>
      <c r="BM752" s="76" t="s">
        <v>66</v>
      </c>
      <c r="BN752" s="76" t="s">
        <v>19635</v>
      </c>
      <c r="BO752" s="83" t="str">
        <f>HYPERLINK("https://twitter.com/aleatoriando_o")</f>
        <v>https://twitter.com/aleatoriando_o</v>
      </c>
      <c r="BP752" s="2"/>
    </row>
    <row r="753" spans="1:68" x14ac:dyDescent="0.25">
      <c r="A753" s="62" t="s">
        <v>894</v>
      </c>
      <c r="B753" s="63"/>
      <c r="C753" s="63"/>
      <c r="D753" s="64"/>
      <c r="E753" s="66"/>
      <c r="F753" s="103" t="str">
        <f>HYPERLINK("https://pbs.twimg.com/profile_images/1673001624883666947/Bo66srxq_normal.jpg")</f>
        <v>https://pbs.twimg.com/profile_images/1673001624883666947/Bo66srxq_normal.jpg</v>
      </c>
      <c r="G753" s="63"/>
      <c r="H753" s="67"/>
      <c r="I753" s="68"/>
      <c r="J753" s="68"/>
      <c r="K753" s="67" t="s">
        <v>20385</v>
      </c>
      <c r="L753" s="71"/>
      <c r="M753" s="72"/>
      <c r="N753" s="72"/>
      <c r="O753" s="73"/>
      <c r="P753" s="74"/>
      <c r="Q753" s="74"/>
      <c r="R753" s="87"/>
      <c r="S753" s="87"/>
      <c r="T753" s="87"/>
      <c r="U753" s="87"/>
      <c r="V753" s="48"/>
      <c r="W753" s="48"/>
      <c r="X753" s="47">
        <v>1.101E-3</v>
      </c>
      <c r="Y753" s="48"/>
      <c r="Z753" s="47"/>
      <c r="AA753" s="69">
        <v>753</v>
      </c>
      <c r="AB753" s="69"/>
      <c r="AC753" s="70"/>
      <c r="AD753" s="76" t="s">
        <v>17376</v>
      </c>
      <c r="AE753" s="81" t="s">
        <v>15780</v>
      </c>
      <c r="AF753" s="76">
        <v>6759</v>
      </c>
      <c r="AG753" s="76">
        <v>2789</v>
      </c>
      <c r="AH753" s="76">
        <v>7530</v>
      </c>
      <c r="AI753" s="76">
        <v>16</v>
      </c>
      <c r="AJ753" s="76">
        <v>10666</v>
      </c>
      <c r="AK753" s="76">
        <v>1536</v>
      </c>
      <c r="AL753" s="76" t="b">
        <v>0</v>
      </c>
      <c r="AM753" s="78">
        <v>39659.904340277775</v>
      </c>
      <c r="AN753" s="76" t="s">
        <v>18097</v>
      </c>
      <c r="AO753" s="83" t="str">
        <f>HYPERLINK("https://t.co/sZb9GKqU6w")</f>
        <v>https://t.co/sZb9GKqU6w</v>
      </c>
      <c r="AP753" s="83" t="str">
        <f>HYPERLINK("https://t.co/epiHljS7ab")</f>
        <v>https://t.co/epiHljS7ab</v>
      </c>
      <c r="AQ753" s="83" t="str">
        <f>HYPERLINK("http://pugnaculum.com")</f>
        <v>http://pugnaculum.com</v>
      </c>
      <c r="AR753" s="76" t="s">
        <v>6099</v>
      </c>
      <c r="AS753" s="83" t="str">
        <f>HYPERLINK("https://t.co/sZb9GKqU6w")</f>
        <v>https://t.co/sZb9GKqU6w</v>
      </c>
      <c r="AT753" s="83" t="str">
        <f>HYPERLINK("http://t.me/paladinrood")</f>
        <v>http://t.me/paladinrood</v>
      </c>
      <c r="AU753" s="76" t="s">
        <v>19624</v>
      </c>
      <c r="AV753" s="76">
        <v>1.6849951909672E+18</v>
      </c>
      <c r="AW753" s="83" t="str">
        <f>HYPERLINK("https://t.co/epiHljS7ab")</f>
        <v>https://t.co/epiHljS7ab</v>
      </c>
      <c r="AX753" s="76" t="b">
        <v>1</v>
      </c>
      <c r="AY753" s="76"/>
      <c r="AZ753" s="76"/>
      <c r="BA753" s="76" t="b">
        <v>0</v>
      </c>
      <c r="BB753" s="76" t="b">
        <v>1</v>
      </c>
      <c r="BC753" s="76" t="b">
        <v>0</v>
      </c>
      <c r="BD753" s="76" t="b">
        <v>0</v>
      </c>
      <c r="BE753" s="76" t="b">
        <v>1</v>
      </c>
      <c r="BF753" s="76" t="b">
        <v>0</v>
      </c>
      <c r="BG753" s="76" t="b">
        <v>0</v>
      </c>
      <c r="BH753" s="83" t="str">
        <f>HYPERLINK("https://pbs.twimg.com/profile_banners/15666651/1590085226")</f>
        <v>https://pbs.twimg.com/profile_banners/15666651/1590085226</v>
      </c>
      <c r="BI753" s="76"/>
      <c r="BJ753" s="76" t="s">
        <v>19633</v>
      </c>
      <c r="BK753" s="76" t="b">
        <v>0</v>
      </c>
      <c r="BL753" s="76"/>
      <c r="BM753" s="76" t="s">
        <v>66</v>
      </c>
      <c r="BN753" s="76" t="s">
        <v>19635</v>
      </c>
      <c r="BO753" s="83" t="str">
        <f>HYPERLINK("https://twitter.com/paladinrood")</f>
        <v>https://twitter.com/paladinrood</v>
      </c>
      <c r="BP753" s="2"/>
    </row>
    <row r="754" spans="1:68" x14ac:dyDescent="0.25">
      <c r="A754" s="62" t="s">
        <v>895</v>
      </c>
      <c r="B754" s="63"/>
      <c r="C754" s="63"/>
      <c r="D754" s="64"/>
      <c r="E754" s="66"/>
      <c r="F754" s="103" t="str">
        <f>HYPERLINK("https://pbs.twimg.com/profile_images/1621041007750963202/_QjRanrF_normal.jpg")</f>
        <v>https://pbs.twimg.com/profile_images/1621041007750963202/_QjRanrF_normal.jpg</v>
      </c>
      <c r="G754" s="63"/>
      <c r="H754" s="67"/>
      <c r="I754" s="68"/>
      <c r="J754" s="68"/>
      <c r="K754" s="67" t="s">
        <v>20386</v>
      </c>
      <c r="L754" s="71"/>
      <c r="M754" s="72"/>
      <c r="N754" s="72"/>
      <c r="O754" s="73"/>
      <c r="P754" s="74"/>
      <c r="Q754" s="74"/>
      <c r="R754" s="87"/>
      <c r="S754" s="87"/>
      <c r="T754" s="87"/>
      <c r="U754" s="87"/>
      <c r="V754" s="48"/>
      <c r="W754" s="48"/>
      <c r="X754" s="47">
        <v>1.101E-3</v>
      </c>
      <c r="Y754" s="48"/>
      <c r="Z754" s="47"/>
      <c r="AA754" s="69">
        <v>754</v>
      </c>
      <c r="AB754" s="69"/>
      <c r="AC754" s="70"/>
      <c r="AD754" s="76" t="s">
        <v>17377</v>
      </c>
      <c r="AE754" s="81" t="s">
        <v>16521</v>
      </c>
      <c r="AF754" s="76">
        <v>0</v>
      </c>
      <c r="AG754" s="76">
        <v>9</v>
      </c>
      <c r="AH754" s="76">
        <v>1</v>
      </c>
      <c r="AI754" s="76">
        <v>0</v>
      </c>
      <c r="AJ754" s="76">
        <v>1</v>
      </c>
      <c r="AK754" s="76">
        <v>0</v>
      </c>
      <c r="AL754" s="76" t="b">
        <v>0</v>
      </c>
      <c r="AM754" s="78">
        <v>44958.447337962964</v>
      </c>
      <c r="AN754" s="76"/>
      <c r="AO754" s="76" t="s">
        <v>18836</v>
      </c>
      <c r="AP754" s="83" t="str">
        <f>HYPERLINK("https://t.co/bbtmahyQ2I")</f>
        <v>https://t.co/bbtmahyQ2I</v>
      </c>
      <c r="AQ754" s="83" t="str">
        <f>HYPERLINK("https://www.youtube.com/@siqueirainvestir")</f>
        <v>https://www.youtube.com/@siqueirainvestir</v>
      </c>
      <c r="AR754" s="76" t="s">
        <v>19451</v>
      </c>
      <c r="AS754" s="76"/>
      <c r="AT754" s="76"/>
      <c r="AU754" s="76"/>
      <c r="AV754" s="76"/>
      <c r="AW754" s="83" t="str">
        <f>HYPERLINK("https://t.co/bbtmahyQ2I")</f>
        <v>https://t.co/bbtmahyQ2I</v>
      </c>
      <c r="AX754" s="76" t="b">
        <v>0</v>
      </c>
      <c r="AY754" s="76"/>
      <c r="AZ754" s="76"/>
      <c r="BA754" s="76" t="b">
        <v>0</v>
      </c>
      <c r="BB754" s="76" t="b">
        <v>1</v>
      </c>
      <c r="BC754" s="76" t="b">
        <v>1</v>
      </c>
      <c r="BD754" s="76" t="b">
        <v>0</v>
      </c>
      <c r="BE754" s="76" t="b">
        <v>0</v>
      </c>
      <c r="BF754" s="76" t="b">
        <v>0</v>
      </c>
      <c r="BG754" s="76" t="b">
        <v>0</v>
      </c>
      <c r="BH754" s="83" t="str">
        <f>HYPERLINK("https://pbs.twimg.com/profile_banners/1620734652347457539/1675324070")</f>
        <v>https://pbs.twimg.com/profile_banners/1620734652347457539/1675324070</v>
      </c>
      <c r="BI754" s="76"/>
      <c r="BJ754" s="76" t="s">
        <v>19633</v>
      </c>
      <c r="BK754" s="76" t="b">
        <v>0</v>
      </c>
      <c r="BL754" s="76"/>
      <c r="BM754" s="76" t="s">
        <v>66</v>
      </c>
      <c r="BN754" s="76" t="s">
        <v>19635</v>
      </c>
      <c r="BO754" s="83" t="str">
        <f>HYPERLINK("https://twitter.com/siqueirainvesti")</f>
        <v>https://twitter.com/siqueirainvesti</v>
      </c>
      <c r="BP754" s="2"/>
    </row>
    <row r="755" spans="1:68" x14ac:dyDescent="0.25">
      <c r="A755" s="62" t="s">
        <v>896</v>
      </c>
      <c r="B755" s="63"/>
      <c r="C755" s="63"/>
      <c r="D755" s="64"/>
      <c r="E755" s="66"/>
      <c r="F755" s="103" t="str">
        <f>HYPERLINK("https://pbs.twimg.com/profile_images/1512433426015698946/84SWEw9n_normal.jpg")</f>
        <v>https://pbs.twimg.com/profile_images/1512433426015698946/84SWEw9n_normal.jpg</v>
      </c>
      <c r="G755" s="63"/>
      <c r="H755" s="67"/>
      <c r="I755" s="68"/>
      <c r="J755" s="68"/>
      <c r="K755" s="67" t="s">
        <v>20387</v>
      </c>
      <c r="L755" s="71"/>
      <c r="M755" s="72"/>
      <c r="N755" s="72"/>
      <c r="O755" s="73"/>
      <c r="P755" s="74"/>
      <c r="Q755" s="74"/>
      <c r="R755" s="87"/>
      <c r="S755" s="87"/>
      <c r="T755" s="87"/>
      <c r="U755" s="87"/>
      <c r="V755" s="48"/>
      <c r="W755" s="48"/>
      <c r="X755" s="47">
        <v>1.101E-3</v>
      </c>
      <c r="Y755" s="48"/>
      <c r="Z755" s="47"/>
      <c r="AA755" s="69">
        <v>755</v>
      </c>
      <c r="AB755" s="69"/>
      <c r="AC755" s="70"/>
      <c r="AD755" s="76" t="s">
        <v>17378</v>
      </c>
      <c r="AE755" s="81" t="s">
        <v>17788</v>
      </c>
      <c r="AF755" s="76">
        <v>43782</v>
      </c>
      <c r="AG755" s="76">
        <v>462</v>
      </c>
      <c r="AH755" s="76">
        <v>26018</v>
      </c>
      <c r="AI755" s="76">
        <v>390</v>
      </c>
      <c r="AJ755" s="76">
        <v>638</v>
      </c>
      <c r="AK755" s="76">
        <v>2038</v>
      </c>
      <c r="AL755" s="76" t="b">
        <v>0</v>
      </c>
      <c r="AM755" s="78">
        <v>39777.602002314816</v>
      </c>
      <c r="AN755" s="76" t="s">
        <v>10552</v>
      </c>
      <c r="AO755" s="76" t="s">
        <v>18837</v>
      </c>
      <c r="AP755" s="83" t="str">
        <f>HYPERLINK("https://t.co/SiNzG221v9")</f>
        <v>https://t.co/SiNzG221v9</v>
      </c>
      <c r="AQ755" s="83" t="str">
        <f>HYPERLINK("http://www.claudia.com.br")</f>
        <v>http://www.claudia.com.br</v>
      </c>
      <c r="AR755" s="76" t="s">
        <v>19452</v>
      </c>
      <c r="AS755" s="83" t="str">
        <f>HYPERLINK("https://t.co/vYTs0lo0ki")</f>
        <v>https://t.co/vYTs0lo0ki</v>
      </c>
      <c r="AT755" s="83" t="str">
        <f>HYPERLINK("http://abr.ai/3Nh4gbw")</f>
        <v>http://abr.ai/3Nh4gbw</v>
      </c>
      <c r="AU755" s="76" t="s">
        <v>19625</v>
      </c>
      <c r="AV755" s="76"/>
      <c r="AW755" s="83" t="str">
        <f>HYPERLINK("https://t.co/SiNzG221v9")</f>
        <v>https://t.co/SiNzG221v9</v>
      </c>
      <c r="AX755" s="76" t="b">
        <v>0</v>
      </c>
      <c r="AY755" s="76"/>
      <c r="AZ755" s="76"/>
      <c r="BA755" s="76" t="b">
        <v>0</v>
      </c>
      <c r="BB755" s="76" t="b">
        <v>1</v>
      </c>
      <c r="BC755" s="76" t="b">
        <v>0</v>
      </c>
      <c r="BD755" s="76" t="b">
        <v>0</v>
      </c>
      <c r="BE755" s="76" t="b">
        <v>1</v>
      </c>
      <c r="BF755" s="76" t="b">
        <v>0</v>
      </c>
      <c r="BG755" s="76" t="b">
        <v>0</v>
      </c>
      <c r="BH755" s="83" t="str">
        <f>HYPERLINK("https://pbs.twimg.com/profile_banners/17620198/1689621622")</f>
        <v>https://pbs.twimg.com/profile_banners/17620198/1689621622</v>
      </c>
      <c r="BI755" s="76"/>
      <c r="BJ755" s="76" t="s">
        <v>19633</v>
      </c>
      <c r="BK755" s="76" t="b">
        <v>0</v>
      </c>
      <c r="BL755" s="76"/>
      <c r="BM755" s="76" t="s">
        <v>66</v>
      </c>
      <c r="BN755" s="76" t="s">
        <v>19635</v>
      </c>
      <c r="BO755" s="83" t="str">
        <f>HYPERLINK("https://twitter.com/claudiaonline")</f>
        <v>https://twitter.com/claudiaonline</v>
      </c>
      <c r="BP755" s="2"/>
    </row>
    <row r="756" spans="1:68" x14ac:dyDescent="0.25">
      <c r="A756" s="62" t="s">
        <v>1118</v>
      </c>
      <c r="B756" s="63"/>
      <c r="C756" s="63"/>
      <c r="D756" s="64"/>
      <c r="E756" s="66"/>
      <c r="F756" s="103" t="str">
        <f>HYPERLINK("https://pbs.twimg.com/profile_images/1526013122045259778/n_2O5HSS_normal.jpg")</f>
        <v>https://pbs.twimg.com/profile_images/1526013122045259778/n_2O5HSS_normal.jpg</v>
      </c>
      <c r="G756" s="63"/>
      <c r="H756" s="67"/>
      <c r="I756" s="68"/>
      <c r="J756" s="68"/>
      <c r="K756" s="67" t="s">
        <v>20388</v>
      </c>
      <c r="L756" s="71"/>
      <c r="M756" s="72"/>
      <c r="N756" s="72"/>
      <c r="O756" s="73"/>
      <c r="P756" s="74"/>
      <c r="Q756" s="74"/>
      <c r="R756" s="87"/>
      <c r="S756" s="87"/>
      <c r="T756" s="87"/>
      <c r="U756" s="87"/>
      <c r="V756" s="48"/>
      <c r="W756" s="48"/>
      <c r="X756" s="47">
        <v>1.101E-3</v>
      </c>
      <c r="Y756" s="48"/>
      <c r="Z756" s="47"/>
      <c r="AA756" s="69">
        <v>756</v>
      </c>
      <c r="AB756" s="69"/>
      <c r="AC756" s="70"/>
      <c r="AD756" s="76" t="s">
        <v>17379</v>
      </c>
      <c r="AE756" s="81" t="s">
        <v>17789</v>
      </c>
      <c r="AF756" s="76">
        <v>275</v>
      </c>
      <c r="AG756" s="76">
        <v>648</v>
      </c>
      <c r="AH756" s="76">
        <v>156</v>
      </c>
      <c r="AI756" s="76">
        <v>3</v>
      </c>
      <c r="AJ756" s="76">
        <v>750</v>
      </c>
      <c r="AK756" s="76">
        <v>8</v>
      </c>
      <c r="AL756" s="76" t="b">
        <v>0</v>
      </c>
      <c r="AM756" s="78">
        <v>39988.577615740738</v>
      </c>
      <c r="AN756" s="76"/>
      <c r="AO756" s="76" t="s">
        <v>18838</v>
      </c>
      <c r="AP756" s="83" t="str">
        <f>HYPERLINK("https://t.co/p7NujYhRjM")</f>
        <v>https://t.co/p7NujYhRjM</v>
      </c>
      <c r="AQ756" s="83" t="str">
        <f>HYPERLINK("https://open.spotify.com/show/1lr3fbkW5bb10u8xAxR8iG?si=2zRy5AvNTHCV_GkpDq8znw&amp;utm_source=whatsapp&amp;d")</f>
        <v>https://open.spotify.com/show/1lr3fbkW5bb10u8xAxR8iG?si=2zRy5AvNTHCV_GkpDq8znw&amp;utm_source=whatsapp&amp;d</v>
      </c>
      <c r="AR756" s="76" t="s">
        <v>19453</v>
      </c>
      <c r="AS756" s="76"/>
      <c r="AT756" s="76"/>
      <c r="AU756" s="76"/>
      <c r="AV756" s="76"/>
      <c r="AW756" s="83" t="str">
        <f>HYPERLINK("https://t.co/p7NujYhRjM")</f>
        <v>https://t.co/p7NujYhRjM</v>
      </c>
      <c r="AX756" s="76" t="b">
        <v>0</v>
      </c>
      <c r="AY756" s="76"/>
      <c r="AZ756" s="76"/>
      <c r="BA756" s="76" t="b">
        <v>0</v>
      </c>
      <c r="BB756" s="76" t="b">
        <v>1</v>
      </c>
      <c r="BC756" s="76" t="b">
        <v>0</v>
      </c>
      <c r="BD756" s="76" t="b">
        <v>0</v>
      </c>
      <c r="BE756" s="76" t="b">
        <v>0</v>
      </c>
      <c r="BF756" s="76" t="b">
        <v>0</v>
      </c>
      <c r="BG756" s="76" t="b">
        <v>0</v>
      </c>
      <c r="BH756" s="83" t="str">
        <f>HYPERLINK("https://pbs.twimg.com/profile_banners/50309794/1627779138")</f>
        <v>https://pbs.twimg.com/profile_banners/50309794/1627779138</v>
      </c>
      <c r="BI756" s="76"/>
      <c r="BJ756" s="76" t="s">
        <v>19633</v>
      </c>
      <c r="BK756" s="76" t="b">
        <v>0</v>
      </c>
      <c r="BL756" s="76"/>
      <c r="BM756" s="76" t="s">
        <v>65</v>
      </c>
      <c r="BN756" s="76" t="s">
        <v>19635</v>
      </c>
      <c r="BO756" s="83" t="str">
        <f>HYPERLINK("https://twitter.com/paolacarvalho")</f>
        <v>https://twitter.com/paolacarvalho</v>
      </c>
      <c r="BP756" s="2"/>
    </row>
    <row r="757" spans="1:68" x14ac:dyDescent="0.25">
      <c r="A757" s="62" t="s">
        <v>897</v>
      </c>
      <c r="B757" s="63"/>
      <c r="C757" s="63"/>
      <c r="D757" s="64"/>
      <c r="E757" s="66"/>
      <c r="F757" s="103" t="str">
        <f>HYPERLINK("https://pbs.twimg.com/profile_images/1700750359151439872/91ZoSoBg_normal.jpg")</f>
        <v>https://pbs.twimg.com/profile_images/1700750359151439872/91ZoSoBg_normal.jpg</v>
      </c>
      <c r="G757" s="63"/>
      <c r="H757" s="67"/>
      <c r="I757" s="68"/>
      <c r="J757" s="68"/>
      <c r="K757" s="67" t="s">
        <v>20389</v>
      </c>
      <c r="L757" s="71"/>
      <c r="M757" s="72"/>
      <c r="N757" s="72"/>
      <c r="O757" s="73"/>
      <c r="P757" s="74"/>
      <c r="Q757" s="74"/>
      <c r="R757" s="87"/>
      <c r="S757" s="87"/>
      <c r="T757" s="87"/>
      <c r="U757" s="87"/>
      <c r="V757" s="48"/>
      <c r="W757" s="48"/>
      <c r="X757" s="47">
        <v>1.101E-3</v>
      </c>
      <c r="Y757" s="48"/>
      <c r="Z757" s="47"/>
      <c r="AA757" s="69">
        <v>757</v>
      </c>
      <c r="AB757" s="69"/>
      <c r="AC757" s="70"/>
      <c r="AD757" s="76" t="s">
        <v>17380</v>
      </c>
      <c r="AE757" s="81" t="s">
        <v>16522</v>
      </c>
      <c r="AF757" s="76">
        <v>200</v>
      </c>
      <c r="AG757" s="76">
        <v>282</v>
      </c>
      <c r="AH757" s="76">
        <v>13367</v>
      </c>
      <c r="AI757" s="76">
        <v>0</v>
      </c>
      <c r="AJ757" s="76">
        <v>65162</v>
      </c>
      <c r="AK757" s="76">
        <v>1228</v>
      </c>
      <c r="AL757" s="76" t="b">
        <v>0</v>
      </c>
      <c r="AM757" s="78">
        <v>43400.519548611112</v>
      </c>
      <c r="AN757" s="76" t="s">
        <v>10574</v>
      </c>
      <c r="AO757" s="76" t="s">
        <v>18839</v>
      </c>
      <c r="AP757" s="83" t="str">
        <f>HYPERLINK("https://t.co/ywuqptJGbq")</f>
        <v>https://t.co/ywuqptJGbq</v>
      </c>
      <c r="AQ757" s="83" t="str">
        <f>HYPERLINK("http://behance.com/lucashc")</f>
        <v>http://behance.com/lucashc</v>
      </c>
      <c r="AR757" s="76" t="s">
        <v>19454</v>
      </c>
      <c r="AS757" s="76"/>
      <c r="AT757" s="76"/>
      <c r="AU757" s="76"/>
      <c r="AV757" s="76">
        <v>1.67263542258799E+18</v>
      </c>
      <c r="AW757" s="83" t="str">
        <f>HYPERLINK("https://t.co/ywuqptJGbq")</f>
        <v>https://t.co/ywuqptJGbq</v>
      </c>
      <c r="AX757" s="76" t="b">
        <v>0</v>
      </c>
      <c r="AY757" s="76"/>
      <c r="AZ757" s="76"/>
      <c r="BA757" s="76" t="b">
        <v>0</v>
      </c>
      <c r="BB757" s="76" t="b">
        <v>0</v>
      </c>
      <c r="BC757" s="76" t="b">
        <v>1</v>
      </c>
      <c r="BD757" s="76" t="b">
        <v>0</v>
      </c>
      <c r="BE757" s="76" t="b">
        <v>1</v>
      </c>
      <c r="BF757" s="76" t="b">
        <v>0</v>
      </c>
      <c r="BG757" s="76" t="b">
        <v>0</v>
      </c>
      <c r="BH757" s="83" t="str">
        <f>HYPERLINK("https://pbs.twimg.com/profile_banners/1056160622969270273/1693759329")</f>
        <v>https://pbs.twimg.com/profile_banners/1056160622969270273/1693759329</v>
      </c>
      <c r="BI757" s="76"/>
      <c r="BJ757" s="76" t="s">
        <v>19633</v>
      </c>
      <c r="BK757" s="76" t="b">
        <v>0</v>
      </c>
      <c r="BL757" s="76"/>
      <c r="BM757" s="76" t="s">
        <v>66</v>
      </c>
      <c r="BN757" s="76" t="s">
        <v>19635</v>
      </c>
      <c r="BO757" s="83" t="str">
        <f>HYPERLINK("https://twitter.com/lukkkkhadd")</f>
        <v>https://twitter.com/lukkkkhadd</v>
      </c>
      <c r="BP757" s="2"/>
    </row>
    <row r="758" spans="1:68" x14ac:dyDescent="0.25">
      <c r="A758" s="62" t="s">
        <v>1119</v>
      </c>
      <c r="B758" s="63"/>
      <c r="C758" s="63"/>
      <c r="D758" s="64"/>
      <c r="E758" s="66"/>
      <c r="F758" s="103" t="str">
        <f>HYPERLINK("https://pbs.twimg.com/profile_images/1696184655467171840/P5UeN-Ms_normal.jpg")</f>
        <v>https://pbs.twimg.com/profile_images/1696184655467171840/P5UeN-Ms_normal.jpg</v>
      </c>
      <c r="G758" s="63"/>
      <c r="H758" s="67"/>
      <c r="I758" s="68"/>
      <c r="J758" s="68"/>
      <c r="K758" s="67" t="s">
        <v>20390</v>
      </c>
      <c r="L758" s="71"/>
      <c r="M758" s="72"/>
      <c r="N758" s="72"/>
      <c r="O758" s="73"/>
      <c r="P758" s="74"/>
      <c r="Q758" s="74"/>
      <c r="R758" s="87"/>
      <c r="S758" s="87"/>
      <c r="T758" s="87"/>
      <c r="U758" s="87"/>
      <c r="V758" s="48"/>
      <c r="W758" s="48"/>
      <c r="X758" s="47">
        <v>1.101E-3</v>
      </c>
      <c r="Y758" s="48"/>
      <c r="Z758" s="47"/>
      <c r="AA758" s="69">
        <v>758</v>
      </c>
      <c r="AB758" s="69"/>
      <c r="AC758" s="70"/>
      <c r="AD758" s="76" t="s">
        <v>17381</v>
      </c>
      <c r="AE758" s="81" t="s">
        <v>15781</v>
      </c>
      <c r="AF758" s="76">
        <v>95</v>
      </c>
      <c r="AG758" s="76">
        <v>159</v>
      </c>
      <c r="AH758" s="76">
        <v>2813</v>
      </c>
      <c r="AI758" s="76">
        <v>0</v>
      </c>
      <c r="AJ758" s="76">
        <v>5623</v>
      </c>
      <c r="AK758" s="76">
        <v>429</v>
      </c>
      <c r="AL758" s="76" t="b">
        <v>0</v>
      </c>
      <c r="AM758" s="78">
        <v>42819.857546296298</v>
      </c>
      <c r="AN758" s="76" t="s">
        <v>18098</v>
      </c>
      <c r="AO758" s="76" t="s">
        <v>18840</v>
      </c>
      <c r="AP758" s="83" t="str">
        <f>HYPERLINK("https://t.co/Lka3pVblbg")</f>
        <v>https://t.co/Lka3pVblbg</v>
      </c>
      <c r="AQ758" s="83" t="str">
        <f>HYPERLINK("http://instagram.com/xaviersduda")</f>
        <v>http://instagram.com/xaviersduda</v>
      </c>
      <c r="AR758" s="76" t="s">
        <v>19455</v>
      </c>
      <c r="AS758" s="76"/>
      <c r="AT758" s="76"/>
      <c r="AU758" s="76"/>
      <c r="AV758" s="76"/>
      <c r="AW758" s="83" t="str">
        <f>HYPERLINK("https://t.co/Lka3pVblbg")</f>
        <v>https://t.co/Lka3pVblbg</v>
      </c>
      <c r="AX758" s="76" t="b">
        <v>0</v>
      </c>
      <c r="AY758" s="76"/>
      <c r="AZ758" s="76"/>
      <c r="BA758" s="76" t="b">
        <v>1</v>
      </c>
      <c r="BB758" s="76" t="b">
        <v>0</v>
      </c>
      <c r="BC758" s="76" t="b">
        <v>0</v>
      </c>
      <c r="BD758" s="76" t="b">
        <v>0</v>
      </c>
      <c r="BE758" s="76" t="b">
        <v>1</v>
      </c>
      <c r="BF758" s="76" t="b">
        <v>0</v>
      </c>
      <c r="BG758" s="76" t="b">
        <v>0</v>
      </c>
      <c r="BH758" s="83" t="str">
        <f>HYPERLINK("https://pbs.twimg.com/profile_banners/845735758883426304/1690942027")</f>
        <v>https://pbs.twimg.com/profile_banners/845735758883426304/1690942027</v>
      </c>
      <c r="BI758" s="76"/>
      <c r="BJ758" s="76" t="s">
        <v>19633</v>
      </c>
      <c r="BK758" s="76" t="b">
        <v>0</v>
      </c>
      <c r="BL758" s="76"/>
      <c r="BM758" s="76" t="s">
        <v>65</v>
      </c>
      <c r="BN758" s="76" t="s">
        <v>19635</v>
      </c>
      <c r="BO758" s="83" t="str">
        <f>HYPERLINK("https://twitter.com/duudaismo")</f>
        <v>https://twitter.com/duudaismo</v>
      </c>
      <c r="BP758" s="2"/>
    </row>
    <row r="759" spans="1:68" x14ac:dyDescent="0.25">
      <c r="A759" s="62" t="s">
        <v>898</v>
      </c>
      <c r="B759" s="63"/>
      <c r="C759" s="63"/>
      <c r="D759" s="64"/>
      <c r="E759" s="66"/>
      <c r="F759" s="103" t="str">
        <f>HYPERLINK("https://pbs.twimg.com/profile_images/1668433230041628672/EDPPm-UP_normal.jpg")</f>
        <v>https://pbs.twimg.com/profile_images/1668433230041628672/EDPPm-UP_normal.jpg</v>
      </c>
      <c r="G759" s="63"/>
      <c r="H759" s="67"/>
      <c r="I759" s="68"/>
      <c r="J759" s="68"/>
      <c r="K759" s="67" t="s">
        <v>20391</v>
      </c>
      <c r="L759" s="71"/>
      <c r="M759" s="72"/>
      <c r="N759" s="72"/>
      <c r="O759" s="73"/>
      <c r="P759" s="74"/>
      <c r="Q759" s="74"/>
      <c r="R759" s="87"/>
      <c r="S759" s="87"/>
      <c r="T759" s="87"/>
      <c r="U759" s="87"/>
      <c r="V759" s="48"/>
      <c r="W759" s="48"/>
      <c r="X759" s="47">
        <v>1.101E-3</v>
      </c>
      <c r="Y759" s="48"/>
      <c r="Z759" s="47"/>
      <c r="AA759" s="69">
        <v>759</v>
      </c>
      <c r="AB759" s="69"/>
      <c r="AC759" s="70"/>
      <c r="AD759" s="76" t="s">
        <v>17382</v>
      </c>
      <c r="AE759" s="81" t="s">
        <v>17790</v>
      </c>
      <c r="AF759" s="76">
        <v>148</v>
      </c>
      <c r="AG759" s="76">
        <v>73</v>
      </c>
      <c r="AH759" s="76">
        <v>122</v>
      </c>
      <c r="AI759" s="76">
        <v>0</v>
      </c>
      <c r="AJ759" s="76">
        <v>167</v>
      </c>
      <c r="AK759" s="76">
        <v>8</v>
      </c>
      <c r="AL759" s="76" t="b">
        <v>0</v>
      </c>
      <c r="AM759" s="78">
        <v>40480.136620370373</v>
      </c>
      <c r="AN759" s="76" t="s">
        <v>10552</v>
      </c>
      <c r="AO759" s="76" t="s">
        <v>18841</v>
      </c>
      <c r="AP759" s="83" t="str">
        <f>HYPERLINK("https://t.co/27fmro57hQ")</f>
        <v>https://t.co/27fmro57hQ</v>
      </c>
      <c r="AQ759" s="83" t="str">
        <f>HYPERLINK("https://tiktok.com/otaciotrader")</f>
        <v>https://tiktok.com/otaciotrader</v>
      </c>
      <c r="AR759" s="76" t="s">
        <v>19456</v>
      </c>
      <c r="AS759" s="76"/>
      <c r="AT759" s="76"/>
      <c r="AU759" s="76"/>
      <c r="AV759" s="76"/>
      <c r="AW759" s="83" t="str">
        <f>HYPERLINK("https://t.co/27fmro57hQ")</f>
        <v>https://t.co/27fmro57hQ</v>
      </c>
      <c r="AX759" s="76" t="b">
        <v>1</v>
      </c>
      <c r="AY759" s="76"/>
      <c r="AZ759" s="76"/>
      <c r="BA759" s="76" t="b">
        <v>1</v>
      </c>
      <c r="BB759" s="76" t="b">
        <v>1</v>
      </c>
      <c r="BC759" s="76" t="b">
        <v>0</v>
      </c>
      <c r="BD759" s="76" t="b">
        <v>0</v>
      </c>
      <c r="BE759" s="76" t="b">
        <v>1</v>
      </c>
      <c r="BF759" s="76" t="b">
        <v>0</v>
      </c>
      <c r="BG759" s="76" t="b">
        <v>0</v>
      </c>
      <c r="BH759" s="83" t="str">
        <f>HYPERLINK("https://pbs.twimg.com/profile_banners/209396548/1686620466")</f>
        <v>https://pbs.twimg.com/profile_banners/209396548/1686620466</v>
      </c>
      <c r="BI759" s="76"/>
      <c r="BJ759" s="76" t="s">
        <v>19633</v>
      </c>
      <c r="BK759" s="76" t="b">
        <v>0</v>
      </c>
      <c r="BL759" s="76"/>
      <c r="BM759" s="76" t="s">
        <v>66</v>
      </c>
      <c r="BN759" s="76" t="s">
        <v>19635</v>
      </c>
      <c r="BO759" s="83" t="str">
        <f>HYPERLINK("https://twitter.com/otaciotrader")</f>
        <v>https://twitter.com/otaciotrader</v>
      </c>
      <c r="BP759" s="2"/>
    </row>
    <row r="760" spans="1:68" x14ac:dyDescent="0.25">
      <c r="A760" s="62" t="s">
        <v>899</v>
      </c>
      <c r="B760" s="63"/>
      <c r="C760" s="63"/>
      <c r="D760" s="64"/>
      <c r="E760" s="66"/>
      <c r="F760" s="103" t="str">
        <f>HYPERLINK("https://pbs.twimg.com/profile_images/1517820485064867842/hG9izvPU_normal.jpg")</f>
        <v>https://pbs.twimg.com/profile_images/1517820485064867842/hG9izvPU_normal.jpg</v>
      </c>
      <c r="G760" s="63"/>
      <c r="H760" s="67"/>
      <c r="I760" s="68"/>
      <c r="J760" s="68"/>
      <c r="K760" s="67" t="s">
        <v>20392</v>
      </c>
      <c r="L760" s="71"/>
      <c r="M760" s="72"/>
      <c r="N760" s="72"/>
      <c r="O760" s="73"/>
      <c r="P760" s="74"/>
      <c r="Q760" s="74"/>
      <c r="R760" s="87"/>
      <c r="S760" s="87"/>
      <c r="T760" s="87"/>
      <c r="U760" s="87"/>
      <c r="V760" s="48"/>
      <c r="W760" s="48"/>
      <c r="X760" s="47">
        <v>1.101E-3</v>
      </c>
      <c r="Y760" s="48"/>
      <c r="Z760" s="47"/>
      <c r="AA760" s="69">
        <v>760</v>
      </c>
      <c r="AB760" s="69"/>
      <c r="AC760" s="70"/>
      <c r="AD760" s="76" t="s">
        <v>17383</v>
      </c>
      <c r="AE760" s="81" t="s">
        <v>16523</v>
      </c>
      <c r="AF760" s="76">
        <v>394</v>
      </c>
      <c r="AG760" s="76">
        <v>3</v>
      </c>
      <c r="AH760" s="76">
        <v>12923</v>
      </c>
      <c r="AI760" s="76">
        <v>4</v>
      </c>
      <c r="AJ760" s="76">
        <v>135</v>
      </c>
      <c r="AK760" s="76">
        <v>1851</v>
      </c>
      <c r="AL760" s="76" t="b">
        <v>0</v>
      </c>
      <c r="AM760" s="78">
        <v>42594.446342592593</v>
      </c>
      <c r="AN760" s="76" t="s">
        <v>18099</v>
      </c>
      <c r="AO760" s="76"/>
      <c r="AP760" s="83" t="str">
        <f>HYPERLINK("https://t.co/pOb4jJWEUK")</f>
        <v>https://t.co/pOb4jJWEUK</v>
      </c>
      <c r="AQ760" s="83" t="str">
        <f>HYPERLINK("http://www.holisticinvestment.in")</f>
        <v>http://www.holisticinvestment.in</v>
      </c>
      <c r="AR760" s="76" t="s">
        <v>17383</v>
      </c>
      <c r="AS760" s="76"/>
      <c r="AT760" s="76"/>
      <c r="AU760" s="76"/>
      <c r="AV760" s="76"/>
      <c r="AW760" s="83" t="str">
        <f>HYPERLINK("https://t.co/pOb4jJWEUK")</f>
        <v>https://t.co/pOb4jJWEUK</v>
      </c>
      <c r="AX760" s="76" t="b">
        <v>0</v>
      </c>
      <c r="AY760" s="76"/>
      <c r="AZ760" s="76"/>
      <c r="BA760" s="76" t="b">
        <v>1</v>
      </c>
      <c r="BB760" s="76" t="b">
        <v>1</v>
      </c>
      <c r="BC760" s="76" t="b">
        <v>0</v>
      </c>
      <c r="BD760" s="76" t="b">
        <v>0</v>
      </c>
      <c r="BE760" s="76" t="b">
        <v>1</v>
      </c>
      <c r="BF760" s="76" t="b">
        <v>0</v>
      </c>
      <c r="BG760" s="76" t="b">
        <v>0</v>
      </c>
      <c r="BH760" s="83" t="str">
        <f>HYPERLINK("https://pbs.twimg.com/profile_banners/764049471151886336/1552737947")</f>
        <v>https://pbs.twimg.com/profile_banners/764049471151886336/1552737947</v>
      </c>
      <c r="BI760" s="76"/>
      <c r="BJ760" s="76" t="s">
        <v>19633</v>
      </c>
      <c r="BK760" s="76" t="b">
        <v>0</v>
      </c>
      <c r="BL760" s="76"/>
      <c r="BM760" s="76" t="s">
        <v>66</v>
      </c>
      <c r="BN760" s="76" t="s">
        <v>19635</v>
      </c>
      <c r="BO760" s="83" t="str">
        <f>HYPERLINK("https://twitter.com/holistic_invest")</f>
        <v>https://twitter.com/holistic_invest</v>
      </c>
      <c r="BP760" s="2"/>
    </row>
    <row r="761" spans="1:68" x14ac:dyDescent="0.25">
      <c r="A761" s="62" t="s">
        <v>900</v>
      </c>
      <c r="B761" s="63"/>
      <c r="C761" s="63"/>
      <c r="D761" s="64"/>
      <c r="E761" s="66"/>
      <c r="F761" s="103" t="str">
        <f>HYPERLINK("https://pbs.twimg.com/profile_images/1373401737772552198/KL8Tufj1_normal.jpg")</f>
        <v>https://pbs.twimg.com/profile_images/1373401737772552198/KL8Tufj1_normal.jpg</v>
      </c>
      <c r="G761" s="63"/>
      <c r="H761" s="67"/>
      <c r="I761" s="68"/>
      <c r="J761" s="68"/>
      <c r="K761" s="67" t="s">
        <v>20393</v>
      </c>
      <c r="L761" s="71"/>
      <c r="M761" s="72"/>
      <c r="N761" s="72"/>
      <c r="O761" s="73"/>
      <c r="P761" s="74"/>
      <c r="Q761" s="74"/>
      <c r="R761" s="87"/>
      <c r="S761" s="87"/>
      <c r="T761" s="87"/>
      <c r="U761" s="87"/>
      <c r="V761" s="48"/>
      <c r="W761" s="48"/>
      <c r="X761" s="47">
        <v>1.101E-3</v>
      </c>
      <c r="Y761" s="48"/>
      <c r="Z761" s="47"/>
      <c r="AA761" s="69">
        <v>761</v>
      </c>
      <c r="AB761" s="69"/>
      <c r="AC761" s="70"/>
      <c r="AD761" s="76" t="s">
        <v>17384</v>
      </c>
      <c r="AE761" s="81" t="s">
        <v>17791</v>
      </c>
      <c r="AF761" s="76">
        <v>113</v>
      </c>
      <c r="AG761" s="76">
        <v>391</v>
      </c>
      <c r="AH761" s="76">
        <v>8507</v>
      </c>
      <c r="AI761" s="76">
        <v>0</v>
      </c>
      <c r="AJ761" s="76">
        <v>21521</v>
      </c>
      <c r="AK761" s="76">
        <v>385</v>
      </c>
      <c r="AL761" s="76" t="b">
        <v>0</v>
      </c>
      <c r="AM761" s="78">
        <v>41935.879884259259</v>
      </c>
      <c r="AN761" s="76" t="s">
        <v>18100</v>
      </c>
      <c r="AO761" s="76" t="s">
        <v>18842</v>
      </c>
      <c r="AP761" s="83" t="str">
        <f>HYPERLINK("https://t.co/9nZZQTO5mP")</f>
        <v>https://t.co/9nZZQTO5mP</v>
      </c>
      <c r="AQ761" s="83" t="str">
        <f>HYPERLINK("https://profitsideblog.wixsite.com/profitside")</f>
        <v>https://profitsideblog.wixsite.com/profitside</v>
      </c>
      <c r="AR761" s="76" t="s">
        <v>19457</v>
      </c>
      <c r="AS761" s="76"/>
      <c r="AT761" s="76"/>
      <c r="AU761" s="76"/>
      <c r="AV761" s="76"/>
      <c r="AW761" s="83" t="str">
        <f>HYPERLINK("https://t.co/9nZZQTO5mP")</f>
        <v>https://t.co/9nZZQTO5mP</v>
      </c>
      <c r="AX761" s="76" t="b">
        <v>0</v>
      </c>
      <c r="AY761" s="76"/>
      <c r="AZ761" s="76"/>
      <c r="BA761" s="76" t="b">
        <v>0</v>
      </c>
      <c r="BB761" s="76" t="b">
        <v>1</v>
      </c>
      <c r="BC761" s="76" t="b">
        <v>1</v>
      </c>
      <c r="BD761" s="76" t="b">
        <v>0</v>
      </c>
      <c r="BE761" s="76" t="b">
        <v>1</v>
      </c>
      <c r="BF761" s="76" t="b">
        <v>0</v>
      </c>
      <c r="BG761" s="76" t="b">
        <v>0</v>
      </c>
      <c r="BH761" s="83" t="str">
        <f>HYPERLINK("https://pbs.twimg.com/profile_banners/2874080791/1527043168")</f>
        <v>https://pbs.twimg.com/profile_banners/2874080791/1527043168</v>
      </c>
      <c r="BI761" s="76"/>
      <c r="BJ761" s="76" t="s">
        <v>19633</v>
      </c>
      <c r="BK761" s="76" t="b">
        <v>0</v>
      </c>
      <c r="BL761" s="76"/>
      <c r="BM761" s="76" t="s">
        <v>66</v>
      </c>
      <c r="BN761" s="76" t="s">
        <v>19635</v>
      </c>
      <c r="BO761" s="83" t="str">
        <f>HYPERLINK("https://twitter.com/osmarangelin")</f>
        <v>https://twitter.com/osmarangelin</v>
      </c>
      <c r="BP761" s="2"/>
    </row>
    <row r="762" spans="1:68" x14ac:dyDescent="0.25">
      <c r="A762" s="62" t="s">
        <v>901</v>
      </c>
      <c r="B762" s="63"/>
      <c r="C762" s="63"/>
      <c r="D762" s="64"/>
      <c r="E762" s="66"/>
      <c r="F762" s="103" t="str">
        <f>HYPERLINK("https://pbs.twimg.com/profile_images/1657702835369197568/uTY1mPw4_normal.jpg")</f>
        <v>https://pbs.twimg.com/profile_images/1657702835369197568/uTY1mPw4_normal.jpg</v>
      </c>
      <c r="G762" s="63"/>
      <c r="H762" s="67"/>
      <c r="I762" s="68"/>
      <c r="J762" s="68"/>
      <c r="K762" s="67" t="s">
        <v>20394</v>
      </c>
      <c r="L762" s="71"/>
      <c r="M762" s="72"/>
      <c r="N762" s="72"/>
      <c r="O762" s="73"/>
      <c r="P762" s="74"/>
      <c r="Q762" s="74"/>
      <c r="R762" s="87"/>
      <c r="S762" s="87"/>
      <c r="T762" s="87"/>
      <c r="U762" s="87"/>
      <c r="V762" s="48"/>
      <c r="W762" s="48"/>
      <c r="X762" s="47">
        <v>1.101E-3</v>
      </c>
      <c r="Y762" s="48"/>
      <c r="Z762" s="47"/>
      <c r="AA762" s="69">
        <v>762</v>
      </c>
      <c r="AB762" s="69"/>
      <c r="AC762" s="70"/>
      <c r="AD762" s="76" t="s">
        <v>17385</v>
      </c>
      <c r="AE762" s="81" t="s">
        <v>15782</v>
      </c>
      <c r="AF762" s="76">
        <v>29</v>
      </c>
      <c r="AG762" s="76">
        <v>539</v>
      </c>
      <c r="AH762" s="76">
        <v>177</v>
      </c>
      <c r="AI762" s="76">
        <v>1</v>
      </c>
      <c r="AJ762" s="76">
        <v>39463</v>
      </c>
      <c r="AK762" s="76">
        <v>8</v>
      </c>
      <c r="AL762" s="76" t="b">
        <v>0</v>
      </c>
      <c r="AM762" s="78">
        <v>42065.999699074076</v>
      </c>
      <c r="AN762" s="76" t="s">
        <v>18101</v>
      </c>
      <c r="AO762" s="76"/>
      <c r="AP762" s="76"/>
      <c r="AQ762" s="76"/>
      <c r="AR762" s="76"/>
      <c r="AS762" s="76"/>
      <c r="AT762" s="76"/>
      <c r="AU762" s="76"/>
      <c r="AV762" s="76"/>
      <c r="AW762" s="76"/>
      <c r="AX762" s="76" t="b">
        <v>0</v>
      </c>
      <c r="AY762" s="76"/>
      <c r="AZ762" s="76"/>
      <c r="BA762" s="76" t="b">
        <v>1</v>
      </c>
      <c r="BB762" s="76" t="b">
        <v>1</v>
      </c>
      <c r="BC762" s="76" t="b">
        <v>1</v>
      </c>
      <c r="BD762" s="76" t="b">
        <v>0</v>
      </c>
      <c r="BE762" s="76" t="b">
        <v>0</v>
      </c>
      <c r="BF762" s="76" t="b">
        <v>0</v>
      </c>
      <c r="BG762" s="76" t="b">
        <v>1</v>
      </c>
      <c r="BH762" s="83" t="str">
        <f>HYPERLINK("https://pbs.twimg.com/profile_banners/3066337923/1684062640")</f>
        <v>https://pbs.twimg.com/profile_banners/3066337923/1684062640</v>
      </c>
      <c r="BI762" s="76"/>
      <c r="BJ762" s="76" t="s">
        <v>19633</v>
      </c>
      <c r="BK762" s="76" t="b">
        <v>0</v>
      </c>
      <c r="BL762" s="76"/>
      <c r="BM762" s="76" t="s">
        <v>66</v>
      </c>
      <c r="BN762" s="76" t="s">
        <v>19635</v>
      </c>
      <c r="BO762" s="83" t="str">
        <f>HYPERLINK("https://twitter.com/marceloamartino")</f>
        <v>https://twitter.com/marceloamartino</v>
      </c>
      <c r="BP762" s="2"/>
    </row>
    <row r="763" spans="1:68" x14ac:dyDescent="0.25">
      <c r="A763" s="62" t="s">
        <v>902</v>
      </c>
      <c r="B763" s="63"/>
      <c r="C763" s="63"/>
      <c r="D763" s="64"/>
      <c r="E763" s="66"/>
      <c r="F763" s="103" t="str">
        <f>HYPERLINK("https://pbs.twimg.com/profile_images/1615065915862786049/zsYw7YMh_normal.jpg")</f>
        <v>https://pbs.twimg.com/profile_images/1615065915862786049/zsYw7YMh_normal.jpg</v>
      </c>
      <c r="G763" s="63"/>
      <c r="H763" s="67"/>
      <c r="I763" s="68"/>
      <c r="J763" s="68"/>
      <c r="K763" s="67" t="s">
        <v>20395</v>
      </c>
      <c r="L763" s="71"/>
      <c r="M763" s="72"/>
      <c r="N763" s="72"/>
      <c r="O763" s="73"/>
      <c r="P763" s="74"/>
      <c r="Q763" s="74"/>
      <c r="R763" s="87"/>
      <c r="S763" s="87"/>
      <c r="T763" s="87"/>
      <c r="U763" s="87"/>
      <c r="V763" s="48"/>
      <c r="W763" s="48"/>
      <c r="X763" s="47">
        <v>1.101E-3</v>
      </c>
      <c r="Y763" s="48"/>
      <c r="Z763" s="47"/>
      <c r="AA763" s="69">
        <v>763</v>
      </c>
      <c r="AB763" s="69"/>
      <c r="AC763" s="70"/>
      <c r="AD763" s="76" t="s">
        <v>17386</v>
      </c>
      <c r="AE763" s="81" t="s">
        <v>16524</v>
      </c>
      <c r="AF763" s="76">
        <v>1</v>
      </c>
      <c r="AG763" s="76">
        <v>10</v>
      </c>
      <c r="AH763" s="76">
        <v>74</v>
      </c>
      <c r="AI763" s="76">
        <v>0</v>
      </c>
      <c r="AJ763" s="76">
        <v>4</v>
      </c>
      <c r="AK763" s="76">
        <v>29</v>
      </c>
      <c r="AL763" s="76" t="b">
        <v>0</v>
      </c>
      <c r="AM763" s="78">
        <v>44942.802210648151</v>
      </c>
      <c r="AN763" s="76" t="s">
        <v>10552</v>
      </c>
      <c r="AO763" s="76" t="s">
        <v>18843</v>
      </c>
      <c r="AP763" s="83" t="str">
        <f>HYPERLINK("https://t.co/tvOfuqde1m")</f>
        <v>https://t.co/tvOfuqde1m</v>
      </c>
      <c r="AQ763" s="83" t="str">
        <f>HYPERLINK("https://linktr.ee/bbankoficial")</f>
        <v>https://linktr.ee/bbankoficial</v>
      </c>
      <c r="AR763" s="76" t="s">
        <v>19458</v>
      </c>
      <c r="AS763" s="76"/>
      <c r="AT763" s="76"/>
      <c r="AU763" s="76"/>
      <c r="AV763" s="76"/>
      <c r="AW763" s="83" t="str">
        <f>HYPERLINK("https://t.co/tvOfuqde1m")</f>
        <v>https://t.co/tvOfuqde1m</v>
      </c>
      <c r="AX763" s="76" t="b">
        <v>0</v>
      </c>
      <c r="AY763" s="76"/>
      <c r="AZ763" s="76"/>
      <c r="BA763" s="76" t="b">
        <v>0</v>
      </c>
      <c r="BB763" s="76" t="b">
        <v>1</v>
      </c>
      <c r="BC763" s="76" t="b">
        <v>1</v>
      </c>
      <c r="BD763" s="76" t="b">
        <v>0</v>
      </c>
      <c r="BE763" s="76" t="b">
        <v>0</v>
      </c>
      <c r="BF763" s="76" t="b">
        <v>0</v>
      </c>
      <c r="BG763" s="76" t="b">
        <v>0</v>
      </c>
      <c r="BH763" s="83" t="str">
        <f>HYPERLINK("https://pbs.twimg.com/profile_banners/1615065006814466048/1673899204")</f>
        <v>https://pbs.twimg.com/profile_banners/1615065006814466048/1673899204</v>
      </c>
      <c r="BI763" s="76"/>
      <c r="BJ763" s="76" t="s">
        <v>19633</v>
      </c>
      <c r="BK763" s="76" t="b">
        <v>0</v>
      </c>
      <c r="BL763" s="76"/>
      <c r="BM763" s="76" t="s">
        <v>66</v>
      </c>
      <c r="BN763" s="76" t="s">
        <v>19635</v>
      </c>
      <c r="BO763" s="83" t="str">
        <f>HYPERLINK("https://twitter.com/bbank_oficial")</f>
        <v>https://twitter.com/bbank_oficial</v>
      </c>
      <c r="BP763" s="2"/>
    </row>
    <row r="764" spans="1:68" x14ac:dyDescent="0.25">
      <c r="A764" s="62" t="s">
        <v>903</v>
      </c>
      <c r="B764" s="63"/>
      <c r="C764" s="63"/>
      <c r="D764" s="64"/>
      <c r="E764" s="66"/>
      <c r="F764" s="103" t="str">
        <f>HYPERLINK("https://pbs.twimg.com/profile_images/1620466219324153873/9w-FAD1C_normal.jpg")</f>
        <v>https://pbs.twimg.com/profile_images/1620466219324153873/9w-FAD1C_normal.jpg</v>
      </c>
      <c r="G764" s="63"/>
      <c r="H764" s="67"/>
      <c r="I764" s="68"/>
      <c r="J764" s="68"/>
      <c r="K764" s="67" t="s">
        <v>20396</v>
      </c>
      <c r="L764" s="71"/>
      <c r="M764" s="72"/>
      <c r="N764" s="72"/>
      <c r="O764" s="73"/>
      <c r="P764" s="74"/>
      <c r="Q764" s="74"/>
      <c r="R764" s="87"/>
      <c r="S764" s="87"/>
      <c r="T764" s="87"/>
      <c r="U764" s="87"/>
      <c r="V764" s="48"/>
      <c r="W764" s="48"/>
      <c r="X764" s="47">
        <v>1.101E-3</v>
      </c>
      <c r="Y764" s="48"/>
      <c r="Z764" s="47"/>
      <c r="AA764" s="69">
        <v>764</v>
      </c>
      <c r="AB764" s="69"/>
      <c r="AC764" s="70"/>
      <c r="AD764" s="76" t="s">
        <v>17387</v>
      </c>
      <c r="AE764" s="81" t="s">
        <v>16525</v>
      </c>
      <c r="AF764" s="76">
        <v>57</v>
      </c>
      <c r="AG764" s="76">
        <v>4</v>
      </c>
      <c r="AH764" s="76">
        <v>26</v>
      </c>
      <c r="AI764" s="76">
        <v>0</v>
      </c>
      <c r="AJ764" s="76">
        <v>13</v>
      </c>
      <c r="AK764" s="76">
        <v>17</v>
      </c>
      <c r="AL764" s="76" t="b">
        <v>0</v>
      </c>
      <c r="AM764" s="78">
        <v>44719.474537037036</v>
      </c>
      <c r="AN764" s="76" t="s">
        <v>18102</v>
      </c>
      <c r="AO764" s="76" t="s">
        <v>18844</v>
      </c>
      <c r="AP764" s="83" t="str">
        <f>HYPERLINK("https://t.co/69dkWx3x1A")</f>
        <v>https://t.co/69dkWx3x1A</v>
      </c>
      <c r="AQ764" s="83" t="str">
        <f>HYPERLINK("http://apencapital.com.br")</f>
        <v>http://apencapital.com.br</v>
      </c>
      <c r="AR764" s="76" t="s">
        <v>19459</v>
      </c>
      <c r="AS764" s="76"/>
      <c r="AT764" s="76"/>
      <c r="AU764" s="76"/>
      <c r="AV764" s="76"/>
      <c r="AW764" s="83" t="str">
        <f>HYPERLINK("https://t.co/69dkWx3x1A")</f>
        <v>https://t.co/69dkWx3x1A</v>
      </c>
      <c r="AX764" s="76" t="b">
        <v>0</v>
      </c>
      <c r="AY764" s="76"/>
      <c r="AZ764" s="76"/>
      <c r="BA764" s="76" t="b">
        <v>0</v>
      </c>
      <c r="BB764" s="76" t="b">
        <v>1</v>
      </c>
      <c r="BC764" s="76" t="b">
        <v>1</v>
      </c>
      <c r="BD764" s="76" t="b">
        <v>0</v>
      </c>
      <c r="BE764" s="76" t="b">
        <v>0</v>
      </c>
      <c r="BF764" s="76" t="b">
        <v>0</v>
      </c>
      <c r="BG764" s="76" t="b">
        <v>0</v>
      </c>
      <c r="BH764" s="83" t="str">
        <f>HYPERLINK("https://pbs.twimg.com/profile_banners/1534133846224121857/1654601215")</f>
        <v>https://pbs.twimg.com/profile_banners/1534133846224121857/1654601215</v>
      </c>
      <c r="BI764" s="76"/>
      <c r="BJ764" s="76" t="s">
        <v>19633</v>
      </c>
      <c r="BK764" s="76" t="b">
        <v>0</v>
      </c>
      <c r="BL764" s="76"/>
      <c r="BM764" s="76" t="s">
        <v>66</v>
      </c>
      <c r="BN764" s="76" t="s">
        <v>19635</v>
      </c>
      <c r="BO764" s="83" t="str">
        <f>HYPERLINK("https://twitter.com/apencapital")</f>
        <v>https://twitter.com/apencapital</v>
      </c>
      <c r="BP764" s="2"/>
    </row>
    <row r="765" spans="1:68" x14ac:dyDescent="0.25">
      <c r="A765" s="62" t="s">
        <v>904</v>
      </c>
      <c r="B765" s="63"/>
      <c r="C765" s="63"/>
      <c r="D765" s="64"/>
      <c r="E765" s="66"/>
      <c r="F765" s="103" t="str">
        <f>HYPERLINK("https://pbs.twimg.com/profile_images/1628821689038512129/tblb-bZx_normal.jpg")</f>
        <v>https://pbs.twimg.com/profile_images/1628821689038512129/tblb-bZx_normal.jpg</v>
      </c>
      <c r="G765" s="63"/>
      <c r="H765" s="67"/>
      <c r="I765" s="68"/>
      <c r="J765" s="68"/>
      <c r="K765" s="67" t="s">
        <v>20397</v>
      </c>
      <c r="L765" s="71"/>
      <c r="M765" s="72"/>
      <c r="N765" s="72"/>
      <c r="O765" s="73"/>
      <c r="P765" s="74"/>
      <c r="Q765" s="74"/>
      <c r="R765" s="87"/>
      <c r="S765" s="87"/>
      <c r="T765" s="87"/>
      <c r="U765" s="87"/>
      <c r="V765" s="48"/>
      <c r="W765" s="48"/>
      <c r="X765" s="47">
        <v>1.101E-3</v>
      </c>
      <c r="Y765" s="48"/>
      <c r="Z765" s="47"/>
      <c r="AA765" s="69">
        <v>765</v>
      </c>
      <c r="AB765" s="69"/>
      <c r="AC765" s="70"/>
      <c r="AD765" s="76" t="s">
        <v>17388</v>
      </c>
      <c r="AE765" s="81" t="s">
        <v>16526</v>
      </c>
      <c r="AF765" s="76">
        <v>6</v>
      </c>
      <c r="AG765" s="76">
        <v>23</v>
      </c>
      <c r="AH765" s="76">
        <v>260</v>
      </c>
      <c r="AI765" s="76">
        <v>0</v>
      </c>
      <c r="AJ765" s="76">
        <v>237</v>
      </c>
      <c r="AK765" s="76">
        <v>91</v>
      </c>
      <c r="AL765" s="76" t="b">
        <v>0</v>
      </c>
      <c r="AM765" s="78">
        <v>44935.540636574071</v>
      </c>
      <c r="AN765" s="76" t="s">
        <v>18103</v>
      </c>
      <c r="AO765" s="76" t="s">
        <v>18845</v>
      </c>
      <c r="AP765" s="83" t="str">
        <f>HYPERLINK("https://t.co/gzujSUDIxo")</f>
        <v>https://t.co/gzujSUDIxo</v>
      </c>
      <c r="AQ765" s="83" t="str">
        <f>HYPERLINK("https://www.instagram.com/invites/contact/?i=1okgnt1le3qvq&amp;utm_content=4r1mkkn")</f>
        <v>https://www.instagram.com/invites/contact/?i=1okgnt1le3qvq&amp;utm_content=4r1mkkn</v>
      </c>
      <c r="AR765" s="76" t="s">
        <v>19460</v>
      </c>
      <c r="AS765" s="76"/>
      <c r="AT765" s="76"/>
      <c r="AU765" s="76"/>
      <c r="AV765" s="76"/>
      <c r="AW765" s="83" t="str">
        <f>HYPERLINK("https://t.co/gzujSUDIxo")</f>
        <v>https://t.co/gzujSUDIxo</v>
      </c>
      <c r="AX765" s="76" t="b">
        <v>0</v>
      </c>
      <c r="AY765" s="76"/>
      <c r="AZ765" s="76"/>
      <c r="BA765" s="76" t="b">
        <v>0</v>
      </c>
      <c r="BB765" s="76" t="b">
        <v>1</v>
      </c>
      <c r="BC765" s="76" t="b">
        <v>1</v>
      </c>
      <c r="BD765" s="76" t="b">
        <v>0</v>
      </c>
      <c r="BE765" s="76" t="b">
        <v>0</v>
      </c>
      <c r="BF765" s="76" t="b">
        <v>0</v>
      </c>
      <c r="BG765" s="76" t="b">
        <v>0</v>
      </c>
      <c r="BH765" s="83" t="str">
        <f>HYPERLINK("https://pbs.twimg.com/profile_banners/1612432290591768577/1673270304")</f>
        <v>https://pbs.twimg.com/profile_banners/1612432290591768577/1673270304</v>
      </c>
      <c r="BI765" s="76"/>
      <c r="BJ765" s="76" t="s">
        <v>19633</v>
      </c>
      <c r="BK765" s="76" t="b">
        <v>0</v>
      </c>
      <c r="BL765" s="76"/>
      <c r="BM765" s="76" t="s">
        <v>66</v>
      </c>
      <c r="BN765" s="76" t="s">
        <v>19635</v>
      </c>
      <c r="BO765" s="83" t="str">
        <f>HYPERLINK("https://twitter.com/admdagripsocks")</f>
        <v>https://twitter.com/admdagripsocks</v>
      </c>
      <c r="BP765" s="2"/>
    </row>
    <row r="766" spans="1:68" x14ac:dyDescent="0.25">
      <c r="A766" s="62" t="s">
        <v>906</v>
      </c>
      <c r="B766" s="63"/>
      <c r="C766" s="63"/>
      <c r="D766" s="64"/>
      <c r="E766" s="66"/>
      <c r="F766" s="103" t="str">
        <f>HYPERLINK("https://pbs.twimg.com/profile_images/995647405713510400/IrAKVrWf_normal.jpg")</f>
        <v>https://pbs.twimg.com/profile_images/995647405713510400/IrAKVrWf_normal.jpg</v>
      </c>
      <c r="G766" s="63"/>
      <c r="H766" s="67"/>
      <c r="I766" s="68"/>
      <c r="J766" s="68"/>
      <c r="K766" s="67" t="s">
        <v>20398</v>
      </c>
      <c r="L766" s="71"/>
      <c r="M766" s="72"/>
      <c r="N766" s="72"/>
      <c r="O766" s="73"/>
      <c r="P766" s="74"/>
      <c r="Q766" s="74"/>
      <c r="R766" s="87"/>
      <c r="S766" s="87"/>
      <c r="T766" s="87"/>
      <c r="U766" s="87"/>
      <c r="V766" s="48"/>
      <c r="W766" s="48"/>
      <c r="X766" s="47">
        <v>1.078E-3</v>
      </c>
      <c r="Y766" s="48"/>
      <c r="Z766" s="47"/>
      <c r="AA766" s="69">
        <v>766</v>
      </c>
      <c r="AB766" s="69"/>
      <c r="AC766" s="70"/>
      <c r="AD766" s="76" t="s">
        <v>17389</v>
      </c>
      <c r="AE766" s="81" t="s">
        <v>16528</v>
      </c>
      <c r="AF766" s="76">
        <v>472</v>
      </c>
      <c r="AG766" s="76">
        <v>151</v>
      </c>
      <c r="AH766" s="76">
        <v>615</v>
      </c>
      <c r="AI766" s="76">
        <v>0</v>
      </c>
      <c r="AJ766" s="76">
        <v>361</v>
      </c>
      <c r="AK766" s="76">
        <v>255</v>
      </c>
      <c r="AL766" s="76" t="b">
        <v>0</v>
      </c>
      <c r="AM766" s="78">
        <v>43233.52611111111</v>
      </c>
      <c r="AN766" s="76" t="s">
        <v>17864</v>
      </c>
      <c r="AO766" s="76" t="s">
        <v>18846</v>
      </c>
      <c r="AP766" s="83" t="str">
        <f>HYPERLINK("https://t.co/qL5Sd10SE2")</f>
        <v>https://t.co/qL5Sd10SE2</v>
      </c>
      <c r="AQ766" s="83" t="str">
        <f>HYPERLINK("https://linktr.ee/Kamba.Rico")</f>
        <v>https://linktr.ee/Kamba.Rico</v>
      </c>
      <c r="AR766" s="76" t="s">
        <v>19238</v>
      </c>
      <c r="AS766" s="76"/>
      <c r="AT766" s="76"/>
      <c r="AU766" s="76"/>
      <c r="AV766" s="76"/>
      <c r="AW766" s="83" t="str">
        <f>HYPERLINK("https://t.co/qL5Sd10SE2")</f>
        <v>https://t.co/qL5Sd10SE2</v>
      </c>
      <c r="AX766" s="76" t="b">
        <v>0</v>
      </c>
      <c r="AY766" s="76"/>
      <c r="AZ766" s="76"/>
      <c r="BA766" s="76" t="b">
        <v>0</v>
      </c>
      <c r="BB766" s="76" t="b">
        <v>1</v>
      </c>
      <c r="BC766" s="76" t="b">
        <v>1</v>
      </c>
      <c r="BD766" s="76" t="b">
        <v>0</v>
      </c>
      <c r="BE766" s="76" t="b">
        <v>0</v>
      </c>
      <c r="BF766" s="76" t="b">
        <v>0</v>
      </c>
      <c r="BG766" s="76" t="b">
        <v>0</v>
      </c>
      <c r="BH766" s="83" t="str">
        <f>HYPERLINK("https://pbs.twimg.com/profile_banners/995644224497504256/1667162421")</f>
        <v>https://pbs.twimg.com/profile_banners/995644224497504256/1667162421</v>
      </c>
      <c r="BI766" s="76"/>
      <c r="BJ766" s="76" t="s">
        <v>19633</v>
      </c>
      <c r="BK766" s="76" t="b">
        <v>0</v>
      </c>
      <c r="BL766" s="76"/>
      <c r="BM766" s="76" t="s">
        <v>66</v>
      </c>
      <c r="BN766" s="76" t="s">
        <v>19635</v>
      </c>
      <c r="BO766" s="83" t="str">
        <f>HYPERLINK("https://twitter.com/kamba_rico")</f>
        <v>https://twitter.com/kamba_rico</v>
      </c>
      <c r="BP766" s="2"/>
    </row>
    <row r="767" spans="1:68" x14ac:dyDescent="0.25">
      <c r="A767" s="62" t="s">
        <v>907</v>
      </c>
      <c r="B767" s="63"/>
      <c r="C767" s="63"/>
      <c r="D767" s="64"/>
      <c r="E767" s="66"/>
      <c r="F767" s="103" t="str">
        <f>HYPERLINK("https://pbs.twimg.com/profile_images/1293535071660642306/CBnFV9NP_normal.jpg")</f>
        <v>https://pbs.twimg.com/profile_images/1293535071660642306/CBnFV9NP_normal.jpg</v>
      </c>
      <c r="G767" s="63"/>
      <c r="H767" s="67"/>
      <c r="I767" s="68"/>
      <c r="J767" s="68"/>
      <c r="K767" s="67" t="s">
        <v>20399</v>
      </c>
      <c r="L767" s="71"/>
      <c r="M767" s="72"/>
      <c r="N767" s="72"/>
      <c r="O767" s="73"/>
      <c r="P767" s="74"/>
      <c r="Q767" s="74"/>
      <c r="R767" s="87"/>
      <c r="S767" s="87"/>
      <c r="T767" s="87"/>
      <c r="U767" s="87"/>
      <c r="V767" s="48"/>
      <c r="W767" s="48"/>
      <c r="X767" s="47">
        <v>1.101E-3</v>
      </c>
      <c r="Y767" s="48"/>
      <c r="Z767" s="47"/>
      <c r="AA767" s="69">
        <v>767</v>
      </c>
      <c r="AB767" s="69"/>
      <c r="AC767" s="70"/>
      <c r="AD767" s="76" t="s">
        <v>17390</v>
      </c>
      <c r="AE767" s="81" t="s">
        <v>17792</v>
      </c>
      <c r="AF767" s="76">
        <v>690</v>
      </c>
      <c r="AG767" s="76">
        <v>64</v>
      </c>
      <c r="AH767" s="76">
        <v>4934</v>
      </c>
      <c r="AI767" s="76">
        <v>6</v>
      </c>
      <c r="AJ767" s="76">
        <v>137</v>
      </c>
      <c r="AK767" s="76">
        <v>3124</v>
      </c>
      <c r="AL767" s="76" t="b">
        <v>0</v>
      </c>
      <c r="AM767" s="78">
        <v>40280.809791666667</v>
      </c>
      <c r="AN767" s="76" t="s">
        <v>10552</v>
      </c>
      <c r="AO767" s="76" t="s">
        <v>18847</v>
      </c>
      <c r="AP767" s="83" t="str">
        <f>HYPERLINK("https://t.co/6FaVl7zeBW")</f>
        <v>https://t.co/6FaVl7zeBW</v>
      </c>
      <c r="AQ767" s="83" t="str">
        <f>HYPERLINK("http://www.coopmil.coop.br")</f>
        <v>http://www.coopmil.coop.br</v>
      </c>
      <c r="AR767" s="76" t="s">
        <v>19461</v>
      </c>
      <c r="AS767" s="76"/>
      <c r="AT767" s="76"/>
      <c r="AU767" s="76"/>
      <c r="AV767" s="76"/>
      <c r="AW767" s="83" t="str">
        <f>HYPERLINK("https://t.co/6FaVl7zeBW")</f>
        <v>https://t.co/6FaVl7zeBW</v>
      </c>
      <c r="AX767" s="76" t="b">
        <v>0</v>
      </c>
      <c r="AY767" s="76"/>
      <c r="AZ767" s="76"/>
      <c r="BA767" s="76" t="b">
        <v>0</v>
      </c>
      <c r="BB767" s="76" t="b">
        <v>1</v>
      </c>
      <c r="BC767" s="76" t="b">
        <v>0</v>
      </c>
      <c r="BD767" s="76" t="b">
        <v>0</v>
      </c>
      <c r="BE767" s="76" t="b">
        <v>0</v>
      </c>
      <c r="BF767" s="76" t="b">
        <v>0</v>
      </c>
      <c r="BG767" s="76" t="b">
        <v>0</v>
      </c>
      <c r="BH767" s="83" t="str">
        <f>HYPERLINK("https://pbs.twimg.com/profile_banners/132267586/1596328081")</f>
        <v>https://pbs.twimg.com/profile_banners/132267586/1596328081</v>
      </c>
      <c r="BI767" s="76"/>
      <c r="BJ767" s="76" t="s">
        <v>19633</v>
      </c>
      <c r="BK767" s="76" t="b">
        <v>0</v>
      </c>
      <c r="BL767" s="76"/>
      <c r="BM767" s="76" t="s">
        <v>66</v>
      </c>
      <c r="BN767" s="76" t="s">
        <v>19635</v>
      </c>
      <c r="BO767" s="83" t="str">
        <f>HYPERLINK("https://twitter.com/coopmil")</f>
        <v>https://twitter.com/coopmil</v>
      </c>
      <c r="BP767" s="2"/>
    </row>
    <row r="768" spans="1:68" x14ac:dyDescent="0.25">
      <c r="A768" s="62" t="s">
        <v>908</v>
      </c>
      <c r="B768" s="63"/>
      <c r="C768" s="63"/>
      <c r="D768" s="64"/>
      <c r="E768" s="66"/>
      <c r="F768" s="103" t="str">
        <f>HYPERLINK("https://pbs.twimg.com/profile_images/1648184055677038593/SdBs9Z2-_normal.jpg")</f>
        <v>https://pbs.twimg.com/profile_images/1648184055677038593/SdBs9Z2-_normal.jpg</v>
      </c>
      <c r="G768" s="63"/>
      <c r="H768" s="67"/>
      <c r="I768" s="68"/>
      <c r="J768" s="68"/>
      <c r="K768" s="67" t="s">
        <v>20400</v>
      </c>
      <c r="L768" s="71"/>
      <c r="M768" s="72"/>
      <c r="N768" s="72"/>
      <c r="O768" s="73"/>
      <c r="P768" s="74"/>
      <c r="Q768" s="74"/>
      <c r="R768" s="87"/>
      <c r="S768" s="87"/>
      <c r="T768" s="87"/>
      <c r="U768" s="87"/>
      <c r="V768" s="48"/>
      <c r="W768" s="48"/>
      <c r="X768" s="47">
        <v>1.101E-3</v>
      </c>
      <c r="Y768" s="48"/>
      <c r="Z768" s="47"/>
      <c r="AA768" s="69">
        <v>768</v>
      </c>
      <c r="AB768" s="69"/>
      <c r="AC768" s="70"/>
      <c r="AD768" s="76" t="s">
        <v>17391</v>
      </c>
      <c r="AE768" s="81" t="s">
        <v>16529</v>
      </c>
      <c r="AF768" s="76">
        <v>6</v>
      </c>
      <c r="AG768" s="76">
        <v>38</v>
      </c>
      <c r="AH768" s="76">
        <v>177</v>
      </c>
      <c r="AI768" s="76">
        <v>0</v>
      </c>
      <c r="AJ768" s="76">
        <v>41</v>
      </c>
      <c r="AK768" s="76">
        <v>1</v>
      </c>
      <c r="AL768" s="76" t="b">
        <v>0</v>
      </c>
      <c r="AM768" s="78">
        <v>45034.190462962964</v>
      </c>
      <c r="AN768" s="76"/>
      <c r="AO768" s="76" t="s">
        <v>18848</v>
      </c>
      <c r="AP768" s="83" t="str">
        <f>HYPERLINK("https://t.co/NJ2MO4Cu7f")</f>
        <v>https://t.co/NJ2MO4Cu7f</v>
      </c>
      <c r="AQ768" s="83" t="str">
        <f>HYPERLINK("https://www.dicasdelongevidade.com.br")</f>
        <v>https://www.dicasdelongevidade.com.br</v>
      </c>
      <c r="AR768" s="76" t="s">
        <v>19462</v>
      </c>
      <c r="AS768" s="76"/>
      <c r="AT768" s="76"/>
      <c r="AU768" s="76"/>
      <c r="AV768" s="76"/>
      <c r="AW768" s="83" t="str">
        <f>HYPERLINK("https://t.co/NJ2MO4Cu7f")</f>
        <v>https://t.co/NJ2MO4Cu7f</v>
      </c>
      <c r="AX768" s="76" t="b">
        <v>0</v>
      </c>
      <c r="AY768" s="76"/>
      <c r="AZ768" s="76"/>
      <c r="BA768" s="76" t="b">
        <v>0</v>
      </c>
      <c r="BB768" s="76" t="b">
        <v>1</v>
      </c>
      <c r="BC768" s="76" t="b">
        <v>1</v>
      </c>
      <c r="BD768" s="76" t="b">
        <v>0</v>
      </c>
      <c r="BE768" s="76" t="b">
        <v>0</v>
      </c>
      <c r="BF768" s="76" t="b">
        <v>0</v>
      </c>
      <c r="BG768" s="76" t="b">
        <v>0</v>
      </c>
      <c r="BH768" s="76"/>
      <c r="BI768" s="76"/>
      <c r="BJ768" s="76" t="s">
        <v>19633</v>
      </c>
      <c r="BK768" s="76" t="b">
        <v>0</v>
      </c>
      <c r="BL768" s="76"/>
      <c r="BM768" s="76" t="s">
        <v>66</v>
      </c>
      <c r="BN768" s="76" t="s">
        <v>19635</v>
      </c>
      <c r="BO768" s="83" t="str">
        <f>HYPERLINK("https://twitter.com/delongevidade")</f>
        <v>https://twitter.com/delongevidade</v>
      </c>
      <c r="BP768" s="2"/>
    </row>
    <row r="769" spans="1:68" x14ac:dyDescent="0.25">
      <c r="A769" s="62" t="s">
        <v>909</v>
      </c>
      <c r="B769" s="63"/>
      <c r="C769" s="63"/>
      <c r="D769" s="64"/>
      <c r="E769" s="66"/>
      <c r="F769" s="103" t="str">
        <f>HYPERLINK("https://pbs.twimg.com/profile_images/1700237415854567424/n6fjJJnc_normal.jpg")</f>
        <v>https://pbs.twimg.com/profile_images/1700237415854567424/n6fjJJnc_normal.jpg</v>
      </c>
      <c r="G769" s="63"/>
      <c r="H769" s="67"/>
      <c r="I769" s="68"/>
      <c r="J769" s="68"/>
      <c r="K769" s="67" t="s">
        <v>20401</v>
      </c>
      <c r="L769" s="71"/>
      <c r="M769" s="72"/>
      <c r="N769" s="72"/>
      <c r="O769" s="73"/>
      <c r="P769" s="74"/>
      <c r="Q769" s="74"/>
      <c r="R769" s="87"/>
      <c r="S769" s="87"/>
      <c r="T769" s="87"/>
      <c r="U769" s="87"/>
      <c r="V769" s="48"/>
      <c r="W769" s="48"/>
      <c r="X769" s="47">
        <v>1.101E-3</v>
      </c>
      <c r="Y769" s="48"/>
      <c r="Z769" s="47"/>
      <c r="AA769" s="69">
        <v>769</v>
      </c>
      <c r="AB769" s="69"/>
      <c r="AC769" s="70"/>
      <c r="AD769" s="76" t="s">
        <v>17392</v>
      </c>
      <c r="AE769" s="81" t="s">
        <v>17793</v>
      </c>
      <c r="AF769" s="76">
        <v>727</v>
      </c>
      <c r="AG769" s="76">
        <v>162</v>
      </c>
      <c r="AH769" s="76">
        <v>1685</v>
      </c>
      <c r="AI769" s="76">
        <v>0</v>
      </c>
      <c r="AJ769" s="76">
        <v>153</v>
      </c>
      <c r="AK769" s="76">
        <v>809</v>
      </c>
      <c r="AL769" s="76" t="b">
        <v>0</v>
      </c>
      <c r="AM769" s="78">
        <v>40120.774895833332</v>
      </c>
      <c r="AN769" s="76" t="s">
        <v>17903</v>
      </c>
      <c r="AO769" s="76" t="s">
        <v>18849</v>
      </c>
      <c r="AP769" s="83" t="str">
        <f>HYPERLINK("https://t.co/oyh137ENKt")</f>
        <v>https://t.co/oyh137ENKt</v>
      </c>
      <c r="AQ769" s="83" t="str">
        <f>HYPERLINK("http://www.confebras.coop.br")</f>
        <v>http://www.confebras.coop.br</v>
      </c>
      <c r="AR769" s="76" t="s">
        <v>19463</v>
      </c>
      <c r="AS769" s="76"/>
      <c r="AT769" s="76"/>
      <c r="AU769" s="76"/>
      <c r="AV769" s="76">
        <v>8.2748631084370304E+17</v>
      </c>
      <c r="AW769" s="83" t="str">
        <f>HYPERLINK("https://t.co/oyh137ENKt")</f>
        <v>https://t.co/oyh137ENKt</v>
      </c>
      <c r="AX769" s="76" t="b">
        <v>0</v>
      </c>
      <c r="AY769" s="76"/>
      <c r="AZ769" s="76"/>
      <c r="BA769" s="76" t="b">
        <v>0</v>
      </c>
      <c r="BB769" s="76" t="b">
        <v>1</v>
      </c>
      <c r="BC769" s="76" t="b">
        <v>0</v>
      </c>
      <c r="BD769" s="76" t="b">
        <v>0</v>
      </c>
      <c r="BE769" s="76" t="b">
        <v>0</v>
      </c>
      <c r="BF769" s="76" t="b">
        <v>0</v>
      </c>
      <c r="BG769" s="76" t="b">
        <v>0</v>
      </c>
      <c r="BH769" s="83" t="str">
        <f>HYPERLINK("https://pbs.twimg.com/profile_banners/87252373/1694203141")</f>
        <v>https://pbs.twimg.com/profile_banners/87252373/1694203141</v>
      </c>
      <c r="BI769" s="76"/>
      <c r="BJ769" s="76" t="s">
        <v>19633</v>
      </c>
      <c r="BK769" s="76" t="b">
        <v>0</v>
      </c>
      <c r="BL769" s="76"/>
      <c r="BM769" s="76" t="s">
        <v>66</v>
      </c>
      <c r="BN769" s="76" t="s">
        <v>19635</v>
      </c>
      <c r="BO769" s="83" t="str">
        <f>HYPERLINK("https://twitter.com/confebras")</f>
        <v>https://twitter.com/confebras</v>
      </c>
      <c r="BP769" s="2"/>
    </row>
    <row r="770" spans="1:68" x14ac:dyDescent="0.25">
      <c r="A770" s="62" t="s">
        <v>1120</v>
      </c>
      <c r="B770" s="63"/>
      <c r="C770" s="63"/>
      <c r="D770" s="64"/>
      <c r="E770" s="66"/>
      <c r="F770" s="103" t="str">
        <f>HYPERLINK("https://pbs.twimg.com/profile_images/1262763004078116872/QmmMDf7I_normal.jpg")</f>
        <v>https://pbs.twimg.com/profile_images/1262763004078116872/QmmMDf7I_normal.jpg</v>
      </c>
      <c r="G770" s="63"/>
      <c r="H770" s="67"/>
      <c r="I770" s="68"/>
      <c r="J770" s="68"/>
      <c r="K770" s="67" t="s">
        <v>20402</v>
      </c>
      <c r="L770" s="71"/>
      <c r="M770" s="72"/>
      <c r="N770" s="72"/>
      <c r="O770" s="73"/>
      <c r="P770" s="74"/>
      <c r="Q770" s="74"/>
      <c r="R770" s="87"/>
      <c r="S770" s="87"/>
      <c r="T770" s="87"/>
      <c r="U770" s="87"/>
      <c r="V770" s="48"/>
      <c r="W770" s="48"/>
      <c r="X770" s="47">
        <v>1.101E-3</v>
      </c>
      <c r="Y770" s="48"/>
      <c r="Z770" s="47"/>
      <c r="AA770" s="69">
        <v>770</v>
      </c>
      <c r="AB770" s="69"/>
      <c r="AC770" s="70"/>
      <c r="AD770" s="76" t="s">
        <v>17393</v>
      </c>
      <c r="AE770" s="81" t="s">
        <v>17794</v>
      </c>
      <c r="AF770" s="76">
        <v>0</v>
      </c>
      <c r="AG770" s="76">
        <v>0</v>
      </c>
      <c r="AH770" s="76">
        <v>6</v>
      </c>
      <c r="AI770" s="76">
        <v>0</v>
      </c>
      <c r="AJ770" s="76">
        <v>31</v>
      </c>
      <c r="AK770" s="76">
        <v>0</v>
      </c>
      <c r="AL770" s="76" t="b">
        <v>0</v>
      </c>
      <c r="AM770" s="78">
        <v>43970.633287037039</v>
      </c>
      <c r="AN770" s="76"/>
      <c r="AO770" s="76"/>
      <c r="AP770" s="76"/>
      <c r="AQ770" s="76"/>
      <c r="AR770" s="76"/>
      <c r="AS770" s="76"/>
      <c r="AT770" s="76"/>
      <c r="AU770" s="76"/>
      <c r="AV770" s="76"/>
      <c r="AW770" s="76"/>
      <c r="AX770" s="76" t="b">
        <v>0</v>
      </c>
      <c r="AY770" s="76"/>
      <c r="AZ770" s="76"/>
      <c r="BA770" s="76" t="b">
        <v>0</v>
      </c>
      <c r="BB770" s="76" t="b">
        <v>1</v>
      </c>
      <c r="BC770" s="76" t="b">
        <v>1</v>
      </c>
      <c r="BD770" s="76" t="b">
        <v>0</v>
      </c>
      <c r="BE770" s="76" t="b">
        <v>1</v>
      </c>
      <c r="BF770" s="76" t="b">
        <v>0</v>
      </c>
      <c r="BG770" s="76" t="b">
        <v>0</v>
      </c>
      <c r="BH770" s="76"/>
      <c r="BI770" s="76"/>
      <c r="BJ770" s="76" t="s">
        <v>19633</v>
      </c>
      <c r="BK770" s="76" t="b">
        <v>0</v>
      </c>
      <c r="BL770" s="76"/>
      <c r="BM770" s="76" t="s">
        <v>65</v>
      </c>
      <c r="BN770" s="76" t="s">
        <v>19635</v>
      </c>
      <c r="BO770" s="83" t="str">
        <f>HYPERLINK("https://twitter.com/ericometzner")</f>
        <v>https://twitter.com/ericometzner</v>
      </c>
      <c r="BP770" s="2"/>
    </row>
    <row r="771" spans="1:68" x14ac:dyDescent="0.25">
      <c r="A771" s="62" t="s">
        <v>910</v>
      </c>
      <c r="B771" s="63"/>
      <c r="C771" s="63"/>
      <c r="D771" s="64"/>
      <c r="E771" s="66"/>
      <c r="F771" s="103" t="str">
        <f>HYPERLINK("https://pbs.twimg.com/profile_images/1613320842007527425/_D_56bDh_normal.jpg")</f>
        <v>https://pbs.twimg.com/profile_images/1613320842007527425/_D_56bDh_normal.jpg</v>
      </c>
      <c r="G771" s="63"/>
      <c r="H771" s="67"/>
      <c r="I771" s="68"/>
      <c r="J771" s="68"/>
      <c r="K771" s="67" t="s">
        <v>20403</v>
      </c>
      <c r="L771" s="71"/>
      <c r="M771" s="72"/>
      <c r="N771" s="72"/>
      <c r="O771" s="73"/>
      <c r="P771" s="74"/>
      <c r="Q771" s="74"/>
      <c r="R771" s="87"/>
      <c r="S771" s="87"/>
      <c r="T771" s="87"/>
      <c r="U771" s="87"/>
      <c r="V771" s="48"/>
      <c r="W771" s="48"/>
      <c r="X771" s="47">
        <v>1.101E-3</v>
      </c>
      <c r="Y771" s="48"/>
      <c r="Z771" s="47"/>
      <c r="AA771" s="69">
        <v>771</v>
      </c>
      <c r="AB771" s="69"/>
      <c r="AC771" s="70"/>
      <c r="AD771" s="76" t="s">
        <v>17394</v>
      </c>
      <c r="AE771" s="81" t="s">
        <v>16530</v>
      </c>
      <c r="AF771" s="76">
        <v>35</v>
      </c>
      <c r="AG771" s="76">
        <v>135</v>
      </c>
      <c r="AH771" s="76">
        <v>14</v>
      </c>
      <c r="AI771" s="76">
        <v>1</v>
      </c>
      <c r="AJ771" s="76">
        <v>278</v>
      </c>
      <c r="AK771" s="76">
        <v>2</v>
      </c>
      <c r="AL771" s="76" t="b">
        <v>0</v>
      </c>
      <c r="AM771" s="78">
        <v>44540.085300925923</v>
      </c>
      <c r="AN771" s="76"/>
      <c r="AO771" s="76"/>
      <c r="AP771" s="76"/>
      <c r="AQ771" s="76"/>
      <c r="AR771" s="76"/>
      <c r="AS771" s="76"/>
      <c r="AT771" s="76"/>
      <c r="AU771" s="76"/>
      <c r="AV771" s="76"/>
      <c r="AW771" s="76"/>
      <c r="AX771" s="76" t="b">
        <v>0</v>
      </c>
      <c r="AY771" s="76"/>
      <c r="AZ771" s="76"/>
      <c r="BA771" s="76" t="b">
        <v>0</v>
      </c>
      <c r="BB771" s="76" t="b">
        <v>1</v>
      </c>
      <c r="BC771" s="76" t="b">
        <v>1</v>
      </c>
      <c r="BD771" s="76" t="b">
        <v>0</v>
      </c>
      <c r="BE771" s="76" t="b">
        <v>1</v>
      </c>
      <c r="BF771" s="76" t="b">
        <v>0</v>
      </c>
      <c r="BG771" s="76" t="b">
        <v>0</v>
      </c>
      <c r="BH771" s="76"/>
      <c r="BI771" s="76"/>
      <c r="BJ771" s="76" t="s">
        <v>19633</v>
      </c>
      <c r="BK771" s="76" t="b">
        <v>0</v>
      </c>
      <c r="BL771" s="76"/>
      <c r="BM771" s="76" t="s">
        <v>66</v>
      </c>
      <c r="BN771" s="76" t="s">
        <v>19635</v>
      </c>
      <c r="BO771" s="83" t="str">
        <f>HYPERLINK("https://twitter.com/futurarenda2")</f>
        <v>https://twitter.com/futurarenda2</v>
      </c>
      <c r="BP771" s="2"/>
    </row>
    <row r="772" spans="1:68" x14ac:dyDescent="0.25">
      <c r="A772" s="62" t="s">
        <v>911</v>
      </c>
      <c r="B772" s="63"/>
      <c r="C772" s="63"/>
      <c r="D772" s="64"/>
      <c r="E772" s="66"/>
      <c r="F772" s="103" t="str">
        <f>HYPERLINK("https://pbs.twimg.com/profile_images/1508419601436221445/_KjXslSw_normal.jpg")</f>
        <v>https://pbs.twimg.com/profile_images/1508419601436221445/_KjXslSw_normal.jpg</v>
      </c>
      <c r="G772" s="63"/>
      <c r="H772" s="67"/>
      <c r="I772" s="68"/>
      <c r="J772" s="68"/>
      <c r="K772" s="67" t="s">
        <v>20404</v>
      </c>
      <c r="L772" s="71"/>
      <c r="M772" s="72"/>
      <c r="N772" s="72"/>
      <c r="O772" s="73"/>
      <c r="P772" s="74"/>
      <c r="Q772" s="74"/>
      <c r="R772" s="87"/>
      <c r="S772" s="87"/>
      <c r="T772" s="87"/>
      <c r="U772" s="87"/>
      <c r="V772" s="48"/>
      <c r="W772" s="48"/>
      <c r="X772" s="47">
        <v>1.101E-3</v>
      </c>
      <c r="Y772" s="48"/>
      <c r="Z772" s="47"/>
      <c r="AA772" s="69">
        <v>772</v>
      </c>
      <c r="AB772" s="69"/>
      <c r="AC772" s="70"/>
      <c r="AD772" s="76" t="s">
        <v>17395</v>
      </c>
      <c r="AE772" s="81" t="s">
        <v>16531</v>
      </c>
      <c r="AF772" s="76">
        <v>2</v>
      </c>
      <c r="AG772" s="76">
        <v>0</v>
      </c>
      <c r="AH772" s="76">
        <v>136</v>
      </c>
      <c r="AI772" s="76">
        <v>0</v>
      </c>
      <c r="AJ772" s="76">
        <v>0</v>
      </c>
      <c r="AK772" s="76">
        <v>136</v>
      </c>
      <c r="AL772" s="76" t="b">
        <v>0</v>
      </c>
      <c r="AM772" s="78">
        <v>44648.514166666668</v>
      </c>
      <c r="AN772" s="76" t="s">
        <v>18104</v>
      </c>
      <c r="AO772" s="76" t="s">
        <v>18850</v>
      </c>
      <c r="AP772" s="83" t="str">
        <f>HYPERLINK("https://t.co/B5ToI7GJh7")</f>
        <v>https://t.co/B5ToI7GJh7</v>
      </c>
      <c r="AQ772" s="83" t="str">
        <f>HYPERLINK("https://cdlsaocaetano.org.br/")</f>
        <v>https://cdlsaocaetano.org.br/</v>
      </c>
      <c r="AR772" s="76" t="s">
        <v>19464</v>
      </c>
      <c r="AS772" s="76"/>
      <c r="AT772" s="76"/>
      <c r="AU772" s="76"/>
      <c r="AV772" s="76"/>
      <c r="AW772" s="83" t="str">
        <f>HYPERLINK("https://t.co/B5ToI7GJh7")</f>
        <v>https://t.co/B5ToI7GJh7</v>
      </c>
      <c r="AX772" s="76" t="b">
        <v>0</v>
      </c>
      <c r="AY772" s="76"/>
      <c r="AZ772" s="76"/>
      <c r="BA772" s="76" t="b">
        <v>0</v>
      </c>
      <c r="BB772" s="76" t="b">
        <v>1</v>
      </c>
      <c r="BC772" s="76" t="b">
        <v>1</v>
      </c>
      <c r="BD772" s="76" t="b">
        <v>0</v>
      </c>
      <c r="BE772" s="76" t="b">
        <v>0</v>
      </c>
      <c r="BF772" s="76" t="b">
        <v>0</v>
      </c>
      <c r="BG772" s="76" t="b">
        <v>0</v>
      </c>
      <c r="BH772" s="83" t="str">
        <f>HYPERLINK("https://pbs.twimg.com/profile_banners/1508418556760924173/1648470252")</f>
        <v>https://pbs.twimg.com/profile_banners/1508418556760924173/1648470252</v>
      </c>
      <c r="BI772" s="76"/>
      <c r="BJ772" s="76" t="s">
        <v>19633</v>
      </c>
      <c r="BK772" s="76" t="b">
        <v>0</v>
      </c>
      <c r="BL772" s="76"/>
      <c r="BM772" s="76" t="s">
        <v>66</v>
      </c>
      <c r="BN772" s="76" t="s">
        <v>19635</v>
      </c>
      <c r="BO772" s="83" t="str">
        <f>HYPERLINK("https://twitter.com/cdlsaocaetano")</f>
        <v>https://twitter.com/cdlsaocaetano</v>
      </c>
      <c r="BP772" s="2"/>
    </row>
    <row r="773" spans="1:68" x14ac:dyDescent="0.25">
      <c r="A773" s="62" t="s">
        <v>912</v>
      </c>
      <c r="B773" s="63"/>
      <c r="C773" s="63"/>
      <c r="D773" s="64"/>
      <c r="E773" s="66"/>
      <c r="F773" s="103" t="str">
        <f>HYPERLINK("https://pbs.twimg.com/profile_images/1524333835441295361/-F_jCWXo_normal.png")</f>
        <v>https://pbs.twimg.com/profile_images/1524333835441295361/-F_jCWXo_normal.png</v>
      </c>
      <c r="G773" s="63"/>
      <c r="H773" s="67"/>
      <c r="I773" s="68"/>
      <c r="J773" s="68"/>
      <c r="K773" s="67" t="s">
        <v>20405</v>
      </c>
      <c r="L773" s="71"/>
      <c r="M773" s="72"/>
      <c r="N773" s="72"/>
      <c r="O773" s="73"/>
      <c r="P773" s="74"/>
      <c r="Q773" s="74"/>
      <c r="R773" s="87"/>
      <c r="S773" s="87"/>
      <c r="T773" s="87"/>
      <c r="U773" s="87"/>
      <c r="V773" s="48"/>
      <c r="W773" s="48"/>
      <c r="X773" s="47">
        <v>1.101E-3</v>
      </c>
      <c r="Y773" s="48"/>
      <c r="Z773" s="47"/>
      <c r="AA773" s="69">
        <v>773</v>
      </c>
      <c r="AB773" s="69"/>
      <c r="AC773" s="70"/>
      <c r="AD773" s="76" t="s">
        <v>17396</v>
      </c>
      <c r="AE773" s="81" t="s">
        <v>16532</v>
      </c>
      <c r="AF773" s="76">
        <v>869</v>
      </c>
      <c r="AG773" s="76">
        <v>5</v>
      </c>
      <c r="AH773" s="76">
        <v>77</v>
      </c>
      <c r="AI773" s="76">
        <v>9</v>
      </c>
      <c r="AJ773" s="76">
        <v>1</v>
      </c>
      <c r="AK773" s="76">
        <v>67</v>
      </c>
      <c r="AL773" s="76" t="b">
        <v>0</v>
      </c>
      <c r="AM773" s="78">
        <v>43129.750474537039</v>
      </c>
      <c r="AN773" s="76" t="s">
        <v>17864</v>
      </c>
      <c r="AO773" s="76" t="s">
        <v>18851</v>
      </c>
      <c r="AP773" s="83" t="str">
        <f>HYPERLINK("https://t.co/x4mJBj4t2Y")</f>
        <v>https://t.co/x4mJBj4t2Y</v>
      </c>
      <c r="AQ773" s="83" t="str">
        <f>HYPERLINK("https://bit.ly/LISPA-JumpStart")</f>
        <v>https://bit.ly/LISPA-JumpStart</v>
      </c>
      <c r="AR773" s="76" t="s">
        <v>19465</v>
      </c>
      <c r="AS773" s="76"/>
      <c r="AT773" s="76"/>
      <c r="AU773" s="76"/>
      <c r="AV773" s="76"/>
      <c r="AW773" s="83" t="str">
        <f>HYPERLINK("https://t.co/x4mJBj4t2Y")</f>
        <v>https://t.co/x4mJBj4t2Y</v>
      </c>
      <c r="AX773" s="76" t="b">
        <v>0</v>
      </c>
      <c r="AY773" s="76"/>
      <c r="AZ773" s="76"/>
      <c r="BA773" s="76" t="b">
        <v>0</v>
      </c>
      <c r="BB773" s="76" t="b">
        <v>0</v>
      </c>
      <c r="BC773" s="76" t="b">
        <v>0</v>
      </c>
      <c r="BD773" s="76" t="b">
        <v>0</v>
      </c>
      <c r="BE773" s="76" t="b">
        <v>0</v>
      </c>
      <c r="BF773" s="76" t="b">
        <v>0</v>
      </c>
      <c r="BG773" s="76" t="b">
        <v>0</v>
      </c>
      <c r="BH773" s="83" t="str">
        <f>HYPERLINK("https://pbs.twimg.com/profile_banners/958037192500305920/1652873392")</f>
        <v>https://pbs.twimg.com/profile_banners/958037192500305920/1652873392</v>
      </c>
      <c r="BI773" s="76"/>
      <c r="BJ773" s="76" t="s">
        <v>19633</v>
      </c>
      <c r="BK773" s="76" t="b">
        <v>0</v>
      </c>
      <c r="BL773" s="76"/>
      <c r="BM773" s="76" t="s">
        <v>66</v>
      </c>
      <c r="BN773" s="76" t="s">
        <v>19635</v>
      </c>
      <c r="BO773" s="83" t="str">
        <f>HYPERLINK("https://twitter.com/oficialbna")</f>
        <v>https://twitter.com/oficialbna</v>
      </c>
      <c r="BP773" s="2"/>
    </row>
    <row r="774" spans="1:68" x14ac:dyDescent="0.25">
      <c r="A774" s="62" t="s">
        <v>913</v>
      </c>
      <c r="B774" s="63"/>
      <c r="C774" s="63"/>
      <c r="D774" s="64"/>
      <c r="E774" s="66"/>
      <c r="F774" s="103" t="str">
        <f>HYPERLINK("https://pbs.twimg.com/profile_images/1126216443907932160/rJNczGHP_normal.png")</f>
        <v>https://pbs.twimg.com/profile_images/1126216443907932160/rJNczGHP_normal.png</v>
      </c>
      <c r="G774" s="63"/>
      <c r="H774" s="67"/>
      <c r="I774" s="68"/>
      <c r="J774" s="68"/>
      <c r="K774" s="67" t="s">
        <v>20406</v>
      </c>
      <c r="L774" s="71"/>
      <c r="M774" s="72"/>
      <c r="N774" s="72"/>
      <c r="O774" s="73"/>
      <c r="P774" s="74"/>
      <c r="Q774" s="74"/>
      <c r="R774" s="87"/>
      <c r="S774" s="87"/>
      <c r="T774" s="87"/>
      <c r="U774" s="87"/>
      <c r="V774" s="48"/>
      <c r="W774" s="48"/>
      <c r="X774" s="47">
        <v>1.101E-3</v>
      </c>
      <c r="Y774" s="48"/>
      <c r="Z774" s="47"/>
      <c r="AA774" s="69">
        <v>774</v>
      </c>
      <c r="AB774" s="69"/>
      <c r="AC774" s="70"/>
      <c r="AD774" s="76" t="s">
        <v>17397</v>
      </c>
      <c r="AE774" s="81" t="s">
        <v>17795</v>
      </c>
      <c r="AF774" s="76">
        <v>351</v>
      </c>
      <c r="AG774" s="76">
        <v>1700</v>
      </c>
      <c r="AH774" s="76">
        <v>4675</v>
      </c>
      <c r="AI774" s="76">
        <v>103</v>
      </c>
      <c r="AJ774" s="76">
        <v>10664</v>
      </c>
      <c r="AK774" s="76">
        <v>1599</v>
      </c>
      <c r="AL774" s="76" t="b">
        <v>0</v>
      </c>
      <c r="AM774" s="78">
        <v>41098.856666666667</v>
      </c>
      <c r="AN774" s="76" t="s">
        <v>18105</v>
      </c>
      <c r="AO774" s="76" t="s">
        <v>18852</v>
      </c>
      <c r="AP774" s="83" t="str">
        <f>HYPERLINK("https://t.co/dQFoo1uNRW")</f>
        <v>https://t.co/dQFoo1uNRW</v>
      </c>
      <c r="AQ774" s="83" t="str">
        <f>HYPERLINK("https://bit.ly/3t4Lvxy")</f>
        <v>https://bit.ly/3t4Lvxy</v>
      </c>
      <c r="AR774" s="76" t="s">
        <v>19466</v>
      </c>
      <c r="AS774" s="76"/>
      <c r="AT774" s="76"/>
      <c r="AU774" s="76"/>
      <c r="AV774" s="76"/>
      <c r="AW774" s="83" t="str">
        <f>HYPERLINK("https://t.co/dQFoo1uNRW")</f>
        <v>https://t.co/dQFoo1uNRW</v>
      </c>
      <c r="AX774" s="76" t="b">
        <v>0</v>
      </c>
      <c r="AY774" s="76"/>
      <c r="AZ774" s="76"/>
      <c r="BA774" s="76" t="b">
        <v>0</v>
      </c>
      <c r="BB774" s="76" t="b">
        <v>1</v>
      </c>
      <c r="BC774" s="76" t="b">
        <v>0</v>
      </c>
      <c r="BD774" s="76" t="b">
        <v>0</v>
      </c>
      <c r="BE774" s="76" t="b">
        <v>0</v>
      </c>
      <c r="BF774" s="76" t="b">
        <v>0</v>
      </c>
      <c r="BG774" s="76" t="b">
        <v>0</v>
      </c>
      <c r="BH774" s="83" t="str">
        <f>HYPERLINK("https://pbs.twimg.com/profile_banners/630500666/1611790950")</f>
        <v>https://pbs.twimg.com/profile_banners/630500666/1611790950</v>
      </c>
      <c r="BI774" s="76"/>
      <c r="BJ774" s="76" t="s">
        <v>19633</v>
      </c>
      <c r="BK774" s="76" t="b">
        <v>0</v>
      </c>
      <c r="BL774" s="76"/>
      <c r="BM774" s="76" t="s">
        <v>66</v>
      </c>
      <c r="BN774" s="76" t="s">
        <v>19635</v>
      </c>
      <c r="BO774" s="83" t="str">
        <f>HYPERLINK("https://twitter.com/synerhgon")</f>
        <v>https://twitter.com/synerhgon</v>
      </c>
      <c r="BP774" s="2"/>
    </row>
    <row r="775" spans="1:68" x14ac:dyDescent="0.25">
      <c r="A775" s="62" t="s">
        <v>914</v>
      </c>
      <c r="B775" s="63"/>
      <c r="C775" s="63"/>
      <c r="D775" s="64"/>
      <c r="E775" s="66"/>
      <c r="F775" s="103" t="str">
        <f>HYPERLINK("https://pbs.twimg.com/profile_images/1545234339344121858/DlovjVyn_normal.jpg")</f>
        <v>https://pbs.twimg.com/profile_images/1545234339344121858/DlovjVyn_normal.jpg</v>
      </c>
      <c r="G775" s="63"/>
      <c r="H775" s="67"/>
      <c r="I775" s="68"/>
      <c r="J775" s="68"/>
      <c r="K775" s="67" t="s">
        <v>20407</v>
      </c>
      <c r="L775" s="71"/>
      <c r="M775" s="72"/>
      <c r="N775" s="72"/>
      <c r="O775" s="73"/>
      <c r="P775" s="74"/>
      <c r="Q775" s="74"/>
      <c r="R775" s="87"/>
      <c r="S775" s="87"/>
      <c r="T775" s="87"/>
      <c r="U775" s="87"/>
      <c r="V775" s="48"/>
      <c r="W775" s="48"/>
      <c r="X775" s="47">
        <v>1.101E-3</v>
      </c>
      <c r="Y775" s="48"/>
      <c r="Z775" s="47"/>
      <c r="AA775" s="69">
        <v>775</v>
      </c>
      <c r="AB775" s="69"/>
      <c r="AC775" s="70"/>
      <c r="AD775" s="76" t="s">
        <v>17398</v>
      </c>
      <c r="AE775" s="81" t="s">
        <v>17796</v>
      </c>
      <c r="AF775" s="76">
        <v>22</v>
      </c>
      <c r="AG775" s="76">
        <v>25</v>
      </c>
      <c r="AH775" s="76">
        <v>162</v>
      </c>
      <c r="AI775" s="76">
        <v>0</v>
      </c>
      <c r="AJ775" s="76">
        <v>15</v>
      </c>
      <c r="AK775" s="76">
        <v>42</v>
      </c>
      <c r="AL775" s="76" t="b">
        <v>0</v>
      </c>
      <c r="AM775" s="78">
        <v>41373.93476851852</v>
      </c>
      <c r="AN775" s="76" t="s">
        <v>10582</v>
      </c>
      <c r="AO775" s="76" t="s">
        <v>18853</v>
      </c>
      <c r="AP775" s="83" t="str">
        <f>HYPERLINK("https://t.co/fw603PYvfE")</f>
        <v>https://t.co/fw603PYvfE</v>
      </c>
      <c r="AQ775" s="83" t="str">
        <f>HYPERLINK("https://partiuinvestir.finance.blog/")</f>
        <v>https://partiuinvestir.finance.blog/</v>
      </c>
      <c r="AR775" s="76" t="s">
        <v>19467</v>
      </c>
      <c r="AS775" s="76"/>
      <c r="AT775" s="76"/>
      <c r="AU775" s="76"/>
      <c r="AV775" s="76"/>
      <c r="AW775" s="83" t="str">
        <f>HYPERLINK("https://t.co/fw603PYvfE")</f>
        <v>https://t.co/fw603PYvfE</v>
      </c>
      <c r="AX775" s="76" t="b">
        <v>0</v>
      </c>
      <c r="AY775" s="76"/>
      <c r="AZ775" s="76"/>
      <c r="BA775" s="76" t="b">
        <v>0</v>
      </c>
      <c r="BB775" s="76" t="b">
        <v>1</v>
      </c>
      <c r="BC775" s="76" t="b">
        <v>1</v>
      </c>
      <c r="BD775" s="76" t="b">
        <v>0</v>
      </c>
      <c r="BE775" s="76" t="b">
        <v>0</v>
      </c>
      <c r="BF775" s="76" t="b">
        <v>0</v>
      </c>
      <c r="BG775" s="76" t="b">
        <v>0</v>
      </c>
      <c r="BH775" s="83" t="str">
        <f>HYPERLINK("https://pbs.twimg.com/profile_banners/1340389045/1675120742")</f>
        <v>https://pbs.twimg.com/profile_banners/1340389045/1675120742</v>
      </c>
      <c r="BI775" s="76"/>
      <c r="BJ775" s="76" t="s">
        <v>19633</v>
      </c>
      <c r="BK775" s="76" t="b">
        <v>0</v>
      </c>
      <c r="BL775" s="76"/>
      <c r="BM775" s="76" t="s">
        <v>66</v>
      </c>
      <c r="BN775" s="76" t="s">
        <v>19635</v>
      </c>
      <c r="BO775" s="83" t="str">
        <f>HYPERLINK("https://twitter.com/partiuinvestir_")</f>
        <v>https://twitter.com/partiuinvestir_</v>
      </c>
      <c r="BP775" s="2"/>
    </row>
    <row r="776" spans="1:68" x14ac:dyDescent="0.25">
      <c r="A776" s="62" t="s">
        <v>915</v>
      </c>
      <c r="B776" s="63"/>
      <c r="C776" s="63"/>
      <c r="D776" s="64"/>
      <c r="E776" s="66"/>
      <c r="F776" s="103" t="str">
        <f>HYPERLINK("https://pbs.twimg.com/profile_images/1668428755675512832/92-BhARd_normal.jpg")</f>
        <v>https://pbs.twimg.com/profile_images/1668428755675512832/92-BhARd_normal.jpg</v>
      </c>
      <c r="G776" s="63"/>
      <c r="H776" s="67"/>
      <c r="I776" s="68"/>
      <c r="J776" s="68"/>
      <c r="K776" s="67" t="s">
        <v>20408</v>
      </c>
      <c r="L776" s="71"/>
      <c r="M776" s="72"/>
      <c r="N776" s="72"/>
      <c r="O776" s="73"/>
      <c r="P776" s="74"/>
      <c r="Q776" s="74"/>
      <c r="R776" s="87"/>
      <c r="S776" s="87"/>
      <c r="T776" s="87"/>
      <c r="U776" s="87"/>
      <c r="V776" s="48"/>
      <c r="W776" s="48"/>
      <c r="X776" s="47">
        <v>1.101E-3</v>
      </c>
      <c r="Y776" s="48"/>
      <c r="Z776" s="47"/>
      <c r="AA776" s="69">
        <v>776</v>
      </c>
      <c r="AB776" s="69"/>
      <c r="AC776" s="70"/>
      <c r="AD776" s="76" t="s">
        <v>17399</v>
      </c>
      <c r="AE776" s="81" t="s">
        <v>16533</v>
      </c>
      <c r="AF776" s="76">
        <v>2</v>
      </c>
      <c r="AG776" s="76">
        <v>2</v>
      </c>
      <c r="AH776" s="76">
        <v>29</v>
      </c>
      <c r="AI776" s="76">
        <v>0</v>
      </c>
      <c r="AJ776" s="76">
        <v>0</v>
      </c>
      <c r="AK776" s="76">
        <v>29</v>
      </c>
      <c r="AL776" s="76" t="b">
        <v>0</v>
      </c>
      <c r="AM776" s="78">
        <v>45090.043726851851</v>
      </c>
      <c r="AN776" s="76"/>
      <c r="AO776" s="76" t="s">
        <v>18854</v>
      </c>
      <c r="AP776" s="76"/>
      <c r="AQ776" s="76"/>
      <c r="AR776" s="76"/>
      <c r="AS776" s="76"/>
      <c r="AT776" s="76"/>
      <c r="AU776" s="76"/>
      <c r="AV776" s="76"/>
      <c r="AW776" s="76"/>
      <c r="AX776" s="76" t="b">
        <v>0</v>
      </c>
      <c r="AY776" s="76"/>
      <c r="AZ776" s="76"/>
      <c r="BA776" s="76" t="b">
        <v>0</v>
      </c>
      <c r="BB776" s="76" t="b">
        <v>1</v>
      </c>
      <c r="BC776" s="76" t="b">
        <v>1</v>
      </c>
      <c r="BD776" s="76" t="b">
        <v>0</v>
      </c>
      <c r="BE776" s="76" t="b">
        <v>0</v>
      </c>
      <c r="BF776" s="76" t="b">
        <v>0</v>
      </c>
      <c r="BG776" s="76" t="b">
        <v>0</v>
      </c>
      <c r="BH776" s="76"/>
      <c r="BI776" s="76"/>
      <c r="BJ776" s="76" t="s">
        <v>19633</v>
      </c>
      <c r="BK776" s="76" t="b">
        <v>0</v>
      </c>
      <c r="BL776" s="76"/>
      <c r="BM776" s="76" t="s">
        <v>66</v>
      </c>
      <c r="BN776" s="76" t="s">
        <v>19635</v>
      </c>
      <c r="BO776" s="83" t="str">
        <f>HYPERLINK("https://twitter.com/xymenezb")</f>
        <v>https://twitter.com/xymenezb</v>
      </c>
      <c r="BP776" s="2"/>
    </row>
    <row r="777" spans="1:68" x14ac:dyDescent="0.25">
      <c r="A777" s="62" t="s">
        <v>916</v>
      </c>
      <c r="B777" s="63"/>
      <c r="C777" s="63"/>
      <c r="D777" s="64"/>
      <c r="E777" s="66"/>
      <c r="F777" s="103" t="str">
        <f>HYPERLINK("https://pbs.twimg.com/profile_images/1556046767900266499/S6LgDlks_normal.jpg")</f>
        <v>https://pbs.twimg.com/profile_images/1556046767900266499/S6LgDlks_normal.jpg</v>
      </c>
      <c r="G777" s="63"/>
      <c r="H777" s="67"/>
      <c r="I777" s="68"/>
      <c r="J777" s="68"/>
      <c r="K777" s="67" t="s">
        <v>20409</v>
      </c>
      <c r="L777" s="71"/>
      <c r="M777" s="72"/>
      <c r="N777" s="72"/>
      <c r="O777" s="73"/>
      <c r="P777" s="74"/>
      <c r="Q777" s="74"/>
      <c r="R777" s="87"/>
      <c r="S777" s="87"/>
      <c r="T777" s="87"/>
      <c r="U777" s="87"/>
      <c r="V777" s="48"/>
      <c r="W777" s="48"/>
      <c r="X777" s="47">
        <v>1.101E-3</v>
      </c>
      <c r="Y777" s="48"/>
      <c r="Z777" s="47"/>
      <c r="AA777" s="69">
        <v>777</v>
      </c>
      <c r="AB777" s="69"/>
      <c r="AC777" s="70"/>
      <c r="AD777" s="76" t="s">
        <v>17400</v>
      </c>
      <c r="AE777" s="81" t="s">
        <v>16534</v>
      </c>
      <c r="AF777" s="76">
        <v>103</v>
      </c>
      <c r="AG777" s="76">
        <v>98</v>
      </c>
      <c r="AH777" s="76">
        <v>162</v>
      </c>
      <c r="AI777" s="76">
        <v>4</v>
      </c>
      <c r="AJ777" s="76">
        <v>20</v>
      </c>
      <c r="AK777" s="76">
        <v>73</v>
      </c>
      <c r="AL777" s="76" t="b">
        <v>0</v>
      </c>
      <c r="AM777" s="78">
        <v>44776.007210648146</v>
      </c>
      <c r="AN777" s="76"/>
      <c r="AO777" s="76" t="s">
        <v>18855</v>
      </c>
      <c r="AP777" s="76"/>
      <c r="AQ777" s="76"/>
      <c r="AR777" s="76"/>
      <c r="AS777" s="76"/>
      <c r="AT777" s="76"/>
      <c r="AU777" s="76"/>
      <c r="AV777" s="76"/>
      <c r="AW777" s="76"/>
      <c r="AX777" s="76" t="b">
        <v>0</v>
      </c>
      <c r="AY777" s="76"/>
      <c r="AZ777" s="76"/>
      <c r="BA777" s="76" t="b">
        <v>0</v>
      </c>
      <c r="BB777" s="76" t="b">
        <v>1</v>
      </c>
      <c r="BC777" s="76" t="b">
        <v>1</v>
      </c>
      <c r="BD777" s="76" t="b">
        <v>0</v>
      </c>
      <c r="BE777" s="76" t="b">
        <v>1</v>
      </c>
      <c r="BF777" s="76" t="b">
        <v>0</v>
      </c>
      <c r="BG777" s="76" t="b">
        <v>0</v>
      </c>
      <c r="BH777" s="83" t="str">
        <f>HYPERLINK("https://pbs.twimg.com/profile_banners/1554620587309416448/1659826880")</f>
        <v>https://pbs.twimg.com/profile_banners/1554620587309416448/1659826880</v>
      </c>
      <c r="BI777" s="76"/>
      <c r="BJ777" s="76" t="s">
        <v>19633</v>
      </c>
      <c r="BK777" s="76" t="b">
        <v>0</v>
      </c>
      <c r="BL777" s="76"/>
      <c r="BM777" s="76" t="s">
        <v>66</v>
      </c>
      <c r="BN777" s="76" t="s">
        <v>19635</v>
      </c>
      <c r="BO777" s="83" t="str">
        <f>HYPERLINK("https://twitter.com/info_smarty")</f>
        <v>https://twitter.com/info_smarty</v>
      </c>
      <c r="BP777" s="2"/>
    </row>
    <row r="778" spans="1:68" x14ac:dyDescent="0.25">
      <c r="A778" s="62" t="s">
        <v>917</v>
      </c>
      <c r="B778" s="63"/>
      <c r="C778" s="63"/>
      <c r="D778" s="64"/>
      <c r="E778" s="66"/>
      <c r="F778" s="103" t="str">
        <f>HYPERLINK("https://pbs.twimg.com/profile_images/80316621/Marca_radio_normal.jpg")</f>
        <v>https://pbs.twimg.com/profile_images/80316621/Marca_radio_normal.jpg</v>
      </c>
      <c r="G778" s="63"/>
      <c r="H778" s="67"/>
      <c r="I778" s="68"/>
      <c r="J778" s="68"/>
      <c r="K778" s="67" t="s">
        <v>20410</v>
      </c>
      <c r="L778" s="71"/>
      <c r="M778" s="72"/>
      <c r="N778" s="72"/>
      <c r="O778" s="73"/>
      <c r="P778" s="74"/>
      <c r="Q778" s="74"/>
      <c r="R778" s="87"/>
      <c r="S778" s="87"/>
      <c r="T778" s="87"/>
      <c r="U778" s="87"/>
      <c r="V778" s="48"/>
      <c r="W778" s="48"/>
      <c r="X778" s="47">
        <v>1.101E-3</v>
      </c>
      <c r="Y778" s="48"/>
      <c r="Z778" s="47"/>
      <c r="AA778" s="69">
        <v>778</v>
      </c>
      <c r="AB778" s="69"/>
      <c r="AC778" s="70"/>
      <c r="AD778" s="76" t="s">
        <v>17401</v>
      </c>
      <c r="AE778" s="81" t="s">
        <v>17797</v>
      </c>
      <c r="AF778" s="76">
        <v>240</v>
      </c>
      <c r="AG778" s="76">
        <v>2415</v>
      </c>
      <c r="AH778" s="76">
        <v>2795</v>
      </c>
      <c r="AI778" s="76">
        <v>10</v>
      </c>
      <c r="AJ778" s="76">
        <v>441</v>
      </c>
      <c r="AK778" s="76">
        <v>427</v>
      </c>
      <c r="AL778" s="76" t="b">
        <v>0</v>
      </c>
      <c r="AM778" s="78">
        <v>39713.577025462961</v>
      </c>
      <c r="AN778" s="76" t="s">
        <v>18106</v>
      </c>
      <c r="AO778" s="76" t="s">
        <v>18856</v>
      </c>
      <c r="AP778" s="83" t="str">
        <f>HYPERLINK("https://t.co/wQz0CLwav1")</f>
        <v>https://t.co/wQz0CLwav1</v>
      </c>
      <c r="AQ778" s="83" t="str">
        <f>HYPERLINK("http://blogdonewsgames.blogspot.it")</f>
        <v>http://blogdonewsgames.blogspot.it</v>
      </c>
      <c r="AR778" s="76" t="s">
        <v>19468</v>
      </c>
      <c r="AS778" s="76"/>
      <c r="AT778" s="76"/>
      <c r="AU778" s="76"/>
      <c r="AV778" s="76"/>
      <c r="AW778" s="83" t="str">
        <f>HYPERLINK("https://t.co/wQz0CLwav1")</f>
        <v>https://t.co/wQz0CLwav1</v>
      </c>
      <c r="AX778" s="76" t="b">
        <v>0</v>
      </c>
      <c r="AY778" s="76"/>
      <c r="AZ778" s="76"/>
      <c r="BA778" s="76" t="b">
        <v>0</v>
      </c>
      <c r="BB778" s="76" t="b">
        <v>1</v>
      </c>
      <c r="BC778" s="76" t="b">
        <v>0</v>
      </c>
      <c r="BD778" s="76" t="b">
        <v>0</v>
      </c>
      <c r="BE778" s="76" t="b">
        <v>0</v>
      </c>
      <c r="BF778" s="76" t="b">
        <v>0</v>
      </c>
      <c r="BG778" s="76" t="b">
        <v>0</v>
      </c>
      <c r="BH778" s="83" t="str">
        <f>HYPERLINK("https://pbs.twimg.com/profile_banners/16403372/1654336717")</f>
        <v>https://pbs.twimg.com/profile_banners/16403372/1654336717</v>
      </c>
      <c r="BI778" s="76"/>
      <c r="BJ778" s="76" t="s">
        <v>19633</v>
      </c>
      <c r="BK778" s="76" t="b">
        <v>0</v>
      </c>
      <c r="BL778" s="76"/>
      <c r="BM778" s="76" t="s">
        <v>66</v>
      </c>
      <c r="BN778" s="76" t="s">
        <v>19635</v>
      </c>
      <c r="BO778" s="83" t="str">
        <f>HYPERLINK("https://twitter.com/newsgames")</f>
        <v>https://twitter.com/newsgames</v>
      </c>
      <c r="BP778" s="2"/>
    </row>
    <row r="779" spans="1:68" x14ac:dyDescent="0.25">
      <c r="A779" s="62" t="s">
        <v>918</v>
      </c>
      <c r="B779" s="63"/>
      <c r="C779" s="63"/>
      <c r="D779" s="64"/>
      <c r="E779" s="66"/>
      <c r="F779" s="103" t="str">
        <f>HYPERLINK("https://pbs.twimg.com/profile_images/1085217737591402496/h2ieouZN_normal.jpg")</f>
        <v>https://pbs.twimg.com/profile_images/1085217737591402496/h2ieouZN_normal.jpg</v>
      </c>
      <c r="G779" s="63"/>
      <c r="H779" s="67"/>
      <c r="I779" s="68"/>
      <c r="J779" s="68"/>
      <c r="K779" s="67" t="s">
        <v>20411</v>
      </c>
      <c r="L779" s="71"/>
      <c r="M779" s="72"/>
      <c r="N779" s="72"/>
      <c r="O779" s="73"/>
      <c r="P779" s="74"/>
      <c r="Q779" s="74"/>
      <c r="R779" s="87"/>
      <c r="S779" s="87"/>
      <c r="T779" s="87"/>
      <c r="U779" s="87"/>
      <c r="V779" s="48"/>
      <c r="W779" s="48"/>
      <c r="X779" s="47">
        <v>1.101E-3</v>
      </c>
      <c r="Y779" s="48"/>
      <c r="Z779" s="47"/>
      <c r="AA779" s="69">
        <v>779</v>
      </c>
      <c r="AB779" s="69"/>
      <c r="AC779" s="70"/>
      <c r="AD779" s="76" t="s">
        <v>17402</v>
      </c>
      <c r="AE779" s="81" t="s">
        <v>15783</v>
      </c>
      <c r="AF779" s="76">
        <v>51866</v>
      </c>
      <c r="AG779" s="76">
        <v>174</v>
      </c>
      <c r="AH779" s="76">
        <v>19055</v>
      </c>
      <c r="AI779" s="76">
        <v>46</v>
      </c>
      <c r="AJ779" s="76">
        <v>4679</v>
      </c>
      <c r="AK779" s="76">
        <v>2123</v>
      </c>
      <c r="AL779" s="76" t="b">
        <v>0</v>
      </c>
      <c r="AM779" s="78">
        <v>40339.509074074071</v>
      </c>
      <c r="AN779" s="76" t="s">
        <v>10552</v>
      </c>
      <c r="AO779" s="76" t="s">
        <v>18857</v>
      </c>
      <c r="AP779" s="83" t="str">
        <f>HYPERLINK("https://t.co/8vQgsnUuto")</f>
        <v>https://t.co/8vQgsnUuto</v>
      </c>
      <c r="AQ779" s="83" t="str">
        <f>HYPERLINK("https://bit.ly/_sicoob")</f>
        <v>https://bit.ly/_sicoob</v>
      </c>
      <c r="AR779" s="76" t="s">
        <v>19469</v>
      </c>
      <c r="AS779" s="76"/>
      <c r="AT779" s="76"/>
      <c r="AU779" s="76"/>
      <c r="AV779" s="76">
        <v>1.69703329013666E+18</v>
      </c>
      <c r="AW779" s="83" t="str">
        <f>HYPERLINK("https://t.co/8vQgsnUuto")</f>
        <v>https://t.co/8vQgsnUuto</v>
      </c>
      <c r="AX779" s="76" t="b">
        <v>0</v>
      </c>
      <c r="AY779" s="76"/>
      <c r="AZ779" s="76"/>
      <c r="BA779" s="76" t="b">
        <v>1</v>
      </c>
      <c r="BB779" s="76" t="b">
        <v>1</v>
      </c>
      <c r="BC779" s="76" t="b">
        <v>0</v>
      </c>
      <c r="BD779" s="76" t="b">
        <v>0</v>
      </c>
      <c r="BE779" s="76" t="b">
        <v>0</v>
      </c>
      <c r="BF779" s="76" t="b">
        <v>0</v>
      </c>
      <c r="BG779" s="76" t="b">
        <v>0</v>
      </c>
      <c r="BH779" s="83" t="str">
        <f>HYPERLINK("https://pbs.twimg.com/profile_banners/154117181/1693513400")</f>
        <v>https://pbs.twimg.com/profile_banners/154117181/1693513400</v>
      </c>
      <c r="BI779" s="76"/>
      <c r="BJ779" s="76" t="s">
        <v>19633</v>
      </c>
      <c r="BK779" s="76" t="b">
        <v>0</v>
      </c>
      <c r="BL779" s="76"/>
      <c r="BM779" s="76" t="s">
        <v>66</v>
      </c>
      <c r="BN779" s="76" t="s">
        <v>19635</v>
      </c>
      <c r="BO779" s="83" t="str">
        <f>HYPERLINK("https://twitter.com/sicoob")</f>
        <v>https://twitter.com/sicoob</v>
      </c>
      <c r="BP779" s="2"/>
    </row>
    <row r="780" spans="1:68" x14ac:dyDescent="0.25">
      <c r="A780" s="62" t="s">
        <v>919</v>
      </c>
      <c r="B780" s="63"/>
      <c r="C780" s="63"/>
      <c r="D780" s="64"/>
      <c r="E780" s="66"/>
      <c r="F780" s="103" t="str">
        <f>HYPERLINK("https://pbs.twimg.com/profile_images/1658616631122186243/ytPOxRv2_normal.jpg")</f>
        <v>https://pbs.twimg.com/profile_images/1658616631122186243/ytPOxRv2_normal.jpg</v>
      </c>
      <c r="G780" s="63"/>
      <c r="H780" s="67"/>
      <c r="I780" s="68"/>
      <c r="J780" s="68"/>
      <c r="K780" s="67" t="s">
        <v>20412</v>
      </c>
      <c r="L780" s="71"/>
      <c r="M780" s="72"/>
      <c r="N780" s="72"/>
      <c r="O780" s="73"/>
      <c r="P780" s="74"/>
      <c r="Q780" s="74"/>
      <c r="R780" s="87"/>
      <c r="S780" s="87"/>
      <c r="T780" s="87"/>
      <c r="U780" s="87"/>
      <c r="V780" s="48"/>
      <c r="W780" s="48"/>
      <c r="X780" s="47">
        <v>1.101E-3</v>
      </c>
      <c r="Y780" s="48"/>
      <c r="Z780" s="47"/>
      <c r="AA780" s="69">
        <v>780</v>
      </c>
      <c r="AB780" s="69"/>
      <c r="AC780" s="70"/>
      <c r="AD780" s="76" t="s">
        <v>17403</v>
      </c>
      <c r="AE780" s="81" t="s">
        <v>16535</v>
      </c>
      <c r="AF780" s="76">
        <v>12</v>
      </c>
      <c r="AG780" s="76">
        <v>72</v>
      </c>
      <c r="AH780" s="76">
        <v>664</v>
      </c>
      <c r="AI780" s="76">
        <v>0</v>
      </c>
      <c r="AJ780" s="76">
        <v>282</v>
      </c>
      <c r="AK780" s="76">
        <v>432</v>
      </c>
      <c r="AL780" s="76" t="b">
        <v>0</v>
      </c>
      <c r="AM780" s="78">
        <v>44760.612430555557</v>
      </c>
      <c r="AN780" s="76"/>
      <c r="AO780" s="76" t="s">
        <v>18858</v>
      </c>
      <c r="AP780" s="83" t="str">
        <f>HYPERLINK("https://t.co/QI4OGD0Twb")</f>
        <v>https://t.co/QI4OGD0Twb</v>
      </c>
      <c r="AQ780" s="83" t="str">
        <f>HYPERLINK("https://www.youtube.com/channel/UC2qyKLh0Lu59gpJj2_2xRIw")</f>
        <v>https://www.youtube.com/channel/UC2qyKLh0Lu59gpJj2_2xRIw</v>
      </c>
      <c r="AR780" s="76" t="s">
        <v>19470</v>
      </c>
      <c r="AS780" s="76"/>
      <c r="AT780" s="76"/>
      <c r="AU780" s="76"/>
      <c r="AV780" s="76">
        <v>1.6139047656409999E+18</v>
      </c>
      <c r="AW780" s="83" t="str">
        <f>HYPERLINK("https://t.co/QI4OGD0Twb")</f>
        <v>https://t.co/QI4OGD0Twb</v>
      </c>
      <c r="AX780" s="76" t="b">
        <v>0</v>
      </c>
      <c r="AY780" s="76"/>
      <c r="AZ780" s="76"/>
      <c r="BA780" s="76" t="b">
        <v>0</v>
      </c>
      <c r="BB780" s="76" t="b">
        <v>1</v>
      </c>
      <c r="BC780" s="76" t="b">
        <v>1</v>
      </c>
      <c r="BD780" s="76" t="b">
        <v>0</v>
      </c>
      <c r="BE780" s="76" t="b">
        <v>0</v>
      </c>
      <c r="BF780" s="76" t="b">
        <v>0</v>
      </c>
      <c r="BG780" s="76" t="b">
        <v>0</v>
      </c>
      <c r="BH780" s="76"/>
      <c r="BI780" s="76"/>
      <c r="BJ780" s="76" t="s">
        <v>19633</v>
      </c>
      <c r="BK780" s="76" t="b">
        <v>0</v>
      </c>
      <c r="BL780" s="76"/>
      <c r="BM780" s="76" t="s">
        <v>66</v>
      </c>
      <c r="BN780" s="76" t="s">
        <v>19635</v>
      </c>
      <c r="BO780" s="83" t="str">
        <f>HYPERLINK("https://twitter.com/investspace3")</f>
        <v>https://twitter.com/investspace3</v>
      </c>
      <c r="BP780" s="2"/>
    </row>
    <row r="781" spans="1:68" x14ac:dyDescent="0.25">
      <c r="A781" s="62" t="s">
        <v>920</v>
      </c>
      <c r="B781" s="63"/>
      <c r="C781" s="63"/>
      <c r="D781" s="64"/>
      <c r="E781" s="66"/>
      <c r="F781" s="103" t="str">
        <f>HYPERLINK("https://pbs.twimg.com/profile_images/1634163850965659651/LAOxMFcJ_normal.jpg")</f>
        <v>https://pbs.twimg.com/profile_images/1634163850965659651/LAOxMFcJ_normal.jpg</v>
      </c>
      <c r="G781" s="63"/>
      <c r="H781" s="67"/>
      <c r="I781" s="68"/>
      <c r="J781" s="68"/>
      <c r="K781" s="67" t="s">
        <v>20413</v>
      </c>
      <c r="L781" s="71"/>
      <c r="M781" s="72"/>
      <c r="N781" s="72"/>
      <c r="O781" s="73"/>
      <c r="P781" s="74"/>
      <c r="Q781" s="74"/>
      <c r="R781" s="87"/>
      <c r="S781" s="87"/>
      <c r="T781" s="87"/>
      <c r="U781" s="87"/>
      <c r="V781" s="48"/>
      <c r="W781" s="48"/>
      <c r="X781" s="47">
        <v>1.101E-3</v>
      </c>
      <c r="Y781" s="48"/>
      <c r="Z781" s="47"/>
      <c r="AA781" s="69">
        <v>781</v>
      </c>
      <c r="AB781" s="69"/>
      <c r="AC781" s="70"/>
      <c r="AD781" s="76" t="s">
        <v>17404</v>
      </c>
      <c r="AE781" s="81" t="s">
        <v>17798</v>
      </c>
      <c r="AF781" s="76">
        <v>252</v>
      </c>
      <c r="AG781" s="76">
        <v>1325</v>
      </c>
      <c r="AH781" s="76">
        <v>15060</v>
      </c>
      <c r="AI781" s="76">
        <v>3</v>
      </c>
      <c r="AJ781" s="76">
        <v>17540</v>
      </c>
      <c r="AK781" s="76">
        <v>91</v>
      </c>
      <c r="AL781" s="76" t="b">
        <v>0</v>
      </c>
      <c r="AM781" s="78">
        <v>40332.090324074074</v>
      </c>
      <c r="AN781" s="76" t="s">
        <v>18107</v>
      </c>
      <c r="AO781" s="76" t="s">
        <v>18859</v>
      </c>
      <c r="AP781" s="76"/>
      <c r="AQ781" s="76"/>
      <c r="AR781" s="76"/>
      <c r="AS781" s="76"/>
      <c r="AT781" s="76"/>
      <c r="AU781" s="76"/>
      <c r="AV781" s="76">
        <v>1.13864071991942E+18</v>
      </c>
      <c r="AW781" s="76"/>
      <c r="AX781" s="76" t="b">
        <v>0</v>
      </c>
      <c r="AY781" s="76"/>
      <c r="AZ781" s="76"/>
      <c r="BA781" s="76" t="b">
        <v>0</v>
      </c>
      <c r="BB781" s="76" t="b">
        <v>0</v>
      </c>
      <c r="BC781" s="76" t="b">
        <v>0</v>
      </c>
      <c r="BD781" s="76" t="b">
        <v>0</v>
      </c>
      <c r="BE781" s="76" t="b">
        <v>1</v>
      </c>
      <c r="BF781" s="76" t="b">
        <v>0</v>
      </c>
      <c r="BG781" s="76" t="b">
        <v>1</v>
      </c>
      <c r="BH781" s="83" t="str">
        <f>HYPERLINK("https://pbs.twimg.com/profile_banners/151288771/1560871572")</f>
        <v>https://pbs.twimg.com/profile_banners/151288771/1560871572</v>
      </c>
      <c r="BI781" s="76"/>
      <c r="BJ781" s="76" t="s">
        <v>19634</v>
      </c>
      <c r="BK781" s="76" t="b">
        <v>0</v>
      </c>
      <c r="BL781" s="76"/>
      <c r="BM781" s="76" t="s">
        <v>66</v>
      </c>
      <c r="BN781" s="76" t="s">
        <v>19635</v>
      </c>
      <c r="BO781" s="83" t="str">
        <f>HYPERLINK("https://twitter.com/pablodesanctis")</f>
        <v>https://twitter.com/pablodesanctis</v>
      </c>
      <c r="BP781" s="2"/>
    </row>
    <row r="782" spans="1:68" x14ac:dyDescent="0.25">
      <c r="A782" s="62" t="s">
        <v>921</v>
      </c>
      <c r="B782" s="63"/>
      <c r="C782" s="63"/>
      <c r="D782" s="64"/>
      <c r="E782" s="66"/>
      <c r="F782" s="103" t="str">
        <f>HYPERLINK("https://pbs.twimg.com/profile_images/1695968794198282240/Tr2tPUjn_normal.jpg")</f>
        <v>https://pbs.twimg.com/profile_images/1695968794198282240/Tr2tPUjn_normal.jpg</v>
      </c>
      <c r="G782" s="63"/>
      <c r="H782" s="67"/>
      <c r="I782" s="68"/>
      <c r="J782" s="68"/>
      <c r="K782" s="67" t="s">
        <v>20414</v>
      </c>
      <c r="L782" s="71"/>
      <c r="M782" s="72"/>
      <c r="N782" s="72"/>
      <c r="O782" s="73"/>
      <c r="P782" s="74"/>
      <c r="Q782" s="74"/>
      <c r="R782" s="87"/>
      <c r="S782" s="87"/>
      <c r="T782" s="87"/>
      <c r="U782" s="87"/>
      <c r="V782" s="48"/>
      <c r="W782" s="48"/>
      <c r="X782" s="47">
        <v>1.101E-3</v>
      </c>
      <c r="Y782" s="48"/>
      <c r="Z782" s="47"/>
      <c r="AA782" s="69">
        <v>782</v>
      </c>
      <c r="AB782" s="69"/>
      <c r="AC782" s="70"/>
      <c r="AD782" s="76" t="s">
        <v>17405</v>
      </c>
      <c r="AE782" s="81" t="s">
        <v>15784</v>
      </c>
      <c r="AF782" s="76">
        <v>127</v>
      </c>
      <c r="AG782" s="76">
        <v>512</v>
      </c>
      <c r="AH782" s="76">
        <v>535</v>
      </c>
      <c r="AI782" s="76">
        <v>4</v>
      </c>
      <c r="AJ782" s="76">
        <v>5965</v>
      </c>
      <c r="AK782" s="76">
        <v>26</v>
      </c>
      <c r="AL782" s="76" t="b">
        <v>0</v>
      </c>
      <c r="AM782" s="78">
        <v>43862.021134259259</v>
      </c>
      <c r="AN782" s="76" t="s">
        <v>18108</v>
      </c>
      <c r="AO782" s="76" t="s">
        <v>18860</v>
      </c>
      <c r="AP782" s="76"/>
      <c r="AQ782" s="76"/>
      <c r="AR782" s="76"/>
      <c r="AS782" s="76"/>
      <c r="AT782" s="76"/>
      <c r="AU782" s="76"/>
      <c r="AV782" s="76">
        <v>1.68166729915615E+18</v>
      </c>
      <c r="AW782" s="76"/>
      <c r="AX782" s="76" t="b">
        <v>0</v>
      </c>
      <c r="AY782" s="76"/>
      <c r="AZ782" s="76"/>
      <c r="BA782" s="76" t="b">
        <v>0</v>
      </c>
      <c r="BB782" s="76" t="b">
        <v>1</v>
      </c>
      <c r="BC782" s="76" t="b">
        <v>1</v>
      </c>
      <c r="BD782" s="76" t="b">
        <v>0</v>
      </c>
      <c r="BE782" s="76" t="b">
        <v>1</v>
      </c>
      <c r="BF782" s="76" t="b">
        <v>0</v>
      </c>
      <c r="BG782" s="76" t="b">
        <v>1</v>
      </c>
      <c r="BH782" s="83" t="str">
        <f>HYPERLINK("https://pbs.twimg.com/profile_banners/1223403154940841990/1683481022")</f>
        <v>https://pbs.twimg.com/profile_banners/1223403154940841990/1683481022</v>
      </c>
      <c r="BI782" s="76"/>
      <c r="BJ782" s="76" t="s">
        <v>19633</v>
      </c>
      <c r="BK782" s="76" t="b">
        <v>0</v>
      </c>
      <c r="BL782" s="76"/>
      <c r="BM782" s="76" t="s">
        <v>66</v>
      </c>
      <c r="BN782" s="76" t="s">
        <v>19635</v>
      </c>
      <c r="BO782" s="83" t="str">
        <f>HYPERLINK("https://twitter.com/dompotiguaroct")</f>
        <v>https://twitter.com/dompotiguaroct</v>
      </c>
      <c r="BP782" s="2"/>
    </row>
    <row r="783" spans="1:68" x14ac:dyDescent="0.25">
      <c r="A783" s="62" t="s">
        <v>923</v>
      </c>
      <c r="B783" s="63"/>
      <c r="C783" s="63"/>
      <c r="D783" s="64"/>
      <c r="E783" s="66"/>
      <c r="F783" s="103" t="str">
        <f>HYPERLINK("https://pbs.twimg.com/profile_images/1503890146986541066/0aL4a0xD_normal.jpg")</f>
        <v>https://pbs.twimg.com/profile_images/1503890146986541066/0aL4a0xD_normal.jpg</v>
      </c>
      <c r="G783" s="63"/>
      <c r="H783" s="67"/>
      <c r="I783" s="68"/>
      <c r="J783" s="68"/>
      <c r="K783" s="67" t="s">
        <v>20415</v>
      </c>
      <c r="L783" s="71"/>
      <c r="M783" s="72"/>
      <c r="N783" s="72"/>
      <c r="O783" s="73"/>
      <c r="P783" s="74"/>
      <c r="Q783" s="74"/>
      <c r="R783" s="87"/>
      <c r="S783" s="87"/>
      <c r="T783" s="87"/>
      <c r="U783" s="87"/>
      <c r="V783" s="48"/>
      <c r="W783" s="48"/>
      <c r="X783" s="47">
        <v>1.101E-3</v>
      </c>
      <c r="Y783" s="48"/>
      <c r="Z783" s="47"/>
      <c r="AA783" s="69">
        <v>783</v>
      </c>
      <c r="AB783" s="69"/>
      <c r="AC783" s="70"/>
      <c r="AD783" s="76" t="s">
        <v>17406</v>
      </c>
      <c r="AE783" s="81" t="s">
        <v>15786</v>
      </c>
      <c r="AF783" s="76">
        <v>98</v>
      </c>
      <c r="AG783" s="76">
        <v>183</v>
      </c>
      <c r="AH783" s="76">
        <v>957</v>
      </c>
      <c r="AI783" s="76">
        <v>3</v>
      </c>
      <c r="AJ783" s="76">
        <v>899</v>
      </c>
      <c r="AK783" s="76">
        <v>29</v>
      </c>
      <c r="AL783" s="76" t="b">
        <v>0</v>
      </c>
      <c r="AM783" s="78">
        <v>40795.455277777779</v>
      </c>
      <c r="AN783" s="76" t="s">
        <v>18109</v>
      </c>
      <c r="AO783" s="76" t="s">
        <v>18861</v>
      </c>
      <c r="AP783" s="83" t="str">
        <f>HYPERLINK("https://t.co/1pbE0aNU1D")</f>
        <v>https://t.co/1pbE0aNU1D</v>
      </c>
      <c r="AQ783" s="83" t="str">
        <f>HYPERLINK("http://www.napoleao.adv.br")</f>
        <v>http://www.napoleao.adv.br</v>
      </c>
      <c r="AR783" s="76" t="s">
        <v>19471</v>
      </c>
      <c r="AS783" s="76"/>
      <c r="AT783" s="76"/>
      <c r="AU783" s="76"/>
      <c r="AV783" s="76"/>
      <c r="AW783" s="83" t="str">
        <f>HYPERLINK("https://t.co/1pbE0aNU1D")</f>
        <v>https://t.co/1pbE0aNU1D</v>
      </c>
      <c r="AX783" s="76" t="b">
        <v>0</v>
      </c>
      <c r="AY783" s="76"/>
      <c r="AZ783" s="76"/>
      <c r="BA783" s="76" t="b">
        <v>0</v>
      </c>
      <c r="BB783" s="76" t="b">
        <v>1</v>
      </c>
      <c r="BC783" s="76" t="b">
        <v>0</v>
      </c>
      <c r="BD783" s="76" t="b">
        <v>0</v>
      </c>
      <c r="BE783" s="76" t="b">
        <v>0</v>
      </c>
      <c r="BF783" s="76" t="b">
        <v>0</v>
      </c>
      <c r="BG783" s="76" t="b">
        <v>0</v>
      </c>
      <c r="BH783" s="83" t="str">
        <f>HYPERLINK("https://pbs.twimg.com/profile_banners/370629670/1555967411")</f>
        <v>https://pbs.twimg.com/profile_banners/370629670/1555967411</v>
      </c>
      <c r="BI783" s="76"/>
      <c r="BJ783" s="76" t="s">
        <v>19633</v>
      </c>
      <c r="BK783" s="76" t="b">
        <v>0</v>
      </c>
      <c r="BL783" s="76"/>
      <c r="BM783" s="76" t="s">
        <v>66</v>
      </c>
      <c r="BN783" s="76" t="s">
        <v>19635</v>
      </c>
      <c r="BO783" s="83" t="str">
        <f>HYPERLINK("https://twitter.com/napoleaoadv")</f>
        <v>https://twitter.com/napoleaoadv</v>
      </c>
      <c r="BP783" s="2"/>
    </row>
    <row r="784" spans="1:68" x14ac:dyDescent="0.25">
      <c r="A784" s="62" t="s">
        <v>924</v>
      </c>
      <c r="B784" s="63"/>
      <c r="C784" s="63"/>
      <c r="D784" s="64"/>
      <c r="E784" s="66"/>
      <c r="F784" s="103" t="str">
        <f>HYPERLINK("https://pbs.twimg.com/profile_images/1581719229493018629/DuBci318_normal.jpg")</f>
        <v>https://pbs.twimg.com/profile_images/1581719229493018629/DuBci318_normal.jpg</v>
      </c>
      <c r="G784" s="63"/>
      <c r="H784" s="67"/>
      <c r="I784" s="68"/>
      <c r="J784" s="68"/>
      <c r="K784" s="67" t="s">
        <v>20416</v>
      </c>
      <c r="L784" s="71"/>
      <c r="M784" s="72"/>
      <c r="N784" s="72"/>
      <c r="O784" s="73"/>
      <c r="P784" s="74"/>
      <c r="Q784" s="74"/>
      <c r="R784" s="87"/>
      <c r="S784" s="87"/>
      <c r="T784" s="87"/>
      <c r="U784" s="87"/>
      <c r="V784" s="48"/>
      <c r="W784" s="48"/>
      <c r="X784" s="47">
        <v>1.101E-3</v>
      </c>
      <c r="Y784" s="48"/>
      <c r="Z784" s="47"/>
      <c r="AA784" s="69">
        <v>784</v>
      </c>
      <c r="AB784" s="69"/>
      <c r="AC784" s="70"/>
      <c r="AD784" s="76" t="s">
        <v>17407</v>
      </c>
      <c r="AE784" s="81" t="s">
        <v>16536</v>
      </c>
      <c r="AF784" s="76">
        <v>2</v>
      </c>
      <c r="AG784" s="76">
        <v>17</v>
      </c>
      <c r="AH784" s="76">
        <v>15</v>
      </c>
      <c r="AI784" s="76">
        <v>1</v>
      </c>
      <c r="AJ784" s="76">
        <v>3</v>
      </c>
      <c r="AK784" s="76">
        <v>3</v>
      </c>
      <c r="AL784" s="76" t="b">
        <v>0</v>
      </c>
      <c r="AM784" s="78">
        <v>44698.029247685183</v>
      </c>
      <c r="AN784" s="76" t="s">
        <v>18110</v>
      </c>
      <c r="AO784" s="76" t="s">
        <v>18862</v>
      </c>
      <c r="AP784" s="76"/>
      <c r="AQ784" s="76"/>
      <c r="AR784" s="76"/>
      <c r="AS784" s="76"/>
      <c r="AT784" s="76"/>
      <c r="AU784" s="76"/>
      <c r="AV784" s="76"/>
      <c r="AW784" s="76"/>
      <c r="AX784" s="76" t="b">
        <v>0</v>
      </c>
      <c r="AY784" s="76"/>
      <c r="AZ784" s="76"/>
      <c r="BA784" s="76" t="b">
        <v>1</v>
      </c>
      <c r="BB784" s="76" t="b">
        <v>1</v>
      </c>
      <c r="BC784" s="76" t="b">
        <v>1</v>
      </c>
      <c r="BD784" s="76" t="b">
        <v>0</v>
      </c>
      <c r="BE784" s="76" t="b">
        <v>0</v>
      </c>
      <c r="BF784" s="76" t="b">
        <v>0</v>
      </c>
      <c r="BG784" s="76" t="b">
        <v>0</v>
      </c>
      <c r="BH784" s="83" t="str">
        <f>HYPERLINK("https://pbs.twimg.com/profile_banners/1526362328773566469/1665946226")</f>
        <v>https://pbs.twimg.com/profile_banners/1526362328773566469/1665946226</v>
      </c>
      <c r="BI784" s="76"/>
      <c r="BJ784" s="76" t="s">
        <v>19633</v>
      </c>
      <c r="BK784" s="76" t="b">
        <v>0</v>
      </c>
      <c r="BL784" s="76"/>
      <c r="BM784" s="76" t="s">
        <v>66</v>
      </c>
      <c r="BN784" s="76" t="s">
        <v>19635</v>
      </c>
      <c r="BO784" s="83" t="str">
        <f>HYPERLINK("https://twitter.com/robertojb22")</f>
        <v>https://twitter.com/robertojb22</v>
      </c>
      <c r="BP784" s="2"/>
    </row>
    <row r="785" spans="1:68" x14ac:dyDescent="0.25">
      <c r="A785" s="62" t="s">
        <v>925</v>
      </c>
      <c r="B785" s="63"/>
      <c r="C785" s="63"/>
      <c r="D785" s="64"/>
      <c r="E785" s="66"/>
      <c r="F785" s="103" t="str">
        <f>HYPERLINK("https://pbs.twimg.com/profile_images/1157457344336465920/rNRUUP4S_normal.jpg")</f>
        <v>https://pbs.twimg.com/profile_images/1157457344336465920/rNRUUP4S_normal.jpg</v>
      </c>
      <c r="G785" s="63"/>
      <c r="H785" s="67"/>
      <c r="I785" s="68"/>
      <c r="J785" s="68"/>
      <c r="K785" s="67" t="s">
        <v>20417</v>
      </c>
      <c r="L785" s="71"/>
      <c r="M785" s="72"/>
      <c r="N785" s="72"/>
      <c r="O785" s="73"/>
      <c r="P785" s="74"/>
      <c r="Q785" s="74"/>
      <c r="R785" s="87"/>
      <c r="S785" s="87"/>
      <c r="T785" s="87"/>
      <c r="U785" s="87"/>
      <c r="V785" s="48"/>
      <c r="W785" s="48"/>
      <c r="X785" s="47">
        <v>1.0189999999999999E-3</v>
      </c>
      <c r="Y785" s="48"/>
      <c r="Z785" s="47"/>
      <c r="AA785" s="69">
        <v>785</v>
      </c>
      <c r="AB785" s="69"/>
      <c r="AC785" s="70"/>
      <c r="AD785" s="76" t="s">
        <v>17408</v>
      </c>
      <c r="AE785" s="81" t="s">
        <v>17799</v>
      </c>
      <c r="AF785" s="76">
        <v>114</v>
      </c>
      <c r="AG785" s="76">
        <v>356</v>
      </c>
      <c r="AH785" s="76">
        <v>667</v>
      </c>
      <c r="AI785" s="76">
        <v>2</v>
      </c>
      <c r="AJ785" s="76">
        <v>8675</v>
      </c>
      <c r="AK785" s="76">
        <v>62</v>
      </c>
      <c r="AL785" s="76" t="b">
        <v>0</v>
      </c>
      <c r="AM785" s="78">
        <v>40492.387997685182</v>
      </c>
      <c r="AN785" s="76" t="s">
        <v>10561</v>
      </c>
      <c r="AO785" s="76" t="s">
        <v>18863</v>
      </c>
      <c r="AP785" s="76"/>
      <c r="AQ785" s="76"/>
      <c r="AR785" s="76"/>
      <c r="AS785" s="76"/>
      <c r="AT785" s="76"/>
      <c r="AU785" s="76"/>
      <c r="AV785" s="76">
        <v>1.3444639258663501E+18</v>
      </c>
      <c r="AW785" s="76"/>
      <c r="AX785" s="76" t="b">
        <v>0</v>
      </c>
      <c r="AY785" s="76"/>
      <c r="AZ785" s="76"/>
      <c r="BA785" s="76" t="b">
        <v>0</v>
      </c>
      <c r="BB785" s="76" t="b">
        <v>1</v>
      </c>
      <c r="BC785" s="76" t="b">
        <v>1</v>
      </c>
      <c r="BD785" s="76" t="b">
        <v>0</v>
      </c>
      <c r="BE785" s="76" t="b">
        <v>1</v>
      </c>
      <c r="BF785" s="76" t="b">
        <v>0</v>
      </c>
      <c r="BG785" s="76" t="b">
        <v>0</v>
      </c>
      <c r="BH785" s="83" t="str">
        <f>HYPERLINK("https://pbs.twimg.com/profile_banners/213998056/1560509852")</f>
        <v>https://pbs.twimg.com/profile_banners/213998056/1560509852</v>
      </c>
      <c r="BI785" s="76"/>
      <c r="BJ785" s="76" t="s">
        <v>19633</v>
      </c>
      <c r="BK785" s="76" t="b">
        <v>0</v>
      </c>
      <c r="BL785" s="76"/>
      <c r="BM785" s="76" t="s">
        <v>66</v>
      </c>
      <c r="BN785" s="76" t="s">
        <v>19635</v>
      </c>
      <c r="BO785" s="83" t="str">
        <f>HYPERLINK("https://twitter.com/adrianadelucca")</f>
        <v>https://twitter.com/adrianadelucca</v>
      </c>
      <c r="BP785" s="2"/>
    </row>
    <row r="786" spans="1:68" x14ac:dyDescent="0.25">
      <c r="A786" s="62" t="s">
        <v>926</v>
      </c>
      <c r="B786" s="63"/>
      <c r="C786" s="63"/>
      <c r="D786" s="64"/>
      <c r="E786" s="66"/>
      <c r="F786" s="103" t="str">
        <f>HYPERLINK("https://pbs.twimg.com/profile_images/895329953750896640/m2LyIdRg_normal.jpg")</f>
        <v>https://pbs.twimg.com/profile_images/895329953750896640/m2LyIdRg_normal.jpg</v>
      </c>
      <c r="G786" s="63"/>
      <c r="H786" s="67"/>
      <c r="I786" s="68"/>
      <c r="J786" s="68"/>
      <c r="K786" s="67" t="s">
        <v>20418</v>
      </c>
      <c r="L786" s="71"/>
      <c r="M786" s="72"/>
      <c r="N786" s="72"/>
      <c r="O786" s="73"/>
      <c r="P786" s="74"/>
      <c r="Q786" s="74"/>
      <c r="R786" s="87"/>
      <c r="S786" s="87"/>
      <c r="T786" s="87"/>
      <c r="U786" s="87"/>
      <c r="V786" s="48"/>
      <c r="W786" s="48"/>
      <c r="X786" s="47">
        <v>1.101E-3</v>
      </c>
      <c r="Y786" s="48"/>
      <c r="Z786" s="47"/>
      <c r="AA786" s="69">
        <v>786</v>
      </c>
      <c r="AB786" s="69"/>
      <c r="AC786" s="70"/>
      <c r="AD786" s="76" t="s">
        <v>17409</v>
      </c>
      <c r="AE786" s="81" t="s">
        <v>16537</v>
      </c>
      <c r="AF786" s="76">
        <v>1653</v>
      </c>
      <c r="AG786" s="76">
        <v>4551</v>
      </c>
      <c r="AH786" s="76">
        <v>8965</v>
      </c>
      <c r="AI786" s="76">
        <v>1</v>
      </c>
      <c r="AJ786" s="76">
        <v>364</v>
      </c>
      <c r="AK786" s="76">
        <v>40</v>
      </c>
      <c r="AL786" s="76" t="b">
        <v>0</v>
      </c>
      <c r="AM786" s="78">
        <v>42955.621134259258</v>
      </c>
      <c r="AN786" s="76"/>
      <c r="AO786" s="76" t="s">
        <v>18864</v>
      </c>
      <c r="AP786" s="76"/>
      <c r="AQ786" s="76"/>
      <c r="AR786" s="76"/>
      <c r="AS786" s="76"/>
      <c r="AT786" s="76"/>
      <c r="AU786" s="76"/>
      <c r="AV786" s="76"/>
      <c r="AW786" s="76"/>
      <c r="AX786" s="76" t="b">
        <v>0</v>
      </c>
      <c r="AY786" s="76"/>
      <c r="AZ786" s="76"/>
      <c r="BA786" s="76" t="b">
        <v>0</v>
      </c>
      <c r="BB786" s="76" t="b">
        <v>1</v>
      </c>
      <c r="BC786" s="76" t="b">
        <v>0</v>
      </c>
      <c r="BD786" s="76" t="b">
        <v>0</v>
      </c>
      <c r="BE786" s="76" t="b">
        <v>0</v>
      </c>
      <c r="BF786" s="76" t="b">
        <v>0</v>
      </c>
      <c r="BG786" s="76" t="b">
        <v>0</v>
      </c>
      <c r="BH786" s="83" t="str">
        <f>HYPERLINK("https://pbs.twimg.com/profile_banners/894934835197816834/1502310441")</f>
        <v>https://pbs.twimg.com/profile_banners/894934835197816834/1502310441</v>
      </c>
      <c r="BI786" s="76"/>
      <c r="BJ786" s="76" t="s">
        <v>19633</v>
      </c>
      <c r="BK786" s="76" t="b">
        <v>0</v>
      </c>
      <c r="BL786" s="76"/>
      <c r="BM786" s="76" t="s">
        <v>66</v>
      </c>
      <c r="BN786" s="76" t="s">
        <v>19635</v>
      </c>
      <c r="BO786" s="83" t="str">
        <f>HYPERLINK("https://twitter.com/domingosvascon")</f>
        <v>https://twitter.com/domingosvascon</v>
      </c>
      <c r="BP786" s="2"/>
    </row>
    <row r="787" spans="1:68" x14ac:dyDescent="0.25">
      <c r="A787" s="62" t="s">
        <v>1121</v>
      </c>
      <c r="B787" s="63"/>
      <c r="C787" s="63"/>
      <c r="D787" s="64"/>
      <c r="E787" s="66"/>
      <c r="F787" s="103" t="str">
        <f>HYPERLINK("https://pbs.twimg.com/profile_images/1548979422891499521/nd9XWFWP_normal.jpg")</f>
        <v>https://pbs.twimg.com/profile_images/1548979422891499521/nd9XWFWP_normal.jpg</v>
      </c>
      <c r="G787" s="63"/>
      <c r="H787" s="67"/>
      <c r="I787" s="68"/>
      <c r="J787" s="68"/>
      <c r="K787" s="67" t="s">
        <v>20419</v>
      </c>
      <c r="L787" s="71"/>
      <c r="M787" s="72"/>
      <c r="N787" s="72"/>
      <c r="O787" s="73"/>
      <c r="P787" s="74"/>
      <c r="Q787" s="74"/>
      <c r="R787" s="87"/>
      <c r="S787" s="87"/>
      <c r="T787" s="87"/>
      <c r="U787" s="87"/>
      <c r="V787" s="48"/>
      <c r="W787" s="48"/>
      <c r="X787" s="47">
        <v>1.101E-3</v>
      </c>
      <c r="Y787" s="48"/>
      <c r="Z787" s="47"/>
      <c r="AA787" s="69">
        <v>787</v>
      </c>
      <c r="AB787" s="69"/>
      <c r="AC787" s="70"/>
      <c r="AD787" s="76" t="s">
        <v>17410</v>
      </c>
      <c r="AE787" s="81" t="s">
        <v>17800</v>
      </c>
      <c r="AF787" s="76">
        <v>6</v>
      </c>
      <c r="AG787" s="76">
        <v>0</v>
      </c>
      <c r="AH787" s="76">
        <v>998</v>
      </c>
      <c r="AI787" s="76">
        <v>0</v>
      </c>
      <c r="AJ787" s="76">
        <v>1</v>
      </c>
      <c r="AK787" s="76">
        <v>0</v>
      </c>
      <c r="AL787" s="76" t="b">
        <v>0</v>
      </c>
      <c r="AM787" s="78">
        <v>44757.516458333332</v>
      </c>
      <c r="AN787" s="76"/>
      <c r="AO787" s="76" t="s">
        <v>18865</v>
      </c>
      <c r="AP787" s="83" t="str">
        <f>HYPERLINK("https://t.co/yTQApJRRuq")</f>
        <v>https://t.co/yTQApJRRuq</v>
      </c>
      <c r="AQ787" s="83" t="str">
        <f>HYPERLINK("http://www.cryptic.pt")</f>
        <v>http://www.cryptic.pt</v>
      </c>
      <c r="AR787" s="76" t="s">
        <v>6103</v>
      </c>
      <c r="AS787" s="83" t="str">
        <f>HYPERLINK("https://t.co/8KDUOWw3lK")</f>
        <v>https://t.co/8KDUOWw3lK</v>
      </c>
      <c r="AT787" s="83" t="str">
        <f>HYPERLINK("http://cryptic.pt")</f>
        <v>http://cryptic.pt</v>
      </c>
      <c r="AU787" s="76" t="s">
        <v>6103</v>
      </c>
      <c r="AV787" s="76"/>
      <c r="AW787" s="83" t="str">
        <f>HYPERLINK("https://t.co/yTQApJRRuq")</f>
        <v>https://t.co/yTQApJRRuq</v>
      </c>
      <c r="AX787" s="76" t="b">
        <v>0</v>
      </c>
      <c r="AY787" s="76"/>
      <c r="AZ787" s="76"/>
      <c r="BA787" s="76" t="b">
        <v>0</v>
      </c>
      <c r="BB787" s="76" t="b">
        <v>1</v>
      </c>
      <c r="BC787" s="76" t="b">
        <v>1</v>
      </c>
      <c r="BD787" s="76" t="b">
        <v>0</v>
      </c>
      <c r="BE787" s="76" t="b">
        <v>0</v>
      </c>
      <c r="BF787" s="76" t="b">
        <v>0</v>
      </c>
      <c r="BG787" s="76" t="b">
        <v>0</v>
      </c>
      <c r="BH787" s="83" t="str">
        <f>HYPERLINK("https://pbs.twimg.com/profile_banners/1547919698423009280/1658140488")</f>
        <v>https://pbs.twimg.com/profile_banners/1547919698423009280/1658140488</v>
      </c>
      <c r="BI787" s="76"/>
      <c r="BJ787" s="76" t="s">
        <v>19633</v>
      </c>
      <c r="BK787" s="76" t="b">
        <v>0</v>
      </c>
      <c r="BL787" s="76"/>
      <c r="BM787" s="76" t="s">
        <v>65</v>
      </c>
      <c r="BN787" s="76" t="s">
        <v>19635</v>
      </c>
      <c r="BO787" s="83" t="str">
        <f>HYPERLINK("https://twitter.com/crypticweb3")</f>
        <v>https://twitter.com/crypticweb3</v>
      </c>
      <c r="BP787" s="2"/>
    </row>
    <row r="788" spans="1:68" x14ac:dyDescent="0.25">
      <c r="A788" s="62" t="s">
        <v>927</v>
      </c>
      <c r="B788" s="63"/>
      <c r="C788" s="63"/>
      <c r="D788" s="64"/>
      <c r="E788" s="66"/>
      <c r="F788" s="103" t="str">
        <f>HYPERLINK("https://pbs.twimg.com/profile_images/1404947865819095045/QcP3x5gp_normal.jpg")</f>
        <v>https://pbs.twimg.com/profile_images/1404947865819095045/QcP3x5gp_normal.jpg</v>
      </c>
      <c r="G788" s="63"/>
      <c r="H788" s="67"/>
      <c r="I788" s="68"/>
      <c r="J788" s="68"/>
      <c r="K788" s="67" t="s">
        <v>20420</v>
      </c>
      <c r="L788" s="71"/>
      <c r="M788" s="72"/>
      <c r="N788" s="72"/>
      <c r="O788" s="73"/>
      <c r="P788" s="74"/>
      <c r="Q788" s="74"/>
      <c r="R788" s="87"/>
      <c r="S788" s="87"/>
      <c r="T788" s="87"/>
      <c r="U788" s="87"/>
      <c r="V788" s="48"/>
      <c r="W788" s="48"/>
      <c r="X788" s="47">
        <v>1.101E-3</v>
      </c>
      <c r="Y788" s="48"/>
      <c r="Z788" s="47"/>
      <c r="AA788" s="69">
        <v>788</v>
      </c>
      <c r="AB788" s="69"/>
      <c r="AC788" s="70"/>
      <c r="AD788" s="76" t="s">
        <v>17411</v>
      </c>
      <c r="AE788" s="81" t="s">
        <v>16538</v>
      </c>
      <c r="AF788" s="76">
        <v>381</v>
      </c>
      <c r="AG788" s="76">
        <v>267</v>
      </c>
      <c r="AH788" s="76">
        <v>4012</v>
      </c>
      <c r="AI788" s="76">
        <v>4</v>
      </c>
      <c r="AJ788" s="76">
        <v>10</v>
      </c>
      <c r="AK788" s="76">
        <v>3258</v>
      </c>
      <c r="AL788" s="76" t="b">
        <v>0</v>
      </c>
      <c r="AM788" s="78">
        <v>42763.746666666666</v>
      </c>
      <c r="AN788" s="76"/>
      <c r="AO788" s="76"/>
      <c r="AP788" s="76"/>
      <c r="AQ788" s="76"/>
      <c r="AR788" s="76"/>
      <c r="AS788" s="76"/>
      <c r="AT788" s="76"/>
      <c r="AU788" s="76"/>
      <c r="AV788" s="76">
        <v>1.4049430138272599E+18</v>
      </c>
      <c r="AW788" s="76"/>
      <c r="AX788" s="76" t="b">
        <v>0</v>
      </c>
      <c r="AY788" s="76"/>
      <c r="AZ788" s="76"/>
      <c r="BA788" s="76" t="b">
        <v>0</v>
      </c>
      <c r="BB788" s="76" t="b">
        <v>1</v>
      </c>
      <c r="BC788" s="76" t="b">
        <v>0</v>
      </c>
      <c r="BD788" s="76" t="b">
        <v>0</v>
      </c>
      <c r="BE788" s="76" t="b">
        <v>0</v>
      </c>
      <c r="BF788" s="76" t="b">
        <v>0</v>
      </c>
      <c r="BG788" s="76" t="b">
        <v>0</v>
      </c>
      <c r="BH788" s="83" t="str">
        <f>HYPERLINK("https://pbs.twimg.com/profile_banners/825401855123529728/1623800651")</f>
        <v>https://pbs.twimg.com/profile_banners/825401855123529728/1623800651</v>
      </c>
      <c r="BI788" s="76"/>
      <c r="BJ788" s="76" t="s">
        <v>19633</v>
      </c>
      <c r="BK788" s="76" t="b">
        <v>0</v>
      </c>
      <c r="BL788" s="76"/>
      <c r="BM788" s="76" t="s">
        <v>66</v>
      </c>
      <c r="BN788" s="76" t="s">
        <v>19635</v>
      </c>
      <c r="BO788" s="83" t="str">
        <f>HYPERLINK("https://twitter.com/against_state")</f>
        <v>https://twitter.com/against_state</v>
      </c>
      <c r="BP788" s="2"/>
    </row>
    <row r="789" spans="1:68" x14ac:dyDescent="0.25">
      <c r="A789" s="62" t="s">
        <v>928</v>
      </c>
      <c r="B789" s="63"/>
      <c r="C789" s="63"/>
      <c r="D789" s="64"/>
      <c r="E789" s="66"/>
      <c r="F789" s="103" t="str">
        <f>HYPERLINK("https://pbs.twimg.com/profile_images/1678049466195083264/8s3OgNV5_normal.jpg")</f>
        <v>https://pbs.twimg.com/profile_images/1678049466195083264/8s3OgNV5_normal.jpg</v>
      </c>
      <c r="G789" s="63"/>
      <c r="H789" s="67"/>
      <c r="I789" s="68"/>
      <c r="J789" s="68"/>
      <c r="K789" s="67" t="s">
        <v>20421</v>
      </c>
      <c r="L789" s="71"/>
      <c r="M789" s="72"/>
      <c r="N789" s="72"/>
      <c r="O789" s="73"/>
      <c r="P789" s="74"/>
      <c r="Q789" s="74"/>
      <c r="R789" s="87"/>
      <c r="S789" s="87"/>
      <c r="T789" s="87"/>
      <c r="U789" s="87"/>
      <c r="V789" s="48"/>
      <c r="W789" s="48"/>
      <c r="X789" s="47">
        <v>1.101E-3</v>
      </c>
      <c r="Y789" s="48"/>
      <c r="Z789" s="47"/>
      <c r="AA789" s="69">
        <v>789</v>
      </c>
      <c r="AB789" s="69"/>
      <c r="AC789" s="70"/>
      <c r="AD789" s="76" t="s">
        <v>17412</v>
      </c>
      <c r="AE789" s="81" t="s">
        <v>16539</v>
      </c>
      <c r="AF789" s="76">
        <v>8</v>
      </c>
      <c r="AG789" s="76">
        <v>69</v>
      </c>
      <c r="AH789" s="76">
        <v>7</v>
      </c>
      <c r="AI789" s="76">
        <v>0</v>
      </c>
      <c r="AJ789" s="76">
        <v>0</v>
      </c>
      <c r="AK789" s="76">
        <v>1</v>
      </c>
      <c r="AL789" s="76" t="b">
        <v>0</v>
      </c>
      <c r="AM789" s="78">
        <v>44086.516180555554</v>
      </c>
      <c r="AN789" s="76" t="s">
        <v>18061</v>
      </c>
      <c r="AO789" s="76" t="s">
        <v>18866</v>
      </c>
      <c r="AP789" s="76"/>
      <c r="AQ789" s="76"/>
      <c r="AR789" s="76"/>
      <c r="AS789" s="76"/>
      <c r="AT789" s="76"/>
      <c r="AU789" s="76"/>
      <c r="AV789" s="76"/>
      <c r="AW789" s="76"/>
      <c r="AX789" s="76" t="b">
        <v>0</v>
      </c>
      <c r="AY789" s="76"/>
      <c r="AZ789" s="76"/>
      <c r="BA789" s="76" t="b">
        <v>0</v>
      </c>
      <c r="BB789" s="76" t="b">
        <v>1</v>
      </c>
      <c r="BC789" s="76" t="b">
        <v>1</v>
      </c>
      <c r="BD789" s="76" t="b">
        <v>0</v>
      </c>
      <c r="BE789" s="76" t="b">
        <v>0</v>
      </c>
      <c r="BF789" s="76" t="b">
        <v>0</v>
      </c>
      <c r="BG789" s="76" t="b">
        <v>0</v>
      </c>
      <c r="BH789" s="76"/>
      <c r="BI789" s="76"/>
      <c r="BJ789" s="76" t="s">
        <v>19633</v>
      </c>
      <c r="BK789" s="76" t="b">
        <v>0</v>
      </c>
      <c r="BL789" s="76"/>
      <c r="BM789" s="76" t="s">
        <v>66</v>
      </c>
      <c r="BN789" s="76" t="s">
        <v>19635</v>
      </c>
      <c r="BO789" s="83" t="str">
        <f>HYPERLINK("https://twitter.com/rodrigo_sivieri")</f>
        <v>https://twitter.com/rodrigo_sivieri</v>
      </c>
      <c r="BP789" s="2"/>
    </row>
    <row r="790" spans="1:68" x14ac:dyDescent="0.25">
      <c r="A790" s="62" t="s">
        <v>929</v>
      </c>
      <c r="B790" s="63"/>
      <c r="C790" s="63"/>
      <c r="D790" s="64"/>
      <c r="E790" s="66"/>
      <c r="F790" s="103" t="str">
        <f>HYPERLINK("https://pbs.twimg.com/profile_images/1672324531053010948/ZGQMaENz_normal.jpg")</f>
        <v>https://pbs.twimg.com/profile_images/1672324531053010948/ZGQMaENz_normal.jpg</v>
      </c>
      <c r="G790" s="63"/>
      <c r="H790" s="67"/>
      <c r="I790" s="68"/>
      <c r="J790" s="68"/>
      <c r="K790" s="67" t="s">
        <v>20422</v>
      </c>
      <c r="L790" s="71"/>
      <c r="M790" s="72"/>
      <c r="N790" s="72"/>
      <c r="O790" s="73"/>
      <c r="P790" s="74"/>
      <c r="Q790" s="74"/>
      <c r="R790" s="87"/>
      <c r="S790" s="87"/>
      <c r="T790" s="87"/>
      <c r="U790" s="87"/>
      <c r="V790" s="48"/>
      <c r="W790" s="48"/>
      <c r="X790" s="47">
        <v>1.101E-3</v>
      </c>
      <c r="Y790" s="48"/>
      <c r="Z790" s="47"/>
      <c r="AA790" s="69">
        <v>790</v>
      </c>
      <c r="AB790" s="69"/>
      <c r="AC790" s="70"/>
      <c r="AD790" s="76" t="s">
        <v>17413</v>
      </c>
      <c r="AE790" s="81" t="s">
        <v>15787</v>
      </c>
      <c r="AF790" s="76">
        <v>2</v>
      </c>
      <c r="AG790" s="76">
        <v>10</v>
      </c>
      <c r="AH790" s="76">
        <v>20</v>
      </c>
      <c r="AI790" s="76">
        <v>0</v>
      </c>
      <c r="AJ790" s="76">
        <v>14</v>
      </c>
      <c r="AK790" s="76">
        <v>4</v>
      </c>
      <c r="AL790" s="76" t="b">
        <v>0</v>
      </c>
      <c r="AM790" s="78">
        <v>44693.187210648146</v>
      </c>
      <c r="AN790" s="76" t="s">
        <v>10570</v>
      </c>
      <c r="AO790" s="76" t="s">
        <v>18867</v>
      </c>
      <c r="AP790" s="83" t="str">
        <f>HYPERLINK("https://t.co/KcJKioqomJ")</f>
        <v>https://t.co/KcJKioqomJ</v>
      </c>
      <c r="AQ790" s="83" t="str">
        <f>HYPERLINK("https://instagram.com/achadosdomarketin?igshid=ZDc4ODBmNjlmNQ==")</f>
        <v>https://instagram.com/achadosdomarketin?igshid=ZDc4ODBmNjlmNQ==</v>
      </c>
      <c r="AR790" s="76" t="s">
        <v>19472</v>
      </c>
      <c r="AS790" s="76"/>
      <c r="AT790" s="76"/>
      <c r="AU790" s="76"/>
      <c r="AV790" s="76">
        <v>1.526341282012E+18</v>
      </c>
      <c r="AW790" s="83" t="str">
        <f>HYPERLINK("https://t.co/KcJKioqomJ")</f>
        <v>https://t.co/KcJKioqomJ</v>
      </c>
      <c r="AX790" s="76" t="b">
        <v>0</v>
      </c>
      <c r="AY790" s="76"/>
      <c r="AZ790" s="76"/>
      <c r="BA790" s="76" t="b">
        <v>0</v>
      </c>
      <c r="BB790" s="76" t="b">
        <v>0</v>
      </c>
      <c r="BC790" s="76" t="b">
        <v>1</v>
      </c>
      <c r="BD790" s="76" t="b">
        <v>0</v>
      </c>
      <c r="BE790" s="76" t="b">
        <v>0</v>
      </c>
      <c r="BF790" s="76" t="b">
        <v>0</v>
      </c>
      <c r="BG790" s="76" t="b">
        <v>0</v>
      </c>
      <c r="BH790" s="83" t="str">
        <f>HYPERLINK("https://pbs.twimg.com/profile_banners/1524607646007021568/1687950246")</f>
        <v>https://pbs.twimg.com/profile_banners/1524607646007021568/1687950246</v>
      </c>
      <c r="BI790" s="76"/>
      <c r="BJ790" s="76" t="s">
        <v>19633</v>
      </c>
      <c r="BK790" s="76" t="b">
        <v>0</v>
      </c>
      <c r="BL790" s="76"/>
      <c r="BM790" s="76" t="s">
        <v>66</v>
      </c>
      <c r="BN790" s="76" t="s">
        <v>19635</v>
      </c>
      <c r="BO790" s="83" t="str">
        <f>HYPERLINK("https://twitter.com/achadosdomark")</f>
        <v>https://twitter.com/achadosdomark</v>
      </c>
      <c r="BP790" s="2"/>
    </row>
    <row r="791" spans="1:68" x14ac:dyDescent="0.25">
      <c r="A791" s="62" t="s">
        <v>930</v>
      </c>
      <c r="B791" s="63"/>
      <c r="C791" s="63"/>
      <c r="D791" s="64"/>
      <c r="E791" s="66"/>
      <c r="F791" s="103" t="str">
        <f>HYPERLINK("https://pbs.twimg.com/profile_images/1512473757767585800/s9bsGnn2_normal.jpg")</f>
        <v>https://pbs.twimg.com/profile_images/1512473757767585800/s9bsGnn2_normal.jpg</v>
      </c>
      <c r="G791" s="63"/>
      <c r="H791" s="67"/>
      <c r="I791" s="68"/>
      <c r="J791" s="68"/>
      <c r="K791" s="67" t="s">
        <v>20423</v>
      </c>
      <c r="L791" s="71"/>
      <c r="M791" s="72"/>
      <c r="N791" s="72"/>
      <c r="O791" s="73"/>
      <c r="P791" s="74"/>
      <c r="Q791" s="74"/>
      <c r="R791" s="87"/>
      <c r="S791" s="87"/>
      <c r="T791" s="87"/>
      <c r="U791" s="87"/>
      <c r="V791" s="48"/>
      <c r="W791" s="48"/>
      <c r="X791" s="47">
        <v>1.101E-3</v>
      </c>
      <c r="Y791" s="48"/>
      <c r="Z791" s="47"/>
      <c r="AA791" s="69">
        <v>791</v>
      </c>
      <c r="AB791" s="69"/>
      <c r="AC791" s="70"/>
      <c r="AD791" s="76" t="s">
        <v>17414</v>
      </c>
      <c r="AE791" s="81" t="s">
        <v>16540</v>
      </c>
      <c r="AF791" s="76">
        <v>3</v>
      </c>
      <c r="AG791" s="76">
        <v>20</v>
      </c>
      <c r="AH791" s="76">
        <v>39</v>
      </c>
      <c r="AI791" s="76">
        <v>1</v>
      </c>
      <c r="AJ791" s="76">
        <v>1</v>
      </c>
      <c r="AK791" s="76">
        <v>9</v>
      </c>
      <c r="AL791" s="76" t="b">
        <v>0</v>
      </c>
      <c r="AM791" s="78">
        <v>44659.703912037039</v>
      </c>
      <c r="AN791" s="76"/>
      <c r="AO791" s="76" t="s">
        <v>18868</v>
      </c>
      <c r="AP791" s="76"/>
      <c r="AQ791" s="76"/>
      <c r="AR791" s="76"/>
      <c r="AS791" s="76"/>
      <c r="AT791" s="76"/>
      <c r="AU791" s="76"/>
      <c r="AV791" s="76"/>
      <c r="AW791" s="76"/>
      <c r="AX791" s="76" t="b">
        <v>0</v>
      </c>
      <c r="AY791" s="76"/>
      <c r="AZ791" s="76"/>
      <c r="BA791" s="76" t="b">
        <v>0</v>
      </c>
      <c r="BB791" s="76" t="b">
        <v>1</v>
      </c>
      <c r="BC791" s="76" t="b">
        <v>1</v>
      </c>
      <c r="BD791" s="76" t="b">
        <v>0</v>
      </c>
      <c r="BE791" s="76" t="b">
        <v>0</v>
      </c>
      <c r="BF791" s="76" t="b">
        <v>0</v>
      </c>
      <c r="BG791" s="76" t="b">
        <v>0</v>
      </c>
      <c r="BH791" s="76"/>
      <c r="BI791" s="76"/>
      <c r="BJ791" s="76" t="s">
        <v>19633</v>
      </c>
      <c r="BK791" s="76" t="b">
        <v>0</v>
      </c>
      <c r="BL791" s="76"/>
      <c r="BM791" s="76" t="s">
        <v>66</v>
      </c>
      <c r="BN791" s="76" t="s">
        <v>19635</v>
      </c>
      <c r="BO791" s="83" t="str">
        <f>HYPERLINK("https://twitter.com/infobolsainvest")</f>
        <v>https://twitter.com/infobolsainvest</v>
      </c>
      <c r="BP791" s="2"/>
    </row>
    <row r="792" spans="1:68" x14ac:dyDescent="0.25">
      <c r="A792" s="62" t="s">
        <v>931</v>
      </c>
      <c r="B792" s="63"/>
      <c r="C792" s="63"/>
      <c r="D792" s="64"/>
      <c r="E792" s="66"/>
      <c r="F792" s="103" t="str">
        <f>HYPERLINK("https://pbs.twimg.com/profile_images/1390521067974836229/puagunqQ_normal.jpg")</f>
        <v>https://pbs.twimg.com/profile_images/1390521067974836229/puagunqQ_normal.jpg</v>
      </c>
      <c r="G792" s="63"/>
      <c r="H792" s="67"/>
      <c r="I792" s="68"/>
      <c r="J792" s="68"/>
      <c r="K792" s="67" t="s">
        <v>20424</v>
      </c>
      <c r="L792" s="71"/>
      <c r="M792" s="72"/>
      <c r="N792" s="72"/>
      <c r="O792" s="73"/>
      <c r="P792" s="74"/>
      <c r="Q792" s="74"/>
      <c r="R792" s="87"/>
      <c r="S792" s="87"/>
      <c r="T792" s="87"/>
      <c r="U792" s="87"/>
      <c r="V792" s="48"/>
      <c r="W792" s="48"/>
      <c r="X792" s="47">
        <v>1.101E-3</v>
      </c>
      <c r="Y792" s="48"/>
      <c r="Z792" s="47"/>
      <c r="AA792" s="69">
        <v>792</v>
      </c>
      <c r="AB792" s="69"/>
      <c r="AC792" s="70"/>
      <c r="AD792" s="76" t="s">
        <v>17415</v>
      </c>
      <c r="AE792" s="81" t="s">
        <v>17801</v>
      </c>
      <c r="AF792" s="76">
        <v>81</v>
      </c>
      <c r="AG792" s="76">
        <v>386</v>
      </c>
      <c r="AH792" s="76">
        <v>2271</v>
      </c>
      <c r="AI792" s="76">
        <v>0</v>
      </c>
      <c r="AJ792" s="76">
        <v>322</v>
      </c>
      <c r="AK792" s="76">
        <v>212</v>
      </c>
      <c r="AL792" s="76" t="b">
        <v>0</v>
      </c>
      <c r="AM792" s="78">
        <v>41076.667754629627</v>
      </c>
      <c r="AN792" s="76" t="s">
        <v>10561</v>
      </c>
      <c r="AO792" s="76" t="s">
        <v>18869</v>
      </c>
      <c r="AP792" s="76"/>
      <c r="AQ792" s="76"/>
      <c r="AR792" s="76"/>
      <c r="AS792" s="76"/>
      <c r="AT792" s="76"/>
      <c r="AU792" s="76"/>
      <c r="AV792" s="76"/>
      <c r="AW792" s="76"/>
      <c r="AX792" s="76" t="b">
        <v>0</v>
      </c>
      <c r="AY792" s="76"/>
      <c r="AZ792" s="76"/>
      <c r="BA792" s="76" t="b">
        <v>1</v>
      </c>
      <c r="BB792" s="76" t="b">
        <v>1</v>
      </c>
      <c r="BC792" s="76" t="b">
        <v>0</v>
      </c>
      <c r="BD792" s="76" t="b">
        <v>0</v>
      </c>
      <c r="BE792" s="76" t="b">
        <v>0</v>
      </c>
      <c r="BF792" s="76" t="b">
        <v>0</v>
      </c>
      <c r="BG792" s="76" t="b">
        <v>0</v>
      </c>
      <c r="BH792" s="83" t="str">
        <f>HYPERLINK("https://pbs.twimg.com/profile_banners/610171401/1593716382")</f>
        <v>https://pbs.twimg.com/profile_banners/610171401/1593716382</v>
      </c>
      <c r="BI792" s="76"/>
      <c r="BJ792" s="76" t="s">
        <v>19633</v>
      </c>
      <c r="BK792" s="76" t="b">
        <v>0</v>
      </c>
      <c r="BL792" s="76"/>
      <c r="BM792" s="76" t="s">
        <v>66</v>
      </c>
      <c r="BN792" s="76" t="s">
        <v>19635</v>
      </c>
      <c r="BO792" s="83" t="str">
        <f>HYPERLINK("https://twitter.com/jeo1oficial")</f>
        <v>https://twitter.com/jeo1oficial</v>
      </c>
      <c r="BP792" s="2"/>
    </row>
    <row r="793" spans="1:68" x14ac:dyDescent="0.25">
      <c r="A793" s="62" t="s">
        <v>932</v>
      </c>
      <c r="B793" s="63"/>
      <c r="C793" s="63"/>
      <c r="D793" s="64"/>
      <c r="E793" s="66"/>
      <c r="F793" s="103" t="str">
        <f>HYPERLINK("https://pbs.twimg.com/profile_images/1599968473505038339/Tlfu66HJ_normal.jpg")</f>
        <v>https://pbs.twimg.com/profile_images/1599968473505038339/Tlfu66HJ_normal.jpg</v>
      </c>
      <c r="G793" s="63"/>
      <c r="H793" s="67"/>
      <c r="I793" s="68"/>
      <c r="J793" s="68"/>
      <c r="K793" s="67" t="s">
        <v>20425</v>
      </c>
      <c r="L793" s="71"/>
      <c r="M793" s="72"/>
      <c r="N793" s="72"/>
      <c r="O793" s="73"/>
      <c r="P793" s="74"/>
      <c r="Q793" s="74"/>
      <c r="R793" s="87"/>
      <c r="S793" s="87"/>
      <c r="T793" s="87"/>
      <c r="U793" s="87"/>
      <c r="V793" s="48"/>
      <c r="W793" s="48"/>
      <c r="X793" s="47">
        <v>1.101E-3</v>
      </c>
      <c r="Y793" s="48"/>
      <c r="Z793" s="47"/>
      <c r="AA793" s="69">
        <v>793</v>
      </c>
      <c r="AB793" s="69"/>
      <c r="AC793" s="70"/>
      <c r="AD793" s="76" t="s">
        <v>17416</v>
      </c>
      <c r="AE793" s="81" t="s">
        <v>16541</v>
      </c>
      <c r="AF793" s="76">
        <v>605</v>
      </c>
      <c r="AG793" s="76">
        <v>1096</v>
      </c>
      <c r="AH793" s="76">
        <v>131</v>
      </c>
      <c r="AI793" s="76">
        <v>2</v>
      </c>
      <c r="AJ793" s="76">
        <v>1</v>
      </c>
      <c r="AK793" s="76">
        <v>2</v>
      </c>
      <c r="AL793" s="76" t="b">
        <v>0</v>
      </c>
      <c r="AM793" s="78">
        <v>44555.124872685185</v>
      </c>
      <c r="AN793" s="76" t="s">
        <v>18111</v>
      </c>
      <c r="AO793" s="76" t="s">
        <v>18870</v>
      </c>
      <c r="AP793" s="83" t="str">
        <f>HYPERLINK("https://t.co/GbtTj7bWRQ")</f>
        <v>https://t.co/GbtTj7bWRQ</v>
      </c>
      <c r="AQ793" s="83" t="str">
        <f>HYPERLINK("https://www.khanh.com.br")</f>
        <v>https://www.khanh.com.br</v>
      </c>
      <c r="AR793" s="76" t="s">
        <v>19473</v>
      </c>
      <c r="AS793" s="76"/>
      <c r="AT793" s="76"/>
      <c r="AU793" s="76"/>
      <c r="AV793" s="76"/>
      <c r="AW793" s="83" t="str">
        <f>HYPERLINK("https://t.co/GbtTj7bWRQ")</f>
        <v>https://t.co/GbtTj7bWRQ</v>
      </c>
      <c r="AX793" s="76" t="b">
        <v>0</v>
      </c>
      <c r="AY793" s="76"/>
      <c r="AZ793" s="76"/>
      <c r="BA793" s="76" t="b">
        <v>0</v>
      </c>
      <c r="BB793" s="76" t="b">
        <v>1</v>
      </c>
      <c r="BC793" s="76" t="b">
        <v>1</v>
      </c>
      <c r="BD793" s="76" t="b">
        <v>0</v>
      </c>
      <c r="BE793" s="76" t="b">
        <v>0</v>
      </c>
      <c r="BF793" s="76" t="b">
        <v>0</v>
      </c>
      <c r="BG793" s="76" t="b">
        <v>0</v>
      </c>
      <c r="BH793" s="76"/>
      <c r="BI793" s="76"/>
      <c r="BJ793" s="76" t="s">
        <v>19633</v>
      </c>
      <c r="BK793" s="76" t="b">
        <v>0</v>
      </c>
      <c r="BL793" s="76"/>
      <c r="BM793" s="76" t="s">
        <v>66</v>
      </c>
      <c r="BN793" s="76" t="s">
        <v>19635</v>
      </c>
      <c r="BO793" s="83" t="str">
        <f>HYPERLINK("https://twitter.com/giovaniaandre")</f>
        <v>https://twitter.com/giovaniaandre</v>
      </c>
      <c r="BP793" s="2"/>
    </row>
    <row r="794" spans="1:68" x14ac:dyDescent="0.25">
      <c r="A794" s="62" t="s">
        <v>933</v>
      </c>
      <c r="B794" s="63"/>
      <c r="C794" s="63"/>
      <c r="D794" s="64"/>
      <c r="E794" s="66"/>
      <c r="F794" s="103" t="str">
        <f>HYPERLINK("https://pbs.twimg.com/profile_images/1533150462186295300/XvsnzVW9_normal.jpg")</f>
        <v>https://pbs.twimg.com/profile_images/1533150462186295300/XvsnzVW9_normal.jpg</v>
      </c>
      <c r="G794" s="63"/>
      <c r="H794" s="67"/>
      <c r="I794" s="68"/>
      <c r="J794" s="68"/>
      <c r="K794" s="67" t="s">
        <v>20426</v>
      </c>
      <c r="L794" s="71"/>
      <c r="M794" s="72"/>
      <c r="N794" s="72"/>
      <c r="O794" s="73"/>
      <c r="P794" s="74"/>
      <c r="Q794" s="74"/>
      <c r="R794" s="87"/>
      <c r="S794" s="87"/>
      <c r="T794" s="87"/>
      <c r="U794" s="87"/>
      <c r="V794" s="48"/>
      <c r="W794" s="48"/>
      <c r="X794" s="47">
        <v>1.0529999999999999E-3</v>
      </c>
      <c r="Y794" s="48"/>
      <c r="Z794" s="47"/>
      <c r="AA794" s="69">
        <v>794</v>
      </c>
      <c r="AB794" s="69"/>
      <c r="AC794" s="70"/>
      <c r="AD794" s="76" t="s">
        <v>17417</v>
      </c>
      <c r="AE794" s="81" t="s">
        <v>15788</v>
      </c>
      <c r="AF794" s="76">
        <v>6787</v>
      </c>
      <c r="AG794" s="76">
        <v>233</v>
      </c>
      <c r="AH794" s="76">
        <v>12451</v>
      </c>
      <c r="AI794" s="76">
        <v>103</v>
      </c>
      <c r="AJ794" s="76">
        <v>375</v>
      </c>
      <c r="AK794" s="76">
        <v>591</v>
      </c>
      <c r="AL794" s="76" t="b">
        <v>0</v>
      </c>
      <c r="AM794" s="78">
        <v>42940.579259259262</v>
      </c>
      <c r="AN794" s="76" t="s">
        <v>10552</v>
      </c>
      <c r="AO794" s="76" t="s">
        <v>18871</v>
      </c>
      <c r="AP794" s="83" t="str">
        <f>HYPERLINK("https://t.co/6qNo4YblJ4")</f>
        <v>https://t.co/6qNo4YblJ4</v>
      </c>
      <c r="AQ794" s="83" t="str">
        <f>HYPERLINK("https://webitcoin.com.br/")</f>
        <v>https://webitcoin.com.br/</v>
      </c>
      <c r="AR794" s="76" t="s">
        <v>19474</v>
      </c>
      <c r="AS794" s="76"/>
      <c r="AT794" s="76"/>
      <c r="AU794" s="76"/>
      <c r="AV794" s="76"/>
      <c r="AW794" s="83" t="str">
        <f>HYPERLINK("https://t.co/6qNo4YblJ4")</f>
        <v>https://t.co/6qNo4YblJ4</v>
      </c>
      <c r="AX794" s="76" t="b">
        <v>0</v>
      </c>
      <c r="AY794" s="76"/>
      <c r="AZ794" s="76"/>
      <c r="BA794" s="76" t="b">
        <v>0</v>
      </c>
      <c r="BB794" s="76" t="b">
        <v>1</v>
      </c>
      <c r="BC794" s="76" t="b">
        <v>0</v>
      </c>
      <c r="BD794" s="76" t="b">
        <v>0</v>
      </c>
      <c r="BE794" s="76" t="b">
        <v>1</v>
      </c>
      <c r="BF794" s="76" t="b">
        <v>0</v>
      </c>
      <c r="BG794" s="76" t="b">
        <v>0</v>
      </c>
      <c r="BH794" s="83" t="str">
        <f>HYPERLINK("https://pbs.twimg.com/profile_banners/889483841840271360/1556928048")</f>
        <v>https://pbs.twimg.com/profile_banners/889483841840271360/1556928048</v>
      </c>
      <c r="BI794" s="76"/>
      <c r="BJ794" s="76" t="s">
        <v>19633</v>
      </c>
      <c r="BK794" s="76" t="b">
        <v>0</v>
      </c>
      <c r="BL794" s="76"/>
      <c r="BM794" s="76" t="s">
        <v>66</v>
      </c>
      <c r="BN794" s="76" t="s">
        <v>19635</v>
      </c>
      <c r="BO794" s="83" t="str">
        <f>HYPERLINK("https://twitter.com/webtcoficial")</f>
        <v>https://twitter.com/webtcoficial</v>
      </c>
      <c r="BP794" s="2"/>
    </row>
    <row r="795" spans="1:68" x14ac:dyDescent="0.25">
      <c r="A795" s="62" t="s">
        <v>1122</v>
      </c>
      <c r="B795" s="63"/>
      <c r="C795" s="63"/>
      <c r="D795" s="64"/>
      <c r="E795" s="66"/>
      <c r="F795" s="103" t="str">
        <f>HYPERLINK("https://pbs.twimg.com/profile_images/1631273738871218176/r730-GZc_normal.jpg")</f>
        <v>https://pbs.twimg.com/profile_images/1631273738871218176/r730-GZc_normal.jpg</v>
      </c>
      <c r="G795" s="63"/>
      <c r="H795" s="67"/>
      <c r="I795" s="68"/>
      <c r="J795" s="68"/>
      <c r="K795" s="67" t="s">
        <v>20427</v>
      </c>
      <c r="L795" s="71"/>
      <c r="M795" s="72"/>
      <c r="N795" s="72"/>
      <c r="O795" s="73"/>
      <c r="P795" s="74"/>
      <c r="Q795" s="74"/>
      <c r="R795" s="87"/>
      <c r="S795" s="87"/>
      <c r="T795" s="87"/>
      <c r="U795" s="87"/>
      <c r="V795" s="48"/>
      <c r="W795" s="48"/>
      <c r="X795" s="47">
        <v>9.7400000000000004E-4</v>
      </c>
      <c r="Y795" s="48"/>
      <c r="Z795" s="47"/>
      <c r="AA795" s="69">
        <v>795</v>
      </c>
      <c r="AB795" s="69"/>
      <c r="AC795" s="70"/>
      <c r="AD795" s="76" t="s">
        <v>17418</v>
      </c>
      <c r="AE795" s="81" t="s">
        <v>17802</v>
      </c>
      <c r="AF795" s="76">
        <v>1007007</v>
      </c>
      <c r="AG795" s="76">
        <v>72</v>
      </c>
      <c r="AH795" s="76">
        <v>31900</v>
      </c>
      <c r="AI795" s="76">
        <v>2821</v>
      </c>
      <c r="AJ795" s="76">
        <v>12063</v>
      </c>
      <c r="AK795" s="76">
        <v>5074</v>
      </c>
      <c r="AL795" s="76" t="b">
        <v>0</v>
      </c>
      <c r="AM795" s="78">
        <v>44138.959733796299</v>
      </c>
      <c r="AN795" s="76" t="s">
        <v>18112</v>
      </c>
      <c r="AO795" s="76" t="s">
        <v>18872</v>
      </c>
      <c r="AP795" s="83" t="str">
        <f>HYPERLINK("https://t.co/vYF3nSS6P6")</f>
        <v>https://t.co/vYF3nSS6P6</v>
      </c>
      <c r="AQ795" s="83" t="str">
        <f>HYPERLINK("https://www.bsc.news/")</f>
        <v>https://www.bsc.news/</v>
      </c>
      <c r="AR795" s="76" t="s">
        <v>19475</v>
      </c>
      <c r="AS795" s="76"/>
      <c r="AT795" s="76"/>
      <c r="AU795" s="76"/>
      <c r="AV795" s="76">
        <v>1.7016171618594199E+18</v>
      </c>
      <c r="AW795" s="83" t="str">
        <f>HYPERLINK("https://t.co/vYF3nSS6P6")</f>
        <v>https://t.co/vYF3nSS6P6</v>
      </c>
      <c r="AX795" s="76" t="b">
        <v>1</v>
      </c>
      <c r="AY795" s="76"/>
      <c r="AZ795" s="76"/>
      <c r="BA795" s="76" t="b">
        <v>1</v>
      </c>
      <c r="BB795" s="76" t="b">
        <v>1</v>
      </c>
      <c r="BC795" s="76" t="b">
        <v>1</v>
      </c>
      <c r="BD795" s="76" t="b">
        <v>0</v>
      </c>
      <c r="BE795" s="76" t="b">
        <v>1</v>
      </c>
      <c r="BF795" s="76" t="b">
        <v>0</v>
      </c>
      <c r="BG795" s="76" t="b">
        <v>0</v>
      </c>
      <c r="BH795" s="83" t="str">
        <f>HYPERLINK("https://pbs.twimg.com/profile_banners/1323762343302615040/1686305023")</f>
        <v>https://pbs.twimg.com/profile_banners/1323762343302615040/1686305023</v>
      </c>
      <c r="BI795" s="76"/>
      <c r="BJ795" s="76" t="s">
        <v>19633</v>
      </c>
      <c r="BK795" s="76" t="b">
        <v>0</v>
      </c>
      <c r="BL795" s="76"/>
      <c r="BM795" s="76" t="s">
        <v>65</v>
      </c>
      <c r="BN795" s="76" t="s">
        <v>19635</v>
      </c>
      <c r="BO795" s="83" t="str">
        <f>HYPERLINK("https://twitter.com/bscnews")</f>
        <v>https://twitter.com/bscnews</v>
      </c>
      <c r="BP795" s="2"/>
    </row>
    <row r="796" spans="1:68" x14ac:dyDescent="0.25">
      <c r="A796" s="62" t="s">
        <v>1123</v>
      </c>
      <c r="B796" s="63"/>
      <c r="C796" s="63"/>
      <c r="D796" s="64"/>
      <c r="E796" s="66"/>
      <c r="F796" s="103" t="str">
        <f>HYPERLINK("https://pbs.twimg.com/profile_images/1297907958320451584/eTxbFFSU_normal.jpg")</f>
        <v>https://pbs.twimg.com/profile_images/1297907958320451584/eTxbFFSU_normal.jpg</v>
      </c>
      <c r="G796" s="63"/>
      <c r="H796" s="67"/>
      <c r="I796" s="68"/>
      <c r="J796" s="68"/>
      <c r="K796" s="67" t="s">
        <v>20428</v>
      </c>
      <c r="L796" s="71"/>
      <c r="M796" s="72"/>
      <c r="N796" s="72"/>
      <c r="O796" s="73"/>
      <c r="P796" s="74"/>
      <c r="Q796" s="74"/>
      <c r="R796" s="87"/>
      <c r="S796" s="87"/>
      <c r="T796" s="87"/>
      <c r="U796" s="87"/>
      <c r="V796" s="48"/>
      <c r="W796" s="48"/>
      <c r="X796" s="47">
        <v>9.9599999999999992E-4</v>
      </c>
      <c r="Y796" s="48"/>
      <c r="Z796" s="47"/>
      <c r="AA796" s="69">
        <v>796</v>
      </c>
      <c r="AB796" s="69"/>
      <c r="AC796" s="70"/>
      <c r="AD796" s="76" t="s">
        <v>17419</v>
      </c>
      <c r="AE796" s="81" t="s">
        <v>17803</v>
      </c>
      <c r="AF796" s="76">
        <v>447976</v>
      </c>
      <c r="AG796" s="76">
        <v>126</v>
      </c>
      <c r="AH796" s="76">
        <v>47820</v>
      </c>
      <c r="AI796" s="76">
        <v>2759</v>
      </c>
      <c r="AJ796" s="76">
        <v>36</v>
      </c>
      <c r="AK796" s="76">
        <v>22109</v>
      </c>
      <c r="AL796" s="76" t="b">
        <v>0</v>
      </c>
      <c r="AM796" s="78">
        <v>40087.091793981483</v>
      </c>
      <c r="AN796" s="76"/>
      <c r="AO796" s="76" t="s">
        <v>18873</v>
      </c>
      <c r="AP796" s="83" t="str">
        <f>HYPERLINK("https://t.co/5I7IHYroQ4")</f>
        <v>https://t.co/5I7IHYroQ4</v>
      </c>
      <c r="AQ796" s="83" t="str">
        <f>HYPERLINK("http://economia.estadao.com.br/")</f>
        <v>http://economia.estadao.com.br/</v>
      </c>
      <c r="AR796" s="76" t="s">
        <v>19476</v>
      </c>
      <c r="AS796" s="76"/>
      <c r="AT796" s="76"/>
      <c r="AU796" s="76"/>
      <c r="AV796" s="76"/>
      <c r="AW796" s="83" t="str">
        <f>HYPERLINK("https://t.co/5I7IHYroQ4")</f>
        <v>https://t.co/5I7IHYroQ4</v>
      </c>
      <c r="AX796" s="76" t="b">
        <v>0</v>
      </c>
      <c r="AY796" s="76"/>
      <c r="AZ796" s="76"/>
      <c r="BA796" s="76" t="b">
        <v>0</v>
      </c>
      <c r="BB796" s="76" t="b">
        <v>1</v>
      </c>
      <c r="BC796" s="76" t="b">
        <v>0</v>
      </c>
      <c r="BD796" s="76" t="b">
        <v>0</v>
      </c>
      <c r="BE796" s="76" t="b">
        <v>0</v>
      </c>
      <c r="BF796" s="76" t="b">
        <v>0</v>
      </c>
      <c r="BG796" s="76" t="b">
        <v>0</v>
      </c>
      <c r="BH796" s="83" t="str">
        <f>HYPERLINK("https://pbs.twimg.com/profile_banners/78774644/1565630931")</f>
        <v>https://pbs.twimg.com/profile_banners/78774644/1565630931</v>
      </c>
      <c r="BI796" s="76"/>
      <c r="BJ796" s="76" t="s">
        <v>19633</v>
      </c>
      <c r="BK796" s="76" t="b">
        <v>0</v>
      </c>
      <c r="BL796" s="76"/>
      <c r="BM796" s="76" t="s">
        <v>65</v>
      </c>
      <c r="BN796" s="76" t="s">
        <v>19635</v>
      </c>
      <c r="BO796" s="83" t="str">
        <f>HYPERLINK("https://twitter.com/estadaoeconomia")</f>
        <v>https://twitter.com/estadaoeconomia</v>
      </c>
      <c r="BP796" s="2"/>
    </row>
    <row r="797" spans="1:68" x14ac:dyDescent="0.25">
      <c r="A797" s="62" t="s">
        <v>936</v>
      </c>
      <c r="B797" s="63"/>
      <c r="C797" s="63"/>
      <c r="D797" s="64"/>
      <c r="E797" s="66"/>
      <c r="F797" s="103" t="str">
        <f>HYPERLINK("https://pbs.twimg.com/profile_images/1034214989748482048/KnI_LBhc_normal.jpg")</f>
        <v>https://pbs.twimg.com/profile_images/1034214989748482048/KnI_LBhc_normal.jpg</v>
      </c>
      <c r="G797" s="63"/>
      <c r="H797" s="67"/>
      <c r="I797" s="68"/>
      <c r="J797" s="68"/>
      <c r="K797" s="67" t="s">
        <v>20429</v>
      </c>
      <c r="L797" s="71"/>
      <c r="M797" s="72"/>
      <c r="N797" s="72"/>
      <c r="O797" s="73"/>
      <c r="P797" s="74"/>
      <c r="Q797" s="74"/>
      <c r="R797" s="87"/>
      <c r="S797" s="87"/>
      <c r="T797" s="87"/>
      <c r="U797" s="87"/>
      <c r="V797" s="48"/>
      <c r="W797" s="48"/>
      <c r="X797" s="47">
        <v>1.101E-3</v>
      </c>
      <c r="Y797" s="48"/>
      <c r="Z797" s="47"/>
      <c r="AA797" s="69">
        <v>797</v>
      </c>
      <c r="AB797" s="69"/>
      <c r="AC797" s="70"/>
      <c r="AD797" s="76" t="s">
        <v>17420</v>
      </c>
      <c r="AE797" s="81" t="s">
        <v>16543</v>
      </c>
      <c r="AF797" s="76">
        <v>839</v>
      </c>
      <c r="AG797" s="76">
        <v>547</v>
      </c>
      <c r="AH797" s="76">
        <v>10343</v>
      </c>
      <c r="AI797" s="76">
        <v>12</v>
      </c>
      <c r="AJ797" s="76">
        <v>184</v>
      </c>
      <c r="AK797" s="76">
        <v>2449</v>
      </c>
      <c r="AL797" s="76" t="b">
        <v>0</v>
      </c>
      <c r="AM797" s="78">
        <v>42472.641655092593</v>
      </c>
      <c r="AN797" s="76"/>
      <c r="AO797" s="76" t="s">
        <v>18874</v>
      </c>
      <c r="AP797" s="76"/>
      <c r="AQ797" s="76"/>
      <c r="AR797" s="76"/>
      <c r="AS797" s="76"/>
      <c r="AT797" s="76"/>
      <c r="AU797" s="76"/>
      <c r="AV797" s="76"/>
      <c r="AW797" s="76"/>
      <c r="AX797" s="76" t="b">
        <v>0</v>
      </c>
      <c r="AY797" s="76"/>
      <c r="AZ797" s="76"/>
      <c r="BA797" s="76" t="b">
        <v>0</v>
      </c>
      <c r="BB797" s="76" t="b">
        <v>1</v>
      </c>
      <c r="BC797" s="76" t="b">
        <v>0</v>
      </c>
      <c r="BD797" s="76" t="b">
        <v>0</v>
      </c>
      <c r="BE797" s="76" t="b">
        <v>1</v>
      </c>
      <c r="BF797" s="76" t="b">
        <v>0</v>
      </c>
      <c r="BG797" s="76" t="b">
        <v>0</v>
      </c>
      <c r="BH797" s="83" t="str">
        <f>HYPERLINK("https://pbs.twimg.com/profile_banners/719908933238972416/1647603409")</f>
        <v>https://pbs.twimg.com/profile_banners/719908933238972416/1647603409</v>
      </c>
      <c r="BI797" s="76"/>
      <c r="BJ797" s="76" t="s">
        <v>19633</v>
      </c>
      <c r="BK797" s="76" t="b">
        <v>0</v>
      </c>
      <c r="BL797" s="76"/>
      <c r="BM797" s="76" t="s">
        <v>66</v>
      </c>
      <c r="BN797" s="76" t="s">
        <v>19635</v>
      </c>
      <c r="BO797" s="83" t="str">
        <f>HYPERLINK("https://twitter.com/etopsaber")</f>
        <v>https://twitter.com/etopsaber</v>
      </c>
      <c r="BP797" s="2"/>
    </row>
    <row r="798" spans="1:68" x14ac:dyDescent="0.25">
      <c r="A798" s="62" t="s">
        <v>937</v>
      </c>
      <c r="B798" s="63"/>
      <c r="C798" s="63"/>
      <c r="D798" s="64"/>
      <c r="E798" s="66"/>
      <c r="F798" s="103" t="str">
        <f>HYPERLINK("https://pbs.twimg.com/profile_images/1113339417664675840/jxtnAYRW_normal.jpg")</f>
        <v>https://pbs.twimg.com/profile_images/1113339417664675840/jxtnAYRW_normal.jpg</v>
      </c>
      <c r="G798" s="63"/>
      <c r="H798" s="67"/>
      <c r="I798" s="68"/>
      <c r="J798" s="68"/>
      <c r="K798" s="67" t="s">
        <v>20430</v>
      </c>
      <c r="L798" s="71"/>
      <c r="M798" s="72"/>
      <c r="N798" s="72"/>
      <c r="O798" s="73"/>
      <c r="P798" s="74"/>
      <c r="Q798" s="74"/>
      <c r="R798" s="87"/>
      <c r="S798" s="87"/>
      <c r="T798" s="87"/>
      <c r="U798" s="87"/>
      <c r="V798" s="48"/>
      <c r="W798" s="48"/>
      <c r="X798" s="47">
        <v>1.101E-3</v>
      </c>
      <c r="Y798" s="48"/>
      <c r="Z798" s="47"/>
      <c r="AA798" s="69">
        <v>798</v>
      </c>
      <c r="AB798" s="69"/>
      <c r="AC798" s="70"/>
      <c r="AD798" s="76" t="s">
        <v>17421</v>
      </c>
      <c r="AE798" s="81" t="s">
        <v>16544</v>
      </c>
      <c r="AF798" s="76">
        <v>1509</v>
      </c>
      <c r="AG798" s="76">
        <v>36</v>
      </c>
      <c r="AH798" s="76">
        <v>2326</v>
      </c>
      <c r="AI798" s="76">
        <v>0</v>
      </c>
      <c r="AJ798" s="76">
        <v>490</v>
      </c>
      <c r="AK798" s="76">
        <v>2128</v>
      </c>
      <c r="AL798" s="76" t="b">
        <v>0</v>
      </c>
      <c r="AM798" s="78">
        <v>43060.476747685185</v>
      </c>
      <c r="AN798" s="76" t="s">
        <v>18014</v>
      </c>
      <c r="AO798" s="76" t="s">
        <v>18875</v>
      </c>
      <c r="AP798" s="83" t="str">
        <f>HYPERLINK("https://t.co/82vSQYAtaq")</f>
        <v>https://t.co/82vSQYAtaq</v>
      </c>
      <c r="AQ798" s="83" t="str">
        <f>HYPERLINK("http://linktr.ee/ubamz")</f>
        <v>http://linktr.ee/ubamz</v>
      </c>
      <c r="AR798" s="76" t="s">
        <v>19477</v>
      </c>
      <c r="AS798" s="76"/>
      <c r="AT798" s="76"/>
      <c r="AU798" s="76"/>
      <c r="AV798" s="76"/>
      <c r="AW798" s="83" t="str">
        <f>HYPERLINK("https://t.co/82vSQYAtaq")</f>
        <v>https://t.co/82vSQYAtaq</v>
      </c>
      <c r="AX798" s="76" t="b">
        <v>1</v>
      </c>
      <c r="AY798" s="76"/>
      <c r="AZ798" s="76"/>
      <c r="BA798" s="76" t="b">
        <v>0</v>
      </c>
      <c r="BB798" s="76" t="b">
        <v>1</v>
      </c>
      <c r="BC798" s="76" t="b">
        <v>1</v>
      </c>
      <c r="BD798" s="76" t="b">
        <v>0</v>
      </c>
      <c r="BE798" s="76" t="b">
        <v>0</v>
      </c>
      <c r="BF798" s="76" t="b">
        <v>0</v>
      </c>
      <c r="BG798" s="76" t="b">
        <v>0</v>
      </c>
      <c r="BH798" s="83" t="str">
        <f>HYPERLINK("https://pbs.twimg.com/profile_banners/932933238150127616/1654152443")</f>
        <v>https://pbs.twimg.com/profile_banners/932933238150127616/1654152443</v>
      </c>
      <c r="BI798" s="76"/>
      <c r="BJ798" s="76" t="s">
        <v>19633</v>
      </c>
      <c r="BK798" s="76" t="b">
        <v>0</v>
      </c>
      <c r="BL798" s="76"/>
      <c r="BM798" s="76" t="s">
        <v>66</v>
      </c>
      <c r="BN798" s="76" t="s">
        <v>19635</v>
      </c>
      <c r="BO798" s="83" t="str">
        <f>HYPERLINK("https://twitter.com/ubamoz")</f>
        <v>https://twitter.com/ubamoz</v>
      </c>
      <c r="BP798" s="2"/>
    </row>
    <row r="799" spans="1:68" x14ac:dyDescent="0.25">
      <c r="A799" s="62" t="s">
        <v>938</v>
      </c>
      <c r="B799" s="63"/>
      <c r="C799" s="63"/>
      <c r="D799" s="64"/>
      <c r="E799" s="66"/>
      <c r="F799" s="103" t="str">
        <f>HYPERLINK("https://pbs.twimg.com/profile_images/1673537530220691456/pjQWo1MT_normal.jpg")</f>
        <v>https://pbs.twimg.com/profile_images/1673537530220691456/pjQWo1MT_normal.jpg</v>
      </c>
      <c r="G799" s="63"/>
      <c r="H799" s="67"/>
      <c r="I799" s="68"/>
      <c r="J799" s="68"/>
      <c r="K799" s="67" t="s">
        <v>20431</v>
      </c>
      <c r="L799" s="71"/>
      <c r="M799" s="72"/>
      <c r="N799" s="72"/>
      <c r="O799" s="73"/>
      <c r="P799" s="74"/>
      <c r="Q799" s="74"/>
      <c r="R799" s="87"/>
      <c r="S799" s="87"/>
      <c r="T799" s="87"/>
      <c r="U799" s="87"/>
      <c r="V799" s="48"/>
      <c r="W799" s="48"/>
      <c r="X799" s="47">
        <v>1.101E-3</v>
      </c>
      <c r="Y799" s="48"/>
      <c r="Z799" s="47"/>
      <c r="AA799" s="69">
        <v>799</v>
      </c>
      <c r="AB799" s="69"/>
      <c r="AC799" s="70"/>
      <c r="AD799" s="76" t="s">
        <v>17422</v>
      </c>
      <c r="AE799" s="81" t="s">
        <v>16545</v>
      </c>
      <c r="AF799" s="76">
        <v>12</v>
      </c>
      <c r="AG799" s="76">
        <v>96</v>
      </c>
      <c r="AH799" s="76">
        <v>38</v>
      </c>
      <c r="AI799" s="76">
        <v>0</v>
      </c>
      <c r="AJ799" s="76">
        <v>29</v>
      </c>
      <c r="AK799" s="76">
        <v>11</v>
      </c>
      <c r="AL799" s="76" t="b">
        <v>0</v>
      </c>
      <c r="AM799" s="78">
        <v>44862.714699074073</v>
      </c>
      <c r="AN799" s="76" t="s">
        <v>10561</v>
      </c>
      <c r="AO799" s="76" t="s">
        <v>18876</v>
      </c>
      <c r="AP799" s="83" t="str">
        <f>HYPERLINK("https://t.co/Uj7wpiNduC")</f>
        <v>https://t.co/Uj7wpiNduC</v>
      </c>
      <c r="AQ799" s="83" t="str">
        <f>HYPERLINK("https://youtube.com/@canalinvestidorconsciente")</f>
        <v>https://youtube.com/@canalinvestidorconsciente</v>
      </c>
      <c r="AR799" s="76" t="s">
        <v>19478</v>
      </c>
      <c r="AS799" s="76"/>
      <c r="AT799" s="76"/>
      <c r="AU799" s="76"/>
      <c r="AV799" s="76"/>
      <c r="AW799" s="83" t="str">
        <f>HYPERLINK("https://t.co/Uj7wpiNduC")</f>
        <v>https://t.co/Uj7wpiNduC</v>
      </c>
      <c r="AX799" s="76" t="b">
        <v>0</v>
      </c>
      <c r="AY799" s="76"/>
      <c r="AZ799" s="76"/>
      <c r="BA799" s="76" t="b">
        <v>1</v>
      </c>
      <c r="BB799" s="76" t="b">
        <v>1</v>
      </c>
      <c r="BC799" s="76" t="b">
        <v>1</v>
      </c>
      <c r="BD799" s="76" t="b">
        <v>0</v>
      </c>
      <c r="BE799" s="76" t="b">
        <v>0</v>
      </c>
      <c r="BF799" s="76" t="b">
        <v>0</v>
      </c>
      <c r="BG799" s="76" t="b">
        <v>0</v>
      </c>
      <c r="BH799" s="83" t="str">
        <f>HYPERLINK("https://pbs.twimg.com/profile_banners/1586042349766991878/1693697975")</f>
        <v>https://pbs.twimg.com/profile_banners/1586042349766991878/1693697975</v>
      </c>
      <c r="BI799" s="76"/>
      <c r="BJ799" s="76" t="s">
        <v>19633</v>
      </c>
      <c r="BK799" s="76" t="b">
        <v>0</v>
      </c>
      <c r="BL799" s="76"/>
      <c r="BM799" s="76" t="s">
        <v>66</v>
      </c>
      <c r="BN799" s="76" t="s">
        <v>19635</v>
      </c>
      <c r="BO799" s="83" t="str">
        <f>HYPERLINK("https://twitter.com/alvdlima")</f>
        <v>https://twitter.com/alvdlima</v>
      </c>
      <c r="BP799" s="2"/>
    </row>
    <row r="800" spans="1:68" x14ac:dyDescent="0.25">
      <c r="A800" s="62" t="s">
        <v>939</v>
      </c>
      <c r="B800" s="63"/>
      <c r="C800" s="63"/>
      <c r="D800" s="64"/>
      <c r="E800" s="66"/>
      <c r="F800" s="103" t="str">
        <f>HYPERLINK("https://pbs.twimg.com/profile_images/1648515151841353733/gF_tB7FT_normal.jpg")</f>
        <v>https://pbs.twimg.com/profile_images/1648515151841353733/gF_tB7FT_normal.jpg</v>
      </c>
      <c r="G800" s="63"/>
      <c r="H800" s="67"/>
      <c r="I800" s="68"/>
      <c r="J800" s="68"/>
      <c r="K800" s="67" t="s">
        <v>20432</v>
      </c>
      <c r="L800" s="71"/>
      <c r="M800" s="72"/>
      <c r="N800" s="72"/>
      <c r="O800" s="73"/>
      <c r="P800" s="74"/>
      <c r="Q800" s="74"/>
      <c r="R800" s="87"/>
      <c r="S800" s="87"/>
      <c r="T800" s="87"/>
      <c r="U800" s="87"/>
      <c r="V800" s="48"/>
      <c r="W800" s="48"/>
      <c r="X800" s="47">
        <v>1.101E-3</v>
      </c>
      <c r="Y800" s="48"/>
      <c r="Z800" s="47"/>
      <c r="AA800" s="69">
        <v>800</v>
      </c>
      <c r="AB800" s="69"/>
      <c r="AC800" s="70"/>
      <c r="AD800" s="76" t="s">
        <v>17423</v>
      </c>
      <c r="AE800" s="81" t="s">
        <v>16546</v>
      </c>
      <c r="AF800" s="76">
        <v>31</v>
      </c>
      <c r="AG800" s="76">
        <v>223</v>
      </c>
      <c r="AH800" s="76">
        <v>66</v>
      </c>
      <c r="AI800" s="76">
        <v>0</v>
      </c>
      <c r="AJ800" s="76">
        <v>111</v>
      </c>
      <c r="AK800" s="76">
        <v>18</v>
      </c>
      <c r="AL800" s="76" t="b">
        <v>0</v>
      </c>
      <c r="AM800" s="78">
        <v>44553.909386574072</v>
      </c>
      <c r="AN800" s="76" t="s">
        <v>10571</v>
      </c>
      <c r="AO800" s="76" t="s">
        <v>18877</v>
      </c>
      <c r="AP800" s="83" t="str">
        <f>HYPERLINK("https://t.co/mYOR9JX35t")</f>
        <v>https://t.co/mYOR9JX35t</v>
      </c>
      <c r="AQ800" s="83" t="str">
        <f>HYPERLINK("http://www.elo7.com.br/maosquebrincamdecriar")</f>
        <v>http://www.elo7.com.br/maosquebrincamdecriar</v>
      </c>
      <c r="AR800" s="76" t="s">
        <v>19479</v>
      </c>
      <c r="AS800" s="76"/>
      <c r="AT800" s="76"/>
      <c r="AU800" s="76"/>
      <c r="AV800" s="76"/>
      <c r="AW800" s="83" t="str">
        <f>HYPERLINK("https://t.co/mYOR9JX35t")</f>
        <v>https://t.co/mYOR9JX35t</v>
      </c>
      <c r="AX800" s="76" t="b">
        <v>0</v>
      </c>
      <c r="AY800" s="76"/>
      <c r="AZ800" s="76"/>
      <c r="BA800" s="76" t="b">
        <v>0</v>
      </c>
      <c r="BB800" s="76" t="b">
        <v>1</v>
      </c>
      <c r="BC800" s="76" t="b">
        <v>1</v>
      </c>
      <c r="BD800" s="76" t="b">
        <v>0</v>
      </c>
      <c r="BE800" s="76" t="b">
        <v>0</v>
      </c>
      <c r="BF800" s="76" t="b">
        <v>0</v>
      </c>
      <c r="BG800" s="76" t="b">
        <v>0</v>
      </c>
      <c r="BH800" s="83" t="str">
        <f>HYPERLINK("https://pbs.twimg.com/profile_banners/1474134753938923521/1640299791")</f>
        <v>https://pbs.twimg.com/profile_banners/1474134753938923521/1640299791</v>
      </c>
      <c r="BI800" s="76"/>
      <c r="BJ800" s="76" t="s">
        <v>19633</v>
      </c>
      <c r="BK800" s="76" t="b">
        <v>0</v>
      </c>
      <c r="BL800" s="76"/>
      <c r="BM800" s="76" t="s">
        <v>66</v>
      </c>
      <c r="BN800" s="76" t="s">
        <v>19635</v>
      </c>
      <c r="BO800" s="83" t="str">
        <f>HYPERLINK("https://twitter.com/ludinharosa")</f>
        <v>https://twitter.com/ludinharosa</v>
      </c>
      <c r="BP800" s="2"/>
    </row>
    <row r="801" spans="1:68" x14ac:dyDescent="0.25">
      <c r="A801" s="62" t="s">
        <v>940</v>
      </c>
      <c r="B801" s="63"/>
      <c r="C801" s="63"/>
      <c r="D801" s="64"/>
      <c r="E801" s="66"/>
      <c r="F801" s="103" t="str">
        <f>HYPERLINK("https://pbs.twimg.com/profile_images/1211870560940167169/R41g8uWJ_normal.jpg")</f>
        <v>https://pbs.twimg.com/profile_images/1211870560940167169/R41g8uWJ_normal.jpg</v>
      </c>
      <c r="G801" s="63"/>
      <c r="H801" s="67"/>
      <c r="I801" s="68"/>
      <c r="J801" s="68"/>
      <c r="K801" s="67" t="s">
        <v>20433</v>
      </c>
      <c r="L801" s="71"/>
      <c r="M801" s="72"/>
      <c r="N801" s="72"/>
      <c r="O801" s="73"/>
      <c r="P801" s="74"/>
      <c r="Q801" s="74"/>
      <c r="R801" s="87"/>
      <c r="S801" s="87"/>
      <c r="T801" s="87"/>
      <c r="U801" s="87"/>
      <c r="V801" s="48"/>
      <c r="W801" s="48"/>
      <c r="X801" s="47">
        <v>1.101E-3</v>
      </c>
      <c r="Y801" s="48"/>
      <c r="Z801" s="47"/>
      <c r="AA801" s="69">
        <v>801</v>
      </c>
      <c r="AB801" s="69"/>
      <c r="AC801" s="70"/>
      <c r="AD801" s="76" t="s">
        <v>17424</v>
      </c>
      <c r="AE801" s="81" t="s">
        <v>16547</v>
      </c>
      <c r="AF801" s="76">
        <v>78</v>
      </c>
      <c r="AG801" s="76">
        <v>23</v>
      </c>
      <c r="AH801" s="76">
        <v>770</v>
      </c>
      <c r="AI801" s="76">
        <v>0</v>
      </c>
      <c r="AJ801" s="76">
        <v>126</v>
      </c>
      <c r="AK801" s="76">
        <v>58</v>
      </c>
      <c r="AL801" s="76" t="b">
        <v>0</v>
      </c>
      <c r="AM801" s="78">
        <v>43830.195833333331</v>
      </c>
      <c r="AN801" s="76" t="s">
        <v>10561</v>
      </c>
      <c r="AO801" s="76" t="s">
        <v>18878</v>
      </c>
      <c r="AP801" s="76"/>
      <c r="AQ801" s="76"/>
      <c r="AR801" s="76"/>
      <c r="AS801" s="76"/>
      <c r="AT801" s="76"/>
      <c r="AU801" s="76"/>
      <c r="AV801" s="76">
        <v>1.57693976319345E+18</v>
      </c>
      <c r="AW801" s="76"/>
      <c r="AX801" s="76" t="b">
        <v>0</v>
      </c>
      <c r="AY801" s="76"/>
      <c r="AZ801" s="76"/>
      <c r="BA801" s="76" t="b">
        <v>0</v>
      </c>
      <c r="BB801" s="76" t="b">
        <v>1</v>
      </c>
      <c r="BC801" s="76" t="b">
        <v>1</v>
      </c>
      <c r="BD801" s="76" t="b">
        <v>0</v>
      </c>
      <c r="BE801" s="76" t="b">
        <v>1</v>
      </c>
      <c r="BF801" s="76" t="b">
        <v>0</v>
      </c>
      <c r="BG801" s="76" t="b">
        <v>0</v>
      </c>
      <c r="BH801" s="83" t="str">
        <f>HYPERLINK("https://pbs.twimg.com/profile_banners/1211869998634786816/1604362152")</f>
        <v>https://pbs.twimg.com/profile_banners/1211869998634786816/1604362152</v>
      </c>
      <c r="BI801" s="76"/>
      <c r="BJ801" s="76" t="s">
        <v>19633</v>
      </c>
      <c r="BK801" s="76" t="b">
        <v>0</v>
      </c>
      <c r="BL801" s="76"/>
      <c r="BM801" s="76" t="s">
        <v>66</v>
      </c>
      <c r="BN801" s="76" t="s">
        <v>19635</v>
      </c>
      <c r="BO801" s="83" t="str">
        <f>HYPERLINK("https://twitter.com/lucialmeida17")</f>
        <v>https://twitter.com/lucialmeida17</v>
      </c>
      <c r="BP801" s="2"/>
    </row>
    <row r="802" spans="1:68" x14ac:dyDescent="0.25">
      <c r="A802" s="62" t="s">
        <v>941</v>
      </c>
      <c r="B802" s="63"/>
      <c r="C802" s="63"/>
      <c r="D802" s="64"/>
      <c r="E802" s="66"/>
      <c r="F802" s="103" t="str">
        <f>HYPERLINK("https://pbs.twimg.com/profile_images/1696670483901456384/V-YomjT4_normal.jpg")</f>
        <v>https://pbs.twimg.com/profile_images/1696670483901456384/V-YomjT4_normal.jpg</v>
      </c>
      <c r="G802" s="63"/>
      <c r="H802" s="67"/>
      <c r="I802" s="68"/>
      <c r="J802" s="68"/>
      <c r="K802" s="67" t="s">
        <v>20434</v>
      </c>
      <c r="L802" s="71"/>
      <c r="M802" s="72"/>
      <c r="N802" s="72"/>
      <c r="O802" s="73"/>
      <c r="P802" s="74"/>
      <c r="Q802" s="74"/>
      <c r="R802" s="87"/>
      <c r="S802" s="87"/>
      <c r="T802" s="87"/>
      <c r="U802" s="87"/>
      <c r="V802" s="48"/>
      <c r="W802" s="48"/>
      <c r="X802" s="47">
        <v>1.101E-3</v>
      </c>
      <c r="Y802" s="48"/>
      <c r="Z802" s="47"/>
      <c r="AA802" s="69">
        <v>802</v>
      </c>
      <c r="AB802" s="69"/>
      <c r="AC802" s="70"/>
      <c r="AD802" s="76" t="s">
        <v>17425</v>
      </c>
      <c r="AE802" s="81" t="s">
        <v>17804</v>
      </c>
      <c r="AF802" s="76">
        <v>3056</v>
      </c>
      <c r="AG802" s="76">
        <v>1151</v>
      </c>
      <c r="AH802" s="76">
        <v>484</v>
      </c>
      <c r="AI802" s="76">
        <v>76</v>
      </c>
      <c r="AJ802" s="76">
        <v>13</v>
      </c>
      <c r="AK802" s="76">
        <v>247</v>
      </c>
      <c r="AL802" s="76" t="b">
        <v>0</v>
      </c>
      <c r="AM802" s="78">
        <v>39983.80537037037</v>
      </c>
      <c r="AN802" s="76" t="s">
        <v>18113</v>
      </c>
      <c r="AO802" s="76" t="s">
        <v>18879</v>
      </c>
      <c r="AP802" s="83" t="str">
        <f>HYPERLINK("https://t.co/Y9GqlEhKgy")</f>
        <v>https://t.co/Y9GqlEhKgy</v>
      </c>
      <c r="AQ802" s="83" t="str">
        <f>HYPERLINK("http://www.iconeeditora.com.br")</f>
        <v>http://www.iconeeditora.com.br</v>
      </c>
      <c r="AR802" s="76" t="s">
        <v>19480</v>
      </c>
      <c r="AS802" s="76"/>
      <c r="AT802" s="76"/>
      <c r="AU802" s="76"/>
      <c r="AV802" s="76"/>
      <c r="AW802" s="83" t="str">
        <f>HYPERLINK("https://t.co/Y9GqlEhKgy")</f>
        <v>https://t.co/Y9GqlEhKgy</v>
      </c>
      <c r="AX802" s="76" t="b">
        <v>0</v>
      </c>
      <c r="AY802" s="76"/>
      <c r="AZ802" s="76"/>
      <c r="BA802" s="76" t="b">
        <v>0</v>
      </c>
      <c r="BB802" s="76" t="b">
        <v>1</v>
      </c>
      <c r="BC802" s="76" t="b">
        <v>0</v>
      </c>
      <c r="BD802" s="76" t="b">
        <v>0</v>
      </c>
      <c r="BE802" s="76" t="b">
        <v>0</v>
      </c>
      <c r="BF802" s="76" t="b">
        <v>0</v>
      </c>
      <c r="BG802" s="76" t="b">
        <v>0</v>
      </c>
      <c r="BH802" s="83" t="str">
        <f>HYPERLINK("https://pbs.twimg.com/profile_banners/48799494/1572636428")</f>
        <v>https://pbs.twimg.com/profile_banners/48799494/1572636428</v>
      </c>
      <c r="BI802" s="76"/>
      <c r="BJ802" s="76" t="s">
        <v>19633</v>
      </c>
      <c r="BK802" s="76" t="b">
        <v>0</v>
      </c>
      <c r="BL802" s="76"/>
      <c r="BM802" s="76" t="s">
        <v>66</v>
      </c>
      <c r="BN802" s="76" t="s">
        <v>19635</v>
      </c>
      <c r="BO802" s="83" t="str">
        <f>HYPERLINK("https://twitter.com/iconeeditora")</f>
        <v>https://twitter.com/iconeeditora</v>
      </c>
      <c r="BP802" s="2"/>
    </row>
    <row r="803" spans="1:68" x14ac:dyDescent="0.25">
      <c r="A803" s="62" t="s">
        <v>942</v>
      </c>
      <c r="B803" s="63"/>
      <c r="C803" s="63"/>
      <c r="D803" s="64"/>
      <c r="E803" s="66"/>
      <c r="F803" s="103" t="str">
        <f>HYPERLINK("https://pbs.twimg.com/profile_images/1635301428506902529/8WHupNfJ_normal.jpg")</f>
        <v>https://pbs.twimg.com/profile_images/1635301428506902529/8WHupNfJ_normal.jpg</v>
      </c>
      <c r="G803" s="63"/>
      <c r="H803" s="67"/>
      <c r="I803" s="68"/>
      <c r="J803" s="68"/>
      <c r="K803" s="67" t="s">
        <v>20435</v>
      </c>
      <c r="L803" s="71"/>
      <c r="M803" s="72"/>
      <c r="N803" s="72"/>
      <c r="O803" s="73"/>
      <c r="P803" s="74"/>
      <c r="Q803" s="74"/>
      <c r="R803" s="87"/>
      <c r="S803" s="87"/>
      <c r="T803" s="87"/>
      <c r="U803" s="87"/>
      <c r="V803" s="48"/>
      <c r="W803" s="48"/>
      <c r="X803" s="47">
        <v>1.101E-3</v>
      </c>
      <c r="Y803" s="48"/>
      <c r="Z803" s="47"/>
      <c r="AA803" s="69">
        <v>803</v>
      </c>
      <c r="AB803" s="69"/>
      <c r="AC803" s="70"/>
      <c r="AD803" s="76" t="s">
        <v>17426</v>
      </c>
      <c r="AE803" s="81" t="s">
        <v>16548</v>
      </c>
      <c r="AF803" s="76">
        <v>1</v>
      </c>
      <c r="AG803" s="76">
        <v>8</v>
      </c>
      <c r="AH803" s="76">
        <v>1</v>
      </c>
      <c r="AI803" s="76">
        <v>0</v>
      </c>
      <c r="AJ803" s="76">
        <v>0</v>
      </c>
      <c r="AK803" s="76">
        <v>0</v>
      </c>
      <c r="AL803" s="76" t="b">
        <v>0</v>
      </c>
      <c r="AM803" s="78">
        <v>44998.642511574071</v>
      </c>
      <c r="AN803" s="76"/>
      <c r="AO803" s="76" t="s">
        <v>18880</v>
      </c>
      <c r="AP803" s="76"/>
      <c r="AQ803" s="76"/>
      <c r="AR803" s="76"/>
      <c r="AS803" s="76"/>
      <c r="AT803" s="76"/>
      <c r="AU803" s="76"/>
      <c r="AV803" s="76"/>
      <c r="AW803" s="76"/>
      <c r="AX803" s="76" t="b">
        <v>0</v>
      </c>
      <c r="AY803" s="76"/>
      <c r="AZ803" s="76"/>
      <c r="BA803" s="76" t="b">
        <v>0</v>
      </c>
      <c r="BB803" s="76" t="b">
        <v>1</v>
      </c>
      <c r="BC803" s="76" t="b">
        <v>1</v>
      </c>
      <c r="BD803" s="76" t="b">
        <v>0</v>
      </c>
      <c r="BE803" s="76" t="b">
        <v>0</v>
      </c>
      <c r="BF803" s="76" t="b">
        <v>0</v>
      </c>
      <c r="BG803" s="76" t="b">
        <v>0</v>
      </c>
      <c r="BH803" s="76"/>
      <c r="BI803" s="76"/>
      <c r="BJ803" s="76" t="s">
        <v>19633</v>
      </c>
      <c r="BK803" s="76" t="b">
        <v>0</v>
      </c>
      <c r="BL803" s="76"/>
      <c r="BM803" s="76" t="s">
        <v>66</v>
      </c>
      <c r="BN803" s="76" t="s">
        <v>19635</v>
      </c>
      <c r="BO803" s="83" t="str">
        <f>HYPERLINK("https://twitter.com/econefinancas")</f>
        <v>https://twitter.com/econefinancas</v>
      </c>
      <c r="BP803" s="2"/>
    </row>
    <row r="804" spans="1:68" x14ac:dyDescent="0.25">
      <c r="A804" s="62" t="s">
        <v>943</v>
      </c>
      <c r="B804" s="63"/>
      <c r="C804" s="63"/>
      <c r="D804" s="64"/>
      <c r="E804" s="66"/>
      <c r="F804" s="103" t="str">
        <f>HYPERLINK("https://pbs.twimg.com/profile_images/1621369206347276290/TjqvTRGe_normal.jpg")</f>
        <v>https://pbs.twimg.com/profile_images/1621369206347276290/TjqvTRGe_normal.jpg</v>
      </c>
      <c r="G804" s="63"/>
      <c r="H804" s="67"/>
      <c r="I804" s="68"/>
      <c r="J804" s="68"/>
      <c r="K804" s="67" t="s">
        <v>20436</v>
      </c>
      <c r="L804" s="71"/>
      <c r="M804" s="72"/>
      <c r="N804" s="72"/>
      <c r="O804" s="73"/>
      <c r="P804" s="74"/>
      <c r="Q804" s="74"/>
      <c r="R804" s="87"/>
      <c r="S804" s="87"/>
      <c r="T804" s="87"/>
      <c r="U804" s="87"/>
      <c r="V804" s="48"/>
      <c r="W804" s="48"/>
      <c r="X804" s="47">
        <v>1.101E-3</v>
      </c>
      <c r="Y804" s="48"/>
      <c r="Z804" s="47"/>
      <c r="AA804" s="69">
        <v>804</v>
      </c>
      <c r="AB804" s="69"/>
      <c r="AC804" s="70"/>
      <c r="AD804" s="76" t="s">
        <v>17427</v>
      </c>
      <c r="AE804" s="81" t="s">
        <v>16549</v>
      </c>
      <c r="AF804" s="76">
        <v>12</v>
      </c>
      <c r="AG804" s="76">
        <v>122</v>
      </c>
      <c r="AH804" s="76">
        <v>323</v>
      </c>
      <c r="AI804" s="76">
        <v>0</v>
      </c>
      <c r="AJ804" s="76">
        <v>5059</v>
      </c>
      <c r="AK804" s="76">
        <v>32</v>
      </c>
      <c r="AL804" s="76" t="b">
        <v>0</v>
      </c>
      <c r="AM804" s="78">
        <v>43264.240219907406</v>
      </c>
      <c r="AN804" s="76" t="s">
        <v>18114</v>
      </c>
      <c r="AO804" s="76" t="s">
        <v>18881</v>
      </c>
      <c r="AP804" s="83" t="str">
        <f>HYPERLINK("https://t.co/DQtM0Pn70u")</f>
        <v>https://t.co/DQtM0Pn70u</v>
      </c>
      <c r="AQ804" s="83" t="str">
        <f>HYPERLINK("https://www.mlabspages.com/investmente/investmente")</f>
        <v>https://www.mlabspages.com/investmente/investmente</v>
      </c>
      <c r="AR804" s="76" t="s">
        <v>19481</v>
      </c>
      <c r="AS804" s="76"/>
      <c r="AT804" s="76"/>
      <c r="AU804" s="76"/>
      <c r="AV804" s="76"/>
      <c r="AW804" s="83" t="str">
        <f>HYPERLINK("https://t.co/DQtM0Pn70u")</f>
        <v>https://t.co/DQtM0Pn70u</v>
      </c>
      <c r="AX804" s="76" t="b">
        <v>0</v>
      </c>
      <c r="AY804" s="76"/>
      <c r="AZ804" s="76"/>
      <c r="BA804" s="76" t="b">
        <v>0</v>
      </c>
      <c r="BB804" s="76" t="b">
        <v>1</v>
      </c>
      <c r="BC804" s="76" t="b">
        <v>1</v>
      </c>
      <c r="BD804" s="76" t="b">
        <v>0</v>
      </c>
      <c r="BE804" s="76" t="b">
        <v>1</v>
      </c>
      <c r="BF804" s="76" t="b">
        <v>0</v>
      </c>
      <c r="BG804" s="76" t="b">
        <v>1</v>
      </c>
      <c r="BH804" s="83" t="str">
        <f>HYPERLINK("https://pbs.twimg.com/profile_banners/1006774648166641665/1675394127")</f>
        <v>https://pbs.twimg.com/profile_banners/1006774648166641665/1675394127</v>
      </c>
      <c r="BI804" s="76"/>
      <c r="BJ804" s="76" t="s">
        <v>19633</v>
      </c>
      <c r="BK804" s="76" t="b">
        <v>0</v>
      </c>
      <c r="BL804" s="76"/>
      <c r="BM804" s="76" t="s">
        <v>66</v>
      </c>
      <c r="BN804" s="76" t="s">
        <v>19635</v>
      </c>
      <c r="BO804" s="83" t="str">
        <f>HYPERLINK("https://twitter.com/wanderdossant11")</f>
        <v>https://twitter.com/wanderdossant11</v>
      </c>
      <c r="BP804" s="2"/>
    </row>
    <row r="805" spans="1:68" x14ac:dyDescent="0.25">
      <c r="A805" s="62" t="s">
        <v>944</v>
      </c>
      <c r="B805" s="63"/>
      <c r="C805" s="63"/>
      <c r="D805" s="64"/>
      <c r="E805" s="66"/>
      <c r="F805" s="103" t="str">
        <f>HYPERLINK("https://pbs.twimg.com/profile_images/1394560389283733504/fXVSfDJN_normal.jpg")</f>
        <v>https://pbs.twimg.com/profile_images/1394560389283733504/fXVSfDJN_normal.jpg</v>
      </c>
      <c r="G805" s="63"/>
      <c r="H805" s="67"/>
      <c r="I805" s="68"/>
      <c r="J805" s="68"/>
      <c r="K805" s="67" t="s">
        <v>20437</v>
      </c>
      <c r="L805" s="71"/>
      <c r="M805" s="72"/>
      <c r="N805" s="72"/>
      <c r="O805" s="73"/>
      <c r="P805" s="74"/>
      <c r="Q805" s="74"/>
      <c r="R805" s="87"/>
      <c r="S805" s="87"/>
      <c r="T805" s="87"/>
      <c r="U805" s="87"/>
      <c r="V805" s="48"/>
      <c r="W805" s="48"/>
      <c r="X805" s="47">
        <v>1.101E-3</v>
      </c>
      <c r="Y805" s="48"/>
      <c r="Z805" s="47"/>
      <c r="AA805" s="69">
        <v>805</v>
      </c>
      <c r="AB805" s="69"/>
      <c r="AC805" s="70"/>
      <c r="AD805" s="76" t="s">
        <v>17428</v>
      </c>
      <c r="AE805" s="81" t="s">
        <v>15789</v>
      </c>
      <c r="AF805" s="76">
        <v>6569</v>
      </c>
      <c r="AG805" s="76">
        <v>304</v>
      </c>
      <c r="AH805" s="76">
        <v>5511</v>
      </c>
      <c r="AI805" s="76">
        <v>77</v>
      </c>
      <c r="AJ805" s="76">
        <v>7757</v>
      </c>
      <c r="AK805" s="76">
        <v>1681</v>
      </c>
      <c r="AL805" s="76" t="b">
        <v>0</v>
      </c>
      <c r="AM805" s="78">
        <v>43816.597442129627</v>
      </c>
      <c r="AN805" s="76"/>
      <c r="AO805" s="76" t="s">
        <v>18882</v>
      </c>
      <c r="AP805" s="83" t="str">
        <f>HYPERLINK("https://t.co/QbLRj8G4Mg")</f>
        <v>https://t.co/QbLRj8G4Mg</v>
      </c>
      <c r="AQ805" s="83" t="str">
        <f>HYPERLINK("https://nousi.finance/")</f>
        <v>https://nousi.finance/</v>
      </c>
      <c r="AR805" s="76" t="s">
        <v>19482</v>
      </c>
      <c r="AS805" s="76"/>
      <c r="AT805" s="76"/>
      <c r="AU805" s="76"/>
      <c r="AV805" s="76"/>
      <c r="AW805" s="83" t="str">
        <f>HYPERLINK("https://t.co/QbLRj8G4Mg")</f>
        <v>https://t.co/QbLRj8G4Mg</v>
      </c>
      <c r="AX805" s="76" t="b">
        <v>1</v>
      </c>
      <c r="AY805" s="76"/>
      <c r="AZ805" s="76"/>
      <c r="BA805" s="76" t="b">
        <v>0</v>
      </c>
      <c r="BB805" s="76" t="b">
        <v>0</v>
      </c>
      <c r="BC805" s="76" t="b">
        <v>1</v>
      </c>
      <c r="BD805" s="76" t="b">
        <v>0</v>
      </c>
      <c r="BE805" s="76" t="b">
        <v>1</v>
      </c>
      <c r="BF805" s="76" t="b">
        <v>0</v>
      </c>
      <c r="BG805" s="76" t="b">
        <v>0</v>
      </c>
      <c r="BH805" s="83" t="str">
        <f>HYPERLINK("https://pbs.twimg.com/profile_banners/1206942103735095296/1673195525")</f>
        <v>https://pbs.twimg.com/profile_banners/1206942103735095296/1673195525</v>
      </c>
      <c r="BI805" s="76"/>
      <c r="BJ805" s="76" t="s">
        <v>19633</v>
      </c>
      <c r="BK805" s="76" t="b">
        <v>0</v>
      </c>
      <c r="BL805" s="76"/>
      <c r="BM805" s="76" t="s">
        <v>66</v>
      </c>
      <c r="BN805" s="76" t="s">
        <v>19635</v>
      </c>
      <c r="BO805" s="83" t="str">
        <f>HYPERLINK("https://twitter.com/andreynousi")</f>
        <v>https://twitter.com/andreynousi</v>
      </c>
      <c r="BP805" s="2"/>
    </row>
    <row r="806" spans="1:68" x14ac:dyDescent="0.25">
      <c r="A806" s="62" t="s">
        <v>945</v>
      </c>
      <c r="B806" s="63"/>
      <c r="C806" s="63"/>
      <c r="D806" s="64"/>
      <c r="E806" s="66"/>
      <c r="F806" s="103" t="str">
        <f>HYPERLINK("https://pbs.twimg.com/profile_images/1561266924667162624/pXvjyAYE_normal.jpg")</f>
        <v>https://pbs.twimg.com/profile_images/1561266924667162624/pXvjyAYE_normal.jpg</v>
      </c>
      <c r="G806" s="63"/>
      <c r="H806" s="67"/>
      <c r="I806" s="68"/>
      <c r="J806" s="68"/>
      <c r="K806" s="67" t="s">
        <v>20438</v>
      </c>
      <c r="L806" s="71"/>
      <c r="M806" s="72"/>
      <c r="N806" s="72"/>
      <c r="O806" s="73"/>
      <c r="P806" s="74"/>
      <c r="Q806" s="74"/>
      <c r="R806" s="87"/>
      <c r="S806" s="87"/>
      <c r="T806" s="87"/>
      <c r="U806" s="87"/>
      <c r="V806" s="48"/>
      <c r="W806" s="48"/>
      <c r="X806" s="47">
        <v>1.101E-3</v>
      </c>
      <c r="Y806" s="48"/>
      <c r="Z806" s="47"/>
      <c r="AA806" s="69">
        <v>806</v>
      </c>
      <c r="AB806" s="69"/>
      <c r="AC806" s="70"/>
      <c r="AD806" s="76" t="s">
        <v>17429</v>
      </c>
      <c r="AE806" s="81" t="s">
        <v>16550</v>
      </c>
      <c r="AF806" s="76">
        <v>7</v>
      </c>
      <c r="AG806" s="76">
        <v>86</v>
      </c>
      <c r="AH806" s="76">
        <v>341</v>
      </c>
      <c r="AI806" s="76">
        <v>0</v>
      </c>
      <c r="AJ806" s="76">
        <v>253</v>
      </c>
      <c r="AK806" s="76">
        <v>44</v>
      </c>
      <c r="AL806" s="76" t="b">
        <v>0</v>
      </c>
      <c r="AM806" s="78">
        <v>44794.347407407404</v>
      </c>
      <c r="AN806" s="76"/>
      <c r="AO806" s="76" t="s">
        <v>18883</v>
      </c>
      <c r="AP806" s="76"/>
      <c r="AQ806" s="76"/>
      <c r="AR806" s="76"/>
      <c r="AS806" s="76"/>
      <c r="AT806" s="76"/>
      <c r="AU806" s="76"/>
      <c r="AV806" s="76">
        <v>1.69432112161586E+18</v>
      </c>
      <c r="AW806" s="76"/>
      <c r="AX806" s="76" t="b">
        <v>0</v>
      </c>
      <c r="AY806" s="76"/>
      <c r="AZ806" s="76"/>
      <c r="BA806" s="76" t="b">
        <v>0</v>
      </c>
      <c r="BB806" s="76" t="b">
        <v>1</v>
      </c>
      <c r="BC806" s="76" t="b">
        <v>1</v>
      </c>
      <c r="BD806" s="76" t="b">
        <v>0</v>
      </c>
      <c r="BE806" s="76" t="b">
        <v>1</v>
      </c>
      <c r="BF806" s="76" t="b">
        <v>0</v>
      </c>
      <c r="BG806" s="76" t="b">
        <v>0</v>
      </c>
      <c r="BH806" s="83" t="str">
        <f>HYPERLINK("https://pbs.twimg.com/profile_banners/1561266868119547904/1664028528")</f>
        <v>https://pbs.twimg.com/profile_banners/1561266868119547904/1664028528</v>
      </c>
      <c r="BI806" s="76"/>
      <c r="BJ806" s="76" t="s">
        <v>19633</v>
      </c>
      <c r="BK806" s="76" t="b">
        <v>0</v>
      </c>
      <c r="BL806" s="76"/>
      <c r="BM806" s="76" t="s">
        <v>66</v>
      </c>
      <c r="BN806" s="76" t="s">
        <v>19635</v>
      </c>
      <c r="BO806" s="83" t="str">
        <f>HYPERLINK("https://twitter.com/sageousthoughts")</f>
        <v>https://twitter.com/sageousthoughts</v>
      </c>
      <c r="BP806" s="2"/>
    </row>
    <row r="807" spans="1:68" x14ac:dyDescent="0.25">
      <c r="A807" s="62" t="s">
        <v>946</v>
      </c>
      <c r="B807" s="63"/>
      <c r="C807" s="63"/>
      <c r="D807" s="64"/>
      <c r="E807" s="66"/>
      <c r="F807" s="10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G807" s="63"/>
      <c r="H807" s="67"/>
      <c r="I807" s="68"/>
      <c r="J807" s="68"/>
      <c r="K807" s="67" t="s">
        <v>20439</v>
      </c>
      <c r="L807" s="71"/>
      <c r="M807" s="72"/>
      <c r="N807" s="72"/>
      <c r="O807" s="73"/>
      <c r="P807" s="74"/>
      <c r="Q807" s="74"/>
      <c r="R807" s="87"/>
      <c r="S807" s="87"/>
      <c r="T807" s="87"/>
      <c r="U807" s="87"/>
      <c r="V807" s="48"/>
      <c r="W807" s="48"/>
      <c r="X807" s="47">
        <v>1.101E-3</v>
      </c>
      <c r="Y807" s="48"/>
      <c r="Z807" s="47"/>
      <c r="AA807" s="69">
        <v>807</v>
      </c>
      <c r="AB807" s="69"/>
      <c r="AC807" s="70"/>
      <c r="AD807" s="76" t="s">
        <v>17430</v>
      </c>
      <c r="AE807" s="81" t="s">
        <v>17805</v>
      </c>
      <c r="AF807" s="76">
        <v>77</v>
      </c>
      <c r="AG807" s="76">
        <v>122</v>
      </c>
      <c r="AH807" s="76">
        <v>5801</v>
      </c>
      <c r="AI807" s="76">
        <v>0</v>
      </c>
      <c r="AJ807" s="76">
        <v>1685</v>
      </c>
      <c r="AK807" s="76">
        <v>1142</v>
      </c>
      <c r="AL807" s="76" t="b">
        <v>0</v>
      </c>
      <c r="AM807" s="78">
        <v>40225.20175925926</v>
      </c>
      <c r="AN807" s="76" t="s">
        <v>10561</v>
      </c>
      <c r="AO807" s="76" t="s">
        <v>18884</v>
      </c>
      <c r="AP807" s="83" t="str">
        <f>HYPERLINK("https://t.co/ygkymBzGYq")</f>
        <v>https://t.co/ygkymBzGYq</v>
      </c>
      <c r="AQ807" s="83" t="str">
        <f>HYPERLINK("https://nakatanis.wordpress.com/")</f>
        <v>https://nakatanis.wordpress.com/</v>
      </c>
      <c r="AR807" s="76" t="s">
        <v>19483</v>
      </c>
      <c r="AS807" s="76"/>
      <c r="AT807" s="76"/>
      <c r="AU807" s="76"/>
      <c r="AV807" s="76"/>
      <c r="AW807" s="83" t="str">
        <f>HYPERLINK("https://t.co/ygkymBzGYq")</f>
        <v>https://t.co/ygkymBzGYq</v>
      </c>
      <c r="AX807" s="76" t="b">
        <v>0</v>
      </c>
      <c r="AY807" s="76"/>
      <c r="AZ807" s="76"/>
      <c r="BA807" s="76" t="b">
        <v>0</v>
      </c>
      <c r="BB807" s="76" t="b">
        <v>0</v>
      </c>
      <c r="BC807" s="76" t="b">
        <v>0</v>
      </c>
      <c r="BD807" s="76" t="b">
        <v>0</v>
      </c>
      <c r="BE807" s="76" t="b">
        <v>1</v>
      </c>
      <c r="BF807" s="76" t="b">
        <v>0</v>
      </c>
      <c r="BG807" s="76" t="b">
        <v>0</v>
      </c>
      <c r="BH807" s="83" t="str">
        <f>HYPERLINK("https://pbs.twimg.com/profile_banners/114651521/1518484415")</f>
        <v>https://pbs.twimg.com/profile_banners/114651521/1518484415</v>
      </c>
      <c r="BI807" s="76"/>
      <c r="BJ807" s="76" t="s">
        <v>19633</v>
      </c>
      <c r="BK807" s="76" t="b">
        <v>0</v>
      </c>
      <c r="BL807" s="76"/>
      <c r="BM807" s="76" t="s">
        <v>66</v>
      </c>
      <c r="BN807" s="76" t="s">
        <v>19635</v>
      </c>
      <c r="BO807" s="83" t="str">
        <f>HYPERLINK("https://twitter.com/shnakatani")</f>
        <v>https://twitter.com/shnakatani</v>
      </c>
      <c r="BP807" s="2"/>
    </row>
    <row r="808" spans="1:68" x14ac:dyDescent="0.25">
      <c r="A808" s="62" t="s">
        <v>947</v>
      </c>
      <c r="B808" s="63"/>
      <c r="C808" s="63"/>
      <c r="D808" s="64"/>
      <c r="E808" s="66"/>
      <c r="F808" s="103" t="str">
        <f>HYPERLINK("https://pbs.twimg.com/profile_images/1559877625153290241/9hGRrezQ_normal.jpg")</f>
        <v>https://pbs.twimg.com/profile_images/1559877625153290241/9hGRrezQ_normal.jpg</v>
      </c>
      <c r="G808" s="63"/>
      <c r="H808" s="67"/>
      <c r="I808" s="68"/>
      <c r="J808" s="68"/>
      <c r="K808" s="67" t="s">
        <v>20440</v>
      </c>
      <c r="L808" s="71"/>
      <c r="M808" s="72"/>
      <c r="N808" s="72"/>
      <c r="O808" s="73"/>
      <c r="P808" s="74"/>
      <c r="Q808" s="74"/>
      <c r="R808" s="87"/>
      <c r="S808" s="87"/>
      <c r="T808" s="87"/>
      <c r="U808" s="87"/>
      <c r="V808" s="48"/>
      <c r="W808" s="48"/>
      <c r="X808" s="47">
        <v>1.101E-3</v>
      </c>
      <c r="Y808" s="48"/>
      <c r="Z808" s="47"/>
      <c r="AA808" s="69">
        <v>808</v>
      </c>
      <c r="AB808" s="69"/>
      <c r="AC808" s="70"/>
      <c r="AD808" s="76" t="s">
        <v>17431</v>
      </c>
      <c r="AE808" s="81" t="s">
        <v>16551</v>
      </c>
      <c r="AF808" s="76">
        <v>1</v>
      </c>
      <c r="AG808" s="76">
        <v>17</v>
      </c>
      <c r="AH808" s="76">
        <v>57</v>
      </c>
      <c r="AI808" s="76">
        <v>0</v>
      </c>
      <c r="AJ808" s="76">
        <v>24</v>
      </c>
      <c r="AK808" s="76">
        <v>2</v>
      </c>
      <c r="AL808" s="76" t="b">
        <v>0</v>
      </c>
      <c r="AM808" s="78">
        <v>44790.513668981483</v>
      </c>
      <c r="AN808" s="76"/>
      <c r="AO808" s="76" t="s">
        <v>18885</v>
      </c>
      <c r="AP808" s="76"/>
      <c r="AQ808" s="76"/>
      <c r="AR808" s="76"/>
      <c r="AS808" s="76"/>
      <c r="AT808" s="76"/>
      <c r="AU808" s="76"/>
      <c r="AV808" s="76">
        <v>1.5979663299230999E+18</v>
      </c>
      <c r="AW808" s="76"/>
      <c r="AX808" s="76" t="b">
        <v>0</v>
      </c>
      <c r="AY808" s="76"/>
      <c r="AZ808" s="76"/>
      <c r="BA808" s="76" t="b">
        <v>0</v>
      </c>
      <c r="BB808" s="76" t="b">
        <v>1</v>
      </c>
      <c r="BC808" s="76" t="b">
        <v>1</v>
      </c>
      <c r="BD808" s="76" t="b">
        <v>0</v>
      </c>
      <c r="BE808" s="76" t="b">
        <v>0</v>
      </c>
      <c r="BF808" s="76" t="b">
        <v>0</v>
      </c>
      <c r="BG808" s="76" t="b">
        <v>0</v>
      </c>
      <c r="BH808" s="83" t="str">
        <f>HYPERLINK("https://pbs.twimg.com/profile_banners/1559877426162941953/1674570014")</f>
        <v>https://pbs.twimg.com/profile_banners/1559877426162941953/1674570014</v>
      </c>
      <c r="BI808" s="76"/>
      <c r="BJ808" s="76" t="s">
        <v>19633</v>
      </c>
      <c r="BK808" s="76" t="b">
        <v>0</v>
      </c>
      <c r="BL808" s="76"/>
      <c r="BM808" s="76" t="s">
        <v>66</v>
      </c>
      <c r="BN808" s="76" t="s">
        <v>19635</v>
      </c>
      <c r="BO808" s="83" t="str">
        <f>HYPERLINK("https://twitter.com/nitiele_finance")</f>
        <v>https://twitter.com/nitiele_finance</v>
      </c>
      <c r="BP808" s="2"/>
    </row>
    <row r="809" spans="1:68" x14ac:dyDescent="0.25">
      <c r="A809" s="62" t="s">
        <v>948</v>
      </c>
      <c r="B809" s="63"/>
      <c r="C809" s="63"/>
      <c r="D809" s="64"/>
      <c r="E809" s="66"/>
      <c r="F809" s="103" t="str">
        <f>HYPERLINK("https://pbs.twimg.com/profile_images/1660350458639130629/9UUOGTk6_normal.jpg")</f>
        <v>https://pbs.twimg.com/profile_images/1660350458639130629/9UUOGTk6_normal.jpg</v>
      </c>
      <c r="G809" s="63"/>
      <c r="H809" s="67"/>
      <c r="I809" s="68"/>
      <c r="J809" s="68"/>
      <c r="K809" s="67" t="s">
        <v>20441</v>
      </c>
      <c r="L809" s="71"/>
      <c r="M809" s="72"/>
      <c r="N809" s="72"/>
      <c r="O809" s="73"/>
      <c r="P809" s="74"/>
      <c r="Q809" s="74"/>
      <c r="R809" s="87"/>
      <c r="S809" s="87"/>
      <c r="T809" s="87"/>
      <c r="U809" s="87"/>
      <c r="V809" s="48"/>
      <c r="W809" s="48"/>
      <c r="X809" s="47">
        <v>1.101E-3</v>
      </c>
      <c r="Y809" s="48"/>
      <c r="Z809" s="47"/>
      <c r="AA809" s="69">
        <v>809</v>
      </c>
      <c r="AB809" s="69"/>
      <c r="AC809" s="70"/>
      <c r="AD809" s="76" t="s">
        <v>17432</v>
      </c>
      <c r="AE809" s="81" t="s">
        <v>17806</v>
      </c>
      <c r="AF809" s="76">
        <v>93</v>
      </c>
      <c r="AG809" s="76">
        <v>1884</v>
      </c>
      <c r="AH809" s="76">
        <v>902</v>
      </c>
      <c r="AI809" s="76">
        <v>0</v>
      </c>
      <c r="AJ809" s="76">
        <v>8625</v>
      </c>
      <c r="AK809" s="76">
        <v>255</v>
      </c>
      <c r="AL809" s="76" t="b">
        <v>0</v>
      </c>
      <c r="AM809" s="78">
        <v>42333.556122685186</v>
      </c>
      <c r="AN809" s="76" t="s">
        <v>18115</v>
      </c>
      <c r="AO809" s="76" t="s">
        <v>18886</v>
      </c>
      <c r="AP809" s="83" t="str">
        <f>HYPERLINK("https://t.co/vMDrOA5NPr")</f>
        <v>https://t.co/vMDrOA5NPr</v>
      </c>
      <c r="AQ809" s="83" t="str">
        <f>HYPERLINK("http://instagram.com/@manderlinycosta")</f>
        <v>http://instagram.com/@manderlinycosta</v>
      </c>
      <c r="AR809" s="76" t="s">
        <v>19484</v>
      </c>
      <c r="AS809" s="76"/>
      <c r="AT809" s="76"/>
      <c r="AU809" s="76"/>
      <c r="AV809" s="76">
        <v>1.6634955125850601E+18</v>
      </c>
      <c r="AW809" s="83" t="str">
        <f>HYPERLINK("https://t.co/vMDrOA5NPr")</f>
        <v>https://t.co/vMDrOA5NPr</v>
      </c>
      <c r="AX809" s="76" t="b">
        <v>0</v>
      </c>
      <c r="AY809" s="76"/>
      <c r="AZ809" s="76"/>
      <c r="BA809" s="76" t="b">
        <v>0</v>
      </c>
      <c r="BB809" s="76" t="b">
        <v>1</v>
      </c>
      <c r="BC809" s="76" t="b">
        <v>1</v>
      </c>
      <c r="BD809" s="76" t="b">
        <v>0</v>
      </c>
      <c r="BE809" s="76" t="b">
        <v>0</v>
      </c>
      <c r="BF809" s="76" t="b">
        <v>0</v>
      </c>
      <c r="BG809" s="76" t="b">
        <v>0</v>
      </c>
      <c r="BH809" s="83" t="str">
        <f>HYPERLINK("https://pbs.twimg.com/profile_banners/4274761517/1684693448")</f>
        <v>https://pbs.twimg.com/profile_banners/4274761517/1684693448</v>
      </c>
      <c r="BI809" s="76"/>
      <c r="BJ809" s="76" t="s">
        <v>19633</v>
      </c>
      <c r="BK809" s="76" t="b">
        <v>0</v>
      </c>
      <c r="BL809" s="76"/>
      <c r="BM809" s="76" t="s">
        <v>66</v>
      </c>
      <c r="BN809" s="76" t="s">
        <v>19635</v>
      </c>
      <c r="BO809" s="83" t="str">
        <f>HYPERLINK("https://twitter.com/manderlinyde")</f>
        <v>https://twitter.com/manderlinyde</v>
      </c>
      <c r="BP809" s="2"/>
    </row>
    <row r="810" spans="1:68" x14ac:dyDescent="0.25">
      <c r="A810" s="62" t="s">
        <v>949</v>
      </c>
      <c r="B810" s="63"/>
      <c r="C810" s="63"/>
      <c r="D810" s="64"/>
      <c r="E810" s="66"/>
      <c r="F810" s="103" t="str">
        <f>HYPERLINK("https://pbs.twimg.com/profile_images/1608917072813121536/WqFpVaL7_normal.jpg")</f>
        <v>https://pbs.twimg.com/profile_images/1608917072813121536/WqFpVaL7_normal.jpg</v>
      </c>
      <c r="G810" s="63"/>
      <c r="H810" s="67"/>
      <c r="I810" s="68"/>
      <c r="J810" s="68"/>
      <c r="K810" s="67" t="s">
        <v>20442</v>
      </c>
      <c r="L810" s="71"/>
      <c r="M810" s="72"/>
      <c r="N810" s="72"/>
      <c r="O810" s="73"/>
      <c r="P810" s="74"/>
      <c r="Q810" s="74"/>
      <c r="R810" s="87"/>
      <c r="S810" s="87"/>
      <c r="T810" s="87"/>
      <c r="U810" s="87"/>
      <c r="V810" s="48"/>
      <c r="W810" s="48"/>
      <c r="X810" s="47">
        <v>1.101E-3</v>
      </c>
      <c r="Y810" s="48"/>
      <c r="Z810" s="47"/>
      <c r="AA810" s="69">
        <v>810</v>
      </c>
      <c r="AB810" s="69"/>
      <c r="AC810" s="70"/>
      <c r="AD810" s="76" t="s">
        <v>17433</v>
      </c>
      <c r="AE810" s="81" t="s">
        <v>15790</v>
      </c>
      <c r="AF810" s="76">
        <v>1</v>
      </c>
      <c r="AG810" s="76">
        <v>94</v>
      </c>
      <c r="AH810" s="76">
        <v>24</v>
      </c>
      <c r="AI810" s="76">
        <v>0</v>
      </c>
      <c r="AJ810" s="76">
        <v>6</v>
      </c>
      <c r="AK810" s="76">
        <v>2</v>
      </c>
      <c r="AL810" s="76" t="b">
        <v>0</v>
      </c>
      <c r="AM810" s="78">
        <v>43885.197106481479</v>
      </c>
      <c r="AN810" s="76" t="s">
        <v>18114</v>
      </c>
      <c r="AO810" s="76" t="s">
        <v>18887</v>
      </c>
      <c r="AP810" s="76"/>
      <c r="AQ810" s="76"/>
      <c r="AR810" s="76"/>
      <c r="AS810" s="76"/>
      <c r="AT810" s="76"/>
      <c r="AU810" s="76"/>
      <c r="AV810" s="76"/>
      <c r="AW810" s="76"/>
      <c r="AX810" s="76" t="b">
        <v>0</v>
      </c>
      <c r="AY810" s="76"/>
      <c r="AZ810" s="76"/>
      <c r="BA810" s="76" t="b">
        <v>0</v>
      </c>
      <c r="BB810" s="76" t="b">
        <v>1</v>
      </c>
      <c r="BC810" s="76" t="b">
        <v>1</v>
      </c>
      <c r="BD810" s="76" t="b">
        <v>0</v>
      </c>
      <c r="BE810" s="76" t="b">
        <v>0</v>
      </c>
      <c r="BF810" s="76" t="b">
        <v>0</v>
      </c>
      <c r="BG810" s="76" t="b">
        <v>0</v>
      </c>
      <c r="BH810" s="83" t="str">
        <f>HYPERLINK("https://pbs.twimg.com/profile_banners/1231801837625520131/1686375529")</f>
        <v>https://pbs.twimg.com/profile_banners/1231801837625520131/1686375529</v>
      </c>
      <c r="BI810" s="76"/>
      <c r="BJ810" s="76" t="s">
        <v>19633</v>
      </c>
      <c r="BK810" s="76" t="b">
        <v>0</v>
      </c>
      <c r="BL810" s="76"/>
      <c r="BM810" s="76" t="s">
        <v>66</v>
      </c>
      <c r="BN810" s="76" t="s">
        <v>19635</v>
      </c>
      <c r="BO810" s="83" t="str">
        <f>HYPERLINK("https://twitter.com/rodrigo_asena")</f>
        <v>https://twitter.com/rodrigo_asena</v>
      </c>
      <c r="BP810" s="2"/>
    </row>
    <row r="811" spans="1:68" x14ac:dyDescent="0.25">
      <c r="A811" s="62" t="s">
        <v>950</v>
      </c>
      <c r="B811" s="63"/>
      <c r="C811" s="63"/>
      <c r="D811" s="64"/>
      <c r="E811" s="66"/>
      <c r="F811" s="103" t="str">
        <f>HYPERLINK("https://abs.twimg.com/sticky/default_profile_images/default_profile_normal.png")</f>
        <v>https://abs.twimg.com/sticky/default_profile_images/default_profile_normal.png</v>
      </c>
      <c r="G811" s="63"/>
      <c r="H811" s="67"/>
      <c r="I811" s="68"/>
      <c r="J811" s="68"/>
      <c r="K811" s="67" t="s">
        <v>20443</v>
      </c>
      <c r="L811" s="71"/>
      <c r="M811" s="72"/>
      <c r="N811" s="72"/>
      <c r="O811" s="73"/>
      <c r="P811" s="74"/>
      <c r="Q811" s="74"/>
      <c r="R811" s="87"/>
      <c r="S811" s="87"/>
      <c r="T811" s="87"/>
      <c r="U811" s="87"/>
      <c r="V811" s="48"/>
      <c r="W811" s="48"/>
      <c r="X811" s="47">
        <v>9.6500000000000004E-4</v>
      </c>
      <c r="Y811" s="48"/>
      <c r="Z811" s="47"/>
      <c r="AA811" s="69">
        <v>811</v>
      </c>
      <c r="AB811" s="69"/>
      <c r="AC811" s="70"/>
      <c r="AD811" s="76" t="s">
        <v>17434</v>
      </c>
      <c r="AE811" s="81" t="s">
        <v>16552</v>
      </c>
      <c r="AF811" s="76">
        <v>25</v>
      </c>
      <c r="AG811" s="76">
        <v>232</v>
      </c>
      <c r="AH811" s="76">
        <v>8609</v>
      </c>
      <c r="AI811" s="76">
        <v>0</v>
      </c>
      <c r="AJ811" s="76">
        <v>9199</v>
      </c>
      <c r="AK811" s="76">
        <v>39</v>
      </c>
      <c r="AL811" s="76" t="b">
        <v>0</v>
      </c>
      <c r="AM811" s="78">
        <v>42695.42559027778</v>
      </c>
      <c r="AN811" s="76"/>
      <c r="AO811" s="76"/>
      <c r="AP811" s="76"/>
      <c r="AQ811" s="76"/>
      <c r="AR811" s="76"/>
      <c r="AS811" s="76"/>
      <c r="AT811" s="76"/>
      <c r="AU811" s="76"/>
      <c r="AV811" s="76"/>
      <c r="AW811" s="76"/>
      <c r="AX811" s="76" t="b">
        <v>0</v>
      </c>
      <c r="AY811" s="76"/>
      <c r="AZ811" s="76"/>
      <c r="BA811" s="76" t="b">
        <v>0</v>
      </c>
      <c r="BB811" s="76" t="b">
        <v>1</v>
      </c>
      <c r="BC811" s="76" t="b">
        <v>1</v>
      </c>
      <c r="BD811" s="76" t="b">
        <v>1</v>
      </c>
      <c r="BE811" s="76" t="b">
        <v>1</v>
      </c>
      <c r="BF811" s="76" t="b">
        <v>0</v>
      </c>
      <c r="BG811" s="76" t="b">
        <v>0</v>
      </c>
      <c r="BH811" s="76"/>
      <c r="BI811" s="76"/>
      <c r="BJ811" s="76" t="s">
        <v>19633</v>
      </c>
      <c r="BK811" s="76" t="b">
        <v>0</v>
      </c>
      <c r="BL811" s="76"/>
      <c r="BM811" s="76" t="s">
        <v>66</v>
      </c>
      <c r="BN811" s="76" t="s">
        <v>19635</v>
      </c>
      <c r="BO811" s="83" t="str">
        <f>HYPERLINK("https://twitter.com/paschefrederico")</f>
        <v>https://twitter.com/paschefrederico</v>
      </c>
      <c r="BP811" s="2"/>
    </row>
    <row r="812" spans="1:68" x14ac:dyDescent="0.25">
      <c r="A812" s="62" t="s">
        <v>951</v>
      </c>
      <c r="B812" s="63"/>
      <c r="C812" s="63"/>
      <c r="D812" s="64"/>
      <c r="E812" s="66"/>
      <c r="F812" s="103" t="str">
        <f>HYPERLINK("https://pbs.twimg.com/profile_images/1519676322204856323/SNZvZ8lF_normal.jpg")</f>
        <v>https://pbs.twimg.com/profile_images/1519676322204856323/SNZvZ8lF_normal.jpg</v>
      </c>
      <c r="G812" s="63"/>
      <c r="H812" s="67"/>
      <c r="I812" s="68"/>
      <c r="J812" s="68"/>
      <c r="K812" s="67" t="s">
        <v>20444</v>
      </c>
      <c r="L812" s="71"/>
      <c r="M812" s="72"/>
      <c r="N812" s="72"/>
      <c r="O812" s="73"/>
      <c r="P812" s="74"/>
      <c r="Q812" s="74"/>
      <c r="R812" s="87"/>
      <c r="S812" s="87"/>
      <c r="T812" s="87"/>
      <c r="U812" s="87"/>
      <c r="V812" s="48"/>
      <c r="W812" s="48"/>
      <c r="X812" s="47">
        <v>1.101E-3</v>
      </c>
      <c r="Y812" s="48"/>
      <c r="Z812" s="47"/>
      <c r="AA812" s="69">
        <v>812</v>
      </c>
      <c r="AB812" s="69"/>
      <c r="AC812" s="70"/>
      <c r="AD812" s="76" t="s">
        <v>17435</v>
      </c>
      <c r="AE812" s="81" t="s">
        <v>16553</v>
      </c>
      <c r="AF812" s="76">
        <v>31</v>
      </c>
      <c r="AG812" s="76">
        <v>68</v>
      </c>
      <c r="AH812" s="76">
        <v>320</v>
      </c>
      <c r="AI812" s="76">
        <v>0</v>
      </c>
      <c r="AJ812" s="76">
        <v>25</v>
      </c>
      <c r="AK812" s="76">
        <v>297</v>
      </c>
      <c r="AL812" s="76" t="b">
        <v>0</v>
      </c>
      <c r="AM812" s="78">
        <v>44257.702106481483</v>
      </c>
      <c r="AN812" s="76"/>
      <c r="AO812" s="76" t="s">
        <v>18888</v>
      </c>
      <c r="AP812" s="83" t="str">
        <f>HYPERLINK("https://t.co/oJD4xEbeV6")</f>
        <v>https://t.co/oJD4xEbeV6</v>
      </c>
      <c r="AQ812" s="83" t="str">
        <f>HYPERLINK("https://fido.com.vc/")</f>
        <v>https://fido.com.vc/</v>
      </c>
      <c r="AR812" s="76" t="s">
        <v>19485</v>
      </c>
      <c r="AS812" s="76"/>
      <c r="AT812" s="76"/>
      <c r="AU812" s="76"/>
      <c r="AV812" s="76"/>
      <c r="AW812" s="83" t="str">
        <f>HYPERLINK("https://t.co/oJD4xEbeV6")</f>
        <v>https://t.co/oJD4xEbeV6</v>
      </c>
      <c r="AX812" s="76" t="b">
        <v>0</v>
      </c>
      <c r="AY812" s="76"/>
      <c r="AZ812" s="76"/>
      <c r="BA812" s="76" t="b">
        <v>0</v>
      </c>
      <c r="BB812" s="76" t="b">
        <v>1</v>
      </c>
      <c r="BC812" s="76" t="b">
        <v>1</v>
      </c>
      <c r="BD812" s="76" t="b">
        <v>0</v>
      </c>
      <c r="BE812" s="76" t="b">
        <v>0</v>
      </c>
      <c r="BF812" s="76" t="b">
        <v>0</v>
      </c>
      <c r="BG812" s="76" t="b">
        <v>0</v>
      </c>
      <c r="BH812" s="83" t="str">
        <f>HYPERLINK("https://pbs.twimg.com/profile_banners/1366792883454562305/1639061620")</f>
        <v>https://pbs.twimg.com/profile_banners/1366792883454562305/1639061620</v>
      </c>
      <c r="BI812" s="76"/>
      <c r="BJ812" s="76" t="s">
        <v>19633</v>
      </c>
      <c r="BK812" s="76" t="b">
        <v>0</v>
      </c>
      <c r="BL812" s="76"/>
      <c r="BM812" s="76" t="s">
        <v>66</v>
      </c>
      <c r="BN812" s="76" t="s">
        <v>19635</v>
      </c>
      <c r="BO812" s="83" t="str">
        <f>HYPERLINK("https://twitter.com/fidocomvc")</f>
        <v>https://twitter.com/fidocomvc</v>
      </c>
      <c r="BP812" s="2"/>
    </row>
    <row r="813" spans="1:68" x14ac:dyDescent="0.25">
      <c r="A813" s="62" t="s">
        <v>953</v>
      </c>
      <c r="B813" s="63"/>
      <c r="C813" s="63"/>
      <c r="D813" s="64"/>
      <c r="E813" s="66"/>
      <c r="F813" s="103" t="str">
        <f>HYPERLINK("https://pbs.twimg.com/profile_images/1597988315076206593/-8ElZOze_normal.png")</f>
        <v>https://pbs.twimg.com/profile_images/1597988315076206593/-8ElZOze_normal.png</v>
      </c>
      <c r="G813" s="63"/>
      <c r="H813" s="67"/>
      <c r="I813" s="68"/>
      <c r="J813" s="68"/>
      <c r="K813" s="67" t="s">
        <v>20445</v>
      </c>
      <c r="L813" s="71"/>
      <c r="M813" s="72"/>
      <c r="N813" s="72"/>
      <c r="O813" s="73"/>
      <c r="P813" s="74"/>
      <c r="Q813" s="74"/>
      <c r="R813" s="87"/>
      <c r="S813" s="87"/>
      <c r="T813" s="87"/>
      <c r="U813" s="87"/>
      <c r="V813" s="48"/>
      <c r="W813" s="48"/>
      <c r="X813" s="47">
        <v>1.101E-3</v>
      </c>
      <c r="Y813" s="48"/>
      <c r="Z813" s="47"/>
      <c r="AA813" s="69">
        <v>813</v>
      </c>
      <c r="AB813" s="69"/>
      <c r="AC813" s="70"/>
      <c r="AD813" s="76" t="s">
        <v>17436</v>
      </c>
      <c r="AE813" s="81" t="s">
        <v>17807</v>
      </c>
      <c r="AF813" s="76">
        <v>545</v>
      </c>
      <c r="AG813" s="76">
        <v>332</v>
      </c>
      <c r="AH813" s="76">
        <v>1908</v>
      </c>
      <c r="AI813" s="76">
        <v>1</v>
      </c>
      <c r="AJ813" s="76">
        <v>121</v>
      </c>
      <c r="AK813" s="76">
        <v>1045</v>
      </c>
      <c r="AL813" s="76" t="b">
        <v>0</v>
      </c>
      <c r="AM813" s="78">
        <v>41480.636979166666</v>
      </c>
      <c r="AN813" s="76" t="s">
        <v>10635</v>
      </c>
      <c r="AO813" s="76" t="s">
        <v>18889</v>
      </c>
      <c r="AP813" s="83" t="str">
        <f>HYPERLINK("https://t.co/wKO8tUxQTB")</f>
        <v>https://t.co/wKO8tUxQTB</v>
      </c>
      <c r="AQ813" s="83" t="str">
        <f>HYPERLINK("http://www.oabprev-rs.org.br")</f>
        <v>http://www.oabprev-rs.org.br</v>
      </c>
      <c r="AR813" s="76" t="s">
        <v>19486</v>
      </c>
      <c r="AS813" s="76"/>
      <c r="AT813" s="76"/>
      <c r="AU813" s="76"/>
      <c r="AV813" s="76"/>
      <c r="AW813" s="83" t="str">
        <f>HYPERLINK("https://t.co/wKO8tUxQTB")</f>
        <v>https://t.co/wKO8tUxQTB</v>
      </c>
      <c r="AX813" s="76" t="b">
        <v>0</v>
      </c>
      <c r="AY813" s="76"/>
      <c r="AZ813" s="76"/>
      <c r="BA813" s="76" t="b">
        <v>0</v>
      </c>
      <c r="BB813" s="76" t="b">
        <v>1</v>
      </c>
      <c r="BC813" s="76" t="b">
        <v>0</v>
      </c>
      <c r="BD813" s="76" t="b">
        <v>0</v>
      </c>
      <c r="BE813" s="76" t="b">
        <v>1</v>
      </c>
      <c r="BF813" s="76" t="b">
        <v>0</v>
      </c>
      <c r="BG813" s="76" t="b">
        <v>0</v>
      </c>
      <c r="BH813" s="83" t="str">
        <f>HYPERLINK("https://pbs.twimg.com/profile_banners/1620631531/1688168082")</f>
        <v>https://pbs.twimg.com/profile_banners/1620631531/1688168082</v>
      </c>
      <c r="BI813" s="76"/>
      <c r="BJ813" s="76" t="s">
        <v>19633</v>
      </c>
      <c r="BK813" s="76" t="b">
        <v>0</v>
      </c>
      <c r="BL813" s="76"/>
      <c r="BM813" s="76" t="s">
        <v>66</v>
      </c>
      <c r="BN813" s="76" t="s">
        <v>19635</v>
      </c>
      <c r="BO813" s="83" t="str">
        <f>HYPERLINK("https://twitter.com/oabprevrs")</f>
        <v>https://twitter.com/oabprevrs</v>
      </c>
      <c r="BP813" s="2"/>
    </row>
    <row r="814" spans="1:68" x14ac:dyDescent="0.25">
      <c r="A814" s="62" t="s">
        <v>954</v>
      </c>
      <c r="B814" s="63"/>
      <c r="C814" s="63"/>
      <c r="D814" s="64"/>
      <c r="E814" s="66"/>
      <c r="F814" s="103" t="str">
        <f>HYPERLINK("https://pbs.twimg.com/profile_images/1695129903639691264/MB_x005F_xbDC6_normal.jpg")</f>
        <v>https://pbs.twimg.com/profile_images/1695129903639691264/MB_x005F_xbDC6_normal.jpg</v>
      </c>
      <c r="G814" s="63"/>
      <c r="H814" s="67"/>
      <c r="I814" s="68"/>
      <c r="J814" s="68"/>
      <c r="K814" s="67" t="s">
        <v>20446</v>
      </c>
      <c r="L814" s="71"/>
      <c r="M814" s="72"/>
      <c r="N814" s="72"/>
      <c r="O814" s="73"/>
      <c r="P814" s="74"/>
      <c r="Q814" s="74"/>
      <c r="R814" s="87"/>
      <c r="S814" s="87"/>
      <c r="T814" s="87"/>
      <c r="U814" s="87"/>
      <c r="V814" s="48"/>
      <c r="W814" s="48"/>
      <c r="X814" s="47">
        <v>1.101E-3</v>
      </c>
      <c r="Y814" s="48"/>
      <c r="Z814" s="47"/>
      <c r="AA814" s="69">
        <v>814</v>
      </c>
      <c r="AB814" s="69"/>
      <c r="AC814" s="70"/>
      <c r="AD814" s="76" t="s">
        <v>17437</v>
      </c>
      <c r="AE814" s="81" t="s">
        <v>15791</v>
      </c>
      <c r="AF814" s="76">
        <v>12386</v>
      </c>
      <c r="AG814" s="76">
        <v>22</v>
      </c>
      <c r="AH814" s="76">
        <v>340</v>
      </c>
      <c r="AI814" s="76">
        <v>4</v>
      </c>
      <c r="AJ814" s="76">
        <v>87</v>
      </c>
      <c r="AK814" s="76">
        <v>119</v>
      </c>
      <c r="AL814" s="76" t="b">
        <v>0</v>
      </c>
      <c r="AM814" s="78">
        <v>42145.151365740741</v>
      </c>
      <c r="AN814" s="76"/>
      <c r="AO814" s="76" t="s">
        <v>18890</v>
      </c>
      <c r="AP814" s="83" t="str">
        <f>HYPERLINK("https://t.co/fa1w8C7AAQ")</f>
        <v>https://t.co/fa1w8C7AAQ</v>
      </c>
      <c r="AQ814" s="83" t="str">
        <f>HYPERLINK("https://linktr.ee/wiboocria")</f>
        <v>https://linktr.ee/wiboocria</v>
      </c>
      <c r="AR814" s="76" t="s">
        <v>19487</v>
      </c>
      <c r="AS814" s="76"/>
      <c r="AT814" s="76"/>
      <c r="AU814" s="76"/>
      <c r="AV814" s="76"/>
      <c r="AW814" s="83" t="str">
        <f>HYPERLINK("https://t.co/fa1w8C7AAQ")</f>
        <v>https://t.co/fa1w8C7AAQ</v>
      </c>
      <c r="AX814" s="76" t="b">
        <v>0</v>
      </c>
      <c r="AY814" s="76"/>
      <c r="AZ814" s="76"/>
      <c r="BA814" s="76" t="b">
        <v>0</v>
      </c>
      <c r="BB814" s="76" t="b">
        <v>0</v>
      </c>
      <c r="BC814" s="76" t="b">
        <v>0</v>
      </c>
      <c r="BD814" s="76" t="b">
        <v>0</v>
      </c>
      <c r="BE814" s="76" t="b">
        <v>1</v>
      </c>
      <c r="BF814" s="76" t="b">
        <v>0</v>
      </c>
      <c r="BG814" s="76" t="b">
        <v>0</v>
      </c>
      <c r="BH814" s="83" t="str">
        <f>HYPERLINK("https://pbs.twimg.com/profile_banners/3292442302/1692985438")</f>
        <v>https://pbs.twimg.com/profile_banners/3292442302/1692985438</v>
      </c>
      <c r="BI814" s="76"/>
      <c r="BJ814" s="76" t="s">
        <v>19633</v>
      </c>
      <c r="BK814" s="76" t="b">
        <v>0</v>
      </c>
      <c r="BL814" s="76"/>
      <c r="BM814" s="76" t="s">
        <v>66</v>
      </c>
      <c r="BN814" s="76" t="s">
        <v>19635</v>
      </c>
      <c r="BO814" s="83" t="str">
        <f>HYPERLINK("https://twitter.com/wiboocria_")</f>
        <v>https://twitter.com/wiboocria_</v>
      </c>
      <c r="BP814" s="2"/>
    </row>
    <row r="815" spans="1:68" x14ac:dyDescent="0.25">
      <c r="A815" s="62" t="s">
        <v>955</v>
      </c>
      <c r="B815" s="63"/>
      <c r="C815" s="63"/>
      <c r="D815" s="64"/>
      <c r="E815" s="66"/>
      <c r="F815" s="103" t="str">
        <f>HYPERLINK("https://pbs.twimg.com/profile_images/1259946623880347650/-yovfrjh_normal.png")</f>
        <v>https://pbs.twimg.com/profile_images/1259946623880347650/-yovfrjh_normal.png</v>
      </c>
      <c r="G815" s="63"/>
      <c r="H815" s="67"/>
      <c r="I815" s="68"/>
      <c r="J815" s="68"/>
      <c r="K815" s="67" t="s">
        <v>20447</v>
      </c>
      <c r="L815" s="71"/>
      <c r="M815" s="72"/>
      <c r="N815" s="72"/>
      <c r="O815" s="73"/>
      <c r="P815" s="74"/>
      <c r="Q815" s="74"/>
      <c r="R815" s="87"/>
      <c r="S815" s="87"/>
      <c r="T815" s="87"/>
      <c r="U815" s="87"/>
      <c r="V815" s="48"/>
      <c r="W815" s="48"/>
      <c r="X815" s="47">
        <v>1.101E-3</v>
      </c>
      <c r="Y815" s="48"/>
      <c r="Z815" s="47"/>
      <c r="AA815" s="69">
        <v>815</v>
      </c>
      <c r="AB815" s="69"/>
      <c r="AC815" s="70"/>
      <c r="AD815" s="76" t="s">
        <v>17438</v>
      </c>
      <c r="AE815" s="81" t="s">
        <v>16555</v>
      </c>
      <c r="AF815" s="76">
        <v>21</v>
      </c>
      <c r="AG815" s="76">
        <v>2</v>
      </c>
      <c r="AH815" s="76">
        <v>288</v>
      </c>
      <c r="AI815" s="76">
        <v>0</v>
      </c>
      <c r="AJ815" s="76">
        <v>0</v>
      </c>
      <c r="AK815" s="76">
        <v>227</v>
      </c>
      <c r="AL815" s="76" t="b">
        <v>0</v>
      </c>
      <c r="AM815" s="78">
        <v>43962.749652777777</v>
      </c>
      <c r="AN815" s="76" t="s">
        <v>17901</v>
      </c>
      <c r="AO815" s="76" t="s">
        <v>18891</v>
      </c>
      <c r="AP815" s="83" t="str">
        <f>HYPERLINK("https://t.co/2lEUHpm9zF")</f>
        <v>https://t.co/2lEUHpm9zF</v>
      </c>
      <c r="AQ815" s="83" t="str">
        <f>HYPERLINK("https://linktr.ee/neosprevidencia")</f>
        <v>https://linktr.ee/neosprevidencia</v>
      </c>
      <c r="AR815" s="76" t="s">
        <v>19488</v>
      </c>
      <c r="AS815" s="76"/>
      <c r="AT815" s="76"/>
      <c r="AU815" s="76"/>
      <c r="AV815" s="76"/>
      <c r="AW815" s="83" t="str">
        <f>HYPERLINK("https://t.co/2lEUHpm9zF")</f>
        <v>https://t.co/2lEUHpm9zF</v>
      </c>
      <c r="AX815" s="76" t="b">
        <v>0</v>
      </c>
      <c r="AY815" s="76"/>
      <c r="AZ815" s="76"/>
      <c r="BA815" s="76" t="b">
        <v>0</v>
      </c>
      <c r="BB815" s="76" t="b">
        <v>1</v>
      </c>
      <c r="BC815" s="76" t="b">
        <v>1</v>
      </c>
      <c r="BD815" s="76" t="b">
        <v>0</v>
      </c>
      <c r="BE815" s="76" t="b">
        <v>0</v>
      </c>
      <c r="BF815" s="76" t="b">
        <v>0</v>
      </c>
      <c r="BG815" s="76" t="b">
        <v>0</v>
      </c>
      <c r="BH815" s="83" t="str">
        <f>HYPERLINK("https://pbs.twimg.com/profile_banners/1259905915802828800/1627305710")</f>
        <v>https://pbs.twimg.com/profile_banners/1259905915802828800/1627305710</v>
      </c>
      <c r="BI815" s="76"/>
      <c r="BJ815" s="76" t="s">
        <v>19633</v>
      </c>
      <c r="BK815" s="76" t="b">
        <v>0</v>
      </c>
      <c r="BL815" s="76"/>
      <c r="BM815" s="76" t="s">
        <v>66</v>
      </c>
      <c r="BN815" s="76" t="s">
        <v>19635</v>
      </c>
      <c r="BO815" s="83" t="str">
        <f>HYPERLINK("https://twitter.com/previdencianeos")</f>
        <v>https://twitter.com/previdencianeos</v>
      </c>
      <c r="BP815" s="2"/>
    </row>
    <row r="816" spans="1:68" x14ac:dyDescent="0.25">
      <c r="A816" s="62" t="s">
        <v>956</v>
      </c>
      <c r="B816" s="63"/>
      <c r="C816" s="63"/>
      <c r="D816" s="64"/>
      <c r="E816" s="66"/>
      <c r="F816" s="103" t="str">
        <f>HYPERLINK("https://pbs.twimg.com/profile_images/1637891763229564944/ZyqPv_Vh_normal.jpg")</f>
        <v>https://pbs.twimg.com/profile_images/1637891763229564944/ZyqPv_Vh_normal.jpg</v>
      </c>
      <c r="G816" s="63"/>
      <c r="H816" s="67"/>
      <c r="I816" s="68"/>
      <c r="J816" s="68"/>
      <c r="K816" s="67" t="s">
        <v>20448</v>
      </c>
      <c r="L816" s="71"/>
      <c r="M816" s="72"/>
      <c r="N816" s="72"/>
      <c r="O816" s="73"/>
      <c r="P816" s="74"/>
      <c r="Q816" s="74"/>
      <c r="R816" s="87"/>
      <c r="S816" s="87"/>
      <c r="T816" s="87"/>
      <c r="U816" s="87"/>
      <c r="V816" s="48"/>
      <c r="W816" s="48"/>
      <c r="X816" s="47">
        <v>1.101E-3</v>
      </c>
      <c r="Y816" s="48"/>
      <c r="Z816" s="47"/>
      <c r="AA816" s="69">
        <v>816</v>
      </c>
      <c r="AB816" s="69"/>
      <c r="AC816" s="70"/>
      <c r="AD816" s="76" t="s">
        <v>17439</v>
      </c>
      <c r="AE816" s="81" t="s">
        <v>16556</v>
      </c>
      <c r="AF816" s="76">
        <v>2</v>
      </c>
      <c r="AG816" s="76">
        <v>65</v>
      </c>
      <c r="AH816" s="76">
        <v>34</v>
      </c>
      <c r="AI816" s="76">
        <v>0</v>
      </c>
      <c r="AJ816" s="76">
        <v>42</v>
      </c>
      <c r="AK816" s="76">
        <v>22</v>
      </c>
      <c r="AL816" s="76" t="b">
        <v>0</v>
      </c>
      <c r="AM816" s="78">
        <v>45005.791678240741</v>
      </c>
      <c r="AN816" s="76"/>
      <c r="AO816" s="76" t="s">
        <v>18892</v>
      </c>
      <c r="AP816" s="83" t="str">
        <f>HYPERLINK("https://t.co/EuPS0ctk8i")</f>
        <v>https://t.co/EuPS0ctk8i</v>
      </c>
      <c r="AQ816" s="83" t="str">
        <f>HYPERLINK("https://www.jotaoliver.com.br/bio")</f>
        <v>https://www.jotaoliver.com.br/bio</v>
      </c>
      <c r="AR816" s="76" t="s">
        <v>19489</v>
      </c>
      <c r="AS816" s="76"/>
      <c r="AT816" s="76"/>
      <c r="AU816" s="76"/>
      <c r="AV816" s="76"/>
      <c r="AW816" s="83" t="str">
        <f>HYPERLINK("https://t.co/EuPS0ctk8i")</f>
        <v>https://t.co/EuPS0ctk8i</v>
      </c>
      <c r="AX816" s="76" t="b">
        <v>0</v>
      </c>
      <c r="AY816" s="76"/>
      <c r="AZ816" s="76"/>
      <c r="BA816" s="76" t="b">
        <v>0</v>
      </c>
      <c r="BB816" s="76" t="b">
        <v>1</v>
      </c>
      <c r="BC816" s="76" t="b">
        <v>1</v>
      </c>
      <c r="BD816" s="76" t="b">
        <v>0</v>
      </c>
      <c r="BE816" s="76" t="b">
        <v>0</v>
      </c>
      <c r="BF816" s="76" t="b">
        <v>0</v>
      </c>
      <c r="BG816" s="76" t="b">
        <v>0</v>
      </c>
      <c r="BH816" s="83" t="str">
        <f>HYPERLINK("https://pbs.twimg.com/profile_banners/1637891616940630024/1680093410")</f>
        <v>https://pbs.twimg.com/profile_banners/1637891616940630024/1680093410</v>
      </c>
      <c r="BI816" s="76"/>
      <c r="BJ816" s="76" t="s">
        <v>19633</v>
      </c>
      <c r="BK816" s="76" t="b">
        <v>0</v>
      </c>
      <c r="BL816" s="76"/>
      <c r="BM816" s="76" t="s">
        <v>66</v>
      </c>
      <c r="BN816" s="76" t="s">
        <v>19635</v>
      </c>
      <c r="BO816" s="83" t="str">
        <f>HYPERLINK("https://twitter.com/jotaoliver_")</f>
        <v>https://twitter.com/jotaoliver_</v>
      </c>
      <c r="BP816" s="2"/>
    </row>
    <row r="817" spans="1:68" x14ac:dyDescent="0.25">
      <c r="A817" s="62" t="s">
        <v>957</v>
      </c>
      <c r="B817" s="63"/>
      <c r="C817" s="63"/>
      <c r="D817" s="64"/>
      <c r="E817" s="66"/>
      <c r="F817" s="103" t="str">
        <f>HYPERLINK("https://pbs.twimg.com/profile_images/1456336633003921409/NyCJliLS_normal.jpg")</f>
        <v>https://pbs.twimg.com/profile_images/1456336633003921409/NyCJliLS_normal.jpg</v>
      </c>
      <c r="G817" s="63"/>
      <c r="H817" s="67"/>
      <c r="I817" s="68"/>
      <c r="J817" s="68"/>
      <c r="K817" s="67" t="s">
        <v>20449</v>
      </c>
      <c r="L817" s="71"/>
      <c r="M817" s="72"/>
      <c r="N817" s="72"/>
      <c r="O817" s="73"/>
      <c r="P817" s="74"/>
      <c r="Q817" s="74"/>
      <c r="R817" s="87"/>
      <c r="S817" s="87"/>
      <c r="T817" s="87"/>
      <c r="U817" s="87"/>
      <c r="V817" s="48"/>
      <c r="W817" s="48"/>
      <c r="X817" s="47">
        <v>1.101E-3</v>
      </c>
      <c r="Y817" s="48"/>
      <c r="Z817" s="47"/>
      <c r="AA817" s="69">
        <v>817</v>
      </c>
      <c r="AB817" s="69"/>
      <c r="AC817" s="70"/>
      <c r="AD817" s="76" t="s">
        <v>17440</v>
      </c>
      <c r="AE817" s="81" t="s">
        <v>17808</v>
      </c>
      <c r="AF817" s="76">
        <v>459</v>
      </c>
      <c r="AG817" s="76">
        <v>560</v>
      </c>
      <c r="AH817" s="76">
        <v>14088</v>
      </c>
      <c r="AI817" s="76">
        <v>12</v>
      </c>
      <c r="AJ817" s="76">
        <v>6806</v>
      </c>
      <c r="AK817" s="76">
        <v>2913</v>
      </c>
      <c r="AL817" s="76" t="b">
        <v>0</v>
      </c>
      <c r="AM817" s="78">
        <v>40305.037916666668</v>
      </c>
      <c r="AN817" s="76" t="s">
        <v>18116</v>
      </c>
      <c r="AO817" s="76" t="s">
        <v>18893</v>
      </c>
      <c r="AP817" s="83" t="str">
        <f>HYPERLINK("https://t.co/1VoHmKUiRX")</f>
        <v>https://t.co/1VoHmKUiRX</v>
      </c>
      <c r="AQ817" s="83" t="str">
        <f>HYPERLINK("http://www.instagram.com/stela_maris_")</f>
        <v>http://www.instagram.com/stela_maris_</v>
      </c>
      <c r="AR817" s="76" t="s">
        <v>19490</v>
      </c>
      <c r="AS817" s="76"/>
      <c r="AT817" s="76"/>
      <c r="AU817" s="76"/>
      <c r="AV817" s="76">
        <v>1.00992739616907E+18</v>
      </c>
      <c r="AW817" s="83" t="str">
        <f>HYPERLINK("https://t.co/1VoHmKUiRX")</f>
        <v>https://t.co/1VoHmKUiRX</v>
      </c>
      <c r="AX817" s="76" t="b">
        <v>0</v>
      </c>
      <c r="AY817" s="76"/>
      <c r="AZ817" s="76"/>
      <c r="BA817" s="76" t="b">
        <v>0</v>
      </c>
      <c r="BB817" s="76" t="b">
        <v>1</v>
      </c>
      <c r="BC817" s="76" t="b">
        <v>0</v>
      </c>
      <c r="BD817" s="76" t="b">
        <v>0</v>
      </c>
      <c r="BE817" s="76" t="b">
        <v>1</v>
      </c>
      <c r="BF817" s="76" t="b">
        <v>0</v>
      </c>
      <c r="BG817" s="76" t="b">
        <v>0</v>
      </c>
      <c r="BH817" s="83" t="str">
        <f>HYPERLINK("https://pbs.twimg.com/profile_banners/141030680/1599941674")</f>
        <v>https://pbs.twimg.com/profile_banners/141030680/1599941674</v>
      </c>
      <c r="BI817" s="76"/>
      <c r="BJ817" s="76" t="s">
        <v>19633</v>
      </c>
      <c r="BK817" s="76" t="b">
        <v>0</v>
      </c>
      <c r="BL817" s="76"/>
      <c r="BM817" s="76" t="s">
        <v>66</v>
      </c>
      <c r="BN817" s="76" t="s">
        <v>19635</v>
      </c>
      <c r="BO817" s="83" t="str">
        <f>HYPERLINK("https://twitter.com/streladomar")</f>
        <v>https://twitter.com/streladomar</v>
      </c>
      <c r="BP817" s="2"/>
    </row>
    <row r="818" spans="1:68" x14ac:dyDescent="0.25">
      <c r="A818" s="62" t="s">
        <v>958</v>
      </c>
      <c r="B818" s="63"/>
      <c r="C818" s="63"/>
      <c r="D818" s="64"/>
      <c r="E818" s="66"/>
      <c r="F818" s="103" t="str">
        <f>HYPERLINK("https://pbs.twimg.com/profile_images/1628185029837832193/Qb7BI_Jj_normal.jpg")</f>
        <v>https://pbs.twimg.com/profile_images/1628185029837832193/Qb7BI_Jj_normal.jpg</v>
      </c>
      <c r="G818" s="63"/>
      <c r="H818" s="67"/>
      <c r="I818" s="68"/>
      <c r="J818" s="68"/>
      <c r="K818" s="67" t="s">
        <v>20450</v>
      </c>
      <c r="L818" s="71"/>
      <c r="M818" s="72"/>
      <c r="N818" s="72"/>
      <c r="O818" s="73"/>
      <c r="P818" s="74"/>
      <c r="Q818" s="74"/>
      <c r="R818" s="87"/>
      <c r="S818" s="87"/>
      <c r="T818" s="87"/>
      <c r="U818" s="87"/>
      <c r="V818" s="48"/>
      <c r="W818" s="48"/>
      <c r="X818" s="47">
        <v>1.0430000000000001E-3</v>
      </c>
      <c r="Y818" s="48"/>
      <c r="Z818" s="47"/>
      <c r="AA818" s="69">
        <v>818</v>
      </c>
      <c r="AB818" s="69"/>
      <c r="AC818" s="70"/>
      <c r="AD818" s="76" t="s">
        <v>17441</v>
      </c>
      <c r="AE818" s="81" t="s">
        <v>16557</v>
      </c>
      <c r="AF818" s="76">
        <v>3</v>
      </c>
      <c r="AG818" s="76">
        <v>70</v>
      </c>
      <c r="AH818" s="76">
        <v>65</v>
      </c>
      <c r="AI818" s="76">
        <v>1</v>
      </c>
      <c r="AJ818" s="76">
        <v>47</v>
      </c>
      <c r="AK818" s="76">
        <v>46</v>
      </c>
      <c r="AL818" s="76" t="b">
        <v>0</v>
      </c>
      <c r="AM818" s="78">
        <v>44978.99019675926</v>
      </c>
      <c r="AN818" s="76"/>
      <c r="AO818" s="76" t="s">
        <v>18894</v>
      </c>
      <c r="AP818" s="76"/>
      <c r="AQ818" s="76"/>
      <c r="AR818" s="76"/>
      <c r="AS818" s="76"/>
      <c r="AT818" s="76"/>
      <c r="AU818" s="76"/>
      <c r="AV818" s="76"/>
      <c r="AW818" s="76"/>
      <c r="AX818" s="76" t="b">
        <v>0</v>
      </c>
      <c r="AY818" s="76"/>
      <c r="AZ818" s="76"/>
      <c r="BA818" s="76" t="b">
        <v>0</v>
      </c>
      <c r="BB818" s="76" t="b">
        <v>1</v>
      </c>
      <c r="BC818" s="76" t="b">
        <v>1</v>
      </c>
      <c r="BD818" s="76" t="b">
        <v>0</v>
      </c>
      <c r="BE818" s="76" t="b">
        <v>1</v>
      </c>
      <c r="BF818" s="76" t="b">
        <v>0</v>
      </c>
      <c r="BG818" s="76" t="b">
        <v>0</v>
      </c>
      <c r="BH818" s="76"/>
      <c r="BI818" s="76"/>
      <c r="BJ818" s="76" t="s">
        <v>19633</v>
      </c>
      <c r="BK818" s="76" t="b">
        <v>0</v>
      </c>
      <c r="BL818" s="76"/>
      <c r="BM818" s="76" t="s">
        <v>66</v>
      </c>
      <c r="BN818" s="76" t="s">
        <v>19635</v>
      </c>
      <c r="BO818" s="83" t="str">
        <f>HYPERLINK("https://twitter.com/lucaspereira_ef")</f>
        <v>https://twitter.com/lucaspereira_ef</v>
      </c>
      <c r="BP818" s="2"/>
    </row>
    <row r="819" spans="1:68" x14ac:dyDescent="0.25">
      <c r="A819" s="62" t="s">
        <v>959</v>
      </c>
      <c r="B819" s="63"/>
      <c r="C819" s="63"/>
      <c r="D819" s="64"/>
      <c r="E819" s="66"/>
      <c r="F819" s="103" t="str">
        <f>HYPERLINK("https://pbs.twimg.com/profile_images/1338831654304030721/UbsLLqDg_normal.jpg")</f>
        <v>https://pbs.twimg.com/profile_images/1338831654304030721/UbsLLqDg_normal.jpg</v>
      </c>
      <c r="G819" s="63"/>
      <c r="H819" s="67"/>
      <c r="I819" s="68"/>
      <c r="J819" s="68"/>
      <c r="K819" s="67" t="s">
        <v>20451</v>
      </c>
      <c r="L819" s="71"/>
      <c r="M819" s="72"/>
      <c r="N819" s="72"/>
      <c r="O819" s="73"/>
      <c r="P819" s="74"/>
      <c r="Q819" s="74"/>
      <c r="R819" s="87"/>
      <c r="S819" s="87"/>
      <c r="T819" s="87"/>
      <c r="U819" s="87"/>
      <c r="V819" s="48"/>
      <c r="W819" s="48"/>
      <c r="X819" s="47">
        <v>1.101E-3</v>
      </c>
      <c r="Y819" s="48"/>
      <c r="Z819" s="47"/>
      <c r="AA819" s="69">
        <v>819</v>
      </c>
      <c r="AB819" s="69"/>
      <c r="AC819" s="70"/>
      <c r="AD819" s="76" t="s">
        <v>17442</v>
      </c>
      <c r="AE819" s="81" t="s">
        <v>17809</v>
      </c>
      <c r="AF819" s="76">
        <v>8494</v>
      </c>
      <c r="AG819" s="76">
        <v>215</v>
      </c>
      <c r="AH819" s="76">
        <v>24256</v>
      </c>
      <c r="AI819" s="76">
        <v>55</v>
      </c>
      <c r="AJ819" s="76">
        <v>31</v>
      </c>
      <c r="AK819" s="76">
        <v>2700</v>
      </c>
      <c r="AL819" s="76" t="b">
        <v>0</v>
      </c>
      <c r="AM819" s="78">
        <v>40575.548206018517</v>
      </c>
      <c r="AN819" s="76" t="s">
        <v>18117</v>
      </c>
      <c r="AO819" s="76" t="s">
        <v>18895</v>
      </c>
      <c r="AP819" s="83" t="str">
        <f>HYPERLINK("https://t.co/4kxw9iDiPZ")</f>
        <v>https://t.co/4kxw9iDiPZ</v>
      </c>
      <c r="AQ819" s="83" t="str">
        <f>HYPERLINK("http://al.al.leg.br")</f>
        <v>http://al.al.leg.br</v>
      </c>
      <c r="AR819" s="76" t="s">
        <v>19491</v>
      </c>
      <c r="AS819" s="76"/>
      <c r="AT819" s="76"/>
      <c r="AU819" s="76"/>
      <c r="AV819" s="76">
        <v>1.1138408752080399E+18</v>
      </c>
      <c r="AW819" s="83" t="str">
        <f>HYPERLINK("https://t.co/4kxw9iDiPZ")</f>
        <v>https://t.co/4kxw9iDiPZ</v>
      </c>
      <c r="AX819" s="76" t="b">
        <v>0</v>
      </c>
      <c r="AY819" s="76"/>
      <c r="AZ819" s="76"/>
      <c r="BA819" s="76" t="b">
        <v>0</v>
      </c>
      <c r="BB819" s="76" t="b">
        <v>1</v>
      </c>
      <c r="BC819" s="76" t="b">
        <v>0</v>
      </c>
      <c r="BD819" s="76" t="b">
        <v>0</v>
      </c>
      <c r="BE819" s="76" t="b">
        <v>0</v>
      </c>
      <c r="BF819" s="76" t="b">
        <v>0</v>
      </c>
      <c r="BG819" s="76" t="b">
        <v>0</v>
      </c>
      <c r="BH819" s="83" t="str">
        <f>HYPERLINK("https://pbs.twimg.com/profile_banners/245778319/1586267262")</f>
        <v>https://pbs.twimg.com/profile_banners/245778319/1586267262</v>
      </c>
      <c r="BI819" s="76"/>
      <c r="BJ819" s="76" t="s">
        <v>19633</v>
      </c>
      <c r="BK819" s="76" t="b">
        <v>0</v>
      </c>
      <c r="BL819" s="76"/>
      <c r="BM819" s="76" t="s">
        <v>66</v>
      </c>
      <c r="BN819" s="76" t="s">
        <v>19635</v>
      </c>
      <c r="BO819" s="83" t="str">
        <f>HYPERLINK("https://twitter.com/assembleia_al")</f>
        <v>https://twitter.com/assembleia_al</v>
      </c>
      <c r="BP819" s="2"/>
    </row>
    <row r="820" spans="1:68" x14ac:dyDescent="0.25">
      <c r="A820" s="62" t="s">
        <v>960</v>
      </c>
      <c r="B820" s="63"/>
      <c r="C820" s="63"/>
      <c r="D820" s="64"/>
      <c r="E820" s="66"/>
      <c r="F820" s="103" t="str">
        <f>HYPERLINK("https://pbs.twimg.com/profile_images/1477817234873540609/wRcrE4mt_normal.jpg")</f>
        <v>https://pbs.twimg.com/profile_images/1477817234873540609/wRcrE4mt_normal.jpg</v>
      </c>
      <c r="G820" s="63"/>
      <c r="H820" s="67"/>
      <c r="I820" s="68"/>
      <c r="J820" s="68"/>
      <c r="K820" s="67" t="s">
        <v>20452</v>
      </c>
      <c r="L820" s="71"/>
      <c r="M820" s="72"/>
      <c r="N820" s="72"/>
      <c r="O820" s="73"/>
      <c r="P820" s="74"/>
      <c r="Q820" s="74"/>
      <c r="R820" s="87"/>
      <c r="S820" s="87"/>
      <c r="T820" s="87"/>
      <c r="U820" s="87"/>
      <c r="V820" s="48"/>
      <c r="W820" s="48"/>
      <c r="X820" s="47">
        <v>1.101E-3</v>
      </c>
      <c r="Y820" s="48"/>
      <c r="Z820" s="47"/>
      <c r="AA820" s="69">
        <v>820</v>
      </c>
      <c r="AB820" s="69"/>
      <c r="AC820" s="70"/>
      <c r="AD820" s="76" t="s">
        <v>17443</v>
      </c>
      <c r="AE820" s="81" t="s">
        <v>16558</v>
      </c>
      <c r="AF820" s="76">
        <v>1022</v>
      </c>
      <c r="AG820" s="76">
        <v>448</v>
      </c>
      <c r="AH820" s="76">
        <v>497</v>
      </c>
      <c r="AI820" s="76">
        <v>5</v>
      </c>
      <c r="AJ820" s="76">
        <v>116</v>
      </c>
      <c r="AK820" s="76">
        <v>340</v>
      </c>
      <c r="AL820" s="76" t="b">
        <v>0</v>
      </c>
      <c r="AM820" s="78">
        <v>42862.907685185186</v>
      </c>
      <c r="AN820" s="76" t="s">
        <v>17967</v>
      </c>
      <c r="AO820" s="76" t="s">
        <v>18896</v>
      </c>
      <c r="AP820" s="83" t="str">
        <f>HYPERLINK("https://t.co/VdL3VaVsl5")</f>
        <v>https://t.co/VdL3VaVsl5</v>
      </c>
      <c r="AQ820" s="83" t="str">
        <f>HYPERLINK("https://linktr.ee/fernandokobuti")</f>
        <v>https://linktr.ee/fernandokobuti</v>
      </c>
      <c r="AR820" s="76" t="s">
        <v>19492</v>
      </c>
      <c r="AS820" s="76"/>
      <c r="AT820" s="76"/>
      <c r="AU820" s="76"/>
      <c r="AV820" s="76"/>
      <c r="AW820" s="83" t="str">
        <f>HYPERLINK("https://t.co/VdL3VaVsl5")</f>
        <v>https://t.co/VdL3VaVsl5</v>
      </c>
      <c r="AX820" s="76" t="b">
        <v>1</v>
      </c>
      <c r="AY820" s="76"/>
      <c r="AZ820" s="76"/>
      <c r="BA820" s="76" t="b">
        <v>1</v>
      </c>
      <c r="BB820" s="76" t="b">
        <v>1</v>
      </c>
      <c r="BC820" s="76" t="b">
        <v>1</v>
      </c>
      <c r="BD820" s="76" t="b">
        <v>0</v>
      </c>
      <c r="BE820" s="76" t="b">
        <v>1</v>
      </c>
      <c r="BF820" s="76" t="b">
        <v>0</v>
      </c>
      <c r="BG820" s="76" t="b">
        <v>0</v>
      </c>
      <c r="BH820" s="83" t="str">
        <f>HYPERLINK("https://pbs.twimg.com/profile_banners/861336605331795971/1641174350")</f>
        <v>https://pbs.twimg.com/profile_banners/861336605331795971/1641174350</v>
      </c>
      <c r="BI820" s="76"/>
      <c r="BJ820" s="76" t="s">
        <v>19633</v>
      </c>
      <c r="BK820" s="76" t="b">
        <v>0</v>
      </c>
      <c r="BL820" s="76"/>
      <c r="BM820" s="76" t="s">
        <v>66</v>
      </c>
      <c r="BN820" s="76" t="s">
        <v>19635</v>
      </c>
      <c r="BO820" s="83" t="str">
        <f>HYPERLINK("https://twitter.com/fernandokobuti")</f>
        <v>https://twitter.com/fernandokobuti</v>
      </c>
      <c r="BP820" s="2"/>
    </row>
    <row r="821" spans="1:68" x14ac:dyDescent="0.25">
      <c r="A821" s="62" t="s">
        <v>961</v>
      </c>
      <c r="B821" s="63"/>
      <c r="C821" s="63"/>
      <c r="D821" s="64"/>
      <c r="E821" s="66"/>
      <c r="F821" s="103" t="str">
        <f>HYPERLINK("https://pbs.twimg.com/profile_images/1403078693015146496/ZaIoEbh-_normal.jpg")</f>
        <v>https://pbs.twimg.com/profile_images/1403078693015146496/ZaIoEbh-_normal.jpg</v>
      </c>
      <c r="G821" s="63"/>
      <c r="H821" s="67"/>
      <c r="I821" s="68"/>
      <c r="J821" s="68"/>
      <c r="K821" s="67" t="s">
        <v>20453</v>
      </c>
      <c r="L821" s="71"/>
      <c r="M821" s="72"/>
      <c r="N821" s="72"/>
      <c r="O821" s="73"/>
      <c r="P821" s="74"/>
      <c r="Q821" s="74"/>
      <c r="R821" s="87"/>
      <c r="S821" s="87"/>
      <c r="T821" s="87"/>
      <c r="U821" s="87"/>
      <c r="V821" s="48"/>
      <c r="W821" s="48"/>
      <c r="X821" s="47">
        <v>1.101E-3</v>
      </c>
      <c r="Y821" s="48"/>
      <c r="Z821" s="47"/>
      <c r="AA821" s="69">
        <v>821</v>
      </c>
      <c r="AB821" s="69"/>
      <c r="AC821" s="70"/>
      <c r="AD821" s="76" t="s">
        <v>17444</v>
      </c>
      <c r="AE821" s="81" t="s">
        <v>16559</v>
      </c>
      <c r="AF821" s="76">
        <v>6</v>
      </c>
      <c r="AG821" s="76">
        <v>144</v>
      </c>
      <c r="AH821" s="76">
        <v>84</v>
      </c>
      <c r="AI821" s="76">
        <v>0</v>
      </c>
      <c r="AJ821" s="76">
        <v>1932</v>
      </c>
      <c r="AK821" s="76">
        <v>1</v>
      </c>
      <c r="AL821" s="76" t="b">
        <v>0</v>
      </c>
      <c r="AM821" s="78">
        <v>43538.808796296296</v>
      </c>
      <c r="AN821" s="76"/>
      <c r="AO821" s="76" t="s">
        <v>18897</v>
      </c>
      <c r="AP821" s="76"/>
      <c r="AQ821" s="76"/>
      <c r="AR821" s="76"/>
      <c r="AS821" s="76"/>
      <c r="AT821" s="76"/>
      <c r="AU821" s="76"/>
      <c r="AV821" s="76"/>
      <c r="AW821" s="76"/>
      <c r="AX821" s="76" t="b">
        <v>0</v>
      </c>
      <c r="AY821" s="76"/>
      <c r="AZ821" s="76"/>
      <c r="BA821" s="76" t="b">
        <v>0</v>
      </c>
      <c r="BB821" s="76" t="b">
        <v>0</v>
      </c>
      <c r="BC821" s="76" t="b">
        <v>1</v>
      </c>
      <c r="BD821" s="76" t="b">
        <v>0</v>
      </c>
      <c r="BE821" s="76" t="b">
        <v>1</v>
      </c>
      <c r="BF821" s="76" t="b">
        <v>0</v>
      </c>
      <c r="BG821" s="76" t="b">
        <v>0</v>
      </c>
      <c r="BH821" s="83" t="str">
        <f>HYPERLINK("https://pbs.twimg.com/profile_banners/1106274966507540480/1637665442")</f>
        <v>https://pbs.twimg.com/profile_banners/1106274966507540480/1637665442</v>
      </c>
      <c r="BI821" s="76"/>
      <c r="BJ821" s="76" t="s">
        <v>19633</v>
      </c>
      <c r="BK821" s="76" t="b">
        <v>0</v>
      </c>
      <c r="BL821" s="76"/>
      <c r="BM821" s="76" t="s">
        <v>66</v>
      </c>
      <c r="BN821" s="76" t="s">
        <v>19635</v>
      </c>
      <c r="BO821" s="83" t="str">
        <f>HYPERLINK("https://twitter.com/taniamariaces")</f>
        <v>https://twitter.com/taniamariaces</v>
      </c>
      <c r="BP821" s="2"/>
    </row>
    <row r="822" spans="1:68" x14ac:dyDescent="0.25">
      <c r="A822" s="62" t="s">
        <v>962</v>
      </c>
      <c r="B822" s="63"/>
      <c r="C822" s="63"/>
      <c r="D822" s="64"/>
      <c r="E822" s="66"/>
      <c r="F822" s="103" t="str">
        <f>HYPERLINK("https://pbs.twimg.com/profile_images/1601675493593341952/5nwvoGdk_normal.jpg")</f>
        <v>https://pbs.twimg.com/profile_images/1601675493593341952/5nwvoGdk_normal.jpg</v>
      </c>
      <c r="G822" s="63"/>
      <c r="H822" s="67"/>
      <c r="I822" s="68"/>
      <c r="J822" s="68"/>
      <c r="K822" s="67" t="s">
        <v>20454</v>
      </c>
      <c r="L822" s="71"/>
      <c r="M822" s="72"/>
      <c r="N822" s="72"/>
      <c r="O822" s="73"/>
      <c r="P822" s="74"/>
      <c r="Q822" s="74"/>
      <c r="R822" s="87"/>
      <c r="S822" s="87"/>
      <c r="T822" s="87"/>
      <c r="U822" s="87"/>
      <c r="V822" s="48"/>
      <c r="W822" s="48"/>
      <c r="X822" s="47">
        <v>1.101E-3</v>
      </c>
      <c r="Y822" s="48"/>
      <c r="Z822" s="47"/>
      <c r="AA822" s="69">
        <v>822</v>
      </c>
      <c r="AB822" s="69"/>
      <c r="AC822" s="70"/>
      <c r="AD822" s="76" t="s">
        <v>17445</v>
      </c>
      <c r="AE822" s="81" t="s">
        <v>16560</v>
      </c>
      <c r="AF822" s="76">
        <v>0</v>
      </c>
      <c r="AG822" s="76">
        <v>34</v>
      </c>
      <c r="AH822" s="76">
        <v>27</v>
      </c>
      <c r="AI822" s="76">
        <v>0</v>
      </c>
      <c r="AJ822" s="76">
        <v>59</v>
      </c>
      <c r="AK822" s="76">
        <v>2</v>
      </c>
      <c r="AL822" s="76" t="b">
        <v>0</v>
      </c>
      <c r="AM822" s="78">
        <v>44905.852708333332</v>
      </c>
      <c r="AN822" s="76"/>
      <c r="AO822" s="76"/>
      <c r="AP822" s="76"/>
      <c r="AQ822" s="76"/>
      <c r="AR822" s="76"/>
      <c r="AS822" s="76"/>
      <c r="AT822" s="76"/>
      <c r="AU822" s="76"/>
      <c r="AV822" s="76"/>
      <c r="AW822" s="76"/>
      <c r="AX822" s="76" t="b">
        <v>0</v>
      </c>
      <c r="AY822" s="76"/>
      <c r="AZ822" s="76"/>
      <c r="BA822" s="76" t="b">
        <v>0</v>
      </c>
      <c r="BB822" s="76" t="b">
        <v>1</v>
      </c>
      <c r="BC822" s="76" t="b">
        <v>1</v>
      </c>
      <c r="BD822" s="76" t="b">
        <v>0</v>
      </c>
      <c r="BE822" s="76" t="b">
        <v>0</v>
      </c>
      <c r="BF822" s="76" t="b">
        <v>0</v>
      </c>
      <c r="BG822" s="76" t="b">
        <v>0</v>
      </c>
      <c r="BH822" s="76"/>
      <c r="BI822" s="76"/>
      <c r="BJ822" s="76" t="s">
        <v>19633</v>
      </c>
      <c r="BK822" s="76" t="b">
        <v>0</v>
      </c>
      <c r="BL822" s="76"/>
      <c r="BM822" s="76" t="s">
        <v>66</v>
      </c>
      <c r="BN822" s="76" t="s">
        <v>19635</v>
      </c>
      <c r="BO822" s="83" t="str">
        <f>HYPERLINK("https://twitter.com/tiagoam80")</f>
        <v>https://twitter.com/tiagoam80</v>
      </c>
      <c r="BP822" s="2"/>
    </row>
    <row r="823" spans="1:68" x14ac:dyDescent="0.25">
      <c r="A823" s="62" t="s">
        <v>963</v>
      </c>
      <c r="B823" s="63"/>
      <c r="C823" s="63"/>
      <c r="D823" s="64"/>
      <c r="E823" s="66"/>
      <c r="F823" s="103" t="str">
        <f>HYPERLINK("https://pbs.twimg.com/profile_images/1698703805238390784/jJXHaGT1_normal.jpg")</f>
        <v>https://pbs.twimg.com/profile_images/1698703805238390784/jJXHaGT1_normal.jpg</v>
      </c>
      <c r="G823" s="63"/>
      <c r="H823" s="67"/>
      <c r="I823" s="68"/>
      <c r="J823" s="68"/>
      <c r="K823" s="67" t="s">
        <v>20455</v>
      </c>
      <c r="L823" s="71"/>
      <c r="M823" s="72"/>
      <c r="N823" s="72"/>
      <c r="O823" s="73"/>
      <c r="P823" s="74"/>
      <c r="Q823" s="74"/>
      <c r="R823" s="87"/>
      <c r="S823" s="87"/>
      <c r="T823" s="87"/>
      <c r="U823" s="87"/>
      <c r="V823" s="48"/>
      <c r="W823" s="48"/>
      <c r="X823" s="47">
        <v>1.101E-3</v>
      </c>
      <c r="Y823" s="48"/>
      <c r="Z823" s="47"/>
      <c r="AA823" s="69">
        <v>823</v>
      </c>
      <c r="AB823" s="69"/>
      <c r="AC823" s="70"/>
      <c r="AD823" s="76" t="s">
        <v>17446</v>
      </c>
      <c r="AE823" s="81" t="s">
        <v>17810</v>
      </c>
      <c r="AF823" s="76">
        <v>3254</v>
      </c>
      <c r="AG823" s="76">
        <v>2931</v>
      </c>
      <c r="AH823" s="76">
        <v>82846</v>
      </c>
      <c r="AI823" s="76">
        <v>167</v>
      </c>
      <c r="AJ823" s="76">
        <v>21154</v>
      </c>
      <c r="AK823" s="76">
        <v>1260</v>
      </c>
      <c r="AL823" s="76" t="b">
        <v>0</v>
      </c>
      <c r="AM823" s="78">
        <v>39986.467719907407</v>
      </c>
      <c r="AN823" s="76" t="s">
        <v>10552</v>
      </c>
      <c r="AO823" s="76" t="s">
        <v>18898</v>
      </c>
      <c r="AP823" s="83" t="str">
        <f>HYPERLINK("https://t.co/m5r50Yofem")</f>
        <v>https://t.co/m5r50Yofem</v>
      </c>
      <c r="AQ823" s="83" t="str">
        <f>HYPERLINK("http://www.cql.com.br/jancom")</f>
        <v>http://www.cql.com.br/jancom</v>
      </c>
      <c r="AR823" s="76" t="s">
        <v>19493</v>
      </c>
      <c r="AS823" s="76"/>
      <c r="AT823" s="76"/>
      <c r="AU823" s="76"/>
      <c r="AV823" s="76">
        <v>1.48638119243378E+18</v>
      </c>
      <c r="AW823" s="83" t="str">
        <f>HYPERLINK("https://t.co/m5r50Yofem")</f>
        <v>https://t.co/m5r50Yofem</v>
      </c>
      <c r="AX823" s="76" t="b">
        <v>0</v>
      </c>
      <c r="AY823" s="76"/>
      <c r="AZ823" s="76"/>
      <c r="BA823" s="76" t="b">
        <v>1</v>
      </c>
      <c r="BB823" s="76" t="b">
        <v>1</v>
      </c>
      <c r="BC823" s="76" t="b">
        <v>0</v>
      </c>
      <c r="BD823" s="76" t="b">
        <v>0</v>
      </c>
      <c r="BE823" s="76" t="b">
        <v>0</v>
      </c>
      <c r="BF823" s="76" t="b">
        <v>0</v>
      </c>
      <c r="BG823" s="76" t="b">
        <v>0</v>
      </c>
      <c r="BH823" s="83" t="str">
        <f>HYPERLINK("https://pbs.twimg.com/profile_banners/49599520/1421944296")</f>
        <v>https://pbs.twimg.com/profile_banners/49599520/1421944296</v>
      </c>
      <c r="BI823" s="76"/>
      <c r="BJ823" s="76" t="s">
        <v>19633</v>
      </c>
      <c r="BK823" s="76" t="b">
        <v>0</v>
      </c>
      <c r="BL823" s="76"/>
      <c r="BM823" s="76" t="s">
        <v>66</v>
      </c>
      <c r="BN823" s="76" t="s">
        <v>19635</v>
      </c>
      <c r="BO823" s="83" t="str">
        <f>HYPERLINK("https://twitter.com/_joseamaral")</f>
        <v>https://twitter.com/_joseamaral</v>
      </c>
      <c r="BP823" s="2"/>
    </row>
    <row r="824" spans="1:68" x14ac:dyDescent="0.25">
      <c r="A824" s="62" t="s">
        <v>965</v>
      </c>
      <c r="B824" s="63"/>
      <c r="C824" s="63"/>
      <c r="D824" s="64"/>
      <c r="E824" s="66"/>
      <c r="F824" s="103" t="str">
        <f>HYPERLINK("https://pbs.twimg.com/profile_images/1615508002567512064/72hXrP_U_normal.jpg")</f>
        <v>https://pbs.twimg.com/profile_images/1615508002567512064/72hXrP_U_normal.jpg</v>
      </c>
      <c r="G824" s="63"/>
      <c r="H824" s="67"/>
      <c r="I824" s="68"/>
      <c r="J824" s="68"/>
      <c r="K824" s="67" t="s">
        <v>20456</v>
      </c>
      <c r="L824" s="71"/>
      <c r="M824" s="72"/>
      <c r="N824" s="72"/>
      <c r="O824" s="73"/>
      <c r="P824" s="74"/>
      <c r="Q824" s="74"/>
      <c r="R824" s="87"/>
      <c r="S824" s="87"/>
      <c r="T824" s="87"/>
      <c r="U824" s="87"/>
      <c r="V824" s="48"/>
      <c r="W824" s="48"/>
      <c r="X824" s="47">
        <v>1.0430000000000001E-3</v>
      </c>
      <c r="Y824" s="48"/>
      <c r="Z824" s="47"/>
      <c r="AA824" s="69">
        <v>824</v>
      </c>
      <c r="AB824" s="69"/>
      <c r="AC824" s="70"/>
      <c r="AD824" s="76" t="s">
        <v>17447</v>
      </c>
      <c r="AE824" s="81" t="s">
        <v>16561</v>
      </c>
      <c r="AF824" s="76">
        <v>334</v>
      </c>
      <c r="AG824" s="76">
        <v>61</v>
      </c>
      <c r="AH824" s="76">
        <v>576</v>
      </c>
      <c r="AI824" s="76">
        <v>15</v>
      </c>
      <c r="AJ824" s="76">
        <v>181</v>
      </c>
      <c r="AK824" s="76">
        <v>160</v>
      </c>
      <c r="AL824" s="76" t="b">
        <v>0</v>
      </c>
      <c r="AM824" s="78">
        <v>44376.538148148145</v>
      </c>
      <c r="AN824" s="76" t="s">
        <v>17967</v>
      </c>
      <c r="AO824" s="76" t="s">
        <v>18899</v>
      </c>
      <c r="AP824" s="83" t="str">
        <f>HYPERLINK("https://t.co/pEHKpgAHtp")</f>
        <v>https://t.co/pEHKpgAHtp</v>
      </c>
      <c r="AQ824" s="83" t="str">
        <f>HYPERLINK("http://www.coinsday.com.br")</f>
        <v>http://www.coinsday.com.br</v>
      </c>
      <c r="AR824" s="76" t="s">
        <v>19494</v>
      </c>
      <c r="AS824" s="76"/>
      <c r="AT824" s="76"/>
      <c r="AU824" s="76"/>
      <c r="AV824" s="76"/>
      <c r="AW824" s="83" t="str">
        <f>HYPERLINK("https://t.co/pEHKpgAHtp")</f>
        <v>https://t.co/pEHKpgAHtp</v>
      </c>
      <c r="AX824" s="76" t="b">
        <v>0</v>
      </c>
      <c r="AY824" s="76"/>
      <c r="AZ824" s="76"/>
      <c r="BA824" s="76" t="b">
        <v>1</v>
      </c>
      <c r="BB824" s="76" t="b">
        <v>1</v>
      </c>
      <c r="BC824" s="76" t="b">
        <v>1</v>
      </c>
      <c r="BD824" s="76" t="b">
        <v>0</v>
      </c>
      <c r="BE824" s="76" t="b">
        <v>0</v>
      </c>
      <c r="BF824" s="76" t="b">
        <v>0</v>
      </c>
      <c r="BG824" s="76" t="b">
        <v>0</v>
      </c>
      <c r="BH824" s="83" t="str">
        <f>HYPERLINK("https://pbs.twimg.com/profile_banners/1409857885274787849/1679723457")</f>
        <v>https://pbs.twimg.com/profile_banners/1409857885274787849/1679723457</v>
      </c>
      <c r="BI824" s="76"/>
      <c r="BJ824" s="76" t="s">
        <v>19633</v>
      </c>
      <c r="BK824" s="76" t="b">
        <v>0</v>
      </c>
      <c r="BL824" s="76"/>
      <c r="BM824" s="76" t="s">
        <v>66</v>
      </c>
      <c r="BN824" s="76" t="s">
        <v>19635</v>
      </c>
      <c r="BO824" s="83" t="str">
        <f>HYPERLINK("https://twitter.com/israelpinveste")</f>
        <v>https://twitter.com/israelpinveste</v>
      </c>
      <c r="BP824" s="2"/>
    </row>
    <row r="825" spans="1:68" x14ac:dyDescent="0.25">
      <c r="A825" s="62" t="s">
        <v>966</v>
      </c>
      <c r="B825" s="63"/>
      <c r="C825" s="63"/>
      <c r="D825" s="64"/>
      <c r="E825" s="66"/>
      <c r="F825" s="103" t="str">
        <f>HYPERLINK("https://pbs.twimg.com/profile_images/1245731206601334793/Wamv0v4B_normal.jpg")</f>
        <v>https://pbs.twimg.com/profile_images/1245731206601334793/Wamv0v4B_normal.jpg</v>
      </c>
      <c r="G825" s="63"/>
      <c r="H825" s="67"/>
      <c r="I825" s="68"/>
      <c r="J825" s="68"/>
      <c r="K825" s="67" t="s">
        <v>20457</v>
      </c>
      <c r="L825" s="71"/>
      <c r="M825" s="72"/>
      <c r="N825" s="72"/>
      <c r="O825" s="73"/>
      <c r="P825" s="74"/>
      <c r="Q825" s="74"/>
      <c r="R825" s="87"/>
      <c r="S825" s="87"/>
      <c r="T825" s="87"/>
      <c r="U825" s="87"/>
      <c r="V825" s="48"/>
      <c r="W825" s="48"/>
      <c r="X825" s="47">
        <v>1.101E-3</v>
      </c>
      <c r="Y825" s="48"/>
      <c r="Z825" s="47"/>
      <c r="AA825" s="69">
        <v>825</v>
      </c>
      <c r="AB825" s="69"/>
      <c r="AC825" s="70"/>
      <c r="AD825" s="76" t="s">
        <v>17448</v>
      </c>
      <c r="AE825" s="81" t="s">
        <v>16562</v>
      </c>
      <c r="AF825" s="76">
        <v>24</v>
      </c>
      <c r="AG825" s="76">
        <v>27</v>
      </c>
      <c r="AH825" s="76">
        <v>196</v>
      </c>
      <c r="AI825" s="76">
        <v>0</v>
      </c>
      <c r="AJ825" s="76">
        <v>37</v>
      </c>
      <c r="AK825" s="76">
        <v>162</v>
      </c>
      <c r="AL825" s="76" t="b">
        <v>0</v>
      </c>
      <c r="AM825" s="78">
        <v>43923.63244212963</v>
      </c>
      <c r="AN825" s="76" t="s">
        <v>18015</v>
      </c>
      <c r="AO825" s="76" t="s">
        <v>18900</v>
      </c>
      <c r="AP825" s="83" t="str">
        <f>HYPERLINK("https://t.co/duuj2JvyqH")</f>
        <v>https://t.co/duuj2JvyqH</v>
      </c>
      <c r="AQ825" s="83" t="str">
        <f>HYPERLINK("https://www.rsm.global/mozambique")</f>
        <v>https://www.rsm.global/mozambique</v>
      </c>
      <c r="AR825" s="76" t="s">
        <v>19495</v>
      </c>
      <c r="AS825" s="76"/>
      <c r="AT825" s="76"/>
      <c r="AU825" s="76"/>
      <c r="AV825" s="76"/>
      <c r="AW825" s="83" t="str">
        <f>HYPERLINK("https://t.co/duuj2JvyqH")</f>
        <v>https://t.co/duuj2JvyqH</v>
      </c>
      <c r="AX825" s="76" t="b">
        <v>0</v>
      </c>
      <c r="AY825" s="76"/>
      <c r="AZ825" s="76"/>
      <c r="BA825" s="76" t="b">
        <v>1</v>
      </c>
      <c r="BB825" s="76" t="b">
        <v>1</v>
      </c>
      <c r="BC825" s="76" t="b">
        <v>1</v>
      </c>
      <c r="BD825" s="76" t="b">
        <v>0</v>
      </c>
      <c r="BE825" s="76" t="b">
        <v>0</v>
      </c>
      <c r="BF825" s="76" t="b">
        <v>0</v>
      </c>
      <c r="BG825" s="76" t="b">
        <v>0</v>
      </c>
      <c r="BH825" s="83" t="str">
        <f>HYPERLINK("https://pbs.twimg.com/profile_banners/1245730084947984385/1586007389")</f>
        <v>https://pbs.twimg.com/profile_banners/1245730084947984385/1586007389</v>
      </c>
      <c r="BI825" s="76"/>
      <c r="BJ825" s="76" t="s">
        <v>19633</v>
      </c>
      <c r="BK825" s="76" t="b">
        <v>0</v>
      </c>
      <c r="BL825" s="76"/>
      <c r="BM825" s="76" t="s">
        <v>66</v>
      </c>
      <c r="BN825" s="76" t="s">
        <v>19635</v>
      </c>
      <c r="BO825" s="83" t="str">
        <f>HYPERLINK("https://twitter.com/rsm_mz")</f>
        <v>https://twitter.com/rsm_mz</v>
      </c>
      <c r="BP825" s="2"/>
    </row>
    <row r="826" spans="1:68" x14ac:dyDescent="0.25">
      <c r="A826" s="62" t="s">
        <v>967</v>
      </c>
      <c r="B826" s="63"/>
      <c r="C826" s="63"/>
      <c r="D826" s="64"/>
      <c r="E826" s="66"/>
      <c r="F826" s="103" t="str">
        <f>HYPERLINK("https://pbs.twimg.com/profile_images/1413209417185701888/aAF39qmN_normal.jpg")</f>
        <v>https://pbs.twimg.com/profile_images/1413209417185701888/aAF39qmN_normal.jpg</v>
      </c>
      <c r="G826" s="63"/>
      <c r="H826" s="67"/>
      <c r="I826" s="68"/>
      <c r="J826" s="68"/>
      <c r="K826" s="67" t="s">
        <v>20458</v>
      </c>
      <c r="L826" s="71"/>
      <c r="M826" s="72"/>
      <c r="N826" s="72"/>
      <c r="O826" s="73"/>
      <c r="P826" s="74"/>
      <c r="Q826" s="74"/>
      <c r="R826" s="87"/>
      <c r="S826" s="87"/>
      <c r="T826" s="87"/>
      <c r="U826" s="87"/>
      <c r="V826" s="48"/>
      <c r="W826" s="48"/>
      <c r="X826" s="47">
        <v>1.101E-3</v>
      </c>
      <c r="Y826" s="48"/>
      <c r="Z826" s="47"/>
      <c r="AA826" s="69">
        <v>826</v>
      </c>
      <c r="AB826" s="69"/>
      <c r="AC826" s="70"/>
      <c r="AD826" s="76" t="s">
        <v>17449</v>
      </c>
      <c r="AE826" s="81" t="s">
        <v>16563</v>
      </c>
      <c r="AF826" s="76">
        <v>641</v>
      </c>
      <c r="AG826" s="76">
        <v>1029</v>
      </c>
      <c r="AH826" s="76">
        <v>2273</v>
      </c>
      <c r="AI826" s="76">
        <v>13</v>
      </c>
      <c r="AJ826" s="76">
        <v>2232</v>
      </c>
      <c r="AK826" s="76">
        <v>33</v>
      </c>
      <c r="AL826" s="76" t="b">
        <v>0</v>
      </c>
      <c r="AM826" s="78">
        <v>44103.815428240741</v>
      </c>
      <c r="AN826" s="76"/>
      <c r="AO826" s="76" t="s">
        <v>18901</v>
      </c>
      <c r="AP826" s="83" t="str">
        <f>HYPERLINK("https://t.co/elehSvZDtp")</f>
        <v>https://t.co/elehSvZDtp</v>
      </c>
      <c r="AQ826" s="83" t="str">
        <f>HYPERLINK("http://finsiders.com.br")</f>
        <v>http://finsiders.com.br</v>
      </c>
      <c r="AR826" s="76" t="s">
        <v>19496</v>
      </c>
      <c r="AS826" s="76"/>
      <c r="AT826" s="76"/>
      <c r="AU826" s="76"/>
      <c r="AV826" s="76"/>
      <c r="AW826" s="83" t="str">
        <f>HYPERLINK("https://t.co/elehSvZDtp")</f>
        <v>https://t.co/elehSvZDtp</v>
      </c>
      <c r="AX826" s="76" t="b">
        <v>0</v>
      </c>
      <c r="AY826" s="76"/>
      <c r="AZ826" s="76"/>
      <c r="BA826" s="76" t="b">
        <v>0</v>
      </c>
      <c r="BB826" s="76" t="b">
        <v>1</v>
      </c>
      <c r="BC826" s="76" t="b">
        <v>1</v>
      </c>
      <c r="BD826" s="76" t="b">
        <v>0</v>
      </c>
      <c r="BE826" s="76" t="b">
        <v>0</v>
      </c>
      <c r="BF826" s="76" t="b">
        <v>0</v>
      </c>
      <c r="BG826" s="76" t="b">
        <v>0</v>
      </c>
      <c r="BH826" s="83" t="str">
        <f>HYPERLINK("https://pbs.twimg.com/profile_banners/1311026479053012998/1603398629")</f>
        <v>https://pbs.twimg.com/profile_banners/1311026479053012998/1603398629</v>
      </c>
      <c r="BI826" s="76"/>
      <c r="BJ826" s="76" t="s">
        <v>19633</v>
      </c>
      <c r="BK826" s="76" t="b">
        <v>0</v>
      </c>
      <c r="BL826" s="76"/>
      <c r="BM826" s="76" t="s">
        <v>66</v>
      </c>
      <c r="BN826" s="76" t="s">
        <v>19635</v>
      </c>
      <c r="BO826" s="83" t="str">
        <f>HYPERLINK("https://twitter.com/finsiders2")</f>
        <v>https://twitter.com/finsiders2</v>
      </c>
      <c r="BP826" s="2"/>
    </row>
    <row r="827" spans="1:68" x14ac:dyDescent="0.25">
      <c r="A827" s="62" t="s">
        <v>1124</v>
      </c>
      <c r="B827" s="63"/>
      <c r="C827" s="63"/>
      <c r="D827" s="64"/>
      <c r="E827" s="66"/>
      <c r="F827" s="103" t="str">
        <f>HYPERLINK("https://pbs.twimg.com/profile_images/1427694953220743173/Wlu3WPdV_normal.jpg")</f>
        <v>https://pbs.twimg.com/profile_images/1427694953220743173/Wlu3WPdV_normal.jpg</v>
      </c>
      <c r="G827" s="63"/>
      <c r="H827" s="67"/>
      <c r="I827" s="68"/>
      <c r="J827" s="68"/>
      <c r="K827" s="67" t="s">
        <v>20459</v>
      </c>
      <c r="L827" s="71"/>
      <c r="M827" s="72"/>
      <c r="N827" s="72"/>
      <c r="O827" s="73"/>
      <c r="P827" s="74"/>
      <c r="Q827" s="74"/>
      <c r="R827" s="87"/>
      <c r="S827" s="87"/>
      <c r="T827" s="87"/>
      <c r="U827" s="87"/>
      <c r="V827" s="48"/>
      <c r="W827" s="48"/>
      <c r="X827" s="47">
        <v>1.101E-3</v>
      </c>
      <c r="Y827" s="48"/>
      <c r="Z827" s="47"/>
      <c r="AA827" s="69">
        <v>827</v>
      </c>
      <c r="AB827" s="69"/>
      <c r="AC827" s="70"/>
      <c r="AD827" s="76" t="s">
        <v>1124</v>
      </c>
      <c r="AE827" s="81" t="s">
        <v>17811</v>
      </c>
      <c r="AF827" s="76">
        <v>53</v>
      </c>
      <c r="AG827" s="76">
        <v>4</v>
      </c>
      <c r="AH827" s="76">
        <v>307</v>
      </c>
      <c r="AI827" s="76">
        <v>2</v>
      </c>
      <c r="AJ827" s="76">
        <v>38</v>
      </c>
      <c r="AK827" s="76">
        <v>239</v>
      </c>
      <c r="AL827" s="76" t="b">
        <v>0</v>
      </c>
      <c r="AM827" s="78">
        <v>43909.189733796295</v>
      </c>
      <c r="AN827" s="76" t="s">
        <v>10552</v>
      </c>
      <c r="AO827" s="76" t="s">
        <v>18902</v>
      </c>
      <c r="AP827" s="83" t="str">
        <f>HYPERLINK("https://t.co/IfdWPDNxXD")</f>
        <v>https://t.co/IfdWPDNxXD</v>
      </c>
      <c r="AQ827" s="83" t="str">
        <f>HYPERLINK("https://www.mozper.com/br/")</f>
        <v>https://www.mozper.com/br/</v>
      </c>
      <c r="AR827" s="76" t="s">
        <v>19497</v>
      </c>
      <c r="AS827" s="76"/>
      <c r="AT827" s="76"/>
      <c r="AU827" s="76"/>
      <c r="AV827" s="76">
        <v>1.50095115553855E+18</v>
      </c>
      <c r="AW827" s="83" t="str">
        <f>HYPERLINK("https://t.co/IfdWPDNxXD")</f>
        <v>https://t.co/IfdWPDNxXD</v>
      </c>
      <c r="AX827" s="76" t="b">
        <v>0</v>
      </c>
      <c r="AY827" s="76"/>
      <c r="AZ827" s="76"/>
      <c r="BA827" s="76" t="b">
        <v>1</v>
      </c>
      <c r="BB827" s="76" t="b">
        <v>1</v>
      </c>
      <c r="BC827" s="76" t="b">
        <v>1</v>
      </c>
      <c r="BD827" s="76" t="b">
        <v>0</v>
      </c>
      <c r="BE827" s="76" t="b">
        <v>0</v>
      </c>
      <c r="BF827" s="76" t="b">
        <v>0</v>
      </c>
      <c r="BG827" s="76" t="b">
        <v>0</v>
      </c>
      <c r="BH827" s="83" t="str">
        <f>HYPERLINK("https://pbs.twimg.com/profile_banners/1240496480143773697/1685570033")</f>
        <v>https://pbs.twimg.com/profile_banners/1240496480143773697/1685570033</v>
      </c>
      <c r="BI827" s="76"/>
      <c r="BJ827" s="76" t="s">
        <v>19633</v>
      </c>
      <c r="BK827" s="76" t="b">
        <v>0</v>
      </c>
      <c r="BL827" s="76"/>
      <c r="BM827" s="76" t="s">
        <v>65</v>
      </c>
      <c r="BN827" s="76" t="s">
        <v>19635</v>
      </c>
      <c r="BO827" s="83" t="str">
        <f>HYPERLINK("https://twitter.com/mozper_br")</f>
        <v>https://twitter.com/mozper_br</v>
      </c>
      <c r="BP827" s="2"/>
    </row>
    <row r="828" spans="1:68" x14ac:dyDescent="0.25">
      <c r="A828" s="62" t="s">
        <v>968</v>
      </c>
      <c r="B828" s="63"/>
      <c r="C828" s="63"/>
      <c r="D828" s="64"/>
      <c r="E828" s="66"/>
      <c r="F828" s="103" t="str">
        <f>HYPERLINK("https://pbs.twimg.com/profile_images/1693679843404062720/q3ecO34__normal.png")</f>
        <v>https://pbs.twimg.com/profile_images/1693679843404062720/q3ecO34__normal.png</v>
      </c>
      <c r="G828" s="63"/>
      <c r="H828" s="67"/>
      <c r="I828" s="68"/>
      <c r="J828" s="68"/>
      <c r="K828" s="67" t="s">
        <v>20460</v>
      </c>
      <c r="L828" s="71"/>
      <c r="M828" s="72"/>
      <c r="N828" s="72"/>
      <c r="O828" s="73"/>
      <c r="P828" s="74"/>
      <c r="Q828" s="74"/>
      <c r="R828" s="87"/>
      <c r="S828" s="87"/>
      <c r="T828" s="87"/>
      <c r="U828" s="87"/>
      <c r="V828" s="48"/>
      <c r="W828" s="48"/>
      <c r="X828" s="47">
        <v>1.101E-3</v>
      </c>
      <c r="Y828" s="48"/>
      <c r="Z828" s="47"/>
      <c r="AA828" s="69">
        <v>828</v>
      </c>
      <c r="AB828" s="69"/>
      <c r="AC828" s="70"/>
      <c r="AD828" s="76" t="s">
        <v>17450</v>
      </c>
      <c r="AE828" s="81" t="s">
        <v>15792</v>
      </c>
      <c r="AF828" s="76">
        <v>6</v>
      </c>
      <c r="AG828" s="76">
        <v>42</v>
      </c>
      <c r="AH828" s="76">
        <v>568</v>
      </c>
      <c r="AI828" s="76">
        <v>0</v>
      </c>
      <c r="AJ828" s="76">
        <v>24</v>
      </c>
      <c r="AK828" s="76">
        <v>161</v>
      </c>
      <c r="AL828" s="76" t="b">
        <v>0</v>
      </c>
      <c r="AM828" s="78">
        <v>44874.587951388887</v>
      </c>
      <c r="AN828" s="76" t="s">
        <v>18118</v>
      </c>
      <c r="AO828" s="76" t="s">
        <v>18903</v>
      </c>
      <c r="AP828" s="83" t="str">
        <f>HYPERLINK("https://t.co/y9keg7Ilh5")</f>
        <v>https://t.co/y9keg7Ilh5</v>
      </c>
      <c r="AQ828" s="83" t="str">
        <f>HYPERLINK("https://youtube.com/@ataorienta")</f>
        <v>https://youtube.com/@ataorienta</v>
      </c>
      <c r="AR828" s="76" t="s">
        <v>19498</v>
      </c>
      <c r="AS828" s="76"/>
      <c r="AT828" s="76"/>
      <c r="AU828" s="76"/>
      <c r="AV828" s="76"/>
      <c r="AW828" s="83" t="str">
        <f>HYPERLINK("https://t.co/y9keg7Ilh5")</f>
        <v>https://t.co/y9keg7Ilh5</v>
      </c>
      <c r="AX828" s="76" t="b">
        <v>0</v>
      </c>
      <c r="AY828" s="76"/>
      <c r="AZ828" s="76"/>
      <c r="BA828" s="76" t="b">
        <v>0</v>
      </c>
      <c r="BB828" s="76" t="b">
        <v>1</v>
      </c>
      <c r="BC828" s="76" t="b">
        <v>1</v>
      </c>
      <c r="BD828" s="76" t="b">
        <v>0</v>
      </c>
      <c r="BE828" s="76" t="b">
        <v>0</v>
      </c>
      <c r="BF828" s="76" t="b">
        <v>0</v>
      </c>
      <c r="BG828" s="76" t="b">
        <v>0</v>
      </c>
      <c r="BH828" s="83" t="str">
        <f>HYPERLINK("https://pbs.twimg.com/profile_banners/1590344906140254209/1668103726")</f>
        <v>https://pbs.twimg.com/profile_banners/1590344906140254209/1668103726</v>
      </c>
      <c r="BI828" s="76"/>
      <c r="BJ828" s="76" t="s">
        <v>19633</v>
      </c>
      <c r="BK828" s="76" t="b">
        <v>0</v>
      </c>
      <c r="BL828" s="76"/>
      <c r="BM828" s="76" t="s">
        <v>66</v>
      </c>
      <c r="BN828" s="76" t="s">
        <v>19635</v>
      </c>
      <c r="BO828" s="83" t="str">
        <f>HYPERLINK("https://twitter.com/ataorienta")</f>
        <v>https://twitter.com/ataorienta</v>
      </c>
      <c r="BP828" s="2"/>
    </row>
    <row r="829" spans="1:68" x14ac:dyDescent="0.25">
      <c r="A829" s="62" t="s">
        <v>969</v>
      </c>
      <c r="B829" s="63"/>
      <c r="C829" s="63"/>
      <c r="D829" s="64"/>
      <c r="E829" s="66"/>
      <c r="F829" s="103" t="str">
        <f>HYPERLINK("https://pbs.twimg.com/profile_images/1599765944947073025/fA4y5AMs_normal.jpg")</f>
        <v>https://pbs.twimg.com/profile_images/1599765944947073025/fA4y5AMs_normal.jpg</v>
      </c>
      <c r="G829" s="63"/>
      <c r="H829" s="67"/>
      <c r="I829" s="68"/>
      <c r="J829" s="68"/>
      <c r="K829" s="67" t="s">
        <v>20461</v>
      </c>
      <c r="L829" s="71"/>
      <c r="M829" s="72"/>
      <c r="N829" s="72"/>
      <c r="O829" s="73"/>
      <c r="P829" s="74"/>
      <c r="Q829" s="74"/>
      <c r="R829" s="87"/>
      <c r="S829" s="87"/>
      <c r="T829" s="87"/>
      <c r="U829" s="87"/>
      <c r="V829" s="48"/>
      <c r="W829" s="48"/>
      <c r="X829" s="47">
        <v>1.101E-3</v>
      </c>
      <c r="Y829" s="48"/>
      <c r="Z829" s="47"/>
      <c r="AA829" s="69">
        <v>829</v>
      </c>
      <c r="AB829" s="69"/>
      <c r="AC829" s="70"/>
      <c r="AD829" s="76" t="s">
        <v>17451</v>
      </c>
      <c r="AE829" s="81" t="s">
        <v>15793</v>
      </c>
      <c r="AF829" s="76">
        <v>8510</v>
      </c>
      <c r="AG829" s="76">
        <v>13</v>
      </c>
      <c r="AH829" s="76">
        <v>13823</v>
      </c>
      <c r="AI829" s="76">
        <v>86</v>
      </c>
      <c r="AJ829" s="76">
        <v>246</v>
      </c>
      <c r="AK829" s="76">
        <v>7966</v>
      </c>
      <c r="AL829" s="76" t="b">
        <v>0</v>
      </c>
      <c r="AM829" s="78">
        <v>40155.655335648145</v>
      </c>
      <c r="AN829" s="76" t="s">
        <v>18119</v>
      </c>
      <c r="AO829" s="76" t="s">
        <v>18904</v>
      </c>
      <c r="AP829" s="83" t="str">
        <f>HYPERLINK("https://t.co/3IduCVR19S")</f>
        <v>https://t.co/3IduCVR19S</v>
      </c>
      <c r="AQ829" s="83" t="str">
        <f>HYPERLINK("http://ferroviariasaf.com")</f>
        <v>http://ferroviariasaf.com</v>
      </c>
      <c r="AR829" s="76" t="s">
        <v>19499</v>
      </c>
      <c r="AS829" s="76"/>
      <c r="AT829" s="76"/>
      <c r="AU829" s="76"/>
      <c r="AV829" s="76"/>
      <c r="AW829" s="83" t="str">
        <f>HYPERLINK("https://t.co/3IduCVR19S")</f>
        <v>https://t.co/3IduCVR19S</v>
      </c>
      <c r="AX829" s="76" t="b">
        <v>0</v>
      </c>
      <c r="AY829" s="76"/>
      <c r="AZ829" s="76"/>
      <c r="BA829" s="76" t="b">
        <v>0</v>
      </c>
      <c r="BB829" s="76" t="b">
        <v>1</v>
      </c>
      <c r="BC829" s="76" t="b">
        <v>0</v>
      </c>
      <c r="BD829" s="76" t="b">
        <v>0</v>
      </c>
      <c r="BE829" s="76" t="b">
        <v>0</v>
      </c>
      <c r="BF829" s="76" t="b">
        <v>0</v>
      </c>
      <c r="BG829" s="76" t="b">
        <v>0</v>
      </c>
      <c r="BH829" s="83" t="str">
        <f>HYPERLINK("https://pbs.twimg.com/profile_banners/95443950/1694550475")</f>
        <v>https://pbs.twimg.com/profile_banners/95443950/1694550475</v>
      </c>
      <c r="BI829" s="76"/>
      <c r="BJ829" s="76" t="s">
        <v>19633</v>
      </c>
      <c r="BK829" s="76" t="b">
        <v>0</v>
      </c>
      <c r="BL829" s="76"/>
      <c r="BM829" s="76" t="s">
        <v>66</v>
      </c>
      <c r="BN829" s="76" t="s">
        <v>19635</v>
      </c>
      <c r="BO829" s="83" t="str">
        <f>HYPERLINK("https://twitter.com/guerreirasgrena")</f>
        <v>https://twitter.com/guerreirasgrena</v>
      </c>
      <c r="BP829" s="2"/>
    </row>
    <row r="830" spans="1:68" x14ac:dyDescent="0.25">
      <c r="A830" s="62" t="s">
        <v>970</v>
      </c>
      <c r="B830" s="63"/>
      <c r="C830" s="63"/>
      <c r="D830" s="64"/>
      <c r="E830" s="66"/>
      <c r="F830" s="103" t="str">
        <f>HYPERLINK("https://pbs.twimg.com/profile_images/1605944175685472263/SQCWhlp9_normal.jpg")</f>
        <v>https://pbs.twimg.com/profile_images/1605944175685472263/SQCWhlp9_normal.jpg</v>
      </c>
      <c r="G830" s="63"/>
      <c r="H830" s="67"/>
      <c r="I830" s="68"/>
      <c r="J830" s="68"/>
      <c r="K830" s="67" t="s">
        <v>20462</v>
      </c>
      <c r="L830" s="71"/>
      <c r="M830" s="72"/>
      <c r="N830" s="72"/>
      <c r="O830" s="73"/>
      <c r="P830" s="74"/>
      <c r="Q830" s="74"/>
      <c r="R830" s="87"/>
      <c r="S830" s="87"/>
      <c r="T830" s="87"/>
      <c r="U830" s="87"/>
      <c r="V830" s="48"/>
      <c r="W830" s="48"/>
      <c r="X830" s="47">
        <v>1.178E-3</v>
      </c>
      <c r="Y830" s="48"/>
      <c r="Z830" s="47"/>
      <c r="AA830" s="69">
        <v>830</v>
      </c>
      <c r="AB830" s="69"/>
      <c r="AC830" s="70"/>
      <c r="AD830" s="76" t="s">
        <v>17452</v>
      </c>
      <c r="AE830" s="81" t="s">
        <v>17812</v>
      </c>
      <c r="AF830" s="76">
        <v>912</v>
      </c>
      <c r="AG830" s="76">
        <v>2585</v>
      </c>
      <c r="AH830" s="76">
        <v>11211</v>
      </c>
      <c r="AI830" s="76">
        <v>1</v>
      </c>
      <c r="AJ830" s="76">
        <v>69286</v>
      </c>
      <c r="AK830" s="76">
        <v>2007</v>
      </c>
      <c r="AL830" s="76" t="b">
        <v>0</v>
      </c>
      <c r="AM830" s="78">
        <v>40024.994456018518</v>
      </c>
      <c r="AN830" s="76" t="s">
        <v>18120</v>
      </c>
      <c r="AO830" s="76" t="s">
        <v>18905</v>
      </c>
      <c r="AP830" s="76"/>
      <c r="AQ830" s="76"/>
      <c r="AR830" s="76"/>
      <c r="AS830" s="76"/>
      <c r="AT830" s="76"/>
      <c r="AU830" s="76"/>
      <c r="AV830" s="76">
        <v>1.5824959289589801E+18</v>
      </c>
      <c r="AW830" s="76"/>
      <c r="AX830" s="76" t="b">
        <v>0</v>
      </c>
      <c r="AY830" s="76"/>
      <c r="AZ830" s="76"/>
      <c r="BA830" s="76" t="b">
        <v>1</v>
      </c>
      <c r="BB830" s="76" t="b">
        <v>0</v>
      </c>
      <c r="BC830" s="76" t="b">
        <v>1</v>
      </c>
      <c r="BD830" s="76" t="b">
        <v>0</v>
      </c>
      <c r="BE830" s="76" t="b">
        <v>1</v>
      </c>
      <c r="BF830" s="76" t="b">
        <v>0</v>
      </c>
      <c r="BG830" s="76" t="b">
        <v>0</v>
      </c>
      <c r="BH830" s="76"/>
      <c r="BI830" s="76"/>
      <c r="BJ830" s="76" t="s">
        <v>19633</v>
      </c>
      <c r="BK830" s="76" t="b">
        <v>0</v>
      </c>
      <c r="BL830" s="76"/>
      <c r="BM830" s="76" t="s">
        <v>66</v>
      </c>
      <c r="BN830" s="76" t="s">
        <v>19635</v>
      </c>
      <c r="BO830" s="83" t="str">
        <f>HYPERLINK("https://twitter.com/oproprioailton")</f>
        <v>https://twitter.com/oproprioailton</v>
      </c>
      <c r="BP830" s="2"/>
    </row>
    <row r="831" spans="1:68" x14ac:dyDescent="0.25">
      <c r="A831" s="62" t="s">
        <v>1125</v>
      </c>
      <c r="B831" s="63"/>
      <c r="C831" s="63"/>
      <c r="D831" s="64"/>
      <c r="E831" s="66"/>
      <c r="F831" s="103" t="str">
        <f>HYPERLINK("https://pbs.twimg.com/profile_images/1645806387761659906/29ZjmIiV_normal.jpg")</f>
        <v>https://pbs.twimg.com/profile_images/1645806387761659906/29ZjmIiV_normal.jpg</v>
      </c>
      <c r="G831" s="63"/>
      <c r="H831" s="67"/>
      <c r="I831" s="68"/>
      <c r="J831" s="68"/>
      <c r="K831" s="67" t="s">
        <v>20463</v>
      </c>
      <c r="L831" s="71"/>
      <c r="M831" s="72"/>
      <c r="N831" s="72"/>
      <c r="O831" s="73"/>
      <c r="P831" s="74"/>
      <c r="Q831" s="74"/>
      <c r="R831" s="87"/>
      <c r="S831" s="87"/>
      <c r="T831" s="87"/>
      <c r="U831" s="87"/>
      <c r="V831" s="48"/>
      <c r="W831" s="48"/>
      <c r="X831" s="47">
        <v>1.024E-3</v>
      </c>
      <c r="Y831" s="48"/>
      <c r="Z831" s="47"/>
      <c r="AA831" s="69">
        <v>831</v>
      </c>
      <c r="AB831" s="69"/>
      <c r="AC831" s="70"/>
      <c r="AD831" s="76" t="s">
        <v>17453</v>
      </c>
      <c r="AE831" s="81" t="s">
        <v>17813</v>
      </c>
      <c r="AF831" s="76">
        <v>2715277</v>
      </c>
      <c r="AG831" s="76">
        <v>124</v>
      </c>
      <c r="AH831" s="76">
        <v>72770</v>
      </c>
      <c r="AI831" s="76">
        <v>2904</v>
      </c>
      <c r="AJ831" s="76">
        <v>9371</v>
      </c>
      <c r="AK831" s="76">
        <v>28399</v>
      </c>
      <c r="AL831" s="76" t="b">
        <v>0</v>
      </c>
      <c r="AM831" s="78">
        <v>39905.148206018515</v>
      </c>
      <c r="AN831" s="76" t="s">
        <v>18121</v>
      </c>
      <c r="AO831" s="76" t="s">
        <v>18906</v>
      </c>
      <c r="AP831" s="83" t="str">
        <f>HYPERLINK("https://t.co/fEVPkS6pbI")</f>
        <v>https://t.co/fEVPkS6pbI</v>
      </c>
      <c r="AQ831" s="83" t="str">
        <f>HYPERLINK("http://www.vasco.com.br")</f>
        <v>http://www.vasco.com.br</v>
      </c>
      <c r="AR831" s="76" t="s">
        <v>19500</v>
      </c>
      <c r="AS831" s="83" t="str">
        <f>HYPERLINK("https://t.co/j1jZKOLWZy")</f>
        <v>https://t.co/j1jZKOLWZy</v>
      </c>
      <c r="AT831" s="83" t="str">
        <f>HYPERLINK("https://viplink.ai/vasco")</f>
        <v>https://viplink.ai/vasco</v>
      </c>
      <c r="AU831" s="76" t="s">
        <v>19626</v>
      </c>
      <c r="AV831" s="76"/>
      <c r="AW831" s="83" t="str">
        <f>HYPERLINK("https://t.co/fEVPkS6pbI")</f>
        <v>https://t.co/fEVPkS6pbI</v>
      </c>
      <c r="AX831" s="76" t="b">
        <v>1</v>
      </c>
      <c r="AY831" s="76"/>
      <c r="AZ831" s="76"/>
      <c r="BA831" s="76" t="b">
        <v>0</v>
      </c>
      <c r="BB831" s="76" t="b">
        <v>1</v>
      </c>
      <c r="BC831" s="76" t="b">
        <v>0</v>
      </c>
      <c r="BD831" s="76" t="b">
        <v>0</v>
      </c>
      <c r="BE831" s="76" t="b">
        <v>1</v>
      </c>
      <c r="BF831" s="76" t="b">
        <v>0</v>
      </c>
      <c r="BG831" s="76" t="b">
        <v>0</v>
      </c>
      <c r="BH831" s="83" t="str">
        <f>HYPERLINK("https://pbs.twimg.com/profile_banners/28273230/1645032651")</f>
        <v>https://pbs.twimg.com/profile_banners/28273230/1645032651</v>
      </c>
      <c r="BI831" s="76"/>
      <c r="BJ831" s="76" t="s">
        <v>19634</v>
      </c>
      <c r="BK831" s="76" t="b">
        <v>0</v>
      </c>
      <c r="BL831" s="76"/>
      <c r="BM831" s="76" t="s">
        <v>65</v>
      </c>
      <c r="BN831" s="76" t="s">
        <v>19635</v>
      </c>
      <c r="BO831" s="83" t="str">
        <f>HYPERLINK("https://twitter.com/vascodagama")</f>
        <v>https://twitter.com/vascodagama</v>
      </c>
      <c r="BP831" s="2"/>
    </row>
    <row r="832" spans="1:68" x14ac:dyDescent="0.25">
      <c r="A832" s="62" t="s">
        <v>1023</v>
      </c>
      <c r="B832" s="63"/>
      <c r="C832" s="63"/>
      <c r="D832" s="64"/>
      <c r="E832" s="66"/>
      <c r="F832" s="103" t="str">
        <f>HYPERLINK("https://pbs.twimg.com/profile_images/1610975202736742400/OQa5o-fZ_normal.jpg")</f>
        <v>https://pbs.twimg.com/profile_images/1610975202736742400/OQa5o-fZ_normal.jpg</v>
      </c>
      <c r="G832" s="63"/>
      <c r="H832" s="67"/>
      <c r="I832" s="68"/>
      <c r="J832" s="68"/>
      <c r="K832" s="67" t="s">
        <v>20464</v>
      </c>
      <c r="L832" s="71"/>
      <c r="M832" s="72"/>
      <c r="N832" s="72"/>
      <c r="O832" s="73"/>
      <c r="P832" s="74"/>
      <c r="Q832" s="74"/>
      <c r="R832" s="87"/>
      <c r="S832" s="87"/>
      <c r="T832" s="87"/>
      <c r="U832" s="87"/>
      <c r="V832" s="48"/>
      <c r="W832" s="48"/>
      <c r="X832" s="47">
        <v>1.178E-3</v>
      </c>
      <c r="Y832" s="48"/>
      <c r="Z832" s="47"/>
      <c r="AA832" s="69">
        <v>832</v>
      </c>
      <c r="AB832" s="69"/>
      <c r="AC832" s="70"/>
      <c r="AD832" s="76" t="s">
        <v>17454</v>
      </c>
      <c r="AE832" s="81" t="s">
        <v>17814</v>
      </c>
      <c r="AF832" s="76">
        <v>201673</v>
      </c>
      <c r="AG832" s="76">
        <v>495</v>
      </c>
      <c r="AH832" s="76">
        <v>90083</v>
      </c>
      <c r="AI832" s="76">
        <v>336</v>
      </c>
      <c r="AJ832" s="76">
        <v>28609</v>
      </c>
      <c r="AK832" s="76">
        <v>24093</v>
      </c>
      <c r="AL832" s="76" t="b">
        <v>0</v>
      </c>
      <c r="AM832" s="78">
        <v>42222.937256944446</v>
      </c>
      <c r="AN832" s="76" t="s">
        <v>10570</v>
      </c>
      <c r="AO832" s="76" t="s">
        <v>18907</v>
      </c>
      <c r="AP832" s="83" t="str">
        <f>HYPERLINK("https://t.co/CEISIUugLm")</f>
        <v>https://t.co/CEISIUugLm</v>
      </c>
      <c r="AQ832" s="83" t="str">
        <f>HYPERLINK("http://Instagram.com/newscolina_")</f>
        <v>http://Instagram.com/newscolina_</v>
      </c>
      <c r="AR832" s="76" t="s">
        <v>19501</v>
      </c>
      <c r="AS832" s="76"/>
      <c r="AT832" s="76"/>
      <c r="AU832" s="76"/>
      <c r="AV832" s="76"/>
      <c r="AW832" s="83" t="str">
        <f>HYPERLINK("https://t.co/CEISIUugLm")</f>
        <v>https://t.co/CEISIUugLm</v>
      </c>
      <c r="AX832" s="76" t="b">
        <v>1</v>
      </c>
      <c r="AY832" s="76"/>
      <c r="AZ832" s="76"/>
      <c r="BA832" s="76" t="b">
        <v>1</v>
      </c>
      <c r="BB832" s="76" t="b">
        <v>1</v>
      </c>
      <c r="BC832" s="76" t="b">
        <v>0</v>
      </c>
      <c r="BD832" s="76" t="b">
        <v>0</v>
      </c>
      <c r="BE832" s="76" t="b">
        <v>1</v>
      </c>
      <c r="BF832" s="76" t="b">
        <v>0</v>
      </c>
      <c r="BG832" s="76" t="b">
        <v>0</v>
      </c>
      <c r="BH832" s="83" t="str">
        <f>HYPERLINK("https://pbs.twimg.com/profile_banners/3406306762/1672776809")</f>
        <v>https://pbs.twimg.com/profile_banners/3406306762/1672776809</v>
      </c>
      <c r="BI832" s="76"/>
      <c r="BJ832" s="76" t="s">
        <v>19634</v>
      </c>
      <c r="BK832" s="76" t="b">
        <v>0</v>
      </c>
      <c r="BL832" s="76"/>
      <c r="BM832" s="76" t="s">
        <v>66</v>
      </c>
      <c r="BN832" s="76" t="s">
        <v>19635</v>
      </c>
      <c r="BO832" s="83" t="str">
        <f>HYPERLINK("https://twitter.com/newscolina")</f>
        <v>https://twitter.com/newscolina</v>
      </c>
      <c r="BP832" s="2"/>
    </row>
    <row r="833" spans="1:68" x14ac:dyDescent="0.25">
      <c r="A833" s="62" t="s">
        <v>971</v>
      </c>
      <c r="B833" s="63"/>
      <c r="C833" s="63"/>
      <c r="D833" s="64"/>
      <c r="E833" s="66"/>
      <c r="F833" s="103" t="str">
        <f>HYPERLINK("https://pbs.twimg.com/profile_images/1620272270932381704/3Nc30HZ5_normal.jpg")</f>
        <v>https://pbs.twimg.com/profile_images/1620272270932381704/3Nc30HZ5_normal.jpg</v>
      </c>
      <c r="G833" s="63"/>
      <c r="H833" s="67"/>
      <c r="I833" s="68"/>
      <c r="J833" s="68"/>
      <c r="K833" s="67" t="s">
        <v>20465</v>
      </c>
      <c r="L833" s="71"/>
      <c r="M833" s="72"/>
      <c r="N833" s="72"/>
      <c r="O833" s="73"/>
      <c r="P833" s="74"/>
      <c r="Q833" s="74"/>
      <c r="R833" s="87"/>
      <c r="S833" s="87"/>
      <c r="T833" s="87"/>
      <c r="U833" s="87"/>
      <c r="V833" s="48"/>
      <c r="W833" s="48"/>
      <c r="X833" s="47">
        <v>1.101E-3</v>
      </c>
      <c r="Y833" s="48"/>
      <c r="Z833" s="47"/>
      <c r="AA833" s="69">
        <v>833</v>
      </c>
      <c r="AB833" s="69"/>
      <c r="AC833" s="70"/>
      <c r="AD833" s="76" t="s">
        <v>17455</v>
      </c>
      <c r="AE833" s="81" t="s">
        <v>15794</v>
      </c>
      <c r="AF833" s="76">
        <v>1269</v>
      </c>
      <c r="AG833" s="76">
        <v>1375</v>
      </c>
      <c r="AH833" s="76">
        <v>10779</v>
      </c>
      <c r="AI833" s="76">
        <v>14</v>
      </c>
      <c r="AJ833" s="76">
        <v>1670</v>
      </c>
      <c r="AK833" s="76">
        <v>7926</v>
      </c>
      <c r="AL833" s="76" t="b">
        <v>0</v>
      </c>
      <c r="AM833" s="78">
        <v>39965.989270833335</v>
      </c>
      <c r="AN833" s="76" t="s">
        <v>18122</v>
      </c>
      <c r="AO833" s="76" t="s">
        <v>18908</v>
      </c>
      <c r="AP833" s="76"/>
      <c r="AQ833" s="76"/>
      <c r="AR833" s="76"/>
      <c r="AS833" s="76"/>
      <c r="AT833" s="76"/>
      <c r="AU833" s="76"/>
      <c r="AV833" s="76">
        <v>1.62364098173519E+18</v>
      </c>
      <c r="AW833" s="76"/>
      <c r="AX833" s="76" t="b">
        <v>0</v>
      </c>
      <c r="AY833" s="76"/>
      <c r="AZ833" s="76"/>
      <c r="BA833" s="76" t="b">
        <v>0</v>
      </c>
      <c r="BB833" s="76" t="b">
        <v>1</v>
      </c>
      <c r="BC833" s="76" t="b">
        <v>1</v>
      </c>
      <c r="BD833" s="76" t="b">
        <v>0</v>
      </c>
      <c r="BE833" s="76" t="b">
        <v>1</v>
      </c>
      <c r="BF833" s="76" t="b">
        <v>0</v>
      </c>
      <c r="BG833" s="76" t="b">
        <v>0</v>
      </c>
      <c r="BH833" s="83" t="str">
        <f>HYPERLINK("https://pbs.twimg.com/profile_banners/44006093/1675703401")</f>
        <v>https://pbs.twimg.com/profile_banners/44006093/1675703401</v>
      </c>
      <c r="BI833" s="76"/>
      <c r="BJ833" s="76" t="s">
        <v>19633</v>
      </c>
      <c r="BK833" s="76" t="b">
        <v>0</v>
      </c>
      <c r="BL833" s="76"/>
      <c r="BM833" s="76" t="s">
        <v>66</v>
      </c>
      <c r="BN833" s="76" t="s">
        <v>19635</v>
      </c>
      <c r="BO833" s="83" t="str">
        <f>HYPERLINK("https://twitter.com/fiinewspaper")</f>
        <v>https://twitter.com/fiinewspaper</v>
      </c>
      <c r="BP833" s="2"/>
    </row>
    <row r="834" spans="1:68" x14ac:dyDescent="0.25">
      <c r="A834" s="62" t="s">
        <v>972</v>
      </c>
      <c r="B834" s="63"/>
      <c r="C834" s="63"/>
      <c r="D834" s="64"/>
      <c r="E834" s="66"/>
      <c r="F834" s="103" t="str">
        <f>HYPERLINK("https://pbs.twimg.com/profile_images/2762669567/cf8cdabb965fe805b47633ad545a894b_normal.jpeg")</f>
        <v>https://pbs.twimg.com/profile_images/2762669567/cf8cdabb965fe805b47633ad545a894b_normal.jpeg</v>
      </c>
      <c r="G834" s="63"/>
      <c r="H834" s="67"/>
      <c r="I834" s="68"/>
      <c r="J834" s="68"/>
      <c r="K834" s="67" t="s">
        <v>20466</v>
      </c>
      <c r="L834" s="71"/>
      <c r="M834" s="72"/>
      <c r="N834" s="72"/>
      <c r="O834" s="73"/>
      <c r="P834" s="74"/>
      <c r="Q834" s="74"/>
      <c r="R834" s="87"/>
      <c r="S834" s="87"/>
      <c r="T834" s="87"/>
      <c r="U834" s="87"/>
      <c r="V834" s="48"/>
      <c r="W834" s="48"/>
      <c r="X834" s="47">
        <v>1.101E-3</v>
      </c>
      <c r="Y834" s="48"/>
      <c r="Z834" s="47"/>
      <c r="AA834" s="69">
        <v>834</v>
      </c>
      <c r="AB834" s="69"/>
      <c r="AC834" s="70"/>
      <c r="AD834" s="76" t="s">
        <v>17456</v>
      </c>
      <c r="AE834" s="81" t="s">
        <v>17815</v>
      </c>
      <c r="AF834" s="76">
        <v>77</v>
      </c>
      <c r="AG834" s="76">
        <v>216</v>
      </c>
      <c r="AH834" s="76">
        <v>4941</v>
      </c>
      <c r="AI834" s="76">
        <v>0</v>
      </c>
      <c r="AJ834" s="76">
        <v>1</v>
      </c>
      <c r="AK834" s="76">
        <v>3210</v>
      </c>
      <c r="AL834" s="76" t="b">
        <v>0</v>
      </c>
      <c r="AM834" s="78">
        <v>40360.045428240737</v>
      </c>
      <c r="AN834" s="76"/>
      <c r="AO834" s="76"/>
      <c r="AP834" s="83" t="str">
        <f>HYPERLINK("http://t.co/Cdiwd0xwXB")</f>
        <v>http://t.co/Cdiwd0xwXB</v>
      </c>
      <c r="AQ834" s="83" t="str">
        <f>HYPERLINK("http://albertopruggiero.blogspot.com/")</f>
        <v>http://albertopruggiero.blogspot.com/</v>
      </c>
      <c r="AR834" s="76" t="s">
        <v>19502</v>
      </c>
      <c r="AS834" s="76"/>
      <c r="AT834" s="76"/>
      <c r="AU834" s="76"/>
      <c r="AV834" s="76"/>
      <c r="AW834" s="83" t="str">
        <f>HYPERLINK("http://t.co/Cdiwd0xwXB")</f>
        <v>http://t.co/Cdiwd0xwXB</v>
      </c>
      <c r="AX834" s="76" t="b">
        <v>0</v>
      </c>
      <c r="AY834" s="76"/>
      <c r="AZ834" s="76"/>
      <c r="BA834" s="76" t="b">
        <v>0</v>
      </c>
      <c r="BB834" s="76" t="b">
        <v>1</v>
      </c>
      <c r="BC834" s="76" t="b">
        <v>1</v>
      </c>
      <c r="BD834" s="76" t="b">
        <v>0</v>
      </c>
      <c r="BE834" s="76" t="b">
        <v>1</v>
      </c>
      <c r="BF834" s="76" t="b">
        <v>0</v>
      </c>
      <c r="BG834" s="76" t="b">
        <v>0</v>
      </c>
      <c r="BH834" s="76"/>
      <c r="BI834" s="76"/>
      <c r="BJ834" s="76" t="s">
        <v>19633</v>
      </c>
      <c r="BK834" s="76" t="b">
        <v>0</v>
      </c>
      <c r="BL834" s="76"/>
      <c r="BM834" s="76" t="s">
        <v>66</v>
      </c>
      <c r="BN834" s="76" t="s">
        <v>19635</v>
      </c>
      <c r="BO834" s="83" t="str">
        <f>HYPERLINK("https://twitter.com/mosaico_ed_corp")</f>
        <v>https://twitter.com/mosaico_ed_corp</v>
      </c>
      <c r="BP834" s="2"/>
    </row>
    <row r="835" spans="1:68" x14ac:dyDescent="0.25">
      <c r="A835" s="62" t="s">
        <v>973</v>
      </c>
      <c r="B835" s="63"/>
      <c r="C835" s="63"/>
      <c r="D835" s="64"/>
      <c r="E835" s="66"/>
      <c r="F835" s="103" t="str">
        <f>HYPERLINK("https://pbs.twimg.com/profile_images/560921211983523844/MXSDRnjW_normal.png")</f>
        <v>https://pbs.twimg.com/profile_images/560921211983523844/MXSDRnjW_normal.png</v>
      </c>
      <c r="G835" s="63"/>
      <c r="H835" s="67"/>
      <c r="I835" s="68"/>
      <c r="J835" s="68"/>
      <c r="K835" s="67" t="s">
        <v>20467</v>
      </c>
      <c r="L835" s="71"/>
      <c r="M835" s="72"/>
      <c r="N835" s="72"/>
      <c r="O835" s="73"/>
      <c r="P835" s="74"/>
      <c r="Q835" s="74"/>
      <c r="R835" s="87"/>
      <c r="S835" s="87"/>
      <c r="T835" s="87"/>
      <c r="U835" s="87"/>
      <c r="V835" s="48"/>
      <c r="W835" s="48"/>
      <c r="X835" s="47">
        <v>1.101E-3</v>
      </c>
      <c r="Y835" s="48"/>
      <c r="Z835" s="47"/>
      <c r="AA835" s="69">
        <v>835</v>
      </c>
      <c r="AB835" s="69"/>
      <c r="AC835" s="70"/>
      <c r="AD835" s="76" t="s">
        <v>17457</v>
      </c>
      <c r="AE835" s="81" t="s">
        <v>17816</v>
      </c>
      <c r="AF835" s="76">
        <v>3355</v>
      </c>
      <c r="AG835" s="76">
        <v>400</v>
      </c>
      <c r="AH835" s="76">
        <v>1408</v>
      </c>
      <c r="AI835" s="76">
        <v>77</v>
      </c>
      <c r="AJ835" s="76">
        <v>164</v>
      </c>
      <c r="AK835" s="76">
        <v>328</v>
      </c>
      <c r="AL835" s="76" t="b">
        <v>0</v>
      </c>
      <c r="AM835" s="78">
        <v>40013.801608796297</v>
      </c>
      <c r="AN835" s="76" t="s">
        <v>18123</v>
      </c>
      <c r="AO835" s="76" t="s">
        <v>18909</v>
      </c>
      <c r="AP835" s="83" t="str">
        <f>HYPERLINK("https://t.co/pxcWWE29OV")</f>
        <v>https://t.co/pxcWWE29OV</v>
      </c>
      <c r="AQ835" s="83" t="str">
        <f>HYPERLINK("http://tedxlisboa.pt")</f>
        <v>http://tedxlisboa.pt</v>
      </c>
      <c r="AR835" s="76" t="s">
        <v>19503</v>
      </c>
      <c r="AS835" s="76"/>
      <c r="AT835" s="76"/>
      <c r="AU835" s="76"/>
      <c r="AV835" s="76"/>
      <c r="AW835" s="83" t="str">
        <f>HYPERLINK("https://t.co/pxcWWE29OV")</f>
        <v>https://t.co/pxcWWE29OV</v>
      </c>
      <c r="AX835" s="76" t="b">
        <v>0</v>
      </c>
      <c r="AY835" s="76"/>
      <c r="AZ835" s="76"/>
      <c r="BA835" s="76" t="b">
        <v>0</v>
      </c>
      <c r="BB835" s="76" t="b">
        <v>1</v>
      </c>
      <c r="BC835" s="76" t="b">
        <v>1</v>
      </c>
      <c r="BD835" s="76" t="b">
        <v>0</v>
      </c>
      <c r="BE835" s="76" t="b">
        <v>0</v>
      </c>
      <c r="BF835" s="76" t="b">
        <v>0</v>
      </c>
      <c r="BG835" s="76" t="b">
        <v>0</v>
      </c>
      <c r="BH835" s="83" t="str">
        <f>HYPERLINK("https://pbs.twimg.com/profile_banners/58269515/1684797705")</f>
        <v>https://pbs.twimg.com/profile_banners/58269515/1684797705</v>
      </c>
      <c r="BI835" s="76"/>
      <c r="BJ835" s="76" t="s">
        <v>19633</v>
      </c>
      <c r="BK835" s="76" t="b">
        <v>0</v>
      </c>
      <c r="BL835" s="76"/>
      <c r="BM835" s="76" t="s">
        <v>66</v>
      </c>
      <c r="BN835" s="76" t="s">
        <v>19635</v>
      </c>
      <c r="BO835" s="83" t="str">
        <f>HYPERLINK("https://twitter.com/tedxlisboa")</f>
        <v>https://twitter.com/tedxlisboa</v>
      </c>
      <c r="BP835" s="2"/>
    </row>
    <row r="836" spans="1:68" x14ac:dyDescent="0.25">
      <c r="A836" s="62" t="s">
        <v>974</v>
      </c>
      <c r="B836" s="63"/>
      <c r="C836" s="63"/>
      <c r="D836" s="64"/>
      <c r="E836" s="66"/>
      <c r="F836" s="103" t="str">
        <f>HYPERLINK("https://pbs.twimg.com/profile_images/834761818488856576/kVu2ZcNr_normal.jpg")</f>
        <v>https://pbs.twimg.com/profile_images/834761818488856576/kVu2ZcNr_normal.jpg</v>
      </c>
      <c r="G836" s="63"/>
      <c r="H836" s="67"/>
      <c r="I836" s="68"/>
      <c r="J836" s="68"/>
      <c r="K836" s="67" t="s">
        <v>20468</v>
      </c>
      <c r="L836" s="71"/>
      <c r="M836" s="72"/>
      <c r="N836" s="72"/>
      <c r="O836" s="73"/>
      <c r="P836" s="74"/>
      <c r="Q836" s="74"/>
      <c r="R836" s="87"/>
      <c r="S836" s="87"/>
      <c r="T836" s="87"/>
      <c r="U836" s="87"/>
      <c r="V836" s="48"/>
      <c r="W836" s="48"/>
      <c r="X836" s="47">
        <v>1.101E-3</v>
      </c>
      <c r="Y836" s="48"/>
      <c r="Z836" s="47"/>
      <c r="AA836" s="69">
        <v>836</v>
      </c>
      <c r="AB836" s="69"/>
      <c r="AC836" s="70"/>
      <c r="AD836" s="76" t="s">
        <v>17458</v>
      </c>
      <c r="AE836" s="81" t="s">
        <v>17817</v>
      </c>
      <c r="AF836" s="76">
        <v>22</v>
      </c>
      <c r="AG836" s="76">
        <v>119</v>
      </c>
      <c r="AH836" s="76">
        <v>175</v>
      </c>
      <c r="AI836" s="76">
        <v>0</v>
      </c>
      <c r="AJ836" s="76">
        <v>140</v>
      </c>
      <c r="AK836" s="76">
        <v>16</v>
      </c>
      <c r="AL836" s="76" t="b">
        <v>0</v>
      </c>
      <c r="AM836" s="78">
        <v>41312.71597222222</v>
      </c>
      <c r="AN836" s="76" t="s">
        <v>18124</v>
      </c>
      <c r="AO836" s="76" t="s">
        <v>18910</v>
      </c>
      <c r="AP836" s="83" t="str">
        <f>HYPERLINK("https://t.co/f6WwdgueO3")</f>
        <v>https://t.co/f6WwdgueO3</v>
      </c>
      <c r="AQ836" s="83" t="str">
        <f>HYPERLINK("http://www.linkedin.com/in/joseguilhermefarias")</f>
        <v>http://www.linkedin.com/in/joseguilhermefarias</v>
      </c>
      <c r="AR836" s="76" t="s">
        <v>19504</v>
      </c>
      <c r="AS836" s="76"/>
      <c r="AT836" s="76"/>
      <c r="AU836" s="76"/>
      <c r="AV836" s="76"/>
      <c r="AW836" s="83" t="str">
        <f>HYPERLINK("https://t.co/f6WwdgueO3")</f>
        <v>https://t.co/f6WwdgueO3</v>
      </c>
      <c r="AX836" s="76" t="b">
        <v>0</v>
      </c>
      <c r="AY836" s="76"/>
      <c r="AZ836" s="76"/>
      <c r="BA836" s="76" t="b">
        <v>0</v>
      </c>
      <c r="BB836" s="76" t="b">
        <v>1</v>
      </c>
      <c r="BC836" s="76" t="b">
        <v>1</v>
      </c>
      <c r="BD836" s="76" t="b">
        <v>0</v>
      </c>
      <c r="BE836" s="76" t="b">
        <v>0</v>
      </c>
      <c r="BF836" s="76" t="b">
        <v>0</v>
      </c>
      <c r="BG836" s="76" t="b">
        <v>0</v>
      </c>
      <c r="BH836" s="83" t="str">
        <f>HYPERLINK("https://pbs.twimg.com/profile_banners/1157727349/1487857705")</f>
        <v>https://pbs.twimg.com/profile_banners/1157727349/1487857705</v>
      </c>
      <c r="BI836" s="76"/>
      <c r="BJ836" s="76" t="s">
        <v>19633</v>
      </c>
      <c r="BK836" s="76" t="b">
        <v>0</v>
      </c>
      <c r="BL836" s="76"/>
      <c r="BM836" s="76" t="s">
        <v>66</v>
      </c>
      <c r="BN836" s="76" t="s">
        <v>19635</v>
      </c>
      <c r="BO836" s="83" t="str">
        <f>HYPERLINK("https://twitter.com/guiccfarias")</f>
        <v>https://twitter.com/guiccfarias</v>
      </c>
      <c r="BP836" s="2"/>
    </row>
    <row r="837" spans="1:68" x14ac:dyDescent="0.25">
      <c r="A837" s="62" t="s">
        <v>975</v>
      </c>
      <c r="B837" s="63"/>
      <c r="C837" s="63"/>
      <c r="D837" s="64"/>
      <c r="E837" s="66"/>
      <c r="F837" s="103" t="str">
        <f>HYPERLINK("https://pbs.twimg.com/profile_images/1537970896081588224/EOaA95w8_normal.jpg")</f>
        <v>https://pbs.twimg.com/profile_images/1537970896081588224/EOaA95w8_normal.jpg</v>
      </c>
      <c r="G837" s="63"/>
      <c r="H837" s="67"/>
      <c r="I837" s="68"/>
      <c r="J837" s="68"/>
      <c r="K837" s="67" t="s">
        <v>20469</v>
      </c>
      <c r="L837" s="71"/>
      <c r="M837" s="72"/>
      <c r="N837" s="72"/>
      <c r="O837" s="73"/>
      <c r="P837" s="74"/>
      <c r="Q837" s="74"/>
      <c r="R837" s="87"/>
      <c r="S837" s="87"/>
      <c r="T837" s="87"/>
      <c r="U837" s="87"/>
      <c r="V837" s="48"/>
      <c r="W837" s="48"/>
      <c r="X837" s="47">
        <v>1.101E-3</v>
      </c>
      <c r="Y837" s="48"/>
      <c r="Z837" s="47"/>
      <c r="AA837" s="69">
        <v>837</v>
      </c>
      <c r="AB837" s="69"/>
      <c r="AC837" s="70"/>
      <c r="AD837" s="76" t="s">
        <v>17459</v>
      </c>
      <c r="AE837" s="81" t="s">
        <v>16564</v>
      </c>
      <c r="AF837" s="76">
        <v>4</v>
      </c>
      <c r="AG837" s="76">
        <v>20</v>
      </c>
      <c r="AH837" s="76">
        <v>11</v>
      </c>
      <c r="AI837" s="76">
        <v>0</v>
      </c>
      <c r="AJ837" s="76">
        <v>1</v>
      </c>
      <c r="AK837" s="76">
        <v>8</v>
      </c>
      <c r="AL837" s="76" t="b">
        <v>0</v>
      </c>
      <c r="AM837" s="78">
        <v>44725.117789351854</v>
      </c>
      <c r="AN837" s="76"/>
      <c r="AO837" s="76" t="s">
        <v>18911</v>
      </c>
      <c r="AP837" s="83" t="str">
        <f>HYPERLINK("https://t.co/JYcFoaqZLO")</f>
        <v>https://t.co/JYcFoaqZLO</v>
      </c>
      <c r="AQ837" s="83" t="str">
        <f>HYPERLINK("https://linktr.ee/cultivar.seu.futuro")</f>
        <v>https://linktr.ee/cultivar.seu.futuro</v>
      </c>
      <c r="AR837" s="76" t="s">
        <v>19505</v>
      </c>
      <c r="AS837" s="76"/>
      <c r="AT837" s="76"/>
      <c r="AU837" s="76"/>
      <c r="AV837" s="76"/>
      <c r="AW837" s="83" t="str">
        <f>HYPERLINK("https://t.co/JYcFoaqZLO")</f>
        <v>https://t.co/JYcFoaqZLO</v>
      </c>
      <c r="AX837" s="76" t="b">
        <v>0</v>
      </c>
      <c r="AY837" s="76"/>
      <c r="AZ837" s="76"/>
      <c r="BA837" s="76" t="b">
        <v>0</v>
      </c>
      <c r="BB837" s="76" t="b">
        <v>1</v>
      </c>
      <c r="BC837" s="76" t="b">
        <v>1</v>
      </c>
      <c r="BD837" s="76" t="b">
        <v>0</v>
      </c>
      <c r="BE837" s="76" t="b">
        <v>0</v>
      </c>
      <c r="BF837" s="76" t="b">
        <v>0</v>
      </c>
      <c r="BG837" s="76" t="b">
        <v>0</v>
      </c>
      <c r="BH837" s="83" t="str">
        <f>HYPERLINK("https://pbs.twimg.com/profile_banners/1536178639741517825/1655092498")</f>
        <v>https://pbs.twimg.com/profile_banners/1536178639741517825/1655092498</v>
      </c>
      <c r="BI837" s="76"/>
      <c r="BJ837" s="76" t="s">
        <v>19633</v>
      </c>
      <c r="BK837" s="76" t="b">
        <v>0</v>
      </c>
      <c r="BL837" s="76"/>
      <c r="BM837" s="76" t="s">
        <v>66</v>
      </c>
      <c r="BN837" s="76" t="s">
        <v>19635</v>
      </c>
      <c r="BO837" s="83" t="str">
        <f>HYPERLINK("https://twitter.com/cultivarofuturo")</f>
        <v>https://twitter.com/cultivarofuturo</v>
      </c>
      <c r="BP837" s="2"/>
    </row>
    <row r="838" spans="1:68" x14ac:dyDescent="0.25">
      <c r="A838" s="62" t="s">
        <v>976</v>
      </c>
      <c r="B838" s="63"/>
      <c r="C838" s="63"/>
      <c r="D838" s="64"/>
      <c r="E838" s="66"/>
      <c r="F838" s="103" t="str">
        <f>HYPERLINK("https://pbs.twimg.com/profile_images/1636013213987766272/VsCNLZ1l_normal.jpg")</f>
        <v>https://pbs.twimg.com/profile_images/1636013213987766272/VsCNLZ1l_normal.jpg</v>
      </c>
      <c r="G838" s="63"/>
      <c r="H838" s="67"/>
      <c r="I838" s="68"/>
      <c r="J838" s="68"/>
      <c r="K838" s="67" t="s">
        <v>20470</v>
      </c>
      <c r="L838" s="71"/>
      <c r="M838" s="72"/>
      <c r="N838" s="72"/>
      <c r="O838" s="73"/>
      <c r="P838" s="74"/>
      <c r="Q838" s="74"/>
      <c r="R838" s="87"/>
      <c r="S838" s="87"/>
      <c r="T838" s="87"/>
      <c r="U838" s="87"/>
      <c r="V838" s="48"/>
      <c r="W838" s="48"/>
      <c r="X838" s="47">
        <v>1.101E-3</v>
      </c>
      <c r="Y838" s="48"/>
      <c r="Z838" s="47"/>
      <c r="AA838" s="69">
        <v>838</v>
      </c>
      <c r="AB838" s="69"/>
      <c r="AC838" s="70"/>
      <c r="AD838" s="76" t="s">
        <v>17460</v>
      </c>
      <c r="AE838" s="81" t="s">
        <v>16565</v>
      </c>
      <c r="AF838" s="76">
        <v>0</v>
      </c>
      <c r="AG838" s="76">
        <v>12</v>
      </c>
      <c r="AH838" s="76">
        <v>23</v>
      </c>
      <c r="AI838" s="76">
        <v>0</v>
      </c>
      <c r="AJ838" s="76">
        <v>2</v>
      </c>
      <c r="AK838" s="76">
        <v>16</v>
      </c>
      <c r="AL838" s="76" t="b">
        <v>0</v>
      </c>
      <c r="AM838" s="78">
        <v>44952.849560185183</v>
      </c>
      <c r="AN838" s="76"/>
      <c r="AO838" s="83" t="str">
        <f>HYPERLINK("https://t.co/U2HpdqU080")</f>
        <v>https://t.co/U2HpdqU080</v>
      </c>
      <c r="AP838" s="76"/>
      <c r="AQ838" s="76"/>
      <c r="AR838" s="76"/>
      <c r="AS838" s="83" t="str">
        <f>HYPERLINK("https://t.co/U2HpdqU080")</f>
        <v>https://t.co/U2HpdqU080</v>
      </c>
      <c r="AT838" s="83" t="str">
        <f>HYPERLINK("https://linktr.ee/tribodenegocios")</f>
        <v>https://linktr.ee/tribodenegocios</v>
      </c>
      <c r="AU838" s="76" t="s">
        <v>19627</v>
      </c>
      <c r="AV838" s="76"/>
      <c r="AW838" s="76"/>
      <c r="AX838" s="76" t="b">
        <v>0</v>
      </c>
      <c r="AY838" s="76"/>
      <c r="AZ838" s="76"/>
      <c r="BA838" s="76" t="b">
        <v>0</v>
      </c>
      <c r="BB838" s="76" t="b">
        <v>1</v>
      </c>
      <c r="BC838" s="76" t="b">
        <v>1</v>
      </c>
      <c r="BD838" s="76" t="b">
        <v>0</v>
      </c>
      <c r="BE838" s="76" t="b">
        <v>0</v>
      </c>
      <c r="BF838" s="76" t="b">
        <v>0</v>
      </c>
      <c r="BG838" s="76" t="b">
        <v>0</v>
      </c>
      <c r="BH838" s="83" t="str">
        <f>HYPERLINK("https://pbs.twimg.com/profile_banners/1618706095127633934/1677000170")</f>
        <v>https://pbs.twimg.com/profile_banners/1618706095127633934/1677000170</v>
      </c>
      <c r="BI838" s="76"/>
      <c r="BJ838" s="76" t="s">
        <v>19633</v>
      </c>
      <c r="BK838" s="76" t="b">
        <v>0</v>
      </c>
      <c r="BL838" s="76"/>
      <c r="BM838" s="76" t="s">
        <v>66</v>
      </c>
      <c r="BN838" s="76" t="s">
        <v>19635</v>
      </c>
      <c r="BO838" s="83" t="str">
        <f>HYPERLINK("https://twitter.com/iigorheenrique")</f>
        <v>https://twitter.com/iigorheenrique</v>
      </c>
      <c r="BP838" s="2"/>
    </row>
    <row r="839" spans="1:68" x14ac:dyDescent="0.25">
      <c r="A839" s="62" t="s">
        <v>977</v>
      </c>
      <c r="B839" s="63"/>
      <c r="C839" s="63"/>
      <c r="D839" s="64"/>
      <c r="E839" s="66"/>
      <c r="F839" s="103" t="str">
        <f>HYPERLINK("https://pbs.twimg.com/profile_images/1316845696058875909/UmEo9HZn_normal.jpg")</f>
        <v>https://pbs.twimg.com/profile_images/1316845696058875909/UmEo9HZn_normal.jpg</v>
      </c>
      <c r="G839" s="63"/>
      <c r="H839" s="67"/>
      <c r="I839" s="68"/>
      <c r="J839" s="68"/>
      <c r="K839" s="67" t="s">
        <v>20471</v>
      </c>
      <c r="L839" s="71"/>
      <c r="M839" s="72"/>
      <c r="N839" s="72"/>
      <c r="O839" s="73"/>
      <c r="P839" s="74"/>
      <c r="Q839" s="74"/>
      <c r="R839" s="87"/>
      <c r="S839" s="87"/>
      <c r="T839" s="87"/>
      <c r="U839" s="87"/>
      <c r="V839" s="48"/>
      <c r="W839" s="48"/>
      <c r="X839" s="47">
        <v>1.101E-3</v>
      </c>
      <c r="Y839" s="48"/>
      <c r="Z839" s="47"/>
      <c r="AA839" s="69">
        <v>839</v>
      </c>
      <c r="AB839" s="69"/>
      <c r="AC839" s="70"/>
      <c r="AD839" s="76" t="s">
        <v>17461</v>
      </c>
      <c r="AE839" s="81" t="s">
        <v>17818</v>
      </c>
      <c r="AF839" s="76">
        <v>118</v>
      </c>
      <c r="AG839" s="76">
        <v>162</v>
      </c>
      <c r="AH839" s="76">
        <v>3470</v>
      </c>
      <c r="AI839" s="76">
        <v>0</v>
      </c>
      <c r="AJ839" s="76">
        <v>162</v>
      </c>
      <c r="AK839" s="76">
        <v>965</v>
      </c>
      <c r="AL839" s="76" t="b">
        <v>0</v>
      </c>
      <c r="AM839" s="78">
        <v>40233.589479166665</v>
      </c>
      <c r="AN839" s="76" t="s">
        <v>18125</v>
      </c>
      <c r="AO839" s="76" t="s">
        <v>18912</v>
      </c>
      <c r="AP839" s="83" t="str">
        <f>HYPERLINK("https://t.co/UpSRZIQBhd")</f>
        <v>https://t.co/UpSRZIQBhd</v>
      </c>
      <c r="AQ839" s="83" t="str">
        <f>HYPERLINK("https://linktr.ee/PIXTVHD")</f>
        <v>https://linktr.ee/PIXTVHD</v>
      </c>
      <c r="AR839" s="76" t="s">
        <v>19506</v>
      </c>
      <c r="AS839" s="76"/>
      <c r="AT839" s="76"/>
      <c r="AU839" s="76"/>
      <c r="AV839" s="76"/>
      <c r="AW839" s="83" t="str">
        <f>HYPERLINK("https://t.co/UpSRZIQBhd")</f>
        <v>https://t.co/UpSRZIQBhd</v>
      </c>
      <c r="AX839" s="76" t="b">
        <v>0</v>
      </c>
      <c r="AY839" s="76"/>
      <c r="AZ839" s="76"/>
      <c r="BA839" s="76" t="b">
        <v>0</v>
      </c>
      <c r="BB839" s="76" t="b">
        <v>1</v>
      </c>
      <c r="BC839" s="76" t="b">
        <v>0</v>
      </c>
      <c r="BD839" s="76" t="b">
        <v>0</v>
      </c>
      <c r="BE839" s="76" t="b">
        <v>0</v>
      </c>
      <c r="BF839" s="76" t="b">
        <v>0</v>
      </c>
      <c r="BG839" s="76" t="b">
        <v>0</v>
      </c>
      <c r="BH839" s="83" t="str">
        <f>HYPERLINK("https://pbs.twimg.com/profile_banners/117089350/1648768090")</f>
        <v>https://pbs.twimg.com/profile_banners/117089350/1648768090</v>
      </c>
      <c r="BI839" s="76"/>
      <c r="BJ839" s="76" t="s">
        <v>19633</v>
      </c>
      <c r="BK839" s="76" t="b">
        <v>0</v>
      </c>
      <c r="BL839" s="76"/>
      <c r="BM839" s="76" t="s">
        <v>66</v>
      </c>
      <c r="BN839" s="76" t="s">
        <v>19635</v>
      </c>
      <c r="BO839" s="83" t="str">
        <f>HYPERLINK("https://twitter.com/pixtvhd")</f>
        <v>https://twitter.com/pixtvhd</v>
      </c>
      <c r="BP839" s="2"/>
    </row>
    <row r="840" spans="1:68" x14ac:dyDescent="0.25">
      <c r="A840" s="62" t="s">
        <v>978</v>
      </c>
      <c r="B840" s="63"/>
      <c r="C840" s="63"/>
      <c r="D840" s="64"/>
      <c r="E840" s="66"/>
      <c r="F840" s="103" t="str">
        <f>HYPERLINK("https://pbs.twimg.com/profile_images/1673901246057422851/0YuRxukL_normal.jpg")</f>
        <v>https://pbs.twimg.com/profile_images/1673901246057422851/0YuRxukL_normal.jpg</v>
      </c>
      <c r="G840" s="63"/>
      <c r="H840" s="67"/>
      <c r="I840" s="68"/>
      <c r="J840" s="68"/>
      <c r="K840" s="67" t="s">
        <v>20472</v>
      </c>
      <c r="L840" s="71"/>
      <c r="M840" s="72"/>
      <c r="N840" s="72"/>
      <c r="O840" s="73"/>
      <c r="P840" s="74"/>
      <c r="Q840" s="74"/>
      <c r="R840" s="87"/>
      <c r="S840" s="87"/>
      <c r="T840" s="87"/>
      <c r="U840" s="87"/>
      <c r="V840" s="48"/>
      <c r="W840" s="48"/>
      <c r="X840" s="47">
        <v>1.101E-3</v>
      </c>
      <c r="Y840" s="48"/>
      <c r="Z840" s="47"/>
      <c r="AA840" s="69">
        <v>840</v>
      </c>
      <c r="AB840" s="69"/>
      <c r="AC840" s="70"/>
      <c r="AD840" s="76" t="s">
        <v>17462</v>
      </c>
      <c r="AE840" s="81" t="s">
        <v>17819</v>
      </c>
      <c r="AF840" s="76">
        <v>373</v>
      </c>
      <c r="AG840" s="76">
        <v>2328</v>
      </c>
      <c r="AH840" s="76">
        <v>12516</v>
      </c>
      <c r="AI840" s="76">
        <v>2</v>
      </c>
      <c r="AJ840" s="76">
        <v>14976</v>
      </c>
      <c r="AK840" s="76">
        <v>506</v>
      </c>
      <c r="AL840" s="76" t="b">
        <v>0</v>
      </c>
      <c r="AM840" s="78">
        <v>40478.190763888888</v>
      </c>
      <c r="AN840" s="76" t="s">
        <v>18103</v>
      </c>
      <c r="AO840" s="76" t="s">
        <v>18913</v>
      </c>
      <c r="AP840" s="76"/>
      <c r="AQ840" s="76"/>
      <c r="AR840" s="76"/>
      <c r="AS840" s="76"/>
      <c r="AT840" s="76"/>
      <c r="AU840" s="76"/>
      <c r="AV840" s="76"/>
      <c r="AW840" s="76"/>
      <c r="AX840" s="76" t="b">
        <v>0</v>
      </c>
      <c r="AY840" s="76"/>
      <c r="AZ840" s="76"/>
      <c r="BA840" s="76" t="b">
        <v>0</v>
      </c>
      <c r="BB840" s="76" t="b">
        <v>0</v>
      </c>
      <c r="BC840" s="76" t="b">
        <v>0</v>
      </c>
      <c r="BD840" s="76" t="b">
        <v>0</v>
      </c>
      <c r="BE840" s="76" t="b">
        <v>0</v>
      </c>
      <c r="BF840" s="76" t="b">
        <v>0</v>
      </c>
      <c r="BG840" s="76" t="b">
        <v>0</v>
      </c>
      <c r="BH840" s="83" t="str">
        <f>HYPERLINK("https://pbs.twimg.com/profile_banners/208372570/1687923674")</f>
        <v>https://pbs.twimg.com/profile_banners/208372570/1687923674</v>
      </c>
      <c r="BI840" s="76"/>
      <c r="BJ840" s="76" t="s">
        <v>19633</v>
      </c>
      <c r="BK840" s="76" t="b">
        <v>0</v>
      </c>
      <c r="BL840" s="76"/>
      <c r="BM840" s="76" t="s">
        <v>66</v>
      </c>
      <c r="BN840" s="76" t="s">
        <v>19635</v>
      </c>
      <c r="BO840" s="83" t="str">
        <f>HYPERLINK("https://twitter.com/brunno_brss")</f>
        <v>https://twitter.com/brunno_brss</v>
      </c>
      <c r="BP840" s="2"/>
    </row>
    <row r="841" spans="1:68" x14ac:dyDescent="0.25">
      <c r="A841" s="62" t="s">
        <v>979</v>
      </c>
      <c r="B841" s="63"/>
      <c r="C841" s="63"/>
      <c r="D841" s="64"/>
      <c r="E841" s="66"/>
      <c r="F841" s="103" t="str">
        <f>HYPERLINK("https://pbs.twimg.com/profile_images/1660404770933186562/eCOY3ACn_normal.jpg")</f>
        <v>https://pbs.twimg.com/profile_images/1660404770933186562/eCOY3ACn_normal.jpg</v>
      </c>
      <c r="G841" s="63"/>
      <c r="H841" s="67"/>
      <c r="I841" s="68"/>
      <c r="J841" s="68"/>
      <c r="K841" s="67" t="s">
        <v>20473</v>
      </c>
      <c r="L841" s="71"/>
      <c r="M841" s="72"/>
      <c r="N841" s="72"/>
      <c r="O841" s="73"/>
      <c r="P841" s="74"/>
      <c r="Q841" s="74"/>
      <c r="R841" s="87"/>
      <c r="S841" s="87"/>
      <c r="T841" s="87"/>
      <c r="U841" s="87"/>
      <c r="V841" s="48"/>
      <c r="W841" s="48"/>
      <c r="X841" s="47">
        <v>1.101E-3</v>
      </c>
      <c r="Y841" s="48"/>
      <c r="Z841" s="47"/>
      <c r="AA841" s="69">
        <v>841</v>
      </c>
      <c r="AB841" s="69"/>
      <c r="AC841" s="70"/>
      <c r="AD841" s="76" t="s">
        <v>17463</v>
      </c>
      <c r="AE841" s="81" t="s">
        <v>16566</v>
      </c>
      <c r="AF841" s="76">
        <v>103</v>
      </c>
      <c r="AG841" s="76">
        <v>312</v>
      </c>
      <c r="AH841" s="76">
        <v>690</v>
      </c>
      <c r="AI841" s="76">
        <v>0</v>
      </c>
      <c r="AJ841" s="76">
        <v>748</v>
      </c>
      <c r="AK841" s="76">
        <v>297</v>
      </c>
      <c r="AL841" s="76" t="b">
        <v>0</v>
      </c>
      <c r="AM841" s="78">
        <v>44413.016967592594</v>
      </c>
      <c r="AN841" s="76"/>
      <c r="AO841" s="76" t="s">
        <v>18914</v>
      </c>
      <c r="AP841" s="76"/>
      <c r="AQ841" s="76"/>
      <c r="AR841" s="76"/>
      <c r="AS841" s="76"/>
      <c r="AT841" s="76"/>
      <c r="AU841" s="76"/>
      <c r="AV841" s="76"/>
      <c r="AW841" s="76"/>
      <c r="AX841" s="76" t="b">
        <v>0</v>
      </c>
      <c r="AY841" s="76"/>
      <c r="AZ841" s="76"/>
      <c r="BA841" s="76" t="b">
        <v>0</v>
      </c>
      <c r="BB841" s="76" t="b">
        <v>1</v>
      </c>
      <c r="BC841" s="76" t="b">
        <v>1</v>
      </c>
      <c r="BD841" s="76" t="b">
        <v>0</v>
      </c>
      <c r="BE841" s="76" t="b">
        <v>0</v>
      </c>
      <c r="BF841" s="76" t="b">
        <v>0</v>
      </c>
      <c r="BG841" s="76" t="b">
        <v>0</v>
      </c>
      <c r="BH841" s="83" t="str">
        <f>HYPERLINK("https://pbs.twimg.com/profile_banners/1423077194780270596/1684706321")</f>
        <v>https://pbs.twimg.com/profile_banners/1423077194780270596/1684706321</v>
      </c>
      <c r="BI841" s="76"/>
      <c r="BJ841" s="76" t="s">
        <v>19633</v>
      </c>
      <c r="BK841" s="76" t="b">
        <v>0</v>
      </c>
      <c r="BL841" s="76"/>
      <c r="BM841" s="76" t="s">
        <v>66</v>
      </c>
      <c r="BN841" s="76" t="s">
        <v>19635</v>
      </c>
      <c r="BO841" s="83" t="str">
        <f>HYPERLINK("https://twitter.com/joanadarcdocar1")</f>
        <v>https://twitter.com/joanadarcdocar1</v>
      </c>
      <c r="BP841" s="2"/>
    </row>
    <row r="842" spans="1:68" x14ac:dyDescent="0.25">
      <c r="A842" s="62" t="s">
        <v>1126</v>
      </c>
      <c r="B842" s="63"/>
      <c r="C842" s="63"/>
      <c r="D842" s="64"/>
      <c r="E842" s="66"/>
      <c r="F842" s="103" t="str">
        <f>HYPERLINK("https://pbs.twimg.com/profile_images/1208240543/snowtintin_normal.JPG")</f>
        <v>https://pbs.twimg.com/profile_images/1208240543/snowtintin_normal.JPG</v>
      </c>
      <c r="G842" s="63"/>
      <c r="H842" s="67"/>
      <c r="I842" s="68"/>
      <c r="J842" s="68"/>
      <c r="K842" s="67" t="s">
        <v>20474</v>
      </c>
      <c r="L842" s="71"/>
      <c r="M842" s="72"/>
      <c r="N842" s="72"/>
      <c r="O842" s="73"/>
      <c r="P842" s="74"/>
      <c r="Q842" s="74"/>
      <c r="R842" s="87"/>
      <c r="S842" s="87"/>
      <c r="T842" s="87"/>
      <c r="U842" s="87"/>
      <c r="V842" s="48"/>
      <c r="W842" s="48"/>
      <c r="X842" s="47">
        <v>1.101E-3</v>
      </c>
      <c r="Y842" s="48"/>
      <c r="Z842" s="47"/>
      <c r="AA842" s="69">
        <v>842</v>
      </c>
      <c r="AB842" s="69"/>
      <c r="AC842" s="70"/>
      <c r="AD842" s="76" t="s">
        <v>17464</v>
      </c>
      <c r="AE842" s="81" t="s">
        <v>17820</v>
      </c>
      <c r="AF842" s="76">
        <v>313</v>
      </c>
      <c r="AG842" s="76">
        <v>47</v>
      </c>
      <c r="AH842" s="76">
        <v>320</v>
      </c>
      <c r="AI842" s="76">
        <v>7</v>
      </c>
      <c r="AJ842" s="76">
        <v>0</v>
      </c>
      <c r="AK842" s="76">
        <v>10</v>
      </c>
      <c r="AL842" s="76" t="b">
        <v>0</v>
      </c>
      <c r="AM842" s="78">
        <v>39181.165289351855</v>
      </c>
      <c r="AN842" s="76"/>
      <c r="AO842" s="76"/>
      <c r="AP842" s="76"/>
      <c r="AQ842" s="76"/>
      <c r="AR842" s="76"/>
      <c r="AS842" s="76"/>
      <c r="AT842" s="76"/>
      <c r="AU842" s="76"/>
      <c r="AV842" s="76"/>
      <c r="AW842" s="76"/>
      <c r="AX842" s="76" t="b">
        <v>0</v>
      </c>
      <c r="AY842" s="76"/>
      <c r="AZ842" s="76"/>
      <c r="BA842" s="76" t="b">
        <v>0</v>
      </c>
      <c r="BB842" s="76" t="b">
        <v>1</v>
      </c>
      <c r="BC842" s="76" t="b">
        <v>0</v>
      </c>
      <c r="BD842" s="76" t="b">
        <v>0</v>
      </c>
      <c r="BE842" s="76" t="b">
        <v>0</v>
      </c>
      <c r="BF842" s="76" t="b">
        <v>0</v>
      </c>
      <c r="BG842" s="76" t="b">
        <v>0</v>
      </c>
      <c r="BH842" s="76"/>
      <c r="BI842" s="76"/>
      <c r="BJ842" s="76" t="s">
        <v>19633</v>
      </c>
      <c r="BK842" s="76" t="b">
        <v>0</v>
      </c>
      <c r="BL842" s="76"/>
      <c r="BM842" s="76" t="s">
        <v>65</v>
      </c>
      <c r="BN842" s="76" t="s">
        <v>19635</v>
      </c>
      <c r="BO842" s="83" t="str">
        <f>HYPERLINK("https://twitter.com/cassius")</f>
        <v>https://twitter.com/cassius</v>
      </c>
      <c r="BP842" s="2"/>
    </row>
    <row r="843" spans="1:68" x14ac:dyDescent="0.25">
      <c r="A843" s="62" t="s">
        <v>980</v>
      </c>
      <c r="B843" s="63"/>
      <c r="C843" s="63"/>
      <c r="D843" s="64"/>
      <c r="E843" s="66"/>
      <c r="F843" s="103" t="str">
        <f>HYPERLINK("https://pbs.twimg.com/profile_images/1616546627661053953/G4wVwdy9_normal.jpg")</f>
        <v>https://pbs.twimg.com/profile_images/1616546627661053953/G4wVwdy9_normal.jpg</v>
      </c>
      <c r="G843" s="63"/>
      <c r="H843" s="67"/>
      <c r="I843" s="68"/>
      <c r="J843" s="68"/>
      <c r="K843" s="67" t="s">
        <v>20475</v>
      </c>
      <c r="L843" s="71"/>
      <c r="M843" s="72"/>
      <c r="N843" s="72"/>
      <c r="O843" s="73"/>
      <c r="P843" s="74"/>
      <c r="Q843" s="74"/>
      <c r="R843" s="87"/>
      <c r="S843" s="87"/>
      <c r="T843" s="87"/>
      <c r="U843" s="87"/>
      <c r="V843" s="48"/>
      <c r="W843" s="48"/>
      <c r="X843" s="47">
        <v>1.101E-3</v>
      </c>
      <c r="Y843" s="48"/>
      <c r="Z843" s="47"/>
      <c r="AA843" s="69">
        <v>843</v>
      </c>
      <c r="AB843" s="69"/>
      <c r="AC843" s="70"/>
      <c r="AD843" s="76" t="s">
        <v>17465</v>
      </c>
      <c r="AE843" s="81" t="s">
        <v>17821</v>
      </c>
      <c r="AF843" s="76">
        <v>138</v>
      </c>
      <c r="AG843" s="76">
        <v>81</v>
      </c>
      <c r="AH843" s="76">
        <v>108</v>
      </c>
      <c r="AI843" s="76">
        <v>5</v>
      </c>
      <c r="AJ843" s="76">
        <v>137</v>
      </c>
      <c r="AK843" s="76">
        <v>181</v>
      </c>
      <c r="AL843" s="76" t="b">
        <v>0</v>
      </c>
      <c r="AM843" s="78">
        <v>39955.987997685188</v>
      </c>
      <c r="AN843" s="76" t="s">
        <v>10622</v>
      </c>
      <c r="AO843" s="76" t="s">
        <v>18915</v>
      </c>
      <c r="AP843" s="83" t="str">
        <f>HYPERLINK("https://t.co/CbHNsf0U4U")</f>
        <v>https://t.co/CbHNsf0U4U</v>
      </c>
      <c r="AQ843" s="83" t="str">
        <f>HYPERLINK("https://linktr.ee/Nerdup")</f>
        <v>https://linktr.ee/Nerdup</v>
      </c>
      <c r="AR843" s="76" t="s">
        <v>19507</v>
      </c>
      <c r="AS843" s="76"/>
      <c r="AT843" s="76"/>
      <c r="AU843" s="76"/>
      <c r="AV843" s="76"/>
      <c r="AW843" s="83" t="str">
        <f>HYPERLINK("https://t.co/CbHNsf0U4U")</f>
        <v>https://t.co/CbHNsf0U4U</v>
      </c>
      <c r="AX843" s="76" t="b">
        <v>0</v>
      </c>
      <c r="AY843" s="76"/>
      <c r="AZ843" s="76"/>
      <c r="BA843" s="76" t="b">
        <v>0</v>
      </c>
      <c r="BB843" s="76" t="b">
        <v>1</v>
      </c>
      <c r="BC843" s="76" t="b">
        <v>0</v>
      </c>
      <c r="BD843" s="76" t="b">
        <v>0</v>
      </c>
      <c r="BE843" s="76" t="b">
        <v>1</v>
      </c>
      <c r="BF843" s="76" t="b">
        <v>0</v>
      </c>
      <c r="BG843" s="76" t="b">
        <v>0</v>
      </c>
      <c r="BH843" s="83" t="str">
        <f>HYPERLINK("https://pbs.twimg.com/profile_banners/41928738/1674249775")</f>
        <v>https://pbs.twimg.com/profile_banners/41928738/1674249775</v>
      </c>
      <c r="BI843" s="76"/>
      <c r="BJ843" s="76" t="s">
        <v>19633</v>
      </c>
      <c r="BK843" s="76" t="b">
        <v>0</v>
      </c>
      <c r="BL843" s="76"/>
      <c r="BM843" s="76" t="s">
        <v>66</v>
      </c>
      <c r="BN843" s="76" t="s">
        <v>19635</v>
      </c>
      <c r="BO843" s="83" t="str">
        <f>HYPERLINK("https://twitter.com/brunoberanko")</f>
        <v>https://twitter.com/brunoberanko</v>
      </c>
      <c r="BP843" s="2"/>
    </row>
    <row r="844" spans="1:68" x14ac:dyDescent="0.25">
      <c r="A844" s="62" t="s">
        <v>981</v>
      </c>
      <c r="B844" s="63"/>
      <c r="C844" s="63"/>
      <c r="D844" s="64"/>
      <c r="E844" s="66"/>
      <c r="F844" s="103" t="str">
        <f>HYPERLINK("https://pbs.twimg.com/profile_images/1655944882991796226/hLtmoAw5_normal.jpg")</f>
        <v>https://pbs.twimg.com/profile_images/1655944882991796226/hLtmoAw5_normal.jpg</v>
      </c>
      <c r="G844" s="63"/>
      <c r="H844" s="67"/>
      <c r="I844" s="68"/>
      <c r="J844" s="68"/>
      <c r="K844" s="67" t="s">
        <v>20476</v>
      </c>
      <c r="L844" s="71"/>
      <c r="M844" s="72"/>
      <c r="N844" s="72"/>
      <c r="O844" s="73"/>
      <c r="P844" s="74"/>
      <c r="Q844" s="74"/>
      <c r="R844" s="87"/>
      <c r="S844" s="87"/>
      <c r="T844" s="87"/>
      <c r="U844" s="87"/>
      <c r="V844" s="48"/>
      <c r="W844" s="48"/>
      <c r="X844" s="47">
        <v>1.101E-3</v>
      </c>
      <c r="Y844" s="48"/>
      <c r="Z844" s="47"/>
      <c r="AA844" s="69">
        <v>844</v>
      </c>
      <c r="AB844" s="69"/>
      <c r="AC844" s="70"/>
      <c r="AD844" s="76" t="s">
        <v>17466</v>
      </c>
      <c r="AE844" s="81" t="s">
        <v>15795</v>
      </c>
      <c r="AF844" s="76">
        <v>35</v>
      </c>
      <c r="AG844" s="76">
        <v>173</v>
      </c>
      <c r="AH844" s="76">
        <v>749</v>
      </c>
      <c r="AI844" s="76">
        <v>0</v>
      </c>
      <c r="AJ844" s="76">
        <v>881</v>
      </c>
      <c r="AK844" s="76">
        <v>97</v>
      </c>
      <c r="AL844" s="76" t="b">
        <v>0</v>
      </c>
      <c r="AM844" s="78">
        <v>45036.692129629628</v>
      </c>
      <c r="AN844" s="76" t="s">
        <v>18126</v>
      </c>
      <c r="AO844" s="76" t="s">
        <v>18916</v>
      </c>
      <c r="AP844" s="83" t="str">
        <f>HYPERLINK("https://t.co/OBYBmMArbQ")</f>
        <v>https://t.co/OBYBmMArbQ</v>
      </c>
      <c r="AQ844" s="83" t="str">
        <f>HYPERLINK("http://www.fsl.com")</f>
        <v>http://www.fsl.com</v>
      </c>
      <c r="AR844" s="76" t="s">
        <v>19508</v>
      </c>
      <c r="AS844" s="76"/>
      <c r="AT844" s="76"/>
      <c r="AU844" s="76"/>
      <c r="AV844" s="76"/>
      <c r="AW844" s="83" t="str">
        <f>HYPERLINK("https://t.co/OBYBmMArbQ")</f>
        <v>https://t.co/OBYBmMArbQ</v>
      </c>
      <c r="AX844" s="76" t="b">
        <v>0</v>
      </c>
      <c r="AY844" s="76"/>
      <c r="AZ844" s="76"/>
      <c r="BA844" s="76" t="b">
        <v>0</v>
      </c>
      <c r="BB844" s="76" t="b">
        <v>1</v>
      </c>
      <c r="BC844" s="76" t="b">
        <v>1</v>
      </c>
      <c r="BD844" s="76" t="b">
        <v>0</v>
      </c>
      <c r="BE844" s="76" t="b">
        <v>0</v>
      </c>
      <c r="BF844" s="76" t="b">
        <v>0</v>
      </c>
      <c r="BG844" s="76" t="b">
        <v>0</v>
      </c>
      <c r="BH844" s="83" t="str">
        <f>HYPERLINK("https://pbs.twimg.com/profile_banners/1649089578626695177/1683643002")</f>
        <v>https://pbs.twimg.com/profile_banners/1649089578626695177/1683643002</v>
      </c>
      <c r="BI844" s="76"/>
      <c r="BJ844" s="76" t="s">
        <v>19633</v>
      </c>
      <c r="BK844" s="76" t="b">
        <v>0</v>
      </c>
      <c r="BL844" s="76"/>
      <c r="BM844" s="76" t="s">
        <v>66</v>
      </c>
      <c r="BN844" s="76" t="s">
        <v>19635</v>
      </c>
      <c r="BO844" s="83" t="str">
        <f>HYPERLINK("https://twitter.com/felippe_analyst")</f>
        <v>https://twitter.com/felippe_analyst</v>
      </c>
      <c r="BP844" s="2"/>
    </row>
    <row r="845" spans="1:68" x14ac:dyDescent="0.25">
      <c r="A845" s="62" t="s">
        <v>982</v>
      </c>
      <c r="B845" s="63"/>
      <c r="C845" s="63"/>
      <c r="D845" s="64"/>
      <c r="E845" s="66"/>
      <c r="F845" s="103" t="str">
        <f>HYPERLINK("https://pbs.twimg.com/profile_images/1265083532646453249/5LO0aH_w_normal.jpg")</f>
        <v>https://pbs.twimg.com/profile_images/1265083532646453249/5LO0aH_w_normal.jpg</v>
      </c>
      <c r="G845" s="63"/>
      <c r="H845" s="67"/>
      <c r="I845" s="68"/>
      <c r="J845" s="68"/>
      <c r="K845" s="67" t="s">
        <v>20477</v>
      </c>
      <c r="L845" s="71"/>
      <c r="M845" s="72"/>
      <c r="N845" s="72"/>
      <c r="O845" s="73"/>
      <c r="P845" s="74"/>
      <c r="Q845" s="74"/>
      <c r="R845" s="87"/>
      <c r="S845" s="87"/>
      <c r="T845" s="87"/>
      <c r="U845" s="87"/>
      <c r="V845" s="48"/>
      <c r="W845" s="48"/>
      <c r="X845" s="47">
        <v>1.101E-3</v>
      </c>
      <c r="Y845" s="48"/>
      <c r="Z845" s="47"/>
      <c r="AA845" s="69">
        <v>845</v>
      </c>
      <c r="AB845" s="69"/>
      <c r="AC845" s="70"/>
      <c r="AD845" s="76" t="s">
        <v>17467</v>
      </c>
      <c r="AE845" s="81" t="s">
        <v>16567</v>
      </c>
      <c r="AF845" s="76">
        <v>45</v>
      </c>
      <c r="AG845" s="76">
        <v>90</v>
      </c>
      <c r="AH845" s="76">
        <v>7444</v>
      </c>
      <c r="AI845" s="76">
        <v>0</v>
      </c>
      <c r="AJ845" s="76">
        <v>23494</v>
      </c>
      <c r="AK845" s="76">
        <v>10</v>
      </c>
      <c r="AL845" s="76" t="b">
        <v>0</v>
      </c>
      <c r="AM845" s="78">
        <v>43763.733969907407</v>
      </c>
      <c r="AN845" s="76" t="s">
        <v>10583</v>
      </c>
      <c r="AO845" s="76" t="s">
        <v>18917</v>
      </c>
      <c r="AP845" s="76"/>
      <c r="AQ845" s="76"/>
      <c r="AR845" s="76"/>
      <c r="AS845" s="76"/>
      <c r="AT845" s="76"/>
      <c r="AU845" s="76"/>
      <c r="AV845" s="76"/>
      <c r="AW845" s="76"/>
      <c r="AX845" s="76" t="b">
        <v>0</v>
      </c>
      <c r="AY845" s="76"/>
      <c r="AZ845" s="76"/>
      <c r="BA845" s="76" t="b">
        <v>0</v>
      </c>
      <c r="BB845" s="76" t="b">
        <v>1</v>
      </c>
      <c r="BC845" s="76" t="b">
        <v>1</v>
      </c>
      <c r="BD845" s="76" t="b">
        <v>0</v>
      </c>
      <c r="BE845" s="76" t="b">
        <v>1</v>
      </c>
      <c r="BF845" s="76" t="b">
        <v>0</v>
      </c>
      <c r="BG845" s="76" t="b">
        <v>0</v>
      </c>
      <c r="BH845" s="83" t="str">
        <f>HYPERLINK("https://pbs.twimg.com/profile_banners/1187785056695259136/1615082107")</f>
        <v>https://pbs.twimg.com/profile_banners/1187785056695259136/1615082107</v>
      </c>
      <c r="BI845" s="76"/>
      <c r="BJ845" s="76" t="s">
        <v>19633</v>
      </c>
      <c r="BK845" s="76" t="b">
        <v>0</v>
      </c>
      <c r="BL845" s="76"/>
      <c r="BM845" s="76" t="s">
        <v>66</v>
      </c>
      <c r="BN845" s="76" t="s">
        <v>19635</v>
      </c>
      <c r="BO845" s="83" t="str">
        <f>HYPERLINK("https://twitter.com/jeffers54624993")</f>
        <v>https://twitter.com/jeffers54624993</v>
      </c>
      <c r="BP845" s="2"/>
    </row>
    <row r="846" spans="1:68" x14ac:dyDescent="0.25">
      <c r="A846" s="62" t="s">
        <v>983</v>
      </c>
      <c r="B846" s="63"/>
      <c r="C846" s="63"/>
      <c r="D846" s="64"/>
      <c r="E846" s="66"/>
      <c r="F846" s="103" t="str">
        <f>HYPERLINK("https://pbs.twimg.com/profile_images/1591324436363362304/R7zE8eLD_normal.jpg")</f>
        <v>https://pbs.twimg.com/profile_images/1591324436363362304/R7zE8eLD_normal.jpg</v>
      </c>
      <c r="G846" s="63"/>
      <c r="H846" s="67"/>
      <c r="I846" s="68"/>
      <c r="J846" s="68"/>
      <c r="K846" s="67" t="s">
        <v>20478</v>
      </c>
      <c r="L846" s="71"/>
      <c r="M846" s="72"/>
      <c r="N846" s="72"/>
      <c r="O846" s="73"/>
      <c r="P846" s="74"/>
      <c r="Q846" s="74"/>
      <c r="R846" s="87"/>
      <c r="S846" s="87"/>
      <c r="T846" s="87"/>
      <c r="U846" s="87"/>
      <c r="V846" s="48"/>
      <c r="W846" s="48"/>
      <c r="X846" s="47">
        <v>1.101E-3</v>
      </c>
      <c r="Y846" s="48"/>
      <c r="Z846" s="47"/>
      <c r="AA846" s="69">
        <v>846</v>
      </c>
      <c r="AB846" s="69"/>
      <c r="AC846" s="70"/>
      <c r="AD846" s="76" t="s">
        <v>17468</v>
      </c>
      <c r="AE846" s="81" t="s">
        <v>17822</v>
      </c>
      <c r="AF846" s="76">
        <v>89</v>
      </c>
      <c r="AG846" s="76">
        <v>376</v>
      </c>
      <c r="AH846" s="76">
        <v>294</v>
      </c>
      <c r="AI846" s="76">
        <v>0</v>
      </c>
      <c r="AJ846" s="76">
        <v>310</v>
      </c>
      <c r="AK846" s="76">
        <v>74</v>
      </c>
      <c r="AL846" s="76" t="b">
        <v>0</v>
      </c>
      <c r="AM846" s="78">
        <v>40118.82949074074</v>
      </c>
      <c r="AN846" s="76"/>
      <c r="AO846" s="76" t="s">
        <v>18918</v>
      </c>
      <c r="AP846" s="83" t="str">
        <f>HYPERLINK("https://t.co/iYa3nuzkDp")</f>
        <v>https://t.co/iYa3nuzkDp</v>
      </c>
      <c r="AQ846" s="83" t="str">
        <f>HYPERLINK("https://linktr.ee/hydrainveste")</f>
        <v>https://linktr.ee/hydrainveste</v>
      </c>
      <c r="AR846" s="76" t="s">
        <v>19345</v>
      </c>
      <c r="AS846" s="76"/>
      <c r="AT846" s="76"/>
      <c r="AU846" s="76"/>
      <c r="AV846" s="76"/>
      <c r="AW846" s="83" t="str">
        <f>HYPERLINK("https://t.co/iYa3nuzkDp")</f>
        <v>https://t.co/iYa3nuzkDp</v>
      </c>
      <c r="AX846" s="76" t="b">
        <v>0</v>
      </c>
      <c r="AY846" s="76"/>
      <c r="AZ846" s="76"/>
      <c r="BA846" s="76" t="b">
        <v>0</v>
      </c>
      <c r="BB846" s="76" t="b">
        <v>1</v>
      </c>
      <c r="BC846" s="76" t="b">
        <v>0</v>
      </c>
      <c r="BD846" s="76" t="b">
        <v>0</v>
      </c>
      <c r="BE846" s="76" t="b">
        <v>0</v>
      </c>
      <c r="BF846" s="76" t="b">
        <v>0</v>
      </c>
      <c r="BG846" s="76" t="b">
        <v>0</v>
      </c>
      <c r="BH846" s="83" t="str">
        <f>HYPERLINK("https://pbs.twimg.com/profile_banners/86789037/1667781010")</f>
        <v>https://pbs.twimg.com/profile_banners/86789037/1667781010</v>
      </c>
      <c r="BI846" s="76"/>
      <c r="BJ846" s="76" t="s">
        <v>19633</v>
      </c>
      <c r="BK846" s="76" t="b">
        <v>0</v>
      </c>
      <c r="BL846" s="76"/>
      <c r="BM846" s="76" t="s">
        <v>66</v>
      </c>
      <c r="BN846" s="76" t="s">
        <v>19635</v>
      </c>
      <c r="BO846" s="83" t="str">
        <f>HYPERLINK("https://twitter.com/teixeiracosta19")</f>
        <v>https://twitter.com/teixeiracosta19</v>
      </c>
      <c r="BP846" s="2"/>
    </row>
    <row r="847" spans="1:68" x14ac:dyDescent="0.25">
      <c r="A847" s="62" t="s">
        <v>984</v>
      </c>
      <c r="B847" s="63"/>
      <c r="C847" s="63"/>
      <c r="D847" s="64"/>
      <c r="E847" s="66"/>
      <c r="F847" s="103" t="str">
        <f>HYPERLINK("https://pbs.twimg.com/profile_images/1201531777694781440/eNeoSJJw_normal.jpg")</f>
        <v>https://pbs.twimg.com/profile_images/1201531777694781440/eNeoSJJw_normal.jpg</v>
      </c>
      <c r="G847" s="63"/>
      <c r="H847" s="67"/>
      <c r="I847" s="68"/>
      <c r="J847" s="68"/>
      <c r="K847" s="67" t="s">
        <v>20479</v>
      </c>
      <c r="L847" s="71"/>
      <c r="M847" s="72"/>
      <c r="N847" s="72"/>
      <c r="O847" s="73"/>
      <c r="P847" s="74"/>
      <c r="Q847" s="74"/>
      <c r="R847" s="87"/>
      <c r="S847" s="87"/>
      <c r="T847" s="87"/>
      <c r="U847" s="87"/>
      <c r="V847" s="48"/>
      <c r="W847" s="48"/>
      <c r="X847" s="47">
        <v>1.101E-3</v>
      </c>
      <c r="Y847" s="48"/>
      <c r="Z847" s="47"/>
      <c r="AA847" s="69">
        <v>847</v>
      </c>
      <c r="AB847" s="69"/>
      <c r="AC847" s="70"/>
      <c r="AD847" s="76" t="s">
        <v>17469</v>
      </c>
      <c r="AE847" s="81" t="s">
        <v>17823</v>
      </c>
      <c r="AF847" s="76">
        <v>602</v>
      </c>
      <c r="AG847" s="76">
        <v>135</v>
      </c>
      <c r="AH847" s="76">
        <v>6275</v>
      </c>
      <c r="AI847" s="76">
        <v>3</v>
      </c>
      <c r="AJ847" s="76">
        <v>1894</v>
      </c>
      <c r="AK847" s="76">
        <v>486</v>
      </c>
      <c r="AL847" s="76" t="b">
        <v>0</v>
      </c>
      <c r="AM847" s="78">
        <v>40220.990960648145</v>
      </c>
      <c r="AN847" s="76" t="s">
        <v>18127</v>
      </c>
      <c r="AO847" s="76" t="s">
        <v>18919</v>
      </c>
      <c r="AP847" s="83" t="str">
        <f>HYPERLINK("https://t.co/A3FGSZlcqq")</f>
        <v>https://t.co/A3FGSZlcqq</v>
      </c>
      <c r="AQ847" s="83" t="str">
        <f>HYPERLINK("http://soundcloud.com/mq-soulja")</f>
        <v>http://soundcloud.com/mq-soulja</v>
      </c>
      <c r="AR847" s="76" t="s">
        <v>19509</v>
      </c>
      <c r="AS847" s="76"/>
      <c r="AT847" s="76"/>
      <c r="AU847" s="76"/>
      <c r="AV847" s="76"/>
      <c r="AW847" s="83" t="str">
        <f>HYPERLINK("https://t.co/A3FGSZlcqq")</f>
        <v>https://t.co/A3FGSZlcqq</v>
      </c>
      <c r="AX847" s="76" t="b">
        <v>0</v>
      </c>
      <c r="AY847" s="76"/>
      <c r="AZ847" s="76"/>
      <c r="BA847" s="76" t="b">
        <v>0</v>
      </c>
      <c r="BB847" s="76" t="b">
        <v>1</v>
      </c>
      <c r="BC847" s="76" t="b">
        <v>0</v>
      </c>
      <c r="BD847" s="76" t="b">
        <v>0</v>
      </c>
      <c r="BE847" s="76" t="b">
        <v>0</v>
      </c>
      <c r="BF847" s="76" t="b">
        <v>0</v>
      </c>
      <c r="BG847" s="76" t="b">
        <v>0</v>
      </c>
      <c r="BH847" s="83" t="str">
        <f>HYPERLINK("https://pbs.twimg.com/profile_banners/113495167/1575302481")</f>
        <v>https://pbs.twimg.com/profile_banners/113495167/1575302481</v>
      </c>
      <c r="BI847" s="76"/>
      <c r="BJ847" s="76" t="s">
        <v>19633</v>
      </c>
      <c r="BK847" s="76" t="b">
        <v>0</v>
      </c>
      <c r="BL847" s="76"/>
      <c r="BM847" s="76" t="s">
        <v>66</v>
      </c>
      <c r="BN847" s="76" t="s">
        <v>19635</v>
      </c>
      <c r="BO847" s="83" t="str">
        <f>HYPERLINK("https://twitter.com/mqsoulja")</f>
        <v>https://twitter.com/mqsoulja</v>
      </c>
      <c r="BP847" s="2"/>
    </row>
    <row r="848" spans="1:68" x14ac:dyDescent="0.25">
      <c r="A848" s="62" t="s">
        <v>1127</v>
      </c>
      <c r="B848" s="63"/>
      <c r="C848" s="63"/>
      <c r="D848" s="64"/>
      <c r="E848" s="66"/>
      <c r="F848" s="103" t="str">
        <f>HYPERLINK("https://pbs.twimg.com/profile_images/1563128843078193152/5jaFDzCB_normal.jpg")</f>
        <v>https://pbs.twimg.com/profile_images/1563128843078193152/5jaFDzCB_normal.jpg</v>
      </c>
      <c r="G848" s="63"/>
      <c r="H848" s="67"/>
      <c r="I848" s="68"/>
      <c r="J848" s="68"/>
      <c r="K848" s="67" t="s">
        <v>20480</v>
      </c>
      <c r="L848" s="71"/>
      <c r="M848" s="72"/>
      <c r="N848" s="72"/>
      <c r="O848" s="73"/>
      <c r="P848" s="74"/>
      <c r="Q848" s="74"/>
      <c r="R848" s="87"/>
      <c r="S848" s="87"/>
      <c r="T848" s="87"/>
      <c r="U848" s="87"/>
      <c r="V848" s="48"/>
      <c r="W848" s="48"/>
      <c r="X848" s="47">
        <v>1.101E-3</v>
      </c>
      <c r="Y848" s="48"/>
      <c r="Z848" s="47"/>
      <c r="AA848" s="69">
        <v>848</v>
      </c>
      <c r="AB848" s="69"/>
      <c r="AC848" s="70"/>
      <c r="AD848" s="76" t="s">
        <v>17470</v>
      </c>
      <c r="AE848" s="81" t="s">
        <v>17824</v>
      </c>
      <c r="AF848" s="76">
        <v>7368</v>
      </c>
      <c r="AG848" s="76">
        <v>119</v>
      </c>
      <c r="AH848" s="76">
        <v>11715</v>
      </c>
      <c r="AI848" s="76">
        <v>12</v>
      </c>
      <c r="AJ848" s="76">
        <v>605</v>
      </c>
      <c r="AK848" s="76">
        <v>444</v>
      </c>
      <c r="AL848" s="76" t="b">
        <v>0</v>
      </c>
      <c r="AM848" s="78">
        <v>40441.462766203702</v>
      </c>
      <c r="AN848" s="76" t="s">
        <v>18128</v>
      </c>
      <c r="AO848" s="76" t="s">
        <v>18920</v>
      </c>
      <c r="AP848" s="83" t="str">
        <f>HYPERLINK("https://t.co/9K12MJ5sLy")</f>
        <v>https://t.co/9K12MJ5sLy</v>
      </c>
      <c r="AQ848" s="83" t="str">
        <f>HYPERLINK("https://instabio.cc/Investir")</f>
        <v>https://instabio.cc/Investir</v>
      </c>
      <c r="AR848" s="76" t="s">
        <v>19510</v>
      </c>
      <c r="AS848" s="76"/>
      <c r="AT848" s="76"/>
      <c r="AU848" s="76"/>
      <c r="AV848" s="76"/>
      <c r="AW848" s="83" t="str">
        <f>HYPERLINK("https://t.co/9K12MJ5sLy")</f>
        <v>https://t.co/9K12MJ5sLy</v>
      </c>
      <c r="AX848" s="76" t="b">
        <v>1</v>
      </c>
      <c r="AY848" s="76"/>
      <c r="AZ848" s="76"/>
      <c r="BA848" s="76" t="b">
        <v>0</v>
      </c>
      <c r="BB848" s="76" t="b">
        <v>1</v>
      </c>
      <c r="BC848" s="76" t="b">
        <v>0</v>
      </c>
      <c r="BD848" s="76" t="b">
        <v>0</v>
      </c>
      <c r="BE848" s="76" t="b">
        <v>1</v>
      </c>
      <c r="BF848" s="76" t="b">
        <v>0</v>
      </c>
      <c r="BG848" s="76" t="b">
        <v>0</v>
      </c>
      <c r="BH848" s="83" t="str">
        <f>HYPERLINK("https://pbs.twimg.com/profile_banners/192864645/1638488358")</f>
        <v>https://pbs.twimg.com/profile_banners/192864645/1638488358</v>
      </c>
      <c r="BI848" s="76"/>
      <c r="BJ848" s="76" t="s">
        <v>19633</v>
      </c>
      <c r="BK848" s="76" t="b">
        <v>0</v>
      </c>
      <c r="BL848" s="76"/>
      <c r="BM848" s="76" t="s">
        <v>65</v>
      </c>
      <c r="BN848" s="76" t="s">
        <v>19635</v>
      </c>
      <c r="BO848" s="83" t="str">
        <f>HYPERLINK("https://twitter.com/eucli_francisco")</f>
        <v>https://twitter.com/eucli_francisco</v>
      </c>
      <c r="BP848" s="2"/>
    </row>
    <row r="849" spans="1:68" x14ac:dyDescent="0.25">
      <c r="A849" s="62" t="s">
        <v>985</v>
      </c>
      <c r="B849" s="63"/>
      <c r="C849" s="63"/>
      <c r="D849" s="64"/>
      <c r="E849" s="66"/>
      <c r="F849" s="103" t="str">
        <f>HYPERLINK("https://pbs.twimg.com/profile_images/2238680074/boqnews_normal.png")</f>
        <v>https://pbs.twimg.com/profile_images/2238680074/boqnews_normal.png</v>
      </c>
      <c r="G849" s="63"/>
      <c r="H849" s="67"/>
      <c r="I849" s="68"/>
      <c r="J849" s="68"/>
      <c r="K849" s="67" t="s">
        <v>20481</v>
      </c>
      <c r="L849" s="71"/>
      <c r="M849" s="72"/>
      <c r="N849" s="72"/>
      <c r="O849" s="73"/>
      <c r="P849" s="74"/>
      <c r="Q849" s="74"/>
      <c r="R849" s="87"/>
      <c r="S849" s="87"/>
      <c r="T849" s="87"/>
      <c r="U849" s="87"/>
      <c r="V849" s="48"/>
      <c r="W849" s="48"/>
      <c r="X849" s="47">
        <v>1.101E-3</v>
      </c>
      <c r="Y849" s="48"/>
      <c r="Z849" s="47"/>
      <c r="AA849" s="69">
        <v>849</v>
      </c>
      <c r="AB849" s="69"/>
      <c r="AC849" s="70"/>
      <c r="AD849" s="76" t="s">
        <v>17471</v>
      </c>
      <c r="AE849" s="81" t="s">
        <v>17825</v>
      </c>
      <c r="AF849" s="76">
        <v>8178</v>
      </c>
      <c r="AG849" s="76">
        <v>799</v>
      </c>
      <c r="AH849" s="76">
        <v>27285</v>
      </c>
      <c r="AI849" s="76">
        <v>108</v>
      </c>
      <c r="AJ849" s="76">
        <v>155</v>
      </c>
      <c r="AK849" s="76">
        <v>5264</v>
      </c>
      <c r="AL849" s="76" t="b">
        <v>0</v>
      </c>
      <c r="AM849" s="78">
        <v>39918.604849537034</v>
      </c>
      <c r="AN849" s="76" t="s">
        <v>18129</v>
      </c>
      <c r="AO849" s="76" t="s">
        <v>18921</v>
      </c>
      <c r="AP849" s="83" t="str">
        <f>HYPERLINK("http://t.co/e6yeDdxtFG")</f>
        <v>http://t.co/e6yeDdxtFG</v>
      </c>
      <c r="AQ849" s="83" t="str">
        <f>HYPERLINK("http://www.boqnews.com")</f>
        <v>http://www.boqnews.com</v>
      </c>
      <c r="AR849" s="76" t="s">
        <v>6109</v>
      </c>
      <c r="AS849" s="76"/>
      <c r="AT849" s="76"/>
      <c r="AU849" s="76"/>
      <c r="AV849" s="76"/>
      <c r="AW849" s="83" t="str">
        <f>HYPERLINK("http://t.co/e6yeDdxtFG")</f>
        <v>http://t.co/e6yeDdxtFG</v>
      </c>
      <c r="AX849" s="76" t="b">
        <v>0</v>
      </c>
      <c r="AY849" s="76"/>
      <c r="AZ849" s="76"/>
      <c r="BA849" s="76" t="b">
        <v>0</v>
      </c>
      <c r="BB849" s="76" t="b">
        <v>1</v>
      </c>
      <c r="BC849" s="76" t="b">
        <v>0</v>
      </c>
      <c r="BD849" s="76" t="b">
        <v>0</v>
      </c>
      <c r="BE849" s="76" t="b">
        <v>1</v>
      </c>
      <c r="BF849" s="76" t="b">
        <v>0</v>
      </c>
      <c r="BG849" s="76" t="b">
        <v>0</v>
      </c>
      <c r="BH849" s="83" t="str">
        <f>HYPERLINK("https://pbs.twimg.com/profile_banners/31419983/1495231373")</f>
        <v>https://pbs.twimg.com/profile_banners/31419983/1495231373</v>
      </c>
      <c r="BI849" s="76"/>
      <c r="BJ849" s="76" t="s">
        <v>19633</v>
      </c>
      <c r="BK849" s="76" t="b">
        <v>0</v>
      </c>
      <c r="BL849" s="76"/>
      <c r="BM849" s="76" t="s">
        <v>66</v>
      </c>
      <c r="BN849" s="76" t="s">
        <v>19635</v>
      </c>
      <c r="BO849" s="83" t="str">
        <f>HYPERLINK("https://twitter.com/boqnews")</f>
        <v>https://twitter.com/boqnews</v>
      </c>
      <c r="BP849" s="2"/>
    </row>
    <row r="850" spans="1:68" x14ac:dyDescent="0.25">
      <c r="A850" s="62" t="s">
        <v>986</v>
      </c>
      <c r="B850" s="63"/>
      <c r="C850" s="63"/>
      <c r="D850" s="64"/>
      <c r="E850" s="66"/>
      <c r="F850" s="103" t="str">
        <f>HYPERLINK("https://pbs.twimg.com/profile_images/1542046170779885571/8BDX_QAb_normal.jpg")</f>
        <v>https://pbs.twimg.com/profile_images/1542046170779885571/8BDX_QAb_normal.jpg</v>
      </c>
      <c r="G850" s="63"/>
      <c r="H850" s="67"/>
      <c r="I850" s="68"/>
      <c r="J850" s="68"/>
      <c r="K850" s="67" t="s">
        <v>20482</v>
      </c>
      <c r="L850" s="71"/>
      <c r="M850" s="72"/>
      <c r="N850" s="72"/>
      <c r="O850" s="73"/>
      <c r="P850" s="74"/>
      <c r="Q850" s="74"/>
      <c r="R850" s="87"/>
      <c r="S850" s="87"/>
      <c r="T850" s="87"/>
      <c r="U850" s="87"/>
      <c r="V850" s="48"/>
      <c r="W850" s="48"/>
      <c r="X850" s="47">
        <v>1.101E-3</v>
      </c>
      <c r="Y850" s="48"/>
      <c r="Z850" s="47"/>
      <c r="AA850" s="69">
        <v>850</v>
      </c>
      <c r="AB850" s="69"/>
      <c r="AC850" s="70"/>
      <c r="AD850" s="76" t="s">
        <v>17472</v>
      </c>
      <c r="AE850" s="81" t="s">
        <v>16568</v>
      </c>
      <c r="AF850" s="76">
        <v>45</v>
      </c>
      <c r="AG850" s="76">
        <v>35</v>
      </c>
      <c r="AH850" s="76">
        <v>319</v>
      </c>
      <c r="AI850" s="76">
        <v>0</v>
      </c>
      <c r="AJ850" s="76">
        <v>799</v>
      </c>
      <c r="AK850" s="76">
        <v>113</v>
      </c>
      <c r="AL850" s="76" t="b">
        <v>0</v>
      </c>
      <c r="AM850" s="78">
        <v>44741.307708333334</v>
      </c>
      <c r="AN850" s="76"/>
      <c r="AO850" s="76" t="s">
        <v>18922</v>
      </c>
      <c r="AP850" s="83" t="str">
        <f>HYPERLINK("https://t.co/KpNq0xGBWw")</f>
        <v>https://t.co/KpNq0xGBWw</v>
      </c>
      <c r="AQ850" s="83" t="str">
        <f>HYPERLINK("http://papoincerto.com")</f>
        <v>http://papoincerto.com</v>
      </c>
      <c r="AR850" s="76" t="s">
        <v>19511</v>
      </c>
      <c r="AS850" s="83" t="str">
        <f>HYPERLINK("https://t.co/yUzjbG00Zl")</f>
        <v>https://t.co/yUzjbG00Zl</v>
      </c>
      <c r="AT850" s="83" t="str">
        <f>HYPERLINK("http://pod.link/1548228653")</f>
        <v>http://pod.link/1548228653</v>
      </c>
      <c r="AU850" s="76" t="s">
        <v>19628</v>
      </c>
      <c r="AV850" s="76">
        <v>1.54796702307374E+18</v>
      </c>
      <c r="AW850" s="83" t="str">
        <f>HYPERLINK("https://t.co/KpNq0xGBWw")</f>
        <v>https://t.co/KpNq0xGBWw</v>
      </c>
      <c r="AX850" s="76" t="b">
        <v>0</v>
      </c>
      <c r="AY850" s="76"/>
      <c r="AZ850" s="76"/>
      <c r="BA850" s="76" t="b">
        <v>0</v>
      </c>
      <c r="BB850" s="76" t="b">
        <v>1</v>
      </c>
      <c r="BC850" s="76" t="b">
        <v>1</v>
      </c>
      <c r="BD850" s="76" t="b">
        <v>0</v>
      </c>
      <c r="BE850" s="76" t="b">
        <v>1</v>
      </c>
      <c r="BF850" s="76" t="b">
        <v>0</v>
      </c>
      <c r="BG850" s="76" t="b">
        <v>0</v>
      </c>
      <c r="BH850" s="83" t="str">
        <f>HYPERLINK("https://pbs.twimg.com/profile_banners/1542045920551919616/1656487585")</f>
        <v>https://pbs.twimg.com/profile_banners/1542045920551919616/1656487585</v>
      </c>
      <c r="BI850" s="76"/>
      <c r="BJ850" s="76" t="s">
        <v>19633</v>
      </c>
      <c r="BK850" s="76" t="b">
        <v>0</v>
      </c>
      <c r="BL850" s="76"/>
      <c r="BM850" s="76" t="s">
        <v>66</v>
      </c>
      <c r="BN850" s="76" t="s">
        <v>19635</v>
      </c>
      <c r="BO850" s="83" t="str">
        <f>HYPERLINK("https://twitter.com/papoincerto")</f>
        <v>https://twitter.com/papoincerto</v>
      </c>
      <c r="BP850" s="2"/>
    </row>
    <row r="851" spans="1:68" x14ac:dyDescent="0.25">
      <c r="A851" s="62" t="s">
        <v>1128</v>
      </c>
      <c r="B851" s="63"/>
      <c r="C851" s="63"/>
      <c r="D851" s="64"/>
      <c r="E851" s="66"/>
      <c r="F851" s="103" t="str">
        <f>HYPERLINK("https://pbs.twimg.com/profile_images/1697318456645898240/I-Ohb-Hr_normal.jpg")</f>
        <v>https://pbs.twimg.com/profile_images/1697318456645898240/I-Ohb-Hr_normal.jpg</v>
      </c>
      <c r="G851" s="63"/>
      <c r="H851" s="67"/>
      <c r="I851" s="68"/>
      <c r="J851" s="68"/>
      <c r="K851" s="67" t="s">
        <v>20483</v>
      </c>
      <c r="L851" s="71"/>
      <c r="M851" s="72"/>
      <c r="N851" s="72"/>
      <c r="O851" s="73"/>
      <c r="P851" s="74"/>
      <c r="Q851" s="74"/>
      <c r="R851" s="87"/>
      <c r="S851" s="87"/>
      <c r="T851" s="87"/>
      <c r="U851" s="87"/>
      <c r="V851" s="48"/>
      <c r="W851" s="48"/>
      <c r="X851" s="47">
        <v>1.101E-3</v>
      </c>
      <c r="Y851" s="48"/>
      <c r="Z851" s="47"/>
      <c r="AA851" s="69">
        <v>851</v>
      </c>
      <c r="AB851" s="69"/>
      <c r="AC851" s="70"/>
      <c r="AD851" s="76" t="s">
        <v>17473</v>
      </c>
      <c r="AE851" s="81" t="s">
        <v>17826</v>
      </c>
      <c r="AF851" s="76">
        <v>177</v>
      </c>
      <c r="AG851" s="76">
        <v>26</v>
      </c>
      <c r="AH851" s="76">
        <v>353</v>
      </c>
      <c r="AI851" s="76">
        <v>0</v>
      </c>
      <c r="AJ851" s="76">
        <v>80</v>
      </c>
      <c r="AK851" s="76">
        <v>63</v>
      </c>
      <c r="AL851" s="76" t="b">
        <v>0</v>
      </c>
      <c r="AM851" s="78">
        <v>43781.077048611114</v>
      </c>
      <c r="AN851" s="76" t="s">
        <v>18130</v>
      </c>
      <c r="AO851" s="76" t="s">
        <v>18923</v>
      </c>
      <c r="AP851" s="83" t="str">
        <f>HYPERLINK("https://t.co/lUpohi3WbA")</f>
        <v>https://t.co/lUpohi3WbA</v>
      </c>
      <c r="AQ851" s="83" t="str">
        <f>HYPERLINK("https://linktr.ee/bixarica")</f>
        <v>https://linktr.ee/bixarica</v>
      </c>
      <c r="AR851" s="76" t="s">
        <v>19512</v>
      </c>
      <c r="AS851" s="76"/>
      <c r="AT851" s="76"/>
      <c r="AU851" s="76"/>
      <c r="AV851" s="76">
        <v>1.6429870370234199E+18</v>
      </c>
      <c r="AW851" s="83" t="str">
        <f>HYPERLINK("https://t.co/lUpohi3WbA")</f>
        <v>https://t.co/lUpohi3WbA</v>
      </c>
      <c r="AX851" s="76" t="b">
        <v>0</v>
      </c>
      <c r="AY851" s="76"/>
      <c r="AZ851" s="76"/>
      <c r="BA851" s="76" t="b">
        <v>0</v>
      </c>
      <c r="BB851" s="76" t="b">
        <v>1</v>
      </c>
      <c r="BC851" s="76" t="b">
        <v>1</v>
      </c>
      <c r="BD851" s="76" t="b">
        <v>0</v>
      </c>
      <c r="BE851" s="76" t="b">
        <v>0</v>
      </c>
      <c r="BF851" s="76" t="b">
        <v>0</v>
      </c>
      <c r="BG851" s="76" t="b">
        <v>0</v>
      </c>
      <c r="BH851" s="83" t="str">
        <f>HYPERLINK("https://pbs.twimg.com/profile_banners/1194069988241543168/1688949137")</f>
        <v>https://pbs.twimg.com/profile_banners/1194069988241543168/1688949137</v>
      </c>
      <c r="BI851" s="76"/>
      <c r="BJ851" s="76" t="s">
        <v>19633</v>
      </c>
      <c r="BK851" s="76" t="b">
        <v>0</v>
      </c>
      <c r="BL851" s="76"/>
      <c r="BM851" s="76" t="s">
        <v>65</v>
      </c>
      <c r="BN851" s="76" t="s">
        <v>19635</v>
      </c>
      <c r="BO851" s="83" t="str">
        <f>HYPERLINK("https://twitter.com/bixarica_")</f>
        <v>https://twitter.com/bixarica_</v>
      </c>
      <c r="BP851" s="2"/>
    </row>
    <row r="852" spans="1:68" x14ac:dyDescent="0.25">
      <c r="A852" s="62" t="s">
        <v>987</v>
      </c>
      <c r="B852" s="63"/>
      <c r="C852" s="63"/>
      <c r="D852" s="64"/>
      <c r="E852" s="66"/>
      <c r="F852" s="103" t="str">
        <f>HYPERLINK("https://pbs.twimg.com/profile_images/1459268297036386307/iK59RDq8_normal.jpg")</f>
        <v>https://pbs.twimg.com/profile_images/1459268297036386307/iK59RDq8_normal.jpg</v>
      </c>
      <c r="G852" s="63"/>
      <c r="H852" s="67"/>
      <c r="I852" s="68"/>
      <c r="J852" s="68"/>
      <c r="K852" s="67" t="s">
        <v>20484</v>
      </c>
      <c r="L852" s="71"/>
      <c r="M852" s="72"/>
      <c r="N852" s="72"/>
      <c r="O852" s="73"/>
      <c r="P852" s="74"/>
      <c r="Q852" s="74"/>
      <c r="R852" s="87"/>
      <c r="S852" s="87"/>
      <c r="T852" s="87"/>
      <c r="U852" s="87"/>
      <c r="V852" s="48"/>
      <c r="W852" s="48"/>
      <c r="X852" s="47">
        <v>1.178E-3</v>
      </c>
      <c r="Y852" s="48"/>
      <c r="Z852" s="47"/>
      <c r="AA852" s="69">
        <v>852</v>
      </c>
      <c r="AB852" s="69"/>
      <c r="AC852" s="70"/>
      <c r="AD852" s="76" t="s">
        <v>17474</v>
      </c>
      <c r="AE852" s="81" t="s">
        <v>17827</v>
      </c>
      <c r="AF852" s="76">
        <v>762</v>
      </c>
      <c r="AG852" s="76">
        <v>853</v>
      </c>
      <c r="AH852" s="76">
        <v>3888</v>
      </c>
      <c r="AI852" s="76">
        <v>1</v>
      </c>
      <c r="AJ852" s="76">
        <v>6299</v>
      </c>
      <c r="AK852" s="76">
        <v>749</v>
      </c>
      <c r="AL852" s="76" t="b">
        <v>0</v>
      </c>
      <c r="AM852" s="78">
        <v>39977.012071759258</v>
      </c>
      <c r="AN852" s="76" t="s">
        <v>18131</v>
      </c>
      <c r="AO852" s="76" t="s">
        <v>18924</v>
      </c>
      <c r="AP852" s="76"/>
      <c r="AQ852" s="76"/>
      <c r="AR852" s="76"/>
      <c r="AS852" s="76"/>
      <c r="AT852" s="76"/>
      <c r="AU852" s="76"/>
      <c r="AV852" s="76">
        <v>1.59943367767859E+18</v>
      </c>
      <c r="AW852" s="76"/>
      <c r="AX852" s="76" t="b">
        <v>0</v>
      </c>
      <c r="AY852" s="76"/>
      <c r="AZ852" s="76"/>
      <c r="BA852" s="76" t="b">
        <v>0</v>
      </c>
      <c r="BB852" s="76" t="b">
        <v>1</v>
      </c>
      <c r="BC852" s="76" t="b">
        <v>0</v>
      </c>
      <c r="BD852" s="76" t="b">
        <v>0</v>
      </c>
      <c r="BE852" s="76" t="b">
        <v>1</v>
      </c>
      <c r="BF852" s="76" t="b">
        <v>0</v>
      </c>
      <c r="BG852" s="76" t="b">
        <v>0</v>
      </c>
      <c r="BH852" s="83" t="str">
        <f>HYPERLINK("https://pbs.twimg.com/profile_banners/46783651/1588256172")</f>
        <v>https://pbs.twimg.com/profile_banners/46783651/1588256172</v>
      </c>
      <c r="BI852" s="76"/>
      <c r="BJ852" s="76" t="s">
        <v>19633</v>
      </c>
      <c r="BK852" s="76" t="b">
        <v>0</v>
      </c>
      <c r="BL852" s="76"/>
      <c r="BM852" s="76" t="s">
        <v>66</v>
      </c>
      <c r="BN852" s="76" t="s">
        <v>19635</v>
      </c>
      <c r="BO852" s="83" t="str">
        <f>HYPERLINK("https://twitter.com/capanema2009")</f>
        <v>https://twitter.com/capanema2009</v>
      </c>
      <c r="BP852" s="2"/>
    </row>
    <row r="853" spans="1:68" x14ac:dyDescent="0.25">
      <c r="A853" s="62" t="s">
        <v>1129</v>
      </c>
      <c r="B853" s="63"/>
      <c r="C853" s="63"/>
      <c r="D853" s="64"/>
      <c r="E853" s="66"/>
      <c r="F853" s="103" t="str">
        <f>HYPERLINK("https://pbs.twimg.com/profile_images/1823006656/escolaseeduc_normal.jpg")</f>
        <v>https://pbs.twimg.com/profile_images/1823006656/escolaseeduc_normal.jpg</v>
      </c>
      <c r="G853" s="63"/>
      <c r="H853" s="67"/>
      <c r="I853" s="68"/>
      <c r="J853" s="68"/>
      <c r="K853" s="67" t="s">
        <v>20485</v>
      </c>
      <c r="L853" s="71"/>
      <c r="M853" s="72"/>
      <c r="N853" s="72"/>
      <c r="O853" s="73"/>
      <c r="P853" s="74"/>
      <c r="Q853" s="74"/>
      <c r="R853" s="87"/>
      <c r="S853" s="87"/>
      <c r="T853" s="87"/>
      <c r="U853" s="87"/>
      <c r="V853" s="48"/>
      <c r="W853" s="48"/>
      <c r="X853" s="47">
        <v>1.024E-3</v>
      </c>
      <c r="Y853" s="48"/>
      <c r="Z853" s="47"/>
      <c r="AA853" s="69">
        <v>853</v>
      </c>
      <c r="AB853" s="69"/>
      <c r="AC853" s="70"/>
      <c r="AD853" s="76" t="s">
        <v>17475</v>
      </c>
      <c r="AE853" s="81" t="s">
        <v>17828</v>
      </c>
      <c r="AF853" s="76">
        <v>1565</v>
      </c>
      <c r="AG853" s="76">
        <v>10</v>
      </c>
      <c r="AH853" s="76">
        <v>79</v>
      </c>
      <c r="AI853" s="76">
        <v>1</v>
      </c>
      <c r="AJ853" s="76">
        <v>82</v>
      </c>
      <c r="AK853" s="76">
        <v>11</v>
      </c>
      <c r="AL853" s="76" t="b">
        <v>0</v>
      </c>
      <c r="AM853" s="78">
        <v>40951.870532407411</v>
      </c>
      <c r="AN853" s="76" t="s">
        <v>10631</v>
      </c>
      <c r="AO853" s="76" t="s">
        <v>18925</v>
      </c>
      <c r="AP853" s="76"/>
      <c r="AQ853" s="76"/>
      <c r="AR853" s="76"/>
      <c r="AS853" s="76"/>
      <c r="AT853" s="76"/>
      <c r="AU853" s="76"/>
      <c r="AV853" s="76">
        <v>1.24184271155822E+18</v>
      </c>
      <c r="AW853" s="76"/>
      <c r="AX853" s="76" t="b">
        <v>0</v>
      </c>
      <c r="AY853" s="76"/>
      <c r="AZ853" s="76"/>
      <c r="BA853" s="76" t="b">
        <v>0</v>
      </c>
      <c r="BB853" s="76" t="b">
        <v>1</v>
      </c>
      <c r="BC853" s="76" t="b">
        <v>1</v>
      </c>
      <c r="BD853" s="76" t="b">
        <v>0</v>
      </c>
      <c r="BE853" s="76" t="b">
        <v>0</v>
      </c>
      <c r="BF853" s="76" t="b">
        <v>0</v>
      </c>
      <c r="BG853" s="76" t="b">
        <v>0</v>
      </c>
      <c r="BH853" s="83" t="str">
        <f>HYPERLINK("https://pbs.twimg.com/profile_banners/490715837/1584184289")</f>
        <v>https://pbs.twimg.com/profile_banners/490715837/1584184289</v>
      </c>
      <c r="BI853" s="76"/>
      <c r="BJ853" s="76" t="s">
        <v>19633</v>
      </c>
      <c r="BK853" s="76" t="b">
        <v>0</v>
      </c>
      <c r="BL853" s="76"/>
      <c r="BM853" s="76" t="s">
        <v>65</v>
      </c>
      <c r="BN853" s="76" t="s">
        <v>19635</v>
      </c>
      <c r="BO853" s="83" t="str">
        <f>HYPERLINK("https://twitter.com/seeducrj")</f>
        <v>https://twitter.com/seeducrj</v>
      </c>
      <c r="BP853" s="2"/>
    </row>
    <row r="854" spans="1:68" x14ac:dyDescent="0.25">
      <c r="A854" s="62" t="s">
        <v>988</v>
      </c>
      <c r="B854" s="63"/>
      <c r="C854" s="63"/>
      <c r="D854" s="64"/>
      <c r="E854" s="66"/>
      <c r="F854" s="103" t="str">
        <f>HYPERLINK("https://pbs.twimg.com/profile_images/1652853355520172035/kYNmRZC0_normal.jpg")</f>
        <v>https://pbs.twimg.com/profile_images/1652853355520172035/kYNmRZC0_normal.jpg</v>
      </c>
      <c r="G854" s="63"/>
      <c r="H854" s="67"/>
      <c r="I854" s="68"/>
      <c r="J854" s="68"/>
      <c r="K854" s="67" t="s">
        <v>20486</v>
      </c>
      <c r="L854" s="71"/>
      <c r="M854" s="72"/>
      <c r="N854" s="72"/>
      <c r="O854" s="73"/>
      <c r="P854" s="74"/>
      <c r="Q854" s="74"/>
      <c r="R854" s="87"/>
      <c r="S854" s="87"/>
      <c r="T854" s="87"/>
      <c r="U854" s="87"/>
      <c r="V854" s="48"/>
      <c r="W854" s="48"/>
      <c r="X854" s="47">
        <v>1.101E-3</v>
      </c>
      <c r="Y854" s="48"/>
      <c r="Z854" s="47"/>
      <c r="AA854" s="69">
        <v>854</v>
      </c>
      <c r="AB854" s="69"/>
      <c r="AC854" s="70"/>
      <c r="AD854" s="76" t="s">
        <v>17476</v>
      </c>
      <c r="AE854" s="81" t="s">
        <v>16569</v>
      </c>
      <c r="AF854" s="76">
        <v>3</v>
      </c>
      <c r="AG854" s="76">
        <v>55</v>
      </c>
      <c r="AH854" s="76">
        <v>106</v>
      </c>
      <c r="AI854" s="76">
        <v>0</v>
      </c>
      <c r="AJ854" s="76">
        <v>100</v>
      </c>
      <c r="AK854" s="76">
        <v>102</v>
      </c>
      <c r="AL854" s="76" t="b">
        <v>0</v>
      </c>
      <c r="AM854" s="78">
        <v>42705.820138888892</v>
      </c>
      <c r="AN854" s="76" t="s">
        <v>18132</v>
      </c>
      <c r="AO854" s="76" t="s">
        <v>18926</v>
      </c>
      <c r="AP854" s="76"/>
      <c r="AQ854" s="76"/>
      <c r="AR854" s="76"/>
      <c r="AS854" s="76"/>
      <c r="AT854" s="76"/>
      <c r="AU854" s="76"/>
      <c r="AV854" s="76"/>
      <c r="AW854" s="76"/>
      <c r="AX854" s="76" t="b">
        <v>0</v>
      </c>
      <c r="AY854" s="76"/>
      <c r="AZ854" s="76"/>
      <c r="BA854" s="76" t="b">
        <v>0</v>
      </c>
      <c r="BB854" s="76" t="b">
        <v>0</v>
      </c>
      <c r="BC854" s="76" t="b">
        <v>1</v>
      </c>
      <c r="BD854" s="76" t="b">
        <v>0</v>
      </c>
      <c r="BE854" s="76" t="b">
        <v>0</v>
      </c>
      <c r="BF854" s="76" t="b">
        <v>0</v>
      </c>
      <c r="BG854" s="76" t="b">
        <v>0</v>
      </c>
      <c r="BH854" s="83" t="str">
        <f>HYPERLINK("https://pbs.twimg.com/profile_banners/804409986944110592/1682483821")</f>
        <v>https://pbs.twimg.com/profile_banners/804409986944110592/1682483821</v>
      </c>
      <c r="BI854" s="76"/>
      <c r="BJ854" s="76" t="s">
        <v>19633</v>
      </c>
      <c r="BK854" s="76" t="b">
        <v>0</v>
      </c>
      <c r="BL854" s="76"/>
      <c r="BM854" s="76" t="s">
        <v>66</v>
      </c>
      <c r="BN854" s="76" t="s">
        <v>19635</v>
      </c>
      <c r="BO854" s="83" t="str">
        <f>HYPERLINK("https://twitter.com/padraojuridico")</f>
        <v>https://twitter.com/padraojuridico</v>
      </c>
      <c r="BP854" s="2"/>
    </row>
    <row r="855" spans="1:68" x14ac:dyDescent="0.25">
      <c r="A855" s="62" t="s">
        <v>989</v>
      </c>
      <c r="B855" s="63"/>
      <c r="C855" s="63"/>
      <c r="D855" s="64"/>
      <c r="E855" s="66"/>
      <c r="F855" s="103" t="str">
        <f>HYPERLINK("https://pbs.twimg.com/profile_images/1302372567244832769/9n-8d4BV_normal.jpg")</f>
        <v>https://pbs.twimg.com/profile_images/1302372567244832769/9n-8d4BV_normal.jpg</v>
      </c>
      <c r="G855" s="63"/>
      <c r="H855" s="67"/>
      <c r="I855" s="68"/>
      <c r="J855" s="68"/>
      <c r="K855" s="67" t="s">
        <v>20487</v>
      </c>
      <c r="L855" s="71"/>
      <c r="M855" s="72"/>
      <c r="N855" s="72"/>
      <c r="O855" s="73"/>
      <c r="P855" s="74"/>
      <c r="Q855" s="74"/>
      <c r="R855" s="87"/>
      <c r="S855" s="87"/>
      <c r="T855" s="87"/>
      <c r="U855" s="87"/>
      <c r="V855" s="48"/>
      <c r="W855" s="48"/>
      <c r="X855" s="47">
        <v>1.101E-3</v>
      </c>
      <c r="Y855" s="48"/>
      <c r="Z855" s="47"/>
      <c r="AA855" s="69">
        <v>855</v>
      </c>
      <c r="AB855" s="69"/>
      <c r="AC855" s="70"/>
      <c r="AD855" s="76" t="s">
        <v>17477</v>
      </c>
      <c r="AE855" s="81" t="s">
        <v>17829</v>
      </c>
      <c r="AF855" s="76">
        <v>97</v>
      </c>
      <c r="AG855" s="76">
        <v>64</v>
      </c>
      <c r="AH855" s="76">
        <v>208</v>
      </c>
      <c r="AI855" s="76">
        <v>0</v>
      </c>
      <c r="AJ855" s="76">
        <v>258</v>
      </c>
      <c r="AK855" s="76">
        <v>4</v>
      </c>
      <c r="AL855" s="76" t="b">
        <v>0</v>
      </c>
      <c r="AM855" s="78">
        <v>40343.069143518522</v>
      </c>
      <c r="AN855" s="76" t="s">
        <v>18133</v>
      </c>
      <c r="AO855" s="76" t="s">
        <v>18927</v>
      </c>
      <c r="AP855" s="83" t="str">
        <f>HYPERLINK("http://t.co/iNUym0OUoO")</f>
        <v>http://t.co/iNUym0OUoO</v>
      </c>
      <c r="AQ855" s="83" t="str">
        <f>HYPERLINK("http://www.economiacomportamental.com.br")</f>
        <v>http://www.economiacomportamental.com.br</v>
      </c>
      <c r="AR855" s="76" t="s">
        <v>19513</v>
      </c>
      <c r="AS855" s="76"/>
      <c r="AT855" s="76"/>
      <c r="AU855" s="76"/>
      <c r="AV855" s="76"/>
      <c r="AW855" s="83" t="str">
        <f>HYPERLINK("http://t.co/iNUym0OUoO")</f>
        <v>http://t.co/iNUym0OUoO</v>
      </c>
      <c r="AX855" s="76" t="b">
        <v>0</v>
      </c>
      <c r="AY855" s="76"/>
      <c r="AZ855" s="76"/>
      <c r="BA855" s="76" t="b">
        <v>0</v>
      </c>
      <c r="BB855" s="76" t="b">
        <v>1</v>
      </c>
      <c r="BC855" s="76" t="b">
        <v>1</v>
      </c>
      <c r="BD855" s="76" t="b">
        <v>0</v>
      </c>
      <c r="BE855" s="76" t="b">
        <v>0</v>
      </c>
      <c r="BF855" s="76" t="b">
        <v>0</v>
      </c>
      <c r="BG855" s="76" t="b">
        <v>0</v>
      </c>
      <c r="BH855" s="76"/>
      <c r="BI855" s="76"/>
      <c r="BJ855" s="76" t="s">
        <v>19633</v>
      </c>
      <c r="BK855" s="76" t="b">
        <v>0</v>
      </c>
      <c r="BL855" s="76"/>
      <c r="BM855" s="76" t="s">
        <v>66</v>
      </c>
      <c r="BN855" s="76" t="s">
        <v>19635</v>
      </c>
      <c r="BO855" s="83" t="str">
        <f>HYPERLINK("https://twitter.com/ecomportamental")</f>
        <v>https://twitter.com/ecomportamental</v>
      </c>
      <c r="BP855" s="2"/>
    </row>
    <row r="856" spans="1:68" x14ac:dyDescent="0.25">
      <c r="A856" s="62" t="s">
        <v>990</v>
      </c>
      <c r="B856" s="63"/>
      <c r="C856" s="63"/>
      <c r="D856" s="64"/>
      <c r="E856" s="66"/>
      <c r="F856" s="103" t="str">
        <f>HYPERLINK("https://pbs.twimg.com/profile_images/1664062708713398282/MY0oDXpq_normal.jpg")</f>
        <v>https://pbs.twimg.com/profile_images/1664062708713398282/MY0oDXpq_normal.jpg</v>
      </c>
      <c r="G856" s="63"/>
      <c r="H856" s="67"/>
      <c r="I856" s="68"/>
      <c r="J856" s="68"/>
      <c r="K856" s="67" t="s">
        <v>20488</v>
      </c>
      <c r="L856" s="71"/>
      <c r="M856" s="72"/>
      <c r="N856" s="72"/>
      <c r="O856" s="73"/>
      <c r="P856" s="74"/>
      <c r="Q856" s="74"/>
      <c r="R856" s="87"/>
      <c r="S856" s="87"/>
      <c r="T856" s="87"/>
      <c r="U856" s="87"/>
      <c r="V856" s="48"/>
      <c r="W856" s="48"/>
      <c r="X856" s="47">
        <v>1.101E-3</v>
      </c>
      <c r="Y856" s="48"/>
      <c r="Z856" s="47"/>
      <c r="AA856" s="69">
        <v>856</v>
      </c>
      <c r="AB856" s="69"/>
      <c r="AC856" s="70"/>
      <c r="AD856" s="76" t="s">
        <v>17478</v>
      </c>
      <c r="AE856" s="81" t="s">
        <v>17830</v>
      </c>
      <c r="AF856" s="76">
        <v>29</v>
      </c>
      <c r="AG856" s="76">
        <v>70</v>
      </c>
      <c r="AH856" s="76">
        <v>705</v>
      </c>
      <c r="AI856" s="76">
        <v>0</v>
      </c>
      <c r="AJ856" s="76">
        <v>103</v>
      </c>
      <c r="AK856" s="76">
        <v>180</v>
      </c>
      <c r="AL856" s="76" t="b">
        <v>0</v>
      </c>
      <c r="AM856" s="78">
        <v>40012.537858796299</v>
      </c>
      <c r="AN856" s="76" t="s">
        <v>18134</v>
      </c>
      <c r="AO856" s="76" t="s">
        <v>18928</v>
      </c>
      <c r="AP856" s="83" t="str">
        <f>HYPERLINK("https://t.co/d52AnPqyPO")</f>
        <v>https://t.co/d52AnPqyPO</v>
      </c>
      <c r="AQ856" s="83" t="str">
        <f>HYPERLINK("http://www.mrochaservicos.com.br")</f>
        <v>http://www.mrochaservicos.com.br</v>
      </c>
      <c r="AR856" s="76" t="s">
        <v>19514</v>
      </c>
      <c r="AS856" s="76"/>
      <c r="AT856" s="76"/>
      <c r="AU856" s="76"/>
      <c r="AV856" s="76"/>
      <c r="AW856" s="83" t="str">
        <f>HYPERLINK("https://t.co/d52AnPqyPO")</f>
        <v>https://t.co/d52AnPqyPO</v>
      </c>
      <c r="AX856" s="76" t="b">
        <v>1</v>
      </c>
      <c r="AY856" s="76"/>
      <c r="AZ856" s="76"/>
      <c r="BA856" s="76" t="b">
        <v>0</v>
      </c>
      <c r="BB856" s="76" t="b">
        <v>0</v>
      </c>
      <c r="BC856" s="76" t="b">
        <v>1</v>
      </c>
      <c r="BD856" s="76" t="b">
        <v>0</v>
      </c>
      <c r="BE856" s="76" t="b">
        <v>0</v>
      </c>
      <c r="BF856" s="76" t="b">
        <v>0</v>
      </c>
      <c r="BG856" s="76" t="b">
        <v>0</v>
      </c>
      <c r="BH856" s="83" t="str">
        <f>HYPERLINK("https://pbs.twimg.com/profile_banners/57925869/1669334703")</f>
        <v>https://pbs.twimg.com/profile_banners/57925869/1669334703</v>
      </c>
      <c r="BI856" s="76"/>
      <c r="BJ856" s="76" t="s">
        <v>19633</v>
      </c>
      <c r="BK856" s="76" t="b">
        <v>0</v>
      </c>
      <c r="BL856" s="76"/>
      <c r="BM856" s="76" t="s">
        <v>66</v>
      </c>
      <c r="BN856" s="76" t="s">
        <v>19635</v>
      </c>
      <c r="BO856" s="83" t="str">
        <f>HYPERLINK("https://twitter.com/mrochagestor")</f>
        <v>https://twitter.com/mrochagestor</v>
      </c>
      <c r="BP856" s="2"/>
    </row>
    <row r="857" spans="1:68" x14ac:dyDescent="0.25">
      <c r="A857" s="62" t="s">
        <v>991</v>
      </c>
      <c r="B857" s="63"/>
      <c r="C857" s="63"/>
      <c r="D857" s="64"/>
      <c r="E857" s="66"/>
      <c r="F857" s="103" t="str">
        <f>HYPERLINK("https://pbs.twimg.com/profile_images/1688201285768515586/kba2JDkJ_normal.jpg")</f>
        <v>https://pbs.twimg.com/profile_images/1688201285768515586/kba2JDkJ_normal.jpg</v>
      </c>
      <c r="G857" s="63"/>
      <c r="H857" s="67"/>
      <c r="I857" s="68"/>
      <c r="J857" s="68"/>
      <c r="K857" s="67" t="s">
        <v>20489</v>
      </c>
      <c r="L857" s="71"/>
      <c r="M857" s="72"/>
      <c r="N857" s="72"/>
      <c r="O857" s="73"/>
      <c r="P857" s="74"/>
      <c r="Q857" s="74"/>
      <c r="R857" s="87"/>
      <c r="S857" s="87"/>
      <c r="T857" s="87"/>
      <c r="U857" s="87"/>
      <c r="V857" s="48"/>
      <c r="W857" s="48"/>
      <c r="X857" s="47">
        <v>1.101E-3</v>
      </c>
      <c r="Y857" s="48"/>
      <c r="Z857" s="47"/>
      <c r="AA857" s="69">
        <v>857</v>
      </c>
      <c r="AB857" s="69"/>
      <c r="AC857" s="70"/>
      <c r="AD857" s="76" t="s">
        <v>17479</v>
      </c>
      <c r="AE857" s="81" t="s">
        <v>15796</v>
      </c>
      <c r="AF857" s="76">
        <v>17</v>
      </c>
      <c r="AG857" s="76">
        <v>58</v>
      </c>
      <c r="AH857" s="76">
        <v>68</v>
      </c>
      <c r="AI857" s="76">
        <v>0</v>
      </c>
      <c r="AJ857" s="76">
        <v>4</v>
      </c>
      <c r="AK857" s="76">
        <v>18</v>
      </c>
      <c r="AL857" s="76" t="b">
        <v>0</v>
      </c>
      <c r="AM857" s="78">
        <v>45144.615613425929</v>
      </c>
      <c r="AN857" s="76"/>
      <c r="AO857" s="76" t="s">
        <v>18929</v>
      </c>
      <c r="AP857" s="76"/>
      <c r="AQ857" s="76"/>
      <c r="AR857" s="76"/>
      <c r="AS857" s="76"/>
      <c r="AT857" s="76"/>
      <c r="AU857" s="76"/>
      <c r="AV857" s="76"/>
      <c r="AW857" s="76"/>
      <c r="AX857" s="76" t="b">
        <v>0</v>
      </c>
      <c r="AY857" s="76"/>
      <c r="AZ857" s="76"/>
      <c r="BA857" s="76" t="b">
        <v>0</v>
      </c>
      <c r="BB857" s="76" t="b">
        <v>1</v>
      </c>
      <c r="BC857" s="76" t="b">
        <v>1</v>
      </c>
      <c r="BD857" s="76" t="b">
        <v>0</v>
      </c>
      <c r="BE857" s="76" t="b">
        <v>0</v>
      </c>
      <c r="BF857" s="76" t="b">
        <v>0</v>
      </c>
      <c r="BG857" s="76" t="b">
        <v>0</v>
      </c>
      <c r="BH857" s="83" t="str">
        <f>HYPERLINK("https://pbs.twimg.com/profile_banners/1688199676816744448/1694294225")</f>
        <v>https://pbs.twimg.com/profile_banners/1688199676816744448/1694294225</v>
      </c>
      <c r="BI857" s="76"/>
      <c r="BJ857" s="76" t="s">
        <v>19633</v>
      </c>
      <c r="BK857" s="76" t="b">
        <v>0</v>
      </c>
      <c r="BL857" s="76"/>
      <c r="BM857" s="76" t="s">
        <v>66</v>
      </c>
      <c r="BN857" s="76" t="s">
        <v>19635</v>
      </c>
      <c r="BO857" s="83" t="str">
        <f>HYPERLINK("https://twitter.com/cryptosight_")</f>
        <v>https://twitter.com/cryptosight_</v>
      </c>
      <c r="BP857" s="2"/>
    </row>
    <row r="858" spans="1:68" x14ac:dyDescent="0.25">
      <c r="A858" s="62" t="s">
        <v>992</v>
      </c>
      <c r="B858" s="63"/>
      <c r="C858" s="63"/>
      <c r="D858" s="64"/>
      <c r="E858" s="66"/>
      <c r="F858" s="103" t="str">
        <f>HYPERLINK("https://pbs.twimg.com/profile_images/1565399530673152004/5QJXKhu4_normal.jpg")</f>
        <v>https://pbs.twimg.com/profile_images/1565399530673152004/5QJXKhu4_normal.jpg</v>
      </c>
      <c r="G858" s="63"/>
      <c r="H858" s="67"/>
      <c r="I858" s="68"/>
      <c r="J858" s="68"/>
      <c r="K858" s="67" t="s">
        <v>20490</v>
      </c>
      <c r="L858" s="71"/>
      <c r="M858" s="72"/>
      <c r="N858" s="72"/>
      <c r="O858" s="73"/>
      <c r="P858" s="74"/>
      <c r="Q858" s="74"/>
      <c r="R858" s="87"/>
      <c r="S858" s="87"/>
      <c r="T858" s="87"/>
      <c r="U858" s="87"/>
      <c r="V858" s="48"/>
      <c r="W858" s="48"/>
      <c r="X858" s="47">
        <v>1.101E-3</v>
      </c>
      <c r="Y858" s="48"/>
      <c r="Z858" s="47"/>
      <c r="AA858" s="69">
        <v>858</v>
      </c>
      <c r="AB858" s="69"/>
      <c r="AC858" s="70"/>
      <c r="AD858" s="76" t="s">
        <v>17480</v>
      </c>
      <c r="AE858" s="81" t="s">
        <v>16570</v>
      </c>
      <c r="AF858" s="76">
        <v>5</v>
      </c>
      <c r="AG858" s="76">
        <v>6</v>
      </c>
      <c r="AH858" s="76">
        <v>107</v>
      </c>
      <c r="AI858" s="76">
        <v>0</v>
      </c>
      <c r="AJ858" s="76">
        <v>0</v>
      </c>
      <c r="AK858" s="76">
        <v>107</v>
      </c>
      <c r="AL858" s="76" t="b">
        <v>0</v>
      </c>
      <c r="AM858" s="78">
        <v>44805.747800925928</v>
      </c>
      <c r="AN858" s="76"/>
      <c r="AO858" s="76" t="s">
        <v>18930</v>
      </c>
      <c r="AP858" s="83" t="str">
        <f>HYPERLINK("https://t.co/LgsphY08m0")</f>
        <v>https://t.co/LgsphY08m0</v>
      </c>
      <c r="AQ858" s="83" t="str">
        <f>HYPERLINK("https://linktr.ee/gvn.digital")</f>
        <v>https://linktr.ee/gvn.digital</v>
      </c>
      <c r="AR858" s="76" t="s">
        <v>19515</v>
      </c>
      <c r="AS858" s="76"/>
      <c r="AT858" s="76"/>
      <c r="AU858" s="76"/>
      <c r="AV858" s="76"/>
      <c r="AW858" s="83" t="str">
        <f>HYPERLINK("https://t.co/LgsphY08m0")</f>
        <v>https://t.co/LgsphY08m0</v>
      </c>
      <c r="AX858" s="76" t="b">
        <v>0</v>
      </c>
      <c r="AY858" s="76"/>
      <c r="AZ858" s="76"/>
      <c r="BA858" s="76" t="b">
        <v>0</v>
      </c>
      <c r="BB858" s="76" t="b">
        <v>1</v>
      </c>
      <c r="BC858" s="76" t="b">
        <v>1</v>
      </c>
      <c r="BD858" s="76" t="b">
        <v>0</v>
      </c>
      <c r="BE858" s="76" t="b">
        <v>0</v>
      </c>
      <c r="BF858" s="76" t="b">
        <v>0</v>
      </c>
      <c r="BG858" s="76" t="b">
        <v>0</v>
      </c>
      <c r="BH858" s="83" t="str">
        <f>HYPERLINK("https://pbs.twimg.com/profile_banners/1565398137497329665/1662055307")</f>
        <v>https://pbs.twimg.com/profile_banners/1565398137497329665/1662055307</v>
      </c>
      <c r="BI858" s="76"/>
      <c r="BJ858" s="76" t="s">
        <v>19633</v>
      </c>
      <c r="BK858" s="76" t="b">
        <v>0</v>
      </c>
      <c r="BL858" s="76"/>
      <c r="BM858" s="76" t="s">
        <v>66</v>
      </c>
      <c r="BN858" s="76" t="s">
        <v>19635</v>
      </c>
      <c r="BO858" s="83" t="str">
        <f>HYPERLINK("https://twitter.com/gvncorretores")</f>
        <v>https://twitter.com/gvncorretores</v>
      </c>
      <c r="BP858" s="2"/>
    </row>
    <row r="859" spans="1:68" x14ac:dyDescent="0.25">
      <c r="A859" s="62" t="s">
        <v>993</v>
      </c>
      <c r="B859" s="63"/>
      <c r="C859" s="63"/>
      <c r="D859" s="64"/>
      <c r="E859" s="66"/>
      <c r="F859" s="103" t="str">
        <f>HYPERLINK("https://pbs.twimg.com/profile_images/993479284856709121/ZQpy2w-j_normal.jpg")</f>
        <v>https://pbs.twimg.com/profile_images/993479284856709121/ZQpy2w-j_normal.jpg</v>
      </c>
      <c r="G859" s="63"/>
      <c r="H859" s="67"/>
      <c r="I859" s="68"/>
      <c r="J859" s="68"/>
      <c r="K859" s="67" t="s">
        <v>20491</v>
      </c>
      <c r="L859" s="71"/>
      <c r="M859" s="72"/>
      <c r="N859" s="72"/>
      <c r="O859" s="73"/>
      <c r="P859" s="74"/>
      <c r="Q859" s="74"/>
      <c r="R859" s="87"/>
      <c r="S859" s="87"/>
      <c r="T859" s="87"/>
      <c r="U859" s="87"/>
      <c r="V859" s="48"/>
      <c r="W859" s="48"/>
      <c r="X859" s="47">
        <v>1.101E-3</v>
      </c>
      <c r="Y859" s="48"/>
      <c r="Z859" s="47"/>
      <c r="AA859" s="69">
        <v>859</v>
      </c>
      <c r="AB859" s="69"/>
      <c r="AC859" s="70"/>
      <c r="AD859" s="76" t="s">
        <v>17481</v>
      </c>
      <c r="AE859" s="81" t="s">
        <v>17831</v>
      </c>
      <c r="AF859" s="76">
        <v>3328</v>
      </c>
      <c r="AG859" s="76">
        <v>216</v>
      </c>
      <c r="AH859" s="76">
        <v>28073</v>
      </c>
      <c r="AI859" s="76">
        <v>124</v>
      </c>
      <c r="AJ859" s="76">
        <v>6</v>
      </c>
      <c r="AK859" s="76">
        <v>2049</v>
      </c>
      <c r="AL859" s="76" t="b">
        <v>0</v>
      </c>
      <c r="AM859" s="78">
        <v>39891.830208333333</v>
      </c>
      <c r="AN859" s="76" t="s">
        <v>18011</v>
      </c>
      <c r="AO859" s="76" t="s">
        <v>18931</v>
      </c>
      <c r="AP859" s="76"/>
      <c r="AQ859" s="76"/>
      <c r="AR859" s="76"/>
      <c r="AS859" s="76"/>
      <c r="AT859" s="76"/>
      <c r="AU859" s="76"/>
      <c r="AV859" s="76"/>
      <c r="AW859" s="76"/>
      <c r="AX859" s="76" t="b">
        <v>0</v>
      </c>
      <c r="AY859" s="76"/>
      <c r="AZ859" s="76"/>
      <c r="BA859" s="76" t="b">
        <v>0</v>
      </c>
      <c r="BB859" s="76" t="b">
        <v>1</v>
      </c>
      <c r="BC859" s="76" t="b">
        <v>0</v>
      </c>
      <c r="BD859" s="76" t="b">
        <v>0</v>
      </c>
      <c r="BE859" s="76" t="b">
        <v>0</v>
      </c>
      <c r="BF859" s="76" t="b">
        <v>0</v>
      </c>
      <c r="BG859" s="76" t="b">
        <v>0</v>
      </c>
      <c r="BH859" s="76"/>
      <c r="BI859" s="76"/>
      <c r="BJ859" s="76" t="s">
        <v>19633</v>
      </c>
      <c r="BK859" s="76" t="b">
        <v>0</v>
      </c>
      <c r="BL859" s="76"/>
      <c r="BM859" s="76" t="s">
        <v>66</v>
      </c>
      <c r="BN859" s="76" t="s">
        <v>19635</v>
      </c>
      <c r="BO859" s="83" t="str">
        <f>HYPERLINK("https://twitter.com/financas")</f>
        <v>https://twitter.com/financas</v>
      </c>
      <c r="BP859" s="2"/>
    </row>
    <row r="860" spans="1:68" x14ac:dyDescent="0.25">
      <c r="A860" s="62" t="s">
        <v>994</v>
      </c>
      <c r="B860" s="63"/>
      <c r="C860" s="63"/>
      <c r="D860" s="64"/>
      <c r="E860" s="66"/>
      <c r="F860" s="103" t="str">
        <f>HYPERLINK("https://pbs.twimg.com/profile_images/1641417844469514240/sAYHQMTy_normal.jpg")</f>
        <v>https://pbs.twimg.com/profile_images/1641417844469514240/sAYHQMTy_normal.jpg</v>
      </c>
      <c r="G860" s="63"/>
      <c r="H860" s="67"/>
      <c r="I860" s="68"/>
      <c r="J860" s="68"/>
      <c r="K860" s="67" t="s">
        <v>20492</v>
      </c>
      <c r="L860" s="71"/>
      <c r="M860" s="72"/>
      <c r="N860" s="72"/>
      <c r="O860" s="73"/>
      <c r="P860" s="74"/>
      <c r="Q860" s="74"/>
      <c r="R860" s="87"/>
      <c r="S860" s="87"/>
      <c r="T860" s="87"/>
      <c r="U860" s="87"/>
      <c r="V860" s="48"/>
      <c r="W860" s="48"/>
      <c r="X860" s="47">
        <v>1.101E-3</v>
      </c>
      <c r="Y860" s="48"/>
      <c r="Z860" s="47"/>
      <c r="AA860" s="69">
        <v>860</v>
      </c>
      <c r="AB860" s="69"/>
      <c r="AC860" s="70"/>
      <c r="AD860" s="76" t="s">
        <v>17482</v>
      </c>
      <c r="AE860" s="81" t="s">
        <v>17832</v>
      </c>
      <c r="AF860" s="76">
        <v>2119</v>
      </c>
      <c r="AG860" s="76">
        <v>460</v>
      </c>
      <c r="AH860" s="76">
        <v>730</v>
      </c>
      <c r="AI860" s="76">
        <v>4</v>
      </c>
      <c r="AJ860" s="76">
        <v>1390</v>
      </c>
      <c r="AK860" s="76">
        <v>13</v>
      </c>
      <c r="AL860" s="76" t="b">
        <v>0</v>
      </c>
      <c r="AM860" s="78">
        <v>40396.686319444445</v>
      </c>
      <c r="AN860" s="76"/>
      <c r="AO860" s="76" t="s">
        <v>18932</v>
      </c>
      <c r="AP860" s="83" t="str">
        <f>HYPERLINK("https://t.co/evbBMmMEpL")</f>
        <v>https://t.co/evbBMmMEpL</v>
      </c>
      <c r="AQ860" s="83" t="str">
        <f>HYPERLINK("http://www.hirenda.com")</f>
        <v>http://www.hirenda.com</v>
      </c>
      <c r="AR860" s="76" t="s">
        <v>6111</v>
      </c>
      <c r="AS860" s="76"/>
      <c r="AT860" s="76"/>
      <c r="AU860" s="76"/>
      <c r="AV860" s="76"/>
      <c r="AW860" s="83" t="str">
        <f>HYPERLINK("https://t.co/evbBMmMEpL")</f>
        <v>https://t.co/evbBMmMEpL</v>
      </c>
      <c r="AX860" s="76" t="b">
        <v>0</v>
      </c>
      <c r="AY860" s="76"/>
      <c r="AZ860" s="76"/>
      <c r="BA860" s="76" t="b">
        <v>0</v>
      </c>
      <c r="BB860" s="76" t="b">
        <v>1</v>
      </c>
      <c r="BC860" s="76" t="b">
        <v>0</v>
      </c>
      <c r="BD860" s="76" t="b">
        <v>0</v>
      </c>
      <c r="BE860" s="76" t="b">
        <v>0</v>
      </c>
      <c r="BF860" s="76" t="b">
        <v>0</v>
      </c>
      <c r="BG860" s="76" t="b">
        <v>0</v>
      </c>
      <c r="BH860" s="83" t="str">
        <f>HYPERLINK("https://pbs.twimg.com/profile_banners/175441664/1671907697")</f>
        <v>https://pbs.twimg.com/profile_banners/175441664/1671907697</v>
      </c>
      <c r="BI860" s="76"/>
      <c r="BJ860" s="76" t="s">
        <v>19633</v>
      </c>
      <c r="BK860" s="76" t="b">
        <v>0</v>
      </c>
      <c r="BL860" s="76"/>
      <c r="BM860" s="76" t="s">
        <v>66</v>
      </c>
      <c r="BN860" s="76" t="s">
        <v>19635</v>
      </c>
      <c r="BO860" s="83" t="str">
        <f>HYPERLINK("https://twitter.com/lafbraga")</f>
        <v>https://twitter.com/lafbraga</v>
      </c>
      <c r="BP860" s="2"/>
    </row>
    <row r="861" spans="1:68" x14ac:dyDescent="0.25">
      <c r="A861" s="62" t="s">
        <v>995</v>
      </c>
      <c r="B861" s="63"/>
      <c r="C861" s="63"/>
      <c r="D861" s="64"/>
      <c r="E861" s="66"/>
      <c r="F861" s="103" t="str">
        <f>HYPERLINK("https://pbs.twimg.com/profile_images/1078659262476439552/NsjcXeXZ_normal.jpg")</f>
        <v>https://pbs.twimg.com/profile_images/1078659262476439552/NsjcXeXZ_normal.jpg</v>
      </c>
      <c r="G861" s="63"/>
      <c r="H861" s="67"/>
      <c r="I861" s="68"/>
      <c r="J861" s="68"/>
      <c r="K861" s="67" t="s">
        <v>20493</v>
      </c>
      <c r="L861" s="71"/>
      <c r="M861" s="72"/>
      <c r="N861" s="72"/>
      <c r="O861" s="73"/>
      <c r="P861" s="74"/>
      <c r="Q861" s="74"/>
      <c r="R861" s="87"/>
      <c r="S861" s="87"/>
      <c r="T861" s="87"/>
      <c r="U861" s="87"/>
      <c r="V861" s="48"/>
      <c r="W861" s="48"/>
      <c r="X861" s="47">
        <v>1.101E-3</v>
      </c>
      <c r="Y861" s="48"/>
      <c r="Z861" s="47"/>
      <c r="AA861" s="69">
        <v>861</v>
      </c>
      <c r="AB861" s="69"/>
      <c r="AC861" s="70"/>
      <c r="AD861" s="76" t="s">
        <v>17483</v>
      </c>
      <c r="AE861" s="81" t="s">
        <v>17833</v>
      </c>
      <c r="AF861" s="76">
        <v>2390</v>
      </c>
      <c r="AG861" s="76">
        <v>102</v>
      </c>
      <c r="AH861" s="76">
        <v>7846</v>
      </c>
      <c r="AI861" s="76">
        <v>23</v>
      </c>
      <c r="AJ861" s="76">
        <v>61</v>
      </c>
      <c r="AK861" s="76">
        <v>2824</v>
      </c>
      <c r="AL861" s="76" t="b">
        <v>0</v>
      </c>
      <c r="AM861" s="78">
        <v>40437.692129629628</v>
      </c>
      <c r="AN861" s="76" t="s">
        <v>17879</v>
      </c>
      <c r="AO861" s="76" t="s">
        <v>18933</v>
      </c>
      <c r="AP861" s="83" t="str">
        <f>HYPERLINK("https://t.co/Mf7XvXrdX5")</f>
        <v>https://t.co/Mf7XvXrdX5</v>
      </c>
      <c r="AQ861" s="83" t="str">
        <f>HYPERLINK("http://sjogadores.pt/")</f>
        <v>http://sjogadores.pt/</v>
      </c>
      <c r="AR861" s="76" t="s">
        <v>19516</v>
      </c>
      <c r="AS861" s="76"/>
      <c r="AT861" s="76"/>
      <c r="AU861" s="76"/>
      <c r="AV861" s="76"/>
      <c r="AW861" s="83" t="str">
        <f>HYPERLINK("https://t.co/Mf7XvXrdX5")</f>
        <v>https://t.co/Mf7XvXrdX5</v>
      </c>
      <c r="AX861" s="76" t="b">
        <v>0</v>
      </c>
      <c r="AY861" s="76"/>
      <c r="AZ861" s="76"/>
      <c r="BA861" s="76" t="b">
        <v>0</v>
      </c>
      <c r="BB861" s="76" t="b">
        <v>1</v>
      </c>
      <c r="BC861" s="76" t="b">
        <v>0</v>
      </c>
      <c r="BD861" s="76" t="b">
        <v>0</v>
      </c>
      <c r="BE861" s="76" t="b">
        <v>1</v>
      </c>
      <c r="BF861" s="76" t="b">
        <v>0</v>
      </c>
      <c r="BG861" s="76" t="b">
        <v>0</v>
      </c>
      <c r="BH861" s="83" t="str">
        <f>HYPERLINK("https://pbs.twimg.com/profile_banners/191506546/1645616229")</f>
        <v>https://pbs.twimg.com/profile_banners/191506546/1645616229</v>
      </c>
      <c r="BI861" s="76"/>
      <c r="BJ861" s="76" t="s">
        <v>19633</v>
      </c>
      <c r="BK861" s="76" t="b">
        <v>0</v>
      </c>
      <c r="BL861" s="76"/>
      <c r="BM861" s="76" t="s">
        <v>66</v>
      </c>
      <c r="BN861" s="76" t="s">
        <v>19635</v>
      </c>
      <c r="BO861" s="83" t="str">
        <f>HYPERLINK("https://twitter.com/sjpf_pt")</f>
        <v>https://twitter.com/sjpf_pt</v>
      </c>
      <c r="BP861" s="2"/>
    </row>
    <row r="862" spans="1:68" x14ac:dyDescent="0.25">
      <c r="A862" s="62" t="s">
        <v>996</v>
      </c>
      <c r="B862" s="63"/>
      <c r="C862" s="63"/>
      <c r="D862" s="64"/>
      <c r="E862" s="66"/>
      <c r="F862" s="103" t="str">
        <f>HYPERLINK("https://pbs.twimg.com/profile_images/1006208154437390336/6sWlJVh2_normal.jpg")</f>
        <v>https://pbs.twimg.com/profile_images/1006208154437390336/6sWlJVh2_normal.jpg</v>
      </c>
      <c r="G862" s="63"/>
      <c r="H862" s="67"/>
      <c r="I862" s="68"/>
      <c r="J862" s="68"/>
      <c r="K862" s="67" t="s">
        <v>20494</v>
      </c>
      <c r="L862" s="71"/>
      <c r="M862" s="72"/>
      <c r="N862" s="72"/>
      <c r="O862" s="73"/>
      <c r="P862" s="74"/>
      <c r="Q862" s="74"/>
      <c r="R862" s="87"/>
      <c r="S862" s="87"/>
      <c r="T862" s="87"/>
      <c r="U862" s="87"/>
      <c r="V862" s="48"/>
      <c r="W862" s="48"/>
      <c r="X862" s="47">
        <v>1.024E-3</v>
      </c>
      <c r="Y862" s="48"/>
      <c r="Z862" s="47"/>
      <c r="AA862" s="69">
        <v>862</v>
      </c>
      <c r="AB862" s="69"/>
      <c r="AC862" s="70"/>
      <c r="AD862" s="76" t="s">
        <v>996</v>
      </c>
      <c r="AE862" s="81" t="s">
        <v>16571</v>
      </c>
      <c r="AF862" s="76">
        <v>169</v>
      </c>
      <c r="AG862" s="76">
        <v>75</v>
      </c>
      <c r="AH862" s="76">
        <v>4804</v>
      </c>
      <c r="AI862" s="76">
        <v>0</v>
      </c>
      <c r="AJ862" s="76">
        <v>233</v>
      </c>
      <c r="AK862" s="76">
        <v>2869</v>
      </c>
      <c r="AL862" s="76" t="b">
        <v>0</v>
      </c>
      <c r="AM862" s="78">
        <v>43262.667766203704</v>
      </c>
      <c r="AN862" s="76" t="s">
        <v>18135</v>
      </c>
      <c r="AO862" s="76" t="s">
        <v>18934</v>
      </c>
      <c r="AP862" s="83" t="str">
        <f>HYPERLINK("https://t.co/nyKBw8ekU6")</f>
        <v>https://t.co/nyKBw8ekU6</v>
      </c>
      <c r="AQ862" s="83" t="str">
        <f>HYPERLINK("http://www.ua.pt/cidtff/")</f>
        <v>http://www.ua.pt/cidtff/</v>
      </c>
      <c r="AR862" s="76" t="s">
        <v>19517</v>
      </c>
      <c r="AS862" s="76"/>
      <c r="AT862" s="76"/>
      <c r="AU862" s="76"/>
      <c r="AV862" s="76"/>
      <c r="AW862" s="83" t="str">
        <f>HYPERLINK("https://t.co/nyKBw8ekU6")</f>
        <v>https://t.co/nyKBw8ekU6</v>
      </c>
      <c r="AX862" s="76" t="b">
        <v>0</v>
      </c>
      <c r="AY862" s="76"/>
      <c r="AZ862" s="76"/>
      <c r="BA862" s="76" t="b">
        <v>0</v>
      </c>
      <c r="BB862" s="76" t="b">
        <v>1</v>
      </c>
      <c r="BC862" s="76" t="b">
        <v>0</v>
      </c>
      <c r="BD862" s="76" t="b">
        <v>0</v>
      </c>
      <c r="BE862" s="76" t="b">
        <v>0</v>
      </c>
      <c r="BF862" s="76" t="b">
        <v>0</v>
      </c>
      <c r="BG862" s="76" t="b">
        <v>0</v>
      </c>
      <c r="BH862" s="83" t="str">
        <f>HYPERLINK("https://pbs.twimg.com/profile_banners/1006204809786126336/1651073421")</f>
        <v>https://pbs.twimg.com/profile_banners/1006204809786126336/1651073421</v>
      </c>
      <c r="BI862" s="76"/>
      <c r="BJ862" s="76" t="s">
        <v>19633</v>
      </c>
      <c r="BK862" s="76" t="b">
        <v>0</v>
      </c>
      <c r="BL862" s="76"/>
      <c r="BM862" s="76" t="s">
        <v>66</v>
      </c>
      <c r="BN862" s="76" t="s">
        <v>19635</v>
      </c>
      <c r="BO862" s="83" t="str">
        <f>HYPERLINK("https://twitter.com/cidtff")</f>
        <v>https://twitter.com/cidtff</v>
      </c>
      <c r="BP862" s="2"/>
    </row>
    <row r="863" spans="1:68" x14ac:dyDescent="0.25">
      <c r="A863" s="62" t="s">
        <v>1001</v>
      </c>
      <c r="B863" s="63"/>
      <c r="C863" s="63"/>
      <c r="D863" s="64"/>
      <c r="E863" s="66"/>
      <c r="F863" s="103" t="str">
        <f>HYPERLINK("https://pbs.twimg.com/profile_images/886933563542827008/4CXwFNCx_normal.jpg")</f>
        <v>https://pbs.twimg.com/profile_images/886933563542827008/4CXwFNCx_normal.jpg</v>
      </c>
      <c r="G863" s="63"/>
      <c r="H863" s="67"/>
      <c r="I863" s="68"/>
      <c r="J863" s="68"/>
      <c r="K863" s="67" t="s">
        <v>20495</v>
      </c>
      <c r="L863" s="71"/>
      <c r="M863" s="72"/>
      <c r="N863" s="72"/>
      <c r="O863" s="73"/>
      <c r="P863" s="74"/>
      <c r="Q863" s="74"/>
      <c r="R863" s="87"/>
      <c r="S863" s="87"/>
      <c r="T863" s="87"/>
      <c r="U863" s="87"/>
      <c r="V863" s="48"/>
      <c r="W863" s="48"/>
      <c r="X863" s="47">
        <v>1.178E-3</v>
      </c>
      <c r="Y863" s="48"/>
      <c r="Z863" s="47"/>
      <c r="AA863" s="69">
        <v>863</v>
      </c>
      <c r="AB863" s="69"/>
      <c r="AC863" s="70"/>
      <c r="AD863" s="76" t="s">
        <v>17484</v>
      </c>
      <c r="AE863" s="81" t="s">
        <v>17834</v>
      </c>
      <c r="AF863" s="76">
        <v>688</v>
      </c>
      <c r="AG863" s="76">
        <v>263</v>
      </c>
      <c r="AH863" s="76">
        <v>3047</v>
      </c>
      <c r="AI863" s="76">
        <v>9</v>
      </c>
      <c r="AJ863" s="76">
        <v>1426</v>
      </c>
      <c r="AK863" s="76">
        <v>358</v>
      </c>
      <c r="AL863" s="76" t="b">
        <v>0</v>
      </c>
      <c r="AM863" s="78">
        <v>41149.428449074076</v>
      </c>
      <c r="AN863" s="76" t="s">
        <v>18136</v>
      </c>
      <c r="AO863" s="76" t="s">
        <v>18935</v>
      </c>
      <c r="AP863" s="83" t="str">
        <f>HYPERLINK("https://t.co/UqnOgjGzKR")</f>
        <v>https://t.co/UqnOgjGzKR</v>
      </c>
      <c r="AQ863" s="83" t="str">
        <f>HYPERLINK("http://www.anqep.gov.pt")</f>
        <v>http://www.anqep.gov.pt</v>
      </c>
      <c r="AR863" s="76" t="s">
        <v>19518</v>
      </c>
      <c r="AS863" s="76"/>
      <c r="AT863" s="76"/>
      <c r="AU863" s="76"/>
      <c r="AV863" s="76"/>
      <c r="AW863" s="83" t="str">
        <f>HYPERLINK("https://t.co/UqnOgjGzKR")</f>
        <v>https://t.co/UqnOgjGzKR</v>
      </c>
      <c r="AX863" s="76" t="b">
        <v>0</v>
      </c>
      <c r="AY863" s="76"/>
      <c r="AZ863" s="76"/>
      <c r="BA863" s="76" t="b">
        <v>0</v>
      </c>
      <c r="BB863" s="76" t="b">
        <v>1</v>
      </c>
      <c r="BC863" s="76" t="b">
        <v>1</v>
      </c>
      <c r="BD863" s="76" t="b">
        <v>0</v>
      </c>
      <c r="BE863" s="76" t="b">
        <v>0</v>
      </c>
      <c r="BF863" s="76" t="b">
        <v>0</v>
      </c>
      <c r="BG863" s="76" t="b">
        <v>0</v>
      </c>
      <c r="BH863" s="83" t="str">
        <f>HYPERLINK("https://pbs.twimg.com/profile_banners/786687258/1690793910")</f>
        <v>https://pbs.twimg.com/profile_banners/786687258/1690793910</v>
      </c>
      <c r="BI863" s="76"/>
      <c r="BJ863" s="76" t="s">
        <v>19633</v>
      </c>
      <c r="BK863" s="76" t="b">
        <v>0</v>
      </c>
      <c r="BL863" s="76"/>
      <c r="BM863" s="76" t="s">
        <v>66</v>
      </c>
      <c r="BN863" s="76" t="s">
        <v>19635</v>
      </c>
      <c r="BO863" s="83" t="str">
        <f>HYPERLINK("https://twitter.com/anqep")</f>
        <v>https://twitter.com/anqep</v>
      </c>
      <c r="BP863" s="2"/>
    </row>
    <row r="864" spans="1:68" x14ac:dyDescent="0.25">
      <c r="A864" s="62" t="s">
        <v>997</v>
      </c>
      <c r="B864" s="63"/>
      <c r="C864" s="63"/>
      <c r="D864" s="64"/>
      <c r="E864" s="66"/>
      <c r="F864" s="103" t="str">
        <f>HYPERLINK("https://pbs.twimg.com/profile_images/1595961038742093830/8D7lR6mJ_normal.jpg")</f>
        <v>https://pbs.twimg.com/profile_images/1595961038742093830/8D7lR6mJ_normal.jpg</v>
      </c>
      <c r="G864" s="63"/>
      <c r="H864" s="67"/>
      <c r="I864" s="68"/>
      <c r="J864" s="68"/>
      <c r="K864" s="67" t="s">
        <v>20496</v>
      </c>
      <c r="L864" s="71"/>
      <c r="M864" s="72"/>
      <c r="N864" s="72"/>
      <c r="O864" s="73"/>
      <c r="P864" s="74"/>
      <c r="Q864" s="74"/>
      <c r="R864" s="87"/>
      <c r="S864" s="87"/>
      <c r="T864" s="87"/>
      <c r="U864" s="87"/>
      <c r="V864" s="48"/>
      <c r="W864" s="48"/>
      <c r="X864" s="47">
        <v>9.7400000000000004E-4</v>
      </c>
      <c r="Y864" s="48"/>
      <c r="Z864" s="47"/>
      <c r="AA864" s="69">
        <v>864</v>
      </c>
      <c r="AB864" s="69"/>
      <c r="AC864" s="70"/>
      <c r="AD864" s="76" t="s">
        <v>17485</v>
      </c>
      <c r="AE864" s="81" t="s">
        <v>16572</v>
      </c>
      <c r="AF864" s="76">
        <v>213</v>
      </c>
      <c r="AG864" s="76">
        <v>2672</v>
      </c>
      <c r="AH864" s="76">
        <v>4118</v>
      </c>
      <c r="AI864" s="76">
        <v>2</v>
      </c>
      <c r="AJ864" s="76">
        <v>2131</v>
      </c>
      <c r="AK864" s="76">
        <v>459</v>
      </c>
      <c r="AL864" s="76" t="b">
        <v>0</v>
      </c>
      <c r="AM864" s="78">
        <v>43589.781273148146</v>
      </c>
      <c r="AN864" s="76" t="s">
        <v>10552</v>
      </c>
      <c r="AO864" s="76" t="s">
        <v>18936</v>
      </c>
      <c r="AP864" s="76"/>
      <c r="AQ864" s="76"/>
      <c r="AR864" s="76"/>
      <c r="AS864" s="76"/>
      <c r="AT864" s="76"/>
      <c r="AU864" s="76"/>
      <c r="AV864" s="76"/>
      <c r="AW864" s="76"/>
      <c r="AX864" s="76" t="b">
        <v>0</v>
      </c>
      <c r="AY864" s="76"/>
      <c r="AZ864" s="76"/>
      <c r="BA864" s="76" t="b">
        <v>0</v>
      </c>
      <c r="BB864" s="76" t="b">
        <v>1</v>
      </c>
      <c r="BC864" s="76" t="b">
        <v>0</v>
      </c>
      <c r="BD864" s="76" t="b">
        <v>0</v>
      </c>
      <c r="BE864" s="76" t="b">
        <v>1</v>
      </c>
      <c r="BF864" s="76" t="b">
        <v>0</v>
      </c>
      <c r="BG864" s="76" t="b">
        <v>0</v>
      </c>
      <c r="BH864" s="83" t="str">
        <f>HYPERLINK("https://pbs.twimg.com/profile_banners/1124746772528627712/1669588574")</f>
        <v>https://pbs.twimg.com/profile_banners/1124746772528627712/1669588574</v>
      </c>
      <c r="BI864" s="76"/>
      <c r="BJ864" s="76" t="s">
        <v>19633</v>
      </c>
      <c r="BK864" s="76" t="b">
        <v>0</v>
      </c>
      <c r="BL864" s="76"/>
      <c r="BM864" s="76" t="s">
        <v>66</v>
      </c>
      <c r="BN864" s="76" t="s">
        <v>19635</v>
      </c>
      <c r="BO864" s="83" t="str">
        <f>HYPERLINK("https://twitter.com/sergiotriathlet")</f>
        <v>https://twitter.com/sergiotriathlet</v>
      </c>
      <c r="BP864" s="2"/>
    </row>
    <row r="865" spans="1:68" x14ac:dyDescent="0.25">
      <c r="A865" s="62" t="s">
        <v>998</v>
      </c>
      <c r="B865" s="63"/>
      <c r="C865" s="63"/>
      <c r="D865" s="64"/>
      <c r="E865" s="66"/>
      <c r="F865" s="103" t="str">
        <f>HYPERLINK("https://pbs.twimg.com/profile_images/1605267846149332992/3UJ-_LS7_normal.jpg")</f>
        <v>https://pbs.twimg.com/profile_images/1605267846149332992/3UJ-_LS7_normal.jpg</v>
      </c>
      <c r="G865" s="63"/>
      <c r="H865" s="67"/>
      <c r="I865" s="68"/>
      <c r="J865" s="68"/>
      <c r="K865" s="67" t="s">
        <v>20497</v>
      </c>
      <c r="L865" s="71"/>
      <c r="M865" s="72"/>
      <c r="N865" s="72"/>
      <c r="O865" s="73"/>
      <c r="P865" s="74"/>
      <c r="Q865" s="74"/>
      <c r="R865" s="87"/>
      <c r="S865" s="87"/>
      <c r="T865" s="87"/>
      <c r="U865" s="87"/>
      <c r="V865" s="48"/>
      <c r="W865" s="48"/>
      <c r="X865" s="47">
        <v>1.101E-3</v>
      </c>
      <c r="Y865" s="48"/>
      <c r="Z865" s="47"/>
      <c r="AA865" s="69">
        <v>865</v>
      </c>
      <c r="AB865" s="69"/>
      <c r="AC865" s="70"/>
      <c r="AD865" s="76" t="s">
        <v>17486</v>
      </c>
      <c r="AE865" s="81" t="s">
        <v>17835</v>
      </c>
      <c r="AF865" s="76">
        <v>100</v>
      </c>
      <c r="AG865" s="76">
        <v>9</v>
      </c>
      <c r="AH865" s="76">
        <v>2411</v>
      </c>
      <c r="AI865" s="76">
        <v>0</v>
      </c>
      <c r="AJ865" s="76">
        <v>811</v>
      </c>
      <c r="AK865" s="76">
        <v>975</v>
      </c>
      <c r="AL865" s="76" t="b">
        <v>0</v>
      </c>
      <c r="AM865" s="78">
        <v>41157.468692129631</v>
      </c>
      <c r="AN865" s="76"/>
      <c r="AO865" s="76" t="s">
        <v>18937</v>
      </c>
      <c r="AP865" s="83" t="str">
        <f>HYPERLINK("https://t.co/JmE2FOfcb4")</f>
        <v>https://t.co/JmE2FOfcb4</v>
      </c>
      <c r="AQ865" s="83" t="str">
        <f>HYPERLINK("http://www.fumep.edu.br")</f>
        <v>http://www.fumep.edu.br</v>
      </c>
      <c r="AR865" s="76" t="s">
        <v>19519</v>
      </c>
      <c r="AS865" s="76"/>
      <c r="AT865" s="76"/>
      <c r="AU865" s="76"/>
      <c r="AV865" s="76"/>
      <c r="AW865" s="83" t="str">
        <f>HYPERLINK("https://t.co/JmE2FOfcb4")</f>
        <v>https://t.co/JmE2FOfcb4</v>
      </c>
      <c r="AX865" s="76" t="b">
        <v>0</v>
      </c>
      <c r="AY865" s="76"/>
      <c r="AZ865" s="76"/>
      <c r="BA865" s="76" t="b">
        <v>0</v>
      </c>
      <c r="BB865" s="76" t="b">
        <v>0</v>
      </c>
      <c r="BC865" s="76" t="b">
        <v>0</v>
      </c>
      <c r="BD865" s="76" t="b">
        <v>0</v>
      </c>
      <c r="BE865" s="76" t="b">
        <v>0</v>
      </c>
      <c r="BF865" s="76" t="b">
        <v>0</v>
      </c>
      <c r="BG865" s="76" t="b">
        <v>0</v>
      </c>
      <c r="BH865" s="83" t="str">
        <f>HYPERLINK("https://pbs.twimg.com/profile_banners/804381282/1656098306")</f>
        <v>https://pbs.twimg.com/profile_banners/804381282/1656098306</v>
      </c>
      <c r="BI865" s="76"/>
      <c r="BJ865" s="76" t="s">
        <v>19633</v>
      </c>
      <c r="BK865" s="76" t="b">
        <v>0</v>
      </c>
      <c r="BL865" s="76"/>
      <c r="BM865" s="76" t="s">
        <v>66</v>
      </c>
      <c r="BN865" s="76" t="s">
        <v>19635</v>
      </c>
      <c r="BO865" s="83" t="str">
        <f>HYPERLINK("https://twitter.com/fumep")</f>
        <v>https://twitter.com/fumep</v>
      </c>
      <c r="BP865" s="2"/>
    </row>
    <row r="866" spans="1:68" x14ac:dyDescent="0.25">
      <c r="A866" s="62" t="s">
        <v>999</v>
      </c>
      <c r="B866" s="63"/>
      <c r="C866" s="63"/>
      <c r="D866" s="64"/>
      <c r="E866" s="66"/>
      <c r="F866" s="103" t="str">
        <f>HYPERLINK("https://pbs.twimg.com/profile_images/1469408781826199560/tC9GxWE3_normal.png")</f>
        <v>https://pbs.twimg.com/profile_images/1469408781826199560/tC9GxWE3_normal.png</v>
      </c>
      <c r="G866" s="63"/>
      <c r="H866" s="67"/>
      <c r="I866" s="68"/>
      <c r="J866" s="68"/>
      <c r="K866" s="67" t="s">
        <v>20498</v>
      </c>
      <c r="L866" s="71"/>
      <c r="M866" s="72"/>
      <c r="N866" s="72"/>
      <c r="O866" s="73"/>
      <c r="P866" s="74"/>
      <c r="Q866" s="74"/>
      <c r="R866" s="87"/>
      <c r="S866" s="87"/>
      <c r="T866" s="87"/>
      <c r="U866" s="87"/>
      <c r="V866" s="48"/>
      <c r="W866" s="48"/>
      <c r="X866" s="47">
        <v>1.101E-3</v>
      </c>
      <c r="Y866" s="48"/>
      <c r="Z866" s="47"/>
      <c r="AA866" s="69">
        <v>866</v>
      </c>
      <c r="AB866" s="69"/>
      <c r="AC866" s="70"/>
      <c r="AD866" s="76" t="s">
        <v>17487</v>
      </c>
      <c r="AE866" s="81" t="s">
        <v>16573</v>
      </c>
      <c r="AF866" s="76">
        <v>163</v>
      </c>
      <c r="AG866" s="76">
        <v>59</v>
      </c>
      <c r="AH866" s="76">
        <v>355</v>
      </c>
      <c r="AI866" s="76">
        <v>1</v>
      </c>
      <c r="AJ866" s="76">
        <v>48</v>
      </c>
      <c r="AK866" s="76">
        <v>333</v>
      </c>
      <c r="AL866" s="76" t="b">
        <v>0</v>
      </c>
      <c r="AM866" s="78">
        <v>44358.712488425925</v>
      </c>
      <c r="AN866" s="76" t="s">
        <v>18028</v>
      </c>
      <c r="AO866" s="76" t="s">
        <v>18938</v>
      </c>
      <c r="AP866" s="83" t="str">
        <f>HYPERLINK("https://t.co/ZU7VLEA3Jv")</f>
        <v>https://t.co/ZU7VLEA3Jv</v>
      </c>
      <c r="AQ866" s="83" t="str">
        <f>HYPERLINK("https://pesquisa-eaesp.fgv.br/")</f>
        <v>https://pesquisa-eaesp.fgv.br/</v>
      </c>
      <c r="AR866" s="76" t="s">
        <v>19520</v>
      </c>
      <c r="AS866" s="76"/>
      <c r="AT866" s="76"/>
      <c r="AU866" s="76"/>
      <c r="AV866" s="76"/>
      <c r="AW866" s="83" t="str">
        <f>HYPERLINK("https://t.co/ZU7VLEA3Jv")</f>
        <v>https://t.co/ZU7VLEA3Jv</v>
      </c>
      <c r="AX866" s="76" t="b">
        <v>0</v>
      </c>
      <c r="AY866" s="76"/>
      <c r="AZ866" s="76"/>
      <c r="BA866" s="76" t="b">
        <v>0</v>
      </c>
      <c r="BB866" s="76" t="b">
        <v>1</v>
      </c>
      <c r="BC866" s="76" t="b">
        <v>1</v>
      </c>
      <c r="BD866" s="76" t="b">
        <v>0</v>
      </c>
      <c r="BE866" s="76" t="b">
        <v>0</v>
      </c>
      <c r="BF866" s="76" t="b">
        <v>0</v>
      </c>
      <c r="BG866" s="76" t="b">
        <v>0</v>
      </c>
      <c r="BH866" s="83" t="str">
        <f>HYPERLINK("https://pbs.twimg.com/profile_banners/1403398042074681348/1639168716")</f>
        <v>https://pbs.twimg.com/profile_banners/1403398042074681348/1639168716</v>
      </c>
      <c r="BI866" s="76"/>
      <c r="BJ866" s="76" t="s">
        <v>19633</v>
      </c>
      <c r="BK866" s="76" t="b">
        <v>0</v>
      </c>
      <c r="BL866" s="76"/>
      <c r="BM866" s="76" t="s">
        <v>66</v>
      </c>
      <c r="BN866" s="76" t="s">
        <v>19635</v>
      </c>
      <c r="BO866" s="83" t="str">
        <f>HYPERLINK("https://twitter.com/fgveaespesquisa")</f>
        <v>https://twitter.com/fgveaespesquisa</v>
      </c>
      <c r="BP866" s="2"/>
    </row>
    <row r="867" spans="1:68" x14ac:dyDescent="0.25">
      <c r="A867" s="62" t="s">
        <v>1000</v>
      </c>
      <c r="B867" s="63"/>
      <c r="C867" s="63"/>
      <c r="D867" s="64"/>
      <c r="E867" s="66"/>
      <c r="F867" s="103" t="str">
        <f>HYPERLINK("https://pbs.twimg.com/profile_images/1687172886623072256/DpOTA1Yf_normal.jpg")</f>
        <v>https://pbs.twimg.com/profile_images/1687172886623072256/DpOTA1Yf_normal.jpg</v>
      </c>
      <c r="G867" s="63"/>
      <c r="H867" s="67"/>
      <c r="I867" s="68"/>
      <c r="J867" s="68"/>
      <c r="K867" s="67" t="s">
        <v>20499</v>
      </c>
      <c r="L867" s="71"/>
      <c r="M867" s="72"/>
      <c r="N867" s="72"/>
      <c r="O867" s="73"/>
      <c r="P867" s="74"/>
      <c r="Q867" s="74"/>
      <c r="R867" s="87"/>
      <c r="S867" s="87"/>
      <c r="T867" s="87"/>
      <c r="U867" s="87"/>
      <c r="V867" s="48"/>
      <c r="W867" s="48"/>
      <c r="X867" s="47">
        <v>1.101E-3</v>
      </c>
      <c r="Y867" s="48"/>
      <c r="Z867" s="47"/>
      <c r="AA867" s="69">
        <v>867</v>
      </c>
      <c r="AB867" s="69"/>
      <c r="AC867" s="70"/>
      <c r="AD867" s="76" t="s">
        <v>17488</v>
      </c>
      <c r="AE867" s="81" t="s">
        <v>17836</v>
      </c>
      <c r="AF867" s="76">
        <v>487</v>
      </c>
      <c r="AG867" s="76">
        <v>91</v>
      </c>
      <c r="AH867" s="76">
        <v>935</v>
      </c>
      <c r="AI867" s="76">
        <v>0</v>
      </c>
      <c r="AJ867" s="76">
        <v>49</v>
      </c>
      <c r="AK867" s="76">
        <v>55</v>
      </c>
      <c r="AL867" s="76" t="b">
        <v>0</v>
      </c>
      <c r="AM867" s="78">
        <v>40005.61613425926</v>
      </c>
      <c r="AN867" s="76" t="s">
        <v>17867</v>
      </c>
      <c r="AO867" s="76" t="s">
        <v>18939</v>
      </c>
      <c r="AP867" s="83" t="str">
        <f>HYPERLINK("https://t.co/5mX4KzRNuQ")</f>
        <v>https://t.co/5mX4KzRNuQ</v>
      </c>
      <c r="AQ867" s="83" t="str">
        <f>HYPERLINK("http://www.anapaulahornos.com.br")</f>
        <v>http://www.anapaulahornos.com.br</v>
      </c>
      <c r="AR867" s="76" t="s">
        <v>19521</v>
      </c>
      <c r="AS867" s="76"/>
      <c r="AT867" s="76"/>
      <c r="AU867" s="76"/>
      <c r="AV867" s="76"/>
      <c r="AW867" s="83" t="str">
        <f>HYPERLINK("https://t.co/5mX4KzRNuQ")</f>
        <v>https://t.co/5mX4KzRNuQ</v>
      </c>
      <c r="AX867" s="76" t="b">
        <v>0</v>
      </c>
      <c r="AY867" s="76"/>
      <c r="AZ867" s="76"/>
      <c r="BA867" s="76" t="b">
        <v>1</v>
      </c>
      <c r="BB867" s="76" t="b">
        <v>0</v>
      </c>
      <c r="BC867" s="76" t="b">
        <v>1</v>
      </c>
      <c r="BD867" s="76" t="b">
        <v>0</v>
      </c>
      <c r="BE867" s="76" t="b">
        <v>0</v>
      </c>
      <c r="BF867" s="76" t="b">
        <v>0</v>
      </c>
      <c r="BG867" s="76" t="b">
        <v>0</v>
      </c>
      <c r="BH867" s="83" t="str">
        <f>HYPERLINK("https://pbs.twimg.com/profile_banners/55845270/1651090561")</f>
        <v>https://pbs.twimg.com/profile_banners/55845270/1651090561</v>
      </c>
      <c r="BI867" s="76"/>
      <c r="BJ867" s="76" t="s">
        <v>19633</v>
      </c>
      <c r="BK867" s="76" t="b">
        <v>0</v>
      </c>
      <c r="BL867" s="76"/>
      <c r="BM867" s="76" t="s">
        <v>66</v>
      </c>
      <c r="BN867" s="76" t="s">
        <v>19635</v>
      </c>
      <c r="BO867" s="83" t="str">
        <f>HYPERLINK("https://twitter.com/anapaulahornos")</f>
        <v>https://twitter.com/anapaulahornos</v>
      </c>
      <c r="BP867" s="2"/>
    </row>
    <row r="868" spans="1:68" x14ac:dyDescent="0.25">
      <c r="A868" s="62" t="s">
        <v>1002</v>
      </c>
      <c r="B868" s="63"/>
      <c r="C868" s="63"/>
      <c r="D868" s="64"/>
      <c r="E868" s="66"/>
      <c r="F868" s="103" t="str">
        <f>HYPERLINK("https://pbs.twimg.com/profile_images/1653782136560680961/R-zGegFS_normal.jpg")</f>
        <v>https://pbs.twimg.com/profile_images/1653782136560680961/R-zGegFS_normal.jpg</v>
      </c>
      <c r="G868" s="63"/>
      <c r="H868" s="67"/>
      <c r="I868" s="68"/>
      <c r="J868" s="68"/>
      <c r="K868" s="67" t="s">
        <v>20500</v>
      </c>
      <c r="L868" s="71"/>
      <c r="M868" s="72"/>
      <c r="N868" s="72"/>
      <c r="O868" s="73"/>
      <c r="P868" s="74"/>
      <c r="Q868" s="74"/>
      <c r="R868" s="87"/>
      <c r="S868" s="87"/>
      <c r="T868" s="87"/>
      <c r="U868" s="87"/>
      <c r="V868" s="48"/>
      <c r="W868" s="48"/>
      <c r="X868" s="47">
        <v>1.101E-3</v>
      </c>
      <c r="Y868" s="48"/>
      <c r="Z868" s="47"/>
      <c r="AA868" s="69">
        <v>868</v>
      </c>
      <c r="AB868" s="69"/>
      <c r="AC868" s="70"/>
      <c r="AD868" s="76" t="s">
        <v>17489</v>
      </c>
      <c r="AE868" s="81" t="s">
        <v>17837</v>
      </c>
      <c r="AF868" s="76">
        <v>722</v>
      </c>
      <c r="AG868" s="76">
        <v>823</v>
      </c>
      <c r="AH868" s="76">
        <v>5080</v>
      </c>
      <c r="AI868" s="76">
        <v>1</v>
      </c>
      <c r="AJ868" s="76">
        <v>13101</v>
      </c>
      <c r="AK868" s="76">
        <v>279</v>
      </c>
      <c r="AL868" s="76" t="b">
        <v>0</v>
      </c>
      <c r="AM868" s="78">
        <v>41109.855046296296</v>
      </c>
      <c r="AN868" s="76" t="s">
        <v>18137</v>
      </c>
      <c r="AO868" s="76" t="s">
        <v>18940</v>
      </c>
      <c r="AP868" s="83" t="str">
        <f>HYPERLINK("https://t.co/LAcbxEFthn")</f>
        <v>https://t.co/LAcbxEFthn</v>
      </c>
      <c r="AQ868" s="83" t="str">
        <f>HYPERLINK("https://www.instagram.com/lam_gabriel/")</f>
        <v>https://www.instagram.com/lam_gabriel/</v>
      </c>
      <c r="AR868" s="76" t="s">
        <v>19522</v>
      </c>
      <c r="AS868" s="76"/>
      <c r="AT868" s="76"/>
      <c r="AU868" s="76"/>
      <c r="AV868" s="76"/>
      <c r="AW868" s="83" t="str">
        <f>HYPERLINK("https://t.co/LAcbxEFthn")</f>
        <v>https://t.co/LAcbxEFthn</v>
      </c>
      <c r="AX868" s="76" t="b">
        <v>0</v>
      </c>
      <c r="AY868" s="76"/>
      <c r="AZ868" s="76"/>
      <c r="BA868" s="76" t="b">
        <v>1</v>
      </c>
      <c r="BB868" s="76" t="b">
        <v>1</v>
      </c>
      <c r="BC868" s="76" t="b">
        <v>0</v>
      </c>
      <c r="BD868" s="76" t="b">
        <v>0</v>
      </c>
      <c r="BE868" s="76" t="b">
        <v>1</v>
      </c>
      <c r="BF868" s="76" t="b">
        <v>0</v>
      </c>
      <c r="BG868" s="76" t="b">
        <v>0</v>
      </c>
      <c r="BH868" s="83" t="str">
        <f>HYPERLINK("https://pbs.twimg.com/profile_banners/705735727/1683148860")</f>
        <v>https://pbs.twimg.com/profile_banners/705735727/1683148860</v>
      </c>
      <c r="BI868" s="76"/>
      <c r="BJ868" s="76" t="s">
        <v>19633</v>
      </c>
      <c r="BK868" s="76" t="b">
        <v>0</v>
      </c>
      <c r="BL868" s="76"/>
      <c r="BM868" s="76" t="s">
        <v>66</v>
      </c>
      <c r="BN868" s="76" t="s">
        <v>19635</v>
      </c>
      <c r="BO868" s="83" t="str">
        <f>HYPERLINK("https://twitter.com/lam0gabriel")</f>
        <v>https://twitter.com/lam0gabriel</v>
      </c>
      <c r="BP868" s="2"/>
    </row>
    <row r="869" spans="1:68" x14ac:dyDescent="0.25">
      <c r="A869" s="62" t="s">
        <v>1130</v>
      </c>
      <c r="B869" s="63"/>
      <c r="C869" s="63"/>
      <c r="D869" s="64"/>
      <c r="E869" s="66"/>
      <c r="F869" s="103" t="str">
        <f>HYPERLINK("https://pbs.twimg.com/profile_images/1240573449300574209/kt9UPkik_normal.png")</f>
        <v>https://pbs.twimg.com/profile_images/1240573449300574209/kt9UPkik_normal.png</v>
      </c>
      <c r="G869" s="63"/>
      <c r="H869" s="67"/>
      <c r="I869" s="68"/>
      <c r="J869" s="68"/>
      <c r="K869" s="67" t="s">
        <v>20501</v>
      </c>
      <c r="L869" s="71"/>
      <c r="M869" s="72"/>
      <c r="N869" s="72"/>
      <c r="O869" s="73"/>
      <c r="P869" s="74"/>
      <c r="Q869" s="74"/>
      <c r="R869" s="87"/>
      <c r="S869" s="87"/>
      <c r="T869" s="87"/>
      <c r="U869" s="87"/>
      <c r="V869" s="48"/>
      <c r="W869" s="48"/>
      <c r="X869" s="47">
        <v>1.0009999999999999E-3</v>
      </c>
      <c r="Y869" s="48"/>
      <c r="Z869" s="47"/>
      <c r="AA869" s="69">
        <v>869</v>
      </c>
      <c r="AB869" s="69"/>
      <c r="AC869" s="70"/>
      <c r="AD869" s="76" t="s">
        <v>17490</v>
      </c>
      <c r="AE869" s="81" t="s">
        <v>17838</v>
      </c>
      <c r="AF869" s="76">
        <v>24871</v>
      </c>
      <c r="AG869" s="76">
        <v>8</v>
      </c>
      <c r="AH869" s="76">
        <v>9634</v>
      </c>
      <c r="AI869" s="76">
        <v>197</v>
      </c>
      <c r="AJ869" s="76">
        <v>456</v>
      </c>
      <c r="AK869" s="76">
        <v>483</v>
      </c>
      <c r="AL869" s="76" t="b">
        <v>0</v>
      </c>
      <c r="AM869" s="78">
        <v>42410.45144675926</v>
      </c>
      <c r="AN869" s="76" t="s">
        <v>18138</v>
      </c>
      <c r="AO869" s="76" t="s">
        <v>18941</v>
      </c>
      <c r="AP869" s="83" t="str">
        <f>HYPERLINK("https://t.co/iMEocwhkBx")</f>
        <v>https://t.co/iMEocwhkBx</v>
      </c>
      <c r="AQ869" s="83" t="str">
        <f>HYPERLINK("https://www.degiro.eu/")</f>
        <v>https://www.degiro.eu/</v>
      </c>
      <c r="AR869" s="76" t="s">
        <v>19523</v>
      </c>
      <c r="AS869" s="76"/>
      <c r="AT869" s="76"/>
      <c r="AU869" s="76"/>
      <c r="AV869" s="76"/>
      <c r="AW869" s="83" t="str">
        <f>HYPERLINK("https://t.co/iMEocwhkBx")</f>
        <v>https://t.co/iMEocwhkBx</v>
      </c>
      <c r="AX869" s="76" t="b">
        <v>0</v>
      </c>
      <c r="AY869" s="76"/>
      <c r="AZ869" s="76"/>
      <c r="BA869" s="76" t="b">
        <v>1</v>
      </c>
      <c r="BB869" s="76" t="b">
        <v>1</v>
      </c>
      <c r="BC869" s="76" t="b">
        <v>0</v>
      </c>
      <c r="BD869" s="76" t="b">
        <v>0</v>
      </c>
      <c r="BE869" s="76" t="b">
        <v>0</v>
      </c>
      <c r="BF869" s="76" t="b">
        <v>0</v>
      </c>
      <c r="BG869" s="76" t="b">
        <v>0</v>
      </c>
      <c r="BH869" s="83" t="str">
        <f>HYPERLINK("https://pbs.twimg.com/profile_banners/4894646507/1644308335")</f>
        <v>https://pbs.twimg.com/profile_banners/4894646507/1644308335</v>
      </c>
      <c r="BI869" s="76"/>
      <c r="BJ869" s="76" t="s">
        <v>19633</v>
      </c>
      <c r="BK869" s="76" t="b">
        <v>0</v>
      </c>
      <c r="BL869" s="76"/>
      <c r="BM869" s="76" t="s">
        <v>65</v>
      </c>
      <c r="BN869" s="76" t="s">
        <v>19635</v>
      </c>
      <c r="BO869" s="83" t="str">
        <f>HYPERLINK("https://twitter.com/degiro")</f>
        <v>https://twitter.com/degiro</v>
      </c>
      <c r="BP869" s="2"/>
    </row>
    <row r="870" spans="1:68" x14ac:dyDescent="0.25">
      <c r="A870" s="62" t="s">
        <v>1004</v>
      </c>
      <c r="B870" s="63"/>
      <c r="C870" s="63"/>
      <c r="D870" s="64"/>
      <c r="E870" s="66"/>
      <c r="F870" s="103" t="str">
        <f>HYPERLINK("https://pbs.twimg.com/profile_images/1621996204325277699/phtn6C0w_normal.jpg")</f>
        <v>https://pbs.twimg.com/profile_images/1621996204325277699/phtn6C0w_normal.jpg</v>
      </c>
      <c r="G870" s="63"/>
      <c r="H870" s="67"/>
      <c r="I870" s="68"/>
      <c r="J870" s="68"/>
      <c r="K870" s="67" t="s">
        <v>20502</v>
      </c>
      <c r="L870" s="71"/>
      <c r="M870" s="72"/>
      <c r="N870" s="72"/>
      <c r="O870" s="73"/>
      <c r="P870" s="74"/>
      <c r="Q870" s="74"/>
      <c r="R870" s="87"/>
      <c r="S870" s="87"/>
      <c r="T870" s="87"/>
      <c r="U870" s="87"/>
      <c r="V870" s="48"/>
      <c r="W870" s="48"/>
      <c r="X870" s="47">
        <v>1.101E-3</v>
      </c>
      <c r="Y870" s="48"/>
      <c r="Z870" s="47"/>
      <c r="AA870" s="69">
        <v>870</v>
      </c>
      <c r="AB870" s="69"/>
      <c r="AC870" s="70"/>
      <c r="AD870" s="76" t="s">
        <v>17491</v>
      </c>
      <c r="AE870" s="81" t="s">
        <v>17839</v>
      </c>
      <c r="AF870" s="76">
        <v>9312</v>
      </c>
      <c r="AG870" s="76">
        <v>1406</v>
      </c>
      <c r="AH870" s="76">
        <v>17295</v>
      </c>
      <c r="AI870" s="76">
        <v>54</v>
      </c>
      <c r="AJ870" s="76">
        <v>51</v>
      </c>
      <c r="AK870" s="76">
        <v>1904</v>
      </c>
      <c r="AL870" s="76" t="b">
        <v>0</v>
      </c>
      <c r="AM870" s="78">
        <v>39936.055451388886</v>
      </c>
      <c r="AN870" s="76" t="s">
        <v>18139</v>
      </c>
      <c r="AO870" s="76" t="s">
        <v>18942</v>
      </c>
      <c r="AP870" s="83" t="str">
        <f>HYPERLINK("https://t.co/6rxkieoB08")</f>
        <v>https://t.co/6rxkieoB08</v>
      </c>
      <c r="AQ870" s="83" t="str">
        <f>HYPERLINK("https://www.aulaplus.com.br")</f>
        <v>https://www.aulaplus.com.br</v>
      </c>
      <c r="AR870" s="76" t="s">
        <v>19524</v>
      </c>
      <c r="AS870" s="83" t="str">
        <f>HYPERLINK("https://t.co/6rxkieoB08")</f>
        <v>https://t.co/6rxkieoB08</v>
      </c>
      <c r="AT870" s="83" t="str">
        <f>HYPERLINK("https://www.aulaplus.com.br")</f>
        <v>https://www.aulaplus.com.br</v>
      </c>
      <c r="AU870" s="76" t="s">
        <v>19524</v>
      </c>
      <c r="AV870" s="76">
        <v>1.6457661618527099E+18</v>
      </c>
      <c r="AW870" s="83" t="str">
        <f>HYPERLINK("https://t.co/6rxkieoB08")</f>
        <v>https://t.co/6rxkieoB08</v>
      </c>
      <c r="AX870" s="76" t="b">
        <v>0</v>
      </c>
      <c r="AY870" s="76"/>
      <c r="AZ870" s="76"/>
      <c r="BA870" s="76" t="b">
        <v>0</v>
      </c>
      <c r="BB870" s="76" t="b">
        <v>0</v>
      </c>
      <c r="BC870" s="76" t="b">
        <v>0</v>
      </c>
      <c r="BD870" s="76" t="b">
        <v>0</v>
      </c>
      <c r="BE870" s="76" t="b">
        <v>1</v>
      </c>
      <c r="BF870" s="76" t="b">
        <v>0</v>
      </c>
      <c r="BG870" s="76" t="b">
        <v>0</v>
      </c>
      <c r="BH870" s="83" t="str">
        <f>HYPERLINK("https://pbs.twimg.com/profile_banners/37329759/1674341536")</f>
        <v>https://pbs.twimg.com/profile_banners/37329759/1674341536</v>
      </c>
      <c r="BI870" s="76"/>
      <c r="BJ870" s="76" t="s">
        <v>19633</v>
      </c>
      <c r="BK870" s="76" t="b">
        <v>0</v>
      </c>
      <c r="BL870" s="76"/>
      <c r="BM870" s="76" t="s">
        <v>66</v>
      </c>
      <c r="BN870" s="76" t="s">
        <v>19635</v>
      </c>
      <c r="BO870" s="83" t="str">
        <f>HYPERLINK("https://twitter.com/aulaplusbr")</f>
        <v>https://twitter.com/aulaplusbr</v>
      </c>
      <c r="BP870" s="2"/>
    </row>
    <row r="871" spans="1:68" x14ac:dyDescent="0.25">
      <c r="A871" s="62" t="s">
        <v>1005</v>
      </c>
      <c r="B871" s="63"/>
      <c r="C871" s="63"/>
      <c r="D871" s="64"/>
      <c r="E871" s="66"/>
      <c r="F871" s="103" t="str">
        <f>HYPERLINK("https://pbs.twimg.com/profile_images/1667829967168651264/AeKrocP-_normal.jpg")</f>
        <v>https://pbs.twimg.com/profile_images/1667829967168651264/AeKrocP-_normal.jpg</v>
      </c>
      <c r="G871" s="63"/>
      <c r="H871" s="67"/>
      <c r="I871" s="68"/>
      <c r="J871" s="68"/>
      <c r="K871" s="67" t="s">
        <v>20503</v>
      </c>
      <c r="L871" s="71"/>
      <c r="M871" s="72"/>
      <c r="N871" s="72"/>
      <c r="O871" s="73"/>
      <c r="P871" s="74"/>
      <c r="Q871" s="74"/>
      <c r="R871" s="87"/>
      <c r="S871" s="87"/>
      <c r="T871" s="87"/>
      <c r="U871" s="87"/>
      <c r="V871" s="48"/>
      <c r="W871" s="48"/>
      <c r="X871" s="47">
        <v>1.101E-3</v>
      </c>
      <c r="Y871" s="48"/>
      <c r="Z871" s="47"/>
      <c r="AA871" s="69">
        <v>871</v>
      </c>
      <c r="AB871" s="69"/>
      <c r="AC871" s="70"/>
      <c r="AD871" s="76" t="s">
        <v>17492</v>
      </c>
      <c r="AE871" s="81" t="s">
        <v>17840</v>
      </c>
      <c r="AF871" s="76">
        <v>53</v>
      </c>
      <c r="AG871" s="76">
        <v>1173</v>
      </c>
      <c r="AH871" s="76">
        <v>924</v>
      </c>
      <c r="AI871" s="76">
        <v>0</v>
      </c>
      <c r="AJ871" s="76">
        <v>3</v>
      </c>
      <c r="AK871" s="76">
        <v>855</v>
      </c>
      <c r="AL871" s="76" t="b">
        <v>0</v>
      </c>
      <c r="AM871" s="78">
        <v>41896.522037037037</v>
      </c>
      <c r="AN871" s="76"/>
      <c r="AO871" s="76"/>
      <c r="AP871" s="76"/>
      <c r="AQ871" s="76"/>
      <c r="AR871" s="76"/>
      <c r="AS871" s="76"/>
      <c r="AT871" s="76"/>
      <c r="AU871" s="76"/>
      <c r="AV871" s="76"/>
      <c r="AW871" s="76"/>
      <c r="AX871" s="76" t="b">
        <v>0</v>
      </c>
      <c r="AY871" s="76"/>
      <c r="AZ871" s="76"/>
      <c r="BA871" s="76" t="b">
        <v>0</v>
      </c>
      <c r="BB871" s="76" t="b">
        <v>1</v>
      </c>
      <c r="BC871" s="76" t="b">
        <v>1</v>
      </c>
      <c r="BD871" s="76" t="b">
        <v>0</v>
      </c>
      <c r="BE871" s="76" t="b">
        <v>1</v>
      </c>
      <c r="BF871" s="76" t="b">
        <v>0</v>
      </c>
      <c r="BG871" s="76" t="b">
        <v>0</v>
      </c>
      <c r="BH871" s="83" t="str">
        <f>HYPERLINK("https://pbs.twimg.com/profile_banners/2769956031/1688291915")</f>
        <v>https://pbs.twimg.com/profile_banners/2769956031/1688291915</v>
      </c>
      <c r="BI871" s="76"/>
      <c r="BJ871" s="76" t="s">
        <v>19633</v>
      </c>
      <c r="BK871" s="76" t="b">
        <v>0</v>
      </c>
      <c r="BL871" s="76"/>
      <c r="BM871" s="76" t="s">
        <v>66</v>
      </c>
      <c r="BN871" s="76" t="s">
        <v>19635</v>
      </c>
      <c r="BO871" s="83" t="str">
        <f>HYPERLINK("https://twitter.com/waupalma")</f>
        <v>https://twitter.com/waupalma</v>
      </c>
      <c r="BP871" s="2"/>
    </row>
    <row r="872" spans="1:68" x14ac:dyDescent="0.25">
      <c r="A872" s="62" t="s">
        <v>1006</v>
      </c>
      <c r="B872" s="63"/>
      <c r="C872" s="63"/>
      <c r="D872" s="64"/>
      <c r="E872" s="66"/>
      <c r="F872" s="103" t="str">
        <f>HYPERLINK("https://pbs.twimg.com/profile_images/1675132868509548545/mmUaCGuZ_normal.jpg")</f>
        <v>https://pbs.twimg.com/profile_images/1675132868509548545/mmUaCGuZ_normal.jpg</v>
      </c>
      <c r="G872" s="63"/>
      <c r="H872" s="67"/>
      <c r="I872" s="68"/>
      <c r="J872" s="68"/>
      <c r="K872" s="67" t="s">
        <v>20504</v>
      </c>
      <c r="L872" s="71"/>
      <c r="M872" s="72"/>
      <c r="N872" s="72"/>
      <c r="O872" s="73"/>
      <c r="P872" s="74"/>
      <c r="Q872" s="74"/>
      <c r="R872" s="87"/>
      <c r="S872" s="87"/>
      <c r="T872" s="87"/>
      <c r="U872" s="87"/>
      <c r="V872" s="48"/>
      <c r="W872" s="48"/>
      <c r="X872" s="47">
        <v>1.101E-3</v>
      </c>
      <c r="Y872" s="48"/>
      <c r="Z872" s="47"/>
      <c r="AA872" s="69">
        <v>872</v>
      </c>
      <c r="AB872" s="69"/>
      <c r="AC872" s="70"/>
      <c r="AD872" s="76" t="s">
        <v>17493</v>
      </c>
      <c r="AE872" s="81" t="s">
        <v>16575</v>
      </c>
      <c r="AF872" s="76">
        <v>2</v>
      </c>
      <c r="AG872" s="76">
        <v>57</v>
      </c>
      <c r="AH872" s="76">
        <v>173</v>
      </c>
      <c r="AI872" s="76">
        <v>0</v>
      </c>
      <c r="AJ872" s="76">
        <v>23</v>
      </c>
      <c r="AK872" s="76">
        <v>173</v>
      </c>
      <c r="AL872" s="76" t="b">
        <v>0</v>
      </c>
      <c r="AM872" s="78">
        <v>45108.551122685189</v>
      </c>
      <c r="AN872" s="76" t="s">
        <v>10622</v>
      </c>
      <c r="AO872" s="76" t="s">
        <v>18943</v>
      </c>
      <c r="AP872" s="83" t="str">
        <f>HYPERLINK("https://t.co/Pkpd07wydM")</f>
        <v>https://t.co/Pkpd07wydM</v>
      </c>
      <c r="AQ872" s="83" t="str">
        <f>HYPERLINK("https://www.clinicawashingtonamancio.com/")</f>
        <v>https://www.clinicawashingtonamancio.com/</v>
      </c>
      <c r="AR872" s="76" t="s">
        <v>6116</v>
      </c>
      <c r="AS872" s="76"/>
      <c r="AT872" s="76"/>
      <c r="AU872" s="76"/>
      <c r="AV872" s="76"/>
      <c r="AW872" s="83" t="str">
        <f>HYPERLINK("https://t.co/Pkpd07wydM")</f>
        <v>https://t.co/Pkpd07wydM</v>
      </c>
      <c r="AX872" s="76" t="b">
        <v>0</v>
      </c>
      <c r="AY872" s="76"/>
      <c r="AZ872" s="76"/>
      <c r="BA872" s="76" t="b">
        <v>0</v>
      </c>
      <c r="BB872" s="76" t="b">
        <v>1</v>
      </c>
      <c r="BC872" s="76" t="b">
        <v>1</v>
      </c>
      <c r="BD872" s="76" t="b">
        <v>0</v>
      </c>
      <c r="BE872" s="76" t="b">
        <v>0</v>
      </c>
      <c r="BF872" s="76" t="b">
        <v>0</v>
      </c>
      <c r="BG872" s="76" t="b">
        <v>0</v>
      </c>
      <c r="BH872" s="83" t="str">
        <f>HYPERLINK("https://pbs.twimg.com/profile_banners/1675130387658407938/1688217931")</f>
        <v>https://pbs.twimg.com/profile_banners/1675130387658407938/1688217931</v>
      </c>
      <c r="BI872" s="76"/>
      <c r="BJ872" s="76" t="s">
        <v>19633</v>
      </c>
      <c r="BK872" s="76" t="b">
        <v>0</v>
      </c>
      <c r="BL872" s="76"/>
      <c r="BM872" s="76" t="s">
        <v>66</v>
      </c>
      <c r="BN872" s="76" t="s">
        <v>19635</v>
      </c>
      <c r="BO872" s="83" t="str">
        <f>HYPERLINK("https://twitter.com/marcia23403")</f>
        <v>https://twitter.com/marcia23403</v>
      </c>
      <c r="BP872" s="2"/>
    </row>
    <row r="873" spans="1:68" x14ac:dyDescent="0.25">
      <c r="A873" s="62" t="s">
        <v>1007</v>
      </c>
      <c r="B873" s="63"/>
      <c r="C873" s="63"/>
      <c r="D873" s="64"/>
      <c r="E873" s="66"/>
      <c r="F873" s="103" t="str">
        <f>HYPERLINK("https://pbs.twimg.com/profile_images/1631659180753932288/MuTvOWdO_normal.png")</f>
        <v>https://pbs.twimg.com/profile_images/1631659180753932288/MuTvOWdO_normal.png</v>
      </c>
      <c r="G873" s="63"/>
      <c r="H873" s="67"/>
      <c r="I873" s="68"/>
      <c r="J873" s="68"/>
      <c r="K873" s="67" t="s">
        <v>20505</v>
      </c>
      <c r="L873" s="71"/>
      <c r="M873" s="72"/>
      <c r="N873" s="72"/>
      <c r="O873" s="73"/>
      <c r="P873" s="74"/>
      <c r="Q873" s="74"/>
      <c r="R873" s="87"/>
      <c r="S873" s="87"/>
      <c r="T873" s="87"/>
      <c r="U873" s="87"/>
      <c r="V873" s="48"/>
      <c r="W873" s="48"/>
      <c r="X873" s="47">
        <v>1.101E-3</v>
      </c>
      <c r="Y873" s="48"/>
      <c r="Z873" s="47"/>
      <c r="AA873" s="69">
        <v>873</v>
      </c>
      <c r="AB873" s="69"/>
      <c r="AC873" s="70"/>
      <c r="AD873" s="76" t="s">
        <v>17494</v>
      </c>
      <c r="AE873" s="81" t="s">
        <v>16576</v>
      </c>
      <c r="AF873" s="76">
        <v>0</v>
      </c>
      <c r="AG873" s="76">
        <v>9</v>
      </c>
      <c r="AH873" s="76">
        <v>11</v>
      </c>
      <c r="AI873" s="76">
        <v>0</v>
      </c>
      <c r="AJ873" s="76">
        <v>0</v>
      </c>
      <c r="AK873" s="76">
        <v>11</v>
      </c>
      <c r="AL873" s="76" t="b">
        <v>0</v>
      </c>
      <c r="AM873" s="78">
        <v>44988.59033564815</v>
      </c>
      <c r="AN873" s="76"/>
      <c r="AO873" s="76" t="s">
        <v>18944</v>
      </c>
      <c r="AP873" s="83" t="str">
        <f>HYPERLINK("https://t.co/jMHBbbjuHE")</f>
        <v>https://t.co/jMHBbbjuHE</v>
      </c>
      <c r="AQ873" s="83" t="str">
        <f>HYPERLINK("https://www.noticiasdeagora.net.br/")</f>
        <v>https://www.noticiasdeagora.net.br/</v>
      </c>
      <c r="AR873" s="76" t="s">
        <v>19525</v>
      </c>
      <c r="AS873" s="83" t="str">
        <f>HYPERLINK("https://t.co/jMHBbbjuHE")</f>
        <v>https://t.co/jMHBbbjuHE</v>
      </c>
      <c r="AT873" s="83" t="str">
        <f>HYPERLINK("https://www.noticiasdeagora.net.br/")</f>
        <v>https://www.noticiasdeagora.net.br/</v>
      </c>
      <c r="AU873" s="76" t="s">
        <v>19525</v>
      </c>
      <c r="AV873" s="76"/>
      <c r="AW873" s="83" t="str">
        <f>HYPERLINK("https://t.co/jMHBbbjuHE")</f>
        <v>https://t.co/jMHBbbjuHE</v>
      </c>
      <c r="AX873" s="76" t="b">
        <v>0</v>
      </c>
      <c r="AY873" s="76"/>
      <c r="AZ873" s="76"/>
      <c r="BA873" s="76" t="b">
        <v>0</v>
      </c>
      <c r="BB873" s="76" t="b">
        <v>1</v>
      </c>
      <c r="BC873" s="76" t="b">
        <v>1</v>
      </c>
      <c r="BD873" s="76" t="b">
        <v>0</v>
      </c>
      <c r="BE873" s="76" t="b">
        <v>0</v>
      </c>
      <c r="BF873" s="76" t="b">
        <v>0</v>
      </c>
      <c r="BG873" s="76" t="b">
        <v>0</v>
      </c>
      <c r="BH873" s="83" t="str">
        <f>HYPERLINK("https://pbs.twimg.com/profile_banners/1631658084601847810/1677852839")</f>
        <v>https://pbs.twimg.com/profile_banners/1631658084601847810/1677852839</v>
      </c>
      <c r="BI873" s="76"/>
      <c r="BJ873" s="76" t="s">
        <v>19633</v>
      </c>
      <c r="BK873" s="76" t="b">
        <v>0</v>
      </c>
      <c r="BL873" s="76"/>
      <c r="BM873" s="76" t="s">
        <v>66</v>
      </c>
      <c r="BN873" s="76" t="s">
        <v>19635</v>
      </c>
      <c r="BO873" s="83" t="str">
        <f>HYPERLINK("https://twitter.com/noticiasagora23")</f>
        <v>https://twitter.com/noticiasagora23</v>
      </c>
      <c r="BP873" s="2"/>
    </row>
    <row r="874" spans="1:68" x14ac:dyDescent="0.25">
      <c r="A874" s="62" t="s">
        <v>1008</v>
      </c>
      <c r="B874" s="63"/>
      <c r="C874" s="63"/>
      <c r="D874" s="64"/>
      <c r="E874" s="66"/>
      <c r="F874" s="103" t="str">
        <f>HYPERLINK("https://pbs.twimg.com/profile_images/1543934829326213121/vSR3V6-r_normal.jpg")</f>
        <v>https://pbs.twimg.com/profile_images/1543934829326213121/vSR3V6-r_normal.jpg</v>
      </c>
      <c r="G874" s="63"/>
      <c r="H874" s="67"/>
      <c r="I874" s="68"/>
      <c r="J874" s="68"/>
      <c r="K874" s="67" t="s">
        <v>20506</v>
      </c>
      <c r="L874" s="71"/>
      <c r="M874" s="72"/>
      <c r="N874" s="72"/>
      <c r="O874" s="73"/>
      <c r="P874" s="74"/>
      <c r="Q874" s="74"/>
      <c r="R874" s="87"/>
      <c r="S874" s="87"/>
      <c r="T874" s="87"/>
      <c r="U874" s="87"/>
      <c r="V874" s="48"/>
      <c r="W874" s="48"/>
      <c r="X874" s="47">
        <v>1.101E-3</v>
      </c>
      <c r="Y874" s="48"/>
      <c r="Z874" s="47"/>
      <c r="AA874" s="69">
        <v>874</v>
      </c>
      <c r="AB874" s="69"/>
      <c r="AC874" s="70"/>
      <c r="AD874" s="76" t="s">
        <v>17495</v>
      </c>
      <c r="AE874" s="81" t="s">
        <v>16577</v>
      </c>
      <c r="AF874" s="76">
        <v>2</v>
      </c>
      <c r="AG874" s="76">
        <v>22</v>
      </c>
      <c r="AH874" s="76">
        <v>67</v>
      </c>
      <c r="AI874" s="76">
        <v>0</v>
      </c>
      <c r="AJ874" s="76">
        <v>34</v>
      </c>
      <c r="AK874" s="76">
        <v>17</v>
      </c>
      <c r="AL874" s="76" t="b">
        <v>0</v>
      </c>
      <c r="AM874" s="78">
        <v>44631.59107638889</v>
      </c>
      <c r="AN874" s="76" t="s">
        <v>10552</v>
      </c>
      <c r="AO874" s="76" t="s">
        <v>18945</v>
      </c>
      <c r="AP874" s="83" t="str">
        <f>HYPERLINK("https://t.co/D3PNQoGEpg")</f>
        <v>https://t.co/D3PNQoGEpg</v>
      </c>
      <c r="AQ874" s="83" t="str">
        <f>HYPERLINK("https://linktr.ee/redacont")</f>
        <v>https://linktr.ee/redacont</v>
      </c>
      <c r="AR874" s="76" t="s">
        <v>19526</v>
      </c>
      <c r="AS874" s="76"/>
      <c r="AT874" s="76"/>
      <c r="AU874" s="76"/>
      <c r="AV874" s="76"/>
      <c r="AW874" s="83" t="str">
        <f>HYPERLINK("https://t.co/D3PNQoGEpg")</f>
        <v>https://t.co/D3PNQoGEpg</v>
      </c>
      <c r="AX874" s="76" t="b">
        <v>0</v>
      </c>
      <c r="AY874" s="76"/>
      <c r="AZ874" s="76"/>
      <c r="BA874" s="76" t="b">
        <v>0</v>
      </c>
      <c r="BB874" s="76" t="b">
        <v>1</v>
      </c>
      <c r="BC874" s="76" t="b">
        <v>1</v>
      </c>
      <c r="BD874" s="76" t="b">
        <v>0</v>
      </c>
      <c r="BE874" s="76" t="b">
        <v>0</v>
      </c>
      <c r="BF874" s="76" t="b">
        <v>0</v>
      </c>
      <c r="BG874" s="76" t="b">
        <v>0</v>
      </c>
      <c r="BH874" s="83" t="str">
        <f>HYPERLINK("https://pbs.twimg.com/profile_banners/1502285738783686659/1647008137")</f>
        <v>https://pbs.twimg.com/profile_banners/1502285738783686659/1647008137</v>
      </c>
      <c r="BI874" s="76"/>
      <c r="BJ874" s="76" t="s">
        <v>19633</v>
      </c>
      <c r="BK874" s="76" t="b">
        <v>0</v>
      </c>
      <c r="BL874" s="76"/>
      <c r="BM874" s="76" t="s">
        <v>66</v>
      </c>
      <c r="BN874" s="76" t="s">
        <v>19635</v>
      </c>
      <c r="BO874" s="83" t="str">
        <f>HYPERLINK("https://twitter.com/redacontf")</f>
        <v>https://twitter.com/redacontf</v>
      </c>
      <c r="BP874" s="2"/>
    </row>
    <row r="875" spans="1:68" x14ac:dyDescent="0.25">
      <c r="A875" s="62" t="s">
        <v>1009</v>
      </c>
      <c r="B875" s="63"/>
      <c r="C875" s="63"/>
      <c r="D875" s="64"/>
      <c r="E875" s="66"/>
      <c r="F875" s="103" t="str">
        <f>HYPERLINK("https://pbs.twimg.com/profile_images/1324130476290985990/bxDy52tJ_normal.jpg")</f>
        <v>https://pbs.twimg.com/profile_images/1324130476290985990/bxDy52tJ_normal.jpg</v>
      </c>
      <c r="G875" s="63"/>
      <c r="H875" s="67"/>
      <c r="I875" s="68"/>
      <c r="J875" s="68"/>
      <c r="K875" s="67" t="s">
        <v>20507</v>
      </c>
      <c r="L875" s="71"/>
      <c r="M875" s="72"/>
      <c r="N875" s="72"/>
      <c r="O875" s="73"/>
      <c r="P875" s="74"/>
      <c r="Q875" s="74"/>
      <c r="R875" s="87"/>
      <c r="S875" s="87"/>
      <c r="T875" s="87"/>
      <c r="U875" s="87"/>
      <c r="V875" s="48"/>
      <c r="W875" s="48"/>
      <c r="X875" s="47">
        <v>1.101E-3</v>
      </c>
      <c r="Y875" s="48"/>
      <c r="Z875" s="47"/>
      <c r="AA875" s="69">
        <v>875</v>
      </c>
      <c r="AB875" s="69"/>
      <c r="AC875" s="70"/>
      <c r="AD875" s="76" t="s">
        <v>17496</v>
      </c>
      <c r="AE875" s="81" t="s">
        <v>17841</v>
      </c>
      <c r="AF875" s="76">
        <v>51</v>
      </c>
      <c r="AG875" s="76">
        <v>168</v>
      </c>
      <c r="AH875" s="76">
        <v>373</v>
      </c>
      <c r="AI875" s="76">
        <v>4</v>
      </c>
      <c r="AJ875" s="76">
        <v>355</v>
      </c>
      <c r="AK875" s="76">
        <v>59</v>
      </c>
      <c r="AL875" s="76" t="b">
        <v>0</v>
      </c>
      <c r="AM875" s="78">
        <v>41462.193067129629</v>
      </c>
      <c r="AN875" s="76" t="s">
        <v>10631</v>
      </c>
      <c r="AO875" s="76" t="s">
        <v>18946</v>
      </c>
      <c r="AP875" s="83" t="str">
        <f>HYPERLINK("https://t.co/e2oFQn6uBJ")</f>
        <v>https://t.co/e2oFQn6uBJ</v>
      </c>
      <c r="AQ875" s="83" t="str">
        <f>HYPERLINK("https://www.admleogaspar.com")</f>
        <v>https://www.admleogaspar.com</v>
      </c>
      <c r="AR875" s="76" t="s">
        <v>6118</v>
      </c>
      <c r="AS875" s="76"/>
      <c r="AT875" s="76"/>
      <c r="AU875" s="76"/>
      <c r="AV875" s="76"/>
      <c r="AW875" s="83" t="str">
        <f>HYPERLINK("https://t.co/e2oFQn6uBJ")</f>
        <v>https://t.co/e2oFQn6uBJ</v>
      </c>
      <c r="AX875" s="76" t="b">
        <v>0</v>
      </c>
      <c r="AY875" s="76"/>
      <c r="AZ875" s="76"/>
      <c r="BA875" s="76" t="b">
        <v>0</v>
      </c>
      <c r="BB875" s="76" t="b">
        <v>1</v>
      </c>
      <c r="BC875" s="76" t="b">
        <v>0</v>
      </c>
      <c r="BD875" s="76" t="b">
        <v>0</v>
      </c>
      <c r="BE875" s="76" t="b">
        <v>0</v>
      </c>
      <c r="BF875" s="76" t="b">
        <v>0</v>
      </c>
      <c r="BG875" s="76" t="b">
        <v>0</v>
      </c>
      <c r="BH875" s="83" t="str">
        <f>HYPERLINK("https://pbs.twimg.com/profile_banners/1574281260/1444095694")</f>
        <v>https://pbs.twimg.com/profile_banners/1574281260/1444095694</v>
      </c>
      <c r="BI875" s="76"/>
      <c r="BJ875" s="76" t="s">
        <v>19633</v>
      </c>
      <c r="BK875" s="76" t="b">
        <v>0</v>
      </c>
      <c r="BL875" s="76"/>
      <c r="BM875" s="76" t="s">
        <v>66</v>
      </c>
      <c r="BN875" s="76" t="s">
        <v>19635</v>
      </c>
      <c r="BO875" s="83" t="str">
        <f>HYPERLINK("https://twitter.com/leogaspar002")</f>
        <v>https://twitter.com/leogaspar002</v>
      </c>
      <c r="BP875" s="2"/>
    </row>
    <row r="876" spans="1:68" x14ac:dyDescent="0.25">
      <c r="A876" s="62" t="s">
        <v>1012</v>
      </c>
      <c r="B876" s="63"/>
      <c r="C876" s="63"/>
      <c r="D876" s="64"/>
      <c r="E876" s="66"/>
      <c r="F876" s="103" t="str">
        <f>HYPERLINK("https://pbs.twimg.com/profile_images/1600867993721999363/wEiaL4xT_normal.jpg")</f>
        <v>https://pbs.twimg.com/profile_images/1600867993721999363/wEiaL4xT_normal.jpg</v>
      </c>
      <c r="G876" s="63"/>
      <c r="H876" s="67"/>
      <c r="I876" s="68"/>
      <c r="J876" s="68"/>
      <c r="K876" s="67" t="s">
        <v>20508</v>
      </c>
      <c r="L876" s="71"/>
      <c r="M876" s="72"/>
      <c r="N876" s="72"/>
      <c r="O876" s="73"/>
      <c r="P876" s="74"/>
      <c r="Q876" s="74"/>
      <c r="R876" s="87"/>
      <c r="S876" s="87"/>
      <c r="T876" s="87"/>
      <c r="U876" s="87"/>
      <c r="V876" s="48"/>
      <c r="W876" s="48"/>
      <c r="X876" s="47">
        <v>1.101E-3</v>
      </c>
      <c r="Y876" s="48"/>
      <c r="Z876" s="47"/>
      <c r="AA876" s="69">
        <v>876</v>
      </c>
      <c r="AB876" s="69"/>
      <c r="AC876" s="70"/>
      <c r="AD876" s="76" t="s">
        <v>17497</v>
      </c>
      <c r="AE876" s="81" t="s">
        <v>17842</v>
      </c>
      <c r="AF876" s="76">
        <v>102</v>
      </c>
      <c r="AG876" s="76">
        <v>174</v>
      </c>
      <c r="AH876" s="76">
        <v>1488</v>
      </c>
      <c r="AI876" s="76">
        <v>0</v>
      </c>
      <c r="AJ876" s="76">
        <v>556</v>
      </c>
      <c r="AK876" s="76">
        <v>62</v>
      </c>
      <c r="AL876" s="76" t="b">
        <v>0</v>
      </c>
      <c r="AM876" s="78">
        <v>40304.912673611114</v>
      </c>
      <c r="AN876" s="76" t="s">
        <v>10570</v>
      </c>
      <c r="AO876" s="76" t="s">
        <v>18947</v>
      </c>
      <c r="AP876" s="76"/>
      <c r="AQ876" s="76"/>
      <c r="AR876" s="76"/>
      <c r="AS876" s="76"/>
      <c r="AT876" s="76"/>
      <c r="AU876" s="76"/>
      <c r="AV876" s="76"/>
      <c r="AW876" s="76"/>
      <c r="AX876" s="76" t="b">
        <v>0</v>
      </c>
      <c r="AY876" s="76"/>
      <c r="AZ876" s="76"/>
      <c r="BA876" s="76" t="b">
        <v>0</v>
      </c>
      <c r="BB876" s="76" t="b">
        <v>1</v>
      </c>
      <c r="BC876" s="76" t="b">
        <v>0</v>
      </c>
      <c r="BD876" s="76" t="b">
        <v>0</v>
      </c>
      <c r="BE876" s="76" t="b">
        <v>0</v>
      </c>
      <c r="BF876" s="76" t="b">
        <v>0</v>
      </c>
      <c r="BG876" s="76" t="b">
        <v>0</v>
      </c>
      <c r="BH876" s="83" t="str">
        <f>HYPERLINK("https://pbs.twimg.com/profile_banners/140982512/1600164628")</f>
        <v>https://pbs.twimg.com/profile_banners/140982512/1600164628</v>
      </c>
      <c r="BI876" s="76"/>
      <c r="BJ876" s="76" t="s">
        <v>19633</v>
      </c>
      <c r="BK876" s="76" t="b">
        <v>0</v>
      </c>
      <c r="BL876" s="76"/>
      <c r="BM876" s="76" t="s">
        <v>66</v>
      </c>
      <c r="BN876" s="76" t="s">
        <v>19635</v>
      </c>
      <c r="BO876" s="83" t="str">
        <f>HYPERLINK("https://twitter.com/bruno_kleinlein")</f>
        <v>https://twitter.com/bruno_kleinlein</v>
      </c>
      <c r="BP876" s="2"/>
    </row>
    <row r="877" spans="1:68" x14ac:dyDescent="0.25">
      <c r="A877" s="62" t="s">
        <v>1013</v>
      </c>
      <c r="B877" s="63"/>
      <c r="C877" s="63"/>
      <c r="D877" s="64"/>
      <c r="E877" s="66"/>
      <c r="F877" s="103" t="str">
        <f>HYPERLINK("https://pbs.twimg.com/profile_images/908099396746833921/oJObXf7s_normal.jpg")</f>
        <v>https://pbs.twimg.com/profile_images/908099396746833921/oJObXf7s_normal.jpg</v>
      </c>
      <c r="G877" s="63"/>
      <c r="H877" s="67"/>
      <c r="I877" s="68"/>
      <c r="J877" s="68"/>
      <c r="K877" s="67" t="s">
        <v>20509</v>
      </c>
      <c r="L877" s="71"/>
      <c r="M877" s="72"/>
      <c r="N877" s="72"/>
      <c r="O877" s="73"/>
      <c r="P877" s="74"/>
      <c r="Q877" s="74"/>
      <c r="R877" s="87"/>
      <c r="S877" s="87"/>
      <c r="T877" s="87"/>
      <c r="U877" s="87"/>
      <c r="V877" s="48"/>
      <c r="W877" s="48"/>
      <c r="X877" s="47">
        <v>1.0200000000000001E-3</v>
      </c>
      <c r="Y877" s="48"/>
      <c r="Z877" s="47"/>
      <c r="AA877" s="69">
        <v>877</v>
      </c>
      <c r="AB877" s="69"/>
      <c r="AC877" s="70"/>
      <c r="AD877" s="76" t="s">
        <v>17498</v>
      </c>
      <c r="AE877" s="81" t="s">
        <v>17843</v>
      </c>
      <c r="AF877" s="76">
        <v>353</v>
      </c>
      <c r="AG877" s="76">
        <v>330</v>
      </c>
      <c r="AH877" s="76">
        <v>26028</v>
      </c>
      <c r="AI877" s="76">
        <v>12</v>
      </c>
      <c r="AJ877" s="76">
        <v>1765</v>
      </c>
      <c r="AK877" s="76">
        <v>822</v>
      </c>
      <c r="AL877" s="76" t="b">
        <v>0</v>
      </c>
      <c r="AM877" s="78">
        <v>39909.996296296296</v>
      </c>
      <c r="AN877" s="76" t="s">
        <v>159</v>
      </c>
      <c r="AO877" s="76" t="s">
        <v>18948</v>
      </c>
      <c r="AP877" s="83" t="str">
        <f>HYPERLINK("https://t.co/iIzbdHDS2B")</f>
        <v>https://t.co/iIzbdHDS2B</v>
      </c>
      <c r="AQ877" s="83" t="str">
        <f>HYPERLINK("https://beacons.ai/rafaelaon")</f>
        <v>https://beacons.ai/rafaelaon</v>
      </c>
      <c r="AR877" s="76" t="s">
        <v>19527</v>
      </c>
      <c r="AS877" s="76"/>
      <c r="AT877" s="76"/>
      <c r="AU877" s="76"/>
      <c r="AV877" s="76">
        <v>1.4236124046053199E+18</v>
      </c>
      <c r="AW877" s="83" t="str">
        <f>HYPERLINK("https://t.co/iIzbdHDS2B")</f>
        <v>https://t.co/iIzbdHDS2B</v>
      </c>
      <c r="AX877" s="76" t="b">
        <v>0</v>
      </c>
      <c r="AY877" s="76"/>
      <c r="AZ877" s="76"/>
      <c r="BA877" s="76" t="b">
        <v>0</v>
      </c>
      <c r="BB877" s="76" t="b">
        <v>0</v>
      </c>
      <c r="BC877" s="76" t="b">
        <v>0</v>
      </c>
      <c r="BD877" s="76" t="b">
        <v>0</v>
      </c>
      <c r="BE877" s="76" t="b">
        <v>0</v>
      </c>
      <c r="BF877" s="76" t="b">
        <v>0</v>
      </c>
      <c r="BG877" s="76" t="b">
        <v>1</v>
      </c>
      <c r="BH877" s="83" t="str">
        <f>HYPERLINK("https://pbs.twimg.com/profile_banners/29331023/1505216552")</f>
        <v>https://pbs.twimg.com/profile_banners/29331023/1505216552</v>
      </c>
      <c r="BI877" s="76"/>
      <c r="BJ877" s="76" t="s">
        <v>19633</v>
      </c>
      <c r="BK877" s="76" t="b">
        <v>0</v>
      </c>
      <c r="BL877" s="76"/>
      <c r="BM877" s="76" t="s">
        <v>66</v>
      </c>
      <c r="BN877" s="76" t="s">
        <v>19635</v>
      </c>
      <c r="BO877" s="83" t="str">
        <f>HYPERLINK("https://twitter.com/rafaelaon")</f>
        <v>https://twitter.com/rafaelaon</v>
      </c>
      <c r="BP877" s="2"/>
    </row>
    <row r="878" spans="1:68" x14ac:dyDescent="0.25">
      <c r="A878" s="62" t="s">
        <v>1014</v>
      </c>
      <c r="B878" s="63"/>
      <c r="C878" s="63"/>
      <c r="D878" s="64"/>
      <c r="E878" s="66"/>
      <c r="F878" s="103" t="str">
        <f>HYPERLINK("https://pbs.twimg.com/profile_images/1689829006294609920/nTNyuT_C_normal.jpg")</f>
        <v>https://pbs.twimg.com/profile_images/1689829006294609920/nTNyuT_C_normal.jpg</v>
      </c>
      <c r="G878" s="63"/>
      <c r="H878" s="67"/>
      <c r="I878" s="68"/>
      <c r="J878" s="68"/>
      <c r="K878" s="67" t="s">
        <v>20510</v>
      </c>
      <c r="L878" s="71"/>
      <c r="M878" s="72"/>
      <c r="N878" s="72"/>
      <c r="O878" s="73"/>
      <c r="P878" s="74"/>
      <c r="Q878" s="74"/>
      <c r="R878" s="87"/>
      <c r="S878" s="87"/>
      <c r="T878" s="87"/>
      <c r="U878" s="87"/>
      <c r="V878" s="48"/>
      <c r="W878" s="48"/>
      <c r="X878" s="47">
        <v>1.101E-3</v>
      </c>
      <c r="Y878" s="48"/>
      <c r="Z878" s="47"/>
      <c r="AA878" s="69">
        <v>878</v>
      </c>
      <c r="AB878" s="69"/>
      <c r="AC878" s="70"/>
      <c r="AD878" s="76" t="s">
        <v>17499</v>
      </c>
      <c r="AE878" s="81" t="s">
        <v>16579</v>
      </c>
      <c r="AF878" s="76">
        <v>22881</v>
      </c>
      <c r="AG878" s="76">
        <v>43</v>
      </c>
      <c r="AH878" s="76">
        <v>87</v>
      </c>
      <c r="AI878" s="76">
        <v>3</v>
      </c>
      <c r="AJ878" s="76">
        <v>156</v>
      </c>
      <c r="AK878" s="76">
        <v>65</v>
      </c>
      <c r="AL878" s="76" t="b">
        <v>0</v>
      </c>
      <c r="AM878" s="78">
        <v>42970.980752314812</v>
      </c>
      <c r="AN878" s="76" t="s">
        <v>10561</v>
      </c>
      <c r="AO878" s="76" t="s">
        <v>18949</v>
      </c>
      <c r="AP878" s="83" t="str">
        <f>HYPERLINK("https://t.co/4ozlEjWijl")</f>
        <v>https://t.co/4ozlEjWijl</v>
      </c>
      <c r="AQ878" s="83" t="str">
        <f>HYPERLINK("https://goshopelite.com.br/")</f>
        <v>https://goshopelite.com.br/</v>
      </c>
      <c r="AR878" s="76" t="s">
        <v>19528</v>
      </c>
      <c r="AS878" s="76"/>
      <c r="AT878" s="76"/>
      <c r="AU878" s="76"/>
      <c r="AV878" s="76">
        <v>9.0051003995752397E+17</v>
      </c>
      <c r="AW878" s="83" t="str">
        <f>HYPERLINK("https://t.co/4ozlEjWijl")</f>
        <v>https://t.co/4ozlEjWijl</v>
      </c>
      <c r="AX878" s="76" t="b">
        <v>0</v>
      </c>
      <c r="AY878" s="76"/>
      <c r="AZ878" s="76"/>
      <c r="BA878" s="76" t="b">
        <v>1</v>
      </c>
      <c r="BB878" s="76" t="b">
        <v>1</v>
      </c>
      <c r="BC878" s="76" t="b">
        <v>0</v>
      </c>
      <c r="BD878" s="76" t="b">
        <v>0</v>
      </c>
      <c r="BE878" s="76" t="b">
        <v>0</v>
      </c>
      <c r="BF878" s="76" t="b">
        <v>0</v>
      </c>
      <c r="BG878" s="76" t="b">
        <v>0</v>
      </c>
      <c r="BH878" s="83" t="str">
        <f>HYPERLINK("https://pbs.twimg.com/profile_banners/900500973344391169/1691937026")</f>
        <v>https://pbs.twimg.com/profile_banners/900500973344391169/1691937026</v>
      </c>
      <c r="BI878" s="76"/>
      <c r="BJ878" s="76" t="s">
        <v>19633</v>
      </c>
      <c r="BK878" s="76" t="b">
        <v>0</v>
      </c>
      <c r="BL878" s="76"/>
      <c r="BM878" s="76" t="s">
        <v>66</v>
      </c>
      <c r="BN878" s="76" t="s">
        <v>19635</v>
      </c>
      <c r="BO878" s="83" t="str">
        <f>HYPERLINK("https://twitter.com/carlosunrise74")</f>
        <v>https://twitter.com/carlosunrise74</v>
      </c>
      <c r="BP878" s="2"/>
    </row>
    <row r="879" spans="1:68" x14ac:dyDescent="0.25">
      <c r="A879" s="62" t="s">
        <v>1015</v>
      </c>
      <c r="B879" s="63"/>
      <c r="C879" s="63"/>
      <c r="D879" s="64"/>
      <c r="E879" s="66"/>
      <c r="F879" s="103" t="str">
        <f>HYPERLINK("https://pbs.twimg.com/profile_images/1256996109337190400/krLYrVpV_normal.jpg")</f>
        <v>https://pbs.twimg.com/profile_images/1256996109337190400/krLYrVpV_normal.jpg</v>
      </c>
      <c r="G879" s="63"/>
      <c r="H879" s="67"/>
      <c r="I879" s="68"/>
      <c r="J879" s="68"/>
      <c r="K879" s="67" t="s">
        <v>20511</v>
      </c>
      <c r="L879" s="71"/>
      <c r="M879" s="72"/>
      <c r="N879" s="72"/>
      <c r="O879" s="73"/>
      <c r="P879" s="74"/>
      <c r="Q879" s="74"/>
      <c r="R879" s="87"/>
      <c r="S879" s="87"/>
      <c r="T879" s="87"/>
      <c r="U879" s="87"/>
      <c r="V879" s="48"/>
      <c r="W879" s="48"/>
      <c r="X879" s="47">
        <v>1.101E-3</v>
      </c>
      <c r="Y879" s="48"/>
      <c r="Z879" s="47"/>
      <c r="AA879" s="69">
        <v>879</v>
      </c>
      <c r="AB879" s="69"/>
      <c r="AC879" s="70"/>
      <c r="AD879" s="76" t="s">
        <v>17500</v>
      </c>
      <c r="AE879" s="81" t="s">
        <v>16580</v>
      </c>
      <c r="AF879" s="76">
        <v>30</v>
      </c>
      <c r="AG879" s="76">
        <v>12</v>
      </c>
      <c r="AH879" s="76">
        <v>698</v>
      </c>
      <c r="AI879" s="76">
        <v>0</v>
      </c>
      <c r="AJ879" s="76">
        <v>49</v>
      </c>
      <c r="AK879" s="76">
        <v>206</v>
      </c>
      <c r="AL879" s="76" t="b">
        <v>0</v>
      </c>
      <c r="AM879" s="78">
        <v>43954.719675925924</v>
      </c>
      <c r="AN879" s="76" t="s">
        <v>18140</v>
      </c>
      <c r="AO879" s="76" t="s">
        <v>18950</v>
      </c>
      <c r="AP879" s="83" t="str">
        <f>HYPERLINK("https://t.co/8K8lbgWrP7")</f>
        <v>https://t.co/8K8lbgWrP7</v>
      </c>
      <c r="AQ879" s="83" t="str">
        <f>HYPERLINK("http://www.evertonlopes.com.br")</f>
        <v>http://www.evertonlopes.com.br</v>
      </c>
      <c r="AR879" s="76" t="s">
        <v>19529</v>
      </c>
      <c r="AS879" s="76"/>
      <c r="AT879" s="76"/>
      <c r="AU879" s="76"/>
      <c r="AV879" s="76"/>
      <c r="AW879" s="83" t="str">
        <f>HYPERLINK("https://t.co/8K8lbgWrP7")</f>
        <v>https://t.co/8K8lbgWrP7</v>
      </c>
      <c r="AX879" s="76" t="b">
        <v>0</v>
      </c>
      <c r="AY879" s="76"/>
      <c r="AZ879" s="76"/>
      <c r="BA879" s="76" t="b">
        <v>0</v>
      </c>
      <c r="BB879" s="76" t="b">
        <v>1</v>
      </c>
      <c r="BC879" s="76" t="b">
        <v>1</v>
      </c>
      <c r="BD879" s="76" t="b">
        <v>0</v>
      </c>
      <c r="BE879" s="76" t="b">
        <v>0</v>
      </c>
      <c r="BF879" s="76" t="b">
        <v>0</v>
      </c>
      <c r="BG879" s="76" t="b">
        <v>0</v>
      </c>
      <c r="BH879" s="76"/>
      <c r="BI879" s="76"/>
      <c r="BJ879" s="76" t="s">
        <v>19633</v>
      </c>
      <c r="BK879" s="76" t="b">
        <v>0</v>
      </c>
      <c r="BL879" s="76"/>
      <c r="BM879" s="76" t="s">
        <v>66</v>
      </c>
      <c r="BN879" s="76" t="s">
        <v>19635</v>
      </c>
      <c r="BO879" s="83" t="str">
        <f>HYPERLINK("https://twitter.com/lopeseconomista")</f>
        <v>https://twitter.com/lopeseconomista</v>
      </c>
      <c r="BP879" s="2"/>
    </row>
    <row r="880" spans="1:68" x14ac:dyDescent="0.25">
      <c r="A880" s="62" t="s">
        <v>1016</v>
      </c>
      <c r="B880" s="63"/>
      <c r="C880" s="63"/>
      <c r="D880" s="64"/>
      <c r="E880" s="66"/>
      <c r="F880" s="103" t="str">
        <f>HYPERLINK("https://pbs.twimg.com/profile_images/1614499804918210561/YK0HYrBW_normal.jpg")</f>
        <v>https://pbs.twimg.com/profile_images/1614499804918210561/YK0HYrBW_normal.jpg</v>
      </c>
      <c r="G880" s="63"/>
      <c r="H880" s="67"/>
      <c r="I880" s="68"/>
      <c r="J880" s="68"/>
      <c r="K880" s="67" t="s">
        <v>20512</v>
      </c>
      <c r="L880" s="71"/>
      <c r="M880" s="72"/>
      <c r="N880" s="72"/>
      <c r="O880" s="73"/>
      <c r="P880" s="74"/>
      <c r="Q880" s="74"/>
      <c r="R880" s="87"/>
      <c r="S880" s="87"/>
      <c r="T880" s="87"/>
      <c r="U880" s="87"/>
      <c r="V880" s="48"/>
      <c r="W880" s="48"/>
      <c r="X880" s="47">
        <v>1.101E-3</v>
      </c>
      <c r="Y880" s="48"/>
      <c r="Z880" s="47"/>
      <c r="AA880" s="69">
        <v>880</v>
      </c>
      <c r="AB880" s="69"/>
      <c r="AC880" s="70"/>
      <c r="AD880" s="76" t="s">
        <v>17501</v>
      </c>
      <c r="AE880" s="81" t="s">
        <v>16581</v>
      </c>
      <c r="AF880" s="76">
        <v>2</v>
      </c>
      <c r="AG880" s="76">
        <v>4</v>
      </c>
      <c r="AH880" s="76">
        <v>21</v>
      </c>
      <c r="AI880" s="76">
        <v>0</v>
      </c>
      <c r="AJ880" s="76">
        <v>17</v>
      </c>
      <c r="AK880" s="76">
        <v>16</v>
      </c>
      <c r="AL880" s="76" t="b">
        <v>0</v>
      </c>
      <c r="AM880" s="78">
        <v>44941.176458333335</v>
      </c>
      <c r="AN880" s="76"/>
      <c r="AO880" s="76" t="s">
        <v>18951</v>
      </c>
      <c r="AP880" s="83" t="str">
        <f>HYPERLINK("https://t.co/BPDzPwKW2Y")</f>
        <v>https://t.co/BPDzPwKW2Y</v>
      </c>
      <c r="AQ880" s="83" t="str">
        <f>HYPERLINK("https://beacons.ai/aposentandonovo")</f>
        <v>https://beacons.ai/aposentandonovo</v>
      </c>
      <c r="AR880" s="76" t="s">
        <v>19530</v>
      </c>
      <c r="AS880" s="76"/>
      <c r="AT880" s="76"/>
      <c r="AU880" s="76"/>
      <c r="AV880" s="76"/>
      <c r="AW880" s="83" t="str">
        <f>HYPERLINK("https://t.co/BPDzPwKW2Y")</f>
        <v>https://t.co/BPDzPwKW2Y</v>
      </c>
      <c r="AX880" s="76" t="b">
        <v>0</v>
      </c>
      <c r="AY880" s="76"/>
      <c r="AZ880" s="76"/>
      <c r="BA880" s="76" t="b">
        <v>0</v>
      </c>
      <c r="BB880" s="76" t="b">
        <v>1</v>
      </c>
      <c r="BC880" s="76" t="b">
        <v>1</v>
      </c>
      <c r="BD880" s="76" t="b">
        <v>0</v>
      </c>
      <c r="BE880" s="76" t="b">
        <v>0</v>
      </c>
      <c r="BF880" s="76" t="b">
        <v>0</v>
      </c>
      <c r="BG880" s="76" t="b">
        <v>0</v>
      </c>
      <c r="BH880" s="83" t="str">
        <f>HYPERLINK("https://pbs.twimg.com/profile_banners/1614475928825888768/1673761738")</f>
        <v>https://pbs.twimg.com/profile_banners/1614475928825888768/1673761738</v>
      </c>
      <c r="BI880" s="76"/>
      <c r="BJ880" s="76" t="s">
        <v>19633</v>
      </c>
      <c r="BK880" s="76" t="b">
        <v>0</v>
      </c>
      <c r="BL880" s="76"/>
      <c r="BM880" s="76" t="s">
        <v>66</v>
      </c>
      <c r="BN880" s="76" t="s">
        <v>19635</v>
      </c>
      <c r="BO880" s="83" t="str">
        <f>HYPERLINK("https://twitter.com/aposentandonovo")</f>
        <v>https://twitter.com/aposentandonovo</v>
      </c>
      <c r="BP880" s="2"/>
    </row>
    <row r="881" spans="1:68" x14ac:dyDescent="0.25">
      <c r="A881" s="62" t="s">
        <v>1017</v>
      </c>
      <c r="B881" s="63"/>
      <c r="C881" s="63"/>
      <c r="D881" s="64"/>
      <c r="E881" s="66"/>
      <c r="F881" s="103" t="str">
        <f>HYPERLINK("https://pbs.twimg.com/profile_images/1476610267412840449/vJtWi_h1_normal.jpg")</f>
        <v>https://pbs.twimg.com/profile_images/1476610267412840449/vJtWi_h1_normal.jpg</v>
      </c>
      <c r="G881" s="63"/>
      <c r="H881" s="67"/>
      <c r="I881" s="68"/>
      <c r="J881" s="68"/>
      <c r="K881" s="67" t="s">
        <v>20513</v>
      </c>
      <c r="L881" s="71"/>
      <c r="M881" s="72"/>
      <c r="N881" s="72"/>
      <c r="O881" s="73"/>
      <c r="P881" s="74"/>
      <c r="Q881" s="74"/>
      <c r="R881" s="87"/>
      <c r="S881" s="87"/>
      <c r="T881" s="87"/>
      <c r="U881" s="87"/>
      <c r="V881" s="48"/>
      <c r="W881" s="48"/>
      <c r="X881" s="47">
        <v>1.101E-3</v>
      </c>
      <c r="Y881" s="48"/>
      <c r="Z881" s="47"/>
      <c r="AA881" s="69">
        <v>881</v>
      </c>
      <c r="AB881" s="69"/>
      <c r="AC881" s="70"/>
      <c r="AD881" s="76" t="s">
        <v>17502</v>
      </c>
      <c r="AE881" s="81" t="s">
        <v>17844</v>
      </c>
      <c r="AF881" s="76">
        <v>198</v>
      </c>
      <c r="AG881" s="76">
        <v>75</v>
      </c>
      <c r="AH881" s="76">
        <v>1189</v>
      </c>
      <c r="AI881" s="76">
        <v>3</v>
      </c>
      <c r="AJ881" s="76">
        <v>9</v>
      </c>
      <c r="AK881" s="76">
        <v>389</v>
      </c>
      <c r="AL881" s="76" t="b">
        <v>0</v>
      </c>
      <c r="AM881" s="78">
        <v>41057.831365740742</v>
      </c>
      <c r="AN881" s="76"/>
      <c r="AO881" s="76" t="s">
        <v>18952</v>
      </c>
      <c r="AP881" s="76"/>
      <c r="AQ881" s="76"/>
      <c r="AR881" s="76"/>
      <c r="AS881" s="76"/>
      <c r="AT881" s="76"/>
      <c r="AU881" s="76"/>
      <c r="AV881" s="76"/>
      <c r="AW881" s="76"/>
      <c r="AX881" s="76" t="b">
        <v>0</v>
      </c>
      <c r="AY881" s="76"/>
      <c r="AZ881" s="76"/>
      <c r="BA881" s="76" t="b">
        <v>0</v>
      </c>
      <c r="BB881" s="76" t="b">
        <v>1</v>
      </c>
      <c r="BC881" s="76" t="b">
        <v>0</v>
      </c>
      <c r="BD881" s="76" t="b">
        <v>0</v>
      </c>
      <c r="BE881" s="76" t="b">
        <v>0</v>
      </c>
      <c r="BF881" s="76" t="b">
        <v>0</v>
      </c>
      <c r="BG881" s="76" t="b">
        <v>0</v>
      </c>
      <c r="BH881" s="83" t="str">
        <f>HYPERLINK("https://pbs.twimg.com/profile_banners/593015078/1661354289")</f>
        <v>https://pbs.twimg.com/profile_banners/593015078/1661354289</v>
      </c>
      <c r="BI881" s="76"/>
      <c r="BJ881" s="76" t="s">
        <v>19633</v>
      </c>
      <c r="BK881" s="76" t="b">
        <v>0</v>
      </c>
      <c r="BL881" s="76"/>
      <c r="BM881" s="76" t="s">
        <v>66</v>
      </c>
      <c r="BN881" s="76" t="s">
        <v>19635</v>
      </c>
      <c r="BO881" s="83" t="str">
        <f>HYPERLINK("https://twitter.com/spprevcom")</f>
        <v>https://twitter.com/spprevcom</v>
      </c>
      <c r="BP881" s="2"/>
    </row>
    <row r="882" spans="1:68" x14ac:dyDescent="0.25">
      <c r="A882" s="62" t="s">
        <v>1018</v>
      </c>
      <c r="B882" s="63"/>
      <c r="C882" s="63"/>
      <c r="D882" s="64"/>
      <c r="E882" s="66"/>
      <c r="F882" s="103" t="str">
        <f>HYPERLINK("https://pbs.twimg.com/profile_images/1629500901529378816/tRvt-cH__normal.jpg")</f>
        <v>https://pbs.twimg.com/profile_images/1629500901529378816/tRvt-cH__normal.jpg</v>
      </c>
      <c r="G882" s="63"/>
      <c r="H882" s="67"/>
      <c r="I882" s="68"/>
      <c r="J882" s="68"/>
      <c r="K882" s="67" t="s">
        <v>20514</v>
      </c>
      <c r="L882" s="71"/>
      <c r="M882" s="72"/>
      <c r="N882" s="72"/>
      <c r="O882" s="73"/>
      <c r="P882" s="74"/>
      <c r="Q882" s="74"/>
      <c r="R882" s="87"/>
      <c r="S882" s="87"/>
      <c r="T882" s="87"/>
      <c r="U882" s="87"/>
      <c r="V882" s="48"/>
      <c r="W882" s="48"/>
      <c r="X882" s="47">
        <v>1.101E-3</v>
      </c>
      <c r="Y882" s="48"/>
      <c r="Z882" s="47"/>
      <c r="AA882" s="69">
        <v>882</v>
      </c>
      <c r="AB882" s="69"/>
      <c r="AC882" s="70"/>
      <c r="AD882" s="76" t="s">
        <v>17503</v>
      </c>
      <c r="AE882" s="81" t="s">
        <v>15798</v>
      </c>
      <c r="AF882" s="76">
        <v>10</v>
      </c>
      <c r="AG882" s="76">
        <v>77</v>
      </c>
      <c r="AH882" s="76">
        <v>213</v>
      </c>
      <c r="AI882" s="76">
        <v>3</v>
      </c>
      <c r="AJ882" s="76">
        <v>450</v>
      </c>
      <c r="AK882" s="76">
        <v>6</v>
      </c>
      <c r="AL882" s="76" t="b">
        <v>0</v>
      </c>
      <c r="AM882" s="78">
        <v>41430.018495370372</v>
      </c>
      <c r="AN882" s="76"/>
      <c r="AO882" s="76" t="s">
        <v>18953</v>
      </c>
      <c r="AP882" s="83" t="str">
        <f>HYPERLINK("https://t.co/O500obtAU0")</f>
        <v>https://t.co/O500obtAU0</v>
      </c>
      <c r="AQ882" s="83" t="str">
        <f>HYPERLINK("https://www.instagram.com/educacaofinanceiraeinves.vsa/?hl=pt-br")</f>
        <v>https://www.instagram.com/educacaofinanceiraeinves.vsa/?hl=pt-br</v>
      </c>
      <c r="AR882" s="76" t="s">
        <v>19531</v>
      </c>
      <c r="AS882" s="76"/>
      <c r="AT882" s="76"/>
      <c r="AU882" s="76"/>
      <c r="AV882" s="76"/>
      <c r="AW882" s="83" t="str">
        <f>HYPERLINK("https://t.co/O500obtAU0")</f>
        <v>https://t.co/O500obtAU0</v>
      </c>
      <c r="AX882" s="76" t="b">
        <v>0</v>
      </c>
      <c r="AY882" s="76"/>
      <c r="AZ882" s="76"/>
      <c r="BA882" s="76" t="b">
        <v>0</v>
      </c>
      <c r="BB882" s="76" t="b">
        <v>1</v>
      </c>
      <c r="BC882" s="76" t="b">
        <v>1</v>
      </c>
      <c r="BD882" s="76" t="b">
        <v>0</v>
      </c>
      <c r="BE882" s="76" t="b">
        <v>0</v>
      </c>
      <c r="BF882" s="76" t="b">
        <v>0</v>
      </c>
      <c r="BG882" s="76" t="b">
        <v>0</v>
      </c>
      <c r="BH882" s="83" t="str">
        <f>HYPERLINK("https://pbs.twimg.com/profile_banners/1483647062/1693149349")</f>
        <v>https://pbs.twimg.com/profile_banners/1483647062/1693149349</v>
      </c>
      <c r="BI882" s="76"/>
      <c r="BJ882" s="76" t="s">
        <v>19633</v>
      </c>
      <c r="BK882" s="76" t="b">
        <v>0</v>
      </c>
      <c r="BL882" s="76"/>
      <c r="BM882" s="76" t="s">
        <v>66</v>
      </c>
      <c r="BN882" s="76" t="s">
        <v>19635</v>
      </c>
      <c r="BO882" s="83" t="str">
        <f>HYPERLINK("https://twitter.com/viniciusantosa")</f>
        <v>https://twitter.com/viniciusantosa</v>
      </c>
      <c r="BP882" s="2"/>
    </row>
    <row r="883" spans="1:68" x14ac:dyDescent="0.25">
      <c r="A883" s="62" t="s">
        <v>1019</v>
      </c>
      <c r="B883" s="63"/>
      <c r="C883" s="63"/>
      <c r="D883" s="64"/>
      <c r="E883" s="66"/>
      <c r="F883" s="103" t="str">
        <f>HYPERLINK("https://pbs.twimg.com/profile_images/1638935200959799298/uhVI6aV0_normal.jpg")</f>
        <v>https://pbs.twimg.com/profile_images/1638935200959799298/uhVI6aV0_normal.jpg</v>
      </c>
      <c r="G883" s="63"/>
      <c r="H883" s="67"/>
      <c r="I883" s="68"/>
      <c r="J883" s="68"/>
      <c r="K883" s="67" t="s">
        <v>20515</v>
      </c>
      <c r="L883" s="71"/>
      <c r="M883" s="72"/>
      <c r="N883" s="72"/>
      <c r="O883" s="73"/>
      <c r="P883" s="74"/>
      <c r="Q883" s="74"/>
      <c r="R883" s="87"/>
      <c r="S883" s="87"/>
      <c r="T883" s="87"/>
      <c r="U883" s="87"/>
      <c r="V883" s="48"/>
      <c r="W883" s="48"/>
      <c r="X883" s="47">
        <v>1.101E-3</v>
      </c>
      <c r="Y883" s="48"/>
      <c r="Z883" s="47"/>
      <c r="AA883" s="69">
        <v>883</v>
      </c>
      <c r="AB883" s="69"/>
      <c r="AC883" s="70"/>
      <c r="AD883" s="76" t="s">
        <v>17504</v>
      </c>
      <c r="AE883" s="81" t="s">
        <v>16582</v>
      </c>
      <c r="AF883" s="76">
        <v>7</v>
      </c>
      <c r="AG883" s="76">
        <v>7</v>
      </c>
      <c r="AH883" s="76">
        <v>72</v>
      </c>
      <c r="AI883" s="76">
        <v>0</v>
      </c>
      <c r="AJ883" s="76">
        <v>0</v>
      </c>
      <c r="AK883" s="76">
        <v>72</v>
      </c>
      <c r="AL883" s="76" t="b">
        <v>0</v>
      </c>
      <c r="AM883" s="78">
        <v>45008.670856481483</v>
      </c>
      <c r="AN883" s="76"/>
      <c r="AO883" s="76" t="s">
        <v>18954</v>
      </c>
      <c r="AP883" s="76"/>
      <c r="AQ883" s="76"/>
      <c r="AR883" s="76"/>
      <c r="AS883" s="76"/>
      <c r="AT883" s="76"/>
      <c r="AU883" s="76"/>
      <c r="AV883" s="76"/>
      <c r="AW883" s="76"/>
      <c r="AX883" s="76" t="b">
        <v>0</v>
      </c>
      <c r="AY883" s="76"/>
      <c r="AZ883" s="76"/>
      <c r="BA883" s="76" t="b">
        <v>0</v>
      </c>
      <c r="BB883" s="76" t="b">
        <v>1</v>
      </c>
      <c r="BC883" s="76" t="b">
        <v>1</v>
      </c>
      <c r="BD883" s="76" t="b">
        <v>0</v>
      </c>
      <c r="BE883" s="76" t="b">
        <v>0</v>
      </c>
      <c r="BF883" s="76" t="b">
        <v>0</v>
      </c>
      <c r="BG883" s="76" t="b">
        <v>0</v>
      </c>
      <c r="BH883" s="76"/>
      <c r="BI883" s="76"/>
      <c r="BJ883" s="76" t="s">
        <v>19633</v>
      </c>
      <c r="BK883" s="76" t="b">
        <v>0</v>
      </c>
      <c r="BL883" s="76"/>
      <c r="BM883" s="76" t="s">
        <v>66</v>
      </c>
      <c r="BN883" s="76" t="s">
        <v>19635</v>
      </c>
      <c r="BO883" s="83" t="str">
        <f>HYPERLINK("https://twitter.com/rnainvest")</f>
        <v>https://twitter.com/rnainvest</v>
      </c>
      <c r="BP883" s="2"/>
    </row>
    <row r="884" spans="1:68" x14ac:dyDescent="0.25">
      <c r="A884" s="62" t="s">
        <v>1020</v>
      </c>
      <c r="B884" s="63"/>
      <c r="C884" s="63"/>
      <c r="D884" s="64"/>
      <c r="E884" s="66"/>
      <c r="F884" s="103" t="str">
        <f>HYPERLINK("https://pbs.twimg.com/profile_images/1634273311432556546/Ls2sXNqG_normal.jpg")</f>
        <v>https://pbs.twimg.com/profile_images/1634273311432556546/Ls2sXNqG_normal.jpg</v>
      </c>
      <c r="G884" s="63"/>
      <c r="H884" s="67"/>
      <c r="I884" s="68"/>
      <c r="J884" s="68"/>
      <c r="K884" s="67" t="s">
        <v>20516</v>
      </c>
      <c r="L884" s="71"/>
      <c r="M884" s="72"/>
      <c r="N884" s="72"/>
      <c r="O884" s="73"/>
      <c r="P884" s="74"/>
      <c r="Q884" s="74"/>
      <c r="R884" s="87"/>
      <c r="S884" s="87"/>
      <c r="T884" s="87"/>
      <c r="U884" s="87"/>
      <c r="V884" s="48"/>
      <c r="W884" s="48"/>
      <c r="X884" s="47">
        <v>1.101E-3</v>
      </c>
      <c r="Y884" s="48"/>
      <c r="Z884" s="47"/>
      <c r="AA884" s="69">
        <v>884</v>
      </c>
      <c r="AB884" s="69"/>
      <c r="AC884" s="70"/>
      <c r="AD884" s="76" t="s">
        <v>17505</v>
      </c>
      <c r="AE884" s="81" t="s">
        <v>17845</v>
      </c>
      <c r="AF884" s="76">
        <v>123</v>
      </c>
      <c r="AG884" s="76">
        <v>407</v>
      </c>
      <c r="AH884" s="76">
        <v>3530</v>
      </c>
      <c r="AI884" s="76">
        <v>0</v>
      </c>
      <c r="AJ884" s="76">
        <v>4453</v>
      </c>
      <c r="AK884" s="76">
        <v>368</v>
      </c>
      <c r="AL884" s="76" t="b">
        <v>0</v>
      </c>
      <c r="AM884" s="78">
        <v>40453.938194444447</v>
      </c>
      <c r="AN884" s="76" t="s">
        <v>18141</v>
      </c>
      <c r="AO884" s="76" t="s">
        <v>18955</v>
      </c>
      <c r="AP884" s="83" t="str">
        <f>HYPERLINK("https://t.co/4AhQyvrVu1")</f>
        <v>https://t.co/4AhQyvrVu1</v>
      </c>
      <c r="AQ884" s="83" t="str">
        <f>HYPERLINK("http://www.helderpereira.com.br")</f>
        <v>http://www.helderpereira.com.br</v>
      </c>
      <c r="AR884" s="76" t="s">
        <v>19532</v>
      </c>
      <c r="AS884" s="76"/>
      <c r="AT884" s="76"/>
      <c r="AU884" s="76"/>
      <c r="AV884" s="76"/>
      <c r="AW884" s="83" t="str">
        <f>HYPERLINK("https://t.co/4AhQyvrVu1")</f>
        <v>https://t.co/4AhQyvrVu1</v>
      </c>
      <c r="AX884" s="76" t="b">
        <v>0</v>
      </c>
      <c r="AY884" s="76"/>
      <c r="AZ884" s="76"/>
      <c r="BA884" s="76" t="b">
        <v>1</v>
      </c>
      <c r="BB884" s="76" t="b">
        <v>0</v>
      </c>
      <c r="BC884" s="76" t="b">
        <v>0</v>
      </c>
      <c r="BD884" s="76" t="b">
        <v>0</v>
      </c>
      <c r="BE884" s="76" t="b">
        <v>1</v>
      </c>
      <c r="BF884" s="76" t="b">
        <v>0</v>
      </c>
      <c r="BG884" s="76" t="b">
        <v>0</v>
      </c>
      <c r="BH884" s="83" t="str">
        <f>HYPERLINK("https://pbs.twimg.com/profile_banners/197945370/1619219854")</f>
        <v>https://pbs.twimg.com/profile_banners/197945370/1619219854</v>
      </c>
      <c r="BI884" s="76"/>
      <c r="BJ884" s="76" t="s">
        <v>19633</v>
      </c>
      <c r="BK884" s="76" t="b">
        <v>0</v>
      </c>
      <c r="BL884" s="76"/>
      <c r="BM884" s="76" t="s">
        <v>66</v>
      </c>
      <c r="BN884" s="76" t="s">
        <v>19635</v>
      </c>
      <c r="BO884" s="83" t="str">
        <f>HYPERLINK("https://twitter.com/helder_pereirah")</f>
        <v>https://twitter.com/helder_pereirah</v>
      </c>
      <c r="BP884" s="2"/>
    </row>
    <row r="885" spans="1:68" x14ac:dyDescent="0.25">
      <c r="A885" s="62" t="s">
        <v>1021</v>
      </c>
      <c r="B885" s="63"/>
      <c r="C885" s="63"/>
      <c r="D885" s="64"/>
      <c r="E885" s="66"/>
      <c r="F885" s="103" t="str">
        <f>HYPERLINK("https://pbs.twimg.com/profile_images/1587944549959311361/ekB9sPmG_normal.jpg")</f>
        <v>https://pbs.twimg.com/profile_images/1587944549959311361/ekB9sPmG_normal.jpg</v>
      </c>
      <c r="G885" s="63"/>
      <c r="H885" s="67"/>
      <c r="I885" s="68"/>
      <c r="J885" s="68"/>
      <c r="K885" s="67" t="s">
        <v>20517</v>
      </c>
      <c r="L885" s="71"/>
      <c r="M885" s="72"/>
      <c r="N885" s="72"/>
      <c r="O885" s="73"/>
      <c r="P885" s="74"/>
      <c r="Q885" s="74"/>
      <c r="R885" s="87"/>
      <c r="S885" s="87"/>
      <c r="T885" s="87"/>
      <c r="U885" s="87"/>
      <c r="V885" s="48"/>
      <c r="W885" s="48"/>
      <c r="X885" s="47">
        <v>9.6500000000000004E-4</v>
      </c>
      <c r="Y885" s="48"/>
      <c r="Z885" s="47"/>
      <c r="AA885" s="69">
        <v>885</v>
      </c>
      <c r="AB885" s="69"/>
      <c r="AC885" s="70"/>
      <c r="AD885" s="76" t="s">
        <v>17506</v>
      </c>
      <c r="AE885" s="81" t="s">
        <v>17846</v>
      </c>
      <c r="AF885" s="76">
        <v>249</v>
      </c>
      <c r="AG885" s="76">
        <v>770</v>
      </c>
      <c r="AH885" s="76">
        <v>25742</v>
      </c>
      <c r="AI885" s="76">
        <v>19</v>
      </c>
      <c r="AJ885" s="76">
        <v>15159</v>
      </c>
      <c r="AK885" s="76">
        <v>3207</v>
      </c>
      <c r="AL885" s="76" t="b">
        <v>0</v>
      </c>
      <c r="AM885" s="78">
        <v>41772.824756944443</v>
      </c>
      <c r="AN885" s="76" t="s">
        <v>10552</v>
      </c>
      <c r="AO885" s="76" t="s">
        <v>18956</v>
      </c>
      <c r="AP885" s="83" t="str">
        <f>HYPERLINK("https://t.co/Q4esrW2PzY")</f>
        <v>https://t.co/Q4esrW2PzY</v>
      </c>
      <c r="AQ885" s="83" t="str">
        <f>HYPERLINK("https://nkaleidaatracao.com.br")</f>
        <v>https://nkaleidaatracao.com.br</v>
      </c>
      <c r="AR885" s="76" t="s">
        <v>19533</v>
      </c>
      <c r="AS885" s="83" t="str">
        <f>HYPERLINK("https://t.co/hrZG2VEXud")</f>
        <v>https://t.co/hrZG2VEXud</v>
      </c>
      <c r="AT885" s="83" t="str">
        <f>HYPERLINK("https://youtube.com/@NKALeidaAtracao")</f>
        <v>https://youtube.com/@NKALeidaAtracao</v>
      </c>
      <c r="AU885" s="76" t="s">
        <v>19629</v>
      </c>
      <c r="AV885" s="76">
        <v>1.51943501280176E+18</v>
      </c>
      <c r="AW885" s="83" t="str">
        <f>HYPERLINK("https://t.co/Q4esrW2PzY")</f>
        <v>https://t.co/Q4esrW2PzY</v>
      </c>
      <c r="AX885" s="76" t="b">
        <v>0</v>
      </c>
      <c r="AY885" s="76"/>
      <c r="AZ885" s="76"/>
      <c r="BA885" s="76" t="b">
        <v>0</v>
      </c>
      <c r="BB885" s="76" t="b">
        <v>1</v>
      </c>
      <c r="BC885" s="76" t="b">
        <v>1</v>
      </c>
      <c r="BD885" s="76" t="b">
        <v>0</v>
      </c>
      <c r="BE885" s="76" t="b">
        <v>0</v>
      </c>
      <c r="BF885" s="76" t="b">
        <v>0</v>
      </c>
      <c r="BG885" s="76" t="b">
        <v>0</v>
      </c>
      <c r="BH885" s="83" t="str">
        <f>HYPERLINK("https://pbs.twimg.com/profile_banners/2493446468/1632495780")</f>
        <v>https://pbs.twimg.com/profile_banners/2493446468/1632495780</v>
      </c>
      <c r="BI885" s="76"/>
      <c r="BJ885" s="76" t="s">
        <v>19633</v>
      </c>
      <c r="BK885" s="76" t="b">
        <v>0</v>
      </c>
      <c r="BL885" s="76"/>
      <c r="BM885" s="76" t="s">
        <v>66</v>
      </c>
      <c r="BN885" s="76" t="s">
        <v>19635</v>
      </c>
      <c r="BO885" s="83" t="str">
        <f>HYPERLINK("https://twitter.com/assunitel")</f>
        <v>https://twitter.com/assunitel</v>
      </c>
      <c r="BP885" s="2"/>
    </row>
    <row r="886" spans="1:68" x14ac:dyDescent="0.25">
      <c r="A886" s="62" t="s">
        <v>1022</v>
      </c>
      <c r="B886" s="63"/>
      <c r="C886" s="63"/>
      <c r="D886" s="64"/>
      <c r="E886" s="66"/>
      <c r="F886" s="103" t="str">
        <f>HYPERLINK("https://pbs.twimg.com/profile_images/1681891735759142913/zi-CLzLc_normal.jpg")</f>
        <v>https://pbs.twimg.com/profile_images/1681891735759142913/zi-CLzLc_normal.jpg</v>
      </c>
      <c r="G886" s="63"/>
      <c r="H886" s="67"/>
      <c r="I886" s="68"/>
      <c r="J886" s="68"/>
      <c r="K886" s="67" t="s">
        <v>20518</v>
      </c>
      <c r="L886" s="71"/>
      <c r="M886" s="72"/>
      <c r="N886" s="72"/>
      <c r="O886" s="73"/>
      <c r="P886" s="74"/>
      <c r="Q886" s="74"/>
      <c r="R886" s="87"/>
      <c r="S886" s="87"/>
      <c r="T886" s="87"/>
      <c r="U886" s="87"/>
      <c r="V886" s="48"/>
      <c r="W886" s="48"/>
      <c r="X886" s="47">
        <v>1.101E-3</v>
      </c>
      <c r="Y886" s="48"/>
      <c r="Z886" s="47"/>
      <c r="AA886" s="69">
        <v>886</v>
      </c>
      <c r="AB886" s="69"/>
      <c r="AC886" s="70"/>
      <c r="AD886" s="76" t="s">
        <v>17507</v>
      </c>
      <c r="AE886" s="81" t="s">
        <v>16583</v>
      </c>
      <c r="AF886" s="76">
        <v>0</v>
      </c>
      <c r="AG886" s="76">
        <v>1</v>
      </c>
      <c r="AH886" s="76">
        <v>6</v>
      </c>
      <c r="AI886" s="76">
        <v>0</v>
      </c>
      <c r="AJ886" s="76">
        <v>0</v>
      </c>
      <c r="AK886" s="76">
        <v>0</v>
      </c>
      <c r="AL886" s="76" t="b">
        <v>0</v>
      </c>
      <c r="AM886" s="78">
        <v>45127.204826388886</v>
      </c>
      <c r="AN886" s="76"/>
      <c r="AO886" s="76" t="s">
        <v>18957</v>
      </c>
      <c r="AP886" s="76"/>
      <c r="AQ886" s="76"/>
      <c r="AR886" s="76"/>
      <c r="AS886" s="76"/>
      <c r="AT886" s="76"/>
      <c r="AU886" s="76"/>
      <c r="AV886" s="76"/>
      <c r="AW886" s="76"/>
      <c r="AX886" s="76" t="b">
        <v>0</v>
      </c>
      <c r="AY886" s="76"/>
      <c r="AZ886" s="76"/>
      <c r="BA886" s="76" t="b">
        <v>0</v>
      </c>
      <c r="BB886" s="76" t="b">
        <v>1</v>
      </c>
      <c r="BC886" s="76" t="b">
        <v>1</v>
      </c>
      <c r="BD886" s="76" t="b">
        <v>0</v>
      </c>
      <c r="BE886" s="76" t="b">
        <v>0</v>
      </c>
      <c r="BF886" s="76" t="b">
        <v>0</v>
      </c>
      <c r="BG886" s="76" t="b">
        <v>0</v>
      </c>
      <c r="BH886" s="76"/>
      <c r="BI886" s="76"/>
      <c r="BJ886" s="76" t="s">
        <v>19633</v>
      </c>
      <c r="BK886" s="76" t="b">
        <v>0</v>
      </c>
      <c r="BL886" s="76"/>
      <c r="BM886" s="76" t="s">
        <v>66</v>
      </c>
      <c r="BN886" s="76" t="s">
        <v>19635</v>
      </c>
      <c r="BO886" s="83" t="str">
        <f>HYPERLINK("https://twitter.com/m_milionarios")</f>
        <v>https://twitter.com/m_milionarios</v>
      </c>
      <c r="BP886" s="2"/>
    </row>
    <row r="887" spans="1:68" x14ac:dyDescent="0.25">
      <c r="A887" s="62" t="s">
        <v>1131</v>
      </c>
      <c r="B887" s="63"/>
      <c r="C887" s="63"/>
      <c r="D887" s="64"/>
      <c r="E887" s="66"/>
      <c r="F887" s="103" t="str">
        <f>HYPERLINK("https://pbs.twimg.com/profile_images/1624862132385853442/FLLONFny_normal.jpg")</f>
        <v>https://pbs.twimg.com/profile_images/1624862132385853442/FLLONFny_normal.jpg</v>
      </c>
      <c r="G887" s="63"/>
      <c r="H887" s="67"/>
      <c r="I887" s="68"/>
      <c r="J887" s="68"/>
      <c r="K887" s="67" t="s">
        <v>20519</v>
      </c>
      <c r="L887" s="71"/>
      <c r="M887" s="72"/>
      <c r="N887" s="72"/>
      <c r="O887" s="73"/>
      <c r="P887" s="74"/>
      <c r="Q887" s="74"/>
      <c r="R887" s="87"/>
      <c r="S887" s="87"/>
      <c r="T887" s="87"/>
      <c r="U887" s="87"/>
      <c r="V887" s="48"/>
      <c r="W887" s="48"/>
      <c r="X887" s="47">
        <v>1.024E-3</v>
      </c>
      <c r="Y887" s="48"/>
      <c r="Z887" s="47"/>
      <c r="AA887" s="69">
        <v>887</v>
      </c>
      <c r="AB887" s="69"/>
      <c r="AC887" s="70"/>
      <c r="AD887" s="76" t="s">
        <v>17508</v>
      </c>
      <c r="AE887" s="81" t="s">
        <v>17847</v>
      </c>
      <c r="AF887" s="76">
        <v>189776</v>
      </c>
      <c r="AG887" s="76">
        <v>1380</v>
      </c>
      <c r="AH887" s="76">
        <v>35359</v>
      </c>
      <c r="AI887" s="76">
        <v>404</v>
      </c>
      <c r="AJ887" s="76">
        <v>32921</v>
      </c>
      <c r="AK887" s="76">
        <v>4485</v>
      </c>
      <c r="AL887" s="76" t="b">
        <v>0</v>
      </c>
      <c r="AM887" s="78">
        <v>42179.006921296299</v>
      </c>
      <c r="AN887" s="76" t="s">
        <v>10570</v>
      </c>
      <c r="AO887" s="76" t="s">
        <v>18958</v>
      </c>
      <c r="AP887" s="83" t="str">
        <f>HYPERLINK("https://t.co/235RJASAkC")</f>
        <v>https://t.co/235RJASAkC</v>
      </c>
      <c r="AQ887" s="83" t="str">
        <f>HYPERLINK("https://www.instagram.com/lucaspedrosa94/")</f>
        <v>https://www.instagram.com/lucaspedrosa94/</v>
      </c>
      <c r="AR887" s="76" t="s">
        <v>19534</v>
      </c>
      <c r="AS887" s="83" t="str">
        <f>HYPERLINK("https://t.co/jUF3T9g5qU")</f>
        <v>https://t.co/jUF3T9g5qU</v>
      </c>
      <c r="AT887" s="83" t="str">
        <f>HYPERLINK("http://youtube.com/canaldopedrosa")</f>
        <v>http://youtube.com/canaldopedrosa</v>
      </c>
      <c r="AU887" s="76" t="s">
        <v>19630</v>
      </c>
      <c r="AV887" s="76">
        <v>1.7020124965533299E+18</v>
      </c>
      <c r="AW887" s="83" t="str">
        <f>HYPERLINK("https://t.co/235RJASAkC")</f>
        <v>https://t.co/235RJASAkC</v>
      </c>
      <c r="AX887" s="76" t="b">
        <v>1</v>
      </c>
      <c r="AY887" s="76"/>
      <c r="AZ887" s="76"/>
      <c r="BA887" s="76" t="b">
        <v>1</v>
      </c>
      <c r="BB887" s="76" t="b">
        <v>1</v>
      </c>
      <c r="BC887" s="76" t="b">
        <v>0</v>
      </c>
      <c r="BD887" s="76" t="b">
        <v>0</v>
      </c>
      <c r="BE887" s="76" t="b">
        <v>1</v>
      </c>
      <c r="BF887" s="76" t="b">
        <v>0</v>
      </c>
      <c r="BG887" s="76" t="b">
        <v>0</v>
      </c>
      <c r="BH887" s="83" t="str">
        <f>HYPERLINK("https://pbs.twimg.com/profile_banners/3343368929/1676232297")</f>
        <v>https://pbs.twimg.com/profile_banners/3343368929/1676232297</v>
      </c>
      <c r="BI887" s="76"/>
      <c r="BJ887" s="76" t="s">
        <v>19633</v>
      </c>
      <c r="BK887" s="76" t="b">
        <v>0</v>
      </c>
      <c r="BL887" s="76"/>
      <c r="BM887" s="76" t="s">
        <v>65</v>
      </c>
      <c r="BN887" s="76" t="s">
        <v>19635</v>
      </c>
      <c r="BO887" s="83" t="str">
        <f>HYPERLINK("https://twitter.com/pedrosa")</f>
        <v>https://twitter.com/pedrosa</v>
      </c>
      <c r="BP887" s="2"/>
    </row>
    <row r="888" spans="1:68" x14ac:dyDescent="0.25">
      <c r="A888" s="62" t="s">
        <v>1024</v>
      </c>
      <c r="B888" s="63"/>
      <c r="C888" s="63"/>
      <c r="D888" s="64"/>
      <c r="E888" s="66"/>
      <c r="F888" s="103" t="str">
        <f>HYPERLINK("https://pbs.twimg.com/profile_images/1406282412871630856/W89Wdi2l_normal.jpg")</f>
        <v>https://pbs.twimg.com/profile_images/1406282412871630856/W89Wdi2l_normal.jpg</v>
      </c>
      <c r="G888" s="63"/>
      <c r="H888" s="67"/>
      <c r="I888" s="68"/>
      <c r="J888" s="68"/>
      <c r="K888" s="67" t="s">
        <v>20520</v>
      </c>
      <c r="L888" s="71"/>
      <c r="M888" s="72"/>
      <c r="N888" s="72"/>
      <c r="O888" s="73"/>
      <c r="P888" s="74"/>
      <c r="Q888" s="74"/>
      <c r="R888" s="87"/>
      <c r="S888" s="87"/>
      <c r="T888" s="87"/>
      <c r="U888" s="87"/>
      <c r="V888" s="48"/>
      <c r="W888" s="48"/>
      <c r="X888" s="47">
        <v>1.101E-3</v>
      </c>
      <c r="Y888" s="48"/>
      <c r="Z888" s="47"/>
      <c r="AA888" s="69">
        <v>888</v>
      </c>
      <c r="AB888" s="69"/>
      <c r="AC888" s="70"/>
      <c r="AD888" s="76" t="s">
        <v>17509</v>
      </c>
      <c r="AE888" s="81" t="s">
        <v>17848</v>
      </c>
      <c r="AF888" s="76">
        <v>1322</v>
      </c>
      <c r="AG888" s="76">
        <v>243</v>
      </c>
      <c r="AH888" s="76">
        <v>76687</v>
      </c>
      <c r="AI888" s="76">
        <v>90</v>
      </c>
      <c r="AJ888" s="76">
        <v>2670</v>
      </c>
      <c r="AK888" s="76">
        <v>26689</v>
      </c>
      <c r="AL888" s="76" t="b">
        <v>0</v>
      </c>
      <c r="AM888" s="78">
        <v>39991.906307870369</v>
      </c>
      <c r="AN888" s="76" t="s">
        <v>18142</v>
      </c>
      <c r="AO888" s="76" t="s">
        <v>18959</v>
      </c>
      <c r="AP888" s="83" t="str">
        <f>HYPERLINK("https://t.co/UNT4T7kxly")</f>
        <v>https://t.co/UNT4T7kxly</v>
      </c>
      <c r="AQ888" s="83" t="str">
        <f>HYPERLINK("http://professorrafaelporcari.com")</f>
        <v>http://professorrafaelporcari.com</v>
      </c>
      <c r="AR888" s="76" t="s">
        <v>19535</v>
      </c>
      <c r="AS888" s="76"/>
      <c r="AT888" s="76"/>
      <c r="AU888" s="76"/>
      <c r="AV888" s="76">
        <v>1.69898900135155E+18</v>
      </c>
      <c r="AW888" s="83" t="str">
        <f>HYPERLINK("https://t.co/UNT4T7kxly")</f>
        <v>https://t.co/UNT4T7kxly</v>
      </c>
      <c r="AX888" s="76" t="b">
        <v>0</v>
      </c>
      <c r="AY888" s="76"/>
      <c r="AZ888" s="76"/>
      <c r="BA888" s="76" t="b">
        <v>1</v>
      </c>
      <c r="BB888" s="76" t="b">
        <v>1</v>
      </c>
      <c r="BC888" s="76" t="b">
        <v>0</v>
      </c>
      <c r="BD888" s="76" t="b">
        <v>0</v>
      </c>
      <c r="BE888" s="76" t="b">
        <v>1</v>
      </c>
      <c r="BF888" s="76" t="b">
        <v>0</v>
      </c>
      <c r="BG888" s="76" t="b">
        <v>0</v>
      </c>
      <c r="BH888" s="83" t="str">
        <f>HYPERLINK("https://pbs.twimg.com/profile_banners/51565827/1691784725")</f>
        <v>https://pbs.twimg.com/profile_banners/51565827/1691784725</v>
      </c>
      <c r="BI888" s="76"/>
      <c r="BJ888" s="76" t="s">
        <v>19633</v>
      </c>
      <c r="BK888" s="76" t="b">
        <v>0</v>
      </c>
      <c r="BL888" s="76"/>
      <c r="BM888" s="76" t="s">
        <v>66</v>
      </c>
      <c r="BN888" s="76" t="s">
        <v>19635</v>
      </c>
      <c r="BO888" s="83" t="str">
        <f>HYPERLINK("https://twitter.com/rafaelporcari")</f>
        <v>https://twitter.com/rafaelporcari</v>
      </c>
      <c r="BP888" s="2"/>
    </row>
    <row r="889" spans="1:68" x14ac:dyDescent="0.25">
      <c r="A889" s="62" t="s">
        <v>1025</v>
      </c>
      <c r="B889" s="63"/>
      <c r="C889" s="63"/>
      <c r="D889" s="64"/>
      <c r="E889" s="66"/>
      <c r="F889" s="103" t="str">
        <f>HYPERLINK("https://pbs.twimg.com/profile_images/1296586936589651968/3BeNTUsk_normal.jpg")</f>
        <v>https://pbs.twimg.com/profile_images/1296586936589651968/3BeNTUsk_normal.jpg</v>
      </c>
      <c r="G889" s="63"/>
      <c r="H889" s="67"/>
      <c r="I889" s="68"/>
      <c r="J889" s="68"/>
      <c r="K889" s="67" t="s">
        <v>20521</v>
      </c>
      <c r="L889" s="71"/>
      <c r="M889" s="72"/>
      <c r="N889" s="72"/>
      <c r="O889" s="73"/>
      <c r="P889" s="74"/>
      <c r="Q889" s="74"/>
      <c r="R889" s="87"/>
      <c r="S889" s="87"/>
      <c r="T889" s="87"/>
      <c r="U889" s="87"/>
      <c r="V889" s="48"/>
      <c r="W889" s="48"/>
      <c r="X889" s="47">
        <v>1.101E-3</v>
      </c>
      <c r="Y889" s="48"/>
      <c r="Z889" s="47"/>
      <c r="AA889" s="69">
        <v>889</v>
      </c>
      <c r="AB889" s="69"/>
      <c r="AC889" s="70"/>
      <c r="AD889" s="76" t="s">
        <v>17510</v>
      </c>
      <c r="AE889" s="81" t="s">
        <v>16584</v>
      </c>
      <c r="AF889" s="76">
        <v>8355</v>
      </c>
      <c r="AG889" s="76">
        <v>78</v>
      </c>
      <c r="AH889" s="76">
        <v>2258</v>
      </c>
      <c r="AI889" s="76">
        <v>17</v>
      </c>
      <c r="AJ889" s="76">
        <v>47</v>
      </c>
      <c r="AK889" s="76">
        <v>1510</v>
      </c>
      <c r="AL889" s="76" t="b">
        <v>0</v>
      </c>
      <c r="AM889" s="78">
        <v>44015.912754629629</v>
      </c>
      <c r="AN889" s="76" t="s">
        <v>10552</v>
      </c>
      <c r="AO889" s="76" t="s">
        <v>18960</v>
      </c>
      <c r="AP889" s="83" t="str">
        <f>HYPERLINK("https://t.co/WgiVQkv4bL")</f>
        <v>https://t.co/WgiVQkv4bL</v>
      </c>
      <c r="AQ889" s="83" t="str">
        <f>HYPERLINK("http://www.exame.com/bussola")</f>
        <v>http://www.exame.com/bussola</v>
      </c>
      <c r="AR889" s="76" t="s">
        <v>19536</v>
      </c>
      <c r="AS889" s="76"/>
      <c r="AT889" s="76"/>
      <c r="AU889" s="76"/>
      <c r="AV889" s="76"/>
      <c r="AW889" s="83" t="str">
        <f>HYPERLINK("https://t.co/WgiVQkv4bL")</f>
        <v>https://t.co/WgiVQkv4bL</v>
      </c>
      <c r="AX889" s="76" t="b">
        <v>0</v>
      </c>
      <c r="AY889" s="76"/>
      <c r="AZ889" s="76"/>
      <c r="BA889" s="76" t="b">
        <v>0</v>
      </c>
      <c r="BB889" s="76" t="b">
        <v>1</v>
      </c>
      <c r="BC889" s="76" t="b">
        <v>1</v>
      </c>
      <c r="BD889" s="76" t="b">
        <v>0</v>
      </c>
      <c r="BE889" s="76" t="b">
        <v>0</v>
      </c>
      <c r="BF889" s="76" t="b">
        <v>0</v>
      </c>
      <c r="BG889" s="76" t="b">
        <v>0</v>
      </c>
      <c r="BH889" s="83" t="str">
        <f>HYPERLINK("https://pbs.twimg.com/profile_banners/1279171529272631296/1597965509")</f>
        <v>https://pbs.twimg.com/profile_banners/1279171529272631296/1597965509</v>
      </c>
      <c r="BI889" s="76"/>
      <c r="BJ889" s="76" t="s">
        <v>19633</v>
      </c>
      <c r="BK889" s="76" t="b">
        <v>0</v>
      </c>
      <c r="BL889" s="76"/>
      <c r="BM889" s="76" t="s">
        <v>66</v>
      </c>
      <c r="BN889" s="76" t="s">
        <v>19635</v>
      </c>
      <c r="BO889" s="83" t="str">
        <f>HYPERLINK("https://twitter.com/canalbussola")</f>
        <v>https://twitter.com/canalbussola</v>
      </c>
      <c r="BP889" s="2"/>
    </row>
    <row r="890" spans="1:68" x14ac:dyDescent="0.25">
      <c r="A890" s="62" t="s">
        <v>1026</v>
      </c>
      <c r="B890" s="63"/>
      <c r="C890" s="63"/>
      <c r="D890" s="64"/>
      <c r="E890" s="66"/>
      <c r="F890" s="103" t="str">
        <f>HYPERLINK("https://pbs.twimg.com/profile_images/1577020692184301587/YW6XkdWF_normal.jpg")</f>
        <v>https://pbs.twimg.com/profile_images/1577020692184301587/YW6XkdWF_normal.jpg</v>
      </c>
      <c r="G890" s="63"/>
      <c r="H890" s="67"/>
      <c r="I890" s="68"/>
      <c r="J890" s="68"/>
      <c r="K890" s="67" t="s">
        <v>20522</v>
      </c>
      <c r="L890" s="71"/>
      <c r="M890" s="72"/>
      <c r="N890" s="72"/>
      <c r="O890" s="73"/>
      <c r="P890" s="74"/>
      <c r="Q890" s="74"/>
      <c r="R890" s="87"/>
      <c r="S890" s="87"/>
      <c r="T890" s="87"/>
      <c r="U890" s="87"/>
      <c r="V890" s="48"/>
      <c r="W890" s="48"/>
      <c r="X890" s="47">
        <v>1.101E-3</v>
      </c>
      <c r="Y890" s="48"/>
      <c r="Z890" s="47"/>
      <c r="AA890" s="69">
        <v>890</v>
      </c>
      <c r="AB890" s="69"/>
      <c r="AC890" s="70"/>
      <c r="AD890" s="76" t="s">
        <v>17511</v>
      </c>
      <c r="AE890" s="81" t="s">
        <v>16585</v>
      </c>
      <c r="AF890" s="76">
        <v>18</v>
      </c>
      <c r="AG890" s="76">
        <v>0</v>
      </c>
      <c r="AH890" s="76">
        <v>448</v>
      </c>
      <c r="AI890" s="76">
        <v>0</v>
      </c>
      <c r="AJ890" s="76">
        <v>6</v>
      </c>
      <c r="AK890" s="76">
        <v>444</v>
      </c>
      <c r="AL890" s="76" t="b">
        <v>0</v>
      </c>
      <c r="AM890" s="78">
        <v>44054.259259259263</v>
      </c>
      <c r="AN890" s="76"/>
      <c r="AO890" s="76" t="s">
        <v>18961</v>
      </c>
      <c r="AP890" s="83" t="str">
        <f>HYPERLINK("https://t.co/nzu6PhKPfx")</f>
        <v>https://t.co/nzu6PhKPfx</v>
      </c>
      <c r="AQ890" s="83" t="str">
        <f>HYPERLINK("https://linktr.ee/studiomadehits")</f>
        <v>https://linktr.ee/studiomadehits</v>
      </c>
      <c r="AR890" s="76" t="s">
        <v>19537</v>
      </c>
      <c r="AS890" s="76"/>
      <c r="AT890" s="76"/>
      <c r="AU890" s="76"/>
      <c r="AV890" s="76"/>
      <c r="AW890" s="83" t="str">
        <f>HYPERLINK("https://t.co/nzu6PhKPfx")</f>
        <v>https://t.co/nzu6PhKPfx</v>
      </c>
      <c r="AX890" s="76" t="b">
        <v>0</v>
      </c>
      <c r="AY890" s="76"/>
      <c r="AZ890" s="76"/>
      <c r="BA890" s="76" t="b">
        <v>0</v>
      </c>
      <c r="BB890" s="76" t="b">
        <v>1</v>
      </c>
      <c r="BC890" s="76" t="b">
        <v>1</v>
      </c>
      <c r="BD890" s="76" t="b">
        <v>0</v>
      </c>
      <c r="BE890" s="76" t="b">
        <v>0</v>
      </c>
      <c r="BF890" s="76" t="b">
        <v>0</v>
      </c>
      <c r="BG890" s="76" t="b">
        <v>0</v>
      </c>
      <c r="BH890" s="83" t="str">
        <f>HYPERLINK("https://pbs.twimg.com/profile_banners/1293067913453338625/1664826009")</f>
        <v>https://pbs.twimg.com/profile_banners/1293067913453338625/1664826009</v>
      </c>
      <c r="BI890" s="76"/>
      <c r="BJ890" s="76" t="s">
        <v>19633</v>
      </c>
      <c r="BK890" s="76" t="b">
        <v>0</v>
      </c>
      <c r="BL890" s="76"/>
      <c r="BM890" s="76" t="s">
        <v>66</v>
      </c>
      <c r="BN890" s="76" t="s">
        <v>19635</v>
      </c>
      <c r="BO890" s="83" t="str">
        <f>HYPERLINK("https://twitter.com/made_hits")</f>
        <v>https://twitter.com/made_hits</v>
      </c>
      <c r="BP890" s="2"/>
    </row>
    <row r="891" spans="1:68" x14ac:dyDescent="0.25">
      <c r="A891" s="62" t="s">
        <v>1028</v>
      </c>
      <c r="B891" s="63"/>
      <c r="C891" s="63"/>
      <c r="D891" s="64"/>
      <c r="E891" s="66"/>
      <c r="F891" s="103" t="str">
        <f>HYPERLINK("https://pbs.twimg.com/profile_images/1168112477458096128/DSsQ-F6a_normal.jpg")</f>
        <v>https://pbs.twimg.com/profile_images/1168112477458096128/DSsQ-F6a_normal.jpg</v>
      </c>
      <c r="G891" s="63"/>
      <c r="H891" s="67"/>
      <c r="I891" s="68"/>
      <c r="J891" s="68"/>
      <c r="K891" s="67" t="s">
        <v>20523</v>
      </c>
      <c r="L891" s="71"/>
      <c r="M891" s="72"/>
      <c r="N891" s="72"/>
      <c r="O891" s="73"/>
      <c r="P891" s="74"/>
      <c r="Q891" s="74"/>
      <c r="R891" s="87"/>
      <c r="S891" s="87"/>
      <c r="T891" s="87"/>
      <c r="U891" s="87"/>
      <c r="V891" s="48"/>
      <c r="W891" s="48"/>
      <c r="X891" s="47">
        <v>1.0009999999999999E-3</v>
      </c>
      <c r="Y891" s="48"/>
      <c r="Z891" s="47"/>
      <c r="AA891" s="69">
        <v>891</v>
      </c>
      <c r="AB891" s="69"/>
      <c r="AC891" s="70"/>
      <c r="AD891" s="76" t="s">
        <v>17512</v>
      </c>
      <c r="AE891" s="81" t="s">
        <v>17849</v>
      </c>
      <c r="AF891" s="76">
        <v>1106</v>
      </c>
      <c r="AG891" s="76">
        <v>5001</v>
      </c>
      <c r="AH891" s="76">
        <v>545311</v>
      </c>
      <c r="AI891" s="76">
        <v>783</v>
      </c>
      <c r="AJ891" s="76">
        <v>43349</v>
      </c>
      <c r="AK891" s="76">
        <v>1313</v>
      </c>
      <c r="AL891" s="76" t="b">
        <v>0</v>
      </c>
      <c r="AM891" s="78">
        <v>39896.540185185186</v>
      </c>
      <c r="AN891" s="76"/>
      <c r="AO891" s="76"/>
      <c r="AP891" s="76"/>
      <c r="AQ891" s="76"/>
      <c r="AR891" s="76"/>
      <c r="AS891" s="76"/>
      <c r="AT891" s="76"/>
      <c r="AU891" s="76"/>
      <c r="AV891" s="76"/>
      <c r="AW891" s="76"/>
      <c r="AX891" s="76" t="b">
        <v>0</v>
      </c>
      <c r="AY891" s="76"/>
      <c r="AZ891" s="76"/>
      <c r="BA891" s="76" t="b">
        <v>1</v>
      </c>
      <c r="BB891" s="76" t="b">
        <v>0</v>
      </c>
      <c r="BC891" s="76" t="b">
        <v>1</v>
      </c>
      <c r="BD891" s="76" t="b">
        <v>0</v>
      </c>
      <c r="BE891" s="76" t="b">
        <v>1</v>
      </c>
      <c r="BF891" s="76" t="b">
        <v>0</v>
      </c>
      <c r="BG891" s="76" t="b">
        <v>0</v>
      </c>
      <c r="BH891" s="83" t="str">
        <f>HYPERLINK("https://pbs.twimg.com/profile_banners/26230407/1567334694")</f>
        <v>https://pbs.twimg.com/profile_banners/26230407/1567334694</v>
      </c>
      <c r="BI891" s="76"/>
      <c r="BJ891" s="76" t="s">
        <v>19633</v>
      </c>
      <c r="BK891" s="76" t="b">
        <v>0</v>
      </c>
      <c r="BL891" s="76"/>
      <c r="BM891" s="76" t="s">
        <v>66</v>
      </c>
      <c r="BN891" s="76" t="s">
        <v>19635</v>
      </c>
      <c r="BO891" s="83" t="str">
        <f>HYPERLINK("https://twitter.com/edimosip")</f>
        <v>https://twitter.com/edimosip</v>
      </c>
      <c r="BP891" s="2"/>
    </row>
    <row r="892" spans="1:68" x14ac:dyDescent="0.25">
      <c r="A892" s="62" t="s">
        <v>1029</v>
      </c>
      <c r="B892" s="63"/>
      <c r="C892" s="63"/>
      <c r="D892" s="64"/>
      <c r="E892" s="66"/>
      <c r="F892" s="103" t="str">
        <f>HYPERLINK("https://pbs.twimg.com/profile_images/1653528554364182529/xnYKbywo_normal.jpg")</f>
        <v>https://pbs.twimg.com/profile_images/1653528554364182529/xnYKbywo_normal.jpg</v>
      </c>
      <c r="G892" s="63"/>
      <c r="H892" s="67"/>
      <c r="I892" s="68"/>
      <c r="J892" s="68"/>
      <c r="K892" s="67" t="s">
        <v>20524</v>
      </c>
      <c r="L892" s="71"/>
      <c r="M892" s="72"/>
      <c r="N892" s="72"/>
      <c r="O892" s="73"/>
      <c r="P892" s="74"/>
      <c r="Q892" s="74"/>
      <c r="R892" s="87"/>
      <c r="S892" s="87"/>
      <c r="T892" s="87"/>
      <c r="U892" s="87"/>
      <c r="V892" s="48"/>
      <c r="W892" s="48"/>
      <c r="X892" s="47">
        <v>1.101E-3</v>
      </c>
      <c r="Y892" s="48"/>
      <c r="Z892" s="47"/>
      <c r="AA892" s="69">
        <v>892</v>
      </c>
      <c r="AB892" s="69"/>
      <c r="AC892" s="70"/>
      <c r="AD892" s="76" t="s">
        <v>17513</v>
      </c>
      <c r="AE892" s="81" t="s">
        <v>15799</v>
      </c>
      <c r="AF892" s="76">
        <v>60</v>
      </c>
      <c r="AG892" s="76">
        <v>590</v>
      </c>
      <c r="AH892" s="76">
        <v>190</v>
      </c>
      <c r="AI892" s="76">
        <v>0</v>
      </c>
      <c r="AJ892" s="76">
        <v>1350</v>
      </c>
      <c r="AK892" s="76">
        <v>15</v>
      </c>
      <c r="AL892" s="76" t="b">
        <v>0</v>
      </c>
      <c r="AM892" s="78">
        <v>39938.918402777781</v>
      </c>
      <c r="AN892" s="76"/>
      <c r="AO892" s="76" t="s">
        <v>18962</v>
      </c>
      <c r="AP892" s="76"/>
      <c r="AQ892" s="76"/>
      <c r="AR892" s="76"/>
      <c r="AS892" s="76"/>
      <c r="AT892" s="76"/>
      <c r="AU892" s="76"/>
      <c r="AV892" s="76"/>
      <c r="AW892" s="76"/>
      <c r="AX892" s="76" t="b">
        <v>0</v>
      </c>
      <c r="AY892" s="76"/>
      <c r="AZ892" s="76"/>
      <c r="BA892" s="76" t="b">
        <v>0</v>
      </c>
      <c r="BB892" s="76" t="b">
        <v>1</v>
      </c>
      <c r="BC892" s="76" t="b">
        <v>1</v>
      </c>
      <c r="BD892" s="76" t="b">
        <v>0</v>
      </c>
      <c r="BE892" s="76" t="b">
        <v>0</v>
      </c>
      <c r="BF892" s="76" t="b">
        <v>0</v>
      </c>
      <c r="BG892" s="76" t="b">
        <v>0</v>
      </c>
      <c r="BH892" s="76"/>
      <c r="BI892" s="76"/>
      <c r="BJ892" s="76" t="s">
        <v>19633</v>
      </c>
      <c r="BK892" s="76" t="b">
        <v>0</v>
      </c>
      <c r="BL892" s="76"/>
      <c r="BM892" s="76" t="s">
        <v>66</v>
      </c>
      <c r="BN892" s="76" t="s">
        <v>19635</v>
      </c>
      <c r="BO892" s="83" t="str">
        <f>HYPERLINK("https://twitter.com/romulobuniziol")</f>
        <v>https://twitter.com/romulobuniziol</v>
      </c>
      <c r="BP892" s="2"/>
    </row>
    <row r="893" spans="1:68" x14ac:dyDescent="0.25">
      <c r="A893" s="62" t="s">
        <v>1030</v>
      </c>
      <c r="B893" s="63"/>
      <c r="C893" s="63"/>
      <c r="D893" s="64"/>
      <c r="E893" s="66"/>
      <c r="F893" s="103" t="str">
        <f>HYPERLINK("https://pbs.twimg.com/profile_images/1685666821100142592/dEyMXxs7_normal.jpg")</f>
        <v>https://pbs.twimg.com/profile_images/1685666821100142592/dEyMXxs7_normal.jpg</v>
      </c>
      <c r="G893" s="63"/>
      <c r="H893" s="67"/>
      <c r="I893" s="68"/>
      <c r="J893" s="68"/>
      <c r="K893" s="67" t="s">
        <v>20525</v>
      </c>
      <c r="L893" s="71"/>
      <c r="M893" s="72"/>
      <c r="N893" s="72"/>
      <c r="O893" s="73"/>
      <c r="P893" s="74"/>
      <c r="Q893" s="74"/>
      <c r="R893" s="87"/>
      <c r="S893" s="87"/>
      <c r="T893" s="87"/>
      <c r="U893" s="87"/>
      <c r="V893" s="48"/>
      <c r="W893" s="48"/>
      <c r="X893" s="47">
        <v>1.101E-3</v>
      </c>
      <c r="Y893" s="48"/>
      <c r="Z893" s="47"/>
      <c r="AA893" s="69">
        <v>893</v>
      </c>
      <c r="AB893" s="69"/>
      <c r="AC893" s="70"/>
      <c r="AD893" s="76" t="s">
        <v>17514</v>
      </c>
      <c r="AE893" s="81" t="s">
        <v>15800</v>
      </c>
      <c r="AF893" s="76">
        <v>1585</v>
      </c>
      <c r="AG893" s="76">
        <v>1209</v>
      </c>
      <c r="AH893" s="76">
        <v>59970</v>
      </c>
      <c r="AI893" s="76">
        <v>0</v>
      </c>
      <c r="AJ893" s="76">
        <v>60755</v>
      </c>
      <c r="AK893" s="76">
        <v>84</v>
      </c>
      <c r="AL893" s="76" t="b">
        <v>0</v>
      </c>
      <c r="AM893" s="78">
        <v>41572.740833333337</v>
      </c>
      <c r="AN893" s="76"/>
      <c r="AO893" s="76" t="s">
        <v>18963</v>
      </c>
      <c r="AP893" s="76"/>
      <c r="AQ893" s="76"/>
      <c r="AR893" s="76"/>
      <c r="AS893" s="76"/>
      <c r="AT893" s="76"/>
      <c r="AU893" s="76"/>
      <c r="AV893" s="76"/>
      <c r="AW893" s="76"/>
      <c r="AX893" s="76" t="b">
        <v>0</v>
      </c>
      <c r="AY893" s="76"/>
      <c r="AZ893" s="76"/>
      <c r="BA893" s="76" t="b">
        <v>1</v>
      </c>
      <c r="BB893" s="76" t="b">
        <v>0</v>
      </c>
      <c r="BC893" s="76" t="b">
        <v>0</v>
      </c>
      <c r="BD893" s="76" t="b">
        <v>0</v>
      </c>
      <c r="BE893" s="76" t="b">
        <v>0</v>
      </c>
      <c r="BF893" s="76" t="b">
        <v>0</v>
      </c>
      <c r="BG893" s="76" t="b">
        <v>0</v>
      </c>
      <c r="BH893" s="83" t="str">
        <f>HYPERLINK("https://pbs.twimg.com/profile_banners/2155359410/1673297123")</f>
        <v>https://pbs.twimg.com/profile_banners/2155359410/1673297123</v>
      </c>
      <c r="BI893" s="76"/>
      <c r="BJ893" s="76" t="s">
        <v>19633</v>
      </c>
      <c r="BK893" s="76" t="b">
        <v>0</v>
      </c>
      <c r="BL893" s="76"/>
      <c r="BM893" s="76" t="s">
        <v>66</v>
      </c>
      <c r="BN893" s="76" t="s">
        <v>19635</v>
      </c>
      <c r="BO893" s="83" t="str">
        <f>HYPERLINK("https://twitter.com/robsondionisio1")</f>
        <v>https://twitter.com/robsondionisio1</v>
      </c>
      <c r="BP893" s="2"/>
    </row>
    <row r="894" spans="1:68" x14ac:dyDescent="0.25">
      <c r="A894" s="62" t="s">
        <v>1031</v>
      </c>
      <c r="B894" s="63"/>
      <c r="C894" s="63"/>
      <c r="D894" s="64"/>
      <c r="E894" s="66"/>
      <c r="F894" s="103" t="str">
        <f>HYPERLINK("https://pbs.twimg.com/profile_images/1633006174793547777/o_bNlC4l_normal.jpg")</f>
        <v>https://pbs.twimg.com/profile_images/1633006174793547777/o_bNlC4l_normal.jpg</v>
      </c>
      <c r="G894" s="63"/>
      <c r="H894" s="67"/>
      <c r="I894" s="68"/>
      <c r="J894" s="68"/>
      <c r="K894" s="67" t="s">
        <v>20526</v>
      </c>
      <c r="L894" s="71"/>
      <c r="M894" s="72"/>
      <c r="N894" s="72"/>
      <c r="O894" s="73"/>
      <c r="P894" s="74"/>
      <c r="Q894" s="74"/>
      <c r="R894" s="87"/>
      <c r="S894" s="87"/>
      <c r="T894" s="87"/>
      <c r="U894" s="87"/>
      <c r="V894" s="48"/>
      <c r="W894" s="48"/>
      <c r="X894" s="47">
        <v>1.101E-3</v>
      </c>
      <c r="Y894" s="48"/>
      <c r="Z894" s="47"/>
      <c r="AA894" s="69">
        <v>894</v>
      </c>
      <c r="AB894" s="69"/>
      <c r="AC894" s="70"/>
      <c r="AD894" s="76" t="s">
        <v>17515</v>
      </c>
      <c r="AE894" s="81" t="s">
        <v>16586</v>
      </c>
      <c r="AF894" s="76">
        <v>9</v>
      </c>
      <c r="AG894" s="76">
        <v>9</v>
      </c>
      <c r="AH894" s="76">
        <v>86</v>
      </c>
      <c r="AI894" s="76">
        <v>0</v>
      </c>
      <c r="AJ894" s="76">
        <v>27</v>
      </c>
      <c r="AK894" s="76">
        <v>76</v>
      </c>
      <c r="AL894" s="76" t="b">
        <v>0</v>
      </c>
      <c r="AM894" s="78">
        <v>44301.603634259256</v>
      </c>
      <c r="AN894" s="76" t="s">
        <v>18143</v>
      </c>
      <c r="AO894" s="76" t="s">
        <v>18964</v>
      </c>
      <c r="AP894" s="83" t="str">
        <f>HYPERLINK("https://t.co/v5cAbZbzxA")</f>
        <v>https://t.co/v5cAbZbzxA</v>
      </c>
      <c r="AQ894" s="83" t="str">
        <f>HYPERLINK("https://www.thembaniafrica.com/")</f>
        <v>https://www.thembaniafrica.com/</v>
      </c>
      <c r="AR894" s="76" t="s">
        <v>19538</v>
      </c>
      <c r="AS894" s="76"/>
      <c r="AT894" s="76"/>
      <c r="AU894" s="76"/>
      <c r="AV894" s="76"/>
      <c r="AW894" s="83" t="str">
        <f>HYPERLINK("https://t.co/v5cAbZbzxA")</f>
        <v>https://t.co/v5cAbZbzxA</v>
      </c>
      <c r="AX894" s="76" t="b">
        <v>0</v>
      </c>
      <c r="AY894" s="76"/>
      <c r="AZ894" s="76"/>
      <c r="BA894" s="76" t="b">
        <v>0</v>
      </c>
      <c r="BB894" s="76" t="b">
        <v>1</v>
      </c>
      <c r="BC894" s="76" t="b">
        <v>1</v>
      </c>
      <c r="BD894" s="76" t="b">
        <v>0</v>
      </c>
      <c r="BE894" s="76" t="b">
        <v>0</v>
      </c>
      <c r="BF894" s="76" t="b">
        <v>0</v>
      </c>
      <c r="BG894" s="76" t="b">
        <v>0</v>
      </c>
      <c r="BH894" s="83" t="str">
        <f>HYPERLINK("https://pbs.twimg.com/profile_banners/1382702518820552720/1618653902")</f>
        <v>https://pbs.twimg.com/profile_banners/1382702518820552720/1618653902</v>
      </c>
      <c r="BI894" s="76"/>
      <c r="BJ894" s="76" t="s">
        <v>19633</v>
      </c>
      <c r="BK894" s="76" t="b">
        <v>0</v>
      </c>
      <c r="BL894" s="76"/>
      <c r="BM894" s="76" t="s">
        <v>66</v>
      </c>
      <c r="BN894" s="76" t="s">
        <v>19635</v>
      </c>
      <c r="BO894" s="83" t="str">
        <f>HYPERLINK("https://twitter.com/thembaniafrica")</f>
        <v>https://twitter.com/thembaniafrica</v>
      </c>
      <c r="BP894" s="2"/>
    </row>
    <row r="895" spans="1:68" x14ac:dyDescent="0.25">
      <c r="A895" s="62" t="s">
        <v>1032</v>
      </c>
      <c r="B895" s="63"/>
      <c r="C895" s="63"/>
      <c r="D895" s="64"/>
      <c r="E895" s="66"/>
      <c r="F895" s="103" t="str">
        <f>HYPERLINK("https://pbs.twimg.com/profile_images/1665669594776780809/oBKSQn5I_normal.jpg")</f>
        <v>https://pbs.twimg.com/profile_images/1665669594776780809/oBKSQn5I_normal.jpg</v>
      </c>
      <c r="G895" s="63"/>
      <c r="H895" s="67"/>
      <c r="I895" s="68"/>
      <c r="J895" s="68"/>
      <c r="K895" s="67" t="s">
        <v>20527</v>
      </c>
      <c r="L895" s="71"/>
      <c r="M895" s="72"/>
      <c r="N895" s="72"/>
      <c r="O895" s="73"/>
      <c r="P895" s="74"/>
      <c r="Q895" s="74"/>
      <c r="R895" s="87"/>
      <c r="S895" s="87"/>
      <c r="T895" s="87"/>
      <c r="U895" s="87"/>
      <c r="V895" s="48"/>
      <c r="W895" s="48"/>
      <c r="X895" s="47">
        <v>1.101E-3</v>
      </c>
      <c r="Y895" s="48"/>
      <c r="Z895" s="47"/>
      <c r="AA895" s="69">
        <v>895</v>
      </c>
      <c r="AB895" s="69"/>
      <c r="AC895" s="70"/>
      <c r="AD895" s="76" t="s">
        <v>17516</v>
      </c>
      <c r="AE895" s="81" t="s">
        <v>16587</v>
      </c>
      <c r="AF895" s="76">
        <v>10</v>
      </c>
      <c r="AG895" s="76">
        <v>16</v>
      </c>
      <c r="AH895" s="76">
        <v>52</v>
      </c>
      <c r="AI895" s="76">
        <v>0</v>
      </c>
      <c r="AJ895" s="76">
        <v>449</v>
      </c>
      <c r="AK895" s="76">
        <v>1</v>
      </c>
      <c r="AL895" s="76" t="b">
        <v>0</v>
      </c>
      <c r="AM895" s="78">
        <v>44529.591180555559</v>
      </c>
      <c r="AN895" s="76" t="s">
        <v>18144</v>
      </c>
      <c r="AO895" s="76" t="s">
        <v>18965</v>
      </c>
      <c r="AP895" s="83" t="str">
        <f>HYPERLINK("https://t.co/9bLuTyYIZm")</f>
        <v>https://t.co/9bLuTyYIZm</v>
      </c>
      <c r="AQ895" s="83" t="str">
        <f>HYPERLINK("https://www.instagram.com/andrenegociosbr/")</f>
        <v>https://www.instagram.com/andrenegociosbr/</v>
      </c>
      <c r="AR895" s="76" t="s">
        <v>19539</v>
      </c>
      <c r="AS895" s="76"/>
      <c r="AT895" s="76"/>
      <c r="AU895" s="76"/>
      <c r="AV895" s="76"/>
      <c r="AW895" s="83" t="str">
        <f>HYPERLINK("https://t.co/9bLuTyYIZm")</f>
        <v>https://t.co/9bLuTyYIZm</v>
      </c>
      <c r="AX895" s="76" t="b">
        <v>0</v>
      </c>
      <c r="AY895" s="76"/>
      <c r="AZ895" s="76"/>
      <c r="BA895" s="76" t="b">
        <v>0</v>
      </c>
      <c r="BB895" s="76" t="b">
        <v>1</v>
      </c>
      <c r="BC895" s="76" t="b">
        <v>1</v>
      </c>
      <c r="BD895" s="76" t="b">
        <v>0</v>
      </c>
      <c r="BE895" s="76" t="b">
        <v>0</v>
      </c>
      <c r="BF895" s="76" t="b">
        <v>0</v>
      </c>
      <c r="BG895" s="76" t="b">
        <v>0</v>
      </c>
      <c r="BH895" s="83" t="str">
        <f>HYPERLINK("https://pbs.twimg.com/profile_banners/1465322324043964418/1685961678")</f>
        <v>https://pbs.twimg.com/profile_banners/1465322324043964418/1685961678</v>
      </c>
      <c r="BI895" s="76"/>
      <c r="BJ895" s="76" t="s">
        <v>19633</v>
      </c>
      <c r="BK895" s="76" t="b">
        <v>0</v>
      </c>
      <c r="BL895" s="76"/>
      <c r="BM895" s="76" t="s">
        <v>66</v>
      </c>
      <c r="BN895" s="76" t="s">
        <v>19635</v>
      </c>
      <c r="BO895" s="83" t="str">
        <f>HYPERLINK("https://twitter.com/andrenegociosbr")</f>
        <v>https://twitter.com/andrenegociosbr</v>
      </c>
      <c r="BP895" s="2"/>
    </row>
    <row r="896" spans="1:68" x14ac:dyDescent="0.25">
      <c r="A896" s="62" t="s">
        <v>1033</v>
      </c>
      <c r="B896" s="63"/>
      <c r="C896" s="63"/>
      <c r="D896" s="64"/>
      <c r="E896" s="66"/>
      <c r="F896" s="103" t="str">
        <f>HYPERLINK("https://pbs.twimg.com/profile_images/1672444726740385793/HfqtNZ-e_normal.jpg")</f>
        <v>https://pbs.twimg.com/profile_images/1672444726740385793/HfqtNZ-e_normal.jpg</v>
      </c>
      <c r="G896" s="63"/>
      <c r="H896" s="67"/>
      <c r="I896" s="68"/>
      <c r="J896" s="68"/>
      <c r="K896" s="67" t="s">
        <v>20528</v>
      </c>
      <c r="L896" s="71"/>
      <c r="M896" s="72"/>
      <c r="N896" s="72"/>
      <c r="O896" s="73"/>
      <c r="P896" s="74"/>
      <c r="Q896" s="74"/>
      <c r="R896" s="87"/>
      <c r="S896" s="87"/>
      <c r="T896" s="87"/>
      <c r="U896" s="87"/>
      <c r="V896" s="48"/>
      <c r="W896" s="48"/>
      <c r="X896" s="47">
        <v>1.101E-3</v>
      </c>
      <c r="Y896" s="48"/>
      <c r="Z896" s="47"/>
      <c r="AA896" s="69">
        <v>896</v>
      </c>
      <c r="AB896" s="69"/>
      <c r="AC896" s="70"/>
      <c r="AD896" s="76" t="s">
        <v>17517</v>
      </c>
      <c r="AE896" s="81" t="s">
        <v>15801</v>
      </c>
      <c r="AF896" s="76">
        <v>13</v>
      </c>
      <c r="AG896" s="76">
        <v>349</v>
      </c>
      <c r="AH896" s="76">
        <v>198</v>
      </c>
      <c r="AI896" s="76">
        <v>2</v>
      </c>
      <c r="AJ896" s="76">
        <v>411</v>
      </c>
      <c r="AK896" s="76">
        <v>13</v>
      </c>
      <c r="AL896" s="76" t="b">
        <v>0</v>
      </c>
      <c r="AM896" s="78">
        <v>42194.892500000002</v>
      </c>
      <c r="AN896" s="76" t="s">
        <v>18145</v>
      </c>
      <c r="AO896" s="76" t="s">
        <v>18966</v>
      </c>
      <c r="AP896" s="76"/>
      <c r="AQ896" s="76"/>
      <c r="AR896" s="76"/>
      <c r="AS896" s="76"/>
      <c r="AT896" s="76"/>
      <c r="AU896" s="76"/>
      <c r="AV896" s="76"/>
      <c r="AW896" s="76"/>
      <c r="AX896" s="76" t="b">
        <v>0</v>
      </c>
      <c r="AY896" s="76"/>
      <c r="AZ896" s="76"/>
      <c r="BA896" s="76" t="b">
        <v>0</v>
      </c>
      <c r="BB896" s="76" t="b">
        <v>1</v>
      </c>
      <c r="BC896" s="76" t="b">
        <v>0</v>
      </c>
      <c r="BD896" s="76" t="b">
        <v>0</v>
      </c>
      <c r="BE896" s="76" t="b">
        <v>1</v>
      </c>
      <c r="BF896" s="76" t="b">
        <v>0</v>
      </c>
      <c r="BG896" s="76" t="b">
        <v>0</v>
      </c>
      <c r="BH896" s="83" t="str">
        <f>HYPERLINK("https://pbs.twimg.com/profile_banners/3273344460/1436487801")</f>
        <v>https://pbs.twimg.com/profile_banners/3273344460/1436487801</v>
      </c>
      <c r="BI896" s="76"/>
      <c r="BJ896" s="76" t="s">
        <v>19633</v>
      </c>
      <c r="BK896" s="76" t="b">
        <v>0</v>
      </c>
      <c r="BL896" s="76"/>
      <c r="BM896" s="76" t="s">
        <v>66</v>
      </c>
      <c r="BN896" s="76" t="s">
        <v>19635</v>
      </c>
      <c r="BO896" s="83" t="str">
        <f>HYPERLINK("https://twitter.com/allan_arthuur")</f>
        <v>https://twitter.com/allan_arthuur</v>
      </c>
      <c r="BP896" s="2"/>
    </row>
    <row r="897" spans="1:68" x14ac:dyDescent="0.25">
      <c r="A897" s="62" t="s">
        <v>1034</v>
      </c>
      <c r="B897" s="63"/>
      <c r="C897" s="63"/>
      <c r="D897" s="64"/>
      <c r="E897" s="66"/>
      <c r="F897" s="103" t="str">
        <f>HYPERLINK("https://pbs.twimg.com/profile_images/1490286973579415553/RVM9bOv-_normal.jpg")</f>
        <v>https://pbs.twimg.com/profile_images/1490286973579415553/RVM9bOv-_normal.jpg</v>
      </c>
      <c r="G897" s="63"/>
      <c r="H897" s="67"/>
      <c r="I897" s="68"/>
      <c r="J897" s="68"/>
      <c r="K897" s="67" t="s">
        <v>20529</v>
      </c>
      <c r="L897" s="71"/>
      <c r="M897" s="72"/>
      <c r="N897" s="72"/>
      <c r="O897" s="73"/>
      <c r="P897" s="74"/>
      <c r="Q897" s="74"/>
      <c r="R897" s="87"/>
      <c r="S897" s="87"/>
      <c r="T897" s="87"/>
      <c r="U897" s="87"/>
      <c r="V897" s="48"/>
      <c r="W897" s="48"/>
      <c r="X897" s="47">
        <v>1.101E-3</v>
      </c>
      <c r="Y897" s="48"/>
      <c r="Z897" s="47"/>
      <c r="AA897" s="69">
        <v>897</v>
      </c>
      <c r="AB897" s="69"/>
      <c r="AC897" s="70"/>
      <c r="AD897" s="76" t="s">
        <v>17518</v>
      </c>
      <c r="AE897" s="81" t="s">
        <v>16588</v>
      </c>
      <c r="AF897" s="76">
        <v>41</v>
      </c>
      <c r="AG897" s="76">
        <v>122</v>
      </c>
      <c r="AH897" s="76">
        <v>203</v>
      </c>
      <c r="AI897" s="76">
        <v>0</v>
      </c>
      <c r="AJ897" s="76">
        <v>949</v>
      </c>
      <c r="AK897" s="76">
        <v>24</v>
      </c>
      <c r="AL897" s="76" t="b">
        <v>0</v>
      </c>
      <c r="AM897" s="78">
        <v>44361.449259259258</v>
      </c>
      <c r="AN897" s="76" t="s">
        <v>18146</v>
      </c>
      <c r="AO897" s="76" t="s">
        <v>18967</v>
      </c>
      <c r="AP897" s="76"/>
      <c r="AQ897" s="76"/>
      <c r="AR897" s="76"/>
      <c r="AS897" s="76"/>
      <c r="AT897" s="76"/>
      <c r="AU897" s="76"/>
      <c r="AV897" s="76"/>
      <c r="AW897" s="76"/>
      <c r="AX897" s="76" t="b">
        <v>0</v>
      </c>
      <c r="AY897" s="76"/>
      <c r="AZ897" s="76"/>
      <c r="BA897" s="76" t="b">
        <v>0</v>
      </c>
      <c r="BB897" s="76" t="b">
        <v>1</v>
      </c>
      <c r="BC897" s="76" t="b">
        <v>1</v>
      </c>
      <c r="BD897" s="76" t="b">
        <v>0</v>
      </c>
      <c r="BE897" s="76" t="b">
        <v>1</v>
      </c>
      <c r="BF897" s="76" t="b">
        <v>0</v>
      </c>
      <c r="BG897" s="76" t="b">
        <v>0</v>
      </c>
      <c r="BH897" s="76"/>
      <c r="BI897" s="76"/>
      <c r="BJ897" s="76" t="s">
        <v>19633</v>
      </c>
      <c r="BK897" s="76" t="b">
        <v>0</v>
      </c>
      <c r="BL897" s="76"/>
      <c r="BM897" s="76" t="s">
        <v>66</v>
      </c>
      <c r="BN897" s="76" t="s">
        <v>19635</v>
      </c>
      <c r="BO897" s="83" t="str">
        <f>HYPERLINK("https://twitter.com/edgartolara")</f>
        <v>https://twitter.com/edgartolara</v>
      </c>
      <c r="BP897" s="2"/>
    </row>
    <row r="898" spans="1:68" x14ac:dyDescent="0.25">
      <c r="A898" s="62" t="s">
        <v>1035</v>
      </c>
      <c r="B898" s="63"/>
      <c r="C898" s="63"/>
      <c r="D898" s="64"/>
      <c r="E898" s="66"/>
      <c r="F898" s="103" t="str">
        <f>HYPERLINK("https://pbs.twimg.com/profile_images/3375677532/df9e9a6b8834838030e5d0ee0c583365_normal.jpeg")</f>
        <v>https://pbs.twimg.com/profile_images/3375677532/df9e9a6b8834838030e5d0ee0c583365_normal.jpeg</v>
      </c>
      <c r="G898" s="63"/>
      <c r="H898" s="67"/>
      <c r="I898" s="68"/>
      <c r="J898" s="68"/>
      <c r="K898" s="67" t="s">
        <v>20530</v>
      </c>
      <c r="L898" s="71"/>
      <c r="M898" s="72"/>
      <c r="N898" s="72"/>
      <c r="O898" s="73"/>
      <c r="P898" s="74"/>
      <c r="Q898" s="74"/>
      <c r="R898" s="87"/>
      <c r="S898" s="87"/>
      <c r="T898" s="87"/>
      <c r="U898" s="87"/>
      <c r="V898" s="48"/>
      <c r="W898" s="48"/>
      <c r="X898" s="47">
        <v>1.101E-3</v>
      </c>
      <c r="Y898" s="48"/>
      <c r="Z898" s="47"/>
      <c r="AA898" s="69">
        <v>898</v>
      </c>
      <c r="AB898" s="69"/>
      <c r="AC898" s="70"/>
      <c r="AD898" s="76" t="s">
        <v>17519</v>
      </c>
      <c r="AE898" s="81" t="s">
        <v>17850</v>
      </c>
      <c r="AF898" s="76">
        <v>51</v>
      </c>
      <c r="AG898" s="76">
        <v>10</v>
      </c>
      <c r="AH898" s="76">
        <v>225</v>
      </c>
      <c r="AI898" s="76">
        <v>2</v>
      </c>
      <c r="AJ898" s="76">
        <v>0</v>
      </c>
      <c r="AK898" s="76">
        <v>0</v>
      </c>
      <c r="AL898" s="76" t="b">
        <v>0</v>
      </c>
      <c r="AM898" s="78">
        <v>41346.750567129631</v>
      </c>
      <c r="AN898" s="76" t="s">
        <v>10554</v>
      </c>
      <c r="AO898" s="76" t="s">
        <v>18968</v>
      </c>
      <c r="AP898" s="83" t="str">
        <f>HYPERLINK("https://t.co/7rgPayw3t6")</f>
        <v>https://t.co/7rgPayw3t6</v>
      </c>
      <c r="AQ898" s="83" t="str">
        <f>HYPERLINK("https://aprenderapoupar.com")</f>
        <v>https://aprenderapoupar.com</v>
      </c>
      <c r="AR898" s="76" t="s">
        <v>19540</v>
      </c>
      <c r="AS898" s="76"/>
      <c r="AT898" s="76"/>
      <c r="AU898" s="76"/>
      <c r="AV898" s="76"/>
      <c r="AW898" s="83" t="str">
        <f>HYPERLINK("https://t.co/7rgPayw3t6")</f>
        <v>https://t.co/7rgPayw3t6</v>
      </c>
      <c r="AX898" s="76" t="b">
        <v>0</v>
      </c>
      <c r="AY898" s="76"/>
      <c r="AZ898" s="76"/>
      <c r="BA898" s="76" t="b">
        <v>0</v>
      </c>
      <c r="BB898" s="76" t="b">
        <v>1</v>
      </c>
      <c r="BC898" s="76" t="b">
        <v>1</v>
      </c>
      <c r="BD898" s="76" t="b">
        <v>0</v>
      </c>
      <c r="BE898" s="76" t="b">
        <v>0</v>
      </c>
      <c r="BF898" s="76" t="b">
        <v>0</v>
      </c>
      <c r="BG898" s="76" t="b">
        <v>0</v>
      </c>
      <c r="BH898" s="83" t="str">
        <f>HYPERLINK("https://pbs.twimg.com/profile_banners/1265069810/1684336275")</f>
        <v>https://pbs.twimg.com/profile_banners/1265069810/1684336275</v>
      </c>
      <c r="BI898" s="76"/>
      <c r="BJ898" s="76" t="s">
        <v>19633</v>
      </c>
      <c r="BK898" s="76" t="b">
        <v>0</v>
      </c>
      <c r="BL898" s="76"/>
      <c r="BM898" s="76" t="s">
        <v>66</v>
      </c>
      <c r="BN898" s="76" t="s">
        <v>19635</v>
      </c>
      <c r="BO898" s="83" t="str">
        <f>HYPERLINK("https://twitter.com/aprenderapoupar")</f>
        <v>https://twitter.com/aprenderapoupar</v>
      </c>
      <c r="BP898" s="2"/>
    </row>
    <row r="899" spans="1:68" x14ac:dyDescent="0.25">
      <c r="A899" s="62" t="s">
        <v>1036</v>
      </c>
      <c r="B899" s="63"/>
      <c r="C899" s="63"/>
      <c r="D899" s="64"/>
      <c r="E899" s="66"/>
      <c r="F899" s="103" t="str">
        <f>HYPERLINK("https://pbs.twimg.com/profile_images/1660480847227625472/-_hXBVZP_normal.jpg")</f>
        <v>https://pbs.twimg.com/profile_images/1660480847227625472/-_hXBVZP_normal.jpg</v>
      </c>
      <c r="G899" s="63"/>
      <c r="H899" s="67"/>
      <c r="I899" s="68"/>
      <c r="J899" s="68"/>
      <c r="K899" s="67" t="s">
        <v>20531</v>
      </c>
      <c r="L899" s="71"/>
      <c r="M899" s="72"/>
      <c r="N899" s="72"/>
      <c r="O899" s="73"/>
      <c r="P899" s="74"/>
      <c r="Q899" s="74"/>
      <c r="R899" s="87"/>
      <c r="S899" s="87"/>
      <c r="T899" s="87"/>
      <c r="U899" s="87"/>
      <c r="V899" s="48"/>
      <c r="W899" s="48"/>
      <c r="X899" s="47">
        <v>1.101E-3</v>
      </c>
      <c r="Y899" s="48"/>
      <c r="Z899" s="47"/>
      <c r="AA899" s="69">
        <v>899</v>
      </c>
      <c r="AB899" s="69"/>
      <c r="AC899" s="70"/>
      <c r="AD899" s="76" t="s">
        <v>17520</v>
      </c>
      <c r="AE899" s="81" t="s">
        <v>16589</v>
      </c>
      <c r="AF899" s="76">
        <v>3</v>
      </c>
      <c r="AG899" s="76">
        <v>21</v>
      </c>
      <c r="AH899" s="76">
        <v>72</v>
      </c>
      <c r="AI899" s="76">
        <v>0</v>
      </c>
      <c r="AJ899" s="76">
        <v>36</v>
      </c>
      <c r="AK899" s="76">
        <v>25</v>
      </c>
      <c r="AL899" s="76" t="b">
        <v>0</v>
      </c>
      <c r="AM899" s="78">
        <v>44885.907407407409</v>
      </c>
      <c r="AN899" s="76" t="s">
        <v>10552</v>
      </c>
      <c r="AO899" s="76" t="s">
        <v>18969</v>
      </c>
      <c r="AP899" s="83" t="str">
        <f>HYPERLINK("https://t.co/4k9BZnKcQi")</f>
        <v>https://t.co/4k9BZnKcQi</v>
      </c>
      <c r="AQ899" s="83" t="str">
        <f>HYPERLINK("http://gabinetedarma.com.br/")</f>
        <v>http://gabinetedarma.com.br/</v>
      </c>
      <c r="AR899" s="76" t="s">
        <v>19541</v>
      </c>
      <c r="AS899" s="76"/>
      <c r="AT899" s="76"/>
      <c r="AU899" s="76"/>
      <c r="AV899" s="76"/>
      <c r="AW899" s="83" t="str">
        <f>HYPERLINK("https://t.co/4k9BZnKcQi")</f>
        <v>https://t.co/4k9BZnKcQi</v>
      </c>
      <c r="AX899" s="76" t="b">
        <v>0</v>
      </c>
      <c r="AY899" s="76"/>
      <c r="AZ899" s="76"/>
      <c r="BA899" s="76" t="b">
        <v>0</v>
      </c>
      <c r="BB899" s="76" t="b">
        <v>1</v>
      </c>
      <c r="BC899" s="76" t="b">
        <v>1</v>
      </c>
      <c r="BD899" s="76" t="b">
        <v>0</v>
      </c>
      <c r="BE899" s="76" t="b">
        <v>1</v>
      </c>
      <c r="BF899" s="76" t="b">
        <v>0</v>
      </c>
      <c r="BG899" s="76" t="b">
        <v>0</v>
      </c>
      <c r="BH899" s="83" t="str">
        <f>HYPERLINK("https://pbs.twimg.com/profile_banners/1594447087973736448/1683846390")</f>
        <v>https://pbs.twimg.com/profile_banners/1594447087973736448/1683846390</v>
      </c>
      <c r="BI899" s="76"/>
      <c r="BJ899" s="76" t="s">
        <v>19633</v>
      </c>
      <c r="BK899" s="76" t="b">
        <v>0</v>
      </c>
      <c r="BL899" s="76"/>
      <c r="BM899" s="76" t="s">
        <v>66</v>
      </c>
      <c r="BN899" s="76" t="s">
        <v>19635</v>
      </c>
      <c r="BO899" s="83" t="str">
        <f>HYPERLINK("https://twitter.com/gabinetedarma")</f>
        <v>https://twitter.com/gabinetedarma</v>
      </c>
      <c r="BP899" s="2"/>
    </row>
    <row r="900" spans="1:68" x14ac:dyDescent="0.25">
      <c r="A900" s="62" t="s">
        <v>1037</v>
      </c>
      <c r="B900" s="63"/>
      <c r="C900" s="63"/>
      <c r="D900" s="64"/>
      <c r="E900" s="66"/>
      <c r="F900" s="103" t="str">
        <f>HYPERLINK("https://pbs.twimg.com/profile_images/1600098208943935488/pSjDxqCK_normal.jpg")</f>
        <v>https://pbs.twimg.com/profile_images/1600098208943935488/pSjDxqCK_normal.jpg</v>
      </c>
      <c r="G900" s="63"/>
      <c r="H900" s="67"/>
      <c r="I900" s="68"/>
      <c r="J900" s="68"/>
      <c r="K900" s="67" t="s">
        <v>20532</v>
      </c>
      <c r="L900" s="71"/>
      <c r="M900" s="72"/>
      <c r="N900" s="72"/>
      <c r="O900" s="73"/>
      <c r="P900" s="74"/>
      <c r="Q900" s="74"/>
      <c r="R900" s="87"/>
      <c r="S900" s="87"/>
      <c r="T900" s="87"/>
      <c r="U900" s="87"/>
      <c r="V900" s="48"/>
      <c r="W900" s="48"/>
      <c r="X900" s="47">
        <v>1.101E-3</v>
      </c>
      <c r="Y900" s="48"/>
      <c r="Z900" s="47"/>
      <c r="AA900" s="69">
        <v>900</v>
      </c>
      <c r="AB900" s="69"/>
      <c r="AC900" s="70"/>
      <c r="AD900" s="76" t="s">
        <v>17521</v>
      </c>
      <c r="AE900" s="81" t="s">
        <v>17851</v>
      </c>
      <c r="AF900" s="76">
        <v>55</v>
      </c>
      <c r="AG900" s="76">
        <v>63</v>
      </c>
      <c r="AH900" s="76">
        <v>86</v>
      </c>
      <c r="AI900" s="76">
        <v>2</v>
      </c>
      <c r="AJ900" s="76">
        <v>20</v>
      </c>
      <c r="AK900" s="76">
        <v>41</v>
      </c>
      <c r="AL900" s="76" t="b">
        <v>0</v>
      </c>
      <c r="AM900" s="78">
        <v>42138.626122685186</v>
      </c>
      <c r="AN900" s="76" t="s">
        <v>18147</v>
      </c>
      <c r="AO900" s="76" t="s">
        <v>18970</v>
      </c>
      <c r="AP900" s="83" t="str">
        <f>HYPERLINK("https://t.co/fNZoPzYeZd")</f>
        <v>https://t.co/fNZoPzYeZd</v>
      </c>
      <c r="AQ900" s="83" t="str">
        <f>HYPERLINK("https://www.casadeinvestimentos.pt/")</f>
        <v>https://www.casadeinvestimentos.pt/</v>
      </c>
      <c r="AR900" s="76" t="s">
        <v>19542</v>
      </c>
      <c r="AS900" s="76"/>
      <c r="AT900" s="76"/>
      <c r="AU900" s="76"/>
      <c r="AV900" s="76"/>
      <c r="AW900" s="83" t="str">
        <f>HYPERLINK("https://t.co/fNZoPzYeZd")</f>
        <v>https://t.co/fNZoPzYeZd</v>
      </c>
      <c r="AX900" s="76" t="b">
        <v>0</v>
      </c>
      <c r="AY900" s="76"/>
      <c r="AZ900" s="76"/>
      <c r="BA900" s="76" t="b">
        <v>0</v>
      </c>
      <c r="BB900" s="76" t="b">
        <v>1</v>
      </c>
      <c r="BC900" s="76" t="b">
        <v>1</v>
      </c>
      <c r="BD900" s="76" t="b">
        <v>0</v>
      </c>
      <c r="BE900" s="76" t="b">
        <v>0</v>
      </c>
      <c r="BF900" s="76" t="b">
        <v>0</v>
      </c>
      <c r="BG900" s="76" t="b">
        <v>1</v>
      </c>
      <c r="BH900" s="83" t="str">
        <f>HYPERLINK("https://pbs.twimg.com/profile_banners/3253986423/1644857879")</f>
        <v>https://pbs.twimg.com/profile_banners/3253986423/1644857879</v>
      </c>
      <c r="BI900" s="76"/>
      <c r="BJ900" s="76" t="s">
        <v>19633</v>
      </c>
      <c r="BK900" s="76" t="b">
        <v>0</v>
      </c>
      <c r="BL900" s="76"/>
      <c r="BM900" s="76" t="s">
        <v>66</v>
      </c>
      <c r="BN900" s="76" t="s">
        <v>19635</v>
      </c>
      <c r="BO900" s="83" t="str">
        <f>HYPERLINK("https://twitter.com/casadeinvest")</f>
        <v>https://twitter.com/casadeinvest</v>
      </c>
      <c r="BP900" s="2"/>
    </row>
    <row r="901" spans="1:68" x14ac:dyDescent="0.25">
      <c r="A901" s="62" t="s">
        <v>1038</v>
      </c>
      <c r="B901" s="63"/>
      <c r="C901" s="63"/>
      <c r="D901" s="64"/>
      <c r="E901" s="66"/>
      <c r="F901" s="103" t="str">
        <f>HYPERLINK("https://pbs.twimg.com/profile_images/1520839344982040577/ejh6peaa_normal.png")</f>
        <v>https://pbs.twimg.com/profile_images/1520839344982040577/ejh6peaa_normal.png</v>
      </c>
      <c r="G901" s="63"/>
      <c r="H901" s="67"/>
      <c r="I901" s="68"/>
      <c r="J901" s="68"/>
      <c r="K901" s="67" t="s">
        <v>20533</v>
      </c>
      <c r="L901" s="71"/>
      <c r="M901" s="72"/>
      <c r="N901" s="72"/>
      <c r="O901" s="73"/>
      <c r="P901" s="74"/>
      <c r="Q901" s="74"/>
      <c r="R901" s="87"/>
      <c r="S901" s="87"/>
      <c r="T901" s="87"/>
      <c r="U901" s="87"/>
      <c r="V901" s="48"/>
      <c r="W901" s="48"/>
      <c r="X901" s="47">
        <v>1.101E-3</v>
      </c>
      <c r="Y901" s="48"/>
      <c r="Z901" s="47"/>
      <c r="AA901" s="69">
        <v>901</v>
      </c>
      <c r="AB901" s="69"/>
      <c r="AC901" s="70"/>
      <c r="AD901" s="76" t="s">
        <v>17522</v>
      </c>
      <c r="AE901" s="81" t="s">
        <v>16590</v>
      </c>
      <c r="AF901" s="76">
        <v>75</v>
      </c>
      <c r="AG901" s="76">
        <v>666</v>
      </c>
      <c r="AH901" s="76">
        <v>1560</v>
      </c>
      <c r="AI901" s="76">
        <v>0</v>
      </c>
      <c r="AJ901" s="76">
        <v>2</v>
      </c>
      <c r="AK901" s="76">
        <v>755</v>
      </c>
      <c r="AL901" s="76" t="b">
        <v>0</v>
      </c>
      <c r="AM901" s="78">
        <v>43425.093148148146</v>
      </c>
      <c r="AN901" s="76"/>
      <c r="AO901" s="76" t="s">
        <v>18971</v>
      </c>
      <c r="AP901" s="83" t="str">
        <f>HYPERLINK("https://t.co/v3g4MWJXyg")</f>
        <v>https://t.co/v3g4MWJXyg</v>
      </c>
      <c r="AQ901" s="83" t="str">
        <f>HYPERLINK("https://linktr.ee/claudio_toledo")</f>
        <v>https://linktr.ee/claudio_toledo</v>
      </c>
      <c r="AR901" s="76" t="s">
        <v>19543</v>
      </c>
      <c r="AS901" s="76"/>
      <c r="AT901" s="76"/>
      <c r="AU901" s="76"/>
      <c r="AV901" s="76"/>
      <c r="AW901" s="83" t="str">
        <f>HYPERLINK("https://t.co/v3g4MWJXyg")</f>
        <v>https://t.co/v3g4MWJXyg</v>
      </c>
      <c r="AX901" s="76" t="b">
        <v>0</v>
      </c>
      <c r="AY901" s="76"/>
      <c r="AZ901" s="76"/>
      <c r="BA901" s="76" t="b">
        <v>0</v>
      </c>
      <c r="BB901" s="76" t="b">
        <v>1</v>
      </c>
      <c r="BC901" s="76" t="b">
        <v>1</v>
      </c>
      <c r="BD901" s="76" t="b">
        <v>0</v>
      </c>
      <c r="BE901" s="76" t="b">
        <v>0</v>
      </c>
      <c r="BF901" s="76" t="b">
        <v>0</v>
      </c>
      <c r="BG901" s="76" t="b">
        <v>0</v>
      </c>
      <c r="BH901" s="83" t="str">
        <f>HYPERLINK("https://pbs.twimg.com/profile_banners/1065065793967325184/1571490601")</f>
        <v>https://pbs.twimg.com/profile_banners/1065065793967325184/1571490601</v>
      </c>
      <c r="BI901" s="76"/>
      <c r="BJ901" s="76" t="s">
        <v>19633</v>
      </c>
      <c r="BK901" s="76" t="b">
        <v>0</v>
      </c>
      <c r="BL901" s="76"/>
      <c r="BM901" s="76" t="s">
        <v>66</v>
      </c>
      <c r="BN901" s="76" t="s">
        <v>19635</v>
      </c>
      <c r="BO901" s="83" t="str">
        <f>HYPERLINK("https://twitter.com/egsinvestiment2")</f>
        <v>https://twitter.com/egsinvestiment2</v>
      </c>
      <c r="BP901" s="2"/>
    </row>
    <row r="902" spans="1:68" x14ac:dyDescent="0.25">
      <c r="A902" s="62" t="s">
        <v>1039</v>
      </c>
      <c r="B902" s="63"/>
      <c r="C902" s="63"/>
      <c r="D902" s="64"/>
      <c r="E902" s="66"/>
      <c r="F902" s="103" t="str">
        <f>HYPERLINK("https://pbs.twimg.com/profile_images/1557504655822929922/6S_5Ovvj_normal.jpg")</f>
        <v>https://pbs.twimg.com/profile_images/1557504655822929922/6S_5Ovvj_normal.jpg</v>
      </c>
      <c r="G902" s="63"/>
      <c r="H902" s="67"/>
      <c r="I902" s="68"/>
      <c r="J902" s="68"/>
      <c r="K902" s="67" t="s">
        <v>20534</v>
      </c>
      <c r="L902" s="71"/>
      <c r="M902" s="72"/>
      <c r="N902" s="72"/>
      <c r="O902" s="73"/>
      <c r="P902" s="74"/>
      <c r="Q902" s="74"/>
      <c r="R902" s="87"/>
      <c r="S902" s="87"/>
      <c r="T902" s="87"/>
      <c r="U902" s="87"/>
      <c r="V902" s="48"/>
      <c r="W902" s="48"/>
      <c r="X902" s="47">
        <v>9.6500000000000004E-4</v>
      </c>
      <c r="Y902" s="48"/>
      <c r="Z902" s="47"/>
      <c r="AA902" s="69">
        <v>902</v>
      </c>
      <c r="AB902" s="69"/>
      <c r="AC902" s="70"/>
      <c r="AD902" s="76" t="s">
        <v>17523</v>
      </c>
      <c r="AE902" s="81" t="s">
        <v>17852</v>
      </c>
      <c r="AF902" s="76">
        <v>20</v>
      </c>
      <c r="AG902" s="76">
        <v>41</v>
      </c>
      <c r="AH902" s="76">
        <v>3087</v>
      </c>
      <c r="AI902" s="76">
        <v>0</v>
      </c>
      <c r="AJ902" s="76">
        <v>1</v>
      </c>
      <c r="AK902" s="76">
        <v>3049</v>
      </c>
      <c r="AL902" s="76" t="b">
        <v>0</v>
      </c>
      <c r="AM902" s="78">
        <v>39955.686249999999</v>
      </c>
      <c r="AN902" s="76" t="s">
        <v>17959</v>
      </c>
      <c r="AO902" s="76" t="s">
        <v>18972</v>
      </c>
      <c r="AP902" s="83" t="str">
        <f>HYPERLINK("https://t.co/DsT4O8RjsI")</f>
        <v>https://t.co/DsT4O8RjsI</v>
      </c>
      <c r="AQ902" s="83" t="str">
        <f>HYPERLINK("https://www.youtube.com/channel/UCAu1jTOKpjOi0alVtL2CECg")</f>
        <v>https://www.youtube.com/channel/UCAu1jTOKpjOi0alVtL2CECg</v>
      </c>
      <c r="AR902" s="76" t="s">
        <v>19544</v>
      </c>
      <c r="AS902" s="76"/>
      <c r="AT902" s="76"/>
      <c r="AU902" s="76"/>
      <c r="AV902" s="76"/>
      <c r="AW902" s="83" t="str">
        <f>HYPERLINK("https://t.co/DsT4O8RjsI")</f>
        <v>https://t.co/DsT4O8RjsI</v>
      </c>
      <c r="AX902" s="76" t="b">
        <v>0</v>
      </c>
      <c r="AY902" s="76"/>
      <c r="AZ902" s="76"/>
      <c r="BA902" s="76" t="b">
        <v>0</v>
      </c>
      <c r="BB902" s="76" t="b">
        <v>1</v>
      </c>
      <c r="BC902" s="76" t="b">
        <v>0</v>
      </c>
      <c r="BD902" s="76" t="b">
        <v>0</v>
      </c>
      <c r="BE902" s="76" t="b">
        <v>0</v>
      </c>
      <c r="BF902" s="76" t="b">
        <v>0</v>
      </c>
      <c r="BG902" s="76" t="b">
        <v>0</v>
      </c>
      <c r="BH902" s="83" t="str">
        <f>HYPERLINK("https://pbs.twimg.com/profile_banners/41846500/1660173023")</f>
        <v>https://pbs.twimg.com/profile_banners/41846500/1660173023</v>
      </c>
      <c r="BI902" s="76"/>
      <c r="BJ902" s="76" t="s">
        <v>19633</v>
      </c>
      <c r="BK902" s="76" t="b">
        <v>0</v>
      </c>
      <c r="BL902" s="76"/>
      <c r="BM902" s="76" t="s">
        <v>66</v>
      </c>
      <c r="BN902" s="76" t="s">
        <v>19635</v>
      </c>
      <c r="BO902" s="83" t="str">
        <f>HYPERLINK("https://twitter.com/alyson_davalle")</f>
        <v>https://twitter.com/alyson_davalle</v>
      </c>
      <c r="BP902" s="2"/>
    </row>
    <row r="903" spans="1:68" x14ac:dyDescent="0.25">
      <c r="A903" s="62" t="s">
        <v>1040</v>
      </c>
      <c r="B903" s="63"/>
      <c r="C903" s="63"/>
      <c r="D903" s="64"/>
      <c r="E903" s="66"/>
      <c r="F903" s="103" t="str">
        <f>HYPERLINK("https://pbs.twimg.com/profile_images/1691815575909986304/qGtxTEf6_normal.jpg")</f>
        <v>https://pbs.twimg.com/profile_images/1691815575909986304/qGtxTEf6_normal.jpg</v>
      </c>
      <c r="G903" s="63"/>
      <c r="H903" s="67"/>
      <c r="I903" s="68"/>
      <c r="J903" s="68"/>
      <c r="K903" s="67" t="s">
        <v>20535</v>
      </c>
      <c r="L903" s="71"/>
      <c r="M903" s="72"/>
      <c r="N903" s="72"/>
      <c r="O903" s="73"/>
      <c r="P903" s="74"/>
      <c r="Q903" s="74"/>
      <c r="R903" s="87"/>
      <c r="S903" s="87"/>
      <c r="T903" s="87"/>
      <c r="U903" s="87"/>
      <c r="V903" s="48"/>
      <c r="W903" s="48"/>
      <c r="X903" s="47">
        <v>1.101E-3</v>
      </c>
      <c r="Y903" s="48"/>
      <c r="Z903" s="47"/>
      <c r="AA903" s="69">
        <v>903</v>
      </c>
      <c r="AB903" s="69"/>
      <c r="AC903" s="70"/>
      <c r="AD903" s="76" t="s">
        <v>17524</v>
      </c>
      <c r="AE903" s="81" t="s">
        <v>17853</v>
      </c>
      <c r="AF903" s="76">
        <v>191</v>
      </c>
      <c r="AG903" s="76">
        <v>0</v>
      </c>
      <c r="AH903" s="76">
        <v>813</v>
      </c>
      <c r="AI903" s="76">
        <v>3</v>
      </c>
      <c r="AJ903" s="76">
        <v>3</v>
      </c>
      <c r="AK903" s="76">
        <v>472</v>
      </c>
      <c r="AL903" s="76" t="b">
        <v>0</v>
      </c>
      <c r="AM903" s="78">
        <v>40633.516736111109</v>
      </c>
      <c r="AN903" s="76" t="s">
        <v>18148</v>
      </c>
      <c r="AO903" s="76" t="s">
        <v>18973</v>
      </c>
      <c r="AP903" s="83" t="str">
        <f>HYPERLINK("https://t.co/GefmmfvNfC")</f>
        <v>https://t.co/GefmmfvNfC</v>
      </c>
      <c r="AQ903" s="83" t="str">
        <f>HYPERLINK("https://www.contasonline.com.br")</f>
        <v>https://www.contasonline.com.br</v>
      </c>
      <c r="AR903" s="76" t="s">
        <v>19545</v>
      </c>
      <c r="AS903" s="76"/>
      <c r="AT903" s="76"/>
      <c r="AU903" s="76"/>
      <c r="AV903" s="76"/>
      <c r="AW903" s="83" t="str">
        <f>HYPERLINK("https://t.co/GefmmfvNfC")</f>
        <v>https://t.co/GefmmfvNfC</v>
      </c>
      <c r="AX903" s="76" t="b">
        <v>0</v>
      </c>
      <c r="AY903" s="76"/>
      <c r="AZ903" s="76"/>
      <c r="BA903" s="76" t="b">
        <v>0</v>
      </c>
      <c r="BB903" s="76" t="b">
        <v>0</v>
      </c>
      <c r="BC903" s="76" t="b">
        <v>0</v>
      </c>
      <c r="BD903" s="76" t="b">
        <v>0</v>
      </c>
      <c r="BE903" s="76" t="b">
        <v>0</v>
      </c>
      <c r="BF903" s="76" t="b">
        <v>0</v>
      </c>
      <c r="BG903" s="76" t="b">
        <v>0</v>
      </c>
      <c r="BH903" s="83" t="str">
        <f>HYPERLINK("https://pbs.twimg.com/profile_banners/274989938/1692195242")</f>
        <v>https://pbs.twimg.com/profile_banners/274989938/1692195242</v>
      </c>
      <c r="BI903" s="76"/>
      <c r="BJ903" s="76" t="s">
        <v>19633</v>
      </c>
      <c r="BK903" s="76" t="b">
        <v>0</v>
      </c>
      <c r="BL903" s="76"/>
      <c r="BM903" s="76" t="s">
        <v>66</v>
      </c>
      <c r="BN903" s="76" t="s">
        <v>19635</v>
      </c>
      <c r="BO903" s="83" t="str">
        <f>HYPERLINK("https://twitter.com/contas_online")</f>
        <v>https://twitter.com/contas_online</v>
      </c>
      <c r="BP903" s="2"/>
    </row>
    <row r="904" spans="1:68" x14ac:dyDescent="0.25">
      <c r="A904" s="62" t="s">
        <v>1041</v>
      </c>
      <c r="B904" s="63"/>
      <c r="C904" s="63"/>
      <c r="D904" s="64"/>
      <c r="E904" s="66"/>
      <c r="F904" s="103" t="str">
        <f>HYPERLINK("https://pbs.twimg.com/profile_images/1401963651033088001/f1EYAy93_normal.jpg")</f>
        <v>https://pbs.twimg.com/profile_images/1401963651033088001/f1EYAy93_normal.jpg</v>
      </c>
      <c r="G904" s="63"/>
      <c r="H904" s="67"/>
      <c r="I904" s="68"/>
      <c r="J904" s="68"/>
      <c r="K904" s="67" t="s">
        <v>20536</v>
      </c>
      <c r="L904" s="71"/>
      <c r="M904" s="72"/>
      <c r="N904" s="72"/>
      <c r="O904" s="73"/>
      <c r="P904" s="74"/>
      <c r="Q904" s="74"/>
      <c r="R904" s="87"/>
      <c r="S904" s="87"/>
      <c r="T904" s="87"/>
      <c r="U904" s="87"/>
      <c r="V904" s="48"/>
      <c r="W904" s="48"/>
      <c r="X904" s="47">
        <v>1.101E-3</v>
      </c>
      <c r="Y904" s="48"/>
      <c r="Z904" s="47"/>
      <c r="AA904" s="69">
        <v>904</v>
      </c>
      <c r="AB904" s="69"/>
      <c r="AC904" s="70"/>
      <c r="AD904" s="76" t="s">
        <v>17525</v>
      </c>
      <c r="AE904" s="81" t="s">
        <v>17854</v>
      </c>
      <c r="AF904" s="76">
        <v>283</v>
      </c>
      <c r="AG904" s="76">
        <v>22</v>
      </c>
      <c r="AH904" s="76">
        <v>251</v>
      </c>
      <c r="AI904" s="76">
        <v>0</v>
      </c>
      <c r="AJ904" s="76">
        <v>0</v>
      </c>
      <c r="AK904" s="76">
        <v>215</v>
      </c>
      <c r="AL904" s="76" t="b">
        <v>0</v>
      </c>
      <c r="AM904" s="78">
        <v>40442.795324074075</v>
      </c>
      <c r="AN904" s="76" t="s">
        <v>18032</v>
      </c>
      <c r="AO904" s="76" t="s">
        <v>18974</v>
      </c>
      <c r="AP904" s="83" t="str">
        <f>HYPERLINK("http://t.co/9b8VwkSU36")</f>
        <v>http://t.co/9b8VwkSU36</v>
      </c>
      <c r="AQ904" s="83" t="str">
        <f>HYPERLINK("http://www.reidopendrive.com.br")</f>
        <v>http://www.reidopendrive.com.br</v>
      </c>
      <c r="AR904" s="76" t="s">
        <v>19546</v>
      </c>
      <c r="AS904" s="76"/>
      <c r="AT904" s="76"/>
      <c r="AU904" s="76"/>
      <c r="AV904" s="76"/>
      <c r="AW904" s="83" t="str">
        <f>HYPERLINK("http://t.co/9b8VwkSU36")</f>
        <v>http://t.co/9b8VwkSU36</v>
      </c>
      <c r="AX904" s="76" t="b">
        <v>0</v>
      </c>
      <c r="AY904" s="76"/>
      <c r="AZ904" s="76"/>
      <c r="BA904" s="76" t="b">
        <v>0</v>
      </c>
      <c r="BB904" s="76" t="b">
        <v>1</v>
      </c>
      <c r="BC904" s="76" t="b">
        <v>0</v>
      </c>
      <c r="BD904" s="76" t="b">
        <v>0</v>
      </c>
      <c r="BE904" s="76" t="b">
        <v>0</v>
      </c>
      <c r="BF904" s="76" t="b">
        <v>0</v>
      </c>
      <c r="BG904" s="76" t="b">
        <v>0</v>
      </c>
      <c r="BH904" s="83" t="str">
        <f>HYPERLINK("https://pbs.twimg.com/profile_banners/193409557/1623089157")</f>
        <v>https://pbs.twimg.com/profile_banners/193409557/1623089157</v>
      </c>
      <c r="BI904" s="76"/>
      <c r="BJ904" s="76" t="s">
        <v>19633</v>
      </c>
      <c r="BK904" s="76" t="b">
        <v>0</v>
      </c>
      <c r="BL904" s="76"/>
      <c r="BM904" s="76" t="s">
        <v>66</v>
      </c>
      <c r="BN904" s="76" t="s">
        <v>19635</v>
      </c>
      <c r="BO904" s="83" t="str">
        <f>HYPERLINK("https://twitter.com/reidopendrive")</f>
        <v>https://twitter.com/reidopendrive</v>
      </c>
      <c r="BP904" s="2"/>
    </row>
    <row r="905" spans="1:68" x14ac:dyDescent="0.25">
      <c r="A905" s="62" t="s">
        <v>1043</v>
      </c>
      <c r="B905" s="63"/>
      <c r="C905" s="63"/>
      <c r="D905" s="64"/>
      <c r="E905" s="66"/>
      <c r="F905" s="103" t="str">
        <f>HYPERLINK("https://pbs.twimg.com/profile_images/1645400577034137601/VlDBb_3O_normal.jpg")</f>
        <v>https://pbs.twimg.com/profile_images/1645400577034137601/VlDBb_3O_normal.jpg</v>
      </c>
      <c r="G905" s="63"/>
      <c r="H905" s="67"/>
      <c r="I905" s="68"/>
      <c r="J905" s="68"/>
      <c r="K905" s="67" t="s">
        <v>20537</v>
      </c>
      <c r="L905" s="71"/>
      <c r="M905" s="72"/>
      <c r="N905" s="72"/>
      <c r="O905" s="73"/>
      <c r="P905" s="74"/>
      <c r="Q905" s="74"/>
      <c r="R905" s="87"/>
      <c r="S905" s="87"/>
      <c r="T905" s="87"/>
      <c r="U905" s="87"/>
      <c r="V905" s="48"/>
      <c r="W905" s="48"/>
      <c r="X905" s="47">
        <v>1.101E-3</v>
      </c>
      <c r="Y905" s="48"/>
      <c r="Z905" s="47"/>
      <c r="AA905" s="69">
        <v>905</v>
      </c>
      <c r="AB905" s="69"/>
      <c r="AC905" s="70"/>
      <c r="AD905" s="76" t="s">
        <v>17526</v>
      </c>
      <c r="AE905" s="81" t="s">
        <v>16591</v>
      </c>
      <c r="AF905" s="76">
        <v>1</v>
      </c>
      <c r="AG905" s="76">
        <v>11</v>
      </c>
      <c r="AH905" s="76">
        <v>1</v>
      </c>
      <c r="AI905" s="76">
        <v>0</v>
      </c>
      <c r="AJ905" s="76">
        <v>14</v>
      </c>
      <c r="AK905" s="76">
        <v>1</v>
      </c>
      <c r="AL905" s="76" t="b">
        <v>0</v>
      </c>
      <c r="AM905" s="78">
        <v>44910.148159722223</v>
      </c>
      <c r="AN905" s="76" t="s">
        <v>18149</v>
      </c>
      <c r="AO905" s="76" t="s">
        <v>18975</v>
      </c>
      <c r="AP905" s="76"/>
      <c r="AQ905" s="76"/>
      <c r="AR905" s="76"/>
      <c r="AS905" s="76"/>
      <c r="AT905" s="76"/>
      <c r="AU905" s="76"/>
      <c r="AV905" s="76"/>
      <c r="AW905" s="76"/>
      <c r="AX905" s="76" t="b">
        <v>0</v>
      </c>
      <c r="AY905" s="76"/>
      <c r="AZ905" s="76"/>
      <c r="BA905" s="76" t="b">
        <v>0</v>
      </c>
      <c r="BB905" s="76" t="b">
        <v>1</v>
      </c>
      <c r="BC905" s="76" t="b">
        <v>1</v>
      </c>
      <c r="BD905" s="76" t="b">
        <v>0</v>
      </c>
      <c r="BE905" s="76" t="b">
        <v>0</v>
      </c>
      <c r="BF905" s="76" t="b">
        <v>0</v>
      </c>
      <c r="BG905" s="76" t="b">
        <v>0</v>
      </c>
      <c r="BH905" s="83" t="str">
        <f>HYPERLINK("https://pbs.twimg.com/profile_banners/1603231627559182336/1681129229")</f>
        <v>https://pbs.twimg.com/profile_banners/1603231627559182336/1681129229</v>
      </c>
      <c r="BI905" s="76"/>
      <c r="BJ905" s="76" t="s">
        <v>19633</v>
      </c>
      <c r="BK905" s="76" t="b">
        <v>0</v>
      </c>
      <c r="BL905" s="76"/>
      <c r="BM905" s="76" t="s">
        <v>66</v>
      </c>
      <c r="BN905" s="76" t="s">
        <v>19635</v>
      </c>
      <c r="BO905" s="83" t="str">
        <f>HYPERLINK("https://twitter.com/caixettanayara")</f>
        <v>https://twitter.com/caixettanayara</v>
      </c>
      <c r="BP905" s="2"/>
    </row>
    <row r="906" spans="1:68" x14ac:dyDescent="0.25">
      <c r="A906" s="62" t="s">
        <v>1044</v>
      </c>
      <c r="B906" s="63"/>
      <c r="C906" s="63"/>
      <c r="D906" s="64"/>
      <c r="E906" s="66"/>
      <c r="F906" s="103" t="str">
        <f>HYPERLINK("https://pbs.twimg.com/profile_images/1595827158391332864/XSck7bft_normal.jpg")</f>
        <v>https://pbs.twimg.com/profile_images/1595827158391332864/XSck7bft_normal.jpg</v>
      </c>
      <c r="G906" s="63"/>
      <c r="H906" s="67"/>
      <c r="I906" s="68"/>
      <c r="J906" s="68"/>
      <c r="K906" s="67" t="s">
        <v>20538</v>
      </c>
      <c r="L906" s="71"/>
      <c r="M906" s="72"/>
      <c r="N906" s="72"/>
      <c r="O906" s="73"/>
      <c r="P906" s="74"/>
      <c r="Q906" s="74"/>
      <c r="R906" s="87"/>
      <c r="S906" s="87"/>
      <c r="T906" s="87"/>
      <c r="U906" s="87"/>
      <c r="V906" s="48"/>
      <c r="W906" s="48"/>
      <c r="X906" s="47">
        <v>1.101E-3</v>
      </c>
      <c r="Y906" s="48"/>
      <c r="Z906" s="47"/>
      <c r="AA906" s="69">
        <v>906</v>
      </c>
      <c r="AB906" s="69"/>
      <c r="AC906" s="70"/>
      <c r="AD906" s="76" t="s">
        <v>17527</v>
      </c>
      <c r="AE906" s="81" t="s">
        <v>16592</v>
      </c>
      <c r="AF906" s="76">
        <v>916</v>
      </c>
      <c r="AG906" s="76">
        <v>3459</v>
      </c>
      <c r="AH906" s="76">
        <v>630</v>
      </c>
      <c r="AI906" s="76">
        <v>0</v>
      </c>
      <c r="AJ906" s="76">
        <v>927</v>
      </c>
      <c r="AK906" s="76">
        <v>373</v>
      </c>
      <c r="AL906" s="76" t="b">
        <v>0</v>
      </c>
      <c r="AM906" s="78">
        <v>44887.675266203703</v>
      </c>
      <c r="AN906" s="76" t="s">
        <v>10571</v>
      </c>
      <c r="AO906" s="76" t="s">
        <v>18976</v>
      </c>
      <c r="AP906" s="83" t="str">
        <f>HYPERLINK("https://t.co/2tbMn9Evo7")</f>
        <v>https://t.co/2tbMn9Evo7</v>
      </c>
      <c r="AQ906" s="83" t="str">
        <f>HYPERLINK("http://instagram.com/hucdiass/")</f>
        <v>http://instagram.com/hucdiass/</v>
      </c>
      <c r="AR906" s="76" t="s">
        <v>19547</v>
      </c>
      <c r="AS906" s="76"/>
      <c r="AT906" s="76"/>
      <c r="AU906" s="76"/>
      <c r="AV906" s="76">
        <v>1.6794769876755E+18</v>
      </c>
      <c r="AW906" s="83" t="str">
        <f>HYPERLINK("https://t.co/2tbMn9Evo7")</f>
        <v>https://t.co/2tbMn9Evo7</v>
      </c>
      <c r="AX906" s="76" t="b">
        <v>0</v>
      </c>
      <c r="AY906" s="76"/>
      <c r="AZ906" s="76"/>
      <c r="BA906" s="76" t="b">
        <v>1</v>
      </c>
      <c r="BB906" s="76" t="b">
        <v>1</v>
      </c>
      <c r="BC906" s="76" t="b">
        <v>1</v>
      </c>
      <c r="BD906" s="76" t="b">
        <v>0</v>
      </c>
      <c r="BE906" s="76" t="b">
        <v>1</v>
      </c>
      <c r="BF906" s="76" t="b">
        <v>0</v>
      </c>
      <c r="BG906" s="76" t="b">
        <v>0</v>
      </c>
      <c r="BH906" s="83" t="str">
        <f>HYPERLINK("https://pbs.twimg.com/profile_banners/1595087416360157184/1690233008")</f>
        <v>https://pbs.twimg.com/profile_banners/1595087416360157184/1690233008</v>
      </c>
      <c r="BI906" s="76"/>
      <c r="BJ906" s="76" t="s">
        <v>19633</v>
      </c>
      <c r="BK906" s="76" t="b">
        <v>0</v>
      </c>
      <c r="BL906" s="76"/>
      <c r="BM906" s="76" t="s">
        <v>66</v>
      </c>
      <c r="BN906" s="76" t="s">
        <v>19635</v>
      </c>
      <c r="BO906" s="83" t="str">
        <f>HYPERLINK("https://twitter.com/hdiasboss")</f>
        <v>https://twitter.com/hdiasboss</v>
      </c>
      <c r="BP906" s="2"/>
    </row>
    <row r="907" spans="1:68" x14ac:dyDescent="0.25">
      <c r="A907" s="62" t="s">
        <v>1045</v>
      </c>
      <c r="B907" s="63"/>
      <c r="C907" s="63"/>
      <c r="D907" s="64"/>
      <c r="E907" s="66"/>
      <c r="F907" s="103" t="str">
        <f>HYPERLINK("https://pbs.twimg.com/profile_images/1666029766829375488/TX2kZcI2_normal.jpg")</f>
        <v>https://pbs.twimg.com/profile_images/1666029766829375488/TX2kZcI2_normal.jpg</v>
      </c>
      <c r="G907" s="63"/>
      <c r="H907" s="67"/>
      <c r="I907" s="68"/>
      <c r="J907" s="68"/>
      <c r="K907" s="67" t="s">
        <v>20539</v>
      </c>
      <c r="L907" s="71"/>
      <c r="M907" s="72"/>
      <c r="N907" s="72"/>
      <c r="O907" s="73"/>
      <c r="P907" s="74"/>
      <c r="Q907" s="74"/>
      <c r="R907" s="87"/>
      <c r="S907" s="87"/>
      <c r="T907" s="87"/>
      <c r="U907" s="87"/>
      <c r="V907" s="48"/>
      <c r="W907" s="48"/>
      <c r="X907" s="47">
        <v>1.101E-3</v>
      </c>
      <c r="Y907" s="48"/>
      <c r="Z907" s="47"/>
      <c r="AA907" s="69">
        <v>907</v>
      </c>
      <c r="AB907" s="69"/>
      <c r="AC907" s="70"/>
      <c r="AD907" s="76" t="s">
        <v>17528</v>
      </c>
      <c r="AE907" s="81" t="s">
        <v>16593</v>
      </c>
      <c r="AF907" s="76">
        <v>282</v>
      </c>
      <c r="AG907" s="76">
        <v>3035</v>
      </c>
      <c r="AH907" s="76">
        <v>658</v>
      </c>
      <c r="AI907" s="76">
        <v>2</v>
      </c>
      <c r="AJ907" s="76">
        <v>1971</v>
      </c>
      <c r="AK907" s="76">
        <v>40</v>
      </c>
      <c r="AL907" s="76" t="b">
        <v>0</v>
      </c>
      <c r="AM907" s="78">
        <v>44006.781736111108</v>
      </c>
      <c r="AN907" s="76" t="s">
        <v>18150</v>
      </c>
      <c r="AO907" s="76" t="s">
        <v>18977</v>
      </c>
      <c r="AP907" s="76"/>
      <c r="AQ907" s="76"/>
      <c r="AR907" s="76"/>
      <c r="AS907" s="83" t="str">
        <f>HYPERLINK("https://t.co/oYWoGpaMmJ")</f>
        <v>https://t.co/oYWoGpaMmJ</v>
      </c>
      <c r="AT907" s="83" t="str">
        <f>HYPERLINK("http://marcosmarinho.net")</f>
        <v>http://marcosmarinho.net</v>
      </c>
      <c r="AU907" s="76" t="s">
        <v>19631</v>
      </c>
      <c r="AV907" s="76"/>
      <c r="AW907" s="76"/>
      <c r="AX907" s="76" t="b">
        <v>1</v>
      </c>
      <c r="AY907" s="76"/>
      <c r="AZ907" s="76"/>
      <c r="BA907" s="76" t="b">
        <v>0</v>
      </c>
      <c r="BB907" s="76" t="b">
        <v>1</v>
      </c>
      <c r="BC907" s="76" t="b">
        <v>1</v>
      </c>
      <c r="BD907" s="76" t="b">
        <v>0</v>
      </c>
      <c r="BE907" s="76" t="b">
        <v>1</v>
      </c>
      <c r="BF907" s="76" t="b">
        <v>0</v>
      </c>
      <c r="BG907" s="76" t="b">
        <v>0</v>
      </c>
      <c r="BH907" s="83" t="str">
        <f>HYPERLINK("https://pbs.twimg.com/profile_banners/1275862596009238531/1692119042")</f>
        <v>https://pbs.twimg.com/profile_banners/1275862596009238531/1692119042</v>
      </c>
      <c r="BI907" s="76"/>
      <c r="BJ907" s="76" t="s">
        <v>19633</v>
      </c>
      <c r="BK907" s="76" t="b">
        <v>0</v>
      </c>
      <c r="BL907" s="76"/>
      <c r="BM907" s="76" t="s">
        <v>66</v>
      </c>
      <c r="BN907" s="76" t="s">
        <v>19635</v>
      </c>
      <c r="BO907" s="83" t="str">
        <f>HYPERLINK("https://twitter.com/marcosefmarinho")</f>
        <v>https://twitter.com/marcosefmarinho</v>
      </c>
      <c r="BP907" s="2"/>
    </row>
    <row r="908" spans="1:68" x14ac:dyDescent="0.25">
      <c r="A908" s="62" t="s">
        <v>1046</v>
      </c>
      <c r="B908" s="63"/>
      <c r="C908" s="63"/>
      <c r="D908" s="64"/>
      <c r="E908" s="66"/>
      <c r="F908" s="103" t="str">
        <f>HYPERLINK("https://pbs.twimg.com/profile_images/1483925605888495617/AVwcJaU6_normal.jpg")</f>
        <v>https://pbs.twimg.com/profile_images/1483925605888495617/AVwcJaU6_normal.jpg</v>
      </c>
      <c r="G908" s="63"/>
      <c r="H908" s="67"/>
      <c r="I908" s="68"/>
      <c r="J908" s="68"/>
      <c r="K908" s="67" t="s">
        <v>20540</v>
      </c>
      <c r="L908" s="71"/>
      <c r="M908" s="72"/>
      <c r="N908" s="72"/>
      <c r="O908" s="73"/>
      <c r="P908" s="74"/>
      <c r="Q908" s="74"/>
      <c r="R908" s="87"/>
      <c r="S908" s="87"/>
      <c r="T908" s="87"/>
      <c r="U908" s="87"/>
      <c r="V908" s="48"/>
      <c r="W908" s="48"/>
      <c r="X908" s="47">
        <v>1.178E-3</v>
      </c>
      <c r="Y908" s="48"/>
      <c r="Z908" s="47"/>
      <c r="AA908" s="69">
        <v>908</v>
      </c>
      <c r="AB908" s="69"/>
      <c r="AC908" s="70"/>
      <c r="AD908" s="76" t="s">
        <v>17529</v>
      </c>
      <c r="AE908" s="81" t="s">
        <v>16594</v>
      </c>
      <c r="AF908" s="76">
        <v>51628</v>
      </c>
      <c r="AG908" s="76">
        <v>102</v>
      </c>
      <c r="AH908" s="76">
        <v>7151</v>
      </c>
      <c r="AI908" s="76">
        <v>116</v>
      </c>
      <c r="AJ908" s="76">
        <v>5688</v>
      </c>
      <c r="AK908" s="76">
        <v>980</v>
      </c>
      <c r="AL908" s="76" t="b">
        <v>0</v>
      </c>
      <c r="AM908" s="78">
        <v>44207.851851851854</v>
      </c>
      <c r="AN908" s="76"/>
      <c r="AO908" s="76" t="s">
        <v>18978</v>
      </c>
      <c r="AP908" s="83" t="str">
        <f>HYPERLINK("https://t.co/RN3n0omYk6")</f>
        <v>https://t.co/RN3n0omYk6</v>
      </c>
      <c r="AQ908" s="83" t="str">
        <f>HYPERLINK("https://youtube.com/c/NathFinan%C3%A7as")</f>
        <v>https://youtube.com/c/NathFinan%C3%A7as</v>
      </c>
      <c r="AR908" s="76" t="s">
        <v>19548</v>
      </c>
      <c r="AS908" s="76"/>
      <c r="AT908" s="76"/>
      <c r="AU908" s="76"/>
      <c r="AV908" s="76">
        <v>1.6799194145886001E+18</v>
      </c>
      <c r="AW908" s="83" t="str">
        <f>HYPERLINK("https://t.co/RN3n0omYk6")</f>
        <v>https://t.co/RN3n0omYk6</v>
      </c>
      <c r="AX908" s="76" t="b">
        <v>0</v>
      </c>
      <c r="AY908" s="76"/>
      <c r="AZ908" s="76"/>
      <c r="BA908" s="76" t="b">
        <v>1</v>
      </c>
      <c r="BB908" s="76" t="b">
        <v>1</v>
      </c>
      <c r="BC908" s="76" t="b">
        <v>1</v>
      </c>
      <c r="BD908" s="76" t="b">
        <v>0</v>
      </c>
      <c r="BE908" s="76" t="b">
        <v>1</v>
      </c>
      <c r="BF908" s="76" t="b">
        <v>0</v>
      </c>
      <c r="BG908" s="76" t="b">
        <v>0</v>
      </c>
      <c r="BH908" s="83" t="str">
        <f>HYPERLINK("https://pbs.twimg.com/profile_banners/1348727960354885634/1687455112")</f>
        <v>https://pbs.twimg.com/profile_banners/1348727960354885634/1687455112</v>
      </c>
      <c r="BI908" s="76"/>
      <c r="BJ908" s="76" t="s">
        <v>19633</v>
      </c>
      <c r="BK908" s="76" t="b">
        <v>0</v>
      </c>
      <c r="BL908" s="76"/>
      <c r="BM908" s="76" t="s">
        <v>66</v>
      </c>
      <c r="BN908" s="76" t="s">
        <v>19635</v>
      </c>
      <c r="BO908" s="83" t="str">
        <f>HYPERLINK("https://twitter.com/centralnath")</f>
        <v>https://twitter.com/centralnath</v>
      </c>
      <c r="BP908" s="2"/>
    </row>
    <row r="909" spans="1:68" x14ac:dyDescent="0.25">
      <c r="A909" s="62" t="s">
        <v>1047</v>
      </c>
      <c r="B909" s="63"/>
      <c r="C909" s="63"/>
      <c r="D909" s="64"/>
      <c r="E909" s="66"/>
      <c r="F909" s="103" t="str">
        <f>HYPERLINK("https://pbs.twimg.com/profile_images/1383066346007756803/pvHOIQ6F_normal.jpg")</f>
        <v>https://pbs.twimg.com/profile_images/1383066346007756803/pvHOIQ6F_normal.jpg</v>
      </c>
      <c r="G909" s="63"/>
      <c r="H909" s="67"/>
      <c r="I909" s="68"/>
      <c r="J909" s="68"/>
      <c r="K909" s="67" t="s">
        <v>20541</v>
      </c>
      <c r="L909" s="71"/>
      <c r="M909" s="72"/>
      <c r="N909" s="72"/>
      <c r="O909" s="73"/>
      <c r="P909" s="74"/>
      <c r="Q909" s="74"/>
      <c r="R909" s="87"/>
      <c r="S909" s="87"/>
      <c r="T909" s="87"/>
      <c r="U909" s="87"/>
      <c r="V909" s="48"/>
      <c r="W909" s="48"/>
      <c r="X909" s="47">
        <v>1.024E-3</v>
      </c>
      <c r="Y909" s="48"/>
      <c r="Z909" s="47"/>
      <c r="AA909" s="69">
        <v>909</v>
      </c>
      <c r="AB909" s="69"/>
      <c r="AC909" s="70"/>
      <c r="AD909" s="76" t="s">
        <v>17530</v>
      </c>
      <c r="AE909" s="81" t="s">
        <v>17855</v>
      </c>
      <c r="AF909" s="76">
        <v>474</v>
      </c>
      <c r="AG909" s="76">
        <v>2686</v>
      </c>
      <c r="AH909" s="76">
        <v>16476</v>
      </c>
      <c r="AI909" s="76">
        <v>4</v>
      </c>
      <c r="AJ909" s="76">
        <v>27116</v>
      </c>
      <c r="AK909" s="76">
        <v>803</v>
      </c>
      <c r="AL909" s="76" t="b">
        <v>0</v>
      </c>
      <c r="AM909" s="78">
        <v>39986.879374999997</v>
      </c>
      <c r="AN909" s="76" t="s">
        <v>18151</v>
      </c>
      <c r="AO909" s="76" t="s">
        <v>18979</v>
      </c>
      <c r="AP909" s="76"/>
      <c r="AQ909" s="76"/>
      <c r="AR909" s="76"/>
      <c r="AS909" s="76"/>
      <c r="AT909" s="76"/>
      <c r="AU909" s="76"/>
      <c r="AV909" s="76">
        <v>1.40320755035138E+18</v>
      </c>
      <c r="AW909" s="76"/>
      <c r="AX909" s="76" t="b">
        <v>0</v>
      </c>
      <c r="AY909" s="76"/>
      <c r="AZ909" s="76"/>
      <c r="BA909" s="76" t="b">
        <v>0</v>
      </c>
      <c r="BB909" s="76" t="b">
        <v>0</v>
      </c>
      <c r="BC909" s="76" t="b">
        <v>0</v>
      </c>
      <c r="BD909" s="76" t="b">
        <v>0</v>
      </c>
      <c r="BE909" s="76" t="b">
        <v>1</v>
      </c>
      <c r="BF909" s="76" t="b">
        <v>0</v>
      </c>
      <c r="BG909" s="76" t="b">
        <v>0</v>
      </c>
      <c r="BH909" s="83" t="str">
        <f>HYPERLINK("https://pbs.twimg.com/profile_banners/49765571/1669322656")</f>
        <v>https://pbs.twimg.com/profile_banners/49765571/1669322656</v>
      </c>
      <c r="BI909" s="76"/>
      <c r="BJ909" s="76" t="s">
        <v>19633</v>
      </c>
      <c r="BK909" s="76" t="b">
        <v>0</v>
      </c>
      <c r="BL909" s="76"/>
      <c r="BM909" s="76" t="s">
        <v>66</v>
      </c>
      <c r="BN909" s="76" t="s">
        <v>19635</v>
      </c>
      <c r="BO909" s="83" t="str">
        <f>HYPERLINK("https://twitter.com/fee_sa")</f>
        <v>https://twitter.com/fee_sa</v>
      </c>
      <c r="BP909" s="2"/>
    </row>
    <row r="910" spans="1:68" x14ac:dyDescent="0.25">
      <c r="A910" s="88" t="s">
        <v>1048</v>
      </c>
      <c r="B910" s="89"/>
      <c r="C910" s="89"/>
      <c r="D910" s="90"/>
      <c r="E910" s="91"/>
      <c r="F910" s="104" t="str">
        <f>HYPERLINK("https://pbs.twimg.com/profile_images/1610494566888521728/R8SizWkM_normal.jpg")</f>
        <v>https://pbs.twimg.com/profile_images/1610494566888521728/R8SizWkM_normal.jpg</v>
      </c>
      <c r="G910" s="89"/>
      <c r="H910" s="92"/>
      <c r="I910" s="93"/>
      <c r="J910" s="93"/>
      <c r="K910" s="92" t="s">
        <v>20542</v>
      </c>
      <c r="L910" s="94"/>
      <c r="M910" s="95"/>
      <c r="N910" s="95"/>
      <c r="O910" s="96"/>
      <c r="P910" s="97"/>
      <c r="Q910" s="97"/>
      <c r="R910" s="98"/>
      <c r="S910" s="98"/>
      <c r="T910" s="98"/>
      <c r="U910" s="98"/>
      <c r="V910" s="99"/>
      <c r="W910" s="99"/>
      <c r="X910" s="47">
        <v>1.101E-3</v>
      </c>
      <c r="Y910" s="99"/>
      <c r="Z910" s="100"/>
      <c r="AA910" s="101">
        <v>910</v>
      </c>
      <c r="AB910" s="101"/>
      <c r="AC910" s="102"/>
      <c r="AD910" s="76" t="s">
        <v>17531</v>
      </c>
      <c r="AE910" s="81" t="s">
        <v>16595</v>
      </c>
      <c r="AF910" s="76">
        <v>1026</v>
      </c>
      <c r="AG910" s="76">
        <v>481</v>
      </c>
      <c r="AH910" s="76">
        <v>5523</v>
      </c>
      <c r="AI910" s="76">
        <v>15</v>
      </c>
      <c r="AJ910" s="76">
        <v>4274</v>
      </c>
      <c r="AK910" s="76">
        <v>1509</v>
      </c>
      <c r="AL910" s="76" t="b">
        <v>0</v>
      </c>
      <c r="AM910" s="78">
        <v>43762.881956018522</v>
      </c>
      <c r="AN910" s="76"/>
      <c r="AO910" s="76" t="s">
        <v>18980</v>
      </c>
      <c r="AP910" s="83" t="str">
        <f>HYPERLINK("https://t.co/rYp7Ctsrfz")</f>
        <v>https://t.co/rYp7Ctsrfz</v>
      </c>
      <c r="AQ910" s="83" t="str">
        <f>HYPERLINK("http://www.grafistas.com.br")</f>
        <v>http://www.grafistas.com.br</v>
      </c>
      <c r="AR910" s="76" t="s">
        <v>19549</v>
      </c>
      <c r="AS910" s="76"/>
      <c r="AT910" s="76"/>
      <c r="AU910" s="76"/>
      <c r="AV910" s="76">
        <v>1.5929182944112499E+18</v>
      </c>
      <c r="AW910" s="83" t="str">
        <f>HYPERLINK("https://t.co/rYp7Ctsrfz")</f>
        <v>https://t.co/rYp7Ctsrfz</v>
      </c>
      <c r="AX910" s="76" t="b">
        <v>0</v>
      </c>
      <c r="AY910" s="76"/>
      <c r="AZ910" s="76"/>
      <c r="BA910" s="76" t="b">
        <v>1</v>
      </c>
      <c r="BB910" s="76" t="b">
        <v>1</v>
      </c>
      <c r="BC910" s="76" t="b">
        <v>1</v>
      </c>
      <c r="BD910" s="76" t="b">
        <v>0</v>
      </c>
      <c r="BE910" s="76" t="b">
        <v>1</v>
      </c>
      <c r="BF910" s="76" t="b">
        <v>0</v>
      </c>
      <c r="BG910" s="76" t="b">
        <v>0</v>
      </c>
      <c r="BH910" s="83" t="str">
        <f>HYPERLINK("https://pbs.twimg.com/profile_banners/1187476310710509574/1654629912")</f>
        <v>https://pbs.twimg.com/profile_banners/1187476310710509574/1654629912</v>
      </c>
      <c r="BI910" s="76"/>
      <c r="BJ910" s="76" t="s">
        <v>19633</v>
      </c>
      <c r="BK910" s="76" t="b">
        <v>0</v>
      </c>
      <c r="BL910" s="76"/>
      <c r="BM910" s="76" t="s">
        <v>66</v>
      </c>
      <c r="BN910" s="76" t="s">
        <v>19635</v>
      </c>
      <c r="BO910" s="83" t="str">
        <f>HYPERLINK("https://twitter.com/grafistasclub")</f>
        <v>https://twitter.com/grafistasclub</v>
      </c>
      <c r="BP910" s="2"/>
    </row>
    <row r="911" spans="1:68" x14ac:dyDescent="0.25">
      <c r="A911" s="62" t="s">
        <v>16607</v>
      </c>
      <c r="B911" s="63"/>
      <c r="C911" s="63"/>
      <c r="D911" s="64"/>
      <c r="E911" s="66"/>
      <c r="F911" s="103" t="str">
        <f>HYPERLINK("https://pbs.twimg.com/profile_images/1660363544452276226/cZJqMcMb_normal.jpg")</f>
        <v>https://pbs.twimg.com/profile_images/1660363544452276226/cZJqMcMb_normal.jpg</v>
      </c>
      <c r="G911" s="63" t="s">
        <v>51</v>
      </c>
      <c r="H911" s="67"/>
      <c r="I911" s="68"/>
      <c r="J911" s="68"/>
      <c r="K911" s="67" t="s">
        <v>20543</v>
      </c>
      <c r="L911" s="71"/>
      <c r="M911" s="72"/>
      <c r="N911" s="72"/>
      <c r="O911" s="73"/>
      <c r="P911" s="74"/>
      <c r="Q911" s="74"/>
      <c r="R911" s="87"/>
      <c r="S911" s="87"/>
      <c r="T911" s="87"/>
      <c r="U911" s="87"/>
      <c r="V911" s="48"/>
      <c r="W911" s="48"/>
      <c r="X911" s="47">
        <v>0</v>
      </c>
      <c r="Y911" s="48"/>
      <c r="Z911" s="47"/>
      <c r="AA911" s="69">
        <v>911</v>
      </c>
      <c r="AB911" s="69"/>
      <c r="AC911" s="70"/>
      <c r="AD911" s="76" t="s">
        <v>17532</v>
      </c>
      <c r="AE911" s="81" t="s">
        <v>17856</v>
      </c>
      <c r="AF911" s="76">
        <v>0</v>
      </c>
      <c r="AG911" s="76">
        <v>30</v>
      </c>
      <c r="AH911" s="76">
        <v>18</v>
      </c>
      <c r="AI911" s="76">
        <v>0</v>
      </c>
      <c r="AJ911" s="76">
        <v>1</v>
      </c>
      <c r="AK911" s="76">
        <v>4</v>
      </c>
      <c r="AL911" s="76" t="b">
        <v>0</v>
      </c>
      <c r="AM911" s="78">
        <v>45067.792534722219</v>
      </c>
      <c r="AN911" s="76" t="s">
        <v>18152</v>
      </c>
      <c r="AO911" s="76" t="s">
        <v>18981</v>
      </c>
      <c r="AP911" s="83" t="str">
        <f>HYPERLINK("https://t.co/Dw9YFwnu0G")</f>
        <v>https://t.co/Dw9YFwnu0G</v>
      </c>
      <c r="AQ911" s="83" t="str">
        <f>HYPERLINK("http://www.trusteduca.com.br")</f>
        <v>http://www.trusteduca.com.br</v>
      </c>
      <c r="AR911" s="76" t="s">
        <v>19550</v>
      </c>
      <c r="AS911" s="76"/>
      <c r="AT911" s="76"/>
      <c r="AU911" s="76"/>
      <c r="AV911" s="76"/>
      <c r="AW911" s="83" t="str">
        <f>HYPERLINK("https://t.co/Dw9YFwnu0G")</f>
        <v>https://t.co/Dw9YFwnu0G</v>
      </c>
      <c r="AX911" s="76" t="b">
        <v>0</v>
      </c>
      <c r="AY911" s="76"/>
      <c r="AZ911" s="76"/>
      <c r="BA911" s="76" t="b">
        <v>0</v>
      </c>
      <c r="BB911" s="76" t="b">
        <v>1</v>
      </c>
      <c r="BC911" s="76" t="b">
        <v>1</v>
      </c>
      <c r="BD911" s="76" t="b">
        <v>0</v>
      </c>
      <c r="BE911" s="76" t="b">
        <v>0</v>
      </c>
      <c r="BF911" s="76" t="b">
        <v>0</v>
      </c>
      <c r="BG911" s="76" t="b">
        <v>0</v>
      </c>
      <c r="BH911" s="83" t="str">
        <f>HYPERLINK("https://pbs.twimg.com/profile_banners/1660360053113667593/1684696796")</f>
        <v>https://pbs.twimg.com/profile_banners/1660360053113667593/1684696796</v>
      </c>
      <c r="BI911" s="76"/>
      <c r="BJ911" s="76" t="s">
        <v>19633</v>
      </c>
      <c r="BK911" s="76" t="b">
        <v>0</v>
      </c>
      <c r="BL911" s="76"/>
      <c r="BM911" s="76" t="s">
        <v>66</v>
      </c>
      <c r="BN911" s="76" t="s">
        <v>19635</v>
      </c>
      <c r="BO911" s="83" t="str">
        <f>HYPERLINK("https://twitter.com/trusteduca")</f>
        <v>https://twitter.com/trusteduca</v>
      </c>
      <c r="BP911" s="2"/>
    </row>
    <row r="912" spans="1:68" x14ac:dyDescent="0.25">
      <c r="A912" s="62" t="s">
        <v>16605</v>
      </c>
      <c r="B912" s="63"/>
      <c r="C912" s="63"/>
      <c r="D912" s="64"/>
      <c r="E912" s="66"/>
      <c r="F912" s="103" t="str">
        <f>HYPERLINK("https://pbs.twimg.com/profile_images/1675867592622260224/Nly2yMmo_normal.jpg")</f>
        <v>https://pbs.twimg.com/profile_images/1675867592622260224/Nly2yMmo_normal.jpg</v>
      </c>
      <c r="G912" s="63" t="s">
        <v>51</v>
      </c>
      <c r="H912" s="67"/>
      <c r="I912" s="68"/>
      <c r="J912" s="68"/>
      <c r="K912" s="67" t="s">
        <v>20544</v>
      </c>
      <c r="L912" s="71"/>
      <c r="M912" s="72"/>
      <c r="N912" s="72"/>
      <c r="O912" s="73"/>
      <c r="P912" s="74"/>
      <c r="Q912" s="74"/>
      <c r="R912" s="87"/>
      <c r="S912" s="87"/>
      <c r="T912" s="87"/>
      <c r="U912" s="87"/>
      <c r="V912" s="48"/>
      <c r="W912" s="48"/>
      <c r="X912" s="47">
        <v>0</v>
      </c>
      <c r="Y912" s="48"/>
      <c r="Z912" s="47"/>
      <c r="AA912" s="69">
        <v>912</v>
      </c>
      <c r="AB912" s="69"/>
      <c r="AC912" s="70"/>
      <c r="AD912" s="76" t="s">
        <v>17533</v>
      </c>
      <c r="AE912" s="81" t="s">
        <v>17857</v>
      </c>
      <c r="AF912" s="76">
        <v>5510</v>
      </c>
      <c r="AG912" s="76">
        <v>50</v>
      </c>
      <c r="AH912" s="76">
        <v>810</v>
      </c>
      <c r="AI912" s="76">
        <v>14</v>
      </c>
      <c r="AJ912" s="76">
        <v>27</v>
      </c>
      <c r="AK912" s="76">
        <v>324</v>
      </c>
      <c r="AL912" s="76" t="b">
        <v>0</v>
      </c>
      <c r="AM912" s="78">
        <v>43376.611076388886</v>
      </c>
      <c r="AN912" s="76" t="s">
        <v>10561</v>
      </c>
      <c r="AO912" s="76" t="s">
        <v>18982</v>
      </c>
      <c r="AP912" s="83" t="str">
        <f>HYPERLINK("https://t.co/NAXCNZ9FNP")</f>
        <v>https://t.co/NAXCNZ9FNP</v>
      </c>
      <c r="AQ912" s="83" t="str">
        <f>HYPERLINK("http://www.fgc.org.br")</f>
        <v>http://www.fgc.org.br</v>
      </c>
      <c r="AR912" s="76" t="s">
        <v>19551</v>
      </c>
      <c r="AS912" s="76"/>
      <c r="AT912" s="76"/>
      <c r="AU912" s="76"/>
      <c r="AV912" s="76"/>
      <c r="AW912" s="83" t="str">
        <f>HYPERLINK("https://t.co/NAXCNZ9FNP")</f>
        <v>https://t.co/NAXCNZ9FNP</v>
      </c>
      <c r="AX912" s="76" t="b">
        <v>1</v>
      </c>
      <c r="AY912" s="76"/>
      <c r="AZ912" s="76"/>
      <c r="BA912" s="76" t="b">
        <v>1</v>
      </c>
      <c r="BB912" s="76" t="b">
        <v>0</v>
      </c>
      <c r="BC912" s="76" t="b">
        <v>1</v>
      </c>
      <c r="BD912" s="76" t="b">
        <v>0</v>
      </c>
      <c r="BE912" s="76" t="b">
        <v>0</v>
      </c>
      <c r="BF912" s="76" t="b">
        <v>0</v>
      </c>
      <c r="BG912" s="76" t="b">
        <v>0</v>
      </c>
      <c r="BH912" s="83" t="str">
        <f>HYPERLINK("https://pbs.twimg.com/profile_banners/1047496479273865217/1685368633")</f>
        <v>https://pbs.twimg.com/profile_banners/1047496479273865217/1685368633</v>
      </c>
      <c r="BI912" s="76"/>
      <c r="BJ912" s="76" t="s">
        <v>19633</v>
      </c>
      <c r="BK912" s="76" t="b">
        <v>0</v>
      </c>
      <c r="BL912" s="76"/>
      <c r="BM912" s="76" t="s">
        <v>65</v>
      </c>
      <c r="BN912" s="76" t="s">
        <v>19635</v>
      </c>
      <c r="BO912" s="83" t="str">
        <f>HYPERLINK("https://twitter.com/fgc_br")</f>
        <v>https://twitter.com/fgc_br</v>
      </c>
      <c r="BP912" s="2"/>
    </row>
    <row r="913" spans="1:68" x14ac:dyDescent="0.25">
      <c r="A913" s="62" t="s">
        <v>16606</v>
      </c>
      <c r="B913" s="63"/>
      <c r="C913" s="63"/>
      <c r="D913" s="64"/>
      <c r="E913" s="66"/>
      <c r="F913" s="103" t="str">
        <f>HYPERLINK("https://pbs.twimg.com/profile_images/1579470016415760392/9GlqRE3D_normal.jpg")</f>
        <v>https://pbs.twimg.com/profile_images/1579470016415760392/9GlqRE3D_normal.jpg</v>
      </c>
      <c r="G913" s="63" t="s">
        <v>51</v>
      </c>
      <c r="H913" s="67"/>
      <c r="I913" s="68"/>
      <c r="J913" s="68"/>
      <c r="K913" s="67" t="s">
        <v>20545</v>
      </c>
      <c r="L913" s="71"/>
      <c r="M913" s="72"/>
      <c r="N913" s="72"/>
      <c r="O913" s="73"/>
      <c r="P913" s="74"/>
      <c r="Q913" s="74"/>
      <c r="R913" s="87"/>
      <c r="S913" s="87"/>
      <c r="T913" s="87"/>
      <c r="U913" s="87"/>
      <c r="V913" s="48"/>
      <c r="W913" s="48"/>
      <c r="X913" s="47">
        <v>0</v>
      </c>
      <c r="Y913" s="48"/>
      <c r="Z913" s="47"/>
      <c r="AA913" s="69">
        <v>913</v>
      </c>
      <c r="AB913" s="69"/>
      <c r="AC913" s="70"/>
      <c r="AD913" s="76" t="s">
        <v>17534</v>
      </c>
      <c r="AE913" s="81" t="s">
        <v>17858</v>
      </c>
      <c r="AF913" s="76">
        <v>12076</v>
      </c>
      <c r="AG913" s="76">
        <v>254</v>
      </c>
      <c r="AH913" s="76">
        <v>22295</v>
      </c>
      <c r="AI913" s="76">
        <v>143</v>
      </c>
      <c r="AJ913" s="76">
        <v>815</v>
      </c>
      <c r="AK913" s="76">
        <v>3798</v>
      </c>
      <c r="AL913" s="76" t="b">
        <v>0</v>
      </c>
      <c r="AM913" s="78">
        <v>40057.931296296294</v>
      </c>
      <c r="AN913" s="76" t="s">
        <v>18153</v>
      </c>
      <c r="AO913" s="76" t="s">
        <v>18983</v>
      </c>
      <c r="AP913" s="83" t="str">
        <f>HYPERLINK("https://t.co/PdPlqKx4vh")</f>
        <v>https://t.co/PdPlqKx4vh</v>
      </c>
      <c r="AQ913" s="83" t="str">
        <f>HYPERLINK("http://www.undime.org.br")</f>
        <v>http://www.undime.org.br</v>
      </c>
      <c r="AR913" s="76" t="s">
        <v>19552</v>
      </c>
      <c r="AS913" s="76"/>
      <c r="AT913" s="76"/>
      <c r="AU913" s="76"/>
      <c r="AV913" s="76"/>
      <c r="AW913" s="83" t="str">
        <f>HYPERLINK("https://t.co/PdPlqKx4vh")</f>
        <v>https://t.co/PdPlqKx4vh</v>
      </c>
      <c r="AX913" s="76" t="b">
        <v>0</v>
      </c>
      <c r="AY913" s="76"/>
      <c r="AZ913" s="76"/>
      <c r="BA913" s="76" t="b">
        <v>0</v>
      </c>
      <c r="BB913" s="76" t="b">
        <v>1</v>
      </c>
      <c r="BC913" s="76" t="b">
        <v>0</v>
      </c>
      <c r="BD913" s="76" t="b">
        <v>0</v>
      </c>
      <c r="BE913" s="76" t="b">
        <v>0</v>
      </c>
      <c r="BF913" s="76" t="b">
        <v>0</v>
      </c>
      <c r="BG913" s="76" t="b">
        <v>0</v>
      </c>
      <c r="BH913" s="83" t="str">
        <f>HYPERLINK("https://pbs.twimg.com/profile_banners/70803728/1692026295")</f>
        <v>https://pbs.twimg.com/profile_banners/70803728/1692026295</v>
      </c>
      <c r="BI913" s="76"/>
      <c r="BJ913" s="76" t="s">
        <v>19633</v>
      </c>
      <c r="BK913" s="76" t="b">
        <v>0</v>
      </c>
      <c r="BL913" s="76"/>
      <c r="BM913" s="76" t="s">
        <v>65</v>
      </c>
      <c r="BN913" s="76" t="s">
        <v>19635</v>
      </c>
      <c r="BO913" s="83" t="str">
        <f>HYPERLINK("https://twitter.com/undime")</f>
        <v>https://twitter.com/undime</v>
      </c>
      <c r="BP913" s="2"/>
    </row>
    <row r="914" spans="1:68" x14ac:dyDescent="0.25">
      <c r="A914" s="88" t="s">
        <v>6145</v>
      </c>
      <c r="B914" s="89"/>
      <c r="C914" s="89"/>
      <c r="D914" s="90"/>
      <c r="E914" s="91"/>
      <c r="F914" s="104" t="str">
        <f>HYPERLINK("https://pbs.twimg.com/profile_images/1617882003835351046/o3W2Xyru_normal.jpg")</f>
        <v>https://pbs.twimg.com/profile_images/1617882003835351046/o3W2Xyru_normal.jpg</v>
      </c>
      <c r="G914" s="89" t="s">
        <v>51</v>
      </c>
      <c r="H914" s="92"/>
      <c r="I914" s="93"/>
      <c r="J914" s="93"/>
      <c r="K914" s="92" t="s">
        <v>20546</v>
      </c>
      <c r="L914" s="94"/>
      <c r="M914" s="95"/>
      <c r="N914" s="95"/>
      <c r="O914" s="96"/>
      <c r="P914" s="97"/>
      <c r="Q914" s="97"/>
      <c r="R914" s="98"/>
      <c r="S914" s="98"/>
      <c r="T914" s="98"/>
      <c r="U914" s="98"/>
      <c r="V914" s="99"/>
      <c r="W914" s="99"/>
      <c r="X914" s="47">
        <v>0</v>
      </c>
      <c r="Y914" s="99"/>
      <c r="Z914" s="100"/>
      <c r="AA914" s="101">
        <v>914</v>
      </c>
      <c r="AB914" s="101"/>
      <c r="AC914" s="102"/>
      <c r="AD914" s="76" t="s">
        <v>17535</v>
      </c>
      <c r="AE914" s="81" t="s">
        <v>17859</v>
      </c>
      <c r="AF914" s="76">
        <v>481</v>
      </c>
      <c r="AG914" s="76">
        <v>136</v>
      </c>
      <c r="AH914" s="76">
        <v>763</v>
      </c>
      <c r="AI914" s="76">
        <v>0</v>
      </c>
      <c r="AJ914" s="76">
        <v>14</v>
      </c>
      <c r="AK914" s="76">
        <v>309</v>
      </c>
      <c r="AL914" s="76" t="b">
        <v>0</v>
      </c>
      <c r="AM914" s="78">
        <v>40764.61241898148</v>
      </c>
      <c r="AN914" s="76"/>
      <c r="AO914" s="76" t="s">
        <v>18984</v>
      </c>
      <c r="AP914" s="83" t="str">
        <f>HYPERLINK("https://t.co/LaPNr1Yaic")</f>
        <v>https://t.co/LaPNr1Yaic</v>
      </c>
      <c r="AQ914" s="83" t="str">
        <f>HYPERLINK("https://www.institutosicoob.org.br/")</f>
        <v>https://www.institutosicoob.org.br/</v>
      </c>
      <c r="AR914" s="76" t="s">
        <v>19553</v>
      </c>
      <c r="AS914" s="76"/>
      <c r="AT914" s="76"/>
      <c r="AU914" s="76"/>
      <c r="AV914" s="76"/>
      <c r="AW914" s="83" t="str">
        <f>HYPERLINK("https://t.co/LaPNr1Yaic")</f>
        <v>https://t.co/LaPNr1Yaic</v>
      </c>
      <c r="AX914" s="76" t="b">
        <v>0</v>
      </c>
      <c r="AY914" s="76"/>
      <c r="AZ914" s="76"/>
      <c r="BA914" s="76" t="b">
        <v>0</v>
      </c>
      <c r="BB914" s="76" t="b">
        <v>1</v>
      </c>
      <c r="BC914" s="76" t="b">
        <v>0</v>
      </c>
      <c r="BD914" s="76" t="b">
        <v>0</v>
      </c>
      <c r="BE914" s="76" t="b">
        <v>1</v>
      </c>
      <c r="BF914" s="76" t="b">
        <v>0</v>
      </c>
      <c r="BG914" s="76" t="b">
        <v>0</v>
      </c>
      <c r="BH914" s="83" t="str">
        <f>HYPERLINK("https://pbs.twimg.com/profile_banners/351632381/1674569352")</f>
        <v>https://pbs.twimg.com/profile_banners/351632381/1674569352</v>
      </c>
      <c r="BI914" s="76"/>
      <c r="BJ914" s="76" t="s">
        <v>19633</v>
      </c>
      <c r="BK914" s="76" t="b">
        <v>0</v>
      </c>
      <c r="BL914" s="76"/>
      <c r="BM914" s="76" t="s">
        <v>65</v>
      </c>
      <c r="BN914" s="76" t="s">
        <v>19635</v>
      </c>
      <c r="BO914" s="83" t="str">
        <f>HYPERLINK("https://twitter.com/institutosicoob")</f>
        <v>https://twitter.com/institutosicoob</v>
      </c>
      <c r="BP914"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914"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914"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914"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914"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914"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914" xr:uid="{00000000-0002-0000-0100-000007000000}"/>
    <dataValidation allowBlank="1" showInputMessage="1" errorTitle="Invalid Vertex Image Key" promptTitle="Vertex Tooltip" prompt="Enter optional text that will pop up when the mouse is hovered over the vertex." sqref="K3:K914"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914"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914"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914" xr:uid="{00000000-0002-0000-0100-00000B000000}"/>
    <dataValidation allowBlank="1" showInputMessage="1" promptTitle="Vertex Label Fill Color" prompt="To select an optional fill color for the Label shape, right-click and select Select Color on the right-click menu." sqref="I3:I914" xr:uid="{00000000-0002-0000-0100-00000C000000}"/>
    <dataValidation allowBlank="1" showInputMessage="1" errorTitle="Invalid Vertex Image Key" promptTitle="Vertex Image File" prompt="Enter the path to an image file.  Hover over the column header for examples." sqref="F3:F914" xr:uid="{00000000-0002-0000-0100-00000D000000}"/>
    <dataValidation allowBlank="1" showInputMessage="1" promptTitle="Vertex Color" prompt="To select an optional vertex color, right-click and select Select Color on the right-click menu." sqref="B3:B914"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914"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914"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914"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914" xr:uid="{00000000-0002-0000-0100-000012000000}">
      <formula1>ValidVertexLabelPositions</formula1>
    </dataValidation>
    <dataValidation allowBlank="1" showInputMessage="1" showErrorMessage="1" promptTitle="Vertex Name" prompt="Enter the name of the vertex." sqref="A3:A914"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topLeftCell="A20" workbookViewId="0">
      <selection activeCell="B32" sqref="B3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20550</v>
      </c>
      <c r="B2" s="32" t="s">
        <v>20549</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4</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5"/>
      <c r="B3" s="10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9.5970588235294111E-5</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912</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1.9194117647058822E-4</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5"/>
      <c r="B5" s="10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2.8791176470588235E-4</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646</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3.8388235294117644E-4</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2415</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4.7985294117647054E-4</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3061</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5.7582352941176469E-4</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5"/>
      <c r="B9" s="10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6.7179411764705884E-4</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2813</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7.6776470588235299E-4</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5"/>
      <c r="B11" s="10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8.6373529411764714E-4</v>
      </c>
      <c r="Q11" s="38">
        <f>COUNTIF(Vertices[PageRank], "&gt;= " &amp; P11) - COUNTIF(Vertices[PageRank], "&gt;=" &amp; P12)</f>
        <v>5</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1.098901098901099E-2</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9.597058823529413E-4</v>
      </c>
      <c r="Q12" s="36">
        <f>COUNTIF(Vertices[PageRank], "&gt;= " &amp; P12) - COUNTIF(Vertices[PageRank], "&gt;=" &amp; P13)</f>
        <v>120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2.1739130434782608E-2</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1.0556764705882354E-3</v>
      </c>
      <c r="Q13" s="38">
        <f>COUNTIF(Vertices[PageRank], "&gt;= " &amp; P13) - COUNTIF(Vertices[PageRank], "&gt;=" &amp; P14)</f>
        <v>737</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5"/>
      <c r="B14" s="10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1.1516470588235296E-3</v>
      </c>
      <c r="Q14" s="36">
        <f>COUNTIF(Vertices[PageRank], "&gt;= " &amp; P14) - COUNTIF(Vertices[PageRank], "&gt;=" &amp; P15)</f>
        <v>26</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734</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1.2476176470588237E-3</v>
      </c>
      <c r="Q15" s="38">
        <f>COUNTIF(Vertices[PageRank], "&gt;= " &amp; P15) - COUNTIF(Vertices[PageRank], "&gt;=" &amp; P16)</f>
        <v>7</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669</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1.3435882352941179E-3</v>
      </c>
      <c r="Q16" s="36">
        <f>COUNTIF(Vertices[PageRank], "&gt;= " &amp; P16) - COUNTIF(Vertices[PageRank], "&gt;=" &amp; P17)</f>
        <v>4</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44</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1.4395588235294121E-3</v>
      </c>
      <c r="Q17" s="38">
        <f>COUNTIF(Vertices[PageRank], "&gt;= " &amp; P17) - COUNTIF(Vertices[PageRank], "&gt;=" &amp; P18)</f>
        <v>1</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225</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1.5355294117647062E-3</v>
      </c>
      <c r="Q18" s="36">
        <f>COUNTIF(Vertices[PageRank], "&gt;= " &amp; P18) - COUNTIF(Vertices[PageRank], "&gt;=" &amp; P19)</f>
        <v>1</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5"/>
      <c r="B19" s="10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1.6315000000000004E-3</v>
      </c>
      <c r="Q19" s="38">
        <f>COUNTIF(Vertices[PageRank], "&gt;= " &amp; P19) - COUNTIF(Vertices[PageRank], "&gt;=" &amp; P20)</f>
        <v>1</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6</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1.7274705882352945E-3</v>
      </c>
      <c r="Q20" s="36">
        <f>COUNTIF(Vertices[PageRank], "&gt;= " &amp; P20) - COUNTIF(Vertices[PageRank], "&gt;=" &amp; P21)</f>
        <v>2</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2.1439349999999999</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1.8234411764705887E-3</v>
      </c>
      <c r="Q21" s="38">
        <f>COUNTIF(Vertices[PageRank], "&gt;= " &amp; P21) - COUNTIF(Vertices[PageRank], "&gt;=" &amp; P22)</f>
        <v>1</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5"/>
      <c r="B22" s="10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1.9194117647058828E-3</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2.2146474858936584E-4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2.0153823529411767E-3</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20551</v>
      </c>
      <c r="B24" s="32" t="s">
        <v>20567</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2.1113529411764709E-3</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5"/>
      <c r="B25" s="10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2.207323529411765E-3</v>
      </c>
      <c r="Q25" s="38">
        <f>COUNTIF(Vertices[PageRank], "&gt;= " &amp; P25) - COUNTIF(Vertices[PageRank], "&gt;=" &amp; P26)</f>
        <v>1</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20552</v>
      </c>
      <c r="B26" s="32" t="s">
        <v>20568</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2.3032941176470592E-3</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5"/>
      <c r="B27" s="10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2.3992647058823533E-3</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20553</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2.4952352941176475E-3</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20554</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2.5912058823529417E-3</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5"/>
      <c r="B30" s="10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2.6871764705882358E-3</v>
      </c>
      <c r="Q30" s="36">
        <f>COUNTIF(Vertices[PageRank], "&gt;= " &amp; P30) - COUNTIF(Vertices[PageRank], "&gt;=" &amp; P31)</f>
        <v>1</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20555</v>
      </c>
      <c r="B31" s="32" t="s">
        <v>20569</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2.78314705882353E-3</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20556</v>
      </c>
      <c r="B32" s="32" t="s">
        <v>20570</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2.8791176470588241E-3</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20557</v>
      </c>
      <c r="B33" s="32" t="s">
        <v>20571</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2.9750882352941183E-3</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20558</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3.0710588235294124E-3</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20559</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3.1670294117647066E-3</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20560</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3.2629999999999998E-3</v>
      </c>
      <c r="Q36" s="40">
        <f>COUNTIF(Vertices[PageRank], "&gt;= " &amp; P36) - COUNTIF(Vertices[PageRank], "&gt;=" &amp;#REF!)</f>
        <v>1</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20561</v>
      </c>
      <c r="B37" s="32" t="s">
        <v>85</v>
      </c>
    </row>
    <row r="38" spans="1:21" x14ac:dyDescent="0.25">
      <c r="A38" s="32" t="s">
        <v>20562</v>
      </c>
      <c r="B38" s="32" t="s">
        <v>85</v>
      </c>
    </row>
    <row r="39" spans="1:21" x14ac:dyDescent="0.25">
      <c r="A39" s="32" t="s">
        <v>20563</v>
      </c>
      <c r="B39" s="32" t="s">
        <v>85</v>
      </c>
    </row>
    <row r="40" spans="1:21" x14ac:dyDescent="0.25">
      <c r="A40" s="32" t="s">
        <v>21</v>
      </c>
      <c r="B40" s="32" t="s">
        <v>85</v>
      </c>
    </row>
    <row r="41" spans="1:21" x14ac:dyDescent="0.25">
      <c r="A41" s="32" t="s">
        <v>20564</v>
      </c>
      <c r="B41" s="32" t="s">
        <v>85</v>
      </c>
    </row>
    <row r="42" spans="1:21" x14ac:dyDescent="0.25">
      <c r="A42" s="32" t="s">
        <v>20565</v>
      </c>
      <c r="B42" s="32" t="s">
        <v>85</v>
      </c>
    </row>
    <row r="43" spans="1:21" x14ac:dyDescent="0.25">
      <c r="A43" s="32" t="s">
        <v>20566</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f>IF(COUNT(Vertices[PageRank])&gt;0, P2, NoMetricMessage)</f>
        <v>0</v>
      </c>
    </row>
    <row r="159" spans="1:2" x14ac:dyDescent="0.25">
      <c r="A159" s="31" t="s">
        <v>141</v>
      </c>
      <c r="B159" s="45">
        <f>IF(COUNT(Vertices[PageRank])&gt;0, P36, NoMetricMessage)</f>
        <v>3.2629999999999998E-3</v>
      </c>
    </row>
    <row r="160" spans="1:2" x14ac:dyDescent="0.25">
      <c r="A160" s="31" t="s">
        <v>142</v>
      </c>
      <c r="B160" s="45">
        <f>IFERROR(AVERAGE(Vertices[PageRank]),NoMetricMessage)</f>
        <v>1.0962225877193101E-3</v>
      </c>
    </row>
    <row r="161" spans="1:2" x14ac:dyDescent="0.25">
      <c r="A161" s="31" t="s">
        <v>143</v>
      </c>
      <c r="B161" s="45">
        <f>IFERROR(MEDIAN(Vertices[PageRank]),NoMetricMessage)</f>
        <v>1.101E-3</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20549</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20578</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20548</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9C788-751F-4B4F-87EB-771FB5171C85}">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20572</v>
      </c>
      <c r="B1" s="7" t="s">
        <v>17</v>
      </c>
    </row>
    <row r="2" spans="1:2" x14ac:dyDescent="0.25">
      <c r="A2" s="76" t="s">
        <v>20573</v>
      </c>
      <c r="B2" s="76"/>
    </row>
    <row r="3" spans="1:2" x14ac:dyDescent="0.25">
      <c r="A3" s="77" t="s">
        <v>20574</v>
      </c>
      <c r="B3" s="76"/>
    </row>
    <row r="4" spans="1:2" x14ac:dyDescent="0.25">
      <c r="A4" s="77" t="s">
        <v>20575</v>
      </c>
      <c r="B4" s="76"/>
    </row>
    <row r="5" spans="1:2" x14ac:dyDescent="0.25">
      <c r="A5" s="77" t="s">
        <v>20576</v>
      </c>
      <c r="B5" s="76"/>
    </row>
    <row r="6" spans="1:2" x14ac:dyDescent="0.25">
      <c r="A6" s="77" t="s">
        <v>20577</v>
      </c>
      <c r="B6" s="76"/>
    </row>
    <row r="7" spans="1:2" x14ac:dyDescent="0.25">
      <c r="A7" s="77" t="s">
        <v>16627</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985AC1EC-6F16-4416-B96C-6990C6D691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2023-09-13T22:06:53Z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